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3"/>
  <workbookPr defaultThemeVersion="166925"/>
  <mc:AlternateContent xmlns:mc="http://schemas.openxmlformats.org/markup-compatibility/2006">
    <mc:Choice Requires="x15">
      <x15ac:absPath xmlns:x15ac="http://schemas.microsoft.com/office/spreadsheetml/2010/11/ac" url="/Users/yugen/code/community-curation/import_files/"/>
    </mc:Choice>
  </mc:AlternateContent>
  <xr:revisionPtr revIDLastSave="0" documentId="13_ncr:1_{5C1F6FA1-41F9-104F-A80B-1B3AA0B67A8B}" xr6:coauthVersionLast="45" xr6:coauthVersionMax="45" xr10:uidLastSave="{00000000-0000-0000-0000-000000000000}"/>
  <bookViews>
    <workbookView xWindow="0" yWindow="460" windowWidth="30720" windowHeight="18740" activeTab="2" xr2:uid="{00000000-000D-0000-FFFF-FFFF00000000}"/>
  </bookViews>
  <sheets>
    <sheet name="Groups" sheetId="1" r:id="rId1"/>
    <sheet name="Archived Groups" sheetId="2" r:id="rId2"/>
    <sheet name="Assignments" sheetId="3" r:id="rId3"/>
    <sheet name="Copy of Assignments" sheetId="4" r:id="rId4"/>
    <sheet name="Baseline" sheetId="5" r:id="rId5"/>
    <sheet name="Comprehensive" sheetId="6" r:id="rId6"/>
    <sheet name="Actionability" sheetId="7" r:id="rId7"/>
    <sheet name="Gene" sheetId="8" r:id="rId8"/>
    <sheet name="Variant" sheetId="9" r:id="rId9"/>
    <sheet name="Dosage" sheetId="10" r:id="rId10"/>
    <sheet name="Somatic" sheetId="11" r:id="rId11"/>
    <sheet name="Surveys" sheetId="12" r:id="rId12"/>
    <sheet name="Volunteer Survey" sheetId="13" r:id="rId13"/>
    <sheet name="Gene Attestations" sheetId="14" r:id="rId14"/>
    <sheet name="Dosage Attestations" sheetId="15" r:id="rId15"/>
    <sheet name="Somatic Attestation" sheetId="16" r:id="rId16"/>
    <sheet name="Variant Attestations" sheetId="17" r:id="rId17"/>
    <sheet name="Steps" sheetId="18" r:id="rId18"/>
    <sheet name="Status Change Survey" sheetId="19" r:id="rId19"/>
    <sheet name="Aggragate for Import " sheetId="20" r:id="rId20"/>
  </sheets>
  <definedNames>
    <definedName name="_xlnm._FilterDatabase" localSheetId="7" hidden="1">Gene!$A$1:$G$72</definedName>
    <definedName name="Z_5D0D3789_3B3F_4C1E_9519_EA1440E6015A_.wvu.FilterData" localSheetId="11" hidden="1">Surveys!$A$1:$L$123</definedName>
    <definedName name="Z_B9B40D7A_6EAE_4980_8EA7_1E95F9ED6C6F_.wvu.FilterData" localSheetId="11" hidden="1">Surveys!$A$1:$L$533</definedName>
  </definedNames>
  <calcPr calcId="191029"/>
  <customWorkbookViews>
    <customWorkbookView name="Filter 1" guid="{B9B40D7A-6EAE-4980-8EA7-1E95F9ED6C6F}" maximized="1" windowWidth="0" windowHeight="0" activeSheetId="0"/>
    <customWorkbookView name="Filter 2" guid="{5D0D3789-3B3F-4C1E-9519-EA1440E6015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O989" i="20" l="1"/>
  <c r="AN989" i="20"/>
  <c r="AM989" i="20"/>
  <c r="AL989" i="20"/>
  <c r="AK989" i="20"/>
  <c r="AJ989" i="20"/>
  <c r="AI989" i="20"/>
  <c r="AH989" i="20"/>
  <c r="AG989" i="20"/>
  <c r="AF989" i="20"/>
  <c r="AE989" i="20"/>
  <c r="AD989" i="20"/>
  <c r="AC989" i="20"/>
  <c r="AB989" i="20"/>
  <c r="AA989" i="20"/>
  <c r="Z989" i="20"/>
  <c r="AO988" i="20"/>
  <c r="AN988" i="20"/>
  <c r="AM988" i="20"/>
  <c r="AL988" i="20"/>
  <c r="AK988" i="20"/>
  <c r="AJ988" i="20"/>
  <c r="AI988" i="20"/>
  <c r="AH988" i="20"/>
  <c r="AG988" i="20"/>
  <c r="AF988" i="20"/>
  <c r="AE988" i="20"/>
  <c r="AD988" i="20"/>
  <c r="AC988" i="20"/>
  <c r="AB988" i="20"/>
  <c r="AA988" i="20"/>
  <c r="Z988" i="20"/>
  <c r="AO987" i="20"/>
  <c r="AN987" i="20"/>
  <c r="AM987" i="20"/>
  <c r="AL987" i="20"/>
  <c r="AK987" i="20"/>
  <c r="AJ987" i="20"/>
  <c r="AI987" i="20"/>
  <c r="AH987" i="20"/>
  <c r="AG987" i="20"/>
  <c r="AF987" i="20"/>
  <c r="AE987" i="20"/>
  <c r="AD987" i="20"/>
  <c r="AC987" i="20"/>
  <c r="AB987" i="20"/>
  <c r="AA987" i="20"/>
  <c r="Z987" i="20"/>
  <c r="AO986" i="20"/>
  <c r="AN986" i="20"/>
  <c r="AM986" i="20"/>
  <c r="AL986" i="20"/>
  <c r="AK986" i="20"/>
  <c r="AJ986" i="20"/>
  <c r="AI986" i="20"/>
  <c r="AH986" i="20"/>
  <c r="AG986" i="20"/>
  <c r="AF986" i="20"/>
  <c r="AE986" i="20"/>
  <c r="AD986" i="20"/>
  <c r="AC986" i="20"/>
  <c r="AB986" i="20"/>
  <c r="AA986" i="20"/>
  <c r="Z986" i="20"/>
  <c r="AO985" i="20"/>
  <c r="AN985" i="20"/>
  <c r="AM985" i="20"/>
  <c r="AL985" i="20"/>
  <c r="AK985" i="20"/>
  <c r="AJ985" i="20"/>
  <c r="AI985" i="20"/>
  <c r="AH985" i="20"/>
  <c r="AG985" i="20"/>
  <c r="AF985" i="20"/>
  <c r="AE985" i="20"/>
  <c r="AD985" i="20"/>
  <c r="AC985" i="20"/>
  <c r="AB985" i="20"/>
  <c r="AA985" i="20"/>
  <c r="Z985" i="20"/>
  <c r="AO984" i="20"/>
  <c r="AN984" i="20"/>
  <c r="AM984" i="20"/>
  <c r="AL984" i="20"/>
  <c r="AK984" i="20"/>
  <c r="AJ984" i="20"/>
  <c r="AI984" i="20"/>
  <c r="AH984" i="20"/>
  <c r="AG984" i="20"/>
  <c r="AF984" i="20"/>
  <c r="AE984" i="20"/>
  <c r="AD984" i="20"/>
  <c r="AC984" i="20"/>
  <c r="AB984" i="20"/>
  <c r="AA984" i="20"/>
  <c r="Z984" i="20"/>
  <c r="AO983" i="20"/>
  <c r="AN983" i="20"/>
  <c r="AM983" i="20"/>
  <c r="AL983" i="20"/>
  <c r="AK983" i="20"/>
  <c r="AJ983" i="20"/>
  <c r="AI983" i="20"/>
  <c r="AH983" i="20"/>
  <c r="AG983" i="20"/>
  <c r="AF983" i="20"/>
  <c r="AE983" i="20"/>
  <c r="AD983" i="20"/>
  <c r="AC983" i="20"/>
  <c r="AB983" i="20"/>
  <c r="AA983" i="20"/>
  <c r="Z983" i="20"/>
  <c r="AO982" i="20"/>
  <c r="AN982" i="20"/>
  <c r="AM982" i="20"/>
  <c r="AL982" i="20"/>
  <c r="AK982" i="20"/>
  <c r="AJ982" i="20"/>
  <c r="AI982" i="20"/>
  <c r="AH982" i="20"/>
  <c r="AG982" i="20"/>
  <c r="AF982" i="20"/>
  <c r="AE982" i="20"/>
  <c r="AD982" i="20"/>
  <c r="AC982" i="20"/>
  <c r="AB982" i="20"/>
  <c r="AA982" i="20"/>
  <c r="Z982" i="20"/>
  <c r="AO981" i="20"/>
  <c r="AN981" i="20"/>
  <c r="AM981" i="20"/>
  <c r="AL981" i="20"/>
  <c r="AK981" i="20"/>
  <c r="AJ981" i="20"/>
  <c r="AI981" i="20"/>
  <c r="AH981" i="20"/>
  <c r="AG981" i="20"/>
  <c r="AF981" i="20"/>
  <c r="AE981" i="20"/>
  <c r="AD981" i="20"/>
  <c r="AC981" i="20"/>
  <c r="AB981" i="20"/>
  <c r="AA981" i="20"/>
  <c r="Z981" i="20"/>
  <c r="AO980" i="20"/>
  <c r="AN980" i="20"/>
  <c r="AM980" i="20"/>
  <c r="AL980" i="20"/>
  <c r="AK980" i="20"/>
  <c r="AJ980" i="20"/>
  <c r="AI980" i="20"/>
  <c r="AH980" i="20"/>
  <c r="AG980" i="20"/>
  <c r="AF980" i="20"/>
  <c r="AE980" i="20"/>
  <c r="AD980" i="20"/>
  <c r="AC980" i="20"/>
  <c r="AB980" i="20"/>
  <c r="AA980" i="20"/>
  <c r="Z980" i="20"/>
  <c r="AO979" i="20"/>
  <c r="AN979" i="20"/>
  <c r="AM979" i="20"/>
  <c r="AL979" i="20"/>
  <c r="AK979" i="20"/>
  <c r="AJ979" i="20"/>
  <c r="AI979" i="20"/>
  <c r="AH979" i="20"/>
  <c r="AG979" i="20"/>
  <c r="AF979" i="20"/>
  <c r="AE979" i="20"/>
  <c r="AD979" i="20"/>
  <c r="AC979" i="20"/>
  <c r="AB979" i="20"/>
  <c r="AA979" i="20"/>
  <c r="Z979" i="20"/>
  <c r="AO978" i="20"/>
  <c r="AN978" i="20"/>
  <c r="AM978" i="20"/>
  <c r="AL978" i="20"/>
  <c r="AK978" i="20"/>
  <c r="AJ978" i="20"/>
  <c r="AI978" i="20"/>
  <c r="AH978" i="20"/>
  <c r="AG978" i="20"/>
  <c r="AF978" i="20"/>
  <c r="AE978" i="20"/>
  <c r="AD978" i="20"/>
  <c r="AC978" i="20"/>
  <c r="AB978" i="20"/>
  <c r="AA978" i="20"/>
  <c r="Z978" i="20"/>
  <c r="AO977" i="20"/>
  <c r="AN977" i="20"/>
  <c r="AM977" i="20"/>
  <c r="AL977" i="20"/>
  <c r="AK977" i="20"/>
  <c r="AJ977" i="20"/>
  <c r="AI977" i="20"/>
  <c r="AH977" i="20"/>
  <c r="AG977" i="20"/>
  <c r="AF977" i="20"/>
  <c r="AE977" i="20"/>
  <c r="AD977" i="20"/>
  <c r="AC977" i="20"/>
  <c r="AB977" i="20"/>
  <c r="AA977" i="20"/>
  <c r="Z977" i="20"/>
  <c r="AO976" i="20"/>
  <c r="AN976" i="20"/>
  <c r="AM976" i="20"/>
  <c r="AL976" i="20"/>
  <c r="AK976" i="20"/>
  <c r="AJ976" i="20"/>
  <c r="AI976" i="20"/>
  <c r="AH976" i="20"/>
  <c r="AG976" i="20"/>
  <c r="AF976" i="20"/>
  <c r="AE976" i="20"/>
  <c r="AD976" i="20"/>
  <c r="AC976" i="20"/>
  <c r="AB976" i="20"/>
  <c r="AA976" i="20"/>
  <c r="Z976" i="20"/>
  <c r="AO975" i="20"/>
  <c r="AN975" i="20"/>
  <c r="AM975" i="20"/>
  <c r="AL975" i="20"/>
  <c r="AK975" i="20"/>
  <c r="AJ975" i="20"/>
  <c r="AI975" i="20"/>
  <c r="AH975" i="20"/>
  <c r="AG975" i="20"/>
  <c r="AF975" i="20"/>
  <c r="AE975" i="20"/>
  <c r="AD975" i="20"/>
  <c r="AC975" i="20"/>
  <c r="AB975" i="20"/>
  <c r="AA975" i="20"/>
  <c r="Z975" i="20"/>
  <c r="AO974" i="20"/>
  <c r="AN974" i="20"/>
  <c r="AM974" i="20"/>
  <c r="AL974" i="20"/>
  <c r="AK974" i="20"/>
  <c r="AJ974" i="20"/>
  <c r="AI974" i="20"/>
  <c r="AH974" i="20"/>
  <c r="AG974" i="20"/>
  <c r="AF974" i="20"/>
  <c r="AE974" i="20"/>
  <c r="AD974" i="20"/>
  <c r="AC974" i="20"/>
  <c r="AB974" i="20"/>
  <c r="AA974" i="20"/>
  <c r="Z974" i="20"/>
  <c r="AO973" i="20"/>
  <c r="AN973" i="20"/>
  <c r="AM973" i="20"/>
  <c r="AL973" i="20"/>
  <c r="AK973" i="20"/>
  <c r="AJ973" i="20"/>
  <c r="AI973" i="20"/>
  <c r="AH973" i="20"/>
  <c r="AG973" i="20"/>
  <c r="AF973" i="20"/>
  <c r="AE973" i="20"/>
  <c r="AD973" i="20"/>
  <c r="AC973" i="20"/>
  <c r="AB973" i="20"/>
  <c r="AA973" i="20"/>
  <c r="Z973" i="20"/>
  <c r="AO972" i="20"/>
  <c r="AN972" i="20"/>
  <c r="AM972" i="20"/>
  <c r="AL972" i="20"/>
  <c r="AK972" i="20"/>
  <c r="AJ972" i="20"/>
  <c r="AI972" i="20"/>
  <c r="AH972" i="20"/>
  <c r="AG972" i="20"/>
  <c r="AF972" i="20"/>
  <c r="AE972" i="20"/>
  <c r="AD972" i="20"/>
  <c r="AC972" i="20"/>
  <c r="AB972" i="20"/>
  <c r="AA972" i="20"/>
  <c r="Z972" i="20"/>
  <c r="AO971" i="20"/>
  <c r="AN971" i="20"/>
  <c r="AM971" i="20"/>
  <c r="AL971" i="20"/>
  <c r="AK971" i="20"/>
  <c r="AJ971" i="20"/>
  <c r="AI971" i="20"/>
  <c r="AH971" i="20"/>
  <c r="AG971" i="20"/>
  <c r="AF971" i="20"/>
  <c r="AE971" i="20"/>
  <c r="AD971" i="20"/>
  <c r="AC971" i="20"/>
  <c r="AB971" i="20"/>
  <c r="AA971" i="20"/>
  <c r="Z971" i="20"/>
  <c r="AO970" i="20"/>
  <c r="AN970" i="20"/>
  <c r="AM970" i="20"/>
  <c r="AL970" i="20"/>
  <c r="AK970" i="20"/>
  <c r="AJ970" i="20"/>
  <c r="AI970" i="20"/>
  <c r="AH970" i="20"/>
  <c r="AG970" i="20"/>
  <c r="AF970" i="20"/>
  <c r="AE970" i="20"/>
  <c r="AD970" i="20"/>
  <c r="AC970" i="20"/>
  <c r="AB970" i="20"/>
  <c r="AA970" i="20"/>
  <c r="Z970" i="20"/>
  <c r="AO969" i="20"/>
  <c r="AN969" i="20"/>
  <c r="AM969" i="20"/>
  <c r="AL969" i="20"/>
  <c r="AK969" i="20"/>
  <c r="AJ969" i="20"/>
  <c r="AI969" i="20"/>
  <c r="AH969" i="20"/>
  <c r="AG969" i="20"/>
  <c r="AF969" i="20"/>
  <c r="AE969" i="20"/>
  <c r="AD969" i="20"/>
  <c r="AC969" i="20"/>
  <c r="AB969" i="20"/>
  <c r="AA969" i="20"/>
  <c r="Z969" i="20"/>
  <c r="AO968" i="20"/>
  <c r="AN968" i="20"/>
  <c r="AM968" i="20"/>
  <c r="AL968" i="20"/>
  <c r="AK968" i="20"/>
  <c r="AJ968" i="20"/>
  <c r="AI968" i="20"/>
  <c r="AH968" i="20"/>
  <c r="AG968" i="20"/>
  <c r="AF968" i="20"/>
  <c r="AE968" i="20"/>
  <c r="AD968" i="20"/>
  <c r="AC968" i="20"/>
  <c r="AB968" i="20"/>
  <c r="AA968" i="20"/>
  <c r="Z968" i="20"/>
  <c r="AO967" i="20"/>
  <c r="AN967" i="20"/>
  <c r="AM967" i="20"/>
  <c r="AL967" i="20"/>
  <c r="AK967" i="20"/>
  <c r="AJ967" i="20"/>
  <c r="AI967" i="20"/>
  <c r="AH967" i="20"/>
  <c r="AG967" i="20"/>
  <c r="AF967" i="20"/>
  <c r="AE967" i="20"/>
  <c r="AD967" i="20"/>
  <c r="AC967" i="20"/>
  <c r="AB967" i="20"/>
  <c r="AA967" i="20"/>
  <c r="Z967" i="20"/>
  <c r="AO966" i="20"/>
  <c r="AN966" i="20"/>
  <c r="AM966" i="20"/>
  <c r="AL966" i="20"/>
  <c r="AK966" i="20"/>
  <c r="AJ966" i="20"/>
  <c r="AI966" i="20"/>
  <c r="AH966" i="20"/>
  <c r="AG966" i="20"/>
  <c r="AF966" i="20"/>
  <c r="AE966" i="20"/>
  <c r="AD966" i="20"/>
  <c r="AC966" i="20"/>
  <c r="AB966" i="20"/>
  <c r="AA966" i="20"/>
  <c r="Z966" i="20"/>
  <c r="AO965" i="20"/>
  <c r="AN965" i="20"/>
  <c r="AM965" i="20"/>
  <c r="AL965" i="20"/>
  <c r="AK965" i="20"/>
  <c r="AJ965" i="20"/>
  <c r="AI965" i="20"/>
  <c r="AH965" i="20"/>
  <c r="AG965" i="20"/>
  <c r="AF965" i="20"/>
  <c r="AE965" i="20"/>
  <c r="AD965" i="20"/>
  <c r="AC965" i="20"/>
  <c r="AB965" i="20"/>
  <c r="AA965" i="20"/>
  <c r="Z965" i="20"/>
  <c r="AO964" i="20"/>
  <c r="AN964" i="20"/>
  <c r="AM964" i="20"/>
  <c r="AL964" i="20"/>
  <c r="AK964" i="20"/>
  <c r="AJ964" i="20"/>
  <c r="AI964" i="20"/>
  <c r="AH964" i="20"/>
  <c r="AG964" i="20"/>
  <c r="AF964" i="20"/>
  <c r="AE964" i="20"/>
  <c r="AD964" i="20"/>
  <c r="AC964" i="20"/>
  <c r="AB964" i="20"/>
  <c r="AA964" i="20"/>
  <c r="Z964" i="20"/>
  <c r="AO963" i="20"/>
  <c r="AN963" i="20"/>
  <c r="AM963" i="20"/>
  <c r="AL963" i="20"/>
  <c r="AK963" i="20"/>
  <c r="AJ963" i="20"/>
  <c r="AI963" i="20"/>
  <c r="AH963" i="20"/>
  <c r="AG963" i="20"/>
  <c r="AF963" i="20"/>
  <c r="AE963" i="20"/>
  <c r="AD963" i="20"/>
  <c r="AC963" i="20"/>
  <c r="AB963" i="20"/>
  <c r="AA963" i="20"/>
  <c r="Z963" i="20"/>
  <c r="AO962" i="20"/>
  <c r="AN962" i="20"/>
  <c r="AM962" i="20"/>
  <c r="AL962" i="20"/>
  <c r="AK962" i="20"/>
  <c r="AJ962" i="20"/>
  <c r="AI962" i="20"/>
  <c r="AH962" i="20"/>
  <c r="AG962" i="20"/>
  <c r="AF962" i="20"/>
  <c r="AE962" i="20"/>
  <c r="AD962" i="20"/>
  <c r="AC962" i="20"/>
  <c r="AB962" i="20"/>
  <c r="AA962" i="20"/>
  <c r="Z962" i="20"/>
  <c r="AO961" i="20"/>
  <c r="AN961" i="20"/>
  <c r="AM961" i="20"/>
  <c r="AL961" i="20"/>
  <c r="AK961" i="20"/>
  <c r="AJ961" i="20"/>
  <c r="AI961" i="20"/>
  <c r="AH961" i="20"/>
  <c r="AG961" i="20"/>
  <c r="AF961" i="20"/>
  <c r="AE961" i="20"/>
  <c r="AD961" i="20"/>
  <c r="AC961" i="20"/>
  <c r="AB961" i="20"/>
  <c r="AA961" i="20"/>
  <c r="Z961" i="20"/>
  <c r="AO960" i="20"/>
  <c r="AN960" i="20"/>
  <c r="AM960" i="20"/>
  <c r="AL960" i="20"/>
  <c r="AK960" i="20"/>
  <c r="AJ960" i="20"/>
  <c r="AI960" i="20"/>
  <c r="AH960" i="20"/>
  <c r="AG960" i="20"/>
  <c r="AF960" i="20"/>
  <c r="AE960" i="20"/>
  <c r="AD960" i="20"/>
  <c r="AC960" i="20"/>
  <c r="AB960" i="20"/>
  <c r="AA960" i="20"/>
  <c r="Z960" i="20"/>
  <c r="AO959" i="20"/>
  <c r="AN959" i="20"/>
  <c r="AM959" i="20"/>
  <c r="AL959" i="20"/>
  <c r="AK959" i="20"/>
  <c r="AJ959" i="20"/>
  <c r="AI959" i="20"/>
  <c r="AH959" i="20"/>
  <c r="AG959" i="20"/>
  <c r="AF959" i="20"/>
  <c r="AE959" i="20"/>
  <c r="AD959" i="20"/>
  <c r="AC959" i="20"/>
  <c r="AB959" i="20"/>
  <c r="AA959" i="20"/>
  <c r="Z959" i="20"/>
  <c r="AO958" i="20"/>
  <c r="AN958" i="20"/>
  <c r="AM958" i="20"/>
  <c r="AL958" i="20"/>
  <c r="AK958" i="20"/>
  <c r="AJ958" i="20"/>
  <c r="AI958" i="20"/>
  <c r="AH958" i="20"/>
  <c r="AG958" i="20"/>
  <c r="AF958" i="20"/>
  <c r="AE958" i="20"/>
  <c r="AD958" i="20"/>
  <c r="AC958" i="20"/>
  <c r="AB958" i="20"/>
  <c r="AA958" i="20"/>
  <c r="Z958" i="20"/>
  <c r="AO957" i="20"/>
  <c r="AN957" i="20"/>
  <c r="AM957" i="20"/>
  <c r="AL957" i="20"/>
  <c r="AK957" i="20"/>
  <c r="AJ957" i="20"/>
  <c r="AI957" i="20"/>
  <c r="AH957" i="20"/>
  <c r="AG957" i="20"/>
  <c r="AF957" i="20"/>
  <c r="AE957" i="20"/>
  <c r="AD957" i="20"/>
  <c r="AC957" i="20"/>
  <c r="AB957" i="20"/>
  <c r="AA957" i="20"/>
  <c r="Z957" i="20"/>
  <c r="AO956" i="20"/>
  <c r="AN956" i="20"/>
  <c r="AM956" i="20"/>
  <c r="AL956" i="20"/>
  <c r="AK956" i="20"/>
  <c r="AJ956" i="20"/>
  <c r="AI956" i="20"/>
  <c r="AH956" i="20"/>
  <c r="AG956" i="20"/>
  <c r="AF956" i="20"/>
  <c r="AE956" i="20"/>
  <c r="AD956" i="20"/>
  <c r="AC956" i="20"/>
  <c r="AB956" i="20"/>
  <c r="AA956" i="20"/>
  <c r="Z956" i="20"/>
  <c r="AO955" i="20"/>
  <c r="AN955" i="20"/>
  <c r="AM955" i="20"/>
  <c r="AL955" i="20"/>
  <c r="AK955" i="20"/>
  <c r="AJ955" i="20"/>
  <c r="AI955" i="20"/>
  <c r="AH955" i="20"/>
  <c r="AG955" i="20"/>
  <c r="AF955" i="20"/>
  <c r="AE955" i="20"/>
  <c r="AD955" i="20"/>
  <c r="AC955" i="20"/>
  <c r="AB955" i="20"/>
  <c r="AA955" i="20"/>
  <c r="Z955" i="20"/>
  <c r="AO954" i="20"/>
  <c r="AN954" i="20"/>
  <c r="AM954" i="20"/>
  <c r="AL954" i="20"/>
  <c r="AK954" i="20"/>
  <c r="AJ954" i="20"/>
  <c r="AI954" i="20"/>
  <c r="AH954" i="20"/>
  <c r="AG954" i="20"/>
  <c r="AF954" i="20"/>
  <c r="AE954" i="20"/>
  <c r="AD954" i="20"/>
  <c r="AC954" i="20"/>
  <c r="AB954" i="20"/>
  <c r="AA954" i="20"/>
  <c r="Z954" i="20"/>
  <c r="AO953" i="20"/>
  <c r="AN953" i="20"/>
  <c r="AM953" i="20"/>
  <c r="AL953" i="20"/>
  <c r="AK953" i="20"/>
  <c r="AJ953" i="20"/>
  <c r="AI953" i="20"/>
  <c r="AH953" i="20"/>
  <c r="AG953" i="20"/>
  <c r="AF953" i="20"/>
  <c r="AE953" i="20"/>
  <c r="AD953" i="20"/>
  <c r="AC953" i="20"/>
  <c r="AB953" i="20"/>
  <c r="AA953" i="20"/>
  <c r="Z953" i="20"/>
  <c r="AO952" i="20"/>
  <c r="AN952" i="20"/>
  <c r="AM952" i="20"/>
  <c r="AL952" i="20"/>
  <c r="AK952" i="20"/>
  <c r="AJ952" i="20"/>
  <c r="AI952" i="20"/>
  <c r="AH952" i="20"/>
  <c r="AG952" i="20"/>
  <c r="AF952" i="20"/>
  <c r="AE952" i="20"/>
  <c r="AD952" i="20"/>
  <c r="AC952" i="20"/>
  <c r="AB952" i="20"/>
  <c r="AA952" i="20"/>
  <c r="Z952" i="20"/>
  <c r="AO951" i="20"/>
  <c r="AN951" i="20"/>
  <c r="AM951" i="20"/>
  <c r="AL951" i="20"/>
  <c r="AK951" i="20"/>
  <c r="AJ951" i="20"/>
  <c r="AI951" i="20"/>
  <c r="AH951" i="20"/>
  <c r="AG951" i="20"/>
  <c r="AF951" i="20"/>
  <c r="AE951" i="20"/>
  <c r="AD951" i="20"/>
  <c r="AC951" i="20"/>
  <c r="AB951" i="20"/>
  <c r="AA951" i="20"/>
  <c r="Z951" i="20"/>
  <c r="AO950" i="20"/>
  <c r="AN950" i="20"/>
  <c r="AM950" i="20"/>
  <c r="AL950" i="20"/>
  <c r="AK950" i="20"/>
  <c r="AJ950" i="20"/>
  <c r="AI950" i="20"/>
  <c r="AH950" i="20"/>
  <c r="AG950" i="20"/>
  <c r="AF950" i="20"/>
  <c r="AE950" i="20"/>
  <c r="AD950" i="20"/>
  <c r="AC950" i="20"/>
  <c r="AB950" i="20"/>
  <c r="AA950" i="20"/>
  <c r="Z950" i="20"/>
  <c r="AO949" i="20"/>
  <c r="AN949" i="20"/>
  <c r="AM949" i="20"/>
  <c r="AL949" i="20"/>
  <c r="AK949" i="20"/>
  <c r="AJ949" i="20"/>
  <c r="AI949" i="20"/>
  <c r="AH949" i="20"/>
  <c r="AG949" i="20"/>
  <c r="AF949" i="20"/>
  <c r="AE949" i="20"/>
  <c r="AD949" i="20"/>
  <c r="AC949" i="20"/>
  <c r="AB949" i="20"/>
  <c r="AA949" i="20"/>
  <c r="Z949" i="20"/>
  <c r="AO948" i="20"/>
  <c r="AN948" i="20"/>
  <c r="AM948" i="20"/>
  <c r="AL948" i="20"/>
  <c r="AK948" i="20"/>
  <c r="AJ948" i="20"/>
  <c r="AI948" i="20"/>
  <c r="AH948" i="20"/>
  <c r="AG948" i="20"/>
  <c r="AF948" i="20"/>
  <c r="AE948" i="20"/>
  <c r="AD948" i="20"/>
  <c r="AC948" i="20"/>
  <c r="AB948" i="20"/>
  <c r="AA948" i="20"/>
  <c r="Z948" i="20"/>
  <c r="AO947" i="20"/>
  <c r="AN947" i="20"/>
  <c r="AM947" i="20"/>
  <c r="AL947" i="20"/>
  <c r="AK947" i="20"/>
  <c r="AJ947" i="20"/>
  <c r="AI947" i="20"/>
  <c r="AH947" i="20"/>
  <c r="AG947" i="20"/>
  <c r="AF947" i="20"/>
  <c r="AE947" i="20"/>
  <c r="AD947" i="20"/>
  <c r="AC947" i="20"/>
  <c r="AB947" i="20"/>
  <c r="AA947" i="20"/>
  <c r="Z947" i="20"/>
  <c r="AO946" i="20"/>
  <c r="AN946" i="20"/>
  <c r="AM946" i="20"/>
  <c r="AL946" i="20"/>
  <c r="AK946" i="20"/>
  <c r="AJ946" i="20"/>
  <c r="AI946" i="20"/>
  <c r="AH946" i="20"/>
  <c r="AG946" i="20"/>
  <c r="AF946" i="20"/>
  <c r="AE946" i="20"/>
  <c r="AD946" i="20"/>
  <c r="AC946" i="20"/>
  <c r="AB946" i="20"/>
  <c r="AA946" i="20"/>
  <c r="Z946" i="20"/>
  <c r="AO945" i="20"/>
  <c r="AN945" i="20"/>
  <c r="AM945" i="20"/>
  <c r="AL945" i="20"/>
  <c r="AK945" i="20"/>
  <c r="AJ945" i="20"/>
  <c r="AI945" i="20"/>
  <c r="AH945" i="20"/>
  <c r="AG945" i="20"/>
  <c r="AF945" i="20"/>
  <c r="AE945" i="20"/>
  <c r="AD945" i="20"/>
  <c r="AC945" i="20"/>
  <c r="AB945" i="20"/>
  <c r="AA945" i="20"/>
  <c r="Z945" i="20"/>
  <c r="AO944" i="20"/>
  <c r="AN944" i="20"/>
  <c r="AM944" i="20"/>
  <c r="AL944" i="20"/>
  <c r="AK944" i="20"/>
  <c r="AJ944" i="20"/>
  <c r="AI944" i="20"/>
  <c r="AH944" i="20"/>
  <c r="AG944" i="20"/>
  <c r="AF944" i="20"/>
  <c r="AE944" i="20"/>
  <c r="AD944" i="20"/>
  <c r="AC944" i="20"/>
  <c r="AB944" i="20"/>
  <c r="AA944" i="20"/>
  <c r="Z944" i="20"/>
  <c r="AO943" i="20"/>
  <c r="AN943" i="20"/>
  <c r="AM943" i="20"/>
  <c r="AL943" i="20"/>
  <c r="AK943" i="20"/>
  <c r="AJ943" i="20"/>
  <c r="AI943" i="20"/>
  <c r="AH943" i="20"/>
  <c r="AG943" i="20"/>
  <c r="AF943" i="20"/>
  <c r="AE943" i="20"/>
  <c r="AD943" i="20"/>
  <c r="AC943" i="20"/>
  <c r="AB943" i="20"/>
  <c r="AA943" i="20"/>
  <c r="Z943" i="20"/>
  <c r="AO942" i="20"/>
  <c r="AN942" i="20"/>
  <c r="AM942" i="20"/>
  <c r="AL942" i="20"/>
  <c r="AK942" i="20"/>
  <c r="AJ942" i="20"/>
  <c r="AI942" i="20"/>
  <c r="AH942" i="20"/>
  <c r="AG942" i="20"/>
  <c r="AF942" i="20"/>
  <c r="AE942" i="20"/>
  <c r="AD942" i="20"/>
  <c r="AC942" i="20"/>
  <c r="AB942" i="20"/>
  <c r="AA942" i="20"/>
  <c r="Z942" i="20"/>
  <c r="AO941" i="20"/>
  <c r="AN941" i="20"/>
  <c r="AM941" i="20"/>
  <c r="AL941" i="20"/>
  <c r="AK941" i="20"/>
  <c r="AJ941" i="20"/>
  <c r="AI941" i="20"/>
  <c r="AH941" i="20"/>
  <c r="AG941" i="20"/>
  <c r="AF941" i="20"/>
  <c r="AE941" i="20"/>
  <c r="AD941" i="20"/>
  <c r="AC941" i="20"/>
  <c r="AB941" i="20"/>
  <c r="AA941" i="20"/>
  <c r="Z941" i="20"/>
  <c r="AO940" i="20"/>
  <c r="AN940" i="20"/>
  <c r="AM940" i="20"/>
  <c r="AL940" i="20"/>
  <c r="AK940" i="20"/>
  <c r="AJ940" i="20"/>
  <c r="AI940" i="20"/>
  <c r="AH940" i="20"/>
  <c r="AG940" i="20"/>
  <c r="AF940" i="20"/>
  <c r="AE940" i="20"/>
  <c r="AD940" i="20"/>
  <c r="AC940" i="20"/>
  <c r="AB940" i="20"/>
  <c r="AA940" i="20"/>
  <c r="Z940" i="20"/>
  <c r="AO939" i="20"/>
  <c r="AN939" i="20"/>
  <c r="AM939" i="20"/>
  <c r="AL939" i="20"/>
  <c r="AK939" i="20"/>
  <c r="AJ939" i="20"/>
  <c r="AI939" i="20"/>
  <c r="AH939" i="20"/>
  <c r="AG939" i="20"/>
  <c r="AF939" i="20"/>
  <c r="AE939" i="20"/>
  <c r="AD939" i="20"/>
  <c r="AC939" i="20"/>
  <c r="AB939" i="20"/>
  <c r="AA939" i="20"/>
  <c r="Z939" i="20"/>
  <c r="AO938" i="20"/>
  <c r="AN938" i="20"/>
  <c r="AM938" i="20"/>
  <c r="AL938" i="20"/>
  <c r="AK938" i="20"/>
  <c r="AJ938" i="20"/>
  <c r="AI938" i="20"/>
  <c r="AH938" i="20"/>
  <c r="AG938" i="20"/>
  <c r="AF938" i="20"/>
  <c r="AE938" i="20"/>
  <c r="AD938" i="20"/>
  <c r="AC938" i="20"/>
  <c r="AB938" i="20"/>
  <c r="AA938" i="20"/>
  <c r="Z938" i="20"/>
  <c r="AO937" i="20"/>
  <c r="AN937" i="20"/>
  <c r="AM937" i="20"/>
  <c r="AL937" i="20"/>
  <c r="AK937" i="20"/>
  <c r="AJ937" i="20"/>
  <c r="AI937" i="20"/>
  <c r="AH937" i="20"/>
  <c r="AG937" i="20"/>
  <c r="AF937" i="20"/>
  <c r="AE937" i="20"/>
  <c r="AD937" i="20"/>
  <c r="AC937" i="20"/>
  <c r="AB937" i="20"/>
  <c r="AA937" i="20"/>
  <c r="Z937" i="20"/>
  <c r="AO936" i="20"/>
  <c r="AN936" i="20"/>
  <c r="AM936" i="20"/>
  <c r="AL936" i="20"/>
  <c r="AK936" i="20"/>
  <c r="AJ936" i="20"/>
  <c r="AI936" i="20"/>
  <c r="AH936" i="20"/>
  <c r="AG936" i="20"/>
  <c r="AF936" i="20"/>
  <c r="AE936" i="20"/>
  <c r="AD936" i="20"/>
  <c r="AC936" i="20"/>
  <c r="AB936" i="20"/>
  <c r="AA936" i="20"/>
  <c r="Z936" i="20"/>
  <c r="AO935" i="20"/>
  <c r="AN935" i="20"/>
  <c r="AM935" i="20"/>
  <c r="AL935" i="20"/>
  <c r="AK935" i="20"/>
  <c r="AJ935" i="20"/>
  <c r="AI935" i="20"/>
  <c r="AH935" i="20"/>
  <c r="AG935" i="20"/>
  <c r="AF935" i="20"/>
  <c r="AE935" i="20"/>
  <c r="AD935" i="20"/>
  <c r="AC935" i="20"/>
  <c r="AB935" i="20"/>
  <c r="AA935" i="20"/>
  <c r="Z935" i="20"/>
  <c r="AO934" i="20"/>
  <c r="AN934" i="20"/>
  <c r="AM934" i="20"/>
  <c r="AL934" i="20"/>
  <c r="AK934" i="20"/>
  <c r="AJ934" i="20"/>
  <c r="AI934" i="20"/>
  <c r="AH934" i="20"/>
  <c r="AG934" i="20"/>
  <c r="AF934" i="20"/>
  <c r="AE934" i="20"/>
  <c r="AD934" i="20"/>
  <c r="AC934" i="20"/>
  <c r="AB934" i="20"/>
  <c r="AA934" i="20"/>
  <c r="Z934" i="20"/>
  <c r="AO933" i="20"/>
  <c r="AN933" i="20"/>
  <c r="AM933" i="20"/>
  <c r="AL933" i="20"/>
  <c r="AK933" i="20"/>
  <c r="AJ933" i="20"/>
  <c r="AI933" i="20"/>
  <c r="AH933" i="20"/>
  <c r="AG933" i="20"/>
  <c r="AF933" i="20"/>
  <c r="AE933" i="20"/>
  <c r="AD933" i="20"/>
  <c r="AC933" i="20"/>
  <c r="AB933" i="20"/>
  <c r="AA933" i="20"/>
  <c r="Z933" i="20"/>
  <c r="AO932" i="20"/>
  <c r="AN932" i="20"/>
  <c r="AM932" i="20"/>
  <c r="AL932" i="20"/>
  <c r="AK932" i="20"/>
  <c r="AJ932" i="20"/>
  <c r="AI932" i="20"/>
  <c r="AH932" i="20"/>
  <c r="AG932" i="20"/>
  <c r="AF932" i="20"/>
  <c r="AE932" i="20"/>
  <c r="AD932" i="20"/>
  <c r="AC932" i="20"/>
  <c r="AB932" i="20"/>
  <c r="AA932" i="20"/>
  <c r="Z932" i="20"/>
  <c r="AO931" i="20"/>
  <c r="AN931" i="20"/>
  <c r="AM931" i="20"/>
  <c r="AL931" i="20"/>
  <c r="AK931" i="20"/>
  <c r="AJ931" i="20"/>
  <c r="AI931" i="20"/>
  <c r="AH931" i="20"/>
  <c r="AG931" i="20"/>
  <c r="AF931" i="20"/>
  <c r="AE931" i="20"/>
  <c r="AD931" i="20"/>
  <c r="AC931" i="20"/>
  <c r="AB931" i="20"/>
  <c r="AA931" i="20"/>
  <c r="Z931" i="20"/>
  <c r="AO930" i="20"/>
  <c r="AN930" i="20"/>
  <c r="AM930" i="20"/>
  <c r="AL930" i="20"/>
  <c r="AK930" i="20"/>
  <c r="AJ930" i="20"/>
  <c r="AI930" i="20"/>
  <c r="AH930" i="20"/>
  <c r="AG930" i="20"/>
  <c r="AF930" i="20"/>
  <c r="AE930" i="20"/>
  <c r="AD930" i="20"/>
  <c r="AC930" i="20"/>
  <c r="AB930" i="20"/>
  <c r="AA930" i="20"/>
  <c r="Z930" i="20"/>
  <c r="AO929" i="20"/>
  <c r="AN929" i="20"/>
  <c r="AM929" i="20"/>
  <c r="AL929" i="20"/>
  <c r="AK929" i="20"/>
  <c r="AJ929" i="20"/>
  <c r="AI929" i="20"/>
  <c r="AH929" i="20"/>
  <c r="AG929" i="20"/>
  <c r="AF929" i="20"/>
  <c r="AE929" i="20"/>
  <c r="AD929" i="20"/>
  <c r="AC929" i="20"/>
  <c r="AB929" i="20"/>
  <c r="AA929" i="20"/>
  <c r="Z929" i="20"/>
  <c r="AO928" i="20"/>
  <c r="AN928" i="20"/>
  <c r="AM928" i="20"/>
  <c r="AL928" i="20"/>
  <c r="AK928" i="20"/>
  <c r="AJ928" i="20"/>
  <c r="AI928" i="20"/>
  <c r="AH928" i="20"/>
  <c r="AG928" i="20"/>
  <c r="AF928" i="20"/>
  <c r="AE928" i="20"/>
  <c r="AD928" i="20"/>
  <c r="AC928" i="20"/>
  <c r="AB928" i="20"/>
  <c r="AA928" i="20"/>
  <c r="Z928" i="20"/>
  <c r="AO927" i="20"/>
  <c r="AN927" i="20"/>
  <c r="AM927" i="20"/>
  <c r="AL927" i="20"/>
  <c r="AK927" i="20"/>
  <c r="AJ927" i="20"/>
  <c r="AI927" i="20"/>
  <c r="AH927" i="20"/>
  <c r="AG927" i="20"/>
  <c r="AF927" i="20"/>
  <c r="AE927" i="20"/>
  <c r="AD927" i="20"/>
  <c r="AC927" i="20"/>
  <c r="AB927" i="20"/>
  <c r="AA927" i="20"/>
  <c r="Z927" i="20"/>
  <c r="AO926" i="20"/>
  <c r="AN926" i="20"/>
  <c r="AM926" i="20"/>
  <c r="AL926" i="20"/>
  <c r="AK926" i="20"/>
  <c r="AJ926" i="20"/>
  <c r="AI926" i="20"/>
  <c r="AH926" i="20"/>
  <c r="AG926" i="20"/>
  <c r="AF926" i="20"/>
  <c r="AE926" i="20"/>
  <c r="AD926" i="20"/>
  <c r="AC926" i="20"/>
  <c r="AB926" i="20"/>
  <c r="AA926" i="20"/>
  <c r="Z926" i="20"/>
  <c r="AO925" i="20"/>
  <c r="AN925" i="20"/>
  <c r="AM925" i="20"/>
  <c r="AL925" i="20"/>
  <c r="AK925" i="20"/>
  <c r="AJ925" i="20"/>
  <c r="AI925" i="20"/>
  <c r="AH925" i="20"/>
  <c r="AG925" i="20"/>
  <c r="AF925" i="20"/>
  <c r="AE925" i="20"/>
  <c r="AD925" i="20"/>
  <c r="AC925" i="20"/>
  <c r="AB925" i="20"/>
  <c r="AA925" i="20"/>
  <c r="Z925" i="20"/>
  <c r="AO924" i="20"/>
  <c r="AN924" i="20"/>
  <c r="AM924" i="20"/>
  <c r="AL924" i="20"/>
  <c r="AK924" i="20"/>
  <c r="AJ924" i="20"/>
  <c r="AI924" i="20"/>
  <c r="AH924" i="20"/>
  <c r="AG924" i="20"/>
  <c r="AF924" i="20"/>
  <c r="AE924" i="20"/>
  <c r="AD924" i="20"/>
  <c r="AC924" i="20"/>
  <c r="AB924" i="20"/>
  <c r="AA924" i="20"/>
  <c r="Z924" i="20"/>
  <c r="AO923" i="20"/>
  <c r="AN923" i="20"/>
  <c r="AM923" i="20"/>
  <c r="AL923" i="20"/>
  <c r="AK923" i="20"/>
  <c r="AJ923" i="20"/>
  <c r="AI923" i="20"/>
  <c r="AH923" i="20"/>
  <c r="AG923" i="20"/>
  <c r="AF923" i="20"/>
  <c r="AE923" i="20"/>
  <c r="AD923" i="20"/>
  <c r="AC923" i="20"/>
  <c r="AB923" i="20"/>
  <c r="AA923" i="20"/>
  <c r="Z923" i="20"/>
  <c r="AO922" i="20"/>
  <c r="AN922" i="20"/>
  <c r="AM922" i="20"/>
  <c r="AL922" i="20"/>
  <c r="AK922" i="20"/>
  <c r="AJ922" i="20"/>
  <c r="AI922" i="20"/>
  <c r="AH922" i="20"/>
  <c r="AG922" i="20"/>
  <c r="AF922" i="20"/>
  <c r="AE922" i="20"/>
  <c r="AD922" i="20"/>
  <c r="AC922" i="20"/>
  <c r="AB922" i="20"/>
  <c r="AA922" i="20"/>
  <c r="Z922" i="20"/>
  <c r="AO921" i="20"/>
  <c r="AN921" i="20"/>
  <c r="AM921" i="20"/>
  <c r="AL921" i="20"/>
  <c r="AK921" i="20"/>
  <c r="AJ921" i="20"/>
  <c r="AI921" i="20"/>
  <c r="AH921" i="20"/>
  <c r="AG921" i="20"/>
  <c r="AF921" i="20"/>
  <c r="AE921" i="20"/>
  <c r="AD921" i="20"/>
  <c r="AC921" i="20"/>
  <c r="AB921" i="20"/>
  <c r="AA921" i="20"/>
  <c r="Z921" i="20"/>
  <c r="AO920" i="20"/>
  <c r="AN920" i="20"/>
  <c r="AM920" i="20"/>
  <c r="AL920" i="20"/>
  <c r="AK920" i="20"/>
  <c r="AJ920" i="20"/>
  <c r="AI920" i="20"/>
  <c r="AH920" i="20"/>
  <c r="AG920" i="20"/>
  <c r="AF920" i="20"/>
  <c r="AE920" i="20"/>
  <c r="AD920" i="20"/>
  <c r="AC920" i="20"/>
  <c r="AB920" i="20"/>
  <c r="AA920" i="20"/>
  <c r="Z920" i="20"/>
  <c r="AO919" i="20"/>
  <c r="AN919" i="20"/>
  <c r="AM919" i="20"/>
  <c r="AL919" i="20"/>
  <c r="AK919" i="20"/>
  <c r="AJ919" i="20"/>
  <c r="AI919" i="20"/>
  <c r="AH919" i="20"/>
  <c r="AG919" i="20"/>
  <c r="AF919" i="20"/>
  <c r="AE919" i="20"/>
  <c r="AD919" i="20"/>
  <c r="AC919" i="20"/>
  <c r="AB919" i="20"/>
  <c r="AA919" i="20"/>
  <c r="Z919" i="20"/>
  <c r="AO918" i="20"/>
  <c r="AN918" i="20"/>
  <c r="AM918" i="20"/>
  <c r="AL918" i="20"/>
  <c r="AK918" i="20"/>
  <c r="AJ918" i="20"/>
  <c r="AI918" i="20"/>
  <c r="AH918" i="20"/>
  <c r="AG918" i="20"/>
  <c r="AF918" i="20"/>
  <c r="AE918" i="20"/>
  <c r="AD918" i="20"/>
  <c r="AC918" i="20"/>
  <c r="AB918" i="20"/>
  <c r="AA918" i="20"/>
  <c r="Z918" i="20"/>
  <c r="AO917" i="20"/>
  <c r="AN917" i="20"/>
  <c r="AM917" i="20"/>
  <c r="AL917" i="20"/>
  <c r="AK917" i="20"/>
  <c r="AJ917" i="20"/>
  <c r="AI917" i="20"/>
  <c r="AH917" i="20"/>
  <c r="AG917" i="20"/>
  <c r="AF917" i="20"/>
  <c r="AE917" i="20"/>
  <c r="AD917" i="20"/>
  <c r="AC917" i="20"/>
  <c r="AB917" i="20"/>
  <c r="AA917" i="20"/>
  <c r="Z917" i="20"/>
  <c r="AO916" i="20"/>
  <c r="AN916" i="20"/>
  <c r="AM916" i="20"/>
  <c r="AL916" i="20"/>
  <c r="AK916" i="20"/>
  <c r="AJ916" i="20"/>
  <c r="AI916" i="20"/>
  <c r="AH916" i="20"/>
  <c r="AG916" i="20"/>
  <c r="AF916" i="20"/>
  <c r="AE916" i="20"/>
  <c r="AD916" i="20"/>
  <c r="AC916" i="20"/>
  <c r="AB916" i="20"/>
  <c r="AA916" i="20"/>
  <c r="Z916" i="20"/>
  <c r="AO915" i="20"/>
  <c r="AN915" i="20"/>
  <c r="AM915" i="20"/>
  <c r="AL915" i="20"/>
  <c r="AK915" i="20"/>
  <c r="AJ915" i="20"/>
  <c r="AI915" i="20"/>
  <c r="AH915" i="20"/>
  <c r="AG915" i="20"/>
  <c r="AF915" i="20"/>
  <c r="AE915" i="20"/>
  <c r="AD915" i="20"/>
  <c r="AC915" i="20"/>
  <c r="AB915" i="20"/>
  <c r="AA915" i="20"/>
  <c r="Z915" i="20"/>
  <c r="AO914" i="20"/>
  <c r="AN914" i="20"/>
  <c r="AM914" i="20"/>
  <c r="AL914" i="20"/>
  <c r="AK914" i="20"/>
  <c r="AJ914" i="20"/>
  <c r="AI914" i="20"/>
  <c r="AH914" i="20"/>
  <c r="AG914" i="20"/>
  <c r="AF914" i="20"/>
  <c r="AE914" i="20"/>
  <c r="AD914" i="20"/>
  <c r="AC914" i="20"/>
  <c r="AB914" i="20"/>
  <c r="AA914" i="20"/>
  <c r="Z914" i="20"/>
  <c r="AO913" i="20"/>
  <c r="AN913" i="20"/>
  <c r="AM913" i="20"/>
  <c r="AL913" i="20"/>
  <c r="AK913" i="20"/>
  <c r="AJ913" i="20"/>
  <c r="AI913" i="20"/>
  <c r="AH913" i="20"/>
  <c r="AG913" i="20"/>
  <c r="AF913" i="20"/>
  <c r="AE913" i="20"/>
  <c r="AD913" i="20"/>
  <c r="AC913" i="20"/>
  <c r="AB913" i="20"/>
  <c r="AA913" i="20"/>
  <c r="Z913" i="20"/>
  <c r="AO912" i="20"/>
  <c r="AN912" i="20"/>
  <c r="AM912" i="20"/>
  <c r="AL912" i="20"/>
  <c r="AK912" i="20"/>
  <c r="AJ912" i="20"/>
  <c r="AI912" i="20"/>
  <c r="AH912" i="20"/>
  <c r="AG912" i="20"/>
  <c r="AF912" i="20"/>
  <c r="AE912" i="20"/>
  <c r="AD912" i="20"/>
  <c r="AC912" i="20"/>
  <c r="AB912" i="20"/>
  <c r="AA912" i="20"/>
  <c r="Z912" i="20"/>
  <c r="AO911" i="20"/>
  <c r="AN911" i="20"/>
  <c r="AM911" i="20"/>
  <c r="AL911" i="20"/>
  <c r="AK911" i="20"/>
  <c r="AJ911" i="20"/>
  <c r="AI911" i="20"/>
  <c r="AH911" i="20"/>
  <c r="AG911" i="20"/>
  <c r="AF911" i="20"/>
  <c r="AE911" i="20"/>
  <c r="AD911" i="20"/>
  <c r="AC911" i="20"/>
  <c r="AB911" i="20"/>
  <c r="AA911" i="20"/>
  <c r="Z911" i="20"/>
  <c r="AO910" i="20"/>
  <c r="AN910" i="20"/>
  <c r="AM910" i="20"/>
  <c r="AL910" i="20"/>
  <c r="AK910" i="20"/>
  <c r="AJ910" i="20"/>
  <c r="AI910" i="20"/>
  <c r="AH910" i="20"/>
  <c r="AG910" i="20"/>
  <c r="AF910" i="20"/>
  <c r="AE910" i="20"/>
  <c r="AD910" i="20"/>
  <c r="AC910" i="20"/>
  <c r="AB910" i="20"/>
  <c r="AA910" i="20"/>
  <c r="Z910" i="20"/>
  <c r="AO909" i="20"/>
  <c r="AN909" i="20"/>
  <c r="AM909" i="20"/>
  <c r="AL909" i="20"/>
  <c r="AK909" i="20"/>
  <c r="AJ909" i="20"/>
  <c r="AI909" i="20"/>
  <c r="AH909" i="20"/>
  <c r="AG909" i="20"/>
  <c r="AF909" i="20"/>
  <c r="AE909" i="20"/>
  <c r="AD909" i="20"/>
  <c r="AC909" i="20"/>
  <c r="AB909" i="20"/>
  <c r="AA909" i="20"/>
  <c r="Z909" i="20"/>
  <c r="AO908" i="20"/>
  <c r="AN908" i="20"/>
  <c r="AM908" i="20"/>
  <c r="AL908" i="20"/>
  <c r="AK908" i="20"/>
  <c r="AJ908" i="20"/>
  <c r="AI908" i="20"/>
  <c r="AH908" i="20"/>
  <c r="AG908" i="20"/>
  <c r="AF908" i="20"/>
  <c r="AE908" i="20"/>
  <c r="AD908" i="20"/>
  <c r="AC908" i="20"/>
  <c r="AB908" i="20"/>
  <c r="AA908" i="20"/>
  <c r="Z908" i="20"/>
  <c r="AO907" i="20"/>
  <c r="AN907" i="20"/>
  <c r="AM907" i="20"/>
  <c r="AL907" i="20"/>
  <c r="AK907" i="20"/>
  <c r="AJ907" i="20"/>
  <c r="AI907" i="20"/>
  <c r="AH907" i="20"/>
  <c r="AG907" i="20"/>
  <c r="AF907" i="20"/>
  <c r="AE907" i="20"/>
  <c r="AD907" i="20"/>
  <c r="AC907" i="20"/>
  <c r="AB907" i="20"/>
  <c r="AA907" i="20"/>
  <c r="Z907" i="20"/>
  <c r="AO906" i="20"/>
  <c r="AN906" i="20"/>
  <c r="AM906" i="20"/>
  <c r="AL906" i="20"/>
  <c r="AK906" i="20"/>
  <c r="AJ906" i="20"/>
  <c r="AI906" i="20"/>
  <c r="AH906" i="20"/>
  <c r="AG906" i="20"/>
  <c r="AF906" i="20"/>
  <c r="AE906" i="20"/>
  <c r="AD906" i="20"/>
  <c r="AC906" i="20"/>
  <c r="AB906" i="20"/>
  <c r="AA906" i="20"/>
  <c r="Z906" i="20"/>
  <c r="AO905" i="20"/>
  <c r="AN905" i="20"/>
  <c r="AM905" i="20"/>
  <c r="AL905" i="20"/>
  <c r="AK905" i="20"/>
  <c r="AJ905" i="20"/>
  <c r="AI905" i="20"/>
  <c r="AH905" i="20"/>
  <c r="AG905" i="20"/>
  <c r="AF905" i="20"/>
  <c r="AE905" i="20"/>
  <c r="AD905" i="20"/>
  <c r="AC905" i="20"/>
  <c r="AB905" i="20"/>
  <c r="AA905" i="20"/>
  <c r="Z905" i="20"/>
  <c r="AO904" i="20"/>
  <c r="AN904" i="20"/>
  <c r="AM904" i="20"/>
  <c r="AL904" i="20"/>
  <c r="AK904" i="20"/>
  <c r="AJ904" i="20"/>
  <c r="AI904" i="20"/>
  <c r="AH904" i="20"/>
  <c r="AG904" i="20"/>
  <c r="AF904" i="20"/>
  <c r="AE904" i="20"/>
  <c r="AD904" i="20"/>
  <c r="AC904" i="20"/>
  <c r="AB904" i="20"/>
  <c r="AA904" i="20"/>
  <c r="Z904" i="20"/>
  <c r="AO903" i="20"/>
  <c r="AN903" i="20"/>
  <c r="AM903" i="20"/>
  <c r="AL903" i="20"/>
  <c r="AK903" i="20"/>
  <c r="AJ903" i="20"/>
  <c r="AI903" i="20"/>
  <c r="AH903" i="20"/>
  <c r="AG903" i="20"/>
  <c r="AF903" i="20"/>
  <c r="AE903" i="20"/>
  <c r="AD903" i="20"/>
  <c r="AC903" i="20"/>
  <c r="AB903" i="20"/>
  <c r="AA903" i="20"/>
  <c r="Z903" i="20"/>
  <c r="AO902" i="20"/>
  <c r="AN902" i="20"/>
  <c r="AM902" i="20"/>
  <c r="AL902" i="20"/>
  <c r="AK902" i="20"/>
  <c r="AJ902" i="20"/>
  <c r="AI902" i="20"/>
  <c r="AH902" i="20"/>
  <c r="AG902" i="20"/>
  <c r="AF902" i="20"/>
  <c r="AE902" i="20"/>
  <c r="AD902" i="20"/>
  <c r="AC902" i="20"/>
  <c r="AB902" i="20"/>
  <c r="AA902" i="20"/>
  <c r="Z902" i="20"/>
  <c r="AO901" i="20"/>
  <c r="AN901" i="20"/>
  <c r="AM901" i="20"/>
  <c r="AL901" i="20"/>
  <c r="AK901" i="20"/>
  <c r="AJ901" i="20"/>
  <c r="AI901" i="20"/>
  <c r="AH901" i="20"/>
  <c r="AG901" i="20"/>
  <c r="AF901" i="20"/>
  <c r="AE901" i="20"/>
  <c r="AD901" i="20"/>
  <c r="AC901" i="20"/>
  <c r="AB901" i="20"/>
  <c r="AA901" i="20"/>
  <c r="Z901" i="20"/>
  <c r="AO900" i="20"/>
  <c r="AN900" i="20"/>
  <c r="AM900" i="20"/>
  <c r="AL900" i="20"/>
  <c r="AK900" i="20"/>
  <c r="AJ900" i="20"/>
  <c r="AI900" i="20"/>
  <c r="AH900" i="20"/>
  <c r="AG900" i="20"/>
  <c r="AF900" i="20"/>
  <c r="AE900" i="20"/>
  <c r="AD900" i="20"/>
  <c r="AC900" i="20"/>
  <c r="AB900" i="20"/>
  <c r="AA900" i="20"/>
  <c r="Z900" i="20"/>
  <c r="AO899" i="20"/>
  <c r="AN899" i="20"/>
  <c r="AM899" i="20"/>
  <c r="AL899" i="20"/>
  <c r="AK899" i="20"/>
  <c r="AJ899" i="20"/>
  <c r="AI899" i="20"/>
  <c r="AH899" i="20"/>
  <c r="AG899" i="20"/>
  <c r="AF899" i="20"/>
  <c r="AE899" i="20"/>
  <c r="AD899" i="20"/>
  <c r="AC899" i="20"/>
  <c r="AB899" i="20"/>
  <c r="AA899" i="20"/>
  <c r="Z899" i="20"/>
  <c r="AO898" i="20"/>
  <c r="AN898" i="20"/>
  <c r="AM898" i="20"/>
  <c r="AL898" i="20"/>
  <c r="AK898" i="20"/>
  <c r="AJ898" i="20"/>
  <c r="AI898" i="20"/>
  <c r="AH898" i="20"/>
  <c r="AG898" i="20"/>
  <c r="AF898" i="20"/>
  <c r="AE898" i="20"/>
  <c r="AD898" i="20"/>
  <c r="AC898" i="20"/>
  <c r="AB898" i="20"/>
  <c r="AA898" i="20"/>
  <c r="Z898" i="20"/>
  <c r="AO897" i="20"/>
  <c r="AN897" i="20"/>
  <c r="AM897" i="20"/>
  <c r="AL897" i="20"/>
  <c r="AK897" i="20"/>
  <c r="AJ897" i="20"/>
  <c r="AI897" i="20"/>
  <c r="AH897" i="20"/>
  <c r="AG897" i="20"/>
  <c r="AF897" i="20"/>
  <c r="AE897" i="20"/>
  <c r="AD897" i="20"/>
  <c r="AC897" i="20"/>
  <c r="AB897" i="20"/>
  <c r="AA897" i="20"/>
  <c r="Z897" i="20"/>
  <c r="AO896" i="20"/>
  <c r="AN896" i="20"/>
  <c r="AM896" i="20"/>
  <c r="AL896" i="20"/>
  <c r="AK896" i="20"/>
  <c r="AJ896" i="20"/>
  <c r="AI896" i="20"/>
  <c r="AH896" i="20"/>
  <c r="AG896" i="20"/>
  <c r="AF896" i="20"/>
  <c r="AE896" i="20"/>
  <c r="AD896" i="20"/>
  <c r="AC896" i="20"/>
  <c r="AB896" i="20"/>
  <c r="AA896" i="20"/>
  <c r="Z896" i="20"/>
  <c r="AO895" i="20"/>
  <c r="AN895" i="20"/>
  <c r="AM895" i="20"/>
  <c r="AL895" i="20"/>
  <c r="AK895" i="20"/>
  <c r="AJ895" i="20"/>
  <c r="AI895" i="20"/>
  <c r="AH895" i="20"/>
  <c r="AG895" i="20"/>
  <c r="AF895" i="20"/>
  <c r="AE895" i="20"/>
  <c r="AD895" i="20"/>
  <c r="AC895" i="20"/>
  <c r="AB895" i="20"/>
  <c r="AA895" i="20"/>
  <c r="Z895" i="20"/>
  <c r="AO894" i="20"/>
  <c r="AN894" i="20"/>
  <c r="AM894" i="20"/>
  <c r="AL894" i="20"/>
  <c r="AK894" i="20"/>
  <c r="AJ894" i="20"/>
  <c r="AI894" i="20"/>
  <c r="AH894" i="20"/>
  <c r="AG894" i="20"/>
  <c r="AF894" i="20"/>
  <c r="AE894" i="20"/>
  <c r="AD894" i="20"/>
  <c r="AC894" i="20"/>
  <c r="AB894" i="20"/>
  <c r="AA894" i="20"/>
  <c r="Z894" i="20"/>
  <c r="AO893" i="20"/>
  <c r="AN893" i="20"/>
  <c r="AM893" i="20"/>
  <c r="AL893" i="20"/>
  <c r="AK893" i="20"/>
  <c r="AJ893" i="20"/>
  <c r="AI893" i="20"/>
  <c r="AH893" i="20"/>
  <c r="AG893" i="20"/>
  <c r="AF893" i="20"/>
  <c r="AE893" i="20"/>
  <c r="AD893" i="20"/>
  <c r="AC893" i="20"/>
  <c r="AB893" i="20"/>
  <c r="AA893" i="20"/>
  <c r="Z893" i="20"/>
  <c r="AO892" i="20"/>
  <c r="AN892" i="20"/>
  <c r="AM892" i="20"/>
  <c r="AL892" i="20"/>
  <c r="AK892" i="20"/>
  <c r="AJ892" i="20"/>
  <c r="AI892" i="20"/>
  <c r="AH892" i="20"/>
  <c r="AG892" i="20"/>
  <c r="AF892" i="20"/>
  <c r="AE892" i="20"/>
  <c r="AD892" i="20"/>
  <c r="AC892" i="20"/>
  <c r="AB892" i="20"/>
  <c r="AA892" i="20"/>
  <c r="Z892" i="20"/>
  <c r="AO891" i="20"/>
  <c r="AN891" i="20"/>
  <c r="AM891" i="20"/>
  <c r="AL891" i="20"/>
  <c r="AK891" i="20"/>
  <c r="AJ891" i="20"/>
  <c r="AI891" i="20"/>
  <c r="AH891" i="20"/>
  <c r="AG891" i="20"/>
  <c r="AF891" i="20"/>
  <c r="AE891" i="20"/>
  <c r="AD891" i="20"/>
  <c r="AC891" i="20"/>
  <c r="AB891" i="20"/>
  <c r="AA891" i="20"/>
  <c r="Z891" i="20"/>
  <c r="AO890" i="20"/>
  <c r="AN890" i="20"/>
  <c r="AM890" i="20"/>
  <c r="AL890" i="20"/>
  <c r="AK890" i="20"/>
  <c r="AJ890" i="20"/>
  <c r="AI890" i="20"/>
  <c r="AH890" i="20"/>
  <c r="AG890" i="20"/>
  <c r="AF890" i="20"/>
  <c r="AE890" i="20"/>
  <c r="AD890" i="20"/>
  <c r="AC890" i="20"/>
  <c r="AB890" i="20"/>
  <c r="AA890" i="20"/>
  <c r="Z890" i="20"/>
  <c r="AO889" i="20"/>
  <c r="AN889" i="20"/>
  <c r="AM889" i="20"/>
  <c r="AL889" i="20"/>
  <c r="AK889" i="20"/>
  <c r="AJ889" i="20"/>
  <c r="AI889" i="20"/>
  <c r="AH889" i="20"/>
  <c r="AG889" i="20"/>
  <c r="AF889" i="20"/>
  <c r="AE889" i="20"/>
  <c r="AD889" i="20"/>
  <c r="AC889" i="20"/>
  <c r="AB889" i="20"/>
  <c r="AA889" i="20"/>
  <c r="Z889" i="20"/>
  <c r="AO888" i="20"/>
  <c r="AN888" i="20"/>
  <c r="AM888" i="20"/>
  <c r="AL888" i="20"/>
  <c r="AK888" i="20"/>
  <c r="AJ888" i="20"/>
  <c r="AI888" i="20"/>
  <c r="AH888" i="20"/>
  <c r="AG888" i="20"/>
  <c r="AF888" i="20"/>
  <c r="AE888" i="20"/>
  <c r="AD888" i="20"/>
  <c r="AC888" i="20"/>
  <c r="AB888" i="20"/>
  <c r="AA888" i="20"/>
  <c r="Z888" i="20"/>
  <c r="AO887" i="20"/>
  <c r="AN887" i="20"/>
  <c r="AM887" i="20"/>
  <c r="AL887" i="20"/>
  <c r="AK887" i="20"/>
  <c r="AJ887" i="20"/>
  <c r="AI887" i="20"/>
  <c r="AH887" i="20"/>
  <c r="AG887" i="20"/>
  <c r="AF887" i="20"/>
  <c r="AE887" i="20"/>
  <c r="AD887" i="20"/>
  <c r="AC887" i="20"/>
  <c r="AB887" i="20"/>
  <c r="AA887" i="20"/>
  <c r="Z887" i="20"/>
  <c r="AO886" i="20"/>
  <c r="AN886" i="20"/>
  <c r="AM886" i="20"/>
  <c r="AL886" i="20"/>
  <c r="AK886" i="20"/>
  <c r="AJ886" i="20"/>
  <c r="AI886" i="20"/>
  <c r="AH886" i="20"/>
  <c r="AG886" i="20"/>
  <c r="AF886" i="20"/>
  <c r="AE886" i="20"/>
  <c r="AD886" i="20"/>
  <c r="AC886" i="20"/>
  <c r="AB886" i="20"/>
  <c r="AA886" i="20"/>
  <c r="Z886" i="20"/>
  <c r="AO885" i="20"/>
  <c r="AN885" i="20"/>
  <c r="AM885" i="20"/>
  <c r="AL885" i="20"/>
  <c r="AK885" i="20"/>
  <c r="AJ885" i="20"/>
  <c r="AI885" i="20"/>
  <c r="AH885" i="20"/>
  <c r="AG885" i="20"/>
  <c r="AF885" i="20"/>
  <c r="AE885" i="20"/>
  <c r="AD885" i="20"/>
  <c r="AC885" i="20"/>
  <c r="AB885" i="20"/>
  <c r="AA885" i="20"/>
  <c r="Z885" i="20"/>
  <c r="AO884" i="20"/>
  <c r="AN884" i="20"/>
  <c r="AM884" i="20"/>
  <c r="AL884" i="20"/>
  <c r="AK884" i="20"/>
  <c r="AJ884" i="20"/>
  <c r="AI884" i="20"/>
  <c r="AH884" i="20"/>
  <c r="AG884" i="20"/>
  <c r="AF884" i="20"/>
  <c r="AE884" i="20"/>
  <c r="AD884" i="20"/>
  <c r="AC884" i="20"/>
  <c r="AB884" i="20"/>
  <c r="AA884" i="20"/>
  <c r="Z884" i="20"/>
  <c r="AO883" i="20"/>
  <c r="AN883" i="20"/>
  <c r="AM883" i="20"/>
  <c r="AL883" i="20"/>
  <c r="AK883" i="20"/>
  <c r="AJ883" i="20"/>
  <c r="AI883" i="20"/>
  <c r="AH883" i="20"/>
  <c r="AG883" i="20"/>
  <c r="AF883" i="20"/>
  <c r="AE883" i="20"/>
  <c r="AD883" i="20"/>
  <c r="AC883" i="20"/>
  <c r="AB883" i="20"/>
  <c r="AA883" i="20"/>
  <c r="Z883" i="20"/>
  <c r="AO882" i="20"/>
  <c r="AN882" i="20"/>
  <c r="AM882" i="20"/>
  <c r="AL882" i="20"/>
  <c r="AK882" i="20"/>
  <c r="AJ882" i="20"/>
  <c r="AI882" i="20"/>
  <c r="AH882" i="20"/>
  <c r="AG882" i="20"/>
  <c r="AF882" i="20"/>
  <c r="AE882" i="20"/>
  <c r="AD882" i="20"/>
  <c r="AC882" i="20"/>
  <c r="AB882" i="20"/>
  <c r="AA882" i="20"/>
  <c r="Z882" i="20"/>
  <c r="AO881" i="20"/>
  <c r="AN881" i="20"/>
  <c r="AM881" i="20"/>
  <c r="AL881" i="20"/>
  <c r="AK881" i="20"/>
  <c r="AJ881" i="20"/>
  <c r="AI881" i="20"/>
  <c r="AH881" i="20"/>
  <c r="AG881" i="20"/>
  <c r="AF881" i="20"/>
  <c r="AE881" i="20"/>
  <c r="AD881" i="20"/>
  <c r="AC881" i="20"/>
  <c r="AB881" i="20"/>
  <c r="AA881" i="20"/>
  <c r="Z881" i="20"/>
  <c r="AO880" i="20"/>
  <c r="AN880" i="20"/>
  <c r="AM880" i="20"/>
  <c r="AL880" i="20"/>
  <c r="AK880" i="20"/>
  <c r="AJ880" i="20"/>
  <c r="AI880" i="20"/>
  <c r="AH880" i="20"/>
  <c r="AG880" i="20"/>
  <c r="AF880" i="20"/>
  <c r="AE880" i="20"/>
  <c r="AD880" i="20"/>
  <c r="AC880" i="20"/>
  <c r="AB880" i="20"/>
  <c r="AA880" i="20"/>
  <c r="Z880" i="20"/>
  <c r="AO879" i="20"/>
  <c r="AN879" i="20"/>
  <c r="AM879" i="20"/>
  <c r="AL879" i="20"/>
  <c r="AK879" i="20"/>
  <c r="AJ879" i="20"/>
  <c r="AI879" i="20"/>
  <c r="AH879" i="20"/>
  <c r="AG879" i="20"/>
  <c r="AF879" i="20"/>
  <c r="AE879" i="20"/>
  <c r="AD879" i="20"/>
  <c r="AC879" i="20"/>
  <c r="AB879" i="20"/>
  <c r="AA879" i="20"/>
  <c r="Z879" i="20"/>
  <c r="AO878" i="20"/>
  <c r="AN878" i="20"/>
  <c r="AM878" i="20"/>
  <c r="AL878" i="20"/>
  <c r="AK878" i="20"/>
  <c r="AJ878" i="20"/>
  <c r="AI878" i="20"/>
  <c r="AH878" i="20"/>
  <c r="AG878" i="20"/>
  <c r="AF878" i="20"/>
  <c r="AE878" i="20"/>
  <c r="AD878" i="20"/>
  <c r="AC878" i="20"/>
  <c r="AB878" i="20"/>
  <c r="AA878" i="20"/>
  <c r="Z878" i="20"/>
  <c r="AO877" i="20"/>
  <c r="AN877" i="20"/>
  <c r="AM877" i="20"/>
  <c r="AL877" i="20"/>
  <c r="AK877" i="20"/>
  <c r="AJ877" i="20"/>
  <c r="AI877" i="20"/>
  <c r="AH877" i="20"/>
  <c r="AG877" i="20"/>
  <c r="AF877" i="20"/>
  <c r="AE877" i="20"/>
  <c r="AD877" i="20"/>
  <c r="AC877" i="20"/>
  <c r="AB877" i="20"/>
  <c r="AA877" i="20"/>
  <c r="Z877" i="20"/>
  <c r="AO876" i="20"/>
  <c r="AN876" i="20"/>
  <c r="AM876" i="20"/>
  <c r="AL876" i="20"/>
  <c r="AK876" i="20"/>
  <c r="AJ876" i="20"/>
  <c r="AI876" i="20"/>
  <c r="AH876" i="20"/>
  <c r="AG876" i="20"/>
  <c r="AF876" i="20"/>
  <c r="AE876" i="20"/>
  <c r="AD876" i="20"/>
  <c r="AC876" i="20"/>
  <c r="AB876" i="20"/>
  <c r="AA876" i="20"/>
  <c r="Z876" i="20"/>
  <c r="AO875" i="20"/>
  <c r="AN875" i="20"/>
  <c r="AM875" i="20"/>
  <c r="AL875" i="20"/>
  <c r="AK875" i="20"/>
  <c r="AJ875" i="20"/>
  <c r="AI875" i="20"/>
  <c r="AH875" i="20"/>
  <c r="AG875" i="20"/>
  <c r="AF875" i="20"/>
  <c r="AE875" i="20"/>
  <c r="AD875" i="20"/>
  <c r="AC875" i="20"/>
  <c r="AB875" i="20"/>
  <c r="AA875" i="20"/>
  <c r="Z875" i="20"/>
  <c r="AO874" i="20"/>
  <c r="AN874" i="20"/>
  <c r="AM874" i="20"/>
  <c r="AL874" i="20"/>
  <c r="AK874" i="20"/>
  <c r="AJ874" i="20"/>
  <c r="AI874" i="20"/>
  <c r="AH874" i="20"/>
  <c r="AG874" i="20"/>
  <c r="AF874" i="20"/>
  <c r="AE874" i="20"/>
  <c r="AD874" i="20"/>
  <c r="AC874" i="20"/>
  <c r="AB874" i="20"/>
  <c r="AA874" i="20"/>
  <c r="Z874" i="20"/>
  <c r="AO873" i="20"/>
  <c r="AN873" i="20"/>
  <c r="AM873" i="20"/>
  <c r="AL873" i="20"/>
  <c r="AK873" i="20"/>
  <c r="AJ873" i="20"/>
  <c r="AI873" i="20"/>
  <c r="AH873" i="20"/>
  <c r="AG873" i="20"/>
  <c r="AF873" i="20"/>
  <c r="AE873" i="20"/>
  <c r="AD873" i="20"/>
  <c r="AC873" i="20"/>
  <c r="AB873" i="20"/>
  <c r="AA873" i="20"/>
  <c r="Z873" i="20"/>
  <c r="AO872" i="20"/>
  <c r="AN872" i="20"/>
  <c r="AM872" i="20"/>
  <c r="AL872" i="20"/>
  <c r="AK872" i="20"/>
  <c r="AJ872" i="20"/>
  <c r="AI872" i="20"/>
  <c r="AH872" i="20"/>
  <c r="AG872" i="20"/>
  <c r="AF872" i="20"/>
  <c r="AE872" i="20"/>
  <c r="AD872" i="20"/>
  <c r="AC872" i="20"/>
  <c r="AB872" i="20"/>
  <c r="AA872" i="20"/>
  <c r="Z872" i="20"/>
  <c r="AO871" i="20"/>
  <c r="AN871" i="20"/>
  <c r="AM871" i="20"/>
  <c r="AL871" i="20"/>
  <c r="AK871" i="20"/>
  <c r="AJ871" i="20"/>
  <c r="AI871" i="20"/>
  <c r="AH871" i="20"/>
  <c r="AG871" i="20"/>
  <c r="AF871" i="20"/>
  <c r="AE871" i="20"/>
  <c r="AD871" i="20"/>
  <c r="AC871" i="20"/>
  <c r="AB871" i="20"/>
  <c r="AA871" i="20"/>
  <c r="Z871" i="20"/>
  <c r="AO870" i="20"/>
  <c r="AN870" i="20"/>
  <c r="AM870" i="20"/>
  <c r="AL870" i="20"/>
  <c r="AK870" i="20"/>
  <c r="AJ870" i="20"/>
  <c r="AI870" i="20"/>
  <c r="AH870" i="20"/>
  <c r="AG870" i="20"/>
  <c r="AF870" i="20"/>
  <c r="AE870" i="20"/>
  <c r="AD870" i="20"/>
  <c r="AC870" i="20"/>
  <c r="AB870" i="20"/>
  <c r="AA870" i="20"/>
  <c r="Z870" i="20"/>
  <c r="AO869" i="20"/>
  <c r="AN869" i="20"/>
  <c r="AM869" i="20"/>
  <c r="AL869" i="20"/>
  <c r="AK869" i="20"/>
  <c r="AJ869" i="20"/>
  <c r="AI869" i="20"/>
  <c r="AH869" i="20"/>
  <c r="AG869" i="20"/>
  <c r="AF869" i="20"/>
  <c r="AE869" i="20"/>
  <c r="AD869" i="20"/>
  <c r="AC869" i="20"/>
  <c r="AB869" i="20"/>
  <c r="AA869" i="20"/>
  <c r="Z869" i="20"/>
  <c r="AO868" i="20"/>
  <c r="AN868" i="20"/>
  <c r="AM868" i="20"/>
  <c r="AL868" i="20"/>
  <c r="AK868" i="20"/>
  <c r="AJ868" i="20"/>
  <c r="AI868" i="20"/>
  <c r="AH868" i="20"/>
  <c r="AG868" i="20"/>
  <c r="AF868" i="20"/>
  <c r="AE868" i="20"/>
  <c r="AD868" i="20"/>
  <c r="AC868" i="20"/>
  <c r="AB868" i="20"/>
  <c r="AA868" i="20"/>
  <c r="Z868" i="20"/>
  <c r="AO867" i="20"/>
  <c r="AN867" i="20"/>
  <c r="AM867" i="20"/>
  <c r="AL867" i="20"/>
  <c r="AK867" i="20"/>
  <c r="AJ867" i="20"/>
  <c r="AI867" i="20"/>
  <c r="AH867" i="20"/>
  <c r="AG867" i="20"/>
  <c r="AF867" i="20"/>
  <c r="AE867" i="20"/>
  <c r="AD867" i="20"/>
  <c r="AC867" i="20"/>
  <c r="AB867" i="20"/>
  <c r="AA867" i="20"/>
  <c r="Z867" i="20"/>
  <c r="AO866" i="20"/>
  <c r="AN866" i="20"/>
  <c r="AM866" i="20"/>
  <c r="AL866" i="20"/>
  <c r="AK866" i="20"/>
  <c r="AJ866" i="20"/>
  <c r="AI866" i="20"/>
  <c r="AH866" i="20"/>
  <c r="AG866" i="20"/>
  <c r="AF866" i="20"/>
  <c r="AE866" i="20"/>
  <c r="AD866" i="20"/>
  <c r="AC866" i="20"/>
  <c r="AB866" i="20"/>
  <c r="AA866" i="20"/>
  <c r="Z866" i="20"/>
  <c r="AO865" i="20"/>
  <c r="AN865" i="20"/>
  <c r="AM865" i="20"/>
  <c r="AL865" i="20"/>
  <c r="AK865" i="20"/>
  <c r="AJ865" i="20"/>
  <c r="AI865" i="20"/>
  <c r="AH865" i="20"/>
  <c r="AG865" i="20"/>
  <c r="AF865" i="20"/>
  <c r="AE865" i="20"/>
  <c r="AD865" i="20"/>
  <c r="AC865" i="20"/>
  <c r="AB865" i="20"/>
  <c r="AA865" i="20"/>
  <c r="Z865" i="20"/>
  <c r="AO864" i="20"/>
  <c r="AN864" i="20"/>
  <c r="AM864" i="20"/>
  <c r="AL864" i="20"/>
  <c r="AK864" i="20"/>
  <c r="AJ864" i="20"/>
  <c r="AI864" i="20"/>
  <c r="AH864" i="20"/>
  <c r="AG864" i="20"/>
  <c r="AF864" i="20"/>
  <c r="AE864" i="20"/>
  <c r="AD864" i="20"/>
  <c r="AC864" i="20"/>
  <c r="AB864" i="20"/>
  <c r="AA864" i="20"/>
  <c r="Z864" i="20"/>
  <c r="AO863" i="20"/>
  <c r="AN863" i="20"/>
  <c r="AM863" i="20"/>
  <c r="AL863" i="20"/>
  <c r="AK863" i="20"/>
  <c r="AJ863" i="20"/>
  <c r="AI863" i="20"/>
  <c r="AH863" i="20"/>
  <c r="AG863" i="20"/>
  <c r="AF863" i="20"/>
  <c r="AE863" i="20"/>
  <c r="AD863" i="20"/>
  <c r="AC863" i="20"/>
  <c r="AB863" i="20"/>
  <c r="AA863" i="20"/>
  <c r="Z863" i="20"/>
  <c r="AO862" i="20"/>
  <c r="AN862" i="20"/>
  <c r="AM862" i="20"/>
  <c r="AL862" i="20"/>
  <c r="AK862" i="20"/>
  <c r="AJ862" i="20"/>
  <c r="AI862" i="20"/>
  <c r="AH862" i="20"/>
  <c r="AG862" i="20"/>
  <c r="AF862" i="20"/>
  <c r="AE862" i="20"/>
  <c r="AD862" i="20"/>
  <c r="AC862" i="20"/>
  <c r="AB862" i="20"/>
  <c r="AA862" i="20"/>
  <c r="Z862" i="20"/>
  <c r="AO861" i="20"/>
  <c r="AN861" i="20"/>
  <c r="AM861" i="20"/>
  <c r="AL861" i="20"/>
  <c r="AK861" i="20"/>
  <c r="AJ861" i="20"/>
  <c r="AI861" i="20"/>
  <c r="AH861" i="20"/>
  <c r="AG861" i="20"/>
  <c r="AF861" i="20"/>
  <c r="AE861" i="20"/>
  <c r="AD861" i="20"/>
  <c r="AC861" i="20"/>
  <c r="AB861" i="20"/>
  <c r="AA861" i="20"/>
  <c r="Z861" i="20"/>
  <c r="AO860" i="20"/>
  <c r="AN860" i="20"/>
  <c r="AM860" i="20"/>
  <c r="AL860" i="20"/>
  <c r="AK860" i="20"/>
  <c r="AJ860" i="20"/>
  <c r="AI860" i="20"/>
  <c r="AH860" i="20"/>
  <c r="AG860" i="20"/>
  <c r="AF860" i="20"/>
  <c r="AE860" i="20"/>
  <c r="AD860" i="20"/>
  <c r="AC860" i="20"/>
  <c r="AB860" i="20"/>
  <c r="AA860" i="20"/>
  <c r="Z860" i="20"/>
  <c r="AO859" i="20"/>
  <c r="AN859" i="20"/>
  <c r="AM859" i="20"/>
  <c r="AL859" i="20"/>
  <c r="AK859" i="20"/>
  <c r="AJ859" i="20"/>
  <c r="AI859" i="20"/>
  <c r="AH859" i="20"/>
  <c r="AG859" i="20"/>
  <c r="AF859" i="20"/>
  <c r="AE859" i="20"/>
  <c r="AD859" i="20"/>
  <c r="AC859" i="20"/>
  <c r="AB859" i="20"/>
  <c r="AA859" i="20"/>
  <c r="Z859" i="20"/>
  <c r="AO858" i="20"/>
  <c r="AN858" i="20"/>
  <c r="AM858" i="20"/>
  <c r="AL858" i="20"/>
  <c r="AK858" i="20"/>
  <c r="AJ858" i="20"/>
  <c r="AI858" i="20"/>
  <c r="AH858" i="20"/>
  <c r="AG858" i="20"/>
  <c r="AF858" i="20"/>
  <c r="AE858" i="20"/>
  <c r="AD858" i="20"/>
  <c r="AC858" i="20"/>
  <c r="AB858" i="20"/>
  <c r="AA858" i="20"/>
  <c r="Z858" i="20"/>
  <c r="AO857" i="20"/>
  <c r="AN857" i="20"/>
  <c r="AM857" i="20"/>
  <c r="AL857" i="20"/>
  <c r="AK857" i="20"/>
  <c r="AJ857" i="20"/>
  <c r="AI857" i="20"/>
  <c r="AH857" i="20"/>
  <c r="AG857" i="20"/>
  <c r="AF857" i="20"/>
  <c r="AE857" i="20"/>
  <c r="AD857" i="20"/>
  <c r="AC857" i="20"/>
  <c r="AB857" i="20"/>
  <c r="AA857" i="20"/>
  <c r="Z857" i="20"/>
  <c r="AO856" i="20"/>
  <c r="AN856" i="20"/>
  <c r="AM856" i="20"/>
  <c r="AL856" i="20"/>
  <c r="AK856" i="20"/>
  <c r="AJ856" i="20"/>
  <c r="AI856" i="20"/>
  <c r="AH856" i="20"/>
  <c r="AG856" i="20"/>
  <c r="AF856" i="20"/>
  <c r="AE856" i="20"/>
  <c r="AD856" i="20"/>
  <c r="AC856" i="20"/>
  <c r="AB856" i="20"/>
  <c r="AA856" i="20"/>
  <c r="Z856" i="20"/>
  <c r="AO855" i="20"/>
  <c r="AN855" i="20"/>
  <c r="AM855" i="20"/>
  <c r="AL855" i="20"/>
  <c r="AK855" i="20"/>
  <c r="AJ855" i="20"/>
  <c r="AI855" i="20"/>
  <c r="AH855" i="20"/>
  <c r="AG855" i="20"/>
  <c r="AF855" i="20"/>
  <c r="AE855" i="20"/>
  <c r="AD855" i="20"/>
  <c r="AC855" i="20"/>
  <c r="AB855" i="20"/>
  <c r="AA855" i="20"/>
  <c r="Z855" i="20"/>
  <c r="AO854" i="20"/>
  <c r="AN854" i="20"/>
  <c r="AM854" i="20"/>
  <c r="AL854" i="20"/>
  <c r="AK854" i="20"/>
  <c r="AJ854" i="20"/>
  <c r="AI854" i="20"/>
  <c r="AH854" i="20"/>
  <c r="AG854" i="20"/>
  <c r="AF854" i="20"/>
  <c r="AE854" i="20"/>
  <c r="AD854" i="20"/>
  <c r="AC854" i="20"/>
  <c r="AB854" i="20"/>
  <c r="AA854" i="20"/>
  <c r="Z854" i="20"/>
  <c r="AO853" i="20"/>
  <c r="AN853" i="20"/>
  <c r="AM853" i="20"/>
  <c r="AL853" i="20"/>
  <c r="AK853" i="20"/>
  <c r="AJ853" i="20"/>
  <c r="AI853" i="20"/>
  <c r="AH853" i="20"/>
  <c r="AG853" i="20"/>
  <c r="AF853" i="20"/>
  <c r="AE853" i="20"/>
  <c r="AD853" i="20"/>
  <c r="AC853" i="20"/>
  <c r="AB853" i="20"/>
  <c r="AA853" i="20"/>
  <c r="Z853" i="20"/>
  <c r="AO852" i="20"/>
  <c r="AN852" i="20"/>
  <c r="AM852" i="20"/>
  <c r="AL852" i="20"/>
  <c r="AK852" i="20"/>
  <c r="AJ852" i="20"/>
  <c r="AI852" i="20"/>
  <c r="AH852" i="20"/>
  <c r="AG852" i="20"/>
  <c r="AF852" i="20"/>
  <c r="AE852" i="20"/>
  <c r="AD852" i="20"/>
  <c r="AC852" i="20"/>
  <c r="AB852" i="20"/>
  <c r="AA852" i="20"/>
  <c r="Z852" i="20"/>
  <c r="AO851" i="20"/>
  <c r="AN851" i="20"/>
  <c r="AM851" i="20"/>
  <c r="AL851" i="20"/>
  <c r="AK851" i="20"/>
  <c r="AJ851" i="20"/>
  <c r="AI851" i="20"/>
  <c r="AH851" i="20"/>
  <c r="AG851" i="20"/>
  <c r="AF851" i="20"/>
  <c r="AE851" i="20"/>
  <c r="AD851" i="20"/>
  <c r="AC851" i="20"/>
  <c r="AB851" i="20"/>
  <c r="AA851" i="20"/>
  <c r="Z851" i="20"/>
  <c r="AO850" i="20"/>
  <c r="AN850" i="20"/>
  <c r="AM850" i="20"/>
  <c r="AL850" i="20"/>
  <c r="AK850" i="20"/>
  <c r="AJ850" i="20"/>
  <c r="AI850" i="20"/>
  <c r="AH850" i="20"/>
  <c r="AG850" i="20"/>
  <c r="AF850" i="20"/>
  <c r="AE850" i="20"/>
  <c r="AD850" i="20"/>
  <c r="AC850" i="20"/>
  <c r="AB850" i="20"/>
  <c r="AA850" i="20"/>
  <c r="Z850" i="20"/>
  <c r="AO849" i="20"/>
  <c r="AN849" i="20"/>
  <c r="AM849" i="20"/>
  <c r="AL849" i="20"/>
  <c r="AK849" i="20"/>
  <c r="AJ849" i="20"/>
  <c r="AI849" i="20"/>
  <c r="AH849" i="20"/>
  <c r="AG849" i="20"/>
  <c r="AF849" i="20"/>
  <c r="AE849" i="20"/>
  <c r="AD849" i="20"/>
  <c r="AC849" i="20"/>
  <c r="AB849" i="20"/>
  <c r="AA849" i="20"/>
  <c r="Z849" i="20"/>
  <c r="AO848" i="20"/>
  <c r="AN848" i="20"/>
  <c r="AM848" i="20"/>
  <c r="AL848" i="20"/>
  <c r="AK848" i="20"/>
  <c r="AJ848" i="20"/>
  <c r="AI848" i="20"/>
  <c r="AH848" i="20"/>
  <c r="AG848" i="20"/>
  <c r="AF848" i="20"/>
  <c r="AE848" i="20"/>
  <c r="AD848" i="20"/>
  <c r="AC848" i="20"/>
  <c r="AB848" i="20"/>
  <c r="AA848" i="20"/>
  <c r="Z848" i="20"/>
  <c r="AO847" i="20"/>
  <c r="AN847" i="20"/>
  <c r="AM847" i="20"/>
  <c r="AL847" i="20"/>
  <c r="AK847" i="20"/>
  <c r="AJ847" i="20"/>
  <c r="AI847" i="20"/>
  <c r="AH847" i="20"/>
  <c r="AG847" i="20"/>
  <c r="AF847" i="20"/>
  <c r="AE847" i="20"/>
  <c r="AD847" i="20"/>
  <c r="AC847" i="20"/>
  <c r="AB847" i="20"/>
  <c r="AA847" i="20"/>
  <c r="Z847" i="20"/>
  <c r="AO846" i="20"/>
  <c r="AN846" i="20"/>
  <c r="AM846" i="20"/>
  <c r="AL846" i="20"/>
  <c r="AK846" i="20"/>
  <c r="AJ846" i="20"/>
  <c r="AI846" i="20"/>
  <c r="AH846" i="20"/>
  <c r="AG846" i="20"/>
  <c r="AF846" i="20"/>
  <c r="AE846" i="20"/>
  <c r="AD846" i="20"/>
  <c r="AC846" i="20"/>
  <c r="AB846" i="20"/>
  <c r="AA846" i="20"/>
  <c r="Z846" i="20"/>
  <c r="AO845" i="20"/>
  <c r="AN845" i="20"/>
  <c r="AM845" i="20"/>
  <c r="AL845" i="20"/>
  <c r="AK845" i="20"/>
  <c r="AJ845" i="20"/>
  <c r="AI845" i="20"/>
  <c r="AH845" i="20"/>
  <c r="AG845" i="20"/>
  <c r="AF845" i="20"/>
  <c r="AE845" i="20"/>
  <c r="AD845" i="20"/>
  <c r="AC845" i="20"/>
  <c r="AB845" i="20"/>
  <c r="AA845" i="20"/>
  <c r="Z845" i="20"/>
  <c r="AO844" i="20"/>
  <c r="AN844" i="20"/>
  <c r="AM844" i="20"/>
  <c r="AL844" i="20"/>
  <c r="AK844" i="20"/>
  <c r="AJ844" i="20"/>
  <c r="AI844" i="20"/>
  <c r="AH844" i="20"/>
  <c r="AG844" i="20"/>
  <c r="AF844" i="20"/>
  <c r="AE844" i="20"/>
  <c r="AD844" i="20"/>
  <c r="AC844" i="20"/>
  <c r="AB844" i="20"/>
  <c r="AA844" i="20"/>
  <c r="Z844" i="20"/>
  <c r="AO843" i="20"/>
  <c r="AN843" i="20"/>
  <c r="AM843" i="20"/>
  <c r="AL843" i="20"/>
  <c r="AK843" i="20"/>
  <c r="AJ843" i="20"/>
  <c r="AI843" i="20"/>
  <c r="AH843" i="20"/>
  <c r="AG843" i="20"/>
  <c r="AF843" i="20"/>
  <c r="AE843" i="20"/>
  <c r="AD843" i="20"/>
  <c r="AC843" i="20"/>
  <c r="AB843" i="20"/>
  <c r="AA843" i="20"/>
  <c r="Z843" i="20"/>
  <c r="AO842" i="20"/>
  <c r="AN842" i="20"/>
  <c r="AM842" i="20"/>
  <c r="AL842" i="20"/>
  <c r="AK842" i="20"/>
  <c r="AJ842" i="20"/>
  <c r="AI842" i="20"/>
  <c r="AH842" i="20"/>
  <c r="AG842" i="20"/>
  <c r="AF842" i="20"/>
  <c r="AE842" i="20"/>
  <c r="AD842" i="20"/>
  <c r="AC842" i="20"/>
  <c r="AB842" i="20"/>
  <c r="AA842" i="20"/>
  <c r="Z842" i="20"/>
  <c r="AO841" i="20"/>
  <c r="AN841" i="20"/>
  <c r="AM841" i="20"/>
  <c r="AL841" i="20"/>
  <c r="AK841" i="20"/>
  <c r="AJ841" i="20"/>
  <c r="AI841" i="20"/>
  <c r="AH841" i="20"/>
  <c r="AG841" i="20"/>
  <c r="AF841" i="20"/>
  <c r="AE841" i="20"/>
  <c r="AD841" i="20"/>
  <c r="AC841" i="20"/>
  <c r="AB841" i="20"/>
  <c r="AA841" i="20"/>
  <c r="Z841" i="20"/>
  <c r="AO840" i="20"/>
  <c r="AN840" i="20"/>
  <c r="AM840" i="20"/>
  <c r="AL840" i="20"/>
  <c r="AK840" i="20"/>
  <c r="AJ840" i="20"/>
  <c r="AI840" i="20"/>
  <c r="AH840" i="20"/>
  <c r="AG840" i="20"/>
  <c r="AF840" i="20"/>
  <c r="AE840" i="20"/>
  <c r="AD840" i="20"/>
  <c r="AC840" i="20"/>
  <c r="AB840" i="20"/>
  <c r="AA840" i="20"/>
  <c r="Z840" i="20"/>
  <c r="AO839" i="20"/>
  <c r="AN839" i="20"/>
  <c r="AM839" i="20"/>
  <c r="AL839" i="20"/>
  <c r="AK839" i="20"/>
  <c r="AJ839" i="20"/>
  <c r="AI839" i="20"/>
  <c r="AH839" i="20"/>
  <c r="AG839" i="20"/>
  <c r="AF839" i="20"/>
  <c r="AE839" i="20"/>
  <c r="AD839" i="20"/>
  <c r="AC839" i="20"/>
  <c r="AB839" i="20"/>
  <c r="AA839" i="20"/>
  <c r="Z839" i="20"/>
  <c r="AO838" i="20"/>
  <c r="AN838" i="20"/>
  <c r="AM838" i="20"/>
  <c r="AL838" i="20"/>
  <c r="AK838" i="20"/>
  <c r="AJ838" i="20"/>
  <c r="AI838" i="20"/>
  <c r="AH838" i="20"/>
  <c r="AG838" i="20"/>
  <c r="AF838" i="20"/>
  <c r="AE838" i="20"/>
  <c r="AD838" i="20"/>
  <c r="AC838" i="20"/>
  <c r="AB838" i="20"/>
  <c r="AA838" i="20"/>
  <c r="Z838" i="20"/>
  <c r="AO837" i="20"/>
  <c r="AN837" i="20"/>
  <c r="AM837" i="20"/>
  <c r="AL837" i="20"/>
  <c r="AK837" i="20"/>
  <c r="AJ837" i="20"/>
  <c r="AI837" i="20"/>
  <c r="AH837" i="20"/>
  <c r="AG837" i="20"/>
  <c r="AF837" i="20"/>
  <c r="AE837" i="20"/>
  <c r="AD837" i="20"/>
  <c r="AC837" i="20"/>
  <c r="AB837" i="20"/>
  <c r="AA837" i="20"/>
  <c r="Z837" i="20"/>
  <c r="AO836" i="20"/>
  <c r="AN836" i="20"/>
  <c r="AM836" i="20"/>
  <c r="AL836" i="20"/>
  <c r="AK836" i="20"/>
  <c r="AJ836" i="20"/>
  <c r="AI836" i="20"/>
  <c r="AH836" i="20"/>
  <c r="AG836" i="20"/>
  <c r="AF836" i="20"/>
  <c r="AE836" i="20"/>
  <c r="AD836" i="20"/>
  <c r="AC836" i="20"/>
  <c r="AB836" i="20"/>
  <c r="AA836" i="20"/>
  <c r="Z836" i="20"/>
  <c r="AO835" i="20"/>
  <c r="AN835" i="20"/>
  <c r="AM835" i="20"/>
  <c r="AL835" i="20"/>
  <c r="AK835" i="20"/>
  <c r="AJ835" i="20"/>
  <c r="AI835" i="20"/>
  <c r="AH835" i="20"/>
  <c r="AG835" i="20"/>
  <c r="AF835" i="20"/>
  <c r="AE835" i="20"/>
  <c r="AD835" i="20"/>
  <c r="AC835" i="20"/>
  <c r="AB835" i="20"/>
  <c r="AA835" i="20"/>
  <c r="Z835" i="20"/>
  <c r="AO834" i="20"/>
  <c r="AN834" i="20"/>
  <c r="AM834" i="20"/>
  <c r="AL834" i="20"/>
  <c r="AK834" i="20"/>
  <c r="AJ834" i="20"/>
  <c r="AI834" i="20"/>
  <c r="AH834" i="20"/>
  <c r="AG834" i="20"/>
  <c r="AF834" i="20"/>
  <c r="AE834" i="20"/>
  <c r="AD834" i="20"/>
  <c r="AC834" i="20"/>
  <c r="AB834" i="20"/>
  <c r="AA834" i="20"/>
  <c r="Z834" i="20"/>
  <c r="AO833" i="20"/>
  <c r="AN833" i="20"/>
  <c r="AM833" i="20"/>
  <c r="AL833" i="20"/>
  <c r="AK833" i="20"/>
  <c r="AJ833" i="20"/>
  <c r="AI833" i="20"/>
  <c r="AH833" i="20"/>
  <c r="AG833" i="20"/>
  <c r="AF833" i="20"/>
  <c r="AE833" i="20"/>
  <c r="AD833" i="20"/>
  <c r="AC833" i="20"/>
  <c r="AB833" i="20"/>
  <c r="AA833" i="20"/>
  <c r="Z833" i="20"/>
  <c r="AO832" i="20"/>
  <c r="AN832" i="20"/>
  <c r="AM832" i="20"/>
  <c r="AL832" i="20"/>
  <c r="AK832" i="20"/>
  <c r="AJ832" i="20"/>
  <c r="AI832" i="20"/>
  <c r="AH832" i="20"/>
  <c r="AG832" i="20"/>
  <c r="AF832" i="20"/>
  <c r="AE832" i="20"/>
  <c r="AD832" i="20"/>
  <c r="AC832" i="20"/>
  <c r="AB832" i="20"/>
  <c r="AA832" i="20"/>
  <c r="Z832" i="20"/>
  <c r="AO831" i="20"/>
  <c r="AN831" i="20"/>
  <c r="AM831" i="20"/>
  <c r="AL831" i="20"/>
  <c r="AK831" i="20"/>
  <c r="AJ831" i="20"/>
  <c r="AI831" i="20"/>
  <c r="AH831" i="20"/>
  <c r="AG831" i="20"/>
  <c r="AF831" i="20"/>
  <c r="AE831" i="20"/>
  <c r="AD831" i="20"/>
  <c r="AC831" i="20"/>
  <c r="AB831" i="20"/>
  <c r="AA831" i="20"/>
  <c r="Z831" i="20"/>
  <c r="AO830" i="20"/>
  <c r="AN830" i="20"/>
  <c r="AM830" i="20"/>
  <c r="AL830" i="20"/>
  <c r="AK830" i="20"/>
  <c r="AJ830" i="20"/>
  <c r="AI830" i="20"/>
  <c r="AH830" i="20"/>
  <c r="AG830" i="20"/>
  <c r="AF830" i="20"/>
  <c r="AE830" i="20"/>
  <c r="AD830" i="20"/>
  <c r="AC830" i="20"/>
  <c r="AB830" i="20"/>
  <c r="AA830" i="20"/>
  <c r="Z830" i="20"/>
  <c r="AO829" i="20"/>
  <c r="AN829" i="20"/>
  <c r="AM829" i="20"/>
  <c r="AL829" i="20"/>
  <c r="AK829" i="20"/>
  <c r="AJ829" i="20"/>
  <c r="AI829" i="20"/>
  <c r="AH829" i="20"/>
  <c r="AG829" i="20"/>
  <c r="AF829" i="20"/>
  <c r="AE829" i="20"/>
  <c r="AD829" i="20"/>
  <c r="AC829" i="20"/>
  <c r="AB829" i="20"/>
  <c r="AA829" i="20"/>
  <c r="Z829" i="20"/>
  <c r="AO828" i="20"/>
  <c r="AN828" i="20"/>
  <c r="AM828" i="20"/>
  <c r="AL828" i="20"/>
  <c r="AK828" i="20"/>
  <c r="AJ828" i="20"/>
  <c r="AI828" i="20"/>
  <c r="AH828" i="20"/>
  <c r="AG828" i="20"/>
  <c r="AF828" i="20"/>
  <c r="AE828" i="20"/>
  <c r="AD828" i="20"/>
  <c r="AC828" i="20"/>
  <c r="AB828" i="20"/>
  <c r="AA828" i="20"/>
  <c r="Z828" i="20"/>
  <c r="AO827" i="20"/>
  <c r="AN827" i="20"/>
  <c r="AM827" i="20"/>
  <c r="AL827" i="20"/>
  <c r="AK827" i="20"/>
  <c r="AJ827" i="20"/>
  <c r="AI827" i="20"/>
  <c r="AH827" i="20"/>
  <c r="AG827" i="20"/>
  <c r="AF827" i="20"/>
  <c r="AE827" i="20"/>
  <c r="AD827" i="20"/>
  <c r="AC827" i="20"/>
  <c r="AB827" i="20"/>
  <c r="AA827" i="20"/>
  <c r="Z827" i="20"/>
  <c r="AO826" i="20"/>
  <c r="AN826" i="20"/>
  <c r="AM826" i="20"/>
  <c r="AL826" i="20"/>
  <c r="AK826" i="20"/>
  <c r="AJ826" i="20"/>
  <c r="AI826" i="20"/>
  <c r="AH826" i="20"/>
  <c r="AG826" i="20"/>
  <c r="AF826" i="20"/>
  <c r="AE826" i="20"/>
  <c r="AD826" i="20"/>
  <c r="AC826" i="20"/>
  <c r="AB826" i="20"/>
  <c r="AA826" i="20"/>
  <c r="Z826" i="20"/>
  <c r="AO825" i="20"/>
  <c r="AN825" i="20"/>
  <c r="AM825" i="20"/>
  <c r="AL825" i="20"/>
  <c r="AK825" i="20"/>
  <c r="AJ825" i="20"/>
  <c r="AI825" i="20"/>
  <c r="AH825" i="20"/>
  <c r="AG825" i="20"/>
  <c r="AF825" i="20"/>
  <c r="AE825" i="20"/>
  <c r="AD825" i="20"/>
  <c r="AC825" i="20"/>
  <c r="AB825" i="20"/>
  <c r="AA825" i="20"/>
  <c r="Z825" i="20"/>
  <c r="AO824" i="20"/>
  <c r="AN824" i="20"/>
  <c r="AM824" i="20"/>
  <c r="AL824" i="20"/>
  <c r="AK824" i="20"/>
  <c r="AJ824" i="20"/>
  <c r="AI824" i="20"/>
  <c r="AH824" i="20"/>
  <c r="AG824" i="20"/>
  <c r="AF824" i="20"/>
  <c r="AE824" i="20"/>
  <c r="AD824" i="20"/>
  <c r="AC824" i="20"/>
  <c r="AB824" i="20"/>
  <c r="AA824" i="20"/>
  <c r="Z824" i="20"/>
  <c r="AO823" i="20"/>
  <c r="AN823" i="20"/>
  <c r="AM823" i="20"/>
  <c r="AL823" i="20"/>
  <c r="AK823" i="20"/>
  <c r="AJ823" i="20"/>
  <c r="AI823" i="20"/>
  <c r="AH823" i="20"/>
  <c r="AG823" i="20"/>
  <c r="AF823" i="20"/>
  <c r="AE823" i="20"/>
  <c r="AD823" i="20"/>
  <c r="AC823" i="20"/>
  <c r="AB823" i="20"/>
  <c r="AA823" i="20"/>
  <c r="Z823" i="20"/>
  <c r="AO822" i="20"/>
  <c r="AN822" i="20"/>
  <c r="AM822" i="20"/>
  <c r="AL822" i="20"/>
  <c r="AK822" i="20"/>
  <c r="AJ822" i="20"/>
  <c r="AI822" i="20"/>
  <c r="AH822" i="20"/>
  <c r="AG822" i="20"/>
  <c r="AF822" i="20"/>
  <c r="AE822" i="20"/>
  <c r="AD822" i="20"/>
  <c r="AC822" i="20"/>
  <c r="AB822" i="20"/>
  <c r="AA822" i="20"/>
  <c r="Z822" i="20"/>
  <c r="AO821" i="20"/>
  <c r="AN821" i="20"/>
  <c r="AM821" i="20"/>
  <c r="AL821" i="20"/>
  <c r="AK821" i="20"/>
  <c r="AJ821" i="20"/>
  <c r="AI821" i="20"/>
  <c r="AH821" i="20"/>
  <c r="AG821" i="20"/>
  <c r="AF821" i="20"/>
  <c r="AE821" i="20"/>
  <c r="AD821" i="20"/>
  <c r="AC821" i="20"/>
  <c r="AB821" i="20"/>
  <c r="AA821" i="20"/>
  <c r="Z821" i="20"/>
  <c r="AO820" i="20"/>
  <c r="AN820" i="20"/>
  <c r="AM820" i="20"/>
  <c r="AL820" i="20"/>
  <c r="AK820" i="20"/>
  <c r="AJ820" i="20"/>
  <c r="AI820" i="20"/>
  <c r="AH820" i="20"/>
  <c r="AG820" i="20"/>
  <c r="AF820" i="20"/>
  <c r="AE820" i="20"/>
  <c r="AD820" i="20"/>
  <c r="AC820" i="20"/>
  <c r="AB820" i="20"/>
  <c r="AA820" i="20"/>
  <c r="Z820" i="20"/>
  <c r="AO819" i="20"/>
  <c r="AN819" i="20"/>
  <c r="AM819" i="20"/>
  <c r="AL819" i="20"/>
  <c r="AK819" i="20"/>
  <c r="AJ819" i="20"/>
  <c r="AI819" i="20"/>
  <c r="AH819" i="20"/>
  <c r="AG819" i="20"/>
  <c r="AF819" i="20"/>
  <c r="AE819" i="20"/>
  <c r="AD819" i="20"/>
  <c r="AC819" i="20"/>
  <c r="AB819" i="20"/>
  <c r="AA819" i="20"/>
  <c r="Z819" i="20"/>
  <c r="AO818" i="20"/>
  <c r="AN818" i="20"/>
  <c r="AM818" i="20"/>
  <c r="AL818" i="20"/>
  <c r="AK818" i="20"/>
  <c r="AJ818" i="20"/>
  <c r="AI818" i="20"/>
  <c r="AH818" i="20"/>
  <c r="AG818" i="20"/>
  <c r="AF818" i="20"/>
  <c r="AE818" i="20"/>
  <c r="AD818" i="20"/>
  <c r="AC818" i="20"/>
  <c r="AB818" i="20"/>
  <c r="AA818" i="20"/>
  <c r="Z818" i="20"/>
  <c r="AO817" i="20"/>
  <c r="AN817" i="20"/>
  <c r="AM817" i="20"/>
  <c r="AL817" i="20"/>
  <c r="AK817" i="20"/>
  <c r="AJ817" i="20"/>
  <c r="AI817" i="20"/>
  <c r="AH817" i="20"/>
  <c r="AG817" i="20"/>
  <c r="AF817" i="20"/>
  <c r="AE817" i="20"/>
  <c r="AD817" i="20"/>
  <c r="AC817" i="20"/>
  <c r="AB817" i="20"/>
  <c r="AA817" i="20"/>
  <c r="Z817" i="20"/>
  <c r="AO816" i="20"/>
  <c r="AN816" i="20"/>
  <c r="AM816" i="20"/>
  <c r="AL816" i="20"/>
  <c r="AK816" i="20"/>
  <c r="AJ816" i="20"/>
  <c r="AI816" i="20"/>
  <c r="AH816" i="20"/>
  <c r="AG816" i="20"/>
  <c r="AF816" i="20"/>
  <c r="AE816" i="20"/>
  <c r="AD816" i="20"/>
  <c r="AC816" i="20"/>
  <c r="AB816" i="20"/>
  <c r="AA816" i="20"/>
  <c r="Z816" i="20"/>
  <c r="AO815" i="20"/>
  <c r="AN815" i="20"/>
  <c r="AM815" i="20"/>
  <c r="AL815" i="20"/>
  <c r="AK815" i="20"/>
  <c r="AJ815" i="20"/>
  <c r="AI815" i="20"/>
  <c r="AH815" i="20"/>
  <c r="AG815" i="20"/>
  <c r="AF815" i="20"/>
  <c r="AE815" i="20"/>
  <c r="AD815" i="20"/>
  <c r="AC815" i="20"/>
  <c r="AB815" i="20"/>
  <c r="AA815" i="20"/>
  <c r="Z815" i="20"/>
  <c r="AO814" i="20"/>
  <c r="AN814" i="20"/>
  <c r="AM814" i="20"/>
  <c r="AL814" i="20"/>
  <c r="AK814" i="20"/>
  <c r="AJ814" i="20"/>
  <c r="AI814" i="20"/>
  <c r="AH814" i="20"/>
  <c r="AG814" i="20"/>
  <c r="AF814" i="20"/>
  <c r="AE814" i="20"/>
  <c r="AD814" i="20"/>
  <c r="AC814" i="20"/>
  <c r="AB814" i="20"/>
  <c r="AA814" i="20"/>
  <c r="Z814" i="20"/>
  <c r="AO813" i="20"/>
  <c r="AN813" i="20"/>
  <c r="AM813" i="20"/>
  <c r="AL813" i="20"/>
  <c r="AK813" i="20"/>
  <c r="AJ813" i="20"/>
  <c r="AI813" i="20"/>
  <c r="AH813" i="20"/>
  <c r="AG813" i="20"/>
  <c r="AF813" i="20"/>
  <c r="AE813" i="20"/>
  <c r="AD813" i="20"/>
  <c r="AC813" i="20"/>
  <c r="AB813" i="20"/>
  <c r="AA813" i="20"/>
  <c r="Z813" i="20"/>
  <c r="AO812" i="20"/>
  <c r="AN812" i="20"/>
  <c r="AM812" i="20"/>
  <c r="AL812" i="20"/>
  <c r="AK812" i="20"/>
  <c r="AJ812" i="20"/>
  <c r="AI812" i="20"/>
  <c r="AH812" i="20"/>
  <c r="AG812" i="20"/>
  <c r="AF812" i="20"/>
  <c r="AE812" i="20"/>
  <c r="AD812" i="20"/>
  <c r="AC812" i="20"/>
  <c r="AB812" i="20"/>
  <c r="AA812" i="20"/>
  <c r="Z812" i="20"/>
  <c r="AO811" i="20"/>
  <c r="AN811" i="20"/>
  <c r="AM811" i="20"/>
  <c r="AL811" i="20"/>
  <c r="AK811" i="20"/>
  <c r="AJ811" i="20"/>
  <c r="AI811" i="20"/>
  <c r="AH811" i="20"/>
  <c r="AG811" i="20"/>
  <c r="AF811" i="20"/>
  <c r="AE811" i="20"/>
  <c r="AD811" i="20"/>
  <c r="AC811" i="20"/>
  <c r="AB811" i="20"/>
  <c r="AA811" i="20"/>
  <c r="Z811" i="20"/>
  <c r="AO810" i="20"/>
  <c r="AN810" i="20"/>
  <c r="AM810" i="20"/>
  <c r="AL810" i="20"/>
  <c r="AK810" i="20"/>
  <c r="AJ810" i="20"/>
  <c r="AI810" i="20"/>
  <c r="AH810" i="20"/>
  <c r="AG810" i="20"/>
  <c r="AF810" i="20"/>
  <c r="AE810" i="20"/>
  <c r="AD810" i="20"/>
  <c r="AC810" i="20"/>
  <c r="AB810" i="20"/>
  <c r="AA810" i="20"/>
  <c r="Z810" i="20"/>
  <c r="AO809" i="20"/>
  <c r="AN809" i="20"/>
  <c r="AM809" i="20"/>
  <c r="AL809" i="20"/>
  <c r="AK809" i="20"/>
  <c r="AJ809" i="20"/>
  <c r="AI809" i="20"/>
  <c r="AH809" i="20"/>
  <c r="AG809" i="20"/>
  <c r="AF809" i="20"/>
  <c r="AE809" i="20"/>
  <c r="AD809" i="20"/>
  <c r="AC809" i="20"/>
  <c r="AB809" i="20"/>
  <c r="AA809" i="20"/>
  <c r="Z809" i="20"/>
  <c r="AO808" i="20"/>
  <c r="AN808" i="20"/>
  <c r="AM808" i="20"/>
  <c r="AL808" i="20"/>
  <c r="AK808" i="20"/>
  <c r="AJ808" i="20"/>
  <c r="AI808" i="20"/>
  <c r="AH808" i="20"/>
  <c r="AG808" i="20"/>
  <c r="AF808" i="20"/>
  <c r="AE808" i="20"/>
  <c r="AD808" i="20"/>
  <c r="AC808" i="20"/>
  <c r="AB808" i="20"/>
  <c r="AA808" i="20"/>
  <c r="Z808" i="20"/>
  <c r="AO807" i="20"/>
  <c r="AN807" i="20"/>
  <c r="AM807" i="20"/>
  <c r="AL807" i="20"/>
  <c r="AK807" i="20"/>
  <c r="AJ807" i="20"/>
  <c r="AI807" i="20"/>
  <c r="AH807" i="20"/>
  <c r="AG807" i="20"/>
  <c r="AF807" i="20"/>
  <c r="AE807" i="20"/>
  <c r="AD807" i="20"/>
  <c r="AC807" i="20"/>
  <c r="AB807" i="20"/>
  <c r="AA807" i="20"/>
  <c r="Z807" i="20"/>
  <c r="AO806" i="20"/>
  <c r="AN806" i="20"/>
  <c r="AM806" i="20"/>
  <c r="AL806" i="20"/>
  <c r="AK806" i="20"/>
  <c r="AJ806" i="20"/>
  <c r="AI806" i="20"/>
  <c r="AH806" i="20"/>
  <c r="AG806" i="20"/>
  <c r="AF806" i="20"/>
  <c r="AE806" i="20"/>
  <c r="AD806" i="20"/>
  <c r="AC806" i="20"/>
  <c r="AB806" i="20"/>
  <c r="AA806" i="20"/>
  <c r="Z806" i="20"/>
  <c r="AO805" i="20"/>
  <c r="AN805" i="20"/>
  <c r="AM805" i="20"/>
  <c r="AL805" i="20"/>
  <c r="AK805" i="20"/>
  <c r="AJ805" i="20"/>
  <c r="AI805" i="20"/>
  <c r="AH805" i="20"/>
  <c r="AG805" i="20"/>
  <c r="AF805" i="20"/>
  <c r="AE805" i="20"/>
  <c r="AD805" i="20"/>
  <c r="AC805" i="20"/>
  <c r="AB805" i="20"/>
  <c r="AA805" i="20"/>
  <c r="Z805" i="20"/>
  <c r="AO804" i="20"/>
  <c r="AN804" i="20"/>
  <c r="AM804" i="20"/>
  <c r="AL804" i="20"/>
  <c r="AK804" i="20"/>
  <c r="AJ804" i="20"/>
  <c r="AI804" i="20"/>
  <c r="AH804" i="20"/>
  <c r="AG804" i="20"/>
  <c r="AF804" i="20"/>
  <c r="AE804" i="20"/>
  <c r="AD804" i="20"/>
  <c r="AC804" i="20"/>
  <c r="AB804" i="20"/>
  <c r="AA804" i="20"/>
  <c r="Z804" i="20"/>
  <c r="AO803" i="20"/>
  <c r="AN803" i="20"/>
  <c r="AM803" i="20"/>
  <c r="AL803" i="20"/>
  <c r="AK803" i="20"/>
  <c r="AJ803" i="20"/>
  <c r="AI803" i="20"/>
  <c r="AH803" i="20"/>
  <c r="AG803" i="20"/>
  <c r="AF803" i="20"/>
  <c r="AE803" i="20"/>
  <c r="AD803" i="20"/>
  <c r="AC803" i="20"/>
  <c r="AB803" i="20"/>
  <c r="AA803" i="20"/>
  <c r="Z803" i="20"/>
  <c r="AO802" i="20"/>
  <c r="AN802" i="20"/>
  <c r="AM802" i="20"/>
  <c r="AL802" i="20"/>
  <c r="AK802" i="20"/>
  <c r="AJ802" i="20"/>
  <c r="AI802" i="20"/>
  <c r="AH802" i="20"/>
  <c r="AG802" i="20"/>
  <c r="AF802" i="20"/>
  <c r="AE802" i="20"/>
  <c r="AD802" i="20"/>
  <c r="AC802" i="20"/>
  <c r="AB802" i="20"/>
  <c r="AA802" i="20"/>
  <c r="Z802" i="20"/>
  <c r="AO801" i="20"/>
  <c r="AN801" i="20"/>
  <c r="AM801" i="20"/>
  <c r="AL801" i="20"/>
  <c r="AK801" i="20"/>
  <c r="AJ801" i="20"/>
  <c r="AI801" i="20"/>
  <c r="AH801" i="20"/>
  <c r="AG801" i="20"/>
  <c r="AF801" i="20"/>
  <c r="AE801" i="20"/>
  <c r="AD801" i="20"/>
  <c r="AC801" i="20"/>
  <c r="AB801" i="20"/>
  <c r="AA801" i="20"/>
  <c r="Z801" i="20"/>
  <c r="AO800" i="20"/>
  <c r="AN800" i="20"/>
  <c r="AM800" i="20"/>
  <c r="AL800" i="20"/>
  <c r="AK800" i="20"/>
  <c r="AJ800" i="20"/>
  <c r="AI800" i="20"/>
  <c r="AH800" i="20"/>
  <c r="AG800" i="20"/>
  <c r="AF800" i="20"/>
  <c r="AE800" i="20"/>
  <c r="AD800" i="20"/>
  <c r="AC800" i="20"/>
  <c r="AB800" i="20"/>
  <c r="AA800" i="20"/>
  <c r="Z800" i="20"/>
  <c r="AO799" i="20"/>
  <c r="AN799" i="20"/>
  <c r="AM799" i="20"/>
  <c r="AL799" i="20"/>
  <c r="AK799" i="20"/>
  <c r="AJ799" i="20"/>
  <c r="AI799" i="20"/>
  <c r="AH799" i="20"/>
  <c r="AG799" i="20"/>
  <c r="AF799" i="20"/>
  <c r="AE799" i="20"/>
  <c r="AD799" i="20"/>
  <c r="AC799" i="20"/>
  <c r="AB799" i="20"/>
  <c r="AA799" i="20"/>
  <c r="Z799" i="20"/>
  <c r="AO798" i="20"/>
  <c r="AN798" i="20"/>
  <c r="AM798" i="20"/>
  <c r="AL798" i="20"/>
  <c r="AK798" i="20"/>
  <c r="AJ798" i="20"/>
  <c r="AI798" i="20"/>
  <c r="AH798" i="20"/>
  <c r="AG798" i="20"/>
  <c r="AF798" i="20"/>
  <c r="AE798" i="20"/>
  <c r="AD798" i="20"/>
  <c r="AC798" i="20"/>
  <c r="AB798" i="20"/>
  <c r="AA798" i="20"/>
  <c r="Z798" i="20"/>
  <c r="AO797" i="20"/>
  <c r="AN797" i="20"/>
  <c r="AM797" i="20"/>
  <c r="AL797" i="20"/>
  <c r="AK797" i="20"/>
  <c r="AJ797" i="20"/>
  <c r="AI797" i="20"/>
  <c r="AH797" i="20"/>
  <c r="AG797" i="20"/>
  <c r="AF797" i="20"/>
  <c r="AE797" i="20"/>
  <c r="AD797" i="20"/>
  <c r="AC797" i="20"/>
  <c r="AB797" i="20"/>
  <c r="AA797" i="20"/>
  <c r="Z797" i="20"/>
  <c r="AO796" i="20"/>
  <c r="AN796" i="20"/>
  <c r="AM796" i="20"/>
  <c r="AL796" i="20"/>
  <c r="AK796" i="20"/>
  <c r="AJ796" i="20"/>
  <c r="AI796" i="20"/>
  <c r="AH796" i="20"/>
  <c r="AG796" i="20"/>
  <c r="AF796" i="20"/>
  <c r="AE796" i="20"/>
  <c r="AD796" i="20"/>
  <c r="AC796" i="20"/>
  <c r="AB796" i="20"/>
  <c r="AA796" i="20"/>
  <c r="Z796" i="20"/>
  <c r="AO795" i="20"/>
  <c r="AN795" i="20"/>
  <c r="AM795" i="20"/>
  <c r="AL795" i="20"/>
  <c r="AK795" i="20"/>
  <c r="AJ795" i="20"/>
  <c r="AI795" i="20"/>
  <c r="AH795" i="20"/>
  <c r="AG795" i="20"/>
  <c r="AF795" i="20"/>
  <c r="AE795" i="20"/>
  <c r="AD795" i="20"/>
  <c r="AC795" i="20"/>
  <c r="AB795" i="20"/>
  <c r="AA795" i="20"/>
  <c r="Z795" i="20"/>
  <c r="AO794" i="20"/>
  <c r="AN794" i="20"/>
  <c r="AM794" i="20"/>
  <c r="AL794" i="20"/>
  <c r="AK794" i="20"/>
  <c r="AJ794" i="20"/>
  <c r="AI794" i="20"/>
  <c r="AH794" i="20"/>
  <c r="AG794" i="20"/>
  <c r="AF794" i="20"/>
  <c r="AE794" i="20"/>
  <c r="AD794" i="20"/>
  <c r="AC794" i="20"/>
  <c r="AB794" i="20"/>
  <c r="AA794" i="20"/>
  <c r="Z794" i="20"/>
  <c r="AO793" i="20"/>
  <c r="AN793" i="20"/>
  <c r="AM793" i="20"/>
  <c r="AL793" i="20"/>
  <c r="AK793" i="20"/>
  <c r="AJ793" i="20"/>
  <c r="AI793" i="20"/>
  <c r="AH793" i="20"/>
  <c r="AG793" i="20"/>
  <c r="AF793" i="20"/>
  <c r="AE793" i="20"/>
  <c r="AD793" i="20"/>
  <c r="AC793" i="20"/>
  <c r="AB793" i="20"/>
  <c r="AA793" i="20"/>
  <c r="Z793" i="20"/>
  <c r="AO792" i="20"/>
  <c r="AN792" i="20"/>
  <c r="AM792" i="20"/>
  <c r="AL792" i="20"/>
  <c r="AK792" i="20"/>
  <c r="AJ792" i="20"/>
  <c r="AI792" i="20"/>
  <c r="AH792" i="20"/>
  <c r="AG792" i="20"/>
  <c r="AF792" i="20"/>
  <c r="AE792" i="20"/>
  <c r="AD792" i="20"/>
  <c r="AC792" i="20"/>
  <c r="AB792" i="20"/>
  <c r="AA792" i="20"/>
  <c r="Z792" i="20"/>
  <c r="AO791" i="20"/>
  <c r="AN791" i="20"/>
  <c r="AM791" i="20"/>
  <c r="AL791" i="20"/>
  <c r="AK791" i="20"/>
  <c r="AJ791" i="20"/>
  <c r="AI791" i="20"/>
  <c r="AH791" i="20"/>
  <c r="AG791" i="20"/>
  <c r="AF791" i="20"/>
  <c r="AE791" i="20"/>
  <c r="AD791" i="20"/>
  <c r="AC791" i="20"/>
  <c r="AB791" i="20"/>
  <c r="AA791" i="20"/>
  <c r="Z791" i="20"/>
  <c r="AO790" i="20"/>
  <c r="AN790" i="20"/>
  <c r="AM790" i="20"/>
  <c r="AL790" i="20"/>
  <c r="AK790" i="20"/>
  <c r="AJ790" i="20"/>
  <c r="AI790" i="20"/>
  <c r="AH790" i="20"/>
  <c r="AG790" i="20"/>
  <c r="AF790" i="20"/>
  <c r="AE790" i="20"/>
  <c r="AD790" i="20"/>
  <c r="AC790" i="20"/>
  <c r="AB790" i="20"/>
  <c r="AA790" i="20"/>
  <c r="Z790" i="20"/>
  <c r="AO789" i="20"/>
  <c r="AN789" i="20"/>
  <c r="AM789" i="20"/>
  <c r="AL789" i="20"/>
  <c r="AK789" i="20"/>
  <c r="AJ789" i="20"/>
  <c r="AI789" i="20"/>
  <c r="AH789" i="20"/>
  <c r="AG789" i="20"/>
  <c r="AF789" i="20"/>
  <c r="AE789" i="20"/>
  <c r="AD789" i="20"/>
  <c r="AC789" i="20"/>
  <c r="AB789" i="20"/>
  <c r="AA789" i="20"/>
  <c r="Z789" i="20"/>
  <c r="AO788" i="20"/>
  <c r="AN788" i="20"/>
  <c r="AM788" i="20"/>
  <c r="AL788" i="20"/>
  <c r="AK788" i="20"/>
  <c r="AJ788" i="20"/>
  <c r="AI788" i="20"/>
  <c r="AH788" i="20"/>
  <c r="AG788" i="20"/>
  <c r="AF788" i="20"/>
  <c r="AE788" i="20"/>
  <c r="AD788" i="20"/>
  <c r="AC788" i="20"/>
  <c r="AB788" i="20"/>
  <c r="AA788" i="20"/>
  <c r="Z788" i="20"/>
  <c r="AO787" i="20"/>
  <c r="AN787" i="20"/>
  <c r="AM787" i="20"/>
  <c r="AL787" i="20"/>
  <c r="AK787" i="20"/>
  <c r="AJ787" i="20"/>
  <c r="AI787" i="20"/>
  <c r="AH787" i="20"/>
  <c r="AG787" i="20"/>
  <c r="AF787" i="20"/>
  <c r="AE787" i="20"/>
  <c r="AD787" i="20"/>
  <c r="AC787" i="20"/>
  <c r="AB787" i="20"/>
  <c r="AA787" i="20"/>
  <c r="Z787" i="20"/>
  <c r="AO786" i="20"/>
  <c r="AN786" i="20"/>
  <c r="AM786" i="20"/>
  <c r="AL786" i="20"/>
  <c r="AK786" i="20"/>
  <c r="AJ786" i="20"/>
  <c r="AI786" i="20"/>
  <c r="AH786" i="20"/>
  <c r="AG786" i="20"/>
  <c r="AF786" i="20"/>
  <c r="AE786" i="20"/>
  <c r="AD786" i="20"/>
  <c r="AC786" i="20"/>
  <c r="AB786" i="20"/>
  <c r="AA786" i="20"/>
  <c r="Z786" i="20"/>
  <c r="AO785" i="20"/>
  <c r="AN785" i="20"/>
  <c r="AM785" i="20"/>
  <c r="AL785" i="20"/>
  <c r="AK785" i="20"/>
  <c r="AJ785" i="20"/>
  <c r="AI785" i="20"/>
  <c r="AH785" i="20"/>
  <c r="AG785" i="20"/>
  <c r="AF785" i="20"/>
  <c r="AE785" i="20"/>
  <c r="AD785" i="20"/>
  <c r="AC785" i="20"/>
  <c r="AB785" i="20"/>
  <c r="AA785" i="20"/>
  <c r="Z785" i="20"/>
  <c r="AO784" i="20"/>
  <c r="AN784" i="20"/>
  <c r="AM784" i="20"/>
  <c r="AL784" i="20"/>
  <c r="AK784" i="20"/>
  <c r="AJ784" i="20"/>
  <c r="AI784" i="20"/>
  <c r="AH784" i="20"/>
  <c r="AG784" i="20"/>
  <c r="AF784" i="20"/>
  <c r="AE784" i="20"/>
  <c r="AD784" i="20"/>
  <c r="AC784" i="20"/>
  <c r="AB784" i="20"/>
  <c r="AA784" i="20"/>
  <c r="Z784" i="20"/>
  <c r="AO783" i="20"/>
  <c r="AN783" i="20"/>
  <c r="AM783" i="20"/>
  <c r="AL783" i="20"/>
  <c r="AK783" i="20"/>
  <c r="AJ783" i="20"/>
  <c r="AI783" i="20"/>
  <c r="AH783" i="20"/>
  <c r="AG783" i="20"/>
  <c r="AF783" i="20"/>
  <c r="AE783" i="20"/>
  <c r="AD783" i="20"/>
  <c r="AC783" i="20"/>
  <c r="AB783" i="20"/>
  <c r="AA783" i="20"/>
  <c r="Z783" i="20"/>
  <c r="AO782" i="20"/>
  <c r="AN782" i="20"/>
  <c r="AM782" i="20"/>
  <c r="AL782" i="20"/>
  <c r="AK782" i="20"/>
  <c r="AJ782" i="20"/>
  <c r="AI782" i="20"/>
  <c r="AH782" i="20"/>
  <c r="AG782" i="20"/>
  <c r="AF782" i="20"/>
  <c r="AE782" i="20"/>
  <c r="AD782" i="20"/>
  <c r="AC782" i="20"/>
  <c r="AB782" i="20"/>
  <c r="AA782" i="20"/>
  <c r="Z782" i="20"/>
  <c r="AO781" i="20"/>
  <c r="AN781" i="20"/>
  <c r="AM781" i="20"/>
  <c r="AL781" i="20"/>
  <c r="AK781" i="20"/>
  <c r="AJ781" i="20"/>
  <c r="AI781" i="20"/>
  <c r="AH781" i="20"/>
  <c r="AG781" i="20"/>
  <c r="AF781" i="20"/>
  <c r="AE781" i="20"/>
  <c r="AD781" i="20"/>
  <c r="AC781" i="20"/>
  <c r="AB781" i="20"/>
  <c r="AA781" i="20"/>
  <c r="Z781" i="20"/>
  <c r="AO780" i="20"/>
  <c r="AN780" i="20"/>
  <c r="AM780" i="20"/>
  <c r="AL780" i="20"/>
  <c r="AK780" i="20"/>
  <c r="AJ780" i="20"/>
  <c r="AI780" i="20"/>
  <c r="AH780" i="20"/>
  <c r="AG780" i="20"/>
  <c r="AF780" i="20"/>
  <c r="AE780" i="20"/>
  <c r="AD780" i="20"/>
  <c r="AC780" i="20"/>
  <c r="AB780" i="20"/>
  <c r="AA780" i="20"/>
  <c r="Z780" i="20"/>
  <c r="AO779" i="20"/>
  <c r="AN779" i="20"/>
  <c r="AM779" i="20"/>
  <c r="AL779" i="20"/>
  <c r="AK779" i="20"/>
  <c r="AJ779" i="20"/>
  <c r="AI779" i="20"/>
  <c r="AH779" i="20"/>
  <c r="AG779" i="20"/>
  <c r="AF779" i="20"/>
  <c r="AE779" i="20"/>
  <c r="AD779" i="20"/>
  <c r="AC779" i="20"/>
  <c r="AB779" i="20"/>
  <c r="AA779" i="20"/>
  <c r="Z779" i="20"/>
  <c r="AO778" i="20"/>
  <c r="AN778" i="20"/>
  <c r="AM778" i="20"/>
  <c r="AL778" i="20"/>
  <c r="AK778" i="20"/>
  <c r="AJ778" i="20"/>
  <c r="AI778" i="20"/>
  <c r="AH778" i="20"/>
  <c r="AG778" i="20"/>
  <c r="AF778" i="20"/>
  <c r="AE778" i="20"/>
  <c r="AD778" i="20"/>
  <c r="AC778" i="20"/>
  <c r="AB778" i="20"/>
  <c r="AA778" i="20"/>
  <c r="Z778" i="20"/>
  <c r="AO777" i="20"/>
  <c r="AN777" i="20"/>
  <c r="AM777" i="20"/>
  <c r="AL777" i="20"/>
  <c r="AK777" i="20"/>
  <c r="AJ777" i="20"/>
  <c r="AI777" i="20"/>
  <c r="AH777" i="20"/>
  <c r="AG777" i="20"/>
  <c r="AF777" i="20"/>
  <c r="AE777" i="20"/>
  <c r="AD777" i="20"/>
  <c r="AC777" i="20"/>
  <c r="AB777" i="20"/>
  <c r="AA777" i="20"/>
  <c r="Z777" i="20"/>
  <c r="AO776" i="20"/>
  <c r="AN776" i="20"/>
  <c r="AM776" i="20"/>
  <c r="AL776" i="20"/>
  <c r="AK776" i="20"/>
  <c r="AJ776" i="20"/>
  <c r="AI776" i="20"/>
  <c r="AH776" i="20"/>
  <c r="AG776" i="20"/>
  <c r="AF776" i="20"/>
  <c r="AE776" i="20"/>
  <c r="AD776" i="20"/>
  <c r="AC776" i="20"/>
  <c r="AB776" i="20"/>
  <c r="AA776" i="20"/>
  <c r="Z776" i="20"/>
  <c r="AO775" i="20"/>
  <c r="AN775" i="20"/>
  <c r="AM775" i="20"/>
  <c r="AL775" i="20"/>
  <c r="AK775" i="20"/>
  <c r="AJ775" i="20"/>
  <c r="AI775" i="20"/>
  <c r="AH775" i="20"/>
  <c r="AG775" i="20"/>
  <c r="AF775" i="20"/>
  <c r="AE775" i="20"/>
  <c r="AD775" i="20"/>
  <c r="AC775" i="20"/>
  <c r="AB775" i="20"/>
  <c r="AA775" i="20"/>
  <c r="Z775" i="20"/>
  <c r="AO774" i="20"/>
  <c r="AN774" i="20"/>
  <c r="AM774" i="20"/>
  <c r="AL774" i="20"/>
  <c r="AK774" i="20"/>
  <c r="AJ774" i="20"/>
  <c r="AI774" i="20"/>
  <c r="AH774" i="20"/>
  <c r="AG774" i="20"/>
  <c r="AF774" i="20"/>
  <c r="AE774" i="20"/>
  <c r="AD774" i="20"/>
  <c r="AC774" i="20"/>
  <c r="AB774" i="20"/>
  <c r="AA774" i="20"/>
  <c r="Z774" i="20"/>
  <c r="AO773" i="20"/>
  <c r="AN773" i="20"/>
  <c r="AM773" i="20"/>
  <c r="AL773" i="20"/>
  <c r="AK773" i="20"/>
  <c r="AJ773" i="20"/>
  <c r="AI773" i="20"/>
  <c r="AH773" i="20"/>
  <c r="AG773" i="20"/>
  <c r="AF773" i="20"/>
  <c r="AE773" i="20"/>
  <c r="AD773" i="20"/>
  <c r="AC773" i="20"/>
  <c r="AB773" i="20"/>
  <c r="AA773" i="20"/>
  <c r="Z773" i="20"/>
  <c r="AO772" i="20"/>
  <c r="AN772" i="20"/>
  <c r="AM772" i="20"/>
  <c r="AL772" i="20"/>
  <c r="AK772" i="20"/>
  <c r="AJ772" i="20"/>
  <c r="AI772" i="20"/>
  <c r="AH772" i="20"/>
  <c r="AG772" i="20"/>
  <c r="AF772" i="20"/>
  <c r="AE772" i="20"/>
  <c r="AD772" i="20"/>
  <c r="AC772" i="20"/>
  <c r="AB772" i="20"/>
  <c r="AA772" i="20"/>
  <c r="Z772" i="20"/>
  <c r="AO771" i="20"/>
  <c r="AN771" i="20"/>
  <c r="AM771" i="20"/>
  <c r="AL771" i="20"/>
  <c r="AK771" i="20"/>
  <c r="AJ771" i="20"/>
  <c r="AI771" i="20"/>
  <c r="AH771" i="20"/>
  <c r="AG771" i="20"/>
  <c r="AF771" i="20"/>
  <c r="AE771" i="20"/>
  <c r="AD771" i="20"/>
  <c r="AC771" i="20"/>
  <c r="AB771" i="20"/>
  <c r="AA771" i="20"/>
  <c r="Z771" i="20"/>
  <c r="AO770" i="20"/>
  <c r="AN770" i="20"/>
  <c r="AM770" i="20"/>
  <c r="AL770" i="20"/>
  <c r="AK770" i="20"/>
  <c r="AJ770" i="20"/>
  <c r="AI770" i="20"/>
  <c r="AH770" i="20"/>
  <c r="AG770" i="20"/>
  <c r="AF770" i="20"/>
  <c r="AE770" i="20"/>
  <c r="AD770" i="20"/>
  <c r="AC770" i="20"/>
  <c r="AB770" i="20"/>
  <c r="AA770" i="20"/>
  <c r="Z770" i="20"/>
  <c r="AO769" i="20"/>
  <c r="AN769" i="20"/>
  <c r="AM769" i="20"/>
  <c r="AL769" i="20"/>
  <c r="AK769" i="20"/>
  <c r="AJ769" i="20"/>
  <c r="AI769" i="20"/>
  <c r="AH769" i="20"/>
  <c r="AG769" i="20"/>
  <c r="AF769" i="20"/>
  <c r="AE769" i="20"/>
  <c r="AD769" i="20"/>
  <c r="AC769" i="20"/>
  <c r="AB769" i="20"/>
  <c r="AA769" i="20"/>
  <c r="Z769" i="20"/>
  <c r="AO768" i="20"/>
  <c r="AN768" i="20"/>
  <c r="AM768" i="20"/>
  <c r="AL768" i="20"/>
  <c r="AK768" i="20"/>
  <c r="AJ768" i="20"/>
  <c r="AI768" i="20"/>
  <c r="AH768" i="20"/>
  <c r="AG768" i="20"/>
  <c r="AF768" i="20"/>
  <c r="AE768" i="20"/>
  <c r="AD768" i="20"/>
  <c r="AC768" i="20"/>
  <c r="AB768" i="20"/>
  <c r="AA768" i="20"/>
  <c r="Z768" i="20"/>
  <c r="AO767" i="20"/>
  <c r="AN767" i="20"/>
  <c r="AM767" i="20"/>
  <c r="AL767" i="20"/>
  <c r="AK767" i="20"/>
  <c r="AJ767" i="20"/>
  <c r="AI767" i="20"/>
  <c r="AH767" i="20"/>
  <c r="AG767" i="20"/>
  <c r="AF767" i="20"/>
  <c r="AE767" i="20"/>
  <c r="AD767" i="20"/>
  <c r="AC767" i="20"/>
  <c r="AB767" i="20"/>
  <c r="AA767" i="20"/>
  <c r="Z767" i="20"/>
  <c r="AO766" i="20"/>
  <c r="AN766" i="20"/>
  <c r="AM766" i="20"/>
  <c r="AL766" i="20"/>
  <c r="AK766" i="20"/>
  <c r="AJ766" i="20"/>
  <c r="AI766" i="20"/>
  <c r="AH766" i="20"/>
  <c r="AG766" i="20"/>
  <c r="AF766" i="20"/>
  <c r="AE766" i="20"/>
  <c r="AD766" i="20"/>
  <c r="AC766" i="20"/>
  <c r="AB766" i="20"/>
  <c r="AA766" i="20"/>
  <c r="Z766" i="20"/>
  <c r="AO765" i="20"/>
  <c r="AN765" i="20"/>
  <c r="AM765" i="20"/>
  <c r="AL765" i="20"/>
  <c r="AK765" i="20"/>
  <c r="AJ765" i="20"/>
  <c r="AI765" i="20"/>
  <c r="AH765" i="20"/>
  <c r="AG765" i="20"/>
  <c r="AF765" i="20"/>
  <c r="AE765" i="20"/>
  <c r="AD765" i="20"/>
  <c r="AC765" i="20"/>
  <c r="AB765" i="20"/>
  <c r="AA765" i="20"/>
  <c r="Z765" i="20"/>
  <c r="AO764" i="20"/>
  <c r="AN764" i="20"/>
  <c r="AM764" i="20"/>
  <c r="AL764" i="20"/>
  <c r="AK764" i="20"/>
  <c r="AJ764" i="20"/>
  <c r="AI764" i="20"/>
  <c r="AH764" i="20"/>
  <c r="AG764" i="20"/>
  <c r="AF764" i="20"/>
  <c r="AE764" i="20"/>
  <c r="AD764" i="20"/>
  <c r="AC764" i="20"/>
  <c r="AB764" i="20"/>
  <c r="AA764" i="20"/>
  <c r="Z764" i="20"/>
  <c r="AO763" i="20"/>
  <c r="AN763" i="20"/>
  <c r="AM763" i="20"/>
  <c r="AL763" i="20"/>
  <c r="AK763" i="20"/>
  <c r="AJ763" i="20"/>
  <c r="AI763" i="20"/>
  <c r="AH763" i="20"/>
  <c r="AG763" i="20"/>
  <c r="AF763" i="20"/>
  <c r="AE763" i="20"/>
  <c r="AD763" i="20"/>
  <c r="AC763" i="20"/>
  <c r="AB763" i="20"/>
  <c r="AA763" i="20"/>
  <c r="Z763" i="20"/>
  <c r="AO762" i="20"/>
  <c r="AN762" i="20"/>
  <c r="AM762" i="20"/>
  <c r="AL762" i="20"/>
  <c r="AK762" i="20"/>
  <c r="AJ762" i="20"/>
  <c r="AI762" i="20"/>
  <c r="AH762" i="20"/>
  <c r="AG762" i="20"/>
  <c r="AF762" i="20"/>
  <c r="AE762" i="20"/>
  <c r="AD762" i="20"/>
  <c r="AC762" i="20"/>
  <c r="AB762" i="20"/>
  <c r="AA762" i="20"/>
  <c r="Z762" i="20"/>
  <c r="AO761" i="20"/>
  <c r="AN761" i="20"/>
  <c r="AM761" i="20"/>
  <c r="AL761" i="20"/>
  <c r="AK761" i="20"/>
  <c r="AJ761" i="20"/>
  <c r="AI761" i="20"/>
  <c r="AH761" i="20"/>
  <c r="AG761" i="20"/>
  <c r="AF761" i="20"/>
  <c r="AE761" i="20"/>
  <c r="AD761" i="20"/>
  <c r="AC761" i="20"/>
  <c r="AB761" i="20"/>
  <c r="AA761" i="20"/>
  <c r="Z761" i="20"/>
  <c r="AO760" i="20"/>
  <c r="AN760" i="20"/>
  <c r="AM760" i="20"/>
  <c r="AL760" i="20"/>
  <c r="AK760" i="20"/>
  <c r="AJ760" i="20"/>
  <c r="AI760" i="20"/>
  <c r="AH760" i="20"/>
  <c r="AG760" i="20"/>
  <c r="AF760" i="20"/>
  <c r="AE760" i="20"/>
  <c r="AD760" i="20"/>
  <c r="AC760" i="20"/>
  <c r="AB760" i="20"/>
  <c r="AA760" i="20"/>
  <c r="Z760" i="20"/>
  <c r="AO759" i="20"/>
  <c r="AN759" i="20"/>
  <c r="AM759" i="20"/>
  <c r="AL759" i="20"/>
  <c r="AK759" i="20"/>
  <c r="AJ759" i="20"/>
  <c r="AI759" i="20"/>
  <c r="AH759" i="20"/>
  <c r="AG759" i="20"/>
  <c r="AF759" i="20"/>
  <c r="AE759" i="20"/>
  <c r="AD759" i="20"/>
  <c r="AC759" i="20"/>
  <c r="AB759" i="20"/>
  <c r="AA759" i="20"/>
  <c r="Z759" i="20"/>
  <c r="AO758" i="20"/>
  <c r="AN758" i="20"/>
  <c r="AM758" i="20"/>
  <c r="AL758" i="20"/>
  <c r="AK758" i="20"/>
  <c r="AJ758" i="20"/>
  <c r="AI758" i="20"/>
  <c r="AH758" i="20"/>
  <c r="AG758" i="20"/>
  <c r="AF758" i="20"/>
  <c r="AE758" i="20"/>
  <c r="AD758" i="20"/>
  <c r="AC758" i="20"/>
  <c r="AB758" i="20"/>
  <c r="AA758" i="20"/>
  <c r="Z758" i="20"/>
  <c r="AO757" i="20"/>
  <c r="AN757" i="20"/>
  <c r="AM757" i="20"/>
  <c r="AL757" i="20"/>
  <c r="AK757" i="20"/>
  <c r="AJ757" i="20"/>
  <c r="AI757" i="20"/>
  <c r="AH757" i="20"/>
  <c r="AG757" i="20"/>
  <c r="AF757" i="20"/>
  <c r="AE757" i="20"/>
  <c r="AD757" i="20"/>
  <c r="AC757" i="20"/>
  <c r="AB757" i="20"/>
  <c r="AA757" i="20"/>
  <c r="Z757" i="20"/>
  <c r="AO756" i="20"/>
  <c r="AN756" i="20"/>
  <c r="AM756" i="20"/>
  <c r="AL756" i="20"/>
  <c r="AK756" i="20"/>
  <c r="AJ756" i="20"/>
  <c r="AI756" i="20"/>
  <c r="AH756" i="20"/>
  <c r="AG756" i="20"/>
  <c r="AF756" i="20"/>
  <c r="AE756" i="20"/>
  <c r="AD756" i="20"/>
  <c r="AC756" i="20"/>
  <c r="AB756" i="20"/>
  <c r="AA756" i="20"/>
  <c r="Z756" i="20"/>
  <c r="AO755" i="20"/>
  <c r="AN755" i="20"/>
  <c r="AM755" i="20"/>
  <c r="AL755" i="20"/>
  <c r="AK755" i="20"/>
  <c r="AJ755" i="20"/>
  <c r="AI755" i="20"/>
  <c r="AH755" i="20"/>
  <c r="AG755" i="20"/>
  <c r="AF755" i="20"/>
  <c r="AE755" i="20"/>
  <c r="AD755" i="20"/>
  <c r="AC755" i="20"/>
  <c r="AB755" i="20"/>
  <c r="AA755" i="20"/>
  <c r="Z755" i="20"/>
  <c r="AO754" i="20"/>
  <c r="AN754" i="20"/>
  <c r="AM754" i="20"/>
  <c r="AL754" i="20"/>
  <c r="AK754" i="20"/>
  <c r="AJ754" i="20"/>
  <c r="AI754" i="20"/>
  <c r="AH754" i="20"/>
  <c r="AG754" i="20"/>
  <c r="AF754" i="20"/>
  <c r="AE754" i="20"/>
  <c r="AD754" i="20"/>
  <c r="AC754" i="20"/>
  <c r="AB754" i="20"/>
  <c r="AA754" i="20"/>
  <c r="Z754" i="20"/>
  <c r="AO753" i="20"/>
  <c r="AN753" i="20"/>
  <c r="AM753" i="20"/>
  <c r="AL753" i="20"/>
  <c r="AK753" i="20"/>
  <c r="AJ753" i="20"/>
  <c r="AI753" i="20"/>
  <c r="AH753" i="20"/>
  <c r="AG753" i="20"/>
  <c r="AF753" i="20"/>
  <c r="AE753" i="20"/>
  <c r="AD753" i="20"/>
  <c r="AC753" i="20"/>
  <c r="AB753" i="20"/>
  <c r="AA753" i="20"/>
  <c r="Z753" i="20"/>
  <c r="AO752" i="20"/>
  <c r="AN752" i="20"/>
  <c r="AM752" i="20"/>
  <c r="AL752" i="20"/>
  <c r="AK752" i="20"/>
  <c r="AJ752" i="20"/>
  <c r="AI752" i="20"/>
  <c r="AH752" i="20"/>
  <c r="AG752" i="20"/>
  <c r="AF752" i="20"/>
  <c r="AE752" i="20"/>
  <c r="AD752" i="20"/>
  <c r="AC752" i="20"/>
  <c r="AB752" i="20"/>
  <c r="AA752" i="20"/>
  <c r="Z752" i="20"/>
  <c r="AO751" i="20"/>
  <c r="AN751" i="20"/>
  <c r="AM751" i="20"/>
  <c r="AL751" i="20"/>
  <c r="AK751" i="20"/>
  <c r="AJ751" i="20"/>
  <c r="AI751" i="20"/>
  <c r="AH751" i="20"/>
  <c r="AG751" i="20"/>
  <c r="AF751" i="20"/>
  <c r="AE751" i="20"/>
  <c r="AD751" i="20"/>
  <c r="AC751" i="20"/>
  <c r="AB751" i="20"/>
  <c r="AA751" i="20"/>
  <c r="Z751" i="20"/>
  <c r="AO750" i="20"/>
  <c r="AN750" i="20"/>
  <c r="AM750" i="20"/>
  <c r="AL750" i="20"/>
  <c r="AK750" i="20"/>
  <c r="AJ750" i="20"/>
  <c r="AI750" i="20"/>
  <c r="AH750" i="20"/>
  <c r="AG750" i="20"/>
  <c r="AF750" i="20"/>
  <c r="AE750" i="20"/>
  <c r="AD750" i="20"/>
  <c r="AC750" i="20"/>
  <c r="AB750" i="20"/>
  <c r="AA750" i="20"/>
  <c r="Z750" i="20"/>
  <c r="AO749" i="20"/>
  <c r="AN749" i="20"/>
  <c r="AM749" i="20"/>
  <c r="AL749" i="20"/>
  <c r="AK749" i="20"/>
  <c r="AJ749" i="20"/>
  <c r="AI749" i="20"/>
  <c r="AH749" i="20"/>
  <c r="AG749" i="20"/>
  <c r="AF749" i="20"/>
  <c r="AE749" i="20"/>
  <c r="AD749" i="20"/>
  <c r="AC749" i="20"/>
  <c r="AB749" i="20"/>
  <c r="AA749" i="20"/>
  <c r="Z749" i="20"/>
  <c r="AO748" i="20"/>
  <c r="AN748" i="20"/>
  <c r="AM748" i="20"/>
  <c r="AL748" i="20"/>
  <c r="AK748" i="20"/>
  <c r="AJ748" i="20"/>
  <c r="AI748" i="20"/>
  <c r="AH748" i="20"/>
  <c r="AG748" i="20"/>
  <c r="AF748" i="20"/>
  <c r="AE748" i="20"/>
  <c r="AD748" i="20"/>
  <c r="AC748" i="20"/>
  <c r="AB748" i="20"/>
  <c r="AA748" i="20"/>
  <c r="Z748" i="20"/>
  <c r="AO747" i="20"/>
  <c r="AN747" i="20"/>
  <c r="AM747" i="20"/>
  <c r="AL747" i="20"/>
  <c r="AK747" i="20"/>
  <c r="AJ747" i="20"/>
  <c r="AI747" i="20"/>
  <c r="AH747" i="20"/>
  <c r="AG747" i="20"/>
  <c r="AF747" i="20"/>
  <c r="AE747" i="20"/>
  <c r="AD747" i="20"/>
  <c r="AC747" i="20"/>
  <c r="AB747" i="20"/>
  <c r="AA747" i="20"/>
  <c r="Z747" i="20"/>
  <c r="AO746" i="20"/>
  <c r="AN746" i="20"/>
  <c r="AM746" i="20"/>
  <c r="AL746" i="20"/>
  <c r="AK746" i="20"/>
  <c r="AJ746" i="20"/>
  <c r="AI746" i="20"/>
  <c r="AH746" i="20"/>
  <c r="AG746" i="20"/>
  <c r="AF746" i="20"/>
  <c r="AE746" i="20"/>
  <c r="AD746" i="20"/>
  <c r="AC746" i="20"/>
  <c r="AB746" i="20"/>
  <c r="AA746" i="20"/>
  <c r="Z746" i="20"/>
  <c r="AO745" i="20"/>
  <c r="AN745" i="20"/>
  <c r="AM745" i="20"/>
  <c r="AL745" i="20"/>
  <c r="AK745" i="20"/>
  <c r="AJ745" i="20"/>
  <c r="AI745" i="20"/>
  <c r="AH745" i="20"/>
  <c r="AG745" i="20"/>
  <c r="AF745" i="20"/>
  <c r="AE745" i="20"/>
  <c r="AD745" i="20"/>
  <c r="AC745" i="20"/>
  <c r="AB745" i="20"/>
  <c r="AA745" i="20"/>
  <c r="Z745" i="20"/>
  <c r="AO744" i="20"/>
  <c r="AN744" i="20"/>
  <c r="AM744" i="20"/>
  <c r="AL744" i="20"/>
  <c r="AK744" i="20"/>
  <c r="AJ744" i="20"/>
  <c r="AI744" i="20"/>
  <c r="AH744" i="20"/>
  <c r="AG744" i="20"/>
  <c r="AF744" i="20"/>
  <c r="AE744" i="20"/>
  <c r="AD744" i="20"/>
  <c r="AC744" i="20"/>
  <c r="AB744" i="20"/>
  <c r="AA744" i="20"/>
  <c r="Z744" i="20"/>
  <c r="AO743" i="20"/>
  <c r="AN743" i="20"/>
  <c r="AM743" i="20"/>
  <c r="AL743" i="20"/>
  <c r="AK743" i="20"/>
  <c r="AJ743" i="20"/>
  <c r="AI743" i="20"/>
  <c r="AH743" i="20"/>
  <c r="AG743" i="20"/>
  <c r="AF743" i="20"/>
  <c r="AE743" i="20"/>
  <c r="AD743" i="20"/>
  <c r="AC743" i="20"/>
  <c r="AB743" i="20"/>
  <c r="AA743" i="20"/>
  <c r="Z743" i="20"/>
  <c r="AO742" i="20"/>
  <c r="AN742" i="20"/>
  <c r="AM742" i="20"/>
  <c r="AL742" i="20"/>
  <c r="AK742" i="20"/>
  <c r="AJ742" i="20"/>
  <c r="AI742" i="20"/>
  <c r="AH742" i="20"/>
  <c r="AG742" i="20"/>
  <c r="AF742" i="20"/>
  <c r="AE742" i="20"/>
  <c r="AD742" i="20"/>
  <c r="AC742" i="20"/>
  <c r="AB742" i="20"/>
  <c r="AA742" i="20"/>
  <c r="Z742" i="20"/>
  <c r="AO741" i="20"/>
  <c r="AN741" i="20"/>
  <c r="AM741" i="20"/>
  <c r="AL741" i="20"/>
  <c r="AK741" i="20"/>
  <c r="AJ741" i="20"/>
  <c r="AI741" i="20"/>
  <c r="AH741" i="20"/>
  <c r="AG741" i="20"/>
  <c r="AF741" i="20"/>
  <c r="AE741" i="20"/>
  <c r="AD741" i="20"/>
  <c r="AC741" i="20"/>
  <c r="AB741" i="20"/>
  <c r="AA741" i="20"/>
  <c r="Z741" i="20"/>
  <c r="AO740" i="20"/>
  <c r="AN740" i="20"/>
  <c r="AM740" i="20"/>
  <c r="AL740" i="20"/>
  <c r="AK740" i="20"/>
  <c r="AJ740" i="20"/>
  <c r="AI740" i="20"/>
  <c r="AH740" i="20"/>
  <c r="AG740" i="20"/>
  <c r="AF740" i="20"/>
  <c r="AE740" i="20"/>
  <c r="AD740" i="20"/>
  <c r="AC740" i="20"/>
  <c r="AB740" i="20"/>
  <c r="AA740" i="20"/>
  <c r="Z740" i="20"/>
  <c r="AO739" i="20"/>
  <c r="AN739" i="20"/>
  <c r="AM739" i="20"/>
  <c r="AL739" i="20"/>
  <c r="AK739" i="20"/>
  <c r="AJ739" i="20"/>
  <c r="AI739" i="20"/>
  <c r="AH739" i="20"/>
  <c r="AG739" i="20"/>
  <c r="AF739" i="20"/>
  <c r="AE739" i="20"/>
  <c r="AD739" i="20"/>
  <c r="AC739" i="20"/>
  <c r="AB739" i="20"/>
  <c r="AA739" i="20"/>
  <c r="Z739" i="20"/>
  <c r="AO738" i="20"/>
  <c r="AN738" i="20"/>
  <c r="AM738" i="20"/>
  <c r="AL738" i="20"/>
  <c r="AK738" i="20"/>
  <c r="AJ738" i="20"/>
  <c r="AI738" i="20"/>
  <c r="AH738" i="20"/>
  <c r="AG738" i="20"/>
  <c r="AF738" i="20"/>
  <c r="AE738" i="20"/>
  <c r="AD738" i="20"/>
  <c r="AC738" i="20"/>
  <c r="AB738" i="20"/>
  <c r="AA738" i="20"/>
  <c r="Z738" i="20"/>
  <c r="AO737" i="20"/>
  <c r="AN737" i="20"/>
  <c r="AM737" i="20"/>
  <c r="AL737" i="20"/>
  <c r="AK737" i="20"/>
  <c r="AJ737" i="20"/>
  <c r="AI737" i="20"/>
  <c r="AH737" i="20"/>
  <c r="AG737" i="20"/>
  <c r="AF737" i="20"/>
  <c r="AE737" i="20"/>
  <c r="AD737" i="20"/>
  <c r="AC737" i="20"/>
  <c r="AB737" i="20"/>
  <c r="AA737" i="20"/>
  <c r="Z737" i="20"/>
  <c r="AO736" i="20"/>
  <c r="AN736" i="20"/>
  <c r="AM736" i="20"/>
  <c r="AL736" i="20"/>
  <c r="AK736" i="20"/>
  <c r="AJ736" i="20"/>
  <c r="AI736" i="20"/>
  <c r="AH736" i="20"/>
  <c r="AG736" i="20"/>
  <c r="AF736" i="20"/>
  <c r="AE736" i="20"/>
  <c r="AD736" i="20"/>
  <c r="AC736" i="20"/>
  <c r="AB736" i="20"/>
  <c r="AA736" i="20"/>
  <c r="Z736" i="20"/>
  <c r="AO735" i="20"/>
  <c r="AN735" i="20"/>
  <c r="AM735" i="20"/>
  <c r="AL735" i="20"/>
  <c r="AK735" i="20"/>
  <c r="AJ735" i="20"/>
  <c r="AI735" i="20"/>
  <c r="AH735" i="20"/>
  <c r="AG735" i="20"/>
  <c r="AF735" i="20"/>
  <c r="AE735" i="20"/>
  <c r="AD735" i="20"/>
  <c r="AC735" i="20"/>
  <c r="AB735" i="20"/>
  <c r="AA735" i="20"/>
  <c r="Z735" i="20"/>
  <c r="AO734" i="20"/>
  <c r="AN734" i="20"/>
  <c r="AM734" i="20"/>
  <c r="AL734" i="20"/>
  <c r="AK734" i="20"/>
  <c r="AJ734" i="20"/>
  <c r="AI734" i="20"/>
  <c r="AH734" i="20"/>
  <c r="AG734" i="20"/>
  <c r="AF734" i="20"/>
  <c r="AE734" i="20"/>
  <c r="AD734" i="20"/>
  <c r="AC734" i="20"/>
  <c r="AB734" i="20"/>
  <c r="AA734" i="20"/>
  <c r="Z734" i="20"/>
  <c r="AO733" i="20"/>
  <c r="AN733" i="20"/>
  <c r="AM733" i="20"/>
  <c r="AL733" i="20"/>
  <c r="AK733" i="20"/>
  <c r="AJ733" i="20"/>
  <c r="AI733" i="20"/>
  <c r="AH733" i="20"/>
  <c r="AG733" i="20"/>
  <c r="AF733" i="20"/>
  <c r="AE733" i="20"/>
  <c r="AD733" i="20"/>
  <c r="AC733" i="20"/>
  <c r="AB733" i="20"/>
  <c r="AA733" i="20"/>
  <c r="Z733" i="20"/>
  <c r="AO732" i="20"/>
  <c r="AN732" i="20"/>
  <c r="AM732" i="20"/>
  <c r="AL732" i="20"/>
  <c r="AK732" i="20"/>
  <c r="AJ732" i="20"/>
  <c r="AI732" i="20"/>
  <c r="AH732" i="20"/>
  <c r="AG732" i="20"/>
  <c r="AF732" i="20"/>
  <c r="AE732" i="20"/>
  <c r="AD732" i="20"/>
  <c r="AC732" i="20"/>
  <c r="AB732" i="20"/>
  <c r="AA732" i="20"/>
  <c r="Z732" i="20"/>
  <c r="AO731" i="20"/>
  <c r="AN731" i="20"/>
  <c r="AM731" i="20"/>
  <c r="AL731" i="20"/>
  <c r="AK731" i="20"/>
  <c r="AJ731" i="20"/>
  <c r="AI731" i="20"/>
  <c r="AH731" i="20"/>
  <c r="AG731" i="20"/>
  <c r="AF731" i="20"/>
  <c r="AE731" i="20"/>
  <c r="AD731" i="20"/>
  <c r="AC731" i="20"/>
  <c r="AB731" i="20"/>
  <c r="AA731" i="20"/>
  <c r="Z731" i="20"/>
  <c r="AO730" i="20"/>
  <c r="AN730" i="20"/>
  <c r="AM730" i="20"/>
  <c r="AL730" i="20"/>
  <c r="AK730" i="20"/>
  <c r="AJ730" i="20"/>
  <c r="AI730" i="20"/>
  <c r="AH730" i="20"/>
  <c r="AG730" i="20"/>
  <c r="AF730" i="20"/>
  <c r="AE730" i="20"/>
  <c r="AD730" i="20"/>
  <c r="AC730" i="20"/>
  <c r="AB730" i="20"/>
  <c r="AA730" i="20"/>
  <c r="Z730" i="20"/>
  <c r="AO729" i="20"/>
  <c r="AN729" i="20"/>
  <c r="AM729" i="20"/>
  <c r="AL729" i="20"/>
  <c r="AK729" i="20"/>
  <c r="AJ729" i="20"/>
  <c r="AI729" i="20"/>
  <c r="AH729" i="20"/>
  <c r="AG729" i="20"/>
  <c r="AF729" i="20"/>
  <c r="AE729" i="20"/>
  <c r="AD729" i="20"/>
  <c r="AC729" i="20"/>
  <c r="AB729" i="20"/>
  <c r="AA729" i="20"/>
  <c r="Z729" i="20"/>
  <c r="AO728" i="20"/>
  <c r="AN728" i="20"/>
  <c r="AM728" i="20"/>
  <c r="AL728" i="20"/>
  <c r="AK728" i="20"/>
  <c r="AJ728" i="20"/>
  <c r="AI728" i="20"/>
  <c r="AH728" i="20"/>
  <c r="AG728" i="20"/>
  <c r="AF728" i="20"/>
  <c r="AE728" i="20"/>
  <c r="AD728" i="20"/>
  <c r="AC728" i="20"/>
  <c r="AB728" i="20"/>
  <c r="AA728" i="20"/>
  <c r="Z728" i="20"/>
  <c r="AO727" i="20"/>
  <c r="AN727" i="20"/>
  <c r="AM727" i="20"/>
  <c r="AL727" i="20"/>
  <c r="AK727" i="20"/>
  <c r="AJ727" i="20"/>
  <c r="AI727" i="20"/>
  <c r="AH727" i="20"/>
  <c r="AG727" i="20"/>
  <c r="AF727" i="20"/>
  <c r="AE727" i="20"/>
  <c r="AD727" i="20"/>
  <c r="AC727" i="20"/>
  <c r="AB727" i="20"/>
  <c r="AA727" i="20"/>
  <c r="Z727" i="20"/>
  <c r="AO726" i="20"/>
  <c r="AN726" i="20"/>
  <c r="AM726" i="20"/>
  <c r="AL726" i="20"/>
  <c r="AK726" i="20"/>
  <c r="AJ726" i="20"/>
  <c r="AI726" i="20"/>
  <c r="AH726" i="20"/>
  <c r="AG726" i="20"/>
  <c r="AF726" i="20"/>
  <c r="AE726" i="20"/>
  <c r="AD726" i="20"/>
  <c r="AC726" i="20"/>
  <c r="AB726" i="20"/>
  <c r="AA726" i="20"/>
  <c r="Z726" i="20"/>
  <c r="AO725" i="20"/>
  <c r="AN725" i="20"/>
  <c r="AM725" i="20"/>
  <c r="AL725" i="20"/>
  <c r="AK725" i="20"/>
  <c r="AJ725" i="20"/>
  <c r="AI725" i="20"/>
  <c r="AH725" i="20"/>
  <c r="AG725" i="20"/>
  <c r="AF725" i="20"/>
  <c r="AE725" i="20"/>
  <c r="AD725" i="20"/>
  <c r="AC725" i="20"/>
  <c r="AB725" i="20"/>
  <c r="AA725" i="20"/>
  <c r="Z725" i="20"/>
  <c r="AO724" i="20"/>
  <c r="AN724" i="20"/>
  <c r="AM724" i="20"/>
  <c r="AL724" i="20"/>
  <c r="AK724" i="20"/>
  <c r="AJ724" i="20"/>
  <c r="AI724" i="20"/>
  <c r="AH724" i="20"/>
  <c r="AG724" i="20"/>
  <c r="AF724" i="20"/>
  <c r="AE724" i="20"/>
  <c r="AD724" i="20"/>
  <c r="AC724" i="20"/>
  <c r="AB724" i="20"/>
  <c r="AA724" i="20"/>
  <c r="Z724" i="20"/>
  <c r="AO723" i="20"/>
  <c r="AN723" i="20"/>
  <c r="AM723" i="20"/>
  <c r="AL723" i="20"/>
  <c r="AK723" i="20"/>
  <c r="AJ723" i="20"/>
  <c r="AI723" i="20"/>
  <c r="AH723" i="20"/>
  <c r="AG723" i="20"/>
  <c r="AF723" i="20"/>
  <c r="AE723" i="20"/>
  <c r="AD723" i="20"/>
  <c r="AC723" i="20"/>
  <c r="AB723" i="20"/>
  <c r="AA723" i="20"/>
  <c r="Z723" i="20"/>
  <c r="AO722" i="20"/>
  <c r="AN722" i="20"/>
  <c r="AM722" i="20"/>
  <c r="AL722" i="20"/>
  <c r="AK722" i="20"/>
  <c r="AJ722" i="20"/>
  <c r="AI722" i="20"/>
  <c r="AH722" i="20"/>
  <c r="AG722" i="20"/>
  <c r="AF722" i="20"/>
  <c r="AE722" i="20"/>
  <c r="AD722" i="20"/>
  <c r="AC722" i="20"/>
  <c r="AB722" i="20"/>
  <c r="AA722" i="20"/>
  <c r="Z722" i="20"/>
  <c r="AO721" i="20"/>
  <c r="AN721" i="20"/>
  <c r="AM721" i="20"/>
  <c r="AL721" i="20"/>
  <c r="AK721" i="20"/>
  <c r="AJ721" i="20"/>
  <c r="AI721" i="20"/>
  <c r="AH721" i="20"/>
  <c r="AG721" i="20"/>
  <c r="AF721" i="20"/>
  <c r="AE721" i="20"/>
  <c r="AD721" i="20"/>
  <c r="AC721" i="20"/>
  <c r="AB721" i="20"/>
  <c r="AA721" i="20"/>
  <c r="Z721" i="20"/>
  <c r="AO720" i="20"/>
  <c r="AN720" i="20"/>
  <c r="AM720" i="20"/>
  <c r="AL720" i="20"/>
  <c r="AK720" i="20"/>
  <c r="AJ720" i="20"/>
  <c r="AI720" i="20"/>
  <c r="AH720" i="20"/>
  <c r="AG720" i="20"/>
  <c r="AF720" i="20"/>
  <c r="AE720" i="20"/>
  <c r="AD720" i="20"/>
  <c r="AC720" i="20"/>
  <c r="AB720" i="20"/>
  <c r="AA720" i="20"/>
  <c r="Z720" i="20"/>
  <c r="AO719" i="20"/>
  <c r="AN719" i="20"/>
  <c r="AM719" i="20"/>
  <c r="AL719" i="20"/>
  <c r="AK719" i="20"/>
  <c r="AJ719" i="20"/>
  <c r="AI719" i="20"/>
  <c r="AH719" i="20"/>
  <c r="AG719" i="20"/>
  <c r="AF719" i="20"/>
  <c r="AE719" i="20"/>
  <c r="AD719" i="20"/>
  <c r="AC719" i="20"/>
  <c r="AB719" i="20"/>
  <c r="AA719" i="20"/>
  <c r="Z719" i="20"/>
  <c r="AO718" i="20"/>
  <c r="AN718" i="20"/>
  <c r="AM718" i="20"/>
  <c r="AL718" i="20"/>
  <c r="AK718" i="20"/>
  <c r="AJ718" i="20"/>
  <c r="AI718" i="20"/>
  <c r="AH718" i="20"/>
  <c r="AG718" i="20"/>
  <c r="AF718" i="20"/>
  <c r="AE718" i="20"/>
  <c r="AD718" i="20"/>
  <c r="AC718" i="20"/>
  <c r="AB718" i="20"/>
  <c r="AA718" i="20"/>
  <c r="Z718" i="20"/>
  <c r="AO717" i="20"/>
  <c r="AN717" i="20"/>
  <c r="AM717" i="20"/>
  <c r="AL717" i="20"/>
  <c r="AK717" i="20"/>
  <c r="AJ717" i="20"/>
  <c r="AI717" i="20"/>
  <c r="AH717" i="20"/>
  <c r="AG717" i="20"/>
  <c r="AF717" i="20"/>
  <c r="AE717" i="20"/>
  <c r="AD717" i="20"/>
  <c r="AC717" i="20"/>
  <c r="AB717" i="20"/>
  <c r="AA717" i="20"/>
  <c r="Z717" i="20"/>
  <c r="AO716" i="20"/>
  <c r="AN716" i="20"/>
  <c r="AM716" i="20"/>
  <c r="AL716" i="20"/>
  <c r="AK716" i="20"/>
  <c r="AJ716" i="20"/>
  <c r="AI716" i="20"/>
  <c r="AH716" i="20"/>
  <c r="AG716" i="20"/>
  <c r="AF716" i="20"/>
  <c r="AE716" i="20"/>
  <c r="AD716" i="20"/>
  <c r="AC716" i="20"/>
  <c r="AB716" i="20"/>
  <c r="AA716" i="20"/>
  <c r="Z716" i="20"/>
  <c r="AO715" i="20"/>
  <c r="AN715" i="20"/>
  <c r="AM715" i="20"/>
  <c r="AL715" i="20"/>
  <c r="AK715" i="20"/>
  <c r="AJ715" i="20"/>
  <c r="AI715" i="20"/>
  <c r="AH715" i="20"/>
  <c r="AG715" i="20"/>
  <c r="AF715" i="20"/>
  <c r="AE715" i="20"/>
  <c r="AD715" i="20"/>
  <c r="AC715" i="20"/>
  <c r="AB715" i="20"/>
  <c r="AA715" i="20"/>
  <c r="Z715" i="20"/>
  <c r="AO714" i="20"/>
  <c r="AN714" i="20"/>
  <c r="AM714" i="20"/>
  <c r="AL714" i="20"/>
  <c r="AK714" i="20"/>
  <c r="AJ714" i="20"/>
  <c r="AI714" i="20"/>
  <c r="AH714" i="20"/>
  <c r="AG714" i="20"/>
  <c r="AF714" i="20"/>
  <c r="AE714" i="20"/>
  <c r="AD714" i="20"/>
  <c r="AC714" i="20"/>
  <c r="AB714" i="20"/>
  <c r="AA714" i="20"/>
  <c r="Z714" i="20"/>
  <c r="AO713" i="20"/>
  <c r="AN713" i="20"/>
  <c r="AM713" i="20"/>
  <c r="AL713" i="20"/>
  <c r="AK713" i="20"/>
  <c r="AJ713" i="20"/>
  <c r="AI713" i="20"/>
  <c r="AH713" i="20"/>
  <c r="AG713" i="20"/>
  <c r="AF713" i="20"/>
  <c r="AE713" i="20"/>
  <c r="AD713" i="20"/>
  <c r="AC713" i="20"/>
  <c r="AB713" i="20"/>
  <c r="AA713" i="20"/>
  <c r="Z713" i="20"/>
  <c r="AO712" i="20"/>
  <c r="AN712" i="20"/>
  <c r="AM712" i="20"/>
  <c r="AL712" i="20"/>
  <c r="AK712" i="20"/>
  <c r="AJ712" i="20"/>
  <c r="AI712" i="20"/>
  <c r="AH712" i="20"/>
  <c r="AG712" i="20"/>
  <c r="AF712" i="20"/>
  <c r="AE712" i="20"/>
  <c r="AD712" i="20"/>
  <c r="AC712" i="20"/>
  <c r="AB712" i="20"/>
  <c r="AA712" i="20"/>
  <c r="Z712" i="20"/>
  <c r="AO711" i="20"/>
  <c r="AN711" i="20"/>
  <c r="AM711" i="20"/>
  <c r="AL711" i="20"/>
  <c r="AK711" i="20"/>
  <c r="AJ711" i="20"/>
  <c r="AI711" i="20"/>
  <c r="AH711" i="20"/>
  <c r="AG711" i="20"/>
  <c r="AF711" i="20"/>
  <c r="AE711" i="20"/>
  <c r="AD711" i="20"/>
  <c r="AC711" i="20"/>
  <c r="AB711" i="20"/>
  <c r="AA711" i="20"/>
  <c r="Z711" i="20"/>
  <c r="AO710" i="20"/>
  <c r="AN710" i="20"/>
  <c r="AM710" i="20"/>
  <c r="AL710" i="20"/>
  <c r="AK710" i="20"/>
  <c r="AJ710" i="20"/>
  <c r="AI710" i="20"/>
  <c r="AH710" i="20"/>
  <c r="AG710" i="20"/>
  <c r="AF710" i="20"/>
  <c r="AE710" i="20"/>
  <c r="AD710" i="20"/>
  <c r="AC710" i="20"/>
  <c r="AB710" i="20"/>
  <c r="AA710" i="20"/>
  <c r="Z710" i="20"/>
  <c r="AO709" i="20"/>
  <c r="AN709" i="20"/>
  <c r="AM709" i="20"/>
  <c r="AL709" i="20"/>
  <c r="AK709" i="20"/>
  <c r="AJ709" i="20"/>
  <c r="AI709" i="20"/>
  <c r="AH709" i="20"/>
  <c r="AG709" i="20"/>
  <c r="AF709" i="20"/>
  <c r="AE709" i="20"/>
  <c r="AD709" i="20"/>
  <c r="AC709" i="20"/>
  <c r="AB709" i="20"/>
  <c r="AA709" i="20"/>
  <c r="Z709" i="20"/>
  <c r="AO708" i="20"/>
  <c r="AN708" i="20"/>
  <c r="AM708" i="20"/>
  <c r="AL708" i="20"/>
  <c r="AK708" i="20"/>
  <c r="AJ708" i="20"/>
  <c r="AI708" i="20"/>
  <c r="AH708" i="20"/>
  <c r="AG708" i="20"/>
  <c r="AF708" i="20"/>
  <c r="AE708" i="20"/>
  <c r="AD708" i="20"/>
  <c r="AC708" i="20"/>
  <c r="AB708" i="20"/>
  <c r="AA708" i="20"/>
  <c r="Z708" i="20"/>
  <c r="AO707" i="20"/>
  <c r="AN707" i="20"/>
  <c r="AM707" i="20"/>
  <c r="AL707" i="20"/>
  <c r="AK707" i="20"/>
  <c r="AJ707" i="20"/>
  <c r="AI707" i="20"/>
  <c r="AH707" i="20"/>
  <c r="AG707" i="20"/>
  <c r="AF707" i="20"/>
  <c r="AE707" i="20"/>
  <c r="AD707" i="20"/>
  <c r="AC707" i="20"/>
  <c r="AB707" i="20"/>
  <c r="AA707" i="20"/>
  <c r="Z707" i="20"/>
  <c r="AO706" i="20"/>
  <c r="AN706" i="20"/>
  <c r="AM706" i="20"/>
  <c r="AL706" i="20"/>
  <c r="AK706" i="20"/>
  <c r="AJ706" i="20"/>
  <c r="AI706" i="20"/>
  <c r="AH706" i="20"/>
  <c r="AG706" i="20"/>
  <c r="AF706" i="20"/>
  <c r="AE706" i="20"/>
  <c r="AD706" i="20"/>
  <c r="AC706" i="20"/>
  <c r="AB706" i="20"/>
  <c r="AA706" i="20"/>
  <c r="Z706" i="20"/>
  <c r="AO705" i="20"/>
  <c r="AN705" i="20"/>
  <c r="AM705" i="20"/>
  <c r="AL705" i="20"/>
  <c r="AK705" i="20"/>
  <c r="AJ705" i="20"/>
  <c r="AI705" i="20"/>
  <c r="AH705" i="20"/>
  <c r="AG705" i="20"/>
  <c r="AF705" i="20"/>
  <c r="AE705" i="20"/>
  <c r="AD705" i="20"/>
  <c r="AC705" i="20"/>
  <c r="AB705" i="20"/>
  <c r="AA705" i="20"/>
  <c r="Z705" i="20"/>
  <c r="AO704" i="20"/>
  <c r="AN704" i="20"/>
  <c r="AM704" i="20"/>
  <c r="AL704" i="20"/>
  <c r="AK704" i="20"/>
  <c r="AJ704" i="20"/>
  <c r="AI704" i="20"/>
  <c r="AH704" i="20"/>
  <c r="AG704" i="20"/>
  <c r="AF704" i="20"/>
  <c r="AE704" i="20"/>
  <c r="AD704" i="20"/>
  <c r="AC704" i="20"/>
  <c r="AB704" i="20"/>
  <c r="AA704" i="20"/>
  <c r="Z704" i="20"/>
  <c r="AO703" i="20"/>
  <c r="AN703" i="20"/>
  <c r="AM703" i="20"/>
  <c r="AL703" i="20"/>
  <c r="AK703" i="20"/>
  <c r="AJ703" i="20"/>
  <c r="AI703" i="20"/>
  <c r="AH703" i="20"/>
  <c r="AG703" i="20"/>
  <c r="AF703" i="20"/>
  <c r="AE703" i="20"/>
  <c r="AD703" i="20"/>
  <c r="AC703" i="20"/>
  <c r="AB703" i="20"/>
  <c r="AA703" i="20"/>
  <c r="Z703" i="20"/>
  <c r="AO702" i="20"/>
  <c r="AN702" i="20"/>
  <c r="AM702" i="20"/>
  <c r="AL702" i="20"/>
  <c r="AK702" i="20"/>
  <c r="AJ702" i="20"/>
  <c r="AI702" i="20"/>
  <c r="AH702" i="20"/>
  <c r="AG702" i="20"/>
  <c r="AF702" i="20"/>
  <c r="AE702" i="20"/>
  <c r="AD702" i="20"/>
  <c r="AC702" i="20"/>
  <c r="AB702" i="20"/>
  <c r="AA702" i="20"/>
  <c r="Z702" i="20"/>
  <c r="AO701" i="20"/>
  <c r="AN701" i="20"/>
  <c r="AM701" i="20"/>
  <c r="AL701" i="20"/>
  <c r="AK701" i="20"/>
  <c r="AJ701" i="20"/>
  <c r="AI701" i="20"/>
  <c r="AH701" i="20"/>
  <c r="AG701" i="20"/>
  <c r="AF701" i="20"/>
  <c r="AE701" i="20"/>
  <c r="AD701" i="20"/>
  <c r="AC701" i="20"/>
  <c r="AB701" i="20"/>
  <c r="AA701" i="20"/>
  <c r="Z701" i="20"/>
  <c r="AO700" i="20"/>
  <c r="AN700" i="20"/>
  <c r="AM700" i="20"/>
  <c r="AL700" i="20"/>
  <c r="AK700" i="20"/>
  <c r="AJ700" i="20"/>
  <c r="AI700" i="20"/>
  <c r="AH700" i="20"/>
  <c r="AG700" i="20"/>
  <c r="AF700" i="20"/>
  <c r="AE700" i="20"/>
  <c r="AD700" i="20"/>
  <c r="AC700" i="20"/>
  <c r="AB700" i="20"/>
  <c r="AA700" i="20"/>
  <c r="Z700" i="20"/>
  <c r="AO699" i="20"/>
  <c r="AN699" i="20"/>
  <c r="AM699" i="20"/>
  <c r="AL699" i="20"/>
  <c r="AK699" i="20"/>
  <c r="AJ699" i="20"/>
  <c r="AI699" i="20"/>
  <c r="AH699" i="20"/>
  <c r="AG699" i="20"/>
  <c r="AF699" i="20"/>
  <c r="AE699" i="20"/>
  <c r="AD699" i="20"/>
  <c r="AC699" i="20"/>
  <c r="AB699" i="20"/>
  <c r="AA699" i="20"/>
  <c r="Z699" i="20"/>
  <c r="AO698" i="20"/>
  <c r="AN698" i="20"/>
  <c r="AM698" i="20"/>
  <c r="AL698" i="20"/>
  <c r="AK698" i="20"/>
  <c r="AJ698" i="20"/>
  <c r="AI698" i="20"/>
  <c r="AH698" i="20"/>
  <c r="AG698" i="20"/>
  <c r="AF698" i="20"/>
  <c r="AE698" i="20"/>
  <c r="AD698" i="20"/>
  <c r="AC698" i="20"/>
  <c r="AB698" i="20"/>
  <c r="AA698" i="20"/>
  <c r="Z698" i="20"/>
  <c r="AO697" i="20"/>
  <c r="AN697" i="20"/>
  <c r="AM697" i="20"/>
  <c r="AL697" i="20"/>
  <c r="AK697" i="20"/>
  <c r="AJ697" i="20"/>
  <c r="AI697" i="20"/>
  <c r="AH697" i="20"/>
  <c r="AG697" i="20"/>
  <c r="AF697" i="20"/>
  <c r="AE697" i="20"/>
  <c r="AD697" i="20"/>
  <c r="AC697" i="20"/>
  <c r="AB697" i="20"/>
  <c r="AA697" i="20"/>
  <c r="Z697" i="20"/>
  <c r="AO696" i="20"/>
  <c r="AN696" i="20"/>
  <c r="AM696" i="20"/>
  <c r="AL696" i="20"/>
  <c r="AK696" i="20"/>
  <c r="AJ696" i="20"/>
  <c r="AI696" i="20"/>
  <c r="AH696" i="20"/>
  <c r="AG696" i="20"/>
  <c r="AF696" i="20"/>
  <c r="AE696" i="20"/>
  <c r="AD696" i="20"/>
  <c r="AC696" i="20"/>
  <c r="AB696" i="20"/>
  <c r="AA696" i="20"/>
  <c r="Z696" i="20"/>
  <c r="AO695" i="20"/>
  <c r="AN695" i="20"/>
  <c r="AM695" i="20"/>
  <c r="AL695" i="20"/>
  <c r="AK695" i="20"/>
  <c r="AJ695" i="20"/>
  <c r="AI695" i="20"/>
  <c r="AH695" i="20"/>
  <c r="AG695" i="20"/>
  <c r="AF695" i="20"/>
  <c r="AE695" i="20"/>
  <c r="AD695" i="20"/>
  <c r="AC695" i="20"/>
  <c r="AB695" i="20"/>
  <c r="AA695" i="20"/>
  <c r="Z695" i="20"/>
  <c r="AO694" i="20"/>
  <c r="AN694" i="20"/>
  <c r="AM694" i="20"/>
  <c r="AL694" i="20"/>
  <c r="AK694" i="20"/>
  <c r="AJ694" i="20"/>
  <c r="AI694" i="20"/>
  <c r="AH694" i="20"/>
  <c r="AG694" i="20"/>
  <c r="AF694" i="20"/>
  <c r="AE694" i="20"/>
  <c r="AD694" i="20"/>
  <c r="AC694" i="20"/>
  <c r="AB694" i="20"/>
  <c r="AA694" i="20"/>
  <c r="Z694" i="20"/>
  <c r="AO693" i="20"/>
  <c r="AN693" i="20"/>
  <c r="AM693" i="20"/>
  <c r="AL693" i="20"/>
  <c r="AK693" i="20"/>
  <c r="AJ693" i="20"/>
  <c r="AI693" i="20"/>
  <c r="AH693" i="20"/>
  <c r="AG693" i="20"/>
  <c r="AF693" i="20"/>
  <c r="AE693" i="20"/>
  <c r="AD693" i="20"/>
  <c r="AC693" i="20"/>
  <c r="AB693" i="20"/>
  <c r="AA693" i="20"/>
  <c r="Z693" i="20"/>
  <c r="AO692" i="20"/>
  <c r="AN692" i="20"/>
  <c r="AM692" i="20"/>
  <c r="AL692" i="20"/>
  <c r="AK692" i="20"/>
  <c r="AJ692" i="20"/>
  <c r="AI692" i="20"/>
  <c r="AH692" i="20"/>
  <c r="AG692" i="20"/>
  <c r="AF692" i="20"/>
  <c r="AE692" i="20"/>
  <c r="AD692" i="20"/>
  <c r="AC692" i="20"/>
  <c r="AB692" i="20"/>
  <c r="AA692" i="20"/>
  <c r="Z692" i="20"/>
  <c r="AO691" i="20"/>
  <c r="AN691" i="20"/>
  <c r="AM691" i="20"/>
  <c r="AL691" i="20"/>
  <c r="AK691" i="20"/>
  <c r="AJ691" i="20"/>
  <c r="AI691" i="20"/>
  <c r="AH691" i="20"/>
  <c r="AG691" i="20"/>
  <c r="AF691" i="20"/>
  <c r="AE691" i="20"/>
  <c r="AD691" i="20"/>
  <c r="AC691" i="20"/>
  <c r="AB691" i="20"/>
  <c r="AA691" i="20"/>
  <c r="Z691" i="20"/>
  <c r="AO690" i="20"/>
  <c r="AN690" i="20"/>
  <c r="AM690" i="20"/>
  <c r="AL690" i="20"/>
  <c r="AK690" i="20"/>
  <c r="AJ690" i="20"/>
  <c r="AI690" i="20"/>
  <c r="AH690" i="20"/>
  <c r="AG690" i="20"/>
  <c r="AF690" i="20"/>
  <c r="AE690" i="20"/>
  <c r="AD690" i="20"/>
  <c r="AC690" i="20"/>
  <c r="AB690" i="20"/>
  <c r="AA690" i="20"/>
  <c r="Z690" i="20"/>
  <c r="AO689" i="20"/>
  <c r="AN689" i="20"/>
  <c r="AM689" i="20"/>
  <c r="AL689" i="20"/>
  <c r="AK689" i="20"/>
  <c r="AJ689" i="20"/>
  <c r="AI689" i="20"/>
  <c r="AH689" i="20"/>
  <c r="AG689" i="20"/>
  <c r="AF689" i="20"/>
  <c r="AE689" i="20"/>
  <c r="AD689" i="20"/>
  <c r="AC689" i="20"/>
  <c r="AB689" i="20"/>
  <c r="AA689" i="20"/>
  <c r="Z689" i="20"/>
  <c r="AO688" i="20"/>
  <c r="AN688" i="20"/>
  <c r="AM688" i="20"/>
  <c r="AL688" i="20"/>
  <c r="AK688" i="20"/>
  <c r="AJ688" i="20"/>
  <c r="AI688" i="20"/>
  <c r="AH688" i="20"/>
  <c r="AG688" i="20"/>
  <c r="AF688" i="20"/>
  <c r="AE688" i="20"/>
  <c r="AD688" i="20"/>
  <c r="AC688" i="20"/>
  <c r="AB688" i="20"/>
  <c r="AA688" i="20"/>
  <c r="Z688" i="20"/>
  <c r="AO687" i="20"/>
  <c r="AN687" i="20"/>
  <c r="AM687" i="20"/>
  <c r="AL687" i="20"/>
  <c r="AK687" i="20"/>
  <c r="AJ687" i="20"/>
  <c r="AI687" i="20"/>
  <c r="AH687" i="20"/>
  <c r="AG687" i="20"/>
  <c r="AF687" i="20"/>
  <c r="AE687" i="20"/>
  <c r="AD687" i="20"/>
  <c r="AC687" i="20"/>
  <c r="AB687" i="20"/>
  <c r="AA687" i="20"/>
  <c r="Z687" i="20"/>
  <c r="AO686" i="20"/>
  <c r="AN686" i="20"/>
  <c r="AM686" i="20"/>
  <c r="AL686" i="20"/>
  <c r="AK686" i="20"/>
  <c r="AJ686" i="20"/>
  <c r="AI686" i="20"/>
  <c r="AH686" i="20"/>
  <c r="AG686" i="20"/>
  <c r="AF686" i="20"/>
  <c r="AE686" i="20"/>
  <c r="AD686" i="20"/>
  <c r="AC686" i="20"/>
  <c r="AB686" i="20"/>
  <c r="AA686" i="20"/>
  <c r="Z686" i="20"/>
  <c r="AO685" i="20"/>
  <c r="AN685" i="20"/>
  <c r="AM685" i="20"/>
  <c r="AL685" i="20"/>
  <c r="AK685" i="20"/>
  <c r="AJ685" i="20"/>
  <c r="AI685" i="20"/>
  <c r="AH685" i="20"/>
  <c r="AG685" i="20"/>
  <c r="AF685" i="20"/>
  <c r="AE685" i="20"/>
  <c r="AD685" i="20"/>
  <c r="AC685" i="20"/>
  <c r="AB685" i="20"/>
  <c r="AA685" i="20"/>
  <c r="Z685" i="20"/>
  <c r="AO684" i="20"/>
  <c r="AN684" i="20"/>
  <c r="AM684" i="20"/>
  <c r="AL684" i="20"/>
  <c r="AK684" i="20"/>
  <c r="AJ684" i="20"/>
  <c r="AI684" i="20"/>
  <c r="AH684" i="20"/>
  <c r="AG684" i="20"/>
  <c r="AF684" i="20"/>
  <c r="AE684" i="20"/>
  <c r="AD684" i="20"/>
  <c r="AC684" i="20"/>
  <c r="AB684" i="20"/>
  <c r="AA684" i="20"/>
  <c r="Z684" i="20"/>
  <c r="AO683" i="20"/>
  <c r="AN683" i="20"/>
  <c r="AM683" i="20"/>
  <c r="AL683" i="20"/>
  <c r="AK683" i="20"/>
  <c r="AJ683" i="20"/>
  <c r="AI683" i="20"/>
  <c r="AH683" i="20"/>
  <c r="AG683" i="20"/>
  <c r="AF683" i="20"/>
  <c r="AE683" i="20"/>
  <c r="AD683" i="20"/>
  <c r="AC683" i="20"/>
  <c r="AB683" i="20"/>
  <c r="AA683" i="20"/>
  <c r="Z683" i="20"/>
  <c r="AO682" i="20"/>
  <c r="AN682" i="20"/>
  <c r="AM682" i="20"/>
  <c r="AL682" i="20"/>
  <c r="AK682" i="20"/>
  <c r="AJ682" i="20"/>
  <c r="AI682" i="20"/>
  <c r="AH682" i="20"/>
  <c r="AG682" i="20"/>
  <c r="AF682" i="20"/>
  <c r="AE682" i="20"/>
  <c r="AD682" i="20"/>
  <c r="AC682" i="20"/>
  <c r="AB682" i="20"/>
  <c r="AA682" i="20"/>
  <c r="Z682" i="20"/>
  <c r="AO681" i="20"/>
  <c r="AN681" i="20"/>
  <c r="AM681" i="20"/>
  <c r="AL681" i="20"/>
  <c r="AK681" i="20"/>
  <c r="AJ681" i="20"/>
  <c r="AI681" i="20"/>
  <c r="AH681" i="20"/>
  <c r="AG681" i="20"/>
  <c r="AF681" i="20"/>
  <c r="AE681" i="20"/>
  <c r="AD681" i="20"/>
  <c r="AC681" i="20"/>
  <c r="AB681" i="20"/>
  <c r="AA681" i="20"/>
  <c r="Z681" i="20"/>
  <c r="AO680" i="20"/>
  <c r="AN680" i="20"/>
  <c r="AM680" i="20"/>
  <c r="AL680" i="20"/>
  <c r="AK680" i="20"/>
  <c r="AJ680" i="20"/>
  <c r="AI680" i="20"/>
  <c r="AH680" i="20"/>
  <c r="AG680" i="20"/>
  <c r="AF680" i="20"/>
  <c r="AE680" i="20"/>
  <c r="AD680" i="20"/>
  <c r="AC680" i="20"/>
  <c r="AB680" i="20"/>
  <c r="AA680" i="20"/>
  <c r="Z680" i="20"/>
  <c r="AO679" i="20"/>
  <c r="AN679" i="20"/>
  <c r="AM679" i="20"/>
  <c r="AL679" i="20"/>
  <c r="AK679" i="20"/>
  <c r="AJ679" i="20"/>
  <c r="AI679" i="20"/>
  <c r="AH679" i="20"/>
  <c r="AG679" i="20"/>
  <c r="AF679" i="20"/>
  <c r="AE679" i="20"/>
  <c r="AD679" i="20"/>
  <c r="AC679" i="20"/>
  <c r="AB679" i="20"/>
  <c r="AA679" i="20"/>
  <c r="Z679" i="20"/>
  <c r="AO678" i="20"/>
  <c r="AN678" i="20"/>
  <c r="AM678" i="20"/>
  <c r="AL678" i="20"/>
  <c r="AK678" i="20"/>
  <c r="AJ678" i="20"/>
  <c r="AI678" i="20"/>
  <c r="AH678" i="20"/>
  <c r="AG678" i="20"/>
  <c r="AF678" i="20"/>
  <c r="AE678" i="20"/>
  <c r="AD678" i="20"/>
  <c r="AC678" i="20"/>
  <c r="AB678" i="20"/>
  <c r="AA678" i="20"/>
  <c r="Z678" i="20"/>
  <c r="AO677" i="20"/>
  <c r="AN677" i="20"/>
  <c r="AM677" i="20"/>
  <c r="AL677" i="20"/>
  <c r="AK677" i="20"/>
  <c r="AJ677" i="20"/>
  <c r="AI677" i="20"/>
  <c r="AH677" i="20"/>
  <c r="AG677" i="20"/>
  <c r="AF677" i="20"/>
  <c r="AE677" i="20"/>
  <c r="AD677" i="20"/>
  <c r="AC677" i="20"/>
  <c r="AB677" i="20"/>
  <c r="AA677" i="20"/>
  <c r="Z677" i="20"/>
  <c r="AO676" i="20"/>
  <c r="AN676" i="20"/>
  <c r="AM676" i="20"/>
  <c r="AL676" i="20"/>
  <c r="AK676" i="20"/>
  <c r="AJ676" i="20"/>
  <c r="AI676" i="20"/>
  <c r="AH676" i="20"/>
  <c r="AG676" i="20"/>
  <c r="AF676" i="20"/>
  <c r="AE676" i="20"/>
  <c r="AD676" i="20"/>
  <c r="AC676" i="20"/>
  <c r="AB676" i="20"/>
  <c r="AA676" i="20"/>
  <c r="Z676" i="20"/>
  <c r="AO675" i="20"/>
  <c r="AN675" i="20"/>
  <c r="AM675" i="20"/>
  <c r="AL675" i="20"/>
  <c r="AK675" i="20"/>
  <c r="AJ675" i="20"/>
  <c r="AI675" i="20"/>
  <c r="AH675" i="20"/>
  <c r="AG675" i="20"/>
  <c r="AF675" i="20"/>
  <c r="AE675" i="20"/>
  <c r="AD675" i="20"/>
  <c r="AC675" i="20"/>
  <c r="AB675" i="20"/>
  <c r="AA675" i="20"/>
  <c r="Z675" i="20"/>
  <c r="AO674" i="20"/>
  <c r="AN674" i="20"/>
  <c r="AM674" i="20"/>
  <c r="AL674" i="20"/>
  <c r="AK674" i="20"/>
  <c r="AJ674" i="20"/>
  <c r="AI674" i="20"/>
  <c r="AH674" i="20"/>
  <c r="AG674" i="20"/>
  <c r="AF674" i="20"/>
  <c r="AE674" i="20"/>
  <c r="AD674" i="20"/>
  <c r="AC674" i="20"/>
  <c r="AB674" i="20"/>
  <c r="AA674" i="20"/>
  <c r="Z674" i="20"/>
  <c r="AO673" i="20"/>
  <c r="AN673" i="20"/>
  <c r="AM673" i="20"/>
  <c r="AL673" i="20"/>
  <c r="AK673" i="20"/>
  <c r="AJ673" i="20"/>
  <c r="AI673" i="20"/>
  <c r="AH673" i="20"/>
  <c r="AG673" i="20"/>
  <c r="AF673" i="20"/>
  <c r="AE673" i="20"/>
  <c r="AD673" i="20"/>
  <c r="AC673" i="20"/>
  <c r="AB673" i="20"/>
  <c r="AA673" i="20"/>
  <c r="Z673" i="20"/>
  <c r="AO672" i="20"/>
  <c r="AN672" i="20"/>
  <c r="AM672" i="20"/>
  <c r="AL672" i="20"/>
  <c r="AK672" i="20"/>
  <c r="AJ672" i="20"/>
  <c r="AI672" i="20"/>
  <c r="AH672" i="20"/>
  <c r="AG672" i="20"/>
  <c r="AF672" i="20"/>
  <c r="AE672" i="20"/>
  <c r="AD672" i="20"/>
  <c r="AC672" i="20"/>
  <c r="AB672" i="20"/>
  <c r="AA672" i="20"/>
  <c r="Z672" i="20"/>
  <c r="AO671" i="20"/>
  <c r="AN671" i="20"/>
  <c r="AM671" i="20"/>
  <c r="AL671" i="20"/>
  <c r="AK671" i="20"/>
  <c r="AJ671" i="20"/>
  <c r="AI671" i="20"/>
  <c r="AH671" i="20"/>
  <c r="AG671" i="20"/>
  <c r="AF671" i="20"/>
  <c r="AE671" i="20"/>
  <c r="AD671" i="20"/>
  <c r="AC671" i="20"/>
  <c r="AB671" i="20"/>
  <c r="AA671" i="20"/>
  <c r="Z671" i="20"/>
  <c r="AO670" i="20"/>
  <c r="AN670" i="20"/>
  <c r="AM670" i="20"/>
  <c r="AL670" i="20"/>
  <c r="AK670" i="20"/>
  <c r="AJ670" i="20"/>
  <c r="AI670" i="20"/>
  <c r="AH670" i="20"/>
  <c r="AG670" i="20"/>
  <c r="AF670" i="20"/>
  <c r="AE670" i="20"/>
  <c r="AD670" i="20"/>
  <c r="AC670" i="20"/>
  <c r="AB670" i="20"/>
  <c r="AA670" i="20"/>
  <c r="Z670" i="20"/>
  <c r="AO669" i="20"/>
  <c r="AN669" i="20"/>
  <c r="AM669" i="20"/>
  <c r="AL669" i="20"/>
  <c r="AK669" i="20"/>
  <c r="AJ669" i="20"/>
  <c r="AI669" i="20"/>
  <c r="AH669" i="20"/>
  <c r="AG669" i="20"/>
  <c r="AF669" i="20"/>
  <c r="AE669" i="20"/>
  <c r="AD669" i="20"/>
  <c r="AC669" i="20"/>
  <c r="AB669" i="20"/>
  <c r="AA669" i="20"/>
  <c r="Z669" i="20"/>
  <c r="AO668" i="20"/>
  <c r="AN668" i="20"/>
  <c r="AM668" i="20"/>
  <c r="AL668" i="20"/>
  <c r="AK668" i="20"/>
  <c r="AJ668" i="20"/>
  <c r="AI668" i="20"/>
  <c r="AH668" i="20"/>
  <c r="AG668" i="20"/>
  <c r="AF668" i="20"/>
  <c r="AE668" i="20"/>
  <c r="AD668" i="20"/>
  <c r="AC668" i="20"/>
  <c r="AB668" i="20"/>
  <c r="AA668" i="20"/>
  <c r="Z668" i="20"/>
  <c r="AO667" i="20"/>
  <c r="AN667" i="20"/>
  <c r="AM667" i="20"/>
  <c r="AL667" i="20"/>
  <c r="AK667" i="20"/>
  <c r="AJ667" i="20"/>
  <c r="AI667" i="20"/>
  <c r="AH667" i="20"/>
  <c r="AG667" i="20"/>
  <c r="AF667" i="20"/>
  <c r="AE667" i="20"/>
  <c r="AD667" i="20"/>
  <c r="AC667" i="20"/>
  <c r="AB667" i="20"/>
  <c r="AA667" i="20"/>
  <c r="Z667" i="20"/>
  <c r="AO666" i="20"/>
  <c r="AN666" i="20"/>
  <c r="AM666" i="20"/>
  <c r="AL666" i="20"/>
  <c r="AK666" i="20"/>
  <c r="AJ666" i="20"/>
  <c r="AI666" i="20"/>
  <c r="AH666" i="20"/>
  <c r="AG666" i="20"/>
  <c r="AF666" i="20"/>
  <c r="AE666" i="20"/>
  <c r="AD666" i="20"/>
  <c r="AC666" i="20"/>
  <c r="AB666" i="20"/>
  <c r="AA666" i="20"/>
  <c r="Z666" i="20"/>
  <c r="AO665" i="20"/>
  <c r="AN665" i="20"/>
  <c r="AM665" i="20"/>
  <c r="AL665" i="20"/>
  <c r="AK665" i="20"/>
  <c r="AJ665" i="20"/>
  <c r="AI665" i="20"/>
  <c r="AH665" i="20"/>
  <c r="AG665" i="20"/>
  <c r="AF665" i="20"/>
  <c r="AE665" i="20"/>
  <c r="AD665" i="20"/>
  <c r="AC665" i="20"/>
  <c r="AB665" i="20"/>
  <c r="AA665" i="20"/>
  <c r="Z665" i="20"/>
  <c r="AO664" i="20"/>
  <c r="AN664" i="20"/>
  <c r="AM664" i="20"/>
  <c r="AL664" i="20"/>
  <c r="AK664" i="20"/>
  <c r="AJ664" i="20"/>
  <c r="AI664" i="20"/>
  <c r="AH664" i="20"/>
  <c r="AG664" i="20"/>
  <c r="AF664" i="20"/>
  <c r="AE664" i="20"/>
  <c r="AD664" i="20"/>
  <c r="AC664" i="20"/>
  <c r="AB664" i="20"/>
  <c r="AA664" i="20"/>
  <c r="Z664" i="20"/>
  <c r="AO663" i="20"/>
  <c r="AN663" i="20"/>
  <c r="AM663" i="20"/>
  <c r="AL663" i="20"/>
  <c r="AK663" i="20"/>
  <c r="AJ663" i="20"/>
  <c r="AI663" i="20"/>
  <c r="AH663" i="20"/>
  <c r="AG663" i="20"/>
  <c r="AF663" i="20"/>
  <c r="AE663" i="20"/>
  <c r="AD663" i="20"/>
  <c r="AC663" i="20"/>
  <c r="AB663" i="20"/>
  <c r="AA663" i="20"/>
  <c r="Z663" i="20"/>
  <c r="AO662" i="20"/>
  <c r="AN662" i="20"/>
  <c r="AM662" i="20"/>
  <c r="AL662" i="20"/>
  <c r="AK662" i="20"/>
  <c r="AJ662" i="20"/>
  <c r="AI662" i="20"/>
  <c r="AH662" i="20"/>
  <c r="AG662" i="20"/>
  <c r="AF662" i="20"/>
  <c r="AE662" i="20"/>
  <c r="AD662" i="20"/>
  <c r="AC662" i="20"/>
  <c r="AB662" i="20"/>
  <c r="AA662" i="20"/>
  <c r="Z662" i="20"/>
  <c r="AO661" i="20"/>
  <c r="AN661" i="20"/>
  <c r="AM661" i="20"/>
  <c r="AL661" i="20"/>
  <c r="AK661" i="20"/>
  <c r="AJ661" i="20"/>
  <c r="AI661" i="20"/>
  <c r="AH661" i="20"/>
  <c r="AG661" i="20"/>
  <c r="AF661" i="20"/>
  <c r="AE661" i="20"/>
  <c r="AD661" i="20"/>
  <c r="AC661" i="20"/>
  <c r="AB661" i="20"/>
  <c r="AA661" i="20"/>
  <c r="Z661" i="20"/>
  <c r="AO660" i="20"/>
  <c r="AN660" i="20"/>
  <c r="AM660" i="20"/>
  <c r="AL660" i="20"/>
  <c r="AK660" i="20"/>
  <c r="AJ660" i="20"/>
  <c r="AI660" i="20"/>
  <c r="AH660" i="20"/>
  <c r="AG660" i="20"/>
  <c r="AF660" i="20"/>
  <c r="AE660" i="20"/>
  <c r="AD660" i="20"/>
  <c r="AC660" i="20"/>
  <c r="AB660" i="20"/>
  <c r="AA660" i="20"/>
  <c r="Z660" i="20"/>
  <c r="AO659" i="20"/>
  <c r="AN659" i="20"/>
  <c r="AM659" i="20"/>
  <c r="AL659" i="20"/>
  <c r="AK659" i="20"/>
  <c r="AJ659" i="20"/>
  <c r="AI659" i="20"/>
  <c r="AH659" i="20"/>
  <c r="AG659" i="20"/>
  <c r="AF659" i="20"/>
  <c r="AE659" i="20"/>
  <c r="AD659" i="20"/>
  <c r="AC659" i="20"/>
  <c r="AB659" i="20"/>
  <c r="AA659" i="20"/>
  <c r="Z659" i="20"/>
  <c r="AO658" i="20"/>
  <c r="AN658" i="20"/>
  <c r="AM658" i="20"/>
  <c r="AL658" i="20"/>
  <c r="AK658" i="20"/>
  <c r="AJ658" i="20"/>
  <c r="AI658" i="20"/>
  <c r="AH658" i="20"/>
  <c r="AG658" i="20"/>
  <c r="AF658" i="20"/>
  <c r="AE658" i="20"/>
  <c r="AD658" i="20"/>
  <c r="AC658" i="20"/>
  <c r="AB658" i="20"/>
  <c r="AA658" i="20"/>
  <c r="Z658" i="20"/>
  <c r="AO657" i="20"/>
  <c r="AN657" i="20"/>
  <c r="AM657" i="20"/>
  <c r="AL657" i="20"/>
  <c r="AK657" i="20"/>
  <c r="AJ657" i="20"/>
  <c r="AI657" i="20"/>
  <c r="AH657" i="20"/>
  <c r="AG657" i="20"/>
  <c r="AF657" i="20"/>
  <c r="AE657" i="20"/>
  <c r="AD657" i="20"/>
  <c r="AC657" i="20"/>
  <c r="AB657" i="20"/>
  <c r="AA657" i="20"/>
  <c r="Z657" i="20"/>
  <c r="AO656" i="20"/>
  <c r="AN656" i="20"/>
  <c r="AM656" i="20"/>
  <c r="AL656" i="20"/>
  <c r="AK656" i="20"/>
  <c r="AJ656" i="20"/>
  <c r="AI656" i="20"/>
  <c r="AH656" i="20"/>
  <c r="AG656" i="20"/>
  <c r="AF656" i="20"/>
  <c r="AE656" i="20"/>
  <c r="AD656" i="20"/>
  <c r="AC656" i="20"/>
  <c r="AB656" i="20"/>
  <c r="AA656" i="20"/>
  <c r="Z656" i="20"/>
  <c r="AO655" i="20"/>
  <c r="AN655" i="20"/>
  <c r="AM655" i="20"/>
  <c r="AL655" i="20"/>
  <c r="AK655" i="20"/>
  <c r="AJ655" i="20"/>
  <c r="AI655" i="20"/>
  <c r="AH655" i="20"/>
  <c r="AG655" i="20"/>
  <c r="AF655" i="20"/>
  <c r="AE655" i="20"/>
  <c r="AD655" i="20"/>
  <c r="AC655" i="20"/>
  <c r="AB655" i="20"/>
  <c r="AA655" i="20"/>
  <c r="Z655" i="20"/>
  <c r="AO654" i="20"/>
  <c r="AN654" i="20"/>
  <c r="AM654" i="20"/>
  <c r="AL654" i="20"/>
  <c r="AK654" i="20"/>
  <c r="AJ654" i="20"/>
  <c r="AI654" i="20"/>
  <c r="AH654" i="20"/>
  <c r="AG654" i="20"/>
  <c r="AF654" i="20"/>
  <c r="AE654" i="20"/>
  <c r="AD654" i="20"/>
  <c r="AC654" i="20"/>
  <c r="AB654" i="20"/>
  <c r="AA654" i="20"/>
  <c r="Z654" i="20"/>
  <c r="AO653" i="20"/>
  <c r="AN653" i="20"/>
  <c r="AM653" i="20"/>
  <c r="AL653" i="20"/>
  <c r="AK653" i="20"/>
  <c r="AJ653" i="20"/>
  <c r="AI653" i="20"/>
  <c r="AH653" i="20"/>
  <c r="AG653" i="20"/>
  <c r="AF653" i="20"/>
  <c r="AE653" i="20"/>
  <c r="AD653" i="20"/>
  <c r="AC653" i="20"/>
  <c r="AB653" i="20"/>
  <c r="AA653" i="20"/>
  <c r="Z653" i="20"/>
  <c r="AO652" i="20"/>
  <c r="AN652" i="20"/>
  <c r="AM652" i="20"/>
  <c r="AL652" i="20"/>
  <c r="AK652" i="20"/>
  <c r="AJ652" i="20"/>
  <c r="AI652" i="20"/>
  <c r="AH652" i="20"/>
  <c r="AG652" i="20"/>
  <c r="AF652" i="20"/>
  <c r="AE652" i="20"/>
  <c r="AD652" i="20"/>
  <c r="AC652" i="20"/>
  <c r="AB652" i="20"/>
  <c r="AA652" i="20"/>
  <c r="Z652" i="20"/>
  <c r="AO651" i="20"/>
  <c r="AN651" i="20"/>
  <c r="AM651" i="20"/>
  <c r="AL651" i="20"/>
  <c r="AK651" i="20"/>
  <c r="AJ651" i="20"/>
  <c r="AI651" i="20"/>
  <c r="AH651" i="20"/>
  <c r="AG651" i="20"/>
  <c r="AF651" i="20"/>
  <c r="AE651" i="20"/>
  <c r="AD651" i="20"/>
  <c r="AC651" i="20"/>
  <c r="AB651" i="20"/>
  <c r="AA651" i="20"/>
  <c r="Z651" i="20"/>
  <c r="AO650" i="20"/>
  <c r="AN650" i="20"/>
  <c r="AM650" i="20"/>
  <c r="AL650" i="20"/>
  <c r="AK650" i="20"/>
  <c r="AJ650" i="20"/>
  <c r="AI650" i="20"/>
  <c r="AH650" i="20"/>
  <c r="AG650" i="20"/>
  <c r="AF650" i="20"/>
  <c r="AE650" i="20"/>
  <c r="AD650" i="20"/>
  <c r="AC650" i="20"/>
  <c r="AB650" i="20"/>
  <c r="AA650" i="20"/>
  <c r="Z650" i="20"/>
  <c r="AO649" i="20"/>
  <c r="AN649" i="20"/>
  <c r="AM649" i="20"/>
  <c r="AL649" i="20"/>
  <c r="AK649" i="20"/>
  <c r="AJ649" i="20"/>
  <c r="AI649" i="20"/>
  <c r="AH649" i="20"/>
  <c r="AG649" i="20"/>
  <c r="AF649" i="20"/>
  <c r="AE649" i="20"/>
  <c r="AD649" i="20"/>
  <c r="AC649" i="20"/>
  <c r="AB649" i="20"/>
  <c r="AA649" i="20"/>
  <c r="Z649" i="20"/>
  <c r="AO648" i="20"/>
  <c r="AN648" i="20"/>
  <c r="AM648" i="20"/>
  <c r="AL648" i="20"/>
  <c r="AK648" i="20"/>
  <c r="AJ648" i="20"/>
  <c r="AI648" i="20"/>
  <c r="AH648" i="20"/>
  <c r="AG648" i="20"/>
  <c r="AF648" i="20"/>
  <c r="AE648" i="20"/>
  <c r="AD648" i="20"/>
  <c r="AC648" i="20"/>
  <c r="AB648" i="20"/>
  <c r="AA648" i="20"/>
  <c r="Z648" i="20"/>
  <c r="AO647" i="20"/>
  <c r="AN647" i="20"/>
  <c r="AM647" i="20"/>
  <c r="AL647" i="20"/>
  <c r="AK647" i="20"/>
  <c r="AJ647" i="20"/>
  <c r="AI647" i="20"/>
  <c r="AH647" i="20"/>
  <c r="AG647" i="20"/>
  <c r="AF647" i="20"/>
  <c r="AE647" i="20"/>
  <c r="AD647" i="20"/>
  <c r="AC647" i="20"/>
  <c r="AB647" i="20"/>
  <c r="AA647" i="20"/>
  <c r="Z647" i="20"/>
  <c r="AO646" i="20"/>
  <c r="AN646" i="20"/>
  <c r="AM646" i="20"/>
  <c r="AL646" i="20"/>
  <c r="AK646" i="20"/>
  <c r="AJ646" i="20"/>
  <c r="AI646" i="20"/>
  <c r="AH646" i="20"/>
  <c r="AG646" i="20"/>
  <c r="AF646" i="20"/>
  <c r="AE646" i="20"/>
  <c r="AD646" i="20"/>
  <c r="AC646" i="20"/>
  <c r="AB646" i="20"/>
  <c r="AA646" i="20"/>
  <c r="Z646" i="20"/>
  <c r="AO645" i="20"/>
  <c r="AN645" i="20"/>
  <c r="AM645" i="20"/>
  <c r="AL645" i="20"/>
  <c r="AK645" i="20"/>
  <c r="AJ645" i="20"/>
  <c r="AI645" i="20"/>
  <c r="AH645" i="20"/>
  <c r="AG645" i="20"/>
  <c r="AF645" i="20"/>
  <c r="AE645" i="20"/>
  <c r="AD645" i="20"/>
  <c r="AC645" i="20"/>
  <c r="AB645" i="20"/>
  <c r="AA645" i="20"/>
  <c r="Z645" i="20"/>
  <c r="AO644" i="20"/>
  <c r="AN644" i="20"/>
  <c r="AM644" i="20"/>
  <c r="AL644" i="20"/>
  <c r="AK644" i="20"/>
  <c r="AJ644" i="20"/>
  <c r="AI644" i="20"/>
  <c r="AH644" i="20"/>
  <c r="AG644" i="20"/>
  <c r="AF644" i="20"/>
  <c r="AE644" i="20"/>
  <c r="AD644" i="20"/>
  <c r="AC644" i="20"/>
  <c r="AB644" i="20"/>
  <c r="AA644" i="20"/>
  <c r="Z644" i="20"/>
  <c r="AO643" i="20"/>
  <c r="AN643" i="20"/>
  <c r="AM643" i="20"/>
  <c r="AL643" i="20"/>
  <c r="AK643" i="20"/>
  <c r="AJ643" i="20"/>
  <c r="AI643" i="20"/>
  <c r="AH643" i="20"/>
  <c r="AG643" i="20"/>
  <c r="AF643" i="20"/>
  <c r="AE643" i="20"/>
  <c r="AD643" i="20"/>
  <c r="AC643" i="20"/>
  <c r="AB643" i="20"/>
  <c r="AA643" i="20"/>
  <c r="Z643" i="20"/>
  <c r="AO642" i="20"/>
  <c r="AN642" i="20"/>
  <c r="AM642" i="20"/>
  <c r="AL642" i="20"/>
  <c r="AK642" i="20"/>
  <c r="AJ642" i="20"/>
  <c r="AI642" i="20"/>
  <c r="AH642" i="20"/>
  <c r="AG642" i="20"/>
  <c r="AF642" i="20"/>
  <c r="AE642" i="20"/>
  <c r="AD642" i="20"/>
  <c r="AC642" i="20"/>
  <c r="AB642" i="20"/>
  <c r="AA642" i="20"/>
  <c r="Z642" i="20"/>
  <c r="AO641" i="20"/>
  <c r="AN641" i="20"/>
  <c r="AM641" i="20"/>
  <c r="AL641" i="20"/>
  <c r="AK641" i="20"/>
  <c r="AJ641" i="20"/>
  <c r="AI641" i="20"/>
  <c r="AH641" i="20"/>
  <c r="AG641" i="20"/>
  <c r="AF641" i="20"/>
  <c r="AE641" i="20"/>
  <c r="AD641" i="20"/>
  <c r="AC641" i="20"/>
  <c r="AB641" i="20"/>
  <c r="AA641" i="20"/>
  <c r="Z641" i="20"/>
  <c r="AO640" i="20"/>
  <c r="AN640" i="20"/>
  <c r="AM640" i="20"/>
  <c r="AL640" i="20"/>
  <c r="AK640" i="20"/>
  <c r="AJ640" i="20"/>
  <c r="AI640" i="20"/>
  <c r="AH640" i="20"/>
  <c r="AG640" i="20"/>
  <c r="AF640" i="20"/>
  <c r="AE640" i="20"/>
  <c r="AD640" i="20"/>
  <c r="AC640" i="20"/>
  <c r="AB640" i="20"/>
  <c r="AA640" i="20"/>
  <c r="Z640" i="20"/>
  <c r="AO639" i="20"/>
  <c r="AN639" i="20"/>
  <c r="AM639" i="20"/>
  <c r="AL639" i="20"/>
  <c r="AK639" i="20"/>
  <c r="AJ639" i="20"/>
  <c r="AI639" i="20"/>
  <c r="AH639" i="20"/>
  <c r="AG639" i="20"/>
  <c r="AF639" i="20"/>
  <c r="AE639" i="20"/>
  <c r="AD639" i="20"/>
  <c r="AC639" i="20"/>
  <c r="AB639" i="20"/>
  <c r="AA639" i="20"/>
  <c r="Z639" i="20"/>
  <c r="AO638" i="20"/>
  <c r="AN638" i="20"/>
  <c r="AM638" i="20"/>
  <c r="AL638" i="20"/>
  <c r="AK638" i="20"/>
  <c r="AJ638" i="20"/>
  <c r="AI638" i="20"/>
  <c r="AH638" i="20"/>
  <c r="AG638" i="20"/>
  <c r="AF638" i="20"/>
  <c r="AE638" i="20"/>
  <c r="AD638" i="20"/>
  <c r="AC638" i="20"/>
  <c r="AB638" i="20"/>
  <c r="AA638" i="20"/>
  <c r="Z638" i="20"/>
  <c r="AO637" i="20"/>
  <c r="AN637" i="20"/>
  <c r="AM637" i="20"/>
  <c r="AL637" i="20"/>
  <c r="AK637" i="20"/>
  <c r="AJ637" i="20"/>
  <c r="AI637" i="20"/>
  <c r="AH637" i="20"/>
  <c r="AG637" i="20"/>
  <c r="AF637" i="20"/>
  <c r="AE637" i="20"/>
  <c r="AD637" i="20"/>
  <c r="AC637" i="20"/>
  <c r="AB637" i="20"/>
  <c r="AA637" i="20"/>
  <c r="Z637" i="20"/>
  <c r="AO636" i="20"/>
  <c r="AN636" i="20"/>
  <c r="AM636" i="20"/>
  <c r="AL636" i="20"/>
  <c r="AK636" i="20"/>
  <c r="AJ636" i="20"/>
  <c r="AI636" i="20"/>
  <c r="AH636" i="20"/>
  <c r="AG636" i="20"/>
  <c r="AF636" i="20"/>
  <c r="AE636" i="20"/>
  <c r="AD636" i="20"/>
  <c r="AC636" i="20"/>
  <c r="AB636" i="20"/>
  <c r="AA636" i="20"/>
  <c r="Z636" i="20"/>
  <c r="AO635" i="20"/>
  <c r="AN635" i="20"/>
  <c r="AM635" i="20"/>
  <c r="AL635" i="20"/>
  <c r="AK635" i="20"/>
  <c r="AJ635" i="20"/>
  <c r="AI635" i="20"/>
  <c r="AH635" i="20"/>
  <c r="AG635" i="20"/>
  <c r="AF635" i="20"/>
  <c r="AE635" i="20"/>
  <c r="AD635" i="20"/>
  <c r="AC635" i="20"/>
  <c r="AB635" i="20"/>
  <c r="AA635" i="20"/>
  <c r="Z635" i="20"/>
  <c r="AO634" i="20"/>
  <c r="AN634" i="20"/>
  <c r="AM634" i="20"/>
  <c r="AL634" i="20"/>
  <c r="AK634" i="20"/>
  <c r="AJ634" i="20"/>
  <c r="AI634" i="20"/>
  <c r="AH634" i="20"/>
  <c r="AG634" i="20"/>
  <c r="AF634" i="20"/>
  <c r="AE634" i="20"/>
  <c r="AD634" i="20"/>
  <c r="AC634" i="20"/>
  <c r="AB634" i="20"/>
  <c r="AA634" i="20"/>
  <c r="Z634" i="20"/>
  <c r="AO633" i="20"/>
  <c r="AN633" i="20"/>
  <c r="AM633" i="20"/>
  <c r="AL633" i="20"/>
  <c r="AK633" i="20"/>
  <c r="AJ633" i="20"/>
  <c r="AI633" i="20"/>
  <c r="AH633" i="20"/>
  <c r="AG633" i="20"/>
  <c r="AF633" i="20"/>
  <c r="AE633" i="20"/>
  <c r="AD633" i="20"/>
  <c r="AC633" i="20"/>
  <c r="AB633" i="20"/>
  <c r="AA633" i="20"/>
  <c r="Z633" i="20"/>
  <c r="AO632" i="20"/>
  <c r="AN632" i="20"/>
  <c r="AM632" i="20"/>
  <c r="AL632" i="20"/>
  <c r="AK632" i="20"/>
  <c r="AJ632" i="20"/>
  <c r="AI632" i="20"/>
  <c r="AH632" i="20"/>
  <c r="AG632" i="20"/>
  <c r="AF632" i="20"/>
  <c r="AE632" i="20"/>
  <c r="AD632" i="20"/>
  <c r="AC632" i="20"/>
  <c r="AB632" i="20"/>
  <c r="AA632" i="20"/>
  <c r="Z632" i="20"/>
  <c r="AO631" i="20"/>
  <c r="AN631" i="20"/>
  <c r="AM631" i="20"/>
  <c r="AL631" i="20"/>
  <c r="AK631" i="20"/>
  <c r="AJ631" i="20"/>
  <c r="AI631" i="20"/>
  <c r="AH631" i="20"/>
  <c r="AG631" i="20"/>
  <c r="AF631" i="20"/>
  <c r="AE631" i="20"/>
  <c r="AD631" i="20"/>
  <c r="AC631" i="20"/>
  <c r="AB631" i="20"/>
  <c r="AA631" i="20"/>
  <c r="Z631" i="20"/>
  <c r="AO630" i="20"/>
  <c r="AN630" i="20"/>
  <c r="AM630" i="20"/>
  <c r="AL630" i="20"/>
  <c r="AK630" i="20"/>
  <c r="AJ630" i="20"/>
  <c r="AI630" i="20"/>
  <c r="AH630" i="20"/>
  <c r="AG630" i="20"/>
  <c r="AF630" i="20"/>
  <c r="AE630" i="20"/>
  <c r="AD630" i="20"/>
  <c r="AC630" i="20"/>
  <c r="AB630" i="20"/>
  <c r="AA630" i="20"/>
  <c r="Z630" i="20"/>
  <c r="AO629" i="20"/>
  <c r="AN629" i="20"/>
  <c r="AM629" i="20"/>
  <c r="AL629" i="20"/>
  <c r="AK629" i="20"/>
  <c r="AJ629" i="20"/>
  <c r="AI629" i="20"/>
  <c r="AH629" i="20"/>
  <c r="AG629" i="20"/>
  <c r="AF629" i="20"/>
  <c r="AE629" i="20"/>
  <c r="AD629" i="20"/>
  <c r="AC629" i="20"/>
  <c r="AB629" i="20"/>
  <c r="AA629" i="20"/>
  <c r="Z629" i="20"/>
  <c r="AO628" i="20"/>
  <c r="AN628" i="20"/>
  <c r="AM628" i="20"/>
  <c r="AL628" i="20"/>
  <c r="AK628" i="20"/>
  <c r="AJ628" i="20"/>
  <c r="AI628" i="20"/>
  <c r="AH628" i="20"/>
  <c r="AG628" i="20"/>
  <c r="AF628" i="20"/>
  <c r="AE628" i="20"/>
  <c r="AD628" i="20"/>
  <c r="AC628" i="20"/>
  <c r="AB628" i="20"/>
  <c r="AA628" i="20"/>
  <c r="Z628" i="20"/>
  <c r="AO627" i="20"/>
  <c r="AN627" i="20"/>
  <c r="AM627" i="20"/>
  <c r="AL627" i="20"/>
  <c r="AK627" i="20"/>
  <c r="AJ627" i="20"/>
  <c r="AI627" i="20"/>
  <c r="AH627" i="20"/>
  <c r="AG627" i="20"/>
  <c r="AF627" i="20"/>
  <c r="AE627" i="20"/>
  <c r="AD627" i="20"/>
  <c r="AC627" i="20"/>
  <c r="AB627" i="20"/>
  <c r="AA627" i="20"/>
  <c r="Z627" i="20"/>
  <c r="AO626" i="20"/>
  <c r="AN626" i="20"/>
  <c r="AM626" i="20"/>
  <c r="AL626" i="20"/>
  <c r="AK626" i="20"/>
  <c r="AJ626" i="20"/>
  <c r="AI626" i="20"/>
  <c r="AH626" i="20"/>
  <c r="AG626" i="20"/>
  <c r="AF626" i="20"/>
  <c r="AE626" i="20"/>
  <c r="AD626" i="20"/>
  <c r="AC626" i="20"/>
  <c r="AB626" i="20"/>
  <c r="AA626" i="20"/>
  <c r="Z626" i="20"/>
  <c r="AO625" i="20"/>
  <c r="AN625" i="20"/>
  <c r="AM625" i="20"/>
  <c r="AL625" i="20"/>
  <c r="AK625" i="20"/>
  <c r="AJ625" i="20"/>
  <c r="AI625" i="20"/>
  <c r="AH625" i="20"/>
  <c r="AG625" i="20"/>
  <c r="AF625" i="20"/>
  <c r="AE625" i="20"/>
  <c r="AD625" i="20"/>
  <c r="AC625" i="20"/>
  <c r="AB625" i="20"/>
  <c r="AA625" i="20"/>
  <c r="Z625" i="20"/>
  <c r="AO624" i="20"/>
  <c r="AN624" i="20"/>
  <c r="AM624" i="20"/>
  <c r="AL624" i="20"/>
  <c r="AK624" i="20"/>
  <c r="AJ624" i="20"/>
  <c r="AI624" i="20"/>
  <c r="AH624" i="20"/>
  <c r="AG624" i="20"/>
  <c r="AF624" i="20"/>
  <c r="AE624" i="20"/>
  <c r="AD624" i="20"/>
  <c r="AC624" i="20"/>
  <c r="AB624" i="20"/>
  <c r="AA624" i="20"/>
  <c r="Z624" i="20"/>
  <c r="AO623" i="20"/>
  <c r="AN623" i="20"/>
  <c r="AM623" i="20"/>
  <c r="AL623" i="20"/>
  <c r="AK623" i="20"/>
  <c r="AJ623" i="20"/>
  <c r="AI623" i="20"/>
  <c r="AH623" i="20"/>
  <c r="AG623" i="20"/>
  <c r="AF623" i="20"/>
  <c r="AE623" i="20"/>
  <c r="AD623" i="20"/>
  <c r="AC623" i="20"/>
  <c r="AB623" i="20"/>
  <c r="AA623" i="20"/>
  <c r="Z623" i="20"/>
  <c r="AO622" i="20"/>
  <c r="AN622" i="20"/>
  <c r="AM622" i="20"/>
  <c r="AL622" i="20"/>
  <c r="AK622" i="20"/>
  <c r="AJ622" i="20"/>
  <c r="AI622" i="20"/>
  <c r="AH622" i="20"/>
  <c r="AG622" i="20"/>
  <c r="AF622" i="20"/>
  <c r="AE622" i="20"/>
  <c r="AD622" i="20"/>
  <c r="AC622" i="20"/>
  <c r="AB622" i="20"/>
  <c r="AA622" i="20"/>
  <c r="Z622" i="20"/>
  <c r="AO621" i="20"/>
  <c r="AN621" i="20"/>
  <c r="AM621" i="20"/>
  <c r="AL621" i="20"/>
  <c r="AK621" i="20"/>
  <c r="AJ621" i="20"/>
  <c r="AI621" i="20"/>
  <c r="AH621" i="20"/>
  <c r="AG621" i="20"/>
  <c r="AF621" i="20"/>
  <c r="AE621" i="20"/>
  <c r="AD621" i="20"/>
  <c r="AC621" i="20"/>
  <c r="AB621" i="20"/>
  <c r="AA621" i="20"/>
  <c r="Z621" i="20"/>
  <c r="AO620" i="20"/>
  <c r="AN620" i="20"/>
  <c r="AM620" i="20"/>
  <c r="AL620" i="20"/>
  <c r="AK620" i="20"/>
  <c r="AJ620" i="20"/>
  <c r="AI620" i="20"/>
  <c r="AH620" i="20"/>
  <c r="AG620" i="20"/>
  <c r="AF620" i="20"/>
  <c r="AE620" i="20"/>
  <c r="AD620" i="20"/>
  <c r="AC620" i="20"/>
  <c r="AB620" i="20"/>
  <c r="AA620" i="20"/>
  <c r="Z620" i="20"/>
  <c r="AO619" i="20"/>
  <c r="AN619" i="20"/>
  <c r="AM619" i="20"/>
  <c r="AL619" i="20"/>
  <c r="AK619" i="20"/>
  <c r="AJ619" i="20"/>
  <c r="AI619" i="20"/>
  <c r="AH619" i="20"/>
  <c r="AG619" i="20"/>
  <c r="AF619" i="20"/>
  <c r="AE619" i="20"/>
  <c r="AD619" i="20"/>
  <c r="AC619" i="20"/>
  <c r="AB619" i="20"/>
  <c r="AA619" i="20"/>
  <c r="Z619" i="20"/>
  <c r="W619" i="20"/>
  <c r="AO618" i="20"/>
  <c r="AN618" i="20"/>
  <c r="AM618" i="20"/>
  <c r="AL618" i="20"/>
  <c r="AK618" i="20"/>
  <c r="AJ618" i="20"/>
  <c r="AI618" i="20"/>
  <c r="AH618" i="20"/>
  <c r="AG618" i="20"/>
  <c r="AF618" i="20"/>
  <c r="AE618" i="20"/>
  <c r="AD618" i="20"/>
  <c r="AC618" i="20"/>
  <c r="AB618" i="20"/>
  <c r="AA618" i="20"/>
  <c r="Z618" i="20"/>
  <c r="W618" i="20"/>
  <c r="AO617" i="20"/>
  <c r="AN617" i="20"/>
  <c r="AM617" i="20"/>
  <c r="AL617" i="20"/>
  <c r="AK617" i="20"/>
  <c r="AJ617" i="20"/>
  <c r="AI617" i="20"/>
  <c r="AH617" i="20"/>
  <c r="AG617" i="20"/>
  <c r="AF617" i="20"/>
  <c r="AE617" i="20"/>
  <c r="AD617" i="20"/>
  <c r="AC617" i="20"/>
  <c r="AB617" i="20"/>
  <c r="AA617" i="20"/>
  <c r="Z617" i="20"/>
  <c r="W617" i="20"/>
  <c r="AO616" i="20"/>
  <c r="AN616" i="20"/>
  <c r="AM616" i="20"/>
  <c r="AL616" i="20"/>
  <c r="AK616" i="20"/>
  <c r="AJ616" i="20"/>
  <c r="AI616" i="20"/>
  <c r="AH616" i="20"/>
  <c r="AG616" i="20"/>
  <c r="AF616" i="20"/>
  <c r="AE616" i="20"/>
  <c r="AD616" i="20"/>
  <c r="AC616" i="20"/>
  <c r="AB616" i="20"/>
  <c r="AA616" i="20"/>
  <c r="Z616" i="20"/>
  <c r="W616" i="20"/>
  <c r="AO615" i="20"/>
  <c r="AN615" i="20"/>
  <c r="AM615" i="20"/>
  <c r="AL615" i="20"/>
  <c r="AK615" i="20"/>
  <c r="AJ615" i="20"/>
  <c r="AI615" i="20"/>
  <c r="AH615" i="20"/>
  <c r="AG615" i="20"/>
  <c r="AF615" i="20"/>
  <c r="AE615" i="20"/>
  <c r="AD615" i="20"/>
  <c r="AC615" i="20"/>
  <c r="AB615" i="20"/>
  <c r="AA615" i="20"/>
  <c r="Z615" i="20"/>
  <c r="W615" i="20"/>
  <c r="AO614" i="20"/>
  <c r="AN614" i="20"/>
  <c r="AM614" i="20"/>
  <c r="AL614" i="20"/>
  <c r="AK614" i="20"/>
  <c r="AJ614" i="20"/>
  <c r="AI614" i="20"/>
  <c r="AH614" i="20"/>
  <c r="AG614" i="20"/>
  <c r="AF614" i="20"/>
  <c r="AE614" i="20"/>
  <c r="AD614" i="20"/>
  <c r="AC614" i="20"/>
  <c r="AB614" i="20"/>
  <c r="AA614" i="20"/>
  <c r="Z614" i="20"/>
  <c r="W614" i="20"/>
  <c r="AO613" i="20"/>
  <c r="AN613" i="20"/>
  <c r="AM613" i="20"/>
  <c r="AL613" i="20"/>
  <c r="AK613" i="20"/>
  <c r="AJ613" i="20"/>
  <c r="AI613" i="20"/>
  <c r="AH613" i="20"/>
  <c r="AG613" i="20"/>
  <c r="AF613" i="20"/>
  <c r="AE613" i="20"/>
  <c r="AD613" i="20"/>
  <c r="AC613" i="20"/>
  <c r="AB613" i="20"/>
  <c r="AA613" i="20"/>
  <c r="Z613" i="20"/>
  <c r="W613" i="20"/>
  <c r="AO612" i="20"/>
  <c r="AN612" i="20"/>
  <c r="AM612" i="20"/>
  <c r="AL612" i="20"/>
  <c r="AK612" i="20"/>
  <c r="AJ612" i="20"/>
  <c r="AI612" i="20"/>
  <c r="AH612" i="20"/>
  <c r="AG612" i="20"/>
  <c r="AF612" i="20"/>
  <c r="AE612" i="20"/>
  <c r="AD612" i="20"/>
  <c r="AC612" i="20"/>
  <c r="AB612" i="20"/>
  <c r="AA612" i="20"/>
  <c r="Z612" i="20"/>
  <c r="W612" i="20"/>
  <c r="AO611" i="20"/>
  <c r="AN611" i="20"/>
  <c r="AM611" i="20"/>
  <c r="AL611" i="20"/>
  <c r="AK611" i="20"/>
  <c r="AJ611" i="20"/>
  <c r="AI611" i="20"/>
  <c r="AH611" i="20"/>
  <c r="AG611" i="20"/>
  <c r="AF611" i="20"/>
  <c r="AE611" i="20"/>
  <c r="AD611" i="20"/>
  <c r="AC611" i="20"/>
  <c r="AB611" i="20"/>
  <c r="AA611" i="20"/>
  <c r="Z611" i="20"/>
  <c r="W611" i="20"/>
  <c r="AO610" i="20"/>
  <c r="AN610" i="20"/>
  <c r="AM610" i="20"/>
  <c r="AL610" i="20"/>
  <c r="AK610" i="20"/>
  <c r="AJ610" i="20"/>
  <c r="AI610" i="20"/>
  <c r="AH610" i="20"/>
  <c r="AG610" i="20"/>
  <c r="AF610" i="20"/>
  <c r="AE610" i="20"/>
  <c r="AD610" i="20"/>
  <c r="AC610" i="20"/>
  <c r="AB610" i="20"/>
  <c r="AA610" i="20"/>
  <c r="Z610" i="20"/>
  <c r="W610" i="20"/>
  <c r="Q610" i="20"/>
  <c r="AO609" i="20"/>
  <c r="AN609" i="20"/>
  <c r="AM609" i="20"/>
  <c r="AL609" i="20"/>
  <c r="AK609" i="20"/>
  <c r="AJ609" i="20"/>
  <c r="AI609" i="20"/>
  <c r="AH609" i="20"/>
  <c r="AG609" i="20"/>
  <c r="AF609" i="20"/>
  <c r="AE609" i="20"/>
  <c r="AD609" i="20"/>
  <c r="AC609" i="20"/>
  <c r="AB609" i="20"/>
  <c r="AA609" i="20"/>
  <c r="Z609" i="20"/>
  <c r="W609" i="20"/>
  <c r="Q609" i="20"/>
  <c r="AO608" i="20"/>
  <c r="AN608" i="20"/>
  <c r="AM608" i="20"/>
  <c r="AL608" i="20"/>
  <c r="AK608" i="20"/>
  <c r="AJ608" i="20"/>
  <c r="AI608" i="20"/>
  <c r="AH608" i="20"/>
  <c r="AG608" i="20"/>
  <c r="AF608" i="20"/>
  <c r="AE608" i="20"/>
  <c r="AD608" i="20"/>
  <c r="AC608" i="20"/>
  <c r="AB608" i="20"/>
  <c r="AA608" i="20"/>
  <c r="Z608" i="20"/>
  <c r="W608" i="20"/>
  <c r="Q608" i="20"/>
  <c r="AO607" i="20"/>
  <c r="AN607" i="20"/>
  <c r="AM607" i="20"/>
  <c r="AL607" i="20"/>
  <c r="AK607" i="20"/>
  <c r="AJ607" i="20"/>
  <c r="AI607" i="20"/>
  <c r="AH607" i="20"/>
  <c r="AG607" i="20"/>
  <c r="AF607" i="20"/>
  <c r="AE607" i="20"/>
  <c r="AD607" i="20"/>
  <c r="AC607" i="20"/>
  <c r="AB607" i="20"/>
  <c r="AA607" i="20"/>
  <c r="Z607" i="20"/>
  <c r="W607" i="20"/>
  <c r="Q607" i="20"/>
  <c r="AO606" i="20"/>
  <c r="AN606" i="20"/>
  <c r="AM606" i="20"/>
  <c r="AL606" i="20"/>
  <c r="AK606" i="20"/>
  <c r="AJ606" i="20"/>
  <c r="AI606" i="20"/>
  <c r="AH606" i="20"/>
  <c r="AG606" i="20"/>
  <c r="AF606" i="20"/>
  <c r="AE606" i="20"/>
  <c r="AD606" i="20"/>
  <c r="AC606" i="20"/>
  <c r="AB606" i="20"/>
  <c r="AA606" i="20"/>
  <c r="Z606" i="20"/>
  <c r="W606" i="20"/>
  <c r="Q606" i="20"/>
  <c r="AO605" i="20"/>
  <c r="AN605" i="20"/>
  <c r="AM605" i="20"/>
  <c r="AL605" i="20"/>
  <c r="AK605" i="20"/>
  <c r="AJ605" i="20"/>
  <c r="AI605" i="20"/>
  <c r="AH605" i="20"/>
  <c r="AG605" i="20"/>
  <c r="AF605" i="20"/>
  <c r="AE605" i="20"/>
  <c r="AD605" i="20"/>
  <c r="AC605" i="20"/>
  <c r="AB605" i="20"/>
  <c r="AA605" i="20"/>
  <c r="Z605" i="20"/>
  <c r="W605" i="20"/>
  <c r="Q605" i="20"/>
  <c r="AO604" i="20"/>
  <c r="AN604" i="20"/>
  <c r="AM604" i="20"/>
  <c r="AL604" i="20"/>
  <c r="AK604" i="20"/>
  <c r="AJ604" i="20"/>
  <c r="AI604" i="20"/>
  <c r="AH604" i="20"/>
  <c r="AG604" i="20"/>
  <c r="AF604" i="20"/>
  <c r="AE604" i="20"/>
  <c r="AD604" i="20"/>
  <c r="AC604" i="20"/>
  <c r="AB604" i="20"/>
  <c r="AA604" i="20"/>
  <c r="Z604" i="20"/>
  <c r="W604" i="20"/>
  <c r="Q604" i="20"/>
  <c r="AO603" i="20"/>
  <c r="AN603" i="20"/>
  <c r="AM603" i="20"/>
  <c r="AL603" i="20"/>
  <c r="AK603" i="20"/>
  <c r="AJ603" i="20"/>
  <c r="AI603" i="20"/>
  <c r="AH603" i="20"/>
  <c r="AG603" i="20"/>
  <c r="AF603" i="20"/>
  <c r="AE603" i="20"/>
  <c r="AD603" i="20"/>
  <c r="AC603" i="20"/>
  <c r="AB603" i="20"/>
  <c r="AA603" i="20"/>
  <c r="Z603" i="20"/>
  <c r="W603" i="20"/>
  <c r="Q603" i="20"/>
  <c r="AO602" i="20"/>
  <c r="AN602" i="20"/>
  <c r="AM602" i="20"/>
  <c r="AL602" i="20"/>
  <c r="AK602" i="20"/>
  <c r="AJ602" i="20"/>
  <c r="AI602" i="20"/>
  <c r="AH602" i="20"/>
  <c r="AG602" i="20"/>
  <c r="AF602" i="20"/>
  <c r="AE602" i="20"/>
  <c r="AD602" i="20"/>
  <c r="AC602" i="20"/>
  <c r="AB602" i="20"/>
  <c r="AA602" i="20"/>
  <c r="Z602" i="20"/>
  <c r="W602" i="20"/>
  <c r="Q602" i="20"/>
  <c r="AO601" i="20"/>
  <c r="AN601" i="20"/>
  <c r="AM601" i="20"/>
  <c r="AL601" i="20"/>
  <c r="AK601" i="20"/>
  <c r="AJ601" i="20"/>
  <c r="AI601" i="20"/>
  <c r="AH601" i="20"/>
  <c r="AG601" i="20"/>
  <c r="AF601" i="20"/>
  <c r="AE601" i="20"/>
  <c r="AD601" i="20"/>
  <c r="AC601" i="20"/>
  <c r="AB601" i="20"/>
  <c r="AA601" i="20"/>
  <c r="Z601" i="20"/>
  <c r="W601" i="20"/>
  <c r="Q601" i="20"/>
  <c r="AO600" i="20"/>
  <c r="AN600" i="20"/>
  <c r="AM600" i="20"/>
  <c r="AL600" i="20"/>
  <c r="AK600" i="20"/>
  <c r="AJ600" i="20"/>
  <c r="AI600" i="20"/>
  <c r="AH600" i="20"/>
  <c r="AG600" i="20"/>
  <c r="AF600" i="20"/>
  <c r="AE600" i="20"/>
  <c r="AD600" i="20"/>
  <c r="AC600" i="20"/>
  <c r="AB600" i="20"/>
  <c r="AA600" i="20"/>
  <c r="Z600" i="20"/>
  <c r="W600" i="20"/>
  <c r="Q600" i="20"/>
  <c r="AO599" i="20"/>
  <c r="AN599" i="20"/>
  <c r="AM599" i="20"/>
  <c r="AL599" i="20"/>
  <c r="AK599" i="20"/>
  <c r="AJ599" i="20"/>
  <c r="AI599" i="20"/>
  <c r="AH599" i="20"/>
  <c r="AG599" i="20"/>
  <c r="AF599" i="20"/>
  <c r="AE599" i="20"/>
  <c r="AD599" i="20"/>
  <c r="AC599" i="20"/>
  <c r="AB599" i="20"/>
  <c r="AA599" i="20"/>
  <c r="Z599" i="20"/>
  <c r="W599" i="20"/>
  <c r="Q599" i="20"/>
  <c r="AO598" i="20"/>
  <c r="AN598" i="20"/>
  <c r="AM598" i="20"/>
  <c r="AL598" i="20"/>
  <c r="AK598" i="20"/>
  <c r="AJ598" i="20"/>
  <c r="AI598" i="20"/>
  <c r="AH598" i="20"/>
  <c r="AG598" i="20"/>
  <c r="AF598" i="20"/>
  <c r="AE598" i="20"/>
  <c r="AD598" i="20"/>
  <c r="AC598" i="20"/>
  <c r="AB598" i="20"/>
  <c r="AA598" i="20"/>
  <c r="Z598" i="20"/>
  <c r="W598" i="20"/>
  <c r="Q598" i="20"/>
  <c r="AO597" i="20"/>
  <c r="AN597" i="20"/>
  <c r="AM597" i="20"/>
  <c r="AL597" i="20"/>
  <c r="AK597" i="20"/>
  <c r="AJ597" i="20"/>
  <c r="AI597" i="20"/>
  <c r="AH597" i="20"/>
  <c r="AG597" i="20"/>
  <c r="AF597" i="20"/>
  <c r="AE597" i="20"/>
  <c r="AD597" i="20"/>
  <c r="AC597" i="20"/>
  <c r="AB597" i="20"/>
  <c r="AA597" i="20"/>
  <c r="Z597" i="20"/>
  <c r="W597" i="20"/>
  <c r="Q597" i="20"/>
  <c r="AO596" i="20"/>
  <c r="AN596" i="20"/>
  <c r="AM596" i="20"/>
  <c r="AL596" i="20"/>
  <c r="AK596" i="20"/>
  <c r="AJ596" i="20"/>
  <c r="AI596" i="20"/>
  <c r="AH596" i="20"/>
  <c r="AG596" i="20"/>
  <c r="AF596" i="20"/>
  <c r="AE596" i="20"/>
  <c r="AD596" i="20"/>
  <c r="AC596" i="20"/>
  <c r="AB596" i="20"/>
  <c r="AA596" i="20"/>
  <c r="Z596" i="20"/>
  <c r="W596" i="20"/>
  <c r="Q596" i="20"/>
  <c r="AO595" i="20"/>
  <c r="AN595" i="20"/>
  <c r="AM595" i="20"/>
  <c r="AL595" i="20"/>
  <c r="AK595" i="20"/>
  <c r="AJ595" i="20"/>
  <c r="AI595" i="20"/>
  <c r="AH595" i="20"/>
  <c r="AG595" i="20"/>
  <c r="AF595" i="20"/>
  <c r="AE595" i="20"/>
  <c r="AD595" i="20"/>
  <c r="AC595" i="20"/>
  <c r="AB595" i="20"/>
  <c r="AA595" i="20"/>
  <c r="Z595" i="20"/>
  <c r="W595" i="20"/>
  <c r="Q595" i="20"/>
  <c r="AO594" i="20"/>
  <c r="AN594" i="20"/>
  <c r="AM594" i="20"/>
  <c r="AL594" i="20"/>
  <c r="AK594" i="20"/>
  <c r="AJ594" i="20"/>
  <c r="AI594" i="20"/>
  <c r="AH594" i="20"/>
  <c r="AG594" i="20"/>
  <c r="AF594" i="20"/>
  <c r="AE594" i="20"/>
  <c r="AD594" i="20"/>
  <c r="AC594" i="20"/>
  <c r="AB594" i="20"/>
  <c r="AA594" i="20"/>
  <c r="Z594" i="20"/>
  <c r="W594" i="20"/>
  <c r="Q594" i="20"/>
  <c r="A594" i="20"/>
  <c r="AO593" i="20"/>
  <c r="AN593" i="20"/>
  <c r="AM593" i="20"/>
  <c r="AL593" i="20"/>
  <c r="AK593" i="20"/>
  <c r="AJ593" i="20"/>
  <c r="AI593" i="20"/>
  <c r="AH593" i="20"/>
  <c r="AG593" i="20"/>
  <c r="AF593" i="20"/>
  <c r="AE593" i="20"/>
  <c r="AD593" i="20"/>
  <c r="AC593" i="20"/>
  <c r="AB593" i="20"/>
  <c r="AA593" i="20"/>
  <c r="Z593" i="20"/>
  <c r="W593" i="20"/>
  <c r="Q593" i="20"/>
  <c r="A593" i="20"/>
  <c r="AO592" i="20"/>
  <c r="AN592" i="20"/>
  <c r="AM592" i="20"/>
  <c r="AL592" i="20"/>
  <c r="AK592" i="20"/>
  <c r="AJ592" i="20"/>
  <c r="AI592" i="20"/>
  <c r="AH592" i="20"/>
  <c r="AG592" i="20"/>
  <c r="AF592" i="20"/>
  <c r="AE592" i="20"/>
  <c r="AD592" i="20"/>
  <c r="AC592" i="20"/>
  <c r="AB592" i="20"/>
  <c r="AA592" i="20"/>
  <c r="Z592" i="20"/>
  <c r="W592" i="20"/>
  <c r="T592" i="20"/>
  <c r="Q592" i="20"/>
  <c r="L592" i="20"/>
  <c r="A592" i="20"/>
  <c r="AO591" i="20"/>
  <c r="AN591" i="20"/>
  <c r="AM591" i="20"/>
  <c r="AL591" i="20"/>
  <c r="AK591" i="20"/>
  <c r="AJ591" i="20"/>
  <c r="AI591" i="20"/>
  <c r="AH591" i="20"/>
  <c r="AG591" i="20"/>
  <c r="AF591" i="20"/>
  <c r="AE591" i="20"/>
  <c r="AD591" i="20"/>
  <c r="AC591" i="20"/>
  <c r="AB591" i="20"/>
  <c r="AA591" i="20"/>
  <c r="Z591" i="20"/>
  <c r="W591" i="20"/>
  <c r="T591" i="20"/>
  <c r="Q591" i="20"/>
  <c r="L591" i="20"/>
  <c r="A591" i="20"/>
  <c r="AO590" i="20"/>
  <c r="AN590" i="20"/>
  <c r="AM590" i="20"/>
  <c r="AL590" i="20"/>
  <c r="AK590" i="20"/>
  <c r="AJ590" i="20"/>
  <c r="AI590" i="20"/>
  <c r="AH590" i="20"/>
  <c r="AG590" i="20"/>
  <c r="AF590" i="20"/>
  <c r="AE590" i="20"/>
  <c r="AD590" i="20"/>
  <c r="AC590" i="20"/>
  <c r="AB590" i="20"/>
  <c r="AA590" i="20"/>
  <c r="Z590" i="20"/>
  <c r="W590" i="20"/>
  <c r="T590" i="20"/>
  <c r="Q590" i="20"/>
  <c r="L590" i="20"/>
  <c r="A590" i="20"/>
  <c r="AO589" i="20"/>
  <c r="AN589" i="20"/>
  <c r="AM589" i="20"/>
  <c r="AL589" i="20"/>
  <c r="AK589" i="20"/>
  <c r="AJ589" i="20"/>
  <c r="AI589" i="20"/>
  <c r="AH589" i="20"/>
  <c r="AG589" i="20"/>
  <c r="AF589" i="20"/>
  <c r="AE589" i="20"/>
  <c r="AD589" i="20"/>
  <c r="AC589" i="20"/>
  <c r="AB589" i="20"/>
  <c r="AA589" i="20"/>
  <c r="Z589" i="20"/>
  <c r="W589" i="20"/>
  <c r="T589" i="20"/>
  <c r="Q589" i="20"/>
  <c r="L589" i="20"/>
  <c r="A589" i="20"/>
  <c r="AO588" i="20"/>
  <c r="AN588" i="20"/>
  <c r="AM588" i="20"/>
  <c r="AL588" i="20"/>
  <c r="AK588" i="20"/>
  <c r="AJ588" i="20"/>
  <c r="AI588" i="20"/>
  <c r="AH588" i="20"/>
  <c r="AG588" i="20"/>
  <c r="AF588" i="20"/>
  <c r="AE588" i="20"/>
  <c r="AD588" i="20"/>
  <c r="AC588" i="20"/>
  <c r="AB588" i="20"/>
  <c r="AA588" i="20"/>
  <c r="Z588" i="20"/>
  <c r="W588" i="20"/>
  <c r="T588" i="20"/>
  <c r="Q588" i="20"/>
  <c r="L588" i="20"/>
  <c r="A588" i="20"/>
  <c r="AO587" i="20"/>
  <c r="AN587" i="20"/>
  <c r="AM587" i="20"/>
  <c r="AL587" i="20"/>
  <c r="AK587" i="20"/>
  <c r="AJ587" i="20"/>
  <c r="AI587" i="20"/>
  <c r="AH587" i="20"/>
  <c r="AG587" i="20"/>
  <c r="AF587" i="20"/>
  <c r="AE587" i="20"/>
  <c r="AD587" i="20"/>
  <c r="AC587" i="20"/>
  <c r="AB587" i="20"/>
  <c r="AA587" i="20"/>
  <c r="Z587" i="20"/>
  <c r="W587" i="20"/>
  <c r="T587" i="20"/>
  <c r="Q587" i="20"/>
  <c r="L587" i="20"/>
  <c r="A587" i="20"/>
  <c r="AO586" i="20"/>
  <c r="AN586" i="20"/>
  <c r="AM586" i="20"/>
  <c r="AL586" i="20"/>
  <c r="AK586" i="20"/>
  <c r="AJ586" i="20"/>
  <c r="AI586" i="20"/>
  <c r="AH586" i="20"/>
  <c r="AG586" i="20"/>
  <c r="AF586" i="20"/>
  <c r="AE586" i="20"/>
  <c r="AD586" i="20"/>
  <c r="AC586" i="20"/>
  <c r="AB586" i="20"/>
  <c r="AA586" i="20"/>
  <c r="Z586" i="20"/>
  <c r="W586" i="20"/>
  <c r="T586" i="20"/>
  <c r="Q586" i="20"/>
  <c r="L586" i="20"/>
  <c r="A586" i="20"/>
  <c r="AO585" i="20"/>
  <c r="AN585" i="20"/>
  <c r="AM585" i="20"/>
  <c r="AL585" i="20"/>
  <c r="AK585" i="20"/>
  <c r="AJ585" i="20"/>
  <c r="AI585" i="20"/>
  <c r="AH585" i="20"/>
  <c r="AG585" i="20"/>
  <c r="AF585" i="20"/>
  <c r="AE585" i="20"/>
  <c r="AD585" i="20"/>
  <c r="AC585" i="20"/>
  <c r="AB585" i="20"/>
  <c r="AA585" i="20"/>
  <c r="Z585" i="20"/>
  <c r="W585" i="20"/>
  <c r="T585" i="20"/>
  <c r="Q585" i="20"/>
  <c r="L585" i="20"/>
  <c r="A585" i="20"/>
  <c r="AO584" i="20"/>
  <c r="AN584" i="20"/>
  <c r="AM584" i="20"/>
  <c r="AL584" i="20"/>
  <c r="AK584" i="20"/>
  <c r="AJ584" i="20"/>
  <c r="AI584" i="20"/>
  <c r="AH584" i="20"/>
  <c r="AG584" i="20"/>
  <c r="AF584" i="20"/>
  <c r="AE584" i="20"/>
  <c r="AD584" i="20"/>
  <c r="AC584" i="20"/>
  <c r="AB584" i="20"/>
  <c r="AA584" i="20"/>
  <c r="Z584" i="20"/>
  <c r="W584" i="20"/>
  <c r="T584" i="20"/>
  <c r="Q584" i="20"/>
  <c r="L584" i="20"/>
  <c r="A584" i="20"/>
  <c r="AO583" i="20"/>
  <c r="AN583" i="20"/>
  <c r="AM583" i="20"/>
  <c r="AL583" i="20"/>
  <c r="AK583" i="20"/>
  <c r="AJ583" i="20"/>
  <c r="AI583" i="20"/>
  <c r="AH583" i="20"/>
  <c r="AG583" i="20"/>
  <c r="AF583" i="20"/>
  <c r="AE583" i="20"/>
  <c r="AD583" i="20"/>
  <c r="AC583" i="20"/>
  <c r="AB583" i="20"/>
  <c r="AA583" i="20"/>
  <c r="Z583" i="20"/>
  <c r="W583" i="20"/>
  <c r="T583" i="20"/>
  <c r="Q583" i="20"/>
  <c r="L583" i="20"/>
  <c r="A583" i="20"/>
  <c r="AO582" i="20"/>
  <c r="AN582" i="20"/>
  <c r="AM582" i="20"/>
  <c r="AL582" i="20"/>
  <c r="AK582" i="20"/>
  <c r="AJ582" i="20"/>
  <c r="AI582" i="20"/>
  <c r="AH582" i="20"/>
  <c r="AG582" i="20"/>
  <c r="AF582" i="20"/>
  <c r="AE582" i="20"/>
  <c r="AD582" i="20"/>
  <c r="AC582" i="20"/>
  <c r="AB582" i="20"/>
  <c r="AA582" i="20"/>
  <c r="Z582" i="20"/>
  <c r="W582" i="20"/>
  <c r="T582" i="20"/>
  <c r="Q582" i="20"/>
  <c r="L582" i="20"/>
  <c r="A582" i="20"/>
  <c r="AO581" i="20"/>
  <c r="AN581" i="20"/>
  <c r="AM581" i="20"/>
  <c r="AL581" i="20"/>
  <c r="AK581" i="20"/>
  <c r="AJ581" i="20"/>
  <c r="AI581" i="20"/>
  <c r="AH581" i="20"/>
  <c r="AG581" i="20"/>
  <c r="AF581" i="20"/>
  <c r="AE581" i="20"/>
  <c r="AD581" i="20"/>
  <c r="AC581" i="20"/>
  <c r="AB581" i="20"/>
  <c r="AA581" i="20"/>
  <c r="Z581" i="20"/>
  <c r="W581" i="20"/>
  <c r="T581" i="20"/>
  <c r="Q581" i="20"/>
  <c r="L581" i="20"/>
  <c r="A581" i="20"/>
  <c r="AO580" i="20"/>
  <c r="AN580" i="20"/>
  <c r="AM580" i="20"/>
  <c r="AL580" i="20"/>
  <c r="AK580" i="20"/>
  <c r="AJ580" i="20"/>
  <c r="AI580" i="20"/>
  <c r="AH580" i="20"/>
  <c r="AG580" i="20"/>
  <c r="AF580" i="20"/>
  <c r="AE580" i="20"/>
  <c r="AD580" i="20"/>
  <c r="AC580" i="20"/>
  <c r="AB580" i="20"/>
  <c r="AA580" i="20"/>
  <c r="Z580" i="20"/>
  <c r="W580" i="20"/>
  <c r="T580" i="20"/>
  <c r="Q580" i="20"/>
  <c r="L580" i="20"/>
  <c r="A580" i="20"/>
  <c r="AO579" i="20"/>
  <c r="AN579" i="20"/>
  <c r="AM579" i="20"/>
  <c r="AL579" i="20"/>
  <c r="AK579" i="20"/>
  <c r="AJ579" i="20"/>
  <c r="AI579" i="20"/>
  <c r="AH579" i="20"/>
  <c r="AG579" i="20"/>
  <c r="AF579" i="20"/>
  <c r="AE579" i="20"/>
  <c r="AD579" i="20"/>
  <c r="AC579" i="20"/>
  <c r="AB579" i="20"/>
  <c r="AA579" i="20"/>
  <c r="Z579" i="20"/>
  <c r="W579" i="20"/>
  <c r="T579" i="20"/>
  <c r="Q579" i="20"/>
  <c r="L579" i="20"/>
  <c r="A579" i="20"/>
  <c r="AO578" i="20"/>
  <c r="AN578" i="20"/>
  <c r="AM578" i="20"/>
  <c r="AL578" i="20"/>
  <c r="AK578" i="20"/>
  <c r="AJ578" i="20"/>
  <c r="AI578" i="20"/>
  <c r="AH578" i="20"/>
  <c r="AG578" i="20"/>
  <c r="AF578" i="20"/>
  <c r="AE578" i="20"/>
  <c r="AD578" i="20"/>
  <c r="AC578" i="20"/>
  <c r="AB578" i="20"/>
  <c r="AA578" i="20"/>
  <c r="Z578" i="20"/>
  <c r="W578" i="20"/>
  <c r="T578" i="20"/>
  <c r="Q578" i="20"/>
  <c r="L578" i="20"/>
  <c r="A578" i="20"/>
  <c r="AO577" i="20"/>
  <c r="AN577" i="20"/>
  <c r="AM577" i="20"/>
  <c r="AL577" i="20"/>
  <c r="AK577" i="20"/>
  <c r="AJ577" i="20"/>
  <c r="AI577" i="20"/>
  <c r="AH577" i="20"/>
  <c r="AG577" i="20"/>
  <c r="AF577" i="20"/>
  <c r="AE577" i="20"/>
  <c r="AD577" i="20"/>
  <c r="AC577" i="20"/>
  <c r="AB577" i="20"/>
  <c r="AA577" i="20"/>
  <c r="Z577" i="20"/>
  <c r="W577" i="20"/>
  <c r="T577" i="20"/>
  <c r="Q577" i="20"/>
  <c r="L577" i="20"/>
  <c r="A577" i="20"/>
  <c r="AO576" i="20"/>
  <c r="AN576" i="20"/>
  <c r="AM576" i="20"/>
  <c r="AL576" i="20"/>
  <c r="AK576" i="20"/>
  <c r="AJ576" i="20"/>
  <c r="AI576" i="20"/>
  <c r="AH576" i="20"/>
  <c r="AG576" i="20"/>
  <c r="AF576" i="20"/>
  <c r="AE576" i="20"/>
  <c r="AD576" i="20"/>
  <c r="AC576" i="20"/>
  <c r="AB576" i="20"/>
  <c r="AA576" i="20"/>
  <c r="Z576" i="20"/>
  <c r="W576" i="20"/>
  <c r="T576" i="20"/>
  <c r="Q576" i="20"/>
  <c r="L576" i="20"/>
  <c r="A576" i="20"/>
  <c r="AO575" i="20"/>
  <c r="AN575" i="20"/>
  <c r="AM575" i="20"/>
  <c r="AL575" i="20"/>
  <c r="AK575" i="20"/>
  <c r="AJ575" i="20"/>
  <c r="AI575" i="20"/>
  <c r="AH575" i="20"/>
  <c r="AG575" i="20"/>
  <c r="AF575" i="20"/>
  <c r="AE575" i="20"/>
  <c r="AD575" i="20"/>
  <c r="AC575" i="20"/>
  <c r="AB575" i="20"/>
  <c r="AA575" i="20"/>
  <c r="Z575" i="20"/>
  <c r="W575" i="20"/>
  <c r="T575" i="20"/>
  <c r="Q575" i="20"/>
  <c r="L575" i="20"/>
  <c r="A575" i="20"/>
  <c r="AO574" i="20"/>
  <c r="AN574" i="20"/>
  <c r="AM574" i="20"/>
  <c r="AL574" i="20"/>
  <c r="AK574" i="20"/>
  <c r="AJ574" i="20"/>
  <c r="AI574" i="20"/>
  <c r="AH574" i="20"/>
  <c r="AG574" i="20"/>
  <c r="AF574" i="20"/>
  <c r="AE574" i="20"/>
  <c r="AD574" i="20"/>
  <c r="AC574" i="20"/>
  <c r="AB574" i="20"/>
  <c r="AA574" i="20"/>
  <c r="Z574" i="20"/>
  <c r="W574" i="20"/>
  <c r="T574" i="20"/>
  <c r="Q574" i="20"/>
  <c r="L574" i="20"/>
  <c r="A574" i="20"/>
  <c r="AO573" i="20"/>
  <c r="AN573" i="20"/>
  <c r="AM573" i="20"/>
  <c r="AL573" i="20"/>
  <c r="AK573" i="20"/>
  <c r="AJ573" i="20"/>
  <c r="AI573" i="20"/>
  <c r="AH573" i="20"/>
  <c r="AG573" i="20"/>
  <c r="AF573" i="20"/>
  <c r="AE573" i="20"/>
  <c r="AD573" i="20"/>
  <c r="AC573" i="20"/>
  <c r="AB573" i="20"/>
  <c r="AA573" i="20"/>
  <c r="Z573" i="20"/>
  <c r="W573" i="20"/>
  <c r="T573" i="20"/>
  <c r="Q573" i="20"/>
  <c r="L573" i="20"/>
  <c r="A573" i="20"/>
  <c r="AO572" i="20"/>
  <c r="AN572" i="20"/>
  <c r="AM572" i="20"/>
  <c r="AL572" i="20"/>
  <c r="AK572" i="20"/>
  <c r="AJ572" i="20"/>
  <c r="AI572" i="20"/>
  <c r="AH572" i="20"/>
  <c r="AG572" i="20"/>
  <c r="AF572" i="20"/>
  <c r="AE572" i="20"/>
  <c r="AD572" i="20"/>
  <c r="AC572" i="20"/>
  <c r="AB572" i="20"/>
  <c r="AA572" i="20"/>
  <c r="Z572" i="20"/>
  <c r="W572" i="20"/>
  <c r="T572" i="20"/>
  <c r="Q572" i="20"/>
  <c r="L572" i="20"/>
  <c r="A572" i="20"/>
  <c r="AO571" i="20"/>
  <c r="AN571" i="20"/>
  <c r="AM571" i="20"/>
  <c r="AL571" i="20"/>
  <c r="AK571" i="20"/>
  <c r="AJ571" i="20"/>
  <c r="AI571" i="20"/>
  <c r="AH571" i="20"/>
  <c r="AG571" i="20"/>
  <c r="AF571" i="20"/>
  <c r="AE571" i="20"/>
  <c r="AD571" i="20"/>
  <c r="AC571" i="20"/>
  <c r="AB571" i="20"/>
  <c r="AA571" i="20"/>
  <c r="Z571" i="20"/>
  <c r="W571" i="20"/>
  <c r="T571" i="20"/>
  <c r="Q571" i="20"/>
  <c r="L571" i="20"/>
  <c r="A571" i="20"/>
  <c r="AO570" i="20"/>
  <c r="AN570" i="20"/>
  <c r="AM570" i="20"/>
  <c r="AL570" i="20"/>
  <c r="AK570" i="20"/>
  <c r="AJ570" i="20"/>
  <c r="AI570" i="20"/>
  <c r="AH570" i="20"/>
  <c r="AG570" i="20"/>
  <c r="AF570" i="20"/>
  <c r="AE570" i="20"/>
  <c r="AD570" i="20"/>
  <c r="AC570" i="20"/>
  <c r="AB570" i="20"/>
  <c r="AA570" i="20"/>
  <c r="Z570" i="20"/>
  <c r="W570" i="20"/>
  <c r="T570" i="20"/>
  <c r="Q570" i="20"/>
  <c r="M570" i="20"/>
  <c r="L570" i="20"/>
  <c r="A570" i="20"/>
  <c r="AO569" i="20"/>
  <c r="AN569" i="20"/>
  <c r="AM569" i="20"/>
  <c r="AL569" i="20"/>
  <c r="AK569" i="20"/>
  <c r="AJ569" i="20"/>
  <c r="AI569" i="20"/>
  <c r="AH569" i="20"/>
  <c r="AG569" i="20"/>
  <c r="AF569" i="20"/>
  <c r="AE569" i="20"/>
  <c r="AD569" i="20"/>
  <c r="AC569" i="20"/>
  <c r="AB569" i="20"/>
  <c r="AA569" i="20"/>
  <c r="Z569" i="20"/>
  <c r="W569" i="20"/>
  <c r="T569" i="20"/>
  <c r="Q569" i="20"/>
  <c r="M569" i="20"/>
  <c r="L569" i="20"/>
  <c r="A569" i="20"/>
  <c r="AO568" i="20"/>
  <c r="AN568" i="20"/>
  <c r="AM568" i="20"/>
  <c r="AL568" i="20"/>
  <c r="AK568" i="20"/>
  <c r="AJ568" i="20"/>
  <c r="AI568" i="20"/>
  <c r="AH568" i="20"/>
  <c r="AG568" i="20"/>
  <c r="AF568" i="20"/>
  <c r="AE568" i="20"/>
  <c r="AD568" i="20"/>
  <c r="AC568" i="20"/>
  <c r="AB568" i="20"/>
  <c r="AA568" i="20"/>
  <c r="Z568" i="20"/>
  <c r="W568" i="20"/>
  <c r="T568" i="20"/>
  <c r="Q568" i="20"/>
  <c r="M568" i="20"/>
  <c r="L568" i="20"/>
  <c r="A568" i="20"/>
  <c r="AO567" i="20"/>
  <c r="AN567" i="20"/>
  <c r="AM567" i="20"/>
  <c r="AL567" i="20"/>
  <c r="AK567" i="20"/>
  <c r="AJ567" i="20"/>
  <c r="AI567" i="20"/>
  <c r="AH567" i="20"/>
  <c r="AG567" i="20"/>
  <c r="AF567" i="20"/>
  <c r="AE567" i="20"/>
  <c r="AD567" i="20"/>
  <c r="AC567" i="20"/>
  <c r="AB567" i="20"/>
  <c r="AA567" i="20"/>
  <c r="Z567" i="20"/>
  <c r="W567" i="20"/>
  <c r="T567" i="20"/>
  <c r="Q567" i="20"/>
  <c r="M567" i="20"/>
  <c r="L567" i="20"/>
  <c r="A567" i="20"/>
  <c r="AO566" i="20"/>
  <c r="AN566" i="20"/>
  <c r="AM566" i="20"/>
  <c r="AL566" i="20"/>
  <c r="AK566" i="20"/>
  <c r="AJ566" i="20"/>
  <c r="AI566" i="20"/>
  <c r="AH566" i="20"/>
  <c r="AG566" i="20"/>
  <c r="AF566" i="20"/>
  <c r="AE566" i="20"/>
  <c r="AD566" i="20"/>
  <c r="AC566" i="20"/>
  <c r="AB566" i="20"/>
  <c r="AA566" i="20"/>
  <c r="Z566" i="20"/>
  <c r="W566" i="20"/>
  <c r="T566" i="20"/>
  <c r="Q566" i="20"/>
  <c r="M566" i="20"/>
  <c r="L566" i="20"/>
  <c r="A566" i="20"/>
  <c r="AO565" i="20"/>
  <c r="AN565" i="20"/>
  <c r="AM565" i="20"/>
  <c r="AL565" i="20"/>
  <c r="AK565" i="20"/>
  <c r="AJ565" i="20"/>
  <c r="AI565" i="20"/>
  <c r="AH565" i="20"/>
  <c r="AG565" i="20"/>
  <c r="AF565" i="20"/>
  <c r="AE565" i="20"/>
  <c r="AD565" i="20"/>
  <c r="AC565" i="20"/>
  <c r="AB565" i="20"/>
  <c r="AA565" i="20"/>
  <c r="Z565" i="20"/>
  <c r="W565" i="20"/>
  <c r="T565" i="20"/>
  <c r="Q565" i="20"/>
  <c r="M565" i="20"/>
  <c r="L565" i="20"/>
  <c r="A565" i="20"/>
  <c r="AO564" i="20"/>
  <c r="AN564" i="20"/>
  <c r="AM564" i="20"/>
  <c r="AL564" i="20"/>
  <c r="AK564" i="20"/>
  <c r="AJ564" i="20"/>
  <c r="AI564" i="20"/>
  <c r="AH564" i="20"/>
  <c r="AG564" i="20"/>
  <c r="AF564" i="20"/>
  <c r="AE564" i="20"/>
  <c r="AD564" i="20"/>
  <c r="AC564" i="20"/>
  <c r="AB564" i="20"/>
  <c r="AA564" i="20"/>
  <c r="Z564" i="20"/>
  <c r="W564" i="20"/>
  <c r="T564" i="20"/>
  <c r="Q564" i="20"/>
  <c r="M564" i="20"/>
  <c r="L564" i="20"/>
  <c r="A564" i="20"/>
  <c r="AO563" i="20"/>
  <c r="AN563" i="20"/>
  <c r="AM563" i="20"/>
  <c r="AL563" i="20"/>
  <c r="AK563" i="20"/>
  <c r="AJ563" i="20"/>
  <c r="AI563" i="20"/>
  <c r="AH563" i="20"/>
  <c r="AG563" i="20"/>
  <c r="AF563" i="20"/>
  <c r="AE563" i="20"/>
  <c r="AD563" i="20"/>
  <c r="AC563" i="20"/>
  <c r="AB563" i="20"/>
  <c r="AA563" i="20"/>
  <c r="Z563" i="20"/>
  <c r="W563" i="20"/>
  <c r="T563" i="20"/>
  <c r="Q563" i="20"/>
  <c r="M563" i="20"/>
  <c r="L563" i="20"/>
  <c r="A563" i="20"/>
  <c r="AO562" i="20"/>
  <c r="AN562" i="20"/>
  <c r="AM562" i="20"/>
  <c r="AL562" i="20"/>
  <c r="AK562" i="20"/>
  <c r="AJ562" i="20"/>
  <c r="AI562" i="20"/>
  <c r="AH562" i="20"/>
  <c r="AG562" i="20"/>
  <c r="AF562" i="20"/>
  <c r="AE562" i="20"/>
  <c r="AD562" i="20"/>
  <c r="AC562" i="20"/>
  <c r="AB562" i="20"/>
  <c r="AA562" i="20"/>
  <c r="Z562" i="20"/>
  <c r="W562" i="20"/>
  <c r="T562" i="20"/>
  <c r="Q562" i="20"/>
  <c r="M562" i="20"/>
  <c r="L562" i="20"/>
  <c r="A562" i="20"/>
  <c r="AO561" i="20"/>
  <c r="AN561" i="20"/>
  <c r="AM561" i="20"/>
  <c r="AL561" i="20"/>
  <c r="AK561" i="20"/>
  <c r="AJ561" i="20"/>
  <c r="AI561" i="20"/>
  <c r="AH561" i="20"/>
  <c r="AG561" i="20"/>
  <c r="AF561" i="20"/>
  <c r="AE561" i="20"/>
  <c r="AD561" i="20"/>
  <c r="AC561" i="20"/>
  <c r="AB561" i="20"/>
  <c r="AA561" i="20"/>
  <c r="Z561" i="20"/>
  <c r="W561" i="20"/>
  <c r="T561" i="20"/>
  <c r="Q561" i="20"/>
  <c r="M561" i="20"/>
  <c r="L561" i="20"/>
  <c r="A561" i="20"/>
  <c r="AO560" i="20"/>
  <c r="AN560" i="20"/>
  <c r="AM560" i="20"/>
  <c r="AL560" i="20"/>
  <c r="AK560" i="20"/>
  <c r="AJ560" i="20"/>
  <c r="AI560" i="20"/>
  <c r="AH560" i="20"/>
  <c r="AG560" i="20"/>
  <c r="AF560" i="20"/>
  <c r="AE560" i="20"/>
  <c r="AD560" i="20"/>
  <c r="AC560" i="20"/>
  <c r="AB560" i="20"/>
  <c r="AA560" i="20"/>
  <c r="Z560" i="20"/>
  <c r="W560" i="20"/>
  <c r="T560" i="20"/>
  <c r="Q560" i="20"/>
  <c r="M560" i="20"/>
  <c r="L560" i="20"/>
  <c r="A560" i="20"/>
  <c r="AO559" i="20"/>
  <c r="AN559" i="20"/>
  <c r="AM559" i="20"/>
  <c r="AL559" i="20"/>
  <c r="AK559" i="20"/>
  <c r="AJ559" i="20"/>
  <c r="AI559" i="20"/>
  <c r="AH559" i="20"/>
  <c r="AG559" i="20"/>
  <c r="AF559" i="20"/>
  <c r="AE559" i="20"/>
  <c r="AD559" i="20"/>
  <c r="AC559" i="20"/>
  <c r="AB559" i="20"/>
  <c r="AA559" i="20"/>
  <c r="Z559" i="20"/>
  <c r="W559" i="20"/>
  <c r="T559" i="20"/>
  <c r="Q559" i="20"/>
  <c r="M559" i="20"/>
  <c r="L559" i="20"/>
  <c r="A559" i="20"/>
  <c r="AO558" i="20"/>
  <c r="AN558" i="20"/>
  <c r="AM558" i="20"/>
  <c r="AL558" i="20"/>
  <c r="AK558" i="20"/>
  <c r="AJ558" i="20"/>
  <c r="AI558" i="20"/>
  <c r="AH558" i="20"/>
  <c r="AG558" i="20"/>
  <c r="AF558" i="20"/>
  <c r="AE558" i="20"/>
  <c r="AD558" i="20"/>
  <c r="AC558" i="20"/>
  <c r="AB558" i="20"/>
  <c r="AA558" i="20"/>
  <c r="Z558" i="20"/>
  <c r="W558" i="20"/>
  <c r="T558" i="20"/>
  <c r="Q558" i="20"/>
  <c r="M558" i="20"/>
  <c r="L558" i="20"/>
  <c r="A558" i="20"/>
  <c r="AO557" i="20"/>
  <c r="AN557" i="20"/>
  <c r="AM557" i="20"/>
  <c r="AL557" i="20"/>
  <c r="AK557" i="20"/>
  <c r="AJ557" i="20"/>
  <c r="AI557" i="20"/>
  <c r="AH557" i="20"/>
  <c r="AG557" i="20"/>
  <c r="AF557" i="20"/>
  <c r="AE557" i="20"/>
  <c r="AD557" i="20"/>
  <c r="AC557" i="20"/>
  <c r="AB557" i="20"/>
  <c r="AA557" i="20"/>
  <c r="Z557" i="20"/>
  <c r="W557" i="20"/>
  <c r="T557" i="20"/>
  <c r="Q557" i="20"/>
  <c r="M557" i="20"/>
  <c r="L557" i="20"/>
  <c r="A557" i="20"/>
  <c r="AO556" i="20"/>
  <c r="AN556" i="20"/>
  <c r="AM556" i="20"/>
  <c r="AL556" i="20"/>
  <c r="AK556" i="20"/>
  <c r="AJ556" i="20"/>
  <c r="AI556" i="20"/>
  <c r="AH556" i="20"/>
  <c r="AG556" i="20"/>
  <c r="AF556" i="20"/>
  <c r="AE556" i="20"/>
  <c r="AD556" i="20"/>
  <c r="AC556" i="20"/>
  <c r="AB556" i="20"/>
  <c r="AA556" i="20"/>
  <c r="Z556" i="20"/>
  <c r="W556" i="20"/>
  <c r="T556" i="20"/>
  <c r="Q556" i="20"/>
  <c r="M556" i="20"/>
  <c r="L556" i="20"/>
  <c r="A556" i="20"/>
  <c r="AO555" i="20"/>
  <c r="AN555" i="20"/>
  <c r="AM555" i="20"/>
  <c r="AL555" i="20"/>
  <c r="AK555" i="20"/>
  <c r="AJ555" i="20"/>
  <c r="AI555" i="20"/>
  <c r="AH555" i="20"/>
  <c r="AG555" i="20"/>
  <c r="AF555" i="20"/>
  <c r="AE555" i="20"/>
  <c r="AD555" i="20"/>
  <c r="AC555" i="20"/>
  <c r="AB555" i="20"/>
  <c r="AA555" i="20"/>
  <c r="Z555" i="20"/>
  <c r="W555" i="20"/>
  <c r="T555" i="20"/>
  <c r="Q555" i="20"/>
  <c r="O555" i="20"/>
  <c r="M555" i="20"/>
  <c r="L555" i="20"/>
  <c r="A555" i="20"/>
  <c r="AO554" i="20"/>
  <c r="AN554" i="20"/>
  <c r="AM554" i="20"/>
  <c r="AL554" i="20"/>
  <c r="AK554" i="20"/>
  <c r="AJ554" i="20"/>
  <c r="AI554" i="20"/>
  <c r="AH554" i="20"/>
  <c r="AG554" i="20"/>
  <c r="AF554" i="20"/>
  <c r="AE554" i="20"/>
  <c r="AD554" i="20"/>
  <c r="AC554" i="20"/>
  <c r="AB554" i="20"/>
  <c r="AA554" i="20"/>
  <c r="Z554" i="20"/>
  <c r="W554" i="20"/>
  <c r="T554" i="20"/>
  <c r="Q554" i="20"/>
  <c r="O554" i="20"/>
  <c r="M554" i="20"/>
  <c r="L554" i="20"/>
  <c r="A554" i="20"/>
  <c r="AO553" i="20"/>
  <c r="AN553" i="20"/>
  <c r="AM553" i="20"/>
  <c r="AL553" i="20"/>
  <c r="AK553" i="20"/>
  <c r="AJ553" i="20"/>
  <c r="AI553" i="20"/>
  <c r="AH553" i="20"/>
  <c r="AG553" i="20"/>
  <c r="AF553" i="20"/>
  <c r="AE553" i="20"/>
  <c r="AD553" i="20"/>
  <c r="AC553" i="20"/>
  <c r="AB553" i="20"/>
  <c r="AA553" i="20"/>
  <c r="Z553" i="20"/>
  <c r="W553" i="20"/>
  <c r="T553" i="20"/>
  <c r="Q553" i="20"/>
  <c r="O553" i="20"/>
  <c r="M553" i="20"/>
  <c r="L553" i="20"/>
  <c r="A553" i="20"/>
  <c r="AO552" i="20"/>
  <c r="AN552" i="20"/>
  <c r="AM552" i="20"/>
  <c r="AL552" i="20"/>
  <c r="AK552" i="20"/>
  <c r="AJ552" i="20"/>
  <c r="AI552" i="20"/>
  <c r="AH552" i="20"/>
  <c r="AG552" i="20"/>
  <c r="AF552" i="20"/>
  <c r="AE552" i="20"/>
  <c r="AD552" i="20"/>
  <c r="AC552" i="20"/>
  <c r="AB552" i="20"/>
  <c r="AA552" i="20"/>
  <c r="Z552" i="20"/>
  <c r="W552" i="20"/>
  <c r="T552" i="20"/>
  <c r="Q552" i="20"/>
  <c r="O552" i="20"/>
  <c r="M552" i="20"/>
  <c r="L552" i="20"/>
  <c r="A552" i="20"/>
  <c r="AO551" i="20"/>
  <c r="AN551" i="20"/>
  <c r="AM551" i="20"/>
  <c r="AL551" i="20"/>
  <c r="AK551" i="20"/>
  <c r="AJ551" i="20"/>
  <c r="AI551" i="20"/>
  <c r="AH551" i="20"/>
  <c r="AG551" i="20"/>
  <c r="AF551" i="20"/>
  <c r="AE551" i="20"/>
  <c r="AD551" i="20"/>
  <c r="AC551" i="20"/>
  <c r="AB551" i="20"/>
  <c r="AA551" i="20"/>
  <c r="Z551" i="20"/>
  <c r="W551" i="20"/>
  <c r="T551" i="20"/>
  <c r="Q551" i="20"/>
  <c r="O551" i="20"/>
  <c r="M551" i="20"/>
  <c r="L551" i="20"/>
  <c r="A551" i="20"/>
  <c r="AO550" i="20"/>
  <c r="AN550" i="20"/>
  <c r="AM550" i="20"/>
  <c r="AL550" i="20"/>
  <c r="AK550" i="20"/>
  <c r="AJ550" i="20"/>
  <c r="AI550" i="20"/>
  <c r="AH550" i="20"/>
  <c r="AG550" i="20"/>
  <c r="AF550" i="20"/>
  <c r="AE550" i="20"/>
  <c r="AD550" i="20"/>
  <c r="AC550" i="20"/>
  <c r="AB550" i="20"/>
  <c r="AA550" i="20"/>
  <c r="Z550" i="20"/>
  <c r="W550" i="20"/>
  <c r="T550" i="20"/>
  <c r="Q550" i="20"/>
  <c r="O550" i="20"/>
  <c r="M550" i="20"/>
  <c r="L550" i="20"/>
  <c r="A550" i="20"/>
  <c r="AO549" i="20"/>
  <c r="AN549" i="20"/>
  <c r="AM549" i="20"/>
  <c r="AL549" i="20"/>
  <c r="AK549" i="20"/>
  <c r="AJ549" i="20"/>
  <c r="AI549" i="20"/>
  <c r="AH549" i="20"/>
  <c r="AG549" i="20"/>
  <c r="AF549" i="20"/>
  <c r="AE549" i="20"/>
  <c r="AD549" i="20"/>
  <c r="AC549" i="20"/>
  <c r="AB549" i="20"/>
  <c r="AA549" i="20"/>
  <c r="Z549" i="20"/>
  <c r="W549" i="20"/>
  <c r="T549" i="20"/>
  <c r="Q549" i="20"/>
  <c r="O549" i="20"/>
  <c r="M549" i="20"/>
  <c r="L549" i="20"/>
  <c r="A549" i="20"/>
  <c r="AO548" i="20"/>
  <c r="AN548" i="20"/>
  <c r="AM548" i="20"/>
  <c r="AL548" i="20"/>
  <c r="AK548" i="20"/>
  <c r="AJ548" i="20"/>
  <c r="AI548" i="20"/>
  <c r="AH548" i="20"/>
  <c r="AG548" i="20"/>
  <c r="AF548" i="20"/>
  <c r="AE548" i="20"/>
  <c r="AD548" i="20"/>
  <c r="AC548" i="20"/>
  <c r="AB548" i="20"/>
  <c r="AA548" i="20"/>
  <c r="Z548" i="20"/>
  <c r="W548" i="20"/>
  <c r="T548" i="20"/>
  <c r="Q548" i="20"/>
  <c r="O548" i="20"/>
  <c r="M548" i="20"/>
  <c r="L548" i="20"/>
  <c r="A548" i="20"/>
  <c r="AO547" i="20"/>
  <c r="AN547" i="20"/>
  <c r="AM547" i="20"/>
  <c r="AL547" i="20"/>
  <c r="AK547" i="20"/>
  <c r="AJ547" i="20"/>
  <c r="AI547" i="20"/>
  <c r="AH547" i="20"/>
  <c r="AG547" i="20"/>
  <c r="AF547" i="20"/>
  <c r="AE547" i="20"/>
  <c r="AD547" i="20"/>
  <c r="AC547" i="20"/>
  <c r="AB547" i="20"/>
  <c r="AA547" i="20"/>
  <c r="Z547" i="20"/>
  <c r="W547" i="20"/>
  <c r="T547" i="20"/>
  <c r="Q547" i="20"/>
  <c r="O547" i="20"/>
  <c r="M547" i="20"/>
  <c r="L547" i="20"/>
  <c r="A547" i="20"/>
  <c r="AO546" i="20"/>
  <c r="AN546" i="20"/>
  <c r="AM546" i="20"/>
  <c r="AL546" i="20"/>
  <c r="AK546" i="20"/>
  <c r="AJ546" i="20"/>
  <c r="AI546" i="20"/>
  <c r="AH546" i="20"/>
  <c r="AG546" i="20"/>
  <c r="AF546" i="20"/>
  <c r="AE546" i="20"/>
  <c r="AD546" i="20"/>
  <c r="AC546" i="20"/>
  <c r="AB546" i="20"/>
  <c r="AA546" i="20"/>
  <c r="Z546" i="20"/>
  <c r="W546" i="20"/>
  <c r="T546" i="20"/>
  <c r="Q546" i="20"/>
  <c r="O546" i="20"/>
  <c r="M546" i="20"/>
  <c r="L546" i="20"/>
  <c r="A546" i="20"/>
  <c r="AO545" i="20"/>
  <c r="AN545" i="20"/>
  <c r="AM545" i="20"/>
  <c r="AL545" i="20"/>
  <c r="AK545" i="20"/>
  <c r="AJ545" i="20"/>
  <c r="AI545" i="20"/>
  <c r="AH545" i="20"/>
  <c r="AG545" i="20"/>
  <c r="AF545" i="20"/>
  <c r="AE545" i="20"/>
  <c r="AD545" i="20"/>
  <c r="AC545" i="20"/>
  <c r="AB545" i="20"/>
  <c r="AA545" i="20"/>
  <c r="Z545" i="20"/>
  <c r="W545" i="20"/>
  <c r="T545" i="20"/>
  <c r="Q545" i="20"/>
  <c r="O545" i="20"/>
  <c r="M545" i="20"/>
  <c r="L545" i="20"/>
  <c r="A545" i="20"/>
  <c r="AO544" i="20"/>
  <c r="AN544" i="20"/>
  <c r="AM544" i="20"/>
  <c r="AL544" i="20"/>
  <c r="AK544" i="20"/>
  <c r="AJ544" i="20"/>
  <c r="AI544" i="20"/>
  <c r="AH544" i="20"/>
  <c r="AG544" i="20"/>
  <c r="AF544" i="20"/>
  <c r="AE544" i="20"/>
  <c r="AD544" i="20"/>
  <c r="AC544" i="20"/>
  <c r="AB544" i="20"/>
  <c r="AA544" i="20"/>
  <c r="Z544" i="20"/>
  <c r="W544" i="20"/>
  <c r="T544" i="20"/>
  <c r="Q544" i="20"/>
  <c r="O544" i="20"/>
  <c r="M544" i="20"/>
  <c r="L544" i="20"/>
  <c r="A544" i="20"/>
  <c r="AO543" i="20"/>
  <c r="AN543" i="20"/>
  <c r="AM543" i="20"/>
  <c r="AL543" i="20"/>
  <c r="AK543" i="20"/>
  <c r="AJ543" i="20"/>
  <c r="AI543" i="20"/>
  <c r="AH543" i="20"/>
  <c r="AG543" i="20"/>
  <c r="AF543" i="20"/>
  <c r="AE543" i="20"/>
  <c r="AD543" i="20"/>
  <c r="AC543" i="20"/>
  <c r="AB543" i="20"/>
  <c r="AA543" i="20"/>
  <c r="Z543" i="20"/>
  <c r="W543" i="20"/>
  <c r="T543" i="20"/>
  <c r="Q543" i="20"/>
  <c r="O543" i="20"/>
  <c r="M543" i="20"/>
  <c r="L543" i="20"/>
  <c r="A543" i="20"/>
  <c r="AO542" i="20"/>
  <c r="AN542" i="20"/>
  <c r="AM542" i="20"/>
  <c r="AL542" i="20"/>
  <c r="AK542" i="20"/>
  <c r="AJ542" i="20"/>
  <c r="AI542" i="20"/>
  <c r="AH542" i="20"/>
  <c r="AG542" i="20"/>
  <c r="AF542" i="20"/>
  <c r="AE542" i="20"/>
  <c r="AD542" i="20"/>
  <c r="AC542" i="20"/>
  <c r="AB542" i="20"/>
  <c r="AA542" i="20"/>
  <c r="Z542" i="20"/>
  <c r="W542" i="20"/>
  <c r="T542" i="20"/>
  <c r="Q542" i="20"/>
  <c r="O542" i="20"/>
  <c r="M542" i="20"/>
  <c r="L542" i="20"/>
  <c r="A542" i="20"/>
  <c r="AO541" i="20"/>
  <c r="AN541" i="20"/>
  <c r="AM541" i="20"/>
  <c r="AL541" i="20"/>
  <c r="AK541" i="20"/>
  <c r="AJ541" i="20"/>
  <c r="AI541" i="20"/>
  <c r="AH541" i="20"/>
  <c r="AG541" i="20"/>
  <c r="AF541" i="20"/>
  <c r="AE541" i="20"/>
  <c r="AD541" i="20"/>
  <c r="AC541" i="20"/>
  <c r="AB541" i="20"/>
  <c r="AA541" i="20"/>
  <c r="Z541" i="20"/>
  <c r="W541" i="20"/>
  <c r="T541" i="20"/>
  <c r="Q541" i="20"/>
  <c r="O541" i="20"/>
  <c r="M541" i="20"/>
  <c r="L541" i="20"/>
  <c r="A541" i="20"/>
  <c r="AO540" i="20"/>
  <c r="AN540" i="20"/>
  <c r="AM540" i="20"/>
  <c r="AL540" i="20"/>
  <c r="AK540" i="20"/>
  <c r="AJ540" i="20"/>
  <c r="AI540" i="20"/>
  <c r="AH540" i="20"/>
  <c r="AG540" i="20"/>
  <c r="AF540" i="20"/>
  <c r="AE540" i="20"/>
  <c r="AD540" i="20"/>
  <c r="AC540" i="20"/>
  <c r="AB540" i="20"/>
  <c r="AA540" i="20"/>
  <c r="Z540" i="20"/>
  <c r="W540" i="20"/>
  <c r="T540" i="20"/>
  <c r="Q540" i="20"/>
  <c r="O540" i="20"/>
  <c r="M540" i="20"/>
  <c r="L540" i="20"/>
  <c r="A540" i="20"/>
  <c r="AO539" i="20"/>
  <c r="AN539" i="20"/>
  <c r="AM539" i="20"/>
  <c r="AL539" i="20"/>
  <c r="AK539" i="20"/>
  <c r="AJ539" i="20"/>
  <c r="AI539" i="20"/>
  <c r="AH539" i="20"/>
  <c r="AG539" i="20"/>
  <c r="AF539" i="20"/>
  <c r="AE539" i="20"/>
  <c r="AD539" i="20"/>
  <c r="AC539" i="20"/>
  <c r="AB539" i="20"/>
  <c r="AA539" i="20"/>
  <c r="Z539" i="20"/>
  <c r="W539" i="20"/>
  <c r="T539" i="20"/>
  <c r="Q539" i="20"/>
  <c r="O539" i="20"/>
  <c r="M539" i="20"/>
  <c r="L539" i="20"/>
  <c r="A539" i="20"/>
  <c r="AO538" i="20"/>
  <c r="AN538" i="20"/>
  <c r="AM538" i="20"/>
  <c r="AL538" i="20"/>
  <c r="AK538" i="20"/>
  <c r="AJ538" i="20"/>
  <c r="AI538" i="20"/>
  <c r="AH538" i="20"/>
  <c r="AG538" i="20"/>
  <c r="AF538" i="20"/>
  <c r="AE538" i="20"/>
  <c r="AD538" i="20"/>
  <c r="AC538" i="20"/>
  <c r="AB538" i="20"/>
  <c r="AA538" i="20"/>
  <c r="Z538" i="20"/>
  <c r="W538" i="20"/>
  <c r="T538" i="20"/>
  <c r="Q538" i="20"/>
  <c r="O538" i="20"/>
  <c r="M538" i="20"/>
  <c r="L538" i="20"/>
  <c r="A538" i="20"/>
  <c r="AO537" i="20"/>
  <c r="AN537" i="20"/>
  <c r="AM537" i="20"/>
  <c r="AL537" i="20"/>
  <c r="AK537" i="20"/>
  <c r="AJ537" i="20"/>
  <c r="AI537" i="20"/>
  <c r="AH537" i="20"/>
  <c r="AG537" i="20"/>
  <c r="AF537" i="20"/>
  <c r="AE537" i="20"/>
  <c r="AD537" i="20"/>
  <c r="AC537" i="20"/>
  <c r="AB537" i="20"/>
  <c r="AA537" i="20"/>
  <c r="Z537" i="20"/>
  <c r="W537" i="20"/>
  <c r="T537" i="20"/>
  <c r="Q537" i="20"/>
  <c r="O537" i="20"/>
  <c r="M537" i="20"/>
  <c r="L537" i="20"/>
  <c r="A537" i="20"/>
  <c r="AO536" i="20"/>
  <c r="AN536" i="20"/>
  <c r="AM536" i="20"/>
  <c r="AL536" i="20"/>
  <c r="AK536" i="20"/>
  <c r="AJ536" i="20"/>
  <c r="AI536" i="20"/>
  <c r="AH536" i="20"/>
  <c r="AG536" i="20"/>
  <c r="AF536" i="20"/>
  <c r="AE536" i="20"/>
  <c r="AD536" i="20"/>
  <c r="AC536" i="20"/>
  <c r="AB536" i="20"/>
  <c r="AA536" i="20"/>
  <c r="Z536" i="20"/>
  <c r="W536" i="20"/>
  <c r="T536" i="20"/>
  <c r="Q536" i="20"/>
  <c r="O536" i="20"/>
  <c r="M536" i="20"/>
  <c r="L536" i="20"/>
  <c r="A536" i="20"/>
  <c r="AO535" i="20"/>
  <c r="AN535" i="20"/>
  <c r="AM535" i="20"/>
  <c r="AL535" i="20"/>
  <c r="AK535" i="20"/>
  <c r="AJ535" i="20"/>
  <c r="AI535" i="20"/>
  <c r="AH535" i="20"/>
  <c r="AG535" i="20"/>
  <c r="AF535" i="20"/>
  <c r="AE535" i="20"/>
  <c r="AD535" i="20"/>
  <c r="AC535" i="20"/>
  <c r="AB535" i="20"/>
  <c r="AA535" i="20"/>
  <c r="Z535" i="20"/>
  <c r="W535" i="20"/>
  <c r="T535" i="20"/>
  <c r="Q535" i="20"/>
  <c r="O535" i="20"/>
  <c r="M535" i="20"/>
  <c r="L535" i="20"/>
  <c r="A535" i="20"/>
  <c r="AO534" i="20"/>
  <c r="AN534" i="20"/>
  <c r="AM534" i="20"/>
  <c r="AL534" i="20"/>
  <c r="AK534" i="20"/>
  <c r="AJ534" i="20"/>
  <c r="AI534" i="20"/>
  <c r="AH534" i="20"/>
  <c r="AG534" i="20"/>
  <c r="AF534" i="20"/>
  <c r="AE534" i="20"/>
  <c r="AD534" i="20"/>
  <c r="AC534" i="20"/>
  <c r="AB534" i="20"/>
  <c r="AA534" i="20"/>
  <c r="Z534" i="20"/>
  <c r="W534" i="20"/>
  <c r="T534" i="20"/>
  <c r="Q534" i="20"/>
  <c r="O534" i="20"/>
  <c r="M534" i="20"/>
  <c r="L534" i="20"/>
  <c r="A534" i="20"/>
  <c r="AO533" i="20"/>
  <c r="AN533" i="20"/>
  <c r="AM533" i="20"/>
  <c r="AL533" i="20"/>
  <c r="AK533" i="20"/>
  <c r="AJ533" i="20"/>
  <c r="AI533" i="20"/>
  <c r="AH533" i="20"/>
  <c r="AG533" i="20"/>
  <c r="AF533" i="20"/>
  <c r="AE533" i="20"/>
  <c r="AD533" i="20"/>
  <c r="AC533" i="20"/>
  <c r="AB533" i="20"/>
  <c r="AA533" i="20"/>
  <c r="Z533" i="20"/>
  <c r="W533" i="20"/>
  <c r="T533" i="20"/>
  <c r="Q533" i="20"/>
  <c r="O533" i="20"/>
  <c r="M533" i="20"/>
  <c r="L533" i="20"/>
  <c r="A533" i="20"/>
  <c r="AO532" i="20"/>
  <c r="AN532" i="20"/>
  <c r="AM532" i="20"/>
  <c r="AL532" i="20"/>
  <c r="AK532" i="20"/>
  <c r="AJ532" i="20"/>
  <c r="AI532" i="20"/>
  <c r="AH532" i="20"/>
  <c r="AG532" i="20"/>
  <c r="AF532" i="20"/>
  <c r="AE532" i="20"/>
  <c r="AD532" i="20"/>
  <c r="AC532" i="20"/>
  <c r="AB532" i="20"/>
  <c r="AA532" i="20"/>
  <c r="Z532" i="20"/>
  <c r="W532" i="20"/>
  <c r="T532" i="20"/>
  <c r="Q532" i="20"/>
  <c r="O532" i="20"/>
  <c r="M532" i="20"/>
  <c r="L532" i="20"/>
  <c r="A532" i="20"/>
  <c r="AO531" i="20"/>
  <c r="AN531" i="20"/>
  <c r="AM531" i="20"/>
  <c r="AL531" i="20"/>
  <c r="AK531" i="20"/>
  <c r="AJ531" i="20"/>
  <c r="AI531" i="20"/>
  <c r="AH531" i="20"/>
  <c r="AG531" i="20"/>
  <c r="AF531" i="20"/>
  <c r="AE531" i="20"/>
  <c r="AD531" i="20"/>
  <c r="AC531" i="20"/>
  <c r="AB531" i="20"/>
  <c r="AA531" i="20"/>
  <c r="Z531" i="20"/>
  <c r="W531" i="20"/>
  <c r="T531" i="20"/>
  <c r="Q531" i="20"/>
  <c r="O531" i="20"/>
  <c r="M531" i="20"/>
  <c r="L531" i="20"/>
  <c r="A531" i="20"/>
  <c r="AO530" i="20"/>
  <c r="AN530" i="20"/>
  <c r="AM530" i="20"/>
  <c r="AL530" i="20"/>
  <c r="AK530" i="20"/>
  <c r="AJ530" i="20"/>
  <c r="AI530" i="20"/>
  <c r="AH530" i="20"/>
  <c r="AG530" i="20"/>
  <c r="AF530" i="20"/>
  <c r="AE530" i="20"/>
  <c r="AD530" i="20"/>
  <c r="AC530" i="20"/>
  <c r="AB530" i="20"/>
  <c r="AA530" i="20"/>
  <c r="Z530" i="20"/>
  <c r="W530" i="20"/>
  <c r="T530" i="20"/>
  <c r="Q530" i="20"/>
  <c r="O530" i="20"/>
  <c r="M530" i="20"/>
  <c r="L530" i="20"/>
  <c r="A530" i="20"/>
  <c r="AO529" i="20"/>
  <c r="AN529" i="20"/>
  <c r="AM529" i="20"/>
  <c r="AL529" i="20"/>
  <c r="AK529" i="20"/>
  <c r="AJ529" i="20"/>
  <c r="AI529" i="20"/>
  <c r="AH529" i="20"/>
  <c r="AG529" i="20"/>
  <c r="AF529" i="20"/>
  <c r="AE529" i="20"/>
  <c r="AD529" i="20"/>
  <c r="AC529" i="20"/>
  <c r="AB529" i="20"/>
  <c r="AA529" i="20"/>
  <c r="Z529" i="20"/>
  <c r="W529" i="20"/>
  <c r="T529" i="20"/>
  <c r="Q529" i="20"/>
  <c r="O529" i="20"/>
  <c r="M529" i="20"/>
  <c r="L529" i="20"/>
  <c r="A529" i="20"/>
  <c r="AO528" i="20"/>
  <c r="AN528" i="20"/>
  <c r="AM528" i="20"/>
  <c r="AL528" i="20"/>
  <c r="AK528" i="20"/>
  <c r="AJ528" i="20"/>
  <c r="AI528" i="20"/>
  <c r="AH528" i="20"/>
  <c r="AG528" i="20"/>
  <c r="AF528" i="20"/>
  <c r="AE528" i="20"/>
  <c r="AD528" i="20"/>
  <c r="AC528" i="20"/>
  <c r="AB528" i="20"/>
  <c r="AA528" i="20"/>
  <c r="Z528" i="20"/>
  <c r="W528" i="20"/>
  <c r="T528" i="20"/>
  <c r="Q528" i="20"/>
  <c r="O528" i="20"/>
  <c r="M528" i="20"/>
  <c r="L528" i="20"/>
  <c r="A528" i="20"/>
  <c r="AO527" i="20"/>
  <c r="AN527" i="20"/>
  <c r="AM527" i="20"/>
  <c r="AL527" i="20"/>
  <c r="AK527" i="20"/>
  <c r="AJ527" i="20"/>
  <c r="AI527" i="20"/>
  <c r="AH527" i="20"/>
  <c r="AG527" i="20"/>
  <c r="AF527" i="20"/>
  <c r="AE527" i="20"/>
  <c r="AD527" i="20"/>
  <c r="AC527" i="20"/>
  <c r="AB527" i="20"/>
  <c r="AA527" i="20"/>
  <c r="Z527" i="20"/>
  <c r="W527" i="20"/>
  <c r="T527" i="20"/>
  <c r="Q527" i="20"/>
  <c r="O527" i="20"/>
  <c r="M527" i="20"/>
  <c r="L527" i="20"/>
  <c r="A527" i="20"/>
  <c r="AO526" i="20"/>
  <c r="AN526" i="20"/>
  <c r="AM526" i="20"/>
  <c r="AL526" i="20"/>
  <c r="AK526" i="20"/>
  <c r="AJ526" i="20"/>
  <c r="AI526" i="20"/>
  <c r="AH526" i="20"/>
  <c r="AG526" i="20"/>
  <c r="AF526" i="20"/>
  <c r="AE526" i="20"/>
  <c r="AD526" i="20"/>
  <c r="AC526" i="20"/>
  <c r="AB526" i="20"/>
  <c r="AA526" i="20"/>
  <c r="Z526" i="20"/>
  <c r="W526" i="20"/>
  <c r="T526" i="20"/>
  <c r="Q526" i="20"/>
  <c r="O526" i="20"/>
  <c r="M526" i="20"/>
  <c r="L526" i="20"/>
  <c r="A526" i="20"/>
  <c r="AO525" i="20"/>
  <c r="AN525" i="20"/>
  <c r="AM525" i="20"/>
  <c r="AL525" i="20"/>
  <c r="AK525" i="20"/>
  <c r="AJ525" i="20"/>
  <c r="AI525" i="20"/>
  <c r="AH525" i="20"/>
  <c r="AG525" i="20"/>
  <c r="AF525" i="20"/>
  <c r="AE525" i="20"/>
  <c r="AD525" i="20"/>
  <c r="AC525" i="20"/>
  <c r="AB525" i="20"/>
  <c r="AA525" i="20"/>
  <c r="Z525" i="20"/>
  <c r="W525" i="20"/>
  <c r="T525" i="20"/>
  <c r="Q525" i="20"/>
  <c r="O525" i="20"/>
  <c r="M525" i="20"/>
  <c r="L525" i="20"/>
  <c r="A525" i="20"/>
  <c r="AO524" i="20"/>
  <c r="AN524" i="20"/>
  <c r="AM524" i="20"/>
  <c r="AL524" i="20"/>
  <c r="AK524" i="20"/>
  <c r="AJ524" i="20"/>
  <c r="AI524" i="20"/>
  <c r="AH524" i="20"/>
  <c r="AG524" i="20"/>
  <c r="AF524" i="20"/>
  <c r="AE524" i="20"/>
  <c r="AD524" i="20"/>
  <c r="AC524" i="20"/>
  <c r="AB524" i="20"/>
  <c r="AA524" i="20"/>
  <c r="Z524" i="20"/>
  <c r="W524" i="20"/>
  <c r="T524" i="20"/>
  <c r="Q524" i="20"/>
  <c r="O524" i="20"/>
  <c r="M524" i="20"/>
  <c r="L524" i="20"/>
  <c r="A524" i="20"/>
  <c r="AO523" i="20"/>
  <c r="AN523" i="20"/>
  <c r="AM523" i="20"/>
  <c r="AL523" i="20"/>
  <c r="AK523" i="20"/>
  <c r="AJ523" i="20"/>
  <c r="AI523" i="20"/>
  <c r="AH523" i="20"/>
  <c r="AG523" i="20"/>
  <c r="AF523" i="20"/>
  <c r="AE523" i="20"/>
  <c r="AD523" i="20"/>
  <c r="AC523" i="20"/>
  <c r="AB523" i="20"/>
  <c r="AA523" i="20"/>
  <c r="Z523" i="20"/>
  <c r="W523" i="20"/>
  <c r="T523" i="20"/>
  <c r="Q523" i="20"/>
  <c r="O523" i="20"/>
  <c r="M523" i="20"/>
  <c r="L523" i="20"/>
  <c r="A523" i="20"/>
  <c r="AO522" i="20"/>
  <c r="AN522" i="20"/>
  <c r="AM522" i="20"/>
  <c r="AL522" i="20"/>
  <c r="AK522" i="20"/>
  <c r="AJ522" i="20"/>
  <c r="AI522" i="20"/>
  <c r="AH522" i="20"/>
  <c r="AG522" i="20"/>
  <c r="AF522" i="20"/>
  <c r="AE522" i="20"/>
  <c r="AD522" i="20"/>
  <c r="AC522" i="20"/>
  <c r="AB522" i="20"/>
  <c r="AA522" i="20"/>
  <c r="Z522" i="20"/>
  <c r="W522" i="20"/>
  <c r="T522" i="20"/>
  <c r="Q522" i="20"/>
  <c r="O522" i="20"/>
  <c r="M522" i="20"/>
  <c r="L522" i="20"/>
  <c r="A522" i="20"/>
  <c r="AO521" i="20"/>
  <c r="AN521" i="20"/>
  <c r="AM521" i="20"/>
  <c r="AL521" i="20"/>
  <c r="AK521" i="20"/>
  <c r="AJ521" i="20"/>
  <c r="AI521" i="20"/>
  <c r="AH521" i="20"/>
  <c r="AG521" i="20"/>
  <c r="AF521" i="20"/>
  <c r="AE521" i="20"/>
  <c r="AD521" i="20"/>
  <c r="AC521" i="20"/>
  <c r="AB521" i="20"/>
  <c r="AA521" i="20"/>
  <c r="Z521" i="20"/>
  <c r="W521" i="20"/>
  <c r="T521" i="20"/>
  <c r="Q521" i="20"/>
  <c r="O521" i="20"/>
  <c r="M521" i="20"/>
  <c r="L521" i="20"/>
  <c r="A521" i="20"/>
  <c r="AO520" i="20"/>
  <c r="AN520" i="20"/>
  <c r="AM520" i="20"/>
  <c r="AL520" i="20"/>
  <c r="AK520" i="20"/>
  <c r="AJ520" i="20"/>
  <c r="AI520" i="20"/>
  <c r="AH520" i="20"/>
  <c r="AG520" i="20"/>
  <c r="AF520" i="20"/>
  <c r="AE520" i="20"/>
  <c r="AD520" i="20"/>
  <c r="AC520" i="20"/>
  <c r="AB520" i="20"/>
  <c r="AA520" i="20"/>
  <c r="Z520" i="20"/>
  <c r="W520" i="20"/>
  <c r="T520" i="20"/>
  <c r="Q520" i="20"/>
  <c r="O520" i="20"/>
  <c r="M520" i="20"/>
  <c r="L520" i="20"/>
  <c r="A520" i="20"/>
  <c r="AO519" i="20"/>
  <c r="AN519" i="20"/>
  <c r="AM519" i="20"/>
  <c r="AL519" i="20"/>
  <c r="AK519" i="20"/>
  <c r="AJ519" i="20"/>
  <c r="AI519" i="20"/>
  <c r="AH519" i="20"/>
  <c r="AG519" i="20"/>
  <c r="AF519" i="20"/>
  <c r="AE519" i="20"/>
  <c r="AD519" i="20"/>
  <c r="AC519" i="20"/>
  <c r="AB519" i="20"/>
  <c r="AA519" i="20"/>
  <c r="Z519" i="20"/>
  <c r="W519" i="20"/>
  <c r="T519" i="20"/>
  <c r="Q519" i="20"/>
  <c r="O519" i="20"/>
  <c r="M519" i="20"/>
  <c r="L519" i="20"/>
  <c r="A519" i="20"/>
  <c r="AO518" i="20"/>
  <c r="AN518" i="20"/>
  <c r="AM518" i="20"/>
  <c r="AL518" i="20"/>
  <c r="AK518" i="20"/>
  <c r="AJ518" i="20"/>
  <c r="AI518" i="20"/>
  <c r="AH518" i="20"/>
  <c r="AG518" i="20"/>
  <c r="AF518" i="20"/>
  <c r="AE518" i="20"/>
  <c r="AD518" i="20"/>
  <c r="AC518" i="20"/>
  <c r="AB518" i="20"/>
  <c r="AA518" i="20"/>
  <c r="Z518" i="20"/>
  <c r="W518" i="20"/>
  <c r="T518" i="20"/>
  <c r="Q518" i="20"/>
  <c r="O518" i="20"/>
  <c r="N518" i="20"/>
  <c r="M518" i="20"/>
  <c r="L518" i="20"/>
  <c r="A518" i="20"/>
  <c r="AO517" i="20"/>
  <c r="AN517" i="20"/>
  <c r="AM517" i="20"/>
  <c r="AL517" i="20"/>
  <c r="AK517" i="20"/>
  <c r="AJ517" i="20"/>
  <c r="AI517" i="20"/>
  <c r="AH517" i="20"/>
  <c r="AG517" i="20"/>
  <c r="AF517" i="20"/>
  <c r="AE517" i="20"/>
  <c r="AD517" i="20"/>
  <c r="AC517" i="20"/>
  <c r="AB517" i="20"/>
  <c r="AA517" i="20"/>
  <c r="Z517" i="20"/>
  <c r="W517" i="20"/>
  <c r="T517" i="20"/>
  <c r="Q517" i="20"/>
  <c r="O517" i="20"/>
  <c r="N517" i="20"/>
  <c r="M517" i="20"/>
  <c r="L517" i="20"/>
  <c r="A517" i="20"/>
  <c r="AO516" i="20"/>
  <c r="AN516" i="20"/>
  <c r="AM516" i="20"/>
  <c r="AL516" i="20"/>
  <c r="AK516" i="20"/>
  <c r="AJ516" i="20"/>
  <c r="AI516" i="20"/>
  <c r="AH516" i="20"/>
  <c r="AG516" i="20"/>
  <c r="AF516" i="20"/>
  <c r="AE516" i="20"/>
  <c r="AD516" i="20"/>
  <c r="AC516" i="20"/>
  <c r="AB516" i="20"/>
  <c r="AA516" i="20"/>
  <c r="Z516" i="20"/>
  <c r="W516" i="20"/>
  <c r="T516" i="20"/>
  <c r="Q516" i="20"/>
  <c r="O516" i="20"/>
  <c r="N516" i="20"/>
  <c r="M516" i="20"/>
  <c r="L516" i="20"/>
  <c r="A516" i="20"/>
  <c r="AO515" i="20"/>
  <c r="AN515" i="20"/>
  <c r="AM515" i="20"/>
  <c r="AL515" i="20"/>
  <c r="AK515" i="20"/>
  <c r="AJ515" i="20"/>
  <c r="AI515" i="20"/>
  <c r="AH515" i="20"/>
  <c r="AG515" i="20"/>
  <c r="AF515" i="20"/>
  <c r="AE515" i="20"/>
  <c r="AD515" i="20"/>
  <c r="AC515" i="20"/>
  <c r="AB515" i="20"/>
  <c r="AA515" i="20"/>
  <c r="Z515" i="20"/>
  <c r="W515" i="20"/>
  <c r="T515" i="20"/>
  <c r="Q515" i="20"/>
  <c r="O515" i="20"/>
  <c r="N515" i="20"/>
  <c r="M515" i="20"/>
  <c r="L515" i="20"/>
  <c r="A515" i="20"/>
  <c r="AO514" i="20"/>
  <c r="AN514" i="20"/>
  <c r="AM514" i="20"/>
  <c r="AL514" i="20"/>
  <c r="AK514" i="20"/>
  <c r="AJ514" i="20"/>
  <c r="AI514" i="20"/>
  <c r="AH514" i="20"/>
  <c r="AG514" i="20"/>
  <c r="AF514" i="20"/>
  <c r="AE514" i="20"/>
  <c r="AD514" i="20"/>
  <c r="AC514" i="20"/>
  <c r="AB514" i="20"/>
  <c r="AA514" i="20"/>
  <c r="Z514" i="20"/>
  <c r="W514" i="20"/>
  <c r="T514" i="20"/>
  <c r="Q514" i="20"/>
  <c r="O514" i="20"/>
  <c r="N514" i="20"/>
  <c r="M514" i="20"/>
  <c r="L514" i="20"/>
  <c r="A514" i="20"/>
  <c r="AO513" i="20"/>
  <c r="AN513" i="20"/>
  <c r="AM513" i="20"/>
  <c r="AL513" i="20"/>
  <c r="AK513" i="20"/>
  <c r="AJ513" i="20"/>
  <c r="AI513" i="20"/>
  <c r="AH513" i="20"/>
  <c r="AG513" i="20"/>
  <c r="AF513" i="20"/>
  <c r="AE513" i="20"/>
  <c r="AD513" i="20"/>
  <c r="AC513" i="20"/>
  <c r="AB513" i="20"/>
  <c r="AA513" i="20"/>
  <c r="Z513" i="20"/>
  <c r="W513" i="20"/>
  <c r="T513" i="20"/>
  <c r="Q513" i="20"/>
  <c r="O513" i="20"/>
  <c r="N513" i="20"/>
  <c r="M513" i="20"/>
  <c r="L513" i="20"/>
  <c r="A513" i="20"/>
  <c r="AO512" i="20"/>
  <c r="AN512" i="20"/>
  <c r="AM512" i="20"/>
  <c r="AL512" i="20"/>
  <c r="AK512" i="20"/>
  <c r="AJ512" i="20"/>
  <c r="AI512" i="20"/>
  <c r="AH512" i="20"/>
  <c r="AG512" i="20"/>
  <c r="AF512" i="20"/>
  <c r="AE512" i="20"/>
  <c r="AD512" i="20"/>
  <c r="AC512" i="20"/>
  <c r="AB512" i="20"/>
  <c r="AA512" i="20"/>
  <c r="Z512" i="20"/>
  <c r="W512" i="20"/>
  <c r="T512" i="20"/>
  <c r="Q512" i="20"/>
  <c r="O512" i="20"/>
  <c r="N512" i="20"/>
  <c r="M512" i="20"/>
  <c r="L512" i="20"/>
  <c r="A512" i="20"/>
  <c r="AO511" i="20"/>
  <c r="AN511" i="20"/>
  <c r="AM511" i="20"/>
  <c r="AL511" i="20"/>
  <c r="AK511" i="20"/>
  <c r="AJ511" i="20"/>
  <c r="AI511" i="20"/>
  <c r="AH511" i="20"/>
  <c r="AG511" i="20"/>
  <c r="AF511" i="20"/>
  <c r="AE511" i="20"/>
  <c r="AD511" i="20"/>
  <c r="AC511" i="20"/>
  <c r="AB511" i="20"/>
  <c r="AA511" i="20"/>
  <c r="Z511" i="20"/>
  <c r="W511" i="20"/>
  <c r="T511" i="20"/>
  <c r="Q511" i="20"/>
  <c r="O511" i="20"/>
  <c r="N511" i="20"/>
  <c r="M511" i="20"/>
  <c r="L511" i="20"/>
  <c r="A511" i="20"/>
  <c r="AO510" i="20"/>
  <c r="AN510" i="20"/>
  <c r="AM510" i="20"/>
  <c r="AL510" i="20"/>
  <c r="AK510" i="20"/>
  <c r="AJ510" i="20"/>
  <c r="AI510" i="20"/>
  <c r="AH510" i="20"/>
  <c r="AG510" i="20"/>
  <c r="AF510" i="20"/>
  <c r="AE510" i="20"/>
  <c r="AD510" i="20"/>
  <c r="AC510" i="20"/>
  <c r="AB510" i="20"/>
  <c r="AA510" i="20"/>
  <c r="Z510" i="20"/>
  <c r="W510" i="20"/>
  <c r="T510" i="20"/>
  <c r="Q510" i="20"/>
  <c r="O510" i="20"/>
  <c r="N510" i="20"/>
  <c r="M510" i="20"/>
  <c r="L510" i="20"/>
  <c r="A510" i="20"/>
  <c r="AO509" i="20"/>
  <c r="AN509" i="20"/>
  <c r="AM509" i="20"/>
  <c r="AL509" i="20"/>
  <c r="AK509" i="20"/>
  <c r="AJ509" i="20"/>
  <c r="AI509" i="20"/>
  <c r="AH509" i="20"/>
  <c r="AG509" i="20"/>
  <c r="AF509" i="20"/>
  <c r="AE509" i="20"/>
  <c r="AD509" i="20"/>
  <c r="AC509" i="20"/>
  <c r="AB509" i="20"/>
  <c r="AA509" i="20"/>
  <c r="Z509" i="20"/>
  <c r="W509" i="20"/>
  <c r="T509" i="20"/>
  <c r="S509" i="20"/>
  <c r="Q509" i="20"/>
  <c r="O509" i="20"/>
  <c r="N509" i="20"/>
  <c r="M509" i="20"/>
  <c r="L509" i="20"/>
  <c r="A509" i="20"/>
  <c r="AO508" i="20"/>
  <c r="AN508" i="20"/>
  <c r="AM508" i="20"/>
  <c r="AL508" i="20"/>
  <c r="AK508" i="20"/>
  <c r="AJ508" i="20"/>
  <c r="AI508" i="20"/>
  <c r="AH508" i="20"/>
  <c r="AG508" i="20"/>
  <c r="AF508" i="20"/>
  <c r="AE508" i="20"/>
  <c r="AD508" i="20"/>
  <c r="AC508" i="20"/>
  <c r="AB508" i="20"/>
  <c r="AA508" i="20"/>
  <c r="Z508" i="20"/>
  <c r="W508" i="20"/>
  <c r="T508" i="20"/>
  <c r="S508" i="20"/>
  <c r="Q508" i="20"/>
  <c r="O508" i="20"/>
  <c r="N508" i="20"/>
  <c r="M508" i="20"/>
  <c r="L508" i="20"/>
  <c r="A508" i="20"/>
  <c r="AO507" i="20"/>
  <c r="AN507" i="20"/>
  <c r="AM507" i="20"/>
  <c r="AL507" i="20"/>
  <c r="AK507" i="20"/>
  <c r="AJ507" i="20"/>
  <c r="AI507" i="20"/>
  <c r="AH507" i="20"/>
  <c r="AG507" i="20"/>
  <c r="AF507" i="20"/>
  <c r="AE507" i="20"/>
  <c r="AD507" i="20"/>
  <c r="AC507" i="20"/>
  <c r="AB507" i="20"/>
  <c r="AA507" i="20"/>
  <c r="Z507" i="20"/>
  <c r="W507" i="20"/>
  <c r="T507" i="20"/>
  <c r="S507" i="20"/>
  <c r="Q507" i="20"/>
  <c r="O507" i="20"/>
  <c r="N507" i="20"/>
  <c r="M507" i="20"/>
  <c r="L507" i="20"/>
  <c r="A507" i="20"/>
  <c r="AO506" i="20"/>
  <c r="AN506" i="20"/>
  <c r="AM506" i="20"/>
  <c r="AL506" i="20"/>
  <c r="AK506" i="20"/>
  <c r="AJ506" i="20"/>
  <c r="AI506" i="20"/>
  <c r="AH506" i="20"/>
  <c r="AG506" i="20"/>
  <c r="AF506" i="20"/>
  <c r="AE506" i="20"/>
  <c r="AD506" i="20"/>
  <c r="AC506" i="20"/>
  <c r="AB506" i="20"/>
  <c r="AA506" i="20"/>
  <c r="Z506" i="20"/>
  <c r="W506" i="20"/>
  <c r="T506" i="20"/>
  <c r="S506" i="20"/>
  <c r="Q506" i="20"/>
  <c r="O506" i="20"/>
  <c r="N506" i="20"/>
  <c r="M506" i="20"/>
  <c r="L506" i="20"/>
  <c r="A506" i="20"/>
  <c r="AO505" i="20"/>
  <c r="AN505" i="20"/>
  <c r="AM505" i="20"/>
  <c r="AL505" i="20"/>
  <c r="AK505" i="20"/>
  <c r="AJ505" i="20"/>
  <c r="AI505" i="20"/>
  <c r="AH505" i="20"/>
  <c r="AG505" i="20"/>
  <c r="AF505" i="20"/>
  <c r="AE505" i="20"/>
  <c r="AD505" i="20"/>
  <c r="AC505" i="20"/>
  <c r="AB505" i="20"/>
  <c r="AA505" i="20"/>
  <c r="Z505" i="20"/>
  <c r="W505" i="20"/>
  <c r="T505" i="20"/>
  <c r="S505" i="20"/>
  <c r="Q505" i="20"/>
  <c r="O505" i="20"/>
  <c r="N505" i="20"/>
  <c r="M505" i="20"/>
  <c r="L505" i="20"/>
  <c r="A505" i="20"/>
  <c r="AO504" i="20"/>
  <c r="AN504" i="20"/>
  <c r="AM504" i="20"/>
  <c r="AL504" i="20"/>
  <c r="AK504" i="20"/>
  <c r="AJ504" i="20"/>
  <c r="AI504" i="20"/>
  <c r="AH504" i="20"/>
  <c r="AG504" i="20"/>
  <c r="AF504" i="20"/>
  <c r="AE504" i="20"/>
  <c r="AD504" i="20"/>
  <c r="AC504" i="20"/>
  <c r="AB504" i="20"/>
  <c r="AA504" i="20"/>
  <c r="Z504" i="20"/>
  <c r="W504" i="20"/>
  <c r="T504" i="20"/>
  <c r="S504" i="20"/>
  <c r="Q504" i="20"/>
  <c r="O504" i="20"/>
  <c r="N504" i="20"/>
  <c r="M504" i="20"/>
  <c r="L504" i="20"/>
  <c r="A504" i="20"/>
  <c r="AO503" i="20"/>
  <c r="AN503" i="20"/>
  <c r="AM503" i="20"/>
  <c r="AL503" i="20"/>
  <c r="AK503" i="20"/>
  <c r="AJ503" i="20"/>
  <c r="AI503" i="20"/>
  <c r="AH503" i="20"/>
  <c r="AG503" i="20"/>
  <c r="AF503" i="20"/>
  <c r="AE503" i="20"/>
  <c r="AD503" i="20"/>
  <c r="AC503" i="20"/>
  <c r="AB503" i="20"/>
  <c r="AA503" i="20"/>
  <c r="Z503" i="20"/>
  <c r="X503" i="20"/>
  <c r="W503" i="20"/>
  <c r="T503" i="20"/>
  <c r="S503" i="20"/>
  <c r="Q503" i="20"/>
  <c r="O503" i="20"/>
  <c r="N503" i="20"/>
  <c r="M503" i="20"/>
  <c r="L503" i="20"/>
  <c r="A503" i="20"/>
  <c r="AO502" i="20"/>
  <c r="AN502" i="20"/>
  <c r="AM502" i="20"/>
  <c r="AL502" i="20"/>
  <c r="AK502" i="20"/>
  <c r="AJ502" i="20"/>
  <c r="AI502" i="20"/>
  <c r="AH502" i="20"/>
  <c r="AG502" i="20"/>
  <c r="AF502" i="20"/>
  <c r="AE502" i="20"/>
  <c r="AD502" i="20"/>
  <c r="AC502" i="20"/>
  <c r="AB502" i="20"/>
  <c r="AA502" i="20"/>
  <c r="Z502" i="20"/>
  <c r="X502" i="20"/>
  <c r="W502" i="20"/>
  <c r="T502" i="20"/>
  <c r="S502" i="20"/>
  <c r="Q502" i="20"/>
  <c r="O502" i="20"/>
  <c r="N502" i="20"/>
  <c r="M502" i="20"/>
  <c r="L502" i="20"/>
  <c r="A502" i="20"/>
  <c r="AO501" i="20"/>
  <c r="AN501" i="20"/>
  <c r="AM501" i="20"/>
  <c r="AL501" i="20"/>
  <c r="AK501" i="20"/>
  <c r="AJ501" i="20"/>
  <c r="AI501" i="20"/>
  <c r="AH501" i="20"/>
  <c r="AG501" i="20"/>
  <c r="AF501" i="20"/>
  <c r="AE501" i="20"/>
  <c r="AD501" i="20"/>
  <c r="AC501" i="20"/>
  <c r="AB501" i="20"/>
  <c r="AA501" i="20"/>
  <c r="Z501" i="20"/>
  <c r="X501" i="20"/>
  <c r="W501" i="20"/>
  <c r="T501" i="20"/>
  <c r="S501" i="20"/>
  <c r="Q501" i="20"/>
  <c r="O501" i="20"/>
  <c r="N501" i="20"/>
  <c r="M501" i="20"/>
  <c r="L501" i="20"/>
  <c r="A501" i="20"/>
  <c r="AO500" i="20"/>
  <c r="AN500" i="20"/>
  <c r="AM500" i="20"/>
  <c r="AL500" i="20"/>
  <c r="AK500" i="20"/>
  <c r="AJ500" i="20"/>
  <c r="AI500" i="20"/>
  <c r="AH500" i="20"/>
  <c r="AG500" i="20"/>
  <c r="AF500" i="20"/>
  <c r="AE500" i="20"/>
  <c r="AD500" i="20"/>
  <c r="AC500" i="20"/>
  <c r="AB500" i="20"/>
  <c r="AA500" i="20"/>
  <c r="Z500" i="20"/>
  <c r="X500" i="20"/>
  <c r="W500" i="20"/>
  <c r="T500" i="20"/>
  <c r="S500" i="20"/>
  <c r="Q500" i="20"/>
  <c r="O500" i="20"/>
  <c r="N500" i="20"/>
  <c r="M500" i="20"/>
  <c r="L500" i="20"/>
  <c r="A500" i="20"/>
  <c r="AO499" i="20"/>
  <c r="AN499" i="20"/>
  <c r="AM499" i="20"/>
  <c r="AL499" i="20"/>
  <c r="AK499" i="20"/>
  <c r="AJ499" i="20"/>
  <c r="AI499" i="20"/>
  <c r="AH499" i="20"/>
  <c r="AG499" i="20"/>
  <c r="AF499" i="20"/>
  <c r="AE499" i="20"/>
  <c r="AD499" i="20"/>
  <c r="AC499" i="20"/>
  <c r="AB499" i="20"/>
  <c r="AA499" i="20"/>
  <c r="Z499" i="20"/>
  <c r="X499" i="20"/>
  <c r="W499" i="20"/>
  <c r="T499" i="20"/>
  <c r="S499" i="20"/>
  <c r="Q499" i="20"/>
  <c r="O499" i="20"/>
  <c r="N499" i="20"/>
  <c r="M499" i="20"/>
  <c r="L499" i="20"/>
  <c r="A499" i="20"/>
  <c r="AO498" i="20"/>
  <c r="AN498" i="20"/>
  <c r="AM498" i="20"/>
  <c r="AL498" i="20"/>
  <c r="AK498" i="20"/>
  <c r="AJ498" i="20"/>
  <c r="AI498" i="20"/>
  <c r="AH498" i="20"/>
  <c r="AG498" i="20"/>
  <c r="AF498" i="20"/>
  <c r="AE498" i="20"/>
  <c r="AD498" i="20"/>
  <c r="AC498" i="20"/>
  <c r="AB498" i="20"/>
  <c r="AA498" i="20"/>
  <c r="Z498" i="20"/>
  <c r="X498" i="20"/>
  <c r="W498" i="20"/>
  <c r="T498" i="20"/>
  <c r="S498" i="20"/>
  <c r="Q498" i="20"/>
  <c r="O498" i="20"/>
  <c r="N498" i="20"/>
  <c r="M498" i="20"/>
  <c r="L498" i="20"/>
  <c r="A498" i="20"/>
  <c r="AO497" i="20"/>
  <c r="AN497" i="20"/>
  <c r="AM497" i="20"/>
  <c r="AL497" i="20"/>
  <c r="AK497" i="20"/>
  <c r="AJ497" i="20"/>
  <c r="AI497" i="20"/>
  <c r="AH497" i="20"/>
  <c r="AG497" i="20"/>
  <c r="AF497" i="20"/>
  <c r="AE497" i="20"/>
  <c r="AD497" i="20"/>
  <c r="AC497" i="20"/>
  <c r="AB497" i="20"/>
  <c r="AA497" i="20"/>
  <c r="Z497" i="20"/>
  <c r="X497" i="20"/>
  <c r="W497" i="20"/>
  <c r="T497" i="20"/>
  <c r="S497" i="20"/>
  <c r="Q497" i="20"/>
  <c r="O497" i="20"/>
  <c r="N497" i="20"/>
  <c r="M497" i="20"/>
  <c r="L497" i="20"/>
  <c r="A497" i="20"/>
  <c r="AO496" i="20"/>
  <c r="AN496" i="20"/>
  <c r="AM496" i="20"/>
  <c r="AL496" i="20"/>
  <c r="AK496" i="20"/>
  <c r="AJ496" i="20"/>
  <c r="AI496" i="20"/>
  <c r="AH496" i="20"/>
  <c r="AG496" i="20"/>
  <c r="AF496" i="20"/>
  <c r="AE496" i="20"/>
  <c r="AD496" i="20"/>
  <c r="AC496" i="20"/>
  <c r="AB496" i="20"/>
  <c r="AA496" i="20"/>
  <c r="Z496" i="20"/>
  <c r="X496" i="20"/>
  <c r="W496" i="20"/>
  <c r="T496" i="20"/>
  <c r="S496" i="20"/>
  <c r="Q496" i="20"/>
  <c r="O496" i="20"/>
  <c r="N496" i="20"/>
  <c r="M496" i="20"/>
  <c r="L496" i="20"/>
  <c r="A496" i="20"/>
  <c r="AO495" i="20"/>
  <c r="AN495" i="20"/>
  <c r="AM495" i="20"/>
  <c r="AL495" i="20"/>
  <c r="AK495" i="20"/>
  <c r="AJ495" i="20"/>
  <c r="AI495" i="20"/>
  <c r="AH495" i="20"/>
  <c r="AG495" i="20"/>
  <c r="AF495" i="20"/>
  <c r="AE495" i="20"/>
  <c r="AD495" i="20"/>
  <c r="AC495" i="20"/>
  <c r="AB495" i="20"/>
  <c r="AA495" i="20"/>
  <c r="Z495" i="20"/>
  <c r="X495" i="20"/>
  <c r="W495" i="20"/>
  <c r="T495" i="20"/>
  <c r="S495" i="20"/>
  <c r="Q495" i="20"/>
  <c r="O495" i="20"/>
  <c r="N495" i="20"/>
  <c r="M495" i="20"/>
  <c r="L495" i="20"/>
  <c r="A495" i="20"/>
  <c r="AO494" i="20"/>
  <c r="AN494" i="20"/>
  <c r="AM494" i="20"/>
  <c r="AL494" i="20"/>
  <c r="AK494" i="20"/>
  <c r="AJ494" i="20"/>
  <c r="AI494" i="20"/>
  <c r="AH494" i="20"/>
  <c r="AG494" i="20"/>
  <c r="AF494" i="20"/>
  <c r="AE494" i="20"/>
  <c r="AD494" i="20"/>
  <c r="AC494" i="20"/>
  <c r="AB494" i="20"/>
  <c r="AA494" i="20"/>
  <c r="Z494" i="20"/>
  <c r="X494" i="20"/>
  <c r="W494" i="20"/>
  <c r="T494" i="20"/>
  <c r="S494" i="20"/>
  <c r="Q494" i="20"/>
  <c r="O494" i="20"/>
  <c r="N494" i="20"/>
  <c r="M494" i="20"/>
  <c r="L494" i="20"/>
  <c r="A494" i="20"/>
  <c r="AO493" i="20"/>
  <c r="AN493" i="20"/>
  <c r="AM493" i="20"/>
  <c r="AL493" i="20"/>
  <c r="AK493" i="20"/>
  <c r="AJ493" i="20"/>
  <c r="AI493" i="20"/>
  <c r="AH493" i="20"/>
  <c r="AG493" i="20"/>
  <c r="AF493" i="20"/>
  <c r="AE493" i="20"/>
  <c r="AD493" i="20"/>
  <c r="AC493" i="20"/>
  <c r="AB493" i="20"/>
  <c r="AA493" i="20"/>
  <c r="Z493" i="20"/>
  <c r="X493" i="20"/>
  <c r="W493" i="20"/>
  <c r="T493" i="20"/>
  <c r="S493" i="20"/>
  <c r="Q493" i="20"/>
  <c r="O493" i="20"/>
  <c r="N493" i="20"/>
  <c r="M493" i="20"/>
  <c r="L493" i="20"/>
  <c r="A493" i="20"/>
  <c r="AO492" i="20"/>
  <c r="AN492" i="20"/>
  <c r="AM492" i="20"/>
  <c r="AL492" i="20"/>
  <c r="AK492" i="20"/>
  <c r="AJ492" i="20"/>
  <c r="AI492" i="20"/>
  <c r="AH492" i="20"/>
  <c r="AG492" i="20"/>
  <c r="AF492" i="20"/>
  <c r="AE492" i="20"/>
  <c r="AD492" i="20"/>
  <c r="AC492" i="20"/>
  <c r="AB492" i="20"/>
  <c r="AA492" i="20"/>
  <c r="Z492" i="20"/>
  <c r="X492" i="20"/>
  <c r="W492" i="20"/>
  <c r="T492" i="20"/>
  <c r="S492" i="20"/>
  <c r="Q492" i="20"/>
  <c r="O492" i="20"/>
  <c r="N492" i="20"/>
  <c r="M492" i="20"/>
  <c r="L492" i="20"/>
  <c r="A492" i="20"/>
  <c r="AO491" i="20"/>
  <c r="AN491" i="20"/>
  <c r="AM491" i="20"/>
  <c r="AL491" i="20"/>
  <c r="AK491" i="20"/>
  <c r="AJ491" i="20"/>
  <c r="AI491" i="20"/>
  <c r="AH491" i="20"/>
  <c r="AG491" i="20"/>
  <c r="AF491" i="20"/>
  <c r="AE491" i="20"/>
  <c r="AD491" i="20"/>
  <c r="AC491" i="20"/>
  <c r="AB491" i="20"/>
  <c r="AA491" i="20"/>
  <c r="Z491" i="20"/>
  <c r="X491" i="20"/>
  <c r="W491" i="20"/>
  <c r="T491" i="20"/>
  <c r="S491" i="20"/>
  <c r="Q491" i="20"/>
  <c r="O491" i="20"/>
  <c r="N491" i="20"/>
  <c r="M491" i="20"/>
  <c r="L491" i="20"/>
  <c r="A491" i="20"/>
  <c r="AO490" i="20"/>
  <c r="AN490" i="20"/>
  <c r="AM490" i="20"/>
  <c r="AL490" i="20"/>
  <c r="AK490" i="20"/>
  <c r="AJ490" i="20"/>
  <c r="AI490" i="20"/>
  <c r="AH490" i="20"/>
  <c r="AG490" i="20"/>
  <c r="AF490" i="20"/>
  <c r="AE490" i="20"/>
  <c r="AD490" i="20"/>
  <c r="AC490" i="20"/>
  <c r="AB490" i="20"/>
  <c r="AA490" i="20"/>
  <c r="Z490" i="20"/>
  <c r="X490" i="20"/>
  <c r="W490" i="20"/>
  <c r="T490" i="20"/>
  <c r="S490" i="20"/>
  <c r="Q490" i="20"/>
  <c r="O490" i="20"/>
  <c r="N490" i="20"/>
  <c r="M490" i="20"/>
  <c r="L490" i="20"/>
  <c r="A490" i="20"/>
  <c r="AO489" i="20"/>
  <c r="AN489" i="20"/>
  <c r="AM489" i="20"/>
  <c r="AL489" i="20"/>
  <c r="AK489" i="20"/>
  <c r="AJ489" i="20"/>
  <c r="AI489" i="20"/>
  <c r="AH489" i="20"/>
  <c r="AG489" i="20"/>
  <c r="AF489" i="20"/>
  <c r="AE489" i="20"/>
  <c r="AD489" i="20"/>
  <c r="AC489" i="20"/>
  <c r="AB489" i="20"/>
  <c r="AA489" i="20"/>
  <c r="Z489" i="20"/>
  <c r="X489" i="20"/>
  <c r="W489" i="20"/>
  <c r="T489" i="20"/>
  <c r="S489" i="20"/>
  <c r="Q489" i="20"/>
  <c r="O489" i="20"/>
  <c r="N489" i="20"/>
  <c r="M489" i="20"/>
  <c r="L489" i="20"/>
  <c r="A489" i="20"/>
  <c r="AO488" i="20"/>
  <c r="AN488" i="20"/>
  <c r="AM488" i="20"/>
  <c r="AL488" i="20"/>
  <c r="AK488" i="20"/>
  <c r="AJ488" i="20"/>
  <c r="AI488" i="20"/>
  <c r="AH488" i="20"/>
  <c r="AG488" i="20"/>
  <c r="AF488" i="20"/>
  <c r="AE488" i="20"/>
  <c r="AD488" i="20"/>
  <c r="AC488" i="20"/>
  <c r="AB488" i="20"/>
  <c r="AA488" i="20"/>
  <c r="Z488" i="20"/>
  <c r="X488" i="20"/>
  <c r="W488" i="20"/>
  <c r="T488" i="20"/>
  <c r="S488" i="20"/>
  <c r="Q488" i="20"/>
  <c r="O488" i="20"/>
  <c r="N488" i="20"/>
  <c r="M488" i="20"/>
  <c r="L488" i="20"/>
  <c r="A488" i="20"/>
  <c r="AO487" i="20"/>
  <c r="AN487" i="20"/>
  <c r="AM487" i="20"/>
  <c r="AL487" i="20"/>
  <c r="AK487" i="20"/>
  <c r="AJ487" i="20"/>
  <c r="AI487" i="20"/>
  <c r="AH487" i="20"/>
  <c r="AG487" i="20"/>
  <c r="AF487" i="20"/>
  <c r="AE487" i="20"/>
  <c r="AD487" i="20"/>
  <c r="AC487" i="20"/>
  <c r="AB487" i="20"/>
  <c r="AA487" i="20"/>
  <c r="Z487" i="20"/>
  <c r="X487" i="20"/>
  <c r="W487" i="20"/>
  <c r="T487" i="20"/>
  <c r="S487" i="20"/>
  <c r="Q487" i="20"/>
  <c r="O487" i="20"/>
  <c r="N487" i="20"/>
  <c r="M487" i="20"/>
  <c r="L487" i="20"/>
  <c r="A487" i="20"/>
  <c r="AO486" i="20"/>
  <c r="AN486" i="20"/>
  <c r="AM486" i="20"/>
  <c r="AL486" i="20"/>
  <c r="AK486" i="20"/>
  <c r="AJ486" i="20"/>
  <c r="AI486" i="20"/>
  <c r="AH486" i="20"/>
  <c r="AG486" i="20"/>
  <c r="AF486" i="20"/>
  <c r="AE486" i="20"/>
  <c r="AD486" i="20"/>
  <c r="AC486" i="20"/>
  <c r="AB486" i="20"/>
  <c r="AA486" i="20"/>
  <c r="Z486" i="20"/>
  <c r="X486" i="20"/>
  <c r="W486" i="20"/>
  <c r="T486" i="20"/>
  <c r="S486" i="20"/>
  <c r="Q486" i="20"/>
  <c r="O486" i="20"/>
  <c r="N486" i="20"/>
  <c r="M486" i="20"/>
  <c r="L486" i="20"/>
  <c r="A486" i="20"/>
  <c r="AO485" i="20"/>
  <c r="AN485" i="20"/>
  <c r="AM485" i="20"/>
  <c r="AL485" i="20"/>
  <c r="AK485" i="20"/>
  <c r="AJ485" i="20"/>
  <c r="AI485" i="20"/>
  <c r="AH485" i="20"/>
  <c r="AG485" i="20"/>
  <c r="AF485" i="20"/>
  <c r="AE485" i="20"/>
  <c r="AD485" i="20"/>
  <c r="AC485" i="20"/>
  <c r="AB485" i="20"/>
  <c r="AA485" i="20"/>
  <c r="Z485" i="20"/>
  <c r="X485" i="20"/>
  <c r="W485" i="20"/>
  <c r="T485" i="20"/>
  <c r="S485" i="20"/>
  <c r="Q485" i="20"/>
  <c r="O485" i="20"/>
  <c r="N485" i="20"/>
  <c r="M485" i="20"/>
  <c r="L485" i="20"/>
  <c r="A485" i="20"/>
  <c r="AO484" i="20"/>
  <c r="AN484" i="20"/>
  <c r="AM484" i="20"/>
  <c r="AL484" i="20"/>
  <c r="AK484" i="20"/>
  <c r="AJ484" i="20"/>
  <c r="AI484" i="20"/>
  <c r="AH484" i="20"/>
  <c r="AG484" i="20"/>
  <c r="AF484" i="20"/>
  <c r="AE484" i="20"/>
  <c r="AD484" i="20"/>
  <c r="AC484" i="20"/>
  <c r="AB484" i="20"/>
  <c r="AA484" i="20"/>
  <c r="Z484" i="20"/>
  <c r="X484" i="20"/>
  <c r="W484" i="20"/>
  <c r="T484" i="20"/>
  <c r="S484" i="20"/>
  <c r="Q484" i="20"/>
  <c r="O484" i="20"/>
  <c r="N484" i="20"/>
  <c r="M484" i="20"/>
  <c r="L484" i="20"/>
  <c r="A484" i="20"/>
  <c r="AO483" i="20"/>
  <c r="AN483" i="20"/>
  <c r="AM483" i="20"/>
  <c r="AL483" i="20"/>
  <c r="AK483" i="20"/>
  <c r="AJ483" i="20"/>
  <c r="AI483" i="20"/>
  <c r="AH483" i="20"/>
  <c r="AG483" i="20"/>
  <c r="AF483" i="20"/>
  <c r="AE483" i="20"/>
  <c r="AD483" i="20"/>
  <c r="AC483" i="20"/>
  <c r="AB483" i="20"/>
  <c r="AA483" i="20"/>
  <c r="Z483" i="20"/>
  <c r="X483" i="20"/>
  <c r="W483" i="20"/>
  <c r="T483" i="20"/>
  <c r="S483" i="20"/>
  <c r="Q483" i="20"/>
  <c r="O483" i="20"/>
  <c r="N483" i="20"/>
  <c r="M483" i="20"/>
  <c r="L483" i="20"/>
  <c r="A483" i="20"/>
  <c r="AO482" i="20"/>
  <c r="AN482" i="20"/>
  <c r="AM482" i="20"/>
  <c r="AL482" i="20"/>
  <c r="AK482" i="20"/>
  <c r="AJ482" i="20"/>
  <c r="AI482" i="20"/>
  <c r="AH482" i="20"/>
  <c r="AG482" i="20"/>
  <c r="AF482" i="20"/>
  <c r="AE482" i="20"/>
  <c r="AD482" i="20"/>
  <c r="AC482" i="20"/>
  <c r="AB482" i="20"/>
  <c r="AA482" i="20"/>
  <c r="Z482" i="20"/>
  <c r="X482" i="20"/>
  <c r="W482" i="20"/>
  <c r="T482" i="20"/>
  <c r="S482" i="20"/>
  <c r="Q482" i="20"/>
  <c r="O482" i="20"/>
  <c r="N482" i="20"/>
  <c r="M482" i="20"/>
  <c r="L482" i="20"/>
  <c r="A482" i="20"/>
  <c r="AO481" i="20"/>
  <c r="AN481" i="20"/>
  <c r="AM481" i="20"/>
  <c r="AL481" i="20"/>
  <c r="AK481" i="20"/>
  <c r="AJ481" i="20"/>
  <c r="AI481" i="20"/>
  <c r="AH481" i="20"/>
  <c r="AG481" i="20"/>
  <c r="AF481" i="20"/>
  <c r="AE481" i="20"/>
  <c r="AD481" i="20"/>
  <c r="AC481" i="20"/>
  <c r="AB481" i="20"/>
  <c r="AA481" i="20"/>
  <c r="Z481" i="20"/>
  <c r="X481" i="20"/>
  <c r="W481" i="20"/>
  <c r="T481" i="20"/>
  <c r="S481" i="20"/>
  <c r="Q481" i="20"/>
  <c r="O481" i="20"/>
  <c r="N481" i="20"/>
  <c r="M481" i="20"/>
  <c r="L481" i="20"/>
  <c r="A481" i="20"/>
  <c r="AO480" i="20"/>
  <c r="AN480" i="20"/>
  <c r="AM480" i="20"/>
  <c r="AL480" i="20"/>
  <c r="AK480" i="20"/>
  <c r="AJ480" i="20"/>
  <c r="AI480" i="20"/>
  <c r="AH480" i="20"/>
  <c r="AG480" i="20"/>
  <c r="AF480" i="20"/>
  <c r="AE480" i="20"/>
  <c r="AD480" i="20"/>
  <c r="AC480" i="20"/>
  <c r="AB480" i="20"/>
  <c r="AA480" i="20"/>
  <c r="Z480" i="20"/>
  <c r="X480" i="20"/>
  <c r="W480" i="20"/>
  <c r="T480" i="20"/>
  <c r="S480" i="20"/>
  <c r="Q480" i="20"/>
  <c r="O480" i="20"/>
  <c r="N480" i="20"/>
  <c r="M480" i="20"/>
  <c r="L480" i="20"/>
  <c r="A480" i="20"/>
  <c r="AO479" i="20"/>
  <c r="AN479" i="20"/>
  <c r="AM479" i="20"/>
  <c r="AL479" i="20"/>
  <c r="AK479" i="20"/>
  <c r="AJ479" i="20"/>
  <c r="AI479" i="20"/>
  <c r="AH479" i="20"/>
  <c r="AG479" i="20"/>
  <c r="AF479" i="20"/>
  <c r="AE479" i="20"/>
  <c r="AD479" i="20"/>
  <c r="AC479" i="20"/>
  <c r="AB479" i="20"/>
  <c r="AA479" i="20"/>
  <c r="Z479" i="20"/>
  <c r="X479" i="20"/>
  <c r="W479" i="20"/>
  <c r="T479" i="20"/>
  <c r="S479" i="20"/>
  <c r="Q479" i="20"/>
  <c r="O479" i="20"/>
  <c r="N479" i="20"/>
  <c r="M479" i="20"/>
  <c r="L479" i="20"/>
  <c r="A479" i="20"/>
  <c r="AO478" i="20"/>
  <c r="AN478" i="20"/>
  <c r="AM478" i="20"/>
  <c r="AL478" i="20"/>
  <c r="AK478" i="20"/>
  <c r="AJ478" i="20"/>
  <c r="AI478" i="20"/>
  <c r="AH478" i="20"/>
  <c r="AG478" i="20"/>
  <c r="AF478" i="20"/>
  <c r="AE478" i="20"/>
  <c r="AD478" i="20"/>
  <c r="AC478" i="20"/>
  <c r="AB478" i="20"/>
  <c r="AA478" i="20"/>
  <c r="Z478" i="20"/>
  <c r="X478" i="20"/>
  <c r="W478" i="20"/>
  <c r="T478" i="20"/>
  <c r="S478" i="20"/>
  <c r="Q478" i="20"/>
  <c r="O478" i="20"/>
  <c r="N478" i="20"/>
  <c r="M478" i="20"/>
  <c r="L478" i="20"/>
  <c r="A478" i="20"/>
  <c r="AO477" i="20"/>
  <c r="AN477" i="20"/>
  <c r="AM477" i="20"/>
  <c r="AL477" i="20"/>
  <c r="AK477" i="20"/>
  <c r="AJ477" i="20"/>
  <c r="AI477" i="20"/>
  <c r="AH477" i="20"/>
  <c r="AG477" i="20"/>
  <c r="AF477" i="20"/>
  <c r="AE477" i="20"/>
  <c r="AD477" i="20"/>
  <c r="AC477" i="20"/>
  <c r="AB477" i="20"/>
  <c r="AA477" i="20"/>
  <c r="Z477" i="20"/>
  <c r="X477" i="20"/>
  <c r="W477" i="20"/>
  <c r="T477" i="20"/>
  <c r="S477" i="20"/>
  <c r="Q477" i="20"/>
  <c r="O477" i="20"/>
  <c r="N477" i="20"/>
  <c r="M477" i="20"/>
  <c r="L477" i="20"/>
  <c r="A477" i="20"/>
  <c r="AO476" i="20"/>
  <c r="AN476" i="20"/>
  <c r="AM476" i="20"/>
  <c r="AL476" i="20"/>
  <c r="AK476" i="20"/>
  <c r="AJ476" i="20"/>
  <c r="AI476" i="20"/>
  <c r="AH476" i="20"/>
  <c r="AG476" i="20"/>
  <c r="AF476" i="20"/>
  <c r="AE476" i="20"/>
  <c r="AD476" i="20"/>
  <c r="AC476" i="20"/>
  <c r="AB476" i="20"/>
  <c r="AA476" i="20"/>
  <c r="Z476" i="20"/>
  <c r="X476" i="20"/>
  <c r="W476" i="20"/>
  <c r="V476" i="20"/>
  <c r="T476" i="20"/>
  <c r="S476" i="20"/>
  <c r="Q476" i="20"/>
  <c r="O476" i="20"/>
  <c r="N476" i="20"/>
  <c r="M476" i="20"/>
  <c r="L476" i="20"/>
  <c r="A476" i="20"/>
  <c r="AO475" i="20"/>
  <c r="AN475" i="20"/>
  <c r="AM475" i="20"/>
  <c r="AL475" i="20"/>
  <c r="AK475" i="20"/>
  <c r="AJ475" i="20"/>
  <c r="AI475" i="20"/>
  <c r="AH475" i="20"/>
  <c r="AG475" i="20"/>
  <c r="AF475" i="20"/>
  <c r="AE475" i="20"/>
  <c r="AD475" i="20"/>
  <c r="AC475" i="20"/>
  <c r="AB475" i="20"/>
  <c r="AA475" i="20"/>
  <c r="Z475" i="20"/>
  <c r="X475" i="20"/>
  <c r="W475" i="20"/>
  <c r="V475" i="20"/>
  <c r="T475" i="20"/>
  <c r="S475" i="20"/>
  <c r="Q475" i="20"/>
  <c r="O475" i="20"/>
  <c r="N475" i="20"/>
  <c r="M475" i="20"/>
  <c r="L475" i="20"/>
  <c r="A475" i="20"/>
  <c r="AO474" i="20"/>
  <c r="AN474" i="20"/>
  <c r="AM474" i="20"/>
  <c r="AL474" i="20"/>
  <c r="AK474" i="20"/>
  <c r="AJ474" i="20"/>
  <c r="AI474" i="20"/>
  <c r="AH474" i="20"/>
  <c r="AG474" i="20"/>
  <c r="AF474" i="20"/>
  <c r="AE474" i="20"/>
  <c r="AD474" i="20"/>
  <c r="AC474" i="20"/>
  <c r="AB474" i="20"/>
  <c r="AA474" i="20"/>
  <c r="Z474" i="20"/>
  <c r="X474" i="20"/>
  <c r="W474" i="20"/>
  <c r="V474" i="20"/>
  <c r="T474" i="20"/>
  <c r="S474" i="20"/>
  <c r="Q474" i="20"/>
  <c r="O474" i="20"/>
  <c r="N474" i="20"/>
  <c r="M474" i="20"/>
  <c r="L474" i="20"/>
  <c r="A474" i="20"/>
  <c r="AO473" i="20"/>
  <c r="AN473" i="20"/>
  <c r="AM473" i="20"/>
  <c r="AL473" i="20"/>
  <c r="AK473" i="20"/>
  <c r="AJ473" i="20"/>
  <c r="AI473" i="20"/>
  <c r="AH473" i="20"/>
  <c r="AG473" i="20"/>
  <c r="AF473" i="20"/>
  <c r="AE473" i="20"/>
  <c r="AD473" i="20"/>
  <c r="AC473" i="20"/>
  <c r="AB473" i="20"/>
  <c r="AA473" i="20"/>
  <c r="Z473" i="20"/>
  <c r="X473" i="20"/>
  <c r="W473" i="20"/>
  <c r="V473" i="20"/>
  <c r="T473" i="20"/>
  <c r="S473" i="20"/>
  <c r="Q473" i="20"/>
  <c r="O473" i="20"/>
  <c r="N473" i="20"/>
  <c r="M473" i="20"/>
  <c r="L473" i="20"/>
  <c r="A473" i="20"/>
  <c r="AO472" i="20"/>
  <c r="AN472" i="20"/>
  <c r="AM472" i="20"/>
  <c r="AL472" i="20"/>
  <c r="AK472" i="20"/>
  <c r="AJ472" i="20"/>
  <c r="AI472" i="20"/>
  <c r="AH472" i="20"/>
  <c r="AG472" i="20"/>
  <c r="AF472" i="20"/>
  <c r="AE472" i="20"/>
  <c r="AD472" i="20"/>
  <c r="AC472" i="20"/>
  <c r="AB472" i="20"/>
  <c r="AA472" i="20"/>
  <c r="Z472" i="20"/>
  <c r="X472" i="20"/>
  <c r="W472" i="20"/>
  <c r="V472" i="20"/>
  <c r="T472" i="20"/>
  <c r="S472" i="20"/>
  <c r="Q472" i="20"/>
  <c r="O472" i="20"/>
  <c r="N472" i="20"/>
  <c r="M472" i="20"/>
  <c r="L472" i="20"/>
  <c r="A472" i="20"/>
  <c r="AO471" i="20"/>
  <c r="AN471" i="20"/>
  <c r="AM471" i="20"/>
  <c r="AL471" i="20"/>
  <c r="AK471" i="20"/>
  <c r="AJ471" i="20"/>
  <c r="AI471" i="20"/>
  <c r="AH471" i="20"/>
  <c r="AG471" i="20"/>
  <c r="AF471" i="20"/>
  <c r="AE471" i="20"/>
  <c r="AD471" i="20"/>
  <c r="AC471" i="20"/>
  <c r="AB471" i="20"/>
  <c r="AA471" i="20"/>
  <c r="Z471" i="20"/>
  <c r="X471" i="20"/>
  <c r="W471" i="20"/>
  <c r="V471" i="20"/>
  <c r="T471" i="20"/>
  <c r="S471" i="20"/>
  <c r="Q471" i="20"/>
  <c r="O471" i="20"/>
  <c r="N471" i="20"/>
  <c r="M471" i="20"/>
  <c r="L471" i="20"/>
  <c r="A471" i="20"/>
  <c r="AO470" i="20"/>
  <c r="AN470" i="20"/>
  <c r="AM470" i="20"/>
  <c r="AL470" i="20"/>
  <c r="AK470" i="20"/>
  <c r="AJ470" i="20"/>
  <c r="AI470" i="20"/>
  <c r="AH470" i="20"/>
  <c r="AG470" i="20"/>
  <c r="AF470" i="20"/>
  <c r="AE470" i="20"/>
  <c r="AD470" i="20"/>
  <c r="AC470" i="20"/>
  <c r="AB470" i="20"/>
  <c r="AA470" i="20"/>
  <c r="Z470" i="20"/>
  <c r="X470" i="20"/>
  <c r="W470" i="20"/>
  <c r="V470" i="20"/>
  <c r="T470" i="20"/>
  <c r="S470" i="20"/>
  <c r="Q470" i="20"/>
  <c r="O470" i="20"/>
  <c r="N470" i="20"/>
  <c r="M470" i="20"/>
  <c r="L470" i="20"/>
  <c r="A470" i="20"/>
  <c r="AO469" i="20"/>
  <c r="AN469" i="20"/>
  <c r="AM469" i="20"/>
  <c r="AL469" i="20"/>
  <c r="AK469" i="20"/>
  <c r="AJ469" i="20"/>
  <c r="AI469" i="20"/>
  <c r="AH469" i="20"/>
  <c r="AG469" i="20"/>
  <c r="AF469" i="20"/>
  <c r="AE469" i="20"/>
  <c r="AD469" i="20"/>
  <c r="AC469" i="20"/>
  <c r="AB469" i="20"/>
  <c r="AA469" i="20"/>
  <c r="Z469" i="20"/>
  <c r="X469" i="20"/>
  <c r="W469" i="20"/>
  <c r="V469" i="20"/>
  <c r="T469" i="20"/>
  <c r="S469" i="20"/>
  <c r="Q469" i="20"/>
  <c r="O469" i="20"/>
  <c r="N469" i="20"/>
  <c r="M469" i="20"/>
  <c r="L469" i="20"/>
  <c r="A469" i="20"/>
  <c r="AO468" i="20"/>
  <c r="AN468" i="20"/>
  <c r="AM468" i="20"/>
  <c r="AL468" i="20"/>
  <c r="AK468" i="20"/>
  <c r="AJ468" i="20"/>
  <c r="AI468" i="20"/>
  <c r="AH468" i="20"/>
  <c r="AG468" i="20"/>
  <c r="AF468" i="20"/>
  <c r="AE468" i="20"/>
  <c r="AD468" i="20"/>
  <c r="AC468" i="20"/>
  <c r="AB468" i="20"/>
  <c r="AA468" i="20"/>
  <c r="Z468" i="20"/>
  <c r="X468" i="20"/>
  <c r="W468" i="20"/>
  <c r="V468" i="20"/>
  <c r="T468" i="20"/>
  <c r="S468" i="20"/>
  <c r="Q468" i="20"/>
  <c r="O468" i="20"/>
  <c r="N468" i="20"/>
  <c r="M468" i="20"/>
  <c r="L468" i="20"/>
  <c r="A468" i="20"/>
  <c r="AO467" i="20"/>
  <c r="AN467" i="20"/>
  <c r="AM467" i="20"/>
  <c r="AL467" i="20"/>
  <c r="AK467" i="20"/>
  <c r="AJ467" i="20"/>
  <c r="AI467" i="20"/>
  <c r="AH467" i="20"/>
  <c r="AG467" i="20"/>
  <c r="AF467" i="20"/>
  <c r="AE467" i="20"/>
  <c r="AD467" i="20"/>
  <c r="AC467" i="20"/>
  <c r="AB467" i="20"/>
  <c r="AA467" i="20"/>
  <c r="Z467" i="20"/>
  <c r="X467" i="20"/>
  <c r="W467" i="20"/>
  <c r="V467" i="20"/>
  <c r="T467" i="20"/>
  <c r="S467" i="20"/>
  <c r="Q467" i="20"/>
  <c r="O467" i="20"/>
  <c r="N467" i="20"/>
  <c r="M467" i="20"/>
  <c r="L467" i="20"/>
  <c r="A467" i="20"/>
  <c r="AO466" i="20"/>
  <c r="AN466" i="20"/>
  <c r="AM466" i="20"/>
  <c r="AL466" i="20"/>
  <c r="AK466" i="20"/>
  <c r="AJ466" i="20"/>
  <c r="AI466" i="20"/>
  <c r="AH466" i="20"/>
  <c r="AG466" i="20"/>
  <c r="AF466" i="20"/>
  <c r="AE466" i="20"/>
  <c r="AD466" i="20"/>
  <c r="AC466" i="20"/>
  <c r="AB466" i="20"/>
  <c r="AA466" i="20"/>
  <c r="Z466" i="20"/>
  <c r="X466" i="20"/>
  <c r="W466" i="20"/>
  <c r="V466" i="20"/>
  <c r="T466" i="20"/>
  <c r="S466" i="20"/>
  <c r="Q466" i="20"/>
  <c r="O466" i="20"/>
  <c r="N466" i="20"/>
  <c r="M466" i="20"/>
  <c r="L466" i="20"/>
  <c r="A466" i="20"/>
  <c r="AO465" i="20"/>
  <c r="AN465" i="20"/>
  <c r="AM465" i="20"/>
  <c r="AL465" i="20"/>
  <c r="AK465" i="20"/>
  <c r="AJ465" i="20"/>
  <c r="AI465" i="20"/>
  <c r="AH465" i="20"/>
  <c r="AG465" i="20"/>
  <c r="AF465" i="20"/>
  <c r="AE465" i="20"/>
  <c r="AD465" i="20"/>
  <c r="AC465" i="20"/>
  <c r="AB465" i="20"/>
  <c r="AA465" i="20"/>
  <c r="Z465" i="20"/>
  <c r="X465" i="20"/>
  <c r="W465" i="20"/>
  <c r="V465" i="20"/>
  <c r="T465" i="20"/>
  <c r="S465" i="20"/>
  <c r="Q465" i="20"/>
  <c r="O465" i="20"/>
  <c r="N465" i="20"/>
  <c r="M465" i="20"/>
  <c r="L465" i="20"/>
  <c r="A465" i="20"/>
  <c r="AO464" i="20"/>
  <c r="AN464" i="20"/>
  <c r="AM464" i="20"/>
  <c r="AL464" i="20"/>
  <c r="AK464" i="20"/>
  <c r="AJ464" i="20"/>
  <c r="AI464" i="20"/>
  <c r="AH464" i="20"/>
  <c r="AG464" i="20"/>
  <c r="AF464" i="20"/>
  <c r="AE464" i="20"/>
  <c r="AD464" i="20"/>
  <c r="AC464" i="20"/>
  <c r="AB464" i="20"/>
  <c r="AA464" i="20"/>
  <c r="Z464" i="20"/>
  <c r="X464" i="20"/>
  <c r="W464" i="20"/>
  <c r="V464" i="20"/>
  <c r="T464" i="20"/>
  <c r="S464" i="20"/>
  <c r="Q464" i="20"/>
  <c r="O464" i="20"/>
  <c r="N464" i="20"/>
  <c r="M464" i="20"/>
  <c r="L464" i="20"/>
  <c r="A464" i="20"/>
  <c r="AO463" i="20"/>
  <c r="AN463" i="20"/>
  <c r="AM463" i="20"/>
  <c r="AL463" i="20"/>
  <c r="AK463" i="20"/>
  <c r="AJ463" i="20"/>
  <c r="AI463" i="20"/>
  <c r="AH463" i="20"/>
  <c r="AG463" i="20"/>
  <c r="AF463" i="20"/>
  <c r="AE463" i="20"/>
  <c r="AD463" i="20"/>
  <c r="AC463" i="20"/>
  <c r="AB463" i="20"/>
  <c r="AA463" i="20"/>
  <c r="Z463" i="20"/>
  <c r="X463" i="20"/>
  <c r="W463" i="20"/>
  <c r="V463" i="20"/>
  <c r="T463" i="20"/>
  <c r="S463" i="20"/>
  <c r="Q463" i="20"/>
  <c r="O463" i="20"/>
  <c r="N463" i="20"/>
  <c r="M463" i="20"/>
  <c r="L463" i="20"/>
  <c r="A463" i="20"/>
  <c r="AO462" i="20"/>
  <c r="AN462" i="20"/>
  <c r="AM462" i="20"/>
  <c r="AL462" i="20"/>
  <c r="AK462" i="20"/>
  <c r="AJ462" i="20"/>
  <c r="AI462" i="20"/>
  <c r="AH462" i="20"/>
  <c r="AG462" i="20"/>
  <c r="AF462" i="20"/>
  <c r="AE462" i="20"/>
  <c r="AD462" i="20"/>
  <c r="AC462" i="20"/>
  <c r="AB462" i="20"/>
  <c r="AA462" i="20"/>
  <c r="Z462" i="20"/>
  <c r="X462" i="20"/>
  <c r="W462" i="20"/>
  <c r="V462" i="20"/>
  <c r="T462" i="20"/>
  <c r="S462" i="20"/>
  <c r="Q462" i="20"/>
  <c r="O462" i="20"/>
  <c r="N462" i="20"/>
  <c r="M462" i="20"/>
  <c r="L462" i="20"/>
  <c r="A462" i="20"/>
  <c r="AO461" i="20"/>
  <c r="AN461" i="20"/>
  <c r="AM461" i="20"/>
  <c r="AL461" i="20"/>
  <c r="AK461" i="20"/>
  <c r="AJ461" i="20"/>
  <c r="AI461" i="20"/>
  <c r="AH461" i="20"/>
  <c r="AG461" i="20"/>
  <c r="AF461" i="20"/>
  <c r="AE461" i="20"/>
  <c r="AD461" i="20"/>
  <c r="AC461" i="20"/>
  <c r="AB461" i="20"/>
  <c r="AA461" i="20"/>
  <c r="Z461" i="20"/>
  <c r="X461" i="20"/>
  <c r="W461" i="20"/>
  <c r="V461" i="20"/>
  <c r="T461" i="20"/>
  <c r="S461" i="20"/>
  <c r="Q461" i="20"/>
  <c r="O461" i="20"/>
  <c r="N461" i="20"/>
  <c r="M461" i="20"/>
  <c r="L461" i="20"/>
  <c r="A461" i="20"/>
  <c r="AO460" i="20"/>
  <c r="AN460" i="20"/>
  <c r="AM460" i="20"/>
  <c r="AL460" i="20"/>
  <c r="AK460" i="20"/>
  <c r="AJ460" i="20"/>
  <c r="AI460" i="20"/>
  <c r="AH460" i="20"/>
  <c r="AG460" i="20"/>
  <c r="AF460" i="20"/>
  <c r="AE460" i="20"/>
  <c r="AD460" i="20"/>
  <c r="AC460" i="20"/>
  <c r="AB460" i="20"/>
  <c r="AA460" i="20"/>
  <c r="Z460" i="20"/>
  <c r="X460" i="20"/>
  <c r="W460" i="20"/>
  <c r="V460" i="20"/>
  <c r="T460" i="20"/>
  <c r="S460" i="20"/>
  <c r="Q460" i="20"/>
  <c r="P460" i="20"/>
  <c r="O460" i="20"/>
  <c r="N460" i="20"/>
  <c r="M460" i="20"/>
  <c r="L460" i="20"/>
  <c r="A460" i="20"/>
  <c r="AO459" i="20"/>
  <c r="AN459" i="20"/>
  <c r="AM459" i="20"/>
  <c r="AL459" i="20"/>
  <c r="AK459" i="20"/>
  <c r="AJ459" i="20"/>
  <c r="AI459" i="20"/>
  <c r="AH459" i="20"/>
  <c r="AG459" i="20"/>
  <c r="AF459" i="20"/>
  <c r="AE459" i="20"/>
  <c r="AD459" i="20"/>
  <c r="AC459" i="20"/>
  <c r="AB459" i="20"/>
  <c r="AA459" i="20"/>
  <c r="Z459" i="20"/>
  <c r="X459" i="20"/>
  <c r="W459" i="20"/>
  <c r="V459" i="20"/>
  <c r="T459" i="20"/>
  <c r="S459" i="20"/>
  <c r="Q459" i="20"/>
  <c r="P459" i="20"/>
  <c r="O459" i="20"/>
  <c r="N459" i="20"/>
  <c r="M459" i="20"/>
  <c r="L459" i="20"/>
  <c r="A459" i="20"/>
  <c r="AO458" i="20"/>
  <c r="AN458" i="20"/>
  <c r="AM458" i="20"/>
  <c r="AL458" i="20"/>
  <c r="AK458" i="20"/>
  <c r="AJ458" i="20"/>
  <c r="AI458" i="20"/>
  <c r="AH458" i="20"/>
  <c r="AG458" i="20"/>
  <c r="AF458" i="20"/>
  <c r="AE458" i="20"/>
  <c r="AD458" i="20"/>
  <c r="AC458" i="20"/>
  <c r="AB458" i="20"/>
  <c r="AA458" i="20"/>
  <c r="Z458" i="20"/>
  <c r="X458" i="20"/>
  <c r="W458" i="20"/>
  <c r="V458" i="20"/>
  <c r="T458" i="20"/>
  <c r="S458" i="20"/>
  <c r="Q458" i="20"/>
  <c r="P458" i="20"/>
  <c r="O458" i="20"/>
  <c r="N458" i="20"/>
  <c r="M458" i="20"/>
  <c r="L458" i="20"/>
  <c r="A458" i="20"/>
  <c r="AO457" i="20"/>
  <c r="AN457" i="20"/>
  <c r="AM457" i="20"/>
  <c r="AL457" i="20"/>
  <c r="AK457" i="20"/>
  <c r="AJ457" i="20"/>
  <c r="AI457" i="20"/>
  <c r="AH457" i="20"/>
  <c r="AG457" i="20"/>
  <c r="AF457" i="20"/>
  <c r="AE457" i="20"/>
  <c r="AD457" i="20"/>
  <c r="AC457" i="20"/>
  <c r="AB457" i="20"/>
  <c r="AA457" i="20"/>
  <c r="Z457" i="20"/>
  <c r="X457" i="20"/>
  <c r="W457" i="20"/>
  <c r="V457" i="20"/>
  <c r="T457" i="20"/>
  <c r="S457" i="20"/>
  <c r="Q457" i="20"/>
  <c r="P457" i="20"/>
  <c r="O457" i="20"/>
  <c r="N457" i="20"/>
  <c r="M457" i="20"/>
  <c r="L457" i="20"/>
  <c r="A457" i="20"/>
  <c r="AO456" i="20"/>
  <c r="AN456" i="20"/>
  <c r="AM456" i="20"/>
  <c r="AL456" i="20"/>
  <c r="AK456" i="20"/>
  <c r="AJ456" i="20"/>
  <c r="AI456" i="20"/>
  <c r="AH456" i="20"/>
  <c r="AG456" i="20"/>
  <c r="AF456" i="20"/>
  <c r="AE456" i="20"/>
  <c r="AD456" i="20"/>
  <c r="AC456" i="20"/>
  <c r="AB456" i="20"/>
  <c r="AA456" i="20"/>
  <c r="Z456" i="20"/>
  <c r="X456" i="20"/>
  <c r="W456" i="20"/>
  <c r="V456" i="20"/>
  <c r="T456" i="20"/>
  <c r="S456" i="20"/>
  <c r="Q456" i="20"/>
  <c r="P456" i="20"/>
  <c r="O456" i="20"/>
  <c r="N456" i="20"/>
  <c r="M456" i="20"/>
  <c r="L456" i="20"/>
  <c r="A456" i="20"/>
  <c r="AO455" i="20"/>
  <c r="AN455" i="20"/>
  <c r="AM455" i="20"/>
  <c r="AL455" i="20"/>
  <c r="AK455" i="20"/>
  <c r="AJ455" i="20"/>
  <c r="AI455" i="20"/>
  <c r="AH455" i="20"/>
  <c r="AG455" i="20"/>
  <c r="AF455" i="20"/>
  <c r="AE455" i="20"/>
  <c r="AD455" i="20"/>
  <c r="AC455" i="20"/>
  <c r="AB455" i="20"/>
  <c r="AA455" i="20"/>
  <c r="Z455" i="20"/>
  <c r="X455" i="20"/>
  <c r="W455" i="20"/>
  <c r="V455" i="20"/>
  <c r="T455" i="20"/>
  <c r="S455" i="20"/>
  <c r="Q455" i="20"/>
  <c r="P455" i="20"/>
  <c r="O455" i="20"/>
  <c r="N455" i="20"/>
  <c r="M455" i="20"/>
  <c r="L455" i="20"/>
  <c r="A455" i="20"/>
  <c r="AO454" i="20"/>
  <c r="AN454" i="20"/>
  <c r="AM454" i="20"/>
  <c r="AL454" i="20"/>
  <c r="AK454" i="20"/>
  <c r="AJ454" i="20"/>
  <c r="AI454" i="20"/>
  <c r="AH454" i="20"/>
  <c r="AG454" i="20"/>
  <c r="AF454" i="20"/>
  <c r="AE454" i="20"/>
  <c r="AD454" i="20"/>
  <c r="AC454" i="20"/>
  <c r="AB454" i="20"/>
  <c r="AA454" i="20"/>
  <c r="Z454" i="20"/>
  <c r="X454" i="20"/>
  <c r="W454" i="20"/>
  <c r="V454" i="20"/>
  <c r="T454" i="20"/>
  <c r="S454" i="20"/>
  <c r="Q454" i="20"/>
  <c r="P454" i="20"/>
  <c r="O454" i="20"/>
  <c r="N454" i="20"/>
  <c r="M454" i="20"/>
  <c r="L454" i="20"/>
  <c r="A454" i="20"/>
  <c r="AO453" i="20"/>
  <c r="AN453" i="20"/>
  <c r="AM453" i="20"/>
  <c r="AL453" i="20"/>
  <c r="AK453" i="20"/>
  <c r="AJ453" i="20"/>
  <c r="AI453" i="20"/>
  <c r="AH453" i="20"/>
  <c r="AG453" i="20"/>
  <c r="AF453" i="20"/>
  <c r="AE453" i="20"/>
  <c r="AD453" i="20"/>
  <c r="AC453" i="20"/>
  <c r="AB453" i="20"/>
  <c r="AA453" i="20"/>
  <c r="Z453" i="20"/>
  <c r="X453" i="20"/>
  <c r="W453" i="20"/>
  <c r="V453" i="20"/>
  <c r="T453" i="20"/>
  <c r="S453" i="20"/>
  <c r="Q453" i="20"/>
  <c r="P453" i="20"/>
  <c r="O453" i="20"/>
  <c r="N453" i="20"/>
  <c r="M453" i="20"/>
  <c r="L453" i="20"/>
  <c r="A453" i="20"/>
  <c r="AO452" i="20"/>
  <c r="AN452" i="20"/>
  <c r="AM452" i="20"/>
  <c r="AL452" i="20"/>
  <c r="AK452" i="20"/>
  <c r="AJ452" i="20"/>
  <c r="AI452" i="20"/>
  <c r="AH452" i="20"/>
  <c r="AG452" i="20"/>
  <c r="AF452" i="20"/>
  <c r="AE452" i="20"/>
  <c r="AD452" i="20"/>
  <c r="AC452" i="20"/>
  <c r="AB452" i="20"/>
  <c r="AA452" i="20"/>
  <c r="Z452" i="20"/>
  <c r="X452" i="20"/>
  <c r="W452" i="20"/>
  <c r="V452" i="20"/>
  <c r="U452" i="20"/>
  <c r="T452" i="20"/>
  <c r="S452" i="20"/>
  <c r="R452" i="20"/>
  <c r="Q452" i="20"/>
  <c r="P452" i="20"/>
  <c r="O452" i="20"/>
  <c r="N452" i="20"/>
  <c r="M452" i="20"/>
  <c r="L452" i="20"/>
  <c r="A452" i="20"/>
  <c r="AO451" i="20"/>
  <c r="AN451" i="20"/>
  <c r="AM451" i="20"/>
  <c r="AL451" i="20"/>
  <c r="AK451" i="20"/>
  <c r="AJ451" i="20"/>
  <c r="AI451" i="20"/>
  <c r="AH451" i="20"/>
  <c r="AG451" i="20"/>
  <c r="AF451" i="20"/>
  <c r="AE451" i="20"/>
  <c r="AD451" i="20"/>
  <c r="AC451" i="20"/>
  <c r="AB451" i="20"/>
  <c r="AA451" i="20"/>
  <c r="Z451" i="20"/>
  <c r="X451" i="20"/>
  <c r="W451" i="20"/>
  <c r="V451" i="20"/>
  <c r="U451" i="20"/>
  <c r="T451" i="20"/>
  <c r="S451" i="20"/>
  <c r="R451" i="20"/>
  <c r="Q451" i="20"/>
  <c r="P451" i="20"/>
  <c r="O451" i="20"/>
  <c r="N451" i="20"/>
  <c r="M451" i="20"/>
  <c r="L451" i="20"/>
  <c r="A451" i="20"/>
  <c r="AO450" i="20"/>
  <c r="AN450" i="20"/>
  <c r="AM450" i="20"/>
  <c r="AL450" i="20"/>
  <c r="AK450" i="20"/>
  <c r="AJ450" i="20"/>
  <c r="AI450" i="20"/>
  <c r="AH450" i="20"/>
  <c r="AG450" i="20"/>
  <c r="AF450" i="20"/>
  <c r="AE450" i="20"/>
  <c r="AD450" i="20"/>
  <c r="AC450" i="20"/>
  <c r="AB450" i="20"/>
  <c r="AA450" i="20"/>
  <c r="Z450" i="20"/>
  <c r="X450" i="20"/>
  <c r="W450" i="20"/>
  <c r="V450" i="20"/>
  <c r="U450" i="20"/>
  <c r="T450" i="20"/>
  <c r="S450" i="20"/>
  <c r="R450" i="20"/>
  <c r="Q450" i="20"/>
  <c r="P450" i="20"/>
  <c r="O450" i="20"/>
  <c r="N450" i="20"/>
  <c r="M450" i="20"/>
  <c r="L450" i="20"/>
  <c r="A450" i="20"/>
  <c r="AO449" i="20"/>
  <c r="AN449" i="20"/>
  <c r="AM449" i="20"/>
  <c r="AL449" i="20"/>
  <c r="AK449" i="20"/>
  <c r="AJ449" i="20"/>
  <c r="AI449" i="20"/>
  <c r="AH449" i="20"/>
  <c r="AG449" i="20"/>
  <c r="AF449" i="20"/>
  <c r="AE449" i="20"/>
  <c r="AD449" i="20"/>
  <c r="AC449" i="20"/>
  <c r="AB449" i="20"/>
  <c r="AA449" i="20"/>
  <c r="Z449" i="20"/>
  <c r="X449" i="20"/>
  <c r="W449" i="20"/>
  <c r="V449" i="20"/>
  <c r="U449" i="20"/>
  <c r="T449" i="20"/>
  <c r="S449" i="20"/>
  <c r="R449" i="20"/>
  <c r="Q449" i="20"/>
  <c r="P449" i="20"/>
  <c r="O449" i="20"/>
  <c r="N449" i="20"/>
  <c r="M449" i="20"/>
  <c r="L449" i="20"/>
  <c r="A449" i="20"/>
  <c r="AO448" i="20"/>
  <c r="AN448" i="20"/>
  <c r="AM448" i="20"/>
  <c r="AL448" i="20"/>
  <c r="AK448" i="20"/>
  <c r="AJ448" i="20"/>
  <c r="AI448" i="20"/>
  <c r="AH448" i="20"/>
  <c r="AG448" i="20"/>
  <c r="AF448" i="20"/>
  <c r="AE448" i="20"/>
  <c r="AD448" i="20"/>
  <c r="AC448" i="20"/>
  <c r="AB448" i="20"/>
  <c r="AA448" i="20"/>
  <c r="Z448" i="20"/>
  <c r="X448" i="20"/>
  <c r="W448" i="20"/>
  <c r="V448" i="20"/>
  <c r="U448" i="20"/>
  <c r="T448" i="20"/>
  <c r="S448" i="20"/>
  <c r="R448" i="20"/>
  <c r="Q448" i="20"/>
  <c r="P448" i="20"/>
  <c r="O448" i="20"/>
  <c r="N448" i="20"/>
  <c r="M448" i="20"/>
  <c r="L448" i="20"/>
  <c r="A448" i="20"/>
  <c r="AO447" i="20"/>
  <c r="AN447" i="20"/>
  <c r="AM447" i="20"/>
  <c r="AL447" i="20"/>
  <c r="AK447" i="20"/>
  <c r="AJ447" i="20"/>
  <c r="AI447" i="20"/>
  <c r="AH447" i="20"/>
  <c r="AG447" i="20"/>
  <c r="AF447" i="20"/>
  <c r="AE447" i="20"/>
  <c r="AD447" i="20"/>
  <c r="AC447" i="20"/>
  <c r="AB447" i="20"/>
  <c r="AA447" i="20"/>
  <c r="Z447" i="20"/>
  <c r="X447" i="20"/>
  <c r="W447" i="20"/>
  <c r="V447" i="20"/>
  <c r="U447" i="20"/>
  <c r="T447" i="20"/>
  <c r="S447" i="20"/>
  <c r="R447" i="20"/>
  <c r="Q447" i="20"/>
  <c r="P447" i="20"/>
  <c r="O447" i="20"/>
  <c r="N447" i="20"/>
  <c r="M447" i="20"/>
  <c r="L447" i="20"/>
  <c r="A447" i="20"/>
  <c r="AO446" i="20"/>
  <c r="AN446" i="20"/>
  <c r="AM446" i="20"/>
  <c r="AL446" i="20"/>
  <c r="AK446" i="20"/>
  <c r="AJ446" i="20"/>
  <c r="AI446" i="20"/>
  <c r="AH446" i="20"/>
  <c r="AG446" i="20"/>
  <c r="AF446" i="20"/>
  <c r="AE446" i="20"/>
  <c r="AD446" i="20"/>
  <c r="AC446" i="20"/>
  <c r="AB446" i="20"/>
  <c r="AA446" i="20"/>
  <c r="Z446" i="20"/>
  <c r="X446" i="20"/>
  <c r="W446" i="20"/>
  <c r="V446" i="20"/>
  <c r="U446" i="20"/>
  <c r="T446" i="20"/>
  <c r="S446" i="20"/>
  <c r="R446" i="20"/>
  <c r="Q446" i="20"/>
  <c r="P446" i="20"/>
  <c r="O446" i="20"/>
  <c r="N446" i="20"/>
  <c r="M446" i="20"/>
  <c r="L446" i="20"/>
  <c r="A446" i="20"/>
  <c r="AO445" i="20"/>
  <c r="AN445" i="20"/>
  <c r="AM445" i="20"/>
  <c r="AL445" i="20"/>
  <c r="AK445" i="20"/>
  <c r="AJ445" i="20"/>
  <c r="AI445" i="20"/>
  <c r="AH445" i="20"/>
  <c r="AG445" i="20"/>
  <c r="AF445" i="20"/>
  <c r="AE445" i="20"/>
  <c r="AD445" i="20"/>
  <c r="AC445" i="20"/>
  <c r="AB445" i="20"/>
  <c r="AA445" i="20"/>
  <c r="Z445" i="20"/>
  <c r="X445" i="20"/>
  <c r="W445" i="20"/>
  <c r="V445" i="20"/>
  <c r="U445" i="20"/>
  <c r="T445" i="20"/>
  <c r="S445" i="20"/>
  <c r="R445" i="20"/>
  <c r="Q445" i="20"/>
  <c r="P445" i="20"/>
  <c r="O445" i="20"/>
  <c r="N445" i="20"/>
  <c r="M445" i="20"/>
  <c r="L445" i="20"/>
  <c r="A445" i="20"/>
  <c r="AO444" i="20"/>
  <c r="AN444" i="20"/>
  <c r="AM444" i="20"/>
  <c r="AL444" i="20"/>
  <c r="AK444" i="20"/>
  <c r="AJ444" i="20"/>
  <c r="AI444" i="20"/>
  <c r="AH444" i="20"/>
  <c r="AG444" i="20"/>
  <c r="AF444" i="20"/>
  <c r="AE444" i="20"/>
  <c r="AD444" i="20"/>
  <c r="AC444" i="20"/>
  <c r="AB444" i="20"/>
  <c r="AA444" i="20"/>
  <c r="Z444" i="20"/>
  <c r="X444" i="20"/>
  <c r="W444" i="20"/>
  <c r="V444" i="20"/>
  <c r="U444" i="20"/>
  <c r="T444" i="20"/>
  <c r="S444" i="20"/>
  <c r="R444" i="20"/>
  <c r="Q444" i="20"/>
  <c r="P444" i="20"/>
  <c r="O444" i="20"/>
  <c r="N444" i="20"/>
  <c r="M444" i="20"/>
  <c r="L444" i="20"/>
  <c r="A444" i="20"/>
  <c r="AO443" i="20"/>
  <c r="AN443" i="20"/>
  <c r="AM443" i="20"/>
  <c r="AL443" i="20"/>
  <c r="AK443" i="20"/>
  <c r="AJ443" i="20"/>
  <c r="AI443" i="20"/>
  <c r="AH443" i="20"/>
  <c r="AG443" i="20"/>
  <c r="AF443" i="20"/>
  <c r="AE443" i="20"/>
  <c r="AD443" i="20"/>
  <c r="AC443" i="20"/>
  <c r="AB443" i="20"/>
  <c r="AA443" i="20"/>
  <c r="Z443" i="20"/>
  <c r="X443" i="20"/>
  <c r="W443" i="20"/>
  <c r="V443" i="20"/>
  <c r="U443" i="20"/>
  <c r="T443" i="20"/>
  <c r="S443" i="20"/>
  <c r="R443" i="20"/>
  <c r="Q443" i="20"/>
  <c r="P443" i="20"/>
  <c r="O443" i="20"/>
  <c r="N443" i="20"/>
  <c r="M443" i="20"/>
  <c r="L443" i="20"/>
  <c r="A443" i="20"/>
  <c r="AO442" i="20"/>
  <c r="AN442" i="20"/>
  <c r="AM442" i="20"/>
  <c r="AL442" i="20"/>
  <c r="AK442" i="20"/>
  <c r="AJ442" i="20"/>
  <c r="AI442" i="20"/>
  <c r="AH442" i="20"/>
  <c r="AG442" i="20"/>
  <c r="AF442" i="20"/>
  <c r="AE442" i="20"/>
  <c r="AD442" i="20"/>
  <c r="AC442" i="20"/>
  <c r="AB442" i="20"/>
  <c r="AA442" i="20"/>
  <c r="Z442" i="20"/>
  <c r="X442" i="20"/>
  <c r="W442" i="20"/>
  <c r="V442" i="20"/>
  <c r="U442" i="20"/>
  <c r="T442" i="20"/>
  <c r="S442" i="20"/>
  <c r="R442" i="20"/>
  <c r="Q442" i="20"/>
  <c r="P442" i="20"/>
  <c r="O442" i="20"/>
  <c r="N442" i="20"/>
  <c r="M442" i="20"/>
  <c r="L442" i="20"/>
  <c r="A442" i="20"/>
  <c r="AO441" i="20"/>
  <c r="AN441" i="20"/>
  <c r="AM441" i="20"/>
  <c r="AL441" i="20"/>
  <c r="AK441" i="20"/>
  <c r="AJ441" i="20"/>
  <c r="AI441" i="20"/>
  <c r="AH441" i="20"/>
  <c r="AG441" i="20"/>
  <c r="AF441" i="20"/>
  <c r="AE441" i="20"/>
  <c r="AD441" i="20"/>
  <c r="AC441" i="20"/>
  <c r="AB441" i="20"/>
  <c r="AA441" i="20"/>
  <c r="Z441" i="20"/>
  <c r="X441" i="20"/>
  <c r="W441" i="20"/>
  <c r="V441" i="20"/>
  <c r="U441" i="20"/>
  <c r="T441" i="20"/>
  <c r="S441" i="20"/>
  <c r="R441" i="20"/>
  <c r="Q441" i="20"/>
  <c r="P441" i="20"/>
  <c r="O441" i="20"/>
  <c r="N441" i="20"/>
  <c r="M441" i="20"/>
  <c r="L441" i="20"/>
  <c r="A441" i="20"/>
  <c r="AO440" i="20"/>
  <c r="AN440" i="20"/>
  <c r="AM440" i="20"/>
  <c r="AL440" i="20"/>
  <c r="AK440" i="20"/>
  <c r="AJ440" i="20"/>
  <c r="AI440" i="20"/>
  <c r="AH440" i="20"/>
  <c r="AG440" i="20"/>
  <c r="AF440" i="20"/>
  <c r="AE440" i="20"/>
  <c r="AD440" i="20"/>
  <c r="AC440" i="20"/>
  <c r="AB440" i="20"/>
  <c r="AA440" i="20"/>
  <c r="Z440" i="20"/>
  <c r="X440" i="20"/>
  <c r="W440" i="20"/>
  <c r="V440" i="20"/>
  <c r="U440" i="20"/>
  <c r="T440" i="20"/>
  <c r="S440" i="20"/>
  <c r="R440" i="20"/>
  <c r="Q440" i="20"/>
  <c r="P440" i="20"/>
  <c r="O440" i="20"/>
  <c r="N440" i="20"/>
  <c r="M440" i="20"/>
  <c r="L440" i="20"/>
  <c r="A440" i="20"/>
  <c r="AO439" i="20"/>
  <c r="AN439" i="20"/>
  <c r="AM439" i="20"/>
  <c r="AL439" i="20"/>
  <c r="AK439" i="20"/>
  <c r="AJ439" i="20"/>
  <c r="AI439" i="20"/>
  <c r="AH439" i="20"/>
  <c r="AG439" i="20"/>
  <c r="AF439" i="20"/>
  <c r="AE439" i="20"/>
  <c r="AD439" i="20"/>
  <c r="AC439" i="20"/>
  <c r="AB439" i="20"/>
  <c r="AA439" i="20"/>
  <c r="Z439" i="20"/>
  <c r="X439" i="20"/>
  <c r="W439" i="20"/>
  <c r="V439" i="20"/>
  <c r="U439" i="20"/>
  <c r="T439" i="20"/>
  <c r="S439" i="20"/>
  <c r="R439" i="20"/>
  <c r="Q439" i="20"/>
  <c r="P439" i="20"/>
  <c r="O439" i="20"/>
  <c r="N439" i="20"/>
  <c r="M439" i="20"/>
  <c r="L439" i="20"/>
  <c r="A439" i="20"/>
  <c r="AO438" i="20"/>
  <c r="AN438" i="20"/>
  <c r="AM438" i="20"/>
  <c r="AL438" i="20"/>
  <c r="AK438" i="20"/>
  <c r="AJ438" i="20"/>
  <c r="AI438" i="20"/>
  <c r="AH438" i="20"/>
  <c r="AG438" i="20"/>
  <c r="AF438" i="20"/>
  <c r="AE438" i="20"/>
  <c r="AD438" i="20"/>
  <c r="AC438" i="20"/>
  <c r="AB438" i="20"/>
  <c r="AA438" i="20"/>
  <c r="Z438" i="20"/>
  <c r="X438" i="20"/>
  <c r="W438" i="20"/>
  <c r="V438" i="20"/>
  <c r="U438" i="20"/>
  <c r="T438" i="20"/>
  <c r="S438" i="20"/>
  <c r="R438" i="20"/>
  <c r="Q438" i="20"/>
  <c r="P438" i="20"/>
  <c r="O438" i="20"/>
  <c r="N438" i="20"/>
  <c r="M438" i="20"/>
  <c r="L438" i="20"/>
  <c r="A438" i="20"/>
  <c r="AO437" i="20"/>
  <c r="AN437" i="20"/>
  <c r="AM437" i="20"/>
  <c r="AL437" i="20"/>
  <c r="AK437" i="20"/>
  <c r="AJ437" i="20"/>
  <c r="AI437" i="20"/>
  <c r="AH437" i="20"/>
  <c r="AG437" i="20"/>
  <c r="AF437" i="20"/>
  <c r="AE437" i="20"/>
  <c r="AD437" i="20"/>
  <c r="AC437" i="20"/>
  <c r="AB437" i="20"/>
  <c r="AA437" i="20"/>
  <c r="Z437" i="20"/>
  <c r="X437" i="20"/>
  <c r="W437" i="20"/>
  <c r="V437" i="20"/>
  <c r="U437" i="20"/>
  <c r="T437" i="20"/>
  <c r="S437" i="20"/>
  <c r="R437" i="20"/>
  <c r="Q437" i="20"/>
  <c r="P437" i="20"/>
  <c r="O437" i="20"/>
  <c r="N437" i="20"/>
  <c r="M437" i="20"/>
  <c r="L437" i="20"/>
  <c r="A437" i="20"/>
  <c r="AO436" i="20"/>
  <c r="AN436" i="20"/>
  <c r="AM436" i="20"/>
  <c r="AL436" i="20"/>
  <c r="AK436" i="20"/>
  <c r="AJ436" i="20"/>
  <c r="AI436" i="20"/>
  <c r="AH436" i="20"/>
  <c r="AG436" i="20"/>
  <c r="AF436" i="20"/>
  <c r="AE436" i="20"/>
  <c r="AD436" i="20"/>
  <c r="AC436" i="20"/>
  <c r="AB436" i="20"/>
  <c r="AA436" i="20"/>
  <c r="Z436" i="20"/>
  <c r="X436" i="20"/>
  <c r="W436" i="20"/>
  <c r="V436" i="20"/>
  <c r="U436" i="20"/>
  <c r="T436" i="20"/>
  <c r="S436" i="20"/>
  <c r="R436" i="20"/>
  <c r="Q436" i="20"/>
  <c r="P436" i="20"/>
  <c r="O436" i="20"/>
  <c r="N436" i="20"/>
  <c r="M436" i="20"/>
  <c r="L436" i="20"/>
  <c r="A436" i="20"/>
  <c r="AO435" i="20"/>
  <c r="AN435" i="20"/>
  <c r="AM435" i="20"/>
  <c r="AL435" i="20"/>
  <c r="AK435" i="20"/>
  <c r="AJ435" i="20"/>
  <c r="AI435" i="20"/>
  <c r="AH435" i="20"/>
  <c r="AG435" i="20"/>
  <c r="AF435" i="20"/>
  <c r="AE435" i="20"/>
  <c r="AD435" i="20"/>
  <c r="AC435" i="20"/>
  <c r="AB435" i="20"/>
  <c r="AA435" i="20"/>
  <c r="Z435" i="20"/>
  <c r="X435" i="20"/>
  <c r="W435" i="20"/>
  <c r="V435" i="20"/>
  <c r="U435" i="20"/>
  <c r="T435" i="20"/>
  <c r="S435" i="20"/>
  <c r="R435" i="20"/>
  <c r="Q435" i="20"/>
  <c r="P435" i="20"/>
  <c r="O435" i="20"/>
  <c r="N435" i="20"/>
  <c r="M435" i="20"/>
  <c r="L435" i="20"/>
  <c r="A435" i="20"/>
  <c r="AO434" i="20"/>
  <c r="AN434" i="20"/>
  <c r="AM434" i="20"/>
  <c r="AL434" i="20"/>
  <c r="AK434" i="20"/>
  <c r="AJ434" i="20"/>
  <c r="AI434" i="20"/>
  <c r="AH434" i="20"/>
  <c r="AG434" i="20"/>
  <c r="AF434" i="20"/>
  <c r="AE434" i="20"/>
  <c r="AD434" i="20"/>
  <c r="AC434" i="20"/>
  <c r="AB434" i="20"/>
  <c r="AA434" i="20"/>
  <c r="Z434" i="20"/>
  <c r="X434" i="20"/>
  <c r="W434" i="20"/>
  <c r="V434" i="20"/>
  <c r="U434" i="20"/>
  <c r="T434" i="20"/>
  <c r="S434" i="20"/>
  <c r="R434" i="20"/>
  <c r="Q434" i="20"/>
  <c r="P434" i="20"/>
  <c r="O434" i="20"/>
  <c r="N434" i="20"/>
  <c r="M434" i="20"/>
  <c r="L434" i="20"/>
  <c r="A434" i="20"/>
  <c r="AO433" i="20"/>
  <c r="AN433" i="20"/>
  <c r="AM433" i="20"/>
  <c r="AL433" i="20"/>
  <c r="AK433" i="20"/>
  <c r="AJ433" i="20"/>
  <c r="AI433" i="20"/>
  <c r="AH433" i="20"/>
  <c r="AG433" i="20"/>
  <c r="AF433" i="20"/>
  <c r="AE433" i="20"/>
  <c r="AD433" i="20"/>
  <c r="AC433" i="20"/>
  <c r="AB433" i="20"/>
  <c r="AA433" i="20"/>
  <c r="Z433" i="20"/>
  <c r="X433" i="20"/>
  <c r="W433" i="20"/>
  <c r="V433" i="20"/>
  <c r="U433" i="20"/>
  <c r="T433" i="20"/>
  <c r="S433" i="20"/>
  <c r="R433" i="20"/>
  <c r="Q433" i="20"/>
  <c r="P433" i="20"/>
  <c r="O433" i="20"/>
  <c r="N433" i="20"/>
  <c r="M433" i="20"/>
  <c r="L433" i="20"/>
  <c r="A433" i="20"/>
  <c r="AO432" i="20"/>
  <c r="AN432" i="20"/>
  <c r="AM432" i="20"/>
  <c r="AL432" i="20"/>
  <c r="AK432" i="20"/>
  <c r="AJ432" i="20"/>
  <c r="AI432" i="20"/>
  <c r="AH432" i="20"/>
  <c r="AG432" i="20"/>
  <c r="AF432" i="20"/>
  <c r="AE432" i="20"/>
  <c r="AD432" i="20"/>
  <c r="AC432" i="20"/>
  <c r="AB432" i="20"/>
  <c r="AA432" i="20"/>
  <c r="Z432" i="20"/>
  <c r="X432" i="20"/>
  <c r="W432" i="20"/>
  <c r="V432" i="20"/>
  <c r="U432" i="20"/>
  <c r="T432" i="20"/>
  <c r="S432" i="20"/>
  <c r="R432" i="20"/>
  <c r="Q432" i="20"/>
  <c r="P432" i="20"/>
  <c r="O432" i="20"/>
  <c r="N432" i="20"/>
  <c r="M432" i="20"/>
  <c r="L432" i="20"/>
  <c r="A432" i="20"/>
  <c r="AO431" i="20"/>
  <c r="AN431" i="20"/>
  <c r="AM431" i="20"/>
  <c r="AL431" i="20"/>
  <c r="AK431" i="20"/>
  <c r="AJ431" i="20"/>
  <c r="AI431" i="20"/>
  <c r="AH431" i="20"/>
  <c r="AG431" i="20"/>
  <c r="AF431" i="20"/>
  <c r="AE431" i="20"/>
  <c r="AD431" i="20"/>
  <c r="AC431" i="20"/>
  <c r="AB431" i="20"/>
  <c r="AA431" i="20"/>
  <c r="Z431" i="20"/>
  <c r="X431" i="20"/>
  <c r="W431" i="20"/>
  <c r="V431" i="20"/>
  <c r="U431" i="20"/>
  <c r="T431" i="20"/>
  <c r="S431" i="20"/>
  <c r="R431" i="20"/>
  <c r="Q431" i="20"/>
  <c r="P431" i="20"/>
  <c r="O431" i="20"/>
  <c r="N431" i="20"/>
  <c r="M431" i="20"/>
  <c r="L431" i="20"/>
  <c r="A431" i="20"/>
  <c r="AO430" i="20"/>
  <c r="AN430" i="20"/>
  <c r="AM430" i="20"/>
  <c r="AL430" i="20"/>
  <c r="AK430" i="20"/>
  <c r="AJ430" i="20"/>
  <c r="AI430" i="20"/>
  <c r="AH430" i="20"/>
  <c r="AG430" i="20"/>
  <c r="AF430" i="20"/>
  <c r="AE430" i="20"/>
  <c r="AD430" i="20"/>
  <c r="AC430" i="20"/>
  <c r="AB430" i="20"/>
  <c r="AA430" i="20"/>
  <c r="Z430" i="20"/>
  <c r="X430" i="20"/>
  <c r="W430" i="20"/>
  <c r="V430" i="20"/>
  <c r="U430" i="20"/>
  <c r="T430" i="20"/>
  <c r="S430" i="20"/>
  <c r="R430" i="20"/>
  <c r="Q430" i="20"/>
  <c r="P430" i="20"/>
  <c r="O430" i="20"/>
  <c r="N430" i="20"/>
  <c r="M430" i="20"/>
  <c r="L430" i="20"/>
  <c r="A430" i="20"/>
  <c r="AO429" i="20"/>
  <c r="AN429" i="20"/>
  <c r="AM429" i="20"/>
  <c r="AL429" i="20"/>
  <c r="AK429" i="20"/>
  <c r="AJ429" i="20"/>
  <c r="AI429" i="20"/>
  <c r="AH429" i="20"/>
  <c r="AG429" i="20"/>
  <c r="AF429" i="20"/>
  <c r="AE429" i="20"/>
  <c r="AD429" i="20"/>
  <c r="AC429" i="20"/>
  <c r="AB429" i="20"/>
  <c r="AA429" i="20"/>
  <c r="Z429" i="20"/>
  <c r="X429" i="20"/>
  <c r="W429" i="20"/>
  <c r="V429" i="20"/>
  <c r="U429" i="20"/>
  <c r="T429" i="20"/>
  <c r="S429" i="20"/>
  <c r="R429" i="20"/>
  <c r="Q429" i="20"/>
  <c r="P429" i="20"/>
  <c r="O429" i="20"/>
  <c r="N429" i="20"/>
  <c r="M429" i="20"/>
  <c r="L429" i="20"/>
  <c r="A429" i="20"/>
  <c r="AO428" i="20"/>
  <c r="AN428" i="20"/>
  <c r="AM428" i="20"/>
  <c r="AL428" i="20"/>
  <c r="AK428" i="20"/>
  <c r="AJ428" i="20"/>
  <c r="AI428" i="20"/>
  <c r="AH428" i="20"/>
  <c r="AG428" i="20"/>
  <c r="AF428" i="20"/>
  <c r="AE428" i="20"/>
  <c r="AD428" i="20"/>
  <c r="AC428" i="20"/>
  <c r="AB428" i="20"/>
  <c r="AA428" i="20"/>
  <c r="Z428" i="20"/>
  <c r="X428" i="20"/>
  <c r="W428" i="20"/>
  <c r="V428" i="20"/>
  <c r="U428" i="20"/>
  <c r="T428" i="20"/>
  <c r="S428" i="20"/>
  <c r="R428" i="20"/>
  <c r="Q428" i="20"/>
  <c r="P428" i="20"/>
  <c r="O428" i="20"/>
  <c r="N428" i="20"/>
  <c r="M428" i="20"/>
  <c r="L428" i="20"/>
  <c r="A428" i="20"/>
  <c r="AO427" i="20"/>
  <c r="AN427" i="20"/>
  <c r="AM427" i="20"/>
  <c r="AL427" i="20"/>
  <c r="AK427" i="20"/>
  <c r="AJ427" i="20"/>
  <c r="AI427" i="20"/>
  <c r="AH427" i="20"/>
  <c r="AG427" i="20"/>
  <c r="AF427" i="20"/>
  <c r="AE427" i="20"/>
  <c r="AD427" i="20"/>
  <c r="AC427" i="20"/>
  <c r="AB427" i="20"/>
  <c r="AA427" i="20"/>
  <c r="Z427" i="20"/>
  <c r="X427" i="20"/>
  <c r="W427" i="20"/>
  <c r="V427" i="20"/>
  <c r="U427" i="20"/>
  <c r="T427" i="20"/>
  <c r="S427" i="20"/>
  <c r="R427" i="20"/>
  <c r="Q427" i="20"/>
  <c r="P427" i="20"/>
  <c r="O427" i="20"/>
  <c r="N427" i="20"/>
  <c r="M427" i="20"/>
  <c r="L427" i="20"/>
  <c r="A427" i="20"/>
  <c r="AO426" i="20"/>
  <c r="AN426" i="20"/>
  <c r="AM426" i="20"/>
  <c r="AL426" i="20"/>
  <c r="AK426" i="20"/>
  <c r="AJ426" i="20"/>
  <c r="AI426" i="20"/>
  <c r="AH426" i="20"/>
  <c r="AG426" i="20"/>
  <c r="AF426" i="20"/>
  <c r="AE426" i="20"/>
  <c r="AD426" i="20"/>
  <c r="AC426" i="20"/>
  <c r="AB426" i="20"/>
  <c r="AA426" i="20"/>
  <c r="Z426" i="20"/>
  <c r="X426" i="20"/>
  <c r="W426" i="20"/>
  <c r="V426" i="20"/>
  <c r="U426" i="20"/>
  <c r="T426" i="20"/>
  <c r="S426" i="20"/>
  <c r="R426" i="20"/>
  <c r="Q426" i="20"/>
  <c r="P426" i="20"/>
  <c r="O426" i="20"/>
  <c r="N426" i="20"/>
  <c r="M426" i="20"/>
  <c r="L426" i="20"/>
  <c r="A426" i="20"/>
  <c r="AO425" i="20"/>
  <c r="AN425" i="20"/>
  <c r="AM425" i="20"/>
  <c r="AL425" i="20"/>
  <c r="AK425" i="20"/>
  <c r="AJ425" i="20"/>
  <c r="AI425" i="20"/>
  <c r="AH425" i="20"/>
  <c r="AG425" i="20"/>
  <c r="AF425" i="20"/>
  <c r="AE425" i="20"/>
  <c r="AD425" i="20"/>
  <c r="AC425" i="20"/>
  <c r="AB425" i="20"/>
  <c r="AA425" i="20"/>
  <c r="Z425" i="20"/>
  <c r="X425" i="20"/>
  <c r="W425" i="20"/>
  <c r="V425" i="20"/>
  <c r="U425" i="20"/>
  <c r="T425" i="20"/>
  <c r="S425" i="20"/>
  <c r="R425" i="20"/>
  <c r="Q425" i="20"/>
  <c r="P425" i="20"/>
  <c r="O425" i="20"/>
  <c r="N425" i="20"/>
  <c r="M425" i="20"/>
  <c r="L425" i="20"/>
  <c r="A425" i="20"/>
  <c r="AO424" i="20"/>
  <c r="AN424" i="20"/>
  <c r="AM424" i="20"/>
  <c r="AL424" i="20"/>
  <c r="AK424" i="20"/>
  <c r="AJ424" i="20"/>
  <c r="AI424" i="20"/>
  <c r="AH424" i="20"/>
  <c r="AG424" i="20"/>
  <c r="AF424" i="20"/>
  <c r="AE424" i="20"/>
  <c r="AD424" i="20"/>
  <c r="AC424" i="20"/>
  <c r="AB424" i="20"/>
  <c r="AA424" i="20"/>
  <c r="Z424" i="20"/>
  <c r="X424" i="20"/>
  <c r="W424" i="20"/>
  <c r="V424" i="20"/>
  <c r="U424" i="20"/>
  <c r="T424" i="20"/>
  <c r="S424" i="20"/>
  <c r="R424" i="20"/>
  <c r="Q424" i="20"/>
  <c r="P424" i="20"/>
  <c r="O424" i="20"/>
  <c r="N424" i="20"/>
  <c r="M424" i="20"/>
  <c r="L424" i="20"/>
  <c r="A424" i="20"/>
  <c r="AO423" i="20"/>
  <c r="AN423" i="20"/>
  <c r="AM423" i="20"/>
  <c r="AL423" i="20"/>
  <c r="AK423" i="20"/>
  <c r="AJ423" i="20"/>
  <c r="AI423" i="20"/>
  <c r="AH423" i="20"/>
  <c r="AG423" i="20"/>
  <c r="AF423" i="20"/>
  <c r="AE423" i="20"/>
  <c r="AD423" i="20"/>
  <c r="AC423" i="20"/>
  <c r="AB423" i="20"/>
  <c r="AA423" i="20"/>
  <c r="Z423" i="20"/>
  <c r="X423" i="20"/>
  <c r="W423" i="20"/>
  <c r="V423" i="20"/>
  <c r="U423" i="20"/>
  <c r="T423" i="20"/>
  <c r="S423" i="20"/>
  <c r="R423" i="20"/>
  <c r="Q423" i="20"/>
  <c r="P423" i="20"/>
  <c r="O423" i="20"/>
  <c r="N423" i="20"/>
  <c r="M423" i="20"/>
  <c r="L423" i="20"/>
  <c r="A423" i="20"/>
  <c r="AO422" i="20"/>
  <c r="AN422" i="20"/>
  <c r="AM422" i="20"/>
  <c r="AL422" i="20"/>
  <c r="AK422" i="20"/>
  <c r="AJ422" i="20"/>
  <c r="AI422" i="20"/>
  <c r="AH422" i="20"/>
  <c r="AG422" i="20"/>
  <c r="AF422" i="20"/>
  <c r="AE422" i="20"/>
  <c r="AD422" i="20"/>
  <c r="AC422" i="20"/>
  <c r="AB422" i="20"/>
  <c r="AA422" i="20"/>
  <c r="Z422" i="20"/>
  <c r="X422" i="20"/>
  <c r="W422" i="20"/>
  <c r="V422" i="20"/>
  <c r="U422" i="20"/>
  <c r="T422" i="20"/>
  <c r="S422" i="20"/>
  <c r="R422" i="20"/>
  <c r="Q422" i="20"/>
  <c r="P422" i="20"/>
  <c r="O422" i="20"/>
  <c r="N422" i="20"/>
  <c r="M422" i="20"/>
  <c r="L422" i="20"/>
  <c r="A422" i="20"/>
  <c r="AO421" i="20"/>
  <c r="AN421" i="20"/>
  <c r="AM421" i="20"/>
  <c r="AL421" i="20"/>
  <c r="AK421" i="20"/>
  <c r="AJ421" i="20"/>
  <c r="AI421" i="20"/>
  <c r="AH421" i="20"/>
  <c r="AG421" i="20"/>
  <c r="AF421" i="20"/>
  <c r="AE421" i="20"/>
  <c r="AD421" i="20"/>
  <c r="AC421" i="20"/>
  <c r="AB421" i="20"/>
  <c r="AA421" i="20"/>
  <c r="Z421" i="20"/>
  <c r="X421" i="20"/>
  <c r="W421" i="20"/>
  <c r="V421" i="20"/>
  <c r="U421" i="20"/>
  <c r="T421" i="20"/>
  <c r="S421" i="20"/>
  <c r="R421" i="20"/>
  <c r="Q421" i="20"/>
  <c r="P421" i="20"/>
  <c r="O421" i="20"/>
  <c r="N421" i="20"/>
  <c r="M421" i="20"/>
  <c r="L421" i="20"/>
  <c r="A421" i="20"/>
  <c r="AO420" i="20"/>
  <c r="AN420" i="20"/>
  <c r="AM420" i="20"/>
  <c r="AL420" i="20"/>
  <c r="AK420" i="20"/>
  <c r="AJ420" i="20"/>
  <c r="AI420" i="20"/>
  <c r="AH420" i="20"/>
  <c r="AG420" i="20"/>
  <c r="AF420" i="20"/>
  <c r="AE420" i="20"/>
  <c r="AD420" i="20"/>
  <c r="AC420" i="20"/>
  <c r="AB420" i="20"/>
  <c r="AA420" i="20"/>
  <c r="Z420" i="20"/>
  <c r="X420" i="20"/>
  <c r="W420" i="20"/>
  <c r="V420" i="20"/>
  <c r="U420" i="20"/>
  <c r="T420" i="20"/>
  <c r="S420" i="20"/>
  <c r="R420" i="20"/>
  <c r="Q420" i="20"/>
  <c r="P420" i="20"/>
  <c r="O420" i="20"/>
  <c r="N420" i="20"/>
  <c r="M420" i="20"/>
  <c r="L420" i="20"/>
  <c r="A420" i="20"/>
  <c r="AO419" i="20"/>
  <c r="AN419" i="20"/>
  <c r="AM419" i="20"/>
  <c r="AL419" i="20"/>
  <c r="AK419" i="20"/>
  <c r="AJ419" i="20"/>
  <c r="AI419" i="20"/>
  <c r="AH419" i="20"/>
  <c r="AG419" i="20"/>
  <c r="AF419" i="20"/>
  <c r="AE419" i="20"/>
  <c r="AD419" i="20"/>
  <c r="AC419" i="20"/>
  <c r="AB419" i="20"/>
  <c r="AA419" i="20"/>
  <c r="Z419" i="20"/>
  <c r="X419" i="20"/>
  <c r="W419" i="20"/>
  <c r="V419" i="20"/>
  <c r="U419" i="20"/>
  <c r="T419" i="20"/>
  <c r="S419" i="20"/>
  <c r="R419" i="20"/>
  <c r="Q419" i="20"/>
  <c r="P419" i="20"/>
  <c r="O419" i="20"/>
  <c r="N419" i="20"/>
  <c r="M419" i="20"/>
  <c r="L419" i="20"/>
  <c r="A419" i="20"/>
  <c r="AO418" i="20"/>
  <c r="AN418" i="20"/>
  <c r="AM418" i="20"/>
  <c r="AL418" i="20"/>
  <c r="AK418" i="20"/>
  <c r="AJ418" i="20"/>
  <c r="AI418" i="20"/>
  <c r="AH418" i="20"/>
  <c r="AG418" i="20"/>
  <c r="AF418" i="20"/>
  <c r="AE418" i="20"/>
  <c r="AD418" i="20"/>
  <c r="AC418" i="20"/>
  <c r="AB418" i="20"/>
  <c r="AA418" i="20"/>
  <c r="Z418" i="20"/>
  <c r="X418" i="20"/>
  <c r="W418" i="20"/>
  <c r="V418" i="20"/>
  <c r="U418" i="20"/>
  <c r="T418" i="20"/>
  <c r="S418" i="20"/>
  <c r="R418" i="20"/>
  <c r="Q418" i="20"/>
  <c r="P418" i="20"/>
  <c r="O418" i="20"/>
  <c r="N418" i="20"/>
  <c r="M418" i="20"/>
  <c r="L418" i="20"/>
  <c r="A418" i="20"/>
  <c r="AO417" i="20"/>
  <c r="AN417" i="20"/>
  <c r="AM417" i="20"/>
  <c r="AL417" i="20"/>
  <c r="AK417" i="20"/>
  <c r="AJ417" i="20"/>
  <c r="AI417" i="20"/>
  <c r="AH417" i="20"/>
  <c r="AG417" i="20"/>
  <c r="AF417" i="20"/>
  <c r="AE417" i="20"/>
  <c r="AD417" i="20"/>
  <c r="AC417" i="20"/>
  <c r="AB417" i="20"/>
  <c r="AA417" i="20"/>
  <c r="Z417" i="20"/>
  <c r="X417" i="20"/>
  <c r="W417" i="20"/>
  <c r="V417" i="20"/>
  <c r="U417" i="20"/>
  <c r="T417" i="20"/>
  <c r="S417" i="20"/>
  <c r="R417" i="20"/>
  <c r="Q417" i="20"/>
  <c r="P417" i="20"/>
  <c r="O417" i="20"/>
  <c r="N417" i="20"/>
  <c r="M417" i="20"/>
  <c r="L417" i="20"/>
  <c r="A417" i="20"/>
  <c r="AO416" i="20"/>
  <c r="AN416" i="20"/>
  <c r="AM416" i="20"/>
  <c r="AL416" i="20"/>
  <c r="AK416" i="20"/>
  <c r="AJ416" i="20"/>
  <c r="AI416" i="20"/>
  <c r="AH416" i="20"/>
  <c r="AG416" i="20"/>
  <c r="AF416" i="20"/>
  <c r="AE416" i="20"/>
  <c r="AD416" i="20"/>
  <c r="AC416" i="20"/>
  <c r="AB416" i="20"/>
  <c r="AA416" i="20"/>
  <c r="Z416" i="20"/>
  <c r="X416" i="20"/>
  <c r="W416" i="20"/>
  <c r="V416" i="20"/>
  <c r="U416" i="20"/>
  <c r="T416" i="20"/>
  <c r="S416" i="20"/>
  <c r="R416" i="20"/>
  <c r="Q416" i="20"/>
  <c r="P416" i="20"/>
  <c r="O416" i="20"/>
  <c r="N416" i="20"/>
  <c r="M416" i="20"/>
  <c r="L416" i="20"/>
  <c r="A416" i="20"/>
  <c r="AO415" i="20"/>
  <c r="AN415" i="20"/>
  <c r="AM415" i="20"/>
  <c r="AL415" i="20"/>
  <c r="AK415" i="20"/>
  <c r="AJ415" i="20"/>
  <c r="AI415" i="20"/>
  <c r="AH415" i="20"/>
  <c r="AG415" i="20"/>
  <c r="AF415" i="20"/>
  <c r="AE415" i="20"/>
  <c r="AD415" i="20"/>
  <c r="AC415" i="20"/>
  <c r="AB415" i="20"/>
  <c r="AA415" i="20"/>
  <c r="Z415" i="20"/>
  <c r="X415" i="20"/>
  <c r="W415" i="20"/>
  <c r="V415" i="20"/>
  <c r="U415" i="20"/>
  <c r="T415" i="20"/>
  <c r="S415" i="20"/>
  <c r="R415" i="20"/>
  <c r="Q415" i="20"/>
  <c r="P415" i="20"/>
  <c r="O415" i="20"/>
  <c r="N415" i="20"/>
  <c r="M415" i="20"/>
  <c r="L415" i="20"/>
  <c r="A415" i="20"/>
  <c r="AO414" i="20"/>
  <c r="AN414" i="20"/>
  <c r="AM414" i="20"/>
  <c r="AL414" i="20"/>
  <c r="AK414" i="20"/>
  <c r="AJ414" i="20"/>
  <c r="AI414" i="20"/>
  <c r="AH414" i="20"/>
  <c r="AG414" i="20"/>
  <c r="AF414" i="20"/>
  <c r="AE414" i="20"/>
  <c r="AD414" i="20"/>
  <c r="AC414" i="20"/>
  <c r="AB414" i="20"/>
  <c r="AA414" i="20"/>
  <c r="Z414" i="20"/>
  <c r="X414" i="20"/>
  <c r="W414" i="20"/>
  <c r="V414" i="20"/>
  <c r="U414" i="20"/>
  <c r="T414" i="20"/>
  <c r="S414" i="20"/>
  <c r="R414" i="20"/>
  <c r="Q414" i="20"/>
  <c r="P414" i="20"/>
  <c r="O414" i="20"/>
  <c r="N414" i="20"/>
  <c r="M414" i="20"/>
  <c r="L414" i="20"/>
  <c r="A414" i="20"/>
  <c r="AO413" i="20"/>
  <c r="AN413" i="20"/>
  <c r="AM413" i="20"/>
  <c r="AL413" i="20"/>
  <c r="AK413" i="20"/>
  <c r="AJ413" i="20"/>
  <c r="AI413" i="20"/>
  <c r="AH413" i="20"/>
  <c r="AG413" i="20"/>
  <c r="AF413" i="20"/>
  <c r="AE413" i="20"/>
  <c r="AD413" i="20"/>
  <c r="AC413" i="20"/>
  <c r="AB413" i="20"/>
  <c r="AA413" i="20"/>
  <c r="Z413" i="20"/>
  <c r="X413" i="20"/>
  <c r="W413" i="20"/>
  <c r="V413" i="20"/>
  <c r="U413" i="20"/>
  <c r="T413" i="20"/>
  <c r="S413" i="20"/>
  <c r="R413" i="20"/>
  <c r="Q413" i="20"/>
  <c r="P413" i="20"/>
  <c r="O413" i="20"/>
  <c r="N413" i="20"/>
  <c r="M413" i="20"/>
  <c r="L413" i="20"/>
  <c r="A413" i="20"/>
  <c r="AO412" i="20"/>
  <c r="AN412" i="20"/>
  <c r="AM412" i="20"/>
  <c r="AL412" i="20"/>
  <c r="AK412" i="20"/>
  <c r="AJ412" i="20"/>
  <c r="AI412" i="20"/>
  <c r="AH412" i="20"/>
  <c r="AG412" i="20"/>
  <c r="AF412" i="20"/>
  <c r="AE412" i="20"/>
  <c r="AD412" i="20"/>
  <c r="AC412" i="20"/>
  <c r="AB412" i="20"/>
  <c r="AA412" i="20"/>
  <c r="Z412" i="20"/>
  <c r="X412" i="20"/>
  <c r="W412" i="20"/>
  <c r="V412" i="20"/>
  <c r="U412" i="20"/>
  <c r="T412" i="20"/>
  <c r="S412" i="20"/>
  <c r="R412" i="20"/>
  <c r="Q412" i="20"/>
  <c r="P412" i="20"/>
  <c r="O412" i="20"/>
  <c r="N412" i="20"/>
  <c r="M412" i="20"/>
  <c r="L412" i="20"/>
  <c r="A412" i="20"/>
  <c r="AO411" i="20"/>
  <c r="AN411" i="20"/>
  <c r="AM411" i="20"/>
  <c r="AL411" i="20"/>
  <c r="AK411" i="20"/>
  <c r="AJ411" i="20"/>
  <c r="AI411" i="20"/>
  <c r="AH411" i="20"/>
  <c r="AG411" i="20"/>
  <c r="AF411" i="20"/>
  <c r="AE411" i="20"/>
  <c r="AD411" i="20"/>
  <c r="AC411" i="20"/>
  <c r="AB411" i="20"/>
  <c r="AA411" i="20"/>
  <c r="Z411" i="20"/>
  <c r="X411" i="20"/>
  <c r="W411" i="20"/>
  <c r="V411" i="20"/>
  <c r="U411" i="20"/>
  <c r="T411" i="20"/>
  <c r="S411" i="20"/>
  <c r="R411" i="20"/>
  <c r="Q411" i="20"/>
  <c r="P411" i="20"/>
  <c r="O411" i="20"/>
  <c r="N411" i="20"/>
  <c r="M411" i="20"/>
  <c r="L411" i="20"/>
  <c r="A411" i="20"/>
  <c r="AO410" i="20"/>
  <c r="AN410" i="20"/>
  <c r="AM410" i="20"/>
  <c r="AL410" i="20"/>
  <c r="AK410" i="20"/>
  <c r="AJ410" i="20"/>
  <c r="AI410" i="20"/>
  <c r="AH410" i="20"/>
  <c r="AG410" i="20"/>
  <c r="AF410" i="20"/>
  <c r="AE410" i="20"/>
  <c r="AD410" i="20"/>
  <c r="AC410" i="20"/>
  <c r="AB410" i="20"/>
  <c r="AA410" i="20"/>
  <c r="Z410" i="20"/>
  <c r="X410" i="20"/>
  <c r="W410" i="20"/>
  <c r="V410" i="20"/>
  <c r="U410" i="20"/>
  <c r="T410" i="20"/>
  <c r="S410" i="20"/>
  <c r="R410" i="20"/>
  <c r="Q410" i="20"/>
  <c r="P410" i="20"/>
  <c r="O410" i="20"/>
  <c r="N410" i="20"/>
  <c r="M410" i="20"/>
  <c r="L410" i="20"/>
  <c r="A410" i="20"/>
  <c r="AO409" i="20"/>
  <c r="AN409" i="20"/>
  <c r="AM409" i="20"/>
  <c r="AL409" i="20"/>
  <c r="AK409" i="20"/>
  <c r="AJ409" i="20"/>
  <c r="AI409" i="20"/>
  <c r="AH409" i="20"/>
  <c r="AG409" i="20"/>
  <c r="AF409" i="20"/>
  <c r="AE409" i="20"/>
  <c r="AD409" i="20"/>
  <c r="AC409" i="20"/>
  <c r="AB409" i="20"/>
  <c r="AA409" i="20"/>
  <c r="Z409" i="20"/>
  <c r="X409" i="20"/>
  <c r="W409" i="20"/>
  <c r="V409" i="20"/>
  <c r="U409" i="20"/>
  <c r="T409" i="20"/>
  <c r="S409" i="20"/>
  <c r="R409" i="20"/>
  <c r="Q409" i="20"/>
  <c r="P409" i="20"/>
  <c r="O409" i="20"/>
  <c r="N409" i="20"/>
  <c r="M409" i="20"/>
  <c r="L409" i="20"/>
  <c r="A409" i="20"/>
  <c r="AO408" i="20"/>
  <c r="AN408" i="20"/>
  <c r="AM408" i="20"/>
  <c r="AL408" i="20"/>
  <c r="AK408" i="20"/>
  <c r="AJ408" i="20"/>
  <c r="AI408" i="20"/>
  <c r="AH408" i="20"/>
  <c r="AG408" i="20"/>
  <c r="AF408" i="20"/>
  <c r="AE408" i="20"/>
  <c r="AD408" i="20"/>
  <c r="AC408" i="20"/>
  <c r="AB408" i="20"/>
  <c r="AA408" i="20"/>
  <c r="Z408" i="20"/>
  <c r="X408" i="20"/>
  <c r="W408" i="20"/>
  <c r="V408" i="20"/>
  <c r="U408" i="20"/>
  <c r="T408" i="20"/>
  <c r="S408" i="20"/>
  <c r="R408" i="20"/>
  <c r="Q408" i="20"/>
  <c r="P408" i="20"/>
  <c r="O408" i="20"/>
  <c r="N408" i="20"/>
  <c r="M408" i="20"/>
  <c r="L408" i="20"/>
  <c r="A408" i="20"/>
  <c r="AO407" i="20"/>
  <c r="AN407" i="20"/>
  <c r="AM407" i="20"/>
  <c r="AL407" i="20"/>
  <c r="AK407" i="20"/>
  <c r="AJ407" i="20"/>
  <c r="AI407" i="20"/>
  <c r="AH407" i="20"/>
  <c r="AG407" i="20"/>
  <c r="AF407" i="20"/>
  <c r="AE407" i="20"/>
  <c r="AD407" i="20"/>
  <c r="AC407" i="20"/>
  <c r="AB407" i="20"/>
  <c r="AA407" i="20"/>
  <c r="Z407" i="20"/>
  <c r="X407" i="20"/>
  <c r="W407" i="20"/>
  <c r="V407" i="20"/>
  <c r="U407" i="20"/>
  <c r="T407" i="20"/>
  <c r="S407" i="20"/>
  <c r="R407" i="20"/>
  <c r="Q407" i="20"/>
  <c r="P407" i="20"/>
  <c r="O407" i="20"/>
  <c r="N407" i="20"/>
  <c r="M407" i="20"/>
  <c r="L407" i="20"/>
  <c r="A407" i="20"/>
  <c r="AO406" i="20"/>
  <c r="AN406" i="20"/>
  <c r="AM406" i="20"/>
  <c r="AL406" i="20"/>
  <c r="AK406" i="20"/>
  <c r="AJ406" i="20"/>
  <c r="AI406" i="20"/>
  <c r="AH406" i="20"/>
  <c r="AG406" i="20"/>
  <c r="AF406" i="20"/>
  <c r="AE406" i="20"/>
  <c r="AD406" i="20"/>
  <c r="AC406" i="20"/>
  <c r="AB406" i="20"/>
  <c r="AA406" i="20"/>
  <c r="Z406" i="20"/>
  <c r="X406" i="20"/>
  <c r="W406" i="20"/>
  <c r="V406" i="20"/>
  <c r="U406" i="20"/>
  <c r="T406" i="20"/>
  <c r="S406" i="20"/>
  <c r="R406" i="20"/>
  <c r="Q406" i="20"/>
  <c r="P406" i="20"/>
  <c r="O406" i="20"/>
  <c r="N406" i="20"/>
  <c r="M406" i="20"/>
  <c r="L406" i="20"/>
  <c r="A406" i="20"/>
  <c r="AO405" i="20"/>
  <c r="AN405" i="20"/>
  <c r="AM405" i="20"/>
  <c r="AL405" i="20"/>
  <c r="AK405" i="20"/>
  <c r="AJ405" i="20"/>
  <c r="AI405" i="20"/>
  <c r="AH405" i="20"/>
  <c r="AG405" i="20"/>
  <c r="AF405" i="20"/>
  <c r="AE405" i="20"/>
  <c r="AD405" i="20"/>
  <c r="AC405" i="20"/>
  <c r="AB405" i="20"/>
  <c r="AA405" i="20"/>
  <c r="Z405" i="20"/>
  <c r="X405" i="20"/>
  <c r="W405" i="20"/>
  <c r="V405" i="20"/>
  <c r="U405" i="20"/>
  <c r="T405" i="20"/>
  <c r="S405" i="20"/>
  <c r="R405" i="20"/>
  <c r="Q405" i="20"/>
  <c r="P405" i="20"/>
  <c r="O405" i="20"/>
  <c r="N405" i="20"/>
  <c r="M405" i="20"/>
  <c r="L405" i="20"/>
  <c r="A405" i="20"/>
  <c r="AO404" i="20"/>
  <c r="AN404" i="20"/>
  <c r="AM404" i="20"/>
  <c r="AL404" i="20"/>
  <c r="AK404" i="20"/>
  <c r="AJ404" i="20"/>
  <c r="AI404" i="20"/>
  <c r="AH404" i="20"/>
  <c r="AG404" i="20"/>
  <c r="AF404" i="20"/>
  <c r="AE404" i="20"/>
  <c r="AD404" i="20"/>
  <c r="AC404" i="20"/>
  <c r="AB404" i="20"/>
  <c r="AA404" i="20"/>
  <c r="Z404" i="20"/>
  <c r="X404" i="20"/>
  <c r="W404" i="20"/>
  <c r="V404" i="20"/>
  <c r="U404" i="20"/>
  <c r="T404" i="20"/>
  <c r="S404" i="20"/>
  <c r="R404" i="20"/>
  <c r="Q404" i="20"/>
  <c r="P404" i="20"/>
  <c r="O404" i="20"/>
  <c r="N404" i="20"/>
  <c r="M404" i="20"/>
  <c r="L404" i="20"/>
  <c r="A404" i="20"/>
  <c r="AO403" i="20"/>
  <c r="AN403" i="20"/>
  <c r="AM403" i="20"/>
  <c r="AL403" i="20"/>
  <c r="AK403" i="20"/>
  <c r="AJ403" i="20"/>
  <c r="AI403" i="20"/>
  <c r="AH403" i="20"/>
  <c r="AG403" i="20"/>
  <c r="AF403" i="20"/>
  <c r="AE403" i="20"/>
  <c r="AD403" i="20"/>
  <c r="AC403" i="20"/>
  <c r="AB403" i="20"/>
  <c r="AA403" i="20"/>
  <c r="Z403" i="20"/>
  <c r="X403" i="20"/>
  <c r="W403" i="20"/>
  <c r="V403" i="20"/>
  <c r="U403" i="20"/>
  <c r="T403" i="20"/>
  <c r="S403" i="20"/>
  <c r="R403" i="20"/>
  <c r="Q403" i="20"/>
  <c r="P403" i="20"/>
  <c r="O403" i="20"/>
  <c r="N403" i="20"/>
  <c r="M403" i="20"/>
  <c r="L403" i="20"/>
  <c r="A403" i="20"/>
  <c r="AO402" i="20"/>
  <c r="AN402" i="20"/>
  <c r="AM402" i="20"/>
  <c r="AL402" i="20"/>
  <c r="AK402" i="20"/>
  <c r="AJ402" i="20"/>
  <c r="AI402" i="20"/>
  <c r="AH402" i="20"/>
  <c r="AG402" i="20"/>
  <c r="AF402" i="20"/>
  <c r="AE402" i="20"/>
  <c r="AD402" i="20"/>
  <c r="AC402" i="20"/>
  <c r="AB402" i="20"/>
  <c r="AA402" i="20"/>
  <c r="Z402" i="20"/>
  <c r="X402" i="20"/>
  <c r="W402" i="20"/>
  <c r="V402" i="20"/>
  <c r="U402" i="20"/>
  <c r="T402" i="20"/>
  <c r="S402" i="20"/>
  <c r="R402" i="20"/>
  <c r="Q402" i="20"/>
  <c r="P402" i="20"/>
  <c r="O402" i="20"/>
  <c r="N402" i="20"/>
  <c r="M402" i="20"/>
  <c r="L402" i="20"/>
  <c r="A402" i="20"/>
  <c r="AO401" i="20"/>
  <c r="AN401" i="20"/>
  <c r="AM401" i="20"/>
  <c r="AL401" i="20"/>
  <c r="AK401" i="20"/>
  <c r="AJ401" i="20"/>
  <c r="AI401" i="20"/>
  <c r="AH401" i="20"/>
  <c r="AG401" i="20"/>
  <c r="AF401" i="20"/>
  <c r="AE401" i="20"/>
  <c r="AD401" i="20"/>
  <c r="AC401" i="20"/>
  <c r="AB401" i="20"/>
  <c r="AA401" i="20"/>
  <c r="Z401" i="20"/>
  <c r="X401" i="20"/>
  <c r="W401" i="20"/>
  <c r="V401" i="20"/>
  <c r="U401" i="20"/>
  <c r="T401" i="20"/>
  <c r="S401" i="20"/>
  <c r="R401" i="20"/>
  <c r="Q401" i="20"/>
  <c r="P401" i="20"/>
  <c r="O401" i="20"/>
  <c r="N401" i="20"/>
  <c r="M401" i="20"/>
  <c r="L401" i="20"/>
  <c r="A401" i="20"/>
  <c r="AO400" i="20"/>
  <c r="AN400" i="20"/>
  <c r="AM400" i="20"/>
  <c r="AL400" i="20"/>
  <c r="AK400" i="20"/>
  <c r="AJ400" i="20"/>
  <c r="AI400" i="20"/>
  <c r="AH400" i="20"/>
  <c r="AG400" i="20"/>
  <c r="AF400" i="20"/>
  <c r="AE400" i="20"/>
  <c r="AD400" i="20"/>
  <c r="AC400" i="20"/>
  <c r="AB400" i="20"/>
  <c r="AA400" i="20"/>
  <c r="Z400" i="20"/>
  <c r="X400" i="20"/>
  <c r="W400" i="20"/>
  <c r="V400" i="20"/>
  <c r="U400" i="20"/>
  <c r="T400" i="20"/>
  <c r="S400" i="20"/>
  <c r="R400" i="20"/>
  <c r="Q400" i="20"/>
  <c r="P400" i="20"/>
  <c r="O400" i="20"/>
  <c r="N400" i="20"/>
  <c r="M400" i="20"/>
  <c r="L400" i="20"/>
  <c r="A400" i="20"/>
  <c r="AO399" i="20"/>
  <c r="AN399" i="20"/>
  <c r="AM399" i="20"/>
  <c r="AL399" i="20"/>
  <c r="AK399" i="20"/>
  <c r="AJ399" i="20"/>
  <c r="AI399" i="20"/>
  <c r="AH399" i="20"/>
  <c r="AG399" i="20"/>
  <c r="AF399" i="20"/>
  <c r="AE399" i="20"/>
  <c r="AD399" i="20"/>
  <c r="AC399" i="20"/>
  <c r="AB399" i="20"/>
  <c r="AA399" i="20"/>
  <c r="Z399" i="20"/>
  <c r="X399" i="20"/>
  <c r="W399" i="20"/>
  <c r="V399" i="20"/>
  <c r="U399" i="20"/>
  <c r="T399" i="20"/>
  <c r="S399" i="20"/>
  <c r="R399" i="20"/>
  <c r="Q399" i="20"/>
  <c r="P399" i="20"/>
  <c r="O399" i="20"/>
  <c r="N399" i="20"/>
  <c r="M399" i="20"/>
  <c r="L399" i="20"/>
  <c r="A399" i="20"/>
  <c r="AO398" i="20"/>
  <c r="AN398" i="20"/>
  <c r="AM398" i="20"/>
  <c r="AL398" i="20"/>
  <c r="AK398" i="20"/>
  <c r="AJ398" i="20"/>
  <c r="AI398" i="20"/>
  <c r="AH398" i="20"/>
  <c r="AG398" i="20"/>
  <c r="AF398" i="20"/>
  <c r="AE398" i="20"/>
  <c r="AD398" i="20"/>
  <c r="AC398" i="20"/>
  <c r="AB398" i="20"/>
  <c r="AA398" i="20"/>
  <c r="Z398" i="20"/>
  <c r="X398" i="20"/>
  <c r="W398" i="20"/>
  <c r="V398" i="20"/>
  <c r="U398" i="20"/>
  <c r="T398" i="20"/>
  <c r="S398" i="20"/>
  <c r="R398" i="20"/>
  <c r="Q398" i="20"/>
  <c r="P398" i="20"/>
  <c r="O398" i="20"/>
  <c r="N398" i="20"/>
  <c r="M398" i="20"/>
  <c r="L398" i="20"/>
  <c r="A398" i="20"/>
  <c r="AO397" i="20"/>
  <c r="AN397" i="20"/>
  <c r="AM397" i="20"/>
  <c r="AL397" i="20"/>
  <c r="AK397" i="20"/>
  <c r="AJ397" i="20"/>
  <c r="AI397" i="20"/>
  <c r="AH397" i="20"/>
  <c r="AG397" i="20"/>
  <c r="AF397" i="20"/>
  <c r="AE397" i="20"/>
  <c r="AD397" i="20"/>
  <c r="AC397" i="20"/>
  <c r="AB397" i="20"/>
  <c r="AA397" i="20"/>
  <c r="Z397" i="20"/>
  <c r="X397" i="20"/>
  <c r="W397" i="20"/>
  <c r="V397" i="20"/>
  <c r="U397" i="20"/>
  <c r="T397" i="20"/>
  <c r="S397" i="20"/>
  <c r="R397" i="20"/>
  <c r="Q397" i="20"/>
  <c r="P397" i="20"/>
  <c r="O397" i="20"/>
  <c r="N397" i="20"/>
  <c r="M397" i="20"/>
  <c r="L397" i="20"/>
  <c r="A397" i="20"/>
  <c r="AO396" i="20"/>
  <c r="AN396" i="20"/>
  <c r="AM396" i="20"/>
  <c r="AL396" i="20"/>
  <c r="AK396" i="20"/>
  <c r="AJ396" i="20"/>
  <c r="AI396" i="20"/>
  <c r="AH396" i="20"/>
  <c r="AG396" i="20"/>
  <c r="AF396" i="20"/>
  <c r="AE396" i="20"/>
  <c r="AD396" i="20"/>
  <c r="AC396" i="20"/>
  <c r="AB396" i="20"/>
  <c r="AA396" i="20"/>
  <c r="Z396" i="20"/>
  <c r="X396" i="20"/>
  <c r="W396" i="20"/>
  <c r="V396" i="20"/>
  <c r="U396" i="20"/>
  <c r="T396" i="20"/>
  <c r="S396" i="20"/>
  <c r="R396" i="20"/>
  <c r="Q396" i="20"/>
  <c r="P396" i="20"/>
  <c r="O396" i="20"/>
  <c r="N396" i="20"/>
  <c r="M396" i="20"/>
  <c r="L396" i="20"/>
  <c r="A396" i="20"/>
  <c r="AO395" i="20"/>
  <c r="AN395" i="20"/>
  <c r="AM395" i="20"/>
  <c r="AL395" i="20"/>
  <c r="AK395" i="20"/>
  <c r="AJ395" i="20"/>
  <c r="AI395" i="20"/>
  <c r="AH395" i="20"/>
  <c r="AG395" i="20"/>
  <c r="AF395" i="20"/>
  <c r="AE395" i="20"/>
  <c r="AD395" i="20"/>
  <c r="AC395" i="20"/>
  <c r="AB395" i="20"/>
  <c r="AA395" i="20"/>
  <c r="Z395" i="20"/>
  <c r="X395" i="20"/>
  <c r="W395" i="20"/>
  <c r="V395" i="20"/>
  <c r="U395" i="20"/>
  <c r="T395" i="20"/>
  <c r="S395" i="20"/>
  <c r="R395" i="20"/>
  <c r="Q395" i="20"/>
  <c r="P395" i="20"/>
  <c r="O395" i="20"/>
  <c r="N395" i="20"/>
  <c r="M395" i="20"/>
  <c r="L395" i="20"/>
  <c r="A395" i="20"/>
  <c r="AO394" i="20"/>
  <c r="AN394" i="20"/>
  <c r="AM394" i="20"/>
  <c r="AL394" i="20"/>
  <c r="AK394" i="20"/>
  <c r="AJ394" i="20"/>
  <c r="AI394" i="20"/>
  <c r="AH394" i="20"/>
  <c r="AG394" i="20"/>
  <c r="AF394" i="20"/>
  <c r="AE394" i="20"/>
  <c r="AD394" i="20"/>
  <c r="AC394" i="20"/>
  <c r="AB394" i="20"/>
  <c r="AA394" i="20"/>
  <c r="Z394" i="20"/>
  <c r="X394" i="20"/>
  <c r="W394" i="20"/>
  <c r="V394" i="20"/>
  <c r="U394" i="20"/>
  <c r="T394" i="20"/>
  <c r="S394" i="20"/>
  <c r="R394" i="20"/>
  <c r="Q394" i="20"/>
  <c r="P394" i="20"/>
  <c r="O394" i="20"/>
  <c r="N394" i="20"/>
  <c r="M394" i="20"/>
  <c r="L394" i="20"/>
  <c r="A394" i="20"/>
  <c r="AO393" i="20"/>
  <c r="AN393" i="20"/>
  <c r="AM393" i="20"/>
  <c r="AL393" i="20"/>
  <c r="AK393" i="20"/>
  <c r="AJ393" i="20"/>
  <c r="AI393" i="20"/>
  <c r="AH393" i="20"/>
  <c r="AG393" i="20"/>
  <c r="AF393" i="20"/>
  <c r="AE393" i="20"/>
  <c r="AD393" i="20"/>
  <c r="AC393" i="20"/>
  <c r="AB393" i="20"/>
  <c r="AA393" i="20"/>
  <c r="Z393" i="20"/>
  <c r="X393" i="20"/>
  <c r="W393" i="20"/>
  <c r="V393" i="20"/>
  <c r="U393" i="20"/>
  <c r="T393" i="20"/>
  <c r="S393" i="20"/>
  <c r="R393" i="20"/>
  <c r="Q393" i="20"/>
  <c r="P393" i="20"/>
  <c r="O393" i="20"/>
  <c r="N393" i="20"/>
  <c r="M393" i="20"/>
  <c r="L393" i="20"/>
  <c r="A393" i="20"/>
  <c r="AO392" i="20"/>
  <c r="AN392" i="20"/>
  <c r="AM392" i="20"/>
  <c r="AL392" i="20"/>
  <c r="AK392" i="20"/>
  <c r="AJ392" i="20"/>
  <c r="AI392" i="20"/>
  <c r="AH392" i="20"/>
  <c r="AG392" i="20"/>
  <c r="AF392" i="20"/>
  <c r="AE392" i="20"/>
  <c r="AD392" i="20"/>
  <c r="AC392" i="20"/>
  <c r="AB392" i="20"/>
  <c r="AA392" i="20"/>
  <c r="Z392" i="20"/>
  <c r="X392" i="20"/>
  <c r="W392" i="20"/>
  <c r="V392" i="20"/>
  <c r="U392" i="20"/>
  <c r="T392" i="20"/>
  <c r="S392" i="20"/>
  <c r="R392" i="20"/>
  <c r="Q392" i="20"/>
  <c r="P392" i="20"/>
  <c r="O392" i="20"/>
  <c r="N392" i="20"/>
  <c r="M392" i="20"/>
  <c r="L392" i="20"/>
  <c r="A392" i="20"/>
  <c r="AO391" i="20"/>
  <c r="AN391" i="20"/>
  <c r="AM391" i="20"/>
  <c r="AL391" i="20"/>
  <c r="AK391" i="20"/>
  <c r="AJ391" i="20"/>
  <c r="AI391" i="20"/>
  <c r="AH391" i="20"/>
  <c r="AG391" i="20"/>
  <c r="AF391" i="20"/>
  <c r="AE391" i="20"/>
  <c r="AD391" i="20"/>
  <c r="AC391" i="20"/>
  <c r="AB391" i="20"/>
  <c r="AA391" i="20"/>
  <c r="Z391" i="20"/>
  <c r="X391" i="20"/>
  <c r="W391" i="20"/>
  <c r="V391" i="20"/>
  <c r="U391" i="20"/>
  <c r="T391" i="20"/>
  <c r="S391" i="20"/>
  <c r="R391" i="20"/>
  <c r="Q391" i="20"/>
  <c r="P391" i="20"/>
  <c r="O391" i="20"/>
  <c r="N391" i="20"/>
  <c r="M391" i="20"/>
  <c r="L391" i="20"/>
  <c r="A391" i="20"/>
  <c r="AO390" i="20"/>
  <c r="AN390" i="20"/>
  <c r="AM390" i="20"/>
  <c r="AL390" i="20"/>
  <c r="AK390" i="20"/>
  <c r="AJ390" i="20"/>
  <c r="AI390" i="20"/>
  <c r="AH390" i="20"/>
  <c r="AG390" i="20"/>
  <c r="AF390" i="20"/>
  <c r="AE390" i="20"/>
  <c r="AD390" i="20"/>
  <c r="AC390" i="20"/>
  <c r="AB390" i="20"/>
  <c r="AA390" i="20"/>
  <c r="Z390" i="20"/>
  <c r="X390" i="20"/>
  <c r="W390" i="20"/>
  <c r="V390" i="20"/>
  <c r="U390" i="20"/>
  <c r="T390" i="20"/>
  <c r="S390" i="20"/>
  <c r="R390" i="20"/>
  <c r="Q390" i="20"/>
  <c r="P390" i="20"/>
  <c r="O390" i="20"/>
  <c r="N390" i="20"/>
  <c r="M390" i="20"/>
  <c r="L390" i="20"/>
  <c r="A390" i="20"/>
  <c r="AO389" i="20"/>
  <c r="AN389" i="20"/>
  <c r="AM389" i="20"/>
  <c r="AL389" i="20"/>
  <c r="AK389" i="20"/>
  <c r="AJ389" i="20"/>
  <c r="AI389" i="20"/>
  <c r="AH389" i="20"/>
  <c r="AG389" i="20"/>
  <c r="AF389" i="20"/>
  <c r="AE389" i="20"/>
  <c r="AD389" i="20"/>
  <c r="AC389" i="20"/>
  <c r="AB389" i="20"/>
  <c r="AA389" i="20"/>
  <c r="Z389" i="20"/>
  <c r="X389" i="20"/>
  <c r="W389" i="20"/>
  <c r="V389" i="20"/>
  <c r="U389" i="20"/>
  <c r="T389" i="20"/>
  <c r="S389" i="20"/>
  <c r="R389" i="20"/>
  <c r="Q389" i="20"/>
  <c r="P389" i="20"/>
  <c r="O389" i="20"/>
  <c r="N389" i="20"/>
  <c r="M389" i="20"/>
  <c r="L389" i="20"/>
  <c r="A389" i="20"/>
  <c r="AO388" i="20"/>
  <c r="AN388" i="20"/>
  <c r="AM388" i="20"/>
  <c r="AL388" i="20"/>
  <c r="AK388" i="20"/>
  <c r="AJ388" i="20"/>
  <c r="AI388" i="20"/>
  <c r="AH388" i="20"/>
  <c r="AG388" i="20"/>
  <c r="AF388" i="20"/>
  <c r="AE388" i="20"/>
  <c r="AD388" i="20"/>
  <c r="AC388" i="20"/>
  <c r="AB388" i="20"/>
  <c r="AA388" i="20"/>
  <c r="Z388" i="20"/>
  <c r="X388" i="20"/>
  <c r="W388" i="20"/>
  <c r="V388" i="20"/>
  <c r="U388" i="20"/>
  <c r="T388" i="20"/>
  <c r="S388" i="20"/>
  <c r="R388" i="20"/>
  <c r="Q388" i="20"/>
  <c r="P388" i="20"/>
  <c r="O388" i="20"/>
  <c r="N388" i="20"/>
  <c r="M388" i="20"/>
  <c r="L388" i="20"/>
  <c r="A388" i="20"/>
  <c r="AO387" i="20"/>
  <c r="AN387" i="20"/>
  <c r="AM387" i="20"/>
  <c r="AL387" i="20"/>
  <c r="AK387" i="20"/>
  <c r="AJ387" i="20"/>
  <c r="AI387" i="20"/>
  <c r="AH387" i="20"/>
  <c r="AG387" i="20"/>
  <c r="AF387" i="20"/>
  <c r="AE387" i="20"/>
  <c r="AD387" i="20"/>
  <c r="AC387" i="20"/>
  <c r="AB387" i="20"/>
  <c r="AA387" i="20"/>
  <c r="Z387" i="20"/>
  <c r="X387" i="20"/>
  <c r="W387" i="20"/>
  <c r="V387" i="20"/>
  <c r="U387" i="20"/>
  <c r="T387" i="20"/>
  <c r="S387" i="20"/>
  <c r="R387" i="20"/>
  <c r="Q387" i="20"/>
  <c r="P387" i="20"/>
  <c r="O387" i="20"/>
  <c r="N387" i="20"/>
  <c r="M387" i="20"/>
  <c r="L387" i="20"/>
  <c r="A387" i="20"/>
  <c r="AO386" i="20"/>
  <c r="AN386" i="20"/>
  <c r="AM386" i="20"/>
  <c r="AL386" i="20"/>
  <c r="AK386" i="20"/>
  <c r="AJ386" i="20"/>
  <c r="AI386" i="20"/>
  <c r="AH386" i="20"/>
  <c r="AG386" i="20"/>
  <c r="AF386" i="20"/>
  <c r="AE386" i="20"/>
  <c r="AD386" i="20"/>
  <c r="AC386" i="20"/>
  <c r="AB386" i="20"/>
  <c r="AA386" i="20"/>
  <c r="Z386" i="20"/>
  <c r="X386" i="20"/>
  <c r="W386" i="20"/>
  <c r="V386" i="20"/>
  <c r="U386" i="20"/>
  <c r="T386" i="20"/>
  <c r="S386" i="20"/>
  <c r="R386" i="20"/>
  <c r="Q386" i="20"/>
  <c r="P386" i="20"/>
  <c r="O386" i="20"/>
  <c r="N386" i="20"/>
  <c r="M386" i="20"/>
  <c r="L386" i="20"/>
  <c r="A386" i="20"/>
  <c r="AO385" i="20"/>
  <c r="AN385" i="20"/>
  <c r="AM385" i="20"/>
  <c r="AL385" i="20"/>
  <c r="AK385" i="20"/>
  <c r="AJ385" i="20"/>
  <c r="AI385" i="20"/>
  <c r="AH385" i="20"/>
  <c r="AG385" i="20"/>
  <c r="AF385" i="20"/>
  <c r="AE385" i="20"/>
  <c r="AD385" i="20"/>
  <c r="AC385" i="20"/>
  <c r="AB385" i="20"/>
  <c r="AA385" i="20"/>
  <c r="Z385" i="20"/>
  <c r="X385" i="20"/>
  <c r="W385" i="20"/>
  <c r="V385" i="20"/>
  <c r="U385" i="20"/>
  <c r="T385" i="20"/>
  <c r="S385" i="20"/>
  <c r="R385" i="20"/>
  <c r="Q385" i="20"/>
  <c r="P385" i="20"/>
  <c r="O385" i="20"/>
  <c r="N385" i="20"/>
  <c r="M385" i="20"/>
  <c r="L385" i="20"/>
  <c r="A385" i="20"/>
  <c r="AO384" i="20"/>
  <c r="AN384" i="20"/>
  <c r="AM384" i="20"/>
  <c r="AL384" i="20"/>
  <c r="AK384" i="20"/>
  <c r="AJ384" i="20"/>
  <c r="AI384" i="20"/>
  <c r="AH384" i="20"/>
  <c r="AG384" i="20"/>
  <c r="AF384" i="20"/>
  <c r="AE384" i="20"/>
  <c r="AD384" i="20"/>
  <c r="AC384" i="20"/>
  <c r="AB384" i="20"/>
  <c r="AA384" i="20"/>
  <c r="Z384" i="20"/>
  <c r="X384" i="20"/>
  <c r="W384" i="20"/>
  <c r="V384" i="20"/>
  <c r="U384" i="20"/>
  <c r="T384" i="20"/>
  <c r="S384" i="20"/>
  <c r="R384" i="20"/>
  <c r="Q384" i="20"/>
  <c r="P384" i="20"/>
  <c r="O384" i="20"/>
  <c r="N384" i="20"/>
  <c r="M384" i="20"/>
  <c r="L384" i="20"/>
  <c r="A384" i="20"/>
  <c r="AO383" i="20"/>
  <c r="AN383" i="20"/>
  <c r="AM383" i="20"/>
  <c r="AL383" i="20"/>
  <c r="AK383" i="20"/>
  <c r="AJ383" i="20"/>
  <c r="AI383" i="20"/>
  <c r="AH383" i="20"/>
  <c r="AG383" i="20"/>
  <c r="AF383" i="20"/>
  <c r="AE383" i="20"/>
  <c r="AD383" i="20"/>
  <c r="AC383" i="20"/>
  <c r="AB383" i="20"/>
  <c r="AA383" i="20"/>
  <c r="Z383" i="20"/>
  <c r="X383" i="20"/>
  <c r="W383" i="20"/>
  <c r="V383" i="20"/>
  <c r="U383" i="20"/>
  <c r="T383" i="20"/>
  <c r="S383" i="20"/>
  <c r="R383" i="20"/>
  <c r="Q383" i="20"/>
  <c r="P383" i="20"/>
  <c r="O383" i="20"/>
  <c r="N383" i="20"/>
  <c r="M383" i="20"/>
  <c r="L383" i="20"/>
  <c r="A383" i="20"/>
  <c r="AO382" i="20"/>
  <c r="AN382" i="20"/>
  <c r="AM382" i="20"/>
  <c r="AL382" i="20"/>
  <c r="AK382" i="20"/>
  <c r="AJ382" i="20"/>
  <c r="AI382" i="20"/>
  <c r="AH382" i="20"/>
  <c r="AG382" i="20"/>
  <c r="AF382" i="20"/>
  <c r="AE382" i="20"/>
  <c r="AD382" i="20"/>
  <c r="AC382" i="20"/>
  <c r="AB382" i="20"/>
  <c r="AA382" i="20"/>
  <c r="Z382" i="20"/>
  <c r="X382" i="20"/>
  <c r="W382" i="20"/>
  <c r="V382" i="20"/>
  <c r="U382" i="20"/>
  <c r="T382" i="20"/>
  <c r="S382" i="20"/>
  <c r="R382" i="20"/>
  <c r="Q382" i="20"/>
  <c r="P382" i="20"/>
  <c r="O382" i="20"/>
  <c r="N382" i="20"/>
  <c r="M382" i="20"/>
  <c r="L382" i="20"/>
  <c r="A382" i="20"/>
  <c r="AO381" i="20"/>
  <c r="AN381" i="20"/>
  <c r="AM381" i="20"/>
  <c r="AL381" i="20"/>
  <c r="AK381" i="20"/>
  <c r="AJ381" i="20"/>
  <c r="AI381" i="20"/>
  <c r="AH381" i="20"/>
  <c r="AG381" i="20"/>
  <c r="AF381" i="20"/>
  <c r="AE381" i="20"/>
  <c r="AD381" i="20"/>
  <c r="AC381" i="20"/>
  <c r="AB381" i="20"/>
  <c r="AA381" i="20"/>
  <c r="Z381" i="20"/>
  <c r="X381" i="20"/>
  <c r="W381" i="20"/>
  <c r="V381" i="20"/>
  <c r="U381" i="20"/>
  <c r="T381" i="20"/>
  <c r="S381" i="20"/>
  <c r="R381" i="20"/>
  <c r="Q381" i="20"/>
  <c r="P381" i="20"/>
  <c r="O381" i="20"/>
  <c r="N381" i="20"/>
  <c r="M381" i="20"/>
  <c r="L381" i="20"/>
  <c r="A381" i="20"/>
  <c r="AO380" i="20"/>
  <c r="AN380" i="20"/>
  <c r="AM380" i="20"/>
  <c r="AL380" i="20"/>
  <c r="AK380" i="20"/>
  <c r="AJ380" i="20"/>
  <c r="AI380" i="20"/>
  <c r="AH380" i="20"/>
  <c r="AG380" i="20"/>
  <c r="AF380" i="20"/>
  <c r="AE380" i="20"/>
  <c r="AD380" i="20"/>
  <c r="AC380" i="20"/>
  <c r="AB380" i="20"/>
  <c r="AA380" i="20"/>
  <c r="Z380" i="20"/>
  <c r="X380" i="20"/>
  <c r="W380" i="20"/>
  <c r="V380" i="20"/>
  <c r="U380" i="20"/>
  <c r="T380" i="20"/>
  <c r="S380" i="20"/>
  <c r="R380" i="20"/>
  <c r="Q380" i="20"/>
  <c r="P380" i="20"/>
  <c r="O380" i="20"/>
  <c r="N380" i="20"/>
  <c r="M380" i="20"/>
  <c r="L380" i="20"/>
  <c r="A380" i="20"/>
  <c r="AO379" i="20"/>
  <c r="AN379" i="20"/>
  <c r="AM379" i="20"/>
  <c r="AL379" i="20"/>
  <c r="AK379" i="20"/>
  <c r="AJ379" i="20"/>
  <c r="AI379" i="20"/>
  <c r="AH379" i="20"/>
  <c r="AG379" i="20"/>
  <c r="AF379" i="20"/>
  <c r="AE379" i="20"/>
  <c r="AD379" i="20"/>
  <c r="AC379" i="20"/>
  <c r="AB379" i="20"/>
  <c r="AA379" i="20"/>
  <c r="Z379" i="20"/>
  <c r="X379" i="20"/>
  <c r="W379" i="20"/>
  <c r="V379" i="20"/>
  <c r="U379" i="20"/>
  <c r="T379" i="20"/>
  <c r="S379" i="20"/>
  <c r="R379" i="20"/>
  <c r="Q379" i="20"/>
  <c r="P379" i="20"/>
  <c r="O379" i="20"/>
  <c r="N379" i="20"/>
  <c r="M379" i="20"/>
  <c r="L379" i="20"/>
  <c r="A379" i="20"/>
  <c r="AO378" i="20"/>
  <c r="AN378" i="20"/>
  <c r="AM378" i="20"/>
  <c r="AL378" i="20"/>
  <c r="AK378" i="20"/>
  <c r="AJ378" i="20"/>
  <c r="AI378" i="20"/>
  <c r="AH378" i="20"/>
  <c r="AG378" i="20"/>
  <c r="AF378" i="20"/>
  <c r="AE378" i="20"/>
  <c r="AD378" i="20"/>
  <c r="AC378" i="20"/>
  <c r="AB378" i="20"/>
  <c r="AA378" i="20"/>
  <c r="Z378" i="20"/>
  <c r="X378" i="20"/>
  <c r="W378" i="20"/>
  <c r="V378" i="20"/>
  <c r="U378" i="20"/>
  <c r="T378" i="20"/>
  <c r="S378" i="20"/>
  <c r="R378" i="20"/>
  <c r="Q378" i="20"/>
  <c r="P378" i="20"/>
  <c r="O378" i="20"/>
  <c r="N378" i="20"/>
  <c r="M378" i="20"/>
  <c r="L378" i="20"/>
  <c r="A378" i="20"/>
  <c r="AO377" i="20"/>
  <c r="AN377" i="20"/>
  <c r="AM377" i="20"/>
  <c r="AL377" i="20"/>
  <c r="AK377" i="20"/>
  <c r="AJ377" i="20"/>
  <c r="AI377" i="20"/>
  <c r="AH377" i="20"/>
  <c r="AG377" i="20"/>
  <c r="AF377" i="20"/>
  <c r="AE377" i="20"/>
  <c r="AD377" i="20"/>
  <c r="AC377" i="20"/>
  <c r="AB377" i="20"/>
  <c r="AA377" i="20"/>
  <c r="Z377" i="20"/>
  <c r="X377" i="20"/>
  <c r="W377" i="20"/>
  <c r="V377" i="20"/>
  <c r="U377" i="20"/>
  <c r="T377" i="20"/>
  <c r="S377" i="20"/>
  <c r="R377" i="20"/>
  <c r="Q377" i="20"/>
  <c r="P377" i="20"/>
  <c r="O377" i="20"/>
  <c r="N377" i="20"/>
  <c r="M377" i="20"/>
  <c r="L377" i="20"/>
  <c r="A377" i="20"/>
  <c r="AO376" i="20"/>
  <c r="AN376" i="20"/>
  <c r="AM376" i="20"/>
  <c r="AL376" i="20"/>
  <c r="AK376" i="20"/>
  <c r="AJ376" i="20"/>
  <c r="AI376" i="20"/>
  <c r="AH376" i="20"/>
  <c r="AG376" i="20"/>
  <c r="AF376" i="20"/>
  <c r="AE376" i="20"/>
  <c r="AD376" i="20"/>
  <c r="AC376" i="20"/>
  <c r="AB376" i="20"/>
  <c r="AA376" i="20"/>
  <c r="Z376" i="20"/>
  <c r="X376" i="20"/>
  <c r="W376" i="20"/>
  <c r="V376" i="20"/>
  <c r="U376" i="20"/>
  <c r="T376" i="20"/>
  <c r="S376" i="20"/>
  <c r="R376" i="20"/>
  <c r="Q376" i="20"/>
  <c r="P376" i="20"/>
  <c r="O376" i="20"/>
  <c r="N376" i="20"/>
  <c r="M376" i="20"/>
  <c r="L376" i="20"/>
  <c r="A376" i="20"/>
  <c r="AO375" i="20"/>
  <c r="AN375" i="20"/>
  <c r="AM375" i="20"/>
  <c r="AL375" i="20"/>
  <c r="AK375" i="20"/>
  <c r="AJ375" i="20"/>
  <c r="AI375" i="20"/>
  <c r="AH375" i="20"/>
  <c r="AG375" i="20"/>
  <c r="AF375" i="20"/>
  <c r="AE375" i="20"/>
  <c r="AD375" i="20"/>
  <c r="AC375" i="20"/>
  <c r="AB375" i="20"/>
  <c r="AA375" i="20"/>
  <c r="Z375" i="20"/>
  <c r="X375" i="20"/>
  <c r="W375" i="20"/>
  <c r="V375" i="20"/>
  <c r="U375" i="20"/>
  <c r="T375" i="20"/>
  <c r="S375" i="20"/>
  <c r="R375" i="20"/>
  <c r="Q375" i="20"/>
  <c r="P375" i="20"/>
  <c r="O375" i="20"/>
  <c r="N375" i="20"/>
  <c r="M375" i="20"/>
  <c r="L375" i="20"/>
  <c r="A375" i="20"/>
  <c r="AO374" i="20"/>
  <c r="AN374" i="20"/>
  <c r="AM374" i="20"/>
  <c r="AL374" i="20"/>
  <c r="AK374" i="20"/>
  <c r="AJ374" i="20"/>
  <c r="AI374" i="20"/>
  <c r="AH374" i="20"/>
  <c r="AG374" i="20"/>
  <c r="AF374" i="20"/>
  <c r="AE374" i="20"/>
  <c r="AD374" i="20"/>
  <c r="AC374" i="20"/>
  <c r="AB374" i="20"/>
  <c r="AA374" i="20"/>
  <c r="Z374" i="20"/>
  <c r="X374" i="20"/>
  <c r="W374" i="20"/>
  <c r="V374" i="20"/>
  <c r="U374" i="20"/>
  <c r="T374" i="20"/>
  <c r="S374" i="20"/>
  <c r="R374" i="20"/>
  <c r="Q374" i="20"/>
  <c r="P374" i="20"/>
  <c r="O374" i="20"/>
  <c r="N374" i="20"/>
  <c r="M374" i="20"/>
  <c r="L374" i="20"/>
  <c r="A374" i="20"/>
  <c r="AO373" i="20"/>
  <c r="AN373" i="20"/>
  <c r="AM373" i="20"/>
  <c r="AL373" i="20"/>
  <c r="AK373" i="20"/>
  <c r="AJ373" i="20"/>
  <c r="AI373" i="20"/>
  <c r="AH373" i="20"/>
  <c r="AG373" i="20"/>
  <c r="AF373" i="20"/>
  <c r="AE373" i="20"/>
  <c r="AD373" i="20"/>
  <c r="AC373" i="20"/>
  <c r="AB373" i="20"/>
  <c r="AA373" i="20"/>
  <c r="Z373" i="20"/>
  <c r="X373" i="20"/>
  <c r="W373" i="20"/>
  <c r="V373" i="20"/>
  <c r="U373" i="20"/>
  <c r="T373" i="20"/>
  <c r="S373" i="20"/>
  <c r="R373" i="20"/>
  <c r="Q373" i="20"/>
  <c r="P373" i="20"/>
  <c r="O373" i="20"/>
  <c r="N373" i="20"/>
  <c r="M373" i="20"/>
  <c r="L373" i="20"/>
  <c r="A373" i="20"/>
  <c r="AO372" i="20"/>
  <c r="AN372" i="20"/>
  <c r="AM372" i="20"/>
  <c r="AL372" i="20"/>
  <c r="AK372" i="20"/>
  <c r="AJ372" i="20"/>
  <c r="AI372" i="20"/>
  <c r="AH372" i="20"/>
  <c r="AG372" i="20"/>
  <c r="AF372" i="20"/>
  <c r="AE372" i="20"/>
  <c r="AD372" i="20"/>
  <c r="AC372" i="20"/>
  <c r="AB372" i="20"/>
  <c r="AA372" i="20"/>
  <c r="Z372" i="20"/>
  <c r="X372" i="20"/>
  <c r="W372" i="20"/>
  <c r="V372" i="20"/>
  <c r="U372" i="20"/>
  <c r="T372" i="20"/>
  <c r="S372" i="20"/>
  <c r="R372" i="20"/>
  <c r="Q372" i="20"/>
  <c r="P372" i="20"/>
  <c r="O372" i="20"/>
  <c r="N372" i="20"/>
  <c r="M372" i="20"/>
  <c r="L372" i="20"/>
  <c r="A372" i="20"/>
  <c r="AO371" i="20"/>
  <c r="AN371" i="20"/>
  <c r="AM371" i="20"/>
  <c r="AL371" i="20"/>
  <c r="AK371" i="20"/>
  <c r="AJ371" i="20"/>
  <c r="AI371" i="20"/>
  <c r="AH371" i="20"/>
  <c r="AG371" i="20"/>
  <c r="AF371" i="20"/>
  <c r="AE371" i="20"/>
  <c r="AD371" i="20"/>
  <c r="AC371" i="20"/>
  <c r="AB371" i="20"/>
  <c r="AA371" i="20"/>
  <c r="Z371" i="20"/>
  <c r="X371" i="20"/>
  <c r="W371" i="20"/>
  <c r="V371" i="20"/>
  <c r="U371" i="20"/>
  <c r="T371" i="20"/>
  <c r="S371" i="20"/>
  <c r="R371" i="20"/>
  <c r="Q371" i="20"/>
  <c r="P371" i="20"/>
  <c r="O371" i="20"/>
  <c r="N371" i="20"/>
  <c r="M371" i="20"/>
  <c r="L371" i="20"/>
  <c r="A371" i="20"/>
  <c r="AO370" i="20"/>
  <c r="AN370" i="20"/>
  <c r="AM370" i="20"/>
  <c r="AL370" i="20"/>
  <c r="AK370" i="20"/>
  <c r="AJ370" i="20"/>
  <c r="AI370" i="20"/>
  <c r="AH370" i="20"/>
  <c r="AG370" i="20"/>
  <c r="AF370" i="20"/>
  <c r="AE370" i="20"/>
  <c r="AD370" i="20"/>
  <c r="AC370" i="20"/>
  <c r="AB370" i="20"/>
  <c r="AA370" i="20"/>
  <c r="Z370" i="20"/>
  <c r="X370" i="20"/>
  <c r="W370" i="20"/>
  <c r="V370" i="20"/>
  <c r="U370" i="20"/>
  <c r="T370" i="20"/>
  <c r="S370" i="20"/>
  <c r="R370" i="20"/>
  <c r="Q370" i="20"/>
  <c r="P370" i="20"/>
  <c r="O370" i="20"/>
  <c r="N370" i="20"/>
  <c r="M370" i="20"/>
  <c r="L370" i="20"/>
  <c r="A370" i="20"/>
  <c r="AO369" i="20"/>
  <c r="AN369" i="20"/>
  <c r="AM369" i="20"/>
  <c r="AL369" i="20"/>
  <c r="AK369" i="20"/>
  <c r="AJ369" i="20"/>
  <c r="AI369" i="20"/>
  <c r="AH369" i="20"/>
  <c r="AG369" i="20"/>
  <c r="AF369" i="20"/>
  <c r="AE369" i="20"/>
  <c r="AD369" i="20"/>
  <c r="AC369" i="20"/>
  <c r="AB369" i="20"/>
  <c r="AA369" i="20"/>
  <c r="Z369" i="20"/>
  <c r="X369" i="20"/>
  <c r="W369" i="20"/>
  <c r="V369" i="20"/>
  <c r="U369" i="20"/>
  <c r="T369" i="20"/>
  <c r="S369" i="20"/>
  <c r="R369" i="20"/>
  <c r="Q369" i="20"/>
  <c r="P369" i="20"/>
  <c r="O369" i="20"/>
  <c r="N369" i="20"/>
  <c r="M369" i="20"/>
  <c r="L369" i="20"/>
  <c r="A369" i="20"/>
  <c r="AO368" i="20"/>
  <c r="AN368" i="20"/>
  <c r="AM368" i="20"/>
  <c r="AL368" i="20"/>
  <c r="AK368" i="20"/>
  <c r="AJ368" i="20"/>
  <c r="AI368" i="20"/>
  <c r="AH368" i="20"/>
  <c r="AG368" i="20"/>
  <c r="AF368" i="20"/>
  <c r="AE368" i="20"/>
  <c r="AD368" i="20"/>
  <c r="AC368" i="20"/>
  <c r="AB368" i="20"/>
  <c r="AA368" i="20"/>
  <c r="Z368" i="20"/>
  <c r="X368" i="20"/>
  <c r="W368" i="20"/>
  <c r="V368" i="20"/>
  <c r="U368" i="20"/>
  <c r="T368" i="20"/>
  <c r="S368" i="20"/>
  <c r="R368" i="20"/>
  <c r="Q368" i="20"/>
  <c r="P368" i="20"/>
  <c r="O368" i="20"/>
  <c r="N368" i="20"/>
  <c r="M368" i="20"/>
  <c r="L368" i="20"/>
  <c r="A368" i="20"/>
  <c r="AO367" i="20"/>
  <c r="AN367" i="20"/>
  <c r="AM367" i="20"/>
  <c r="AL367" i="20"/>
  <c r="AK367" i="20"/>
  <c r="AJ367" i="20"/>
  <c r="AI367" i="20"/>
  <c r="AH367" i="20"/>
  <c r="AG367" i="20"/>
  <c r="AF367" i="20"/>
  <c r="AE367" i="20"/>
  <c r="AD367" i="20"/>
  <c r="AC367" i="20"/>
  <c r="AB367" i="20"/>
  <c r="AA367" i="20"/>
  <c r="Z367" i="20"/>
  <c r="X367" i="20"/>
  <c r="W367" i="20"/>
  <c r="V367" i="20"/>
  <c r="U367" i="20"/>
  <c r="T367" i="20"/>
  <c r="S367" i="20"/>
  <c r="R367" i="20"/>
  <c r="Q367" i="20"/>
  <c r="P367" i="20"/>
  <c r="O367" i="20"/>
  <c r="N367" i="20"/>
  <c r="M367" i="20"/>
  <c r="L367" i="20"/>
  <c r="A367" i="20"/>
  <c r="AO366" i="20"/>
  <c r="AN366" i="20"/>
  <c r="AM366" i="20"/>
  <c r="AL366" i="20"/>
  <c r="AK366" i="20"/>
  <c r="AJ366" i="20"/>
  <c r="AI366" i="20"/>
  <c r="AH366" i="20"/>
  <c r="AG366" i="20"/>
  <c r="AF366" i="20"/>
  <c r="AE366" i="20"/>
  <c r="AD366" i="20"/>
  <c r="AC366" i="20"/>
  <c r="AB366" i="20"/>
  <c r="AA366" i="20"/>
  <c r="Z366" i="20"/>
  <c r="X366" i="20"/>
  <c r="W366" i="20"/>
  <c r="V366" i="20"/>
  <c r="U366" i="20"/>
  <c r="T366" i="20"/>
  <c r="S366" i="20"/>
  <c r="R366" i="20"/>
  <c r="Q366" i="20"/>
  <c r="P366" i="20"/>
  <c r="O366" i="20"/>
  <c r="N366" i="20"/>
  <c r="M366" i="20"/>
  <c r="L366" i="20"/>
  <c r="A366" i="20"/>
  <c r="AO365" i="20"/>
  <c r="AN365" i="20"/>
  <c r="AM365" i="20"/>
  <c r="AL365" i="20"/>
  <c r="AK365" i="20"/>
  <c r="AJ365" i="20"/>
  <c r="AI365" i="20"/>
  <c r="AH365" i="20"/>
  <c r="AG365" i="20"/>
  <c r="AF365" i="20"/>
  <c r="AE365" i="20"/>
  <c r="AD365" i="20"/>
  <c r="AC365" i="20"/>
  <c r="AB365" i="20"/>
  <c r="AA365" i="20"/>
  <c r="Z365" i="20"/>
  <c r="X365" i="20"/>
  <c r="W365" i="20"/>
  <c r="V365" i="20"/>
  <c r="U365" i="20"/>
  <c r="T365" i="20"/>
  <c r="S365" i="20"/>
  <c r="R365" i="20"/>
  <c r="Q365" i="20"/>
  <c r="P365" i="20"/>
  <c r="O365" i="20"/>
  <c r="N365" i="20"/>
  <c r="M365" i="20"/>
  <c r="L365" i="20"/>
  <c r="A365" i="20"/>
  <c r="AO364" i="20"/>
  <c r="AN364" i="20"/>
  <c r="AM364" i="20"/>
  <c r="AL364" i="20"/>
  <c r="AK364" i="20"/>
  <c r="AJ364" i="20"/>
  <c r="AI364" i="20"/>
  <c r="AH364" i="20"/>
  <c r="AG364" i="20"/>
  <c r="AF364" i="20"/>
  <c r="AE364" i="20"/>
  <c r="AD364" i="20"/>
  <c r="AC364" i="20"/>
  <c r="AB364" i="20"/>
  <c r="AA364" i="20"/>
  <c r="Z364" i="20"/>
  <c r="X364" i="20"/>
  <c r="W364" i="20"/>
  <c r="V364" i="20"/>
  <c r="U364" i="20"/>
  <c r="T364" i="20"/>
  <c r="S364" i="20"/>
  <c r="R364" i="20"/>
  <c r="Q364" i="20"/>
  <c r="P364" i="20"/>
  <c r="O364" i="20"/>
  <c r="N364" i="20"/>
  <c r="M364" i="20"/>
  <c r="L364" i="20"/>
  <c r="A364" i="20"/>
  <c r="AO363" i="20"/>
  <c r="AN363" i="20"/>
  <c r="AM363" i="20"/>
  <c r="AL363" i="20"/>
  <c r="AK363" i="20"/>
  <c r="AJ363" i="20"/>
  <c r="AI363" i="20"/>
  <c r="AH363" i="20"/>
  <c r="AG363" i="20"/>
  <c r="AF363" i="20"/>
  <c r="AE363" i="20"/>
  <c r="AD363" i="20"/>
  <c r="AC363" i="20"/>
  <c r="AB363" i="20"/>
  <c r="AA363" i="20"/>
  <c r="Z363" i="20"/>
  <c r="X363" i="20"/>
  <c r="W363" i="20"/>
  <c r="V363" i="20"/>
  <c r="U363" i="20"/>
  <c r="T363" i="20"/>
  <c r="S363" i="20"/>
  <c r="R363" i="20"/>
  <c r="Q363" i="20"/>
  <c r="P363" i="20"/>
  <c r="O363" i="20"/>
  <c r="N363" i="20"/>
  <c r="M363" i="20"/>
  <c r="L363" i="20"/>
  <c r="A363" i="20"/>
  <c r="AO362" i="20"/>
  <c r="AN362" i="20"/>
  <c r="AM362" i="20"/>
  <c r="AL362" i="20"/>
  <c r="AK362" i="20"/>
  <c r="AJ362" i="20"/>
  <c r="AI362" i="20"/>
  <c r="AH362" i="20"/>
  <c r="AG362" i="20"/>
  <c r="AF362" i="20"/>
  <c r="AE362" i="20"/>
  <c r="AD362" i="20"/>
  <c r="AC362" i="20"/>
  <c r="AB362" i="20"/>
  <c r="AA362" i="20"/>
  <c r="Z362" i="20"/>
  <c r="X362" i="20"/>
  <c r="W362" i="20"/>
  <c r="V362" i="20"/>
  <c r="U362" i="20"/>
  <c r="T362" i="20"/>
  <c r="S362" i="20"/>
  <c r="R362" i="20"/>
  <c r="Q362" i="20"/>
  <c r="P362" i="20"/>
  <c r="O362" i="20"/>
  <c r="N362" i="20"/>
  <c r="M362" i="20"/>
  <c r="L362" i="20"/>
  <c r="A362" i="20"/>
  <c r="AO361" i="20"/>
  <c r="AN361" i="20"/>
  <c r="AM361" i="20"/>
  <c r="AL361" i="20"/>
  <c r="AK361" i="20"/>
  <c r="AJ361" i="20"/>
  <c r="AI361" i="20"/>
  <c r="AH361" i="20"/>
  <c r="AG361" i="20"/>
  <c r="AF361" i="20"/>
  <c r="AE361" i="20"/>
  <c r="AD361" i="20"/>
  <c r="AC361" i="20"/>
  <c r="AB361" i="20"/>
  <c r="AA361" i="20"/>
  <c r="Z361" i="20"/>
  <c r="X361" i="20"/>
  <c r="W361" i="20"/>
  <c r="V361" i="20"/>
  <c r="U361" i="20"/>
  <c r="T361" i="20"/>
  <c r="S361" i="20"/>
  <c r="R361" i="20"/>
  <c r="Q361" i="20"/>
  <c r="P361" i="20"/>
  <c r="O361" i="20"/>
  <c r="N361" i="20"/>
  <c r="M361" i="20"/>
  <c r="L361" i="20"/>
  <c r="A361" i="20"/>
  <c r="AO360" i="20"/>
  <c r="AN360" i="20"/>
  <c r="AM360" i="20"/>
  <c r="AL360" i="20"/>
  <c r="AK360" i="20"/>
  <c r="AJ360" i="20"/>
  <c r="AI360" i="20"/>
  <c r="AH360" i="20"/>
  <c r="AG360" i="20"/>
  <c r="AF360" i="20"/>
  <c r="AE360" i="20"/>
  <c r="AD360" i="20"/>
  <c r="AC360" i="20"/>
  <c r="AB360" i="20"/>
  <c r="AA360" i="20"/>
  <c r="Z360" i="20"/>
  <c r="X360" i="20"/>
  <c r="W360" i="20"/>
  <c r="V360" i="20"/>
  <c r="U360" i="20"/>
  <c r="T360" i="20"/>
  <c r="S360" i="20"/>
  <c r="R360" i="20"/>
  <c r="Q360" i="20"/>
  <c r="P360" i="20"/>
  <c r="O360" i="20"/>
  <c r="N360" i="20"/>
  <c r="M360" i="20"/>
  <c r="L360" i="20"/>
  <c r="A360" i="20"/>
  <c r="AO359" i="20"/>
  <c r="AN359" i="20"/>
  <c r="AM359" i="20"/>
  <c r="AL359" i="20"/>
  <c r="AK359" i="20"/>
  <c r="AJ359" i="20"/>
  <c r="AI359" i="20"/>
  <c r="AH359" i="20"/>
  <c r="AG359" i="20"/>
  <c r="AF359" i="20"/>
  <c r="AE359" i="20"/>
  <c r="AD359" i="20"/>
  <c r="AC359" i="20"/>
  <c r="AB359" i="20"/>
  <c r="AA359" i="20"/>
  <c r="Z359" i="20"/>
  <c r="X359" i="20"/>
  <c r="W359" i="20"/>
  <c r="V359" i="20"/>
  <c r="U359" i="20"/>
  <c r="T359" i="20"/>
  <c r="S359" i="20"/>
  <c r="R359" i="20"/>
  <c r="Q359" i="20"/>
  <c r="P359" i="20"/>
  <c r="O359" i="20"/>
  <c r="N359" i="20"/>
  <c r="M359" i="20"/>
  <c r="L359" i="20"/>
  <c r="A359" i="20"/>
  <c r="AO358" i="20"/>
  <c r="AN358" i="20"/>
  <c r="AM358" i="20"/>
  <c r="AL358" i="20"/>
  <c r="AK358" i="20"/>
  <c r="AJ358" i="20"/>
  <c r="AI358" i="20"/>
  <c r="AH358" i="20"/>
  <c r="AG358" i="20"/>
  <c r="AF358" i="20"/>
  <c r="AE358" i="20"/>
  <c r="AD358" i="20"/>
  <c r="AC358" i="20"/>
  <c r="AB358" i="20"/>
  <c r="AA358" i="20"/>
  <c r="Z358" i="20"/>
  <c r="X358" i="20"/>
  <c r="W358" i="20"/>
  <c r="V358" i="20"/>
  <c r="U358" i="20"/>
  <c r="T358" i="20"/>
  <c r="S358" i="20"/>
  <c r="R358" i="20"/>
  <c r="Q358" i="20"/>
  <c r="P358" i="20"/>
  <c r="O358" i="20"/>
  <c r="N358" i="20"/>
  <c r="M358" i="20"/>
  <c r="L358" i="20"/>
  <c r="A358" i="20"/>
  <c r="AO357" i="20"/>
  <c r="AN357" i="20"/>
  <c r="AM357" i="20"/>
  <c r="AL357" i="20"/>
  <c r="AK357" i="20"/>
  <c r="AJ357" i="20"/>
  <c r="AI357" i="20"/>
  <c r="AH357" i="20"/>
  <c r="AG357" i="20"/>
  <c r="AF357" i="20"/>
  <c r="AE357" i="20"/>
  <c r="AD357" i="20"/>
  <c r="AC357" i="20"/>
  <c r="AB357" i="20"/>
  <c r="AA357" i="20"/>
  <c r="Z357" i="20"/>
  <c r="X357" i="20"/>
  <c r="W357" i="20"/>
  <c r="V357" i="20"/>
  <c r="U357" i="20"/>
  <c r="T357" i="20"/>
  <c r="S357" i="20"/>
  <c r="R357" i="20"/>
  <c r="Q357" i="20"/>
  <c r="P357" i="20"/>
  <c r="O357" i="20"/>
  <c r="N357" i="20"/>
  <c r="M357" i="20"/>
  <c r="L357" i="20"/>
  <c r="A357" i="20"/>
  <c r="AO356" i="20"/>
  <c r="AN356" i="20"/>
  <c r="AM356" i="20"/>
  <c r="AL356" i="20"/>
  <c r="AK356" i="20"/>
  <c r="AJ356" i="20"/>
  <c r="AI356" i="20"/>
  <c r="AH356" i="20"/>
  <c r="AG356" i="20"/>
  <c r="AF356" i="20"/>
  <c r="AE356" i="20"/>
  <c r="AD356" i="20"/>
  <c r="AC356" i="20"/>
  <c r="AB356" i="20"/>
  <c r="AA356" i="20"/>
  <c r="Z356" i="20"/>
  <c r="X356" i="20"/>
  <c r="W356" i="20"/>
  <c r="V356" i="20"/>
  <c r="U356" i="20"/>
  <c r="T356" i="20"/>
  <c r="S356" i="20"/>
  <c r="R356" i="20"/>
  <c r="Q356" i="20"/>
  <c r="P356" i="20"/>
  <c r="O356" i="20"/>
  <c r="N356" i="20"/>
  <c r="M356" i="20"/>
  <c r="L356" i="20"/>
  <c r="A356" i="20"/>
  <c r="AO355" i="20"/>
  <c r="AN355" i="20"/>
  <c r="AM355" i="20"/>
  <c r="AL355" i="20"/>
  <c r="AK355" i="20"/>
  <c r="AJ355" i="20"/>
  <c r="AI355" i="20"/>
  <c r="AH355" i="20"/>
  <c r="AG355" i="20"/>
  <c r="AF355" i="20"/>
  <c r="AE355" i="20"/>
  <c r="AD355" i="20"/>
  <c r="AC355" i="20"/>
  <c r="AB355" i="20"/>
  <c r="AA355" i="20"/>
  <c r="Z355" i="20"/>
  <c r="X355" i="20"/>
  <c r="W355" i="20"/>
  <c r="V355" i="20"/>
  <c r="U355" i="20"/>
  <c r="T355" i="20"/>
  <c r="S355" i="20"/>
  <c r="R355" i="20"/>
  <c r="Q355" i="20"/>
  <c r="P355" i="20"/>
  <c r="O355" i="20"/>
  <c r="N355" i="20"/>
  <c r="M355" i="20"/>
  <c r="L355" i="20"/>
  <c r="A355" i="20"/>
  <c r="AO354" i="20"/>
  <c r="AN354" i="20"/>
  <c r="AM354" i="20"/>
  <c r="AL354" i="20"/>
  <c r="AK354" i="20"/>
  <c r="AJ354" i="20"/>
  <c r="AI354" i="20"/>
  <c r="AH354" i="20"/>
  <c r="AG354" i="20"/>
  <c r="AF354" i="20"/>
  <c r="AE354" i="20"/>
  <c r="AD354" i="20"/>
  <c r="AC354" i="20"/>
  <c r="AB354" i="20"/>
  <c r="AA354" i="20"/>
  <c r="Z354" i="20"/>
  <c r="X354" i="20"/>
  <c r="W354" i="20"/>
  <c r="V354" i="20"/>
  <c r="U354" i="20"/>
  <c r="T354" i="20"/>
  <c r="S354" i="20"/>
  <c r="R354" i="20"/>
  <c r="Q354" i="20"/>
  <c r="P354" i="20"/>
  <c r="O354" i="20"/>
  <c r="N354" i="20"/>
  <c r="M354" i="20"/>
  <c r="L354" i="20"/>
  <c r="A354" i="20"/>
  <c r="AO353" i="20"/>
  <c r="AN353" i="20"/>
  <c r="AM353" i="20"/>
  <c r="AL353" i="20"/>
  <c r="AK353" i="20"/>
  <c r="AJ353" i="20"/>
  <c r="AI353" i="20"/>
  <c r="AH353" i="20"/>
  <c r="AG353" i="20"/>
  <c r="AF353" i="20"/>
  <c r="AE353" i="20"/>
  <c r="AD353" i="20"/>
  <c r="AC353" i="20"/>
  <c r="AB353" i="20"/>
  <c r="AA353" i="20"/>
  <c r="Z353" i="20"/>
  <c r="X353" i="20"/>
  <c r="W353" i="20"/>
  <c r="V353" i="20"/>
  <c r="U353" i="20"/>
  <c r="T353" i="20"/>
  <c r="S353" i="20"/>
  <c r="R353" i="20"/>
  <c r="Q353" i="20"/>
  <c r="P353" i="20"/>
  <c r="O353" i="20"/>
  <c r="N353" i="20"/>
  <c r="M353" i="20"/>
  <c r="L353" i="20"/>
  <c r="A353" i="20"/>
  <c r="AO352" i="20"/>
  <c r="AN352" i="20"/>
  <c r="AM352" i="20"/>
  <c r="AL352" i="20"/>
  <c r="AK352" i="20"/>
  <c r="AJ352" i="20"/>
  <c r="AI352" i="20"/>
  <c r="AH352" i="20"/>
  <c r="AG352" i="20"/>
  <c r="AF352" i="20"/>
  <c r="AE352" i="20"/>
  <c r="AD352" i="20"/>
  <c r="AC352" i="20"/>
  <c r="AB352" i="20"/>
  <c r="AA352" i="20"/>
  <c r="Z352" i="20"/>
  <c r="X352" i="20"/>
  <c r="W352" i="20"/>
  <c r="V352" i="20"/>
  <c r="U352" i="20"/>
  <c r="T352" i="20"/>
  <c r="S352" i="20"/>
  <c r="R352" i="20"/>
  <c r="Q352" i="20"/>
  <c r="P352" i="20"/>
  <c r="O352" i="20"/>
  <c r="N352" i="20"/>
  <c r="M352" i="20"/>
  <c r="L352" i="20"/>
  <c r="A352" i="20"/>
  <c r="AO351" i="20"/>
  <c r="AN351" i="20"/>
  <c r="AM351" i="20"/>
  <c r="AL351" i="20"/>
  <c r="AK351" i="20"/>
  <c r="AJ351" i="20"/>
  <c r="AI351" i="20"/>
  <c r="AH351" i="20"/>
  <c r="AG351" i="20"/>
  <c r="AF351" i="20"/>
  <c r="AE351" i="20"/>
  <c r="AD351" i="20"/>
  <c r="AC351" i="20"/>
  <c r="AB351" i="20"/>
  <c r="AA351" i="20"/>
  <c r="Z351" i="20"/>
  <c r="X351" i="20"/>
  <c r="W351" i="20"/>
  <c r="V351" i="20"/>
  <c r="U351" i="20"/>
  <c r="T351" i="20"/>
  <c r="S351" i="20"/>
  <c r="R351" i="20"/>
  <c r="Q351" i="20"/>
  <c r="P351" i="20"/>
  <c r="O351" i="20"/>
  <c r="N351" i="20"/>
  <c r="M351" i="20"/>
  <c r="L351" i="20"/>
  <c r="A351" i="20"/>
  <c r="AO350" i="20"/>
  <c r="AN350" i="20"/>
  <c r="AM350" i="20"/>
  <c r="AL350" i="20"/>
  <c r="AK350" i="20"/>
  <c r="AJ350" i="20"/>
  <c r="AI350" i="20"/>
  <c r="AH350" i="20"/>
  <c r="AG350" i="20"/>
  <c r="AF350" i="20"/>
  <c r="AE350" i="20"/>
  <c r="AD350" i="20"/>
  <c r="AC350" i="20"/>
  <c r="AB350" i="20"/>
  <c r="AA350" i="20"/>
  <c r="Z350" i="20"/>
  <c r="X350" i="20"/>
  <c r="W350" i="20"/>
  <c r="V350" i="20"/>
  <c r="U350" i="20"/>
  <c r="T350" i="20"/>
  <c r="S350" i="20"/>
  <c r="R350" i="20"/>
  <c r="Q350" i="20"/>
  <c r="P350" i="20"/>
  <c r="O350" i="20"/>
  <c r="N350" i="20"/>
  <c r="M350" i="20"/>
  <c r="L350" i="20"/>
  <c r="A350" i="20"/>
  <c r="AO349" i="20"/>
  <c r="AN349" i="20"/>
  <c r="AM349" i="20"/>
  <c r="AL349" i="20"/>
  <c r="AK349" i="20"/>
  <c r="AJ349" i="20"/>
  <c r="AI349" i="20"/>
  <c r="AH349" i="20"/>
  <c r="AG349" i="20"/>
  <c r="AF349" i="20"/>
  <c r="AE349" i="20"/>
  <c r="AD349" i="20"/>
  <c r="AC349" i="20"/>
  <c r="AB349" i="20"/>
  <c r="AA349" i="20"/>
  <c r="Z349" i="20"/>
  <c r="X349" i="20"/>
  <c r="W349" i="20"/>
  <c r="V349" i="20"/>
  <c r="U349" i="20"/>
  <c r="T349" i="20"/>
  <c r="S349" i="20"/>
  <c r="R349" i="20"/>
  <c r="Q349" i="20"/>
  <c r="P349" i="20"/>
  <c r="O349" i="20"/>
  <c r="N349" i="20"/>
  <c r="M349" i="20"/>
  <c r="L349" i="20"/>
  <c r="A349" i="20"/>
  <c r="AO348" i="20"/>
  <c r="AN348" i="20"/>
  <c r="AM348" i="20"/>
  <c r="AL348" i="20"/>
  <c r="AK348" i="20"/>
  <c r="AJ348" i="20"/>
  <c r="AI348" i="20"/>
  <c r="AH348" i="20"/>
  <c r="AG348" i="20"/>
  <c r="AF348" i="20"/>
  <c r="AE348" i="20"/>
  <c r="AD348" i="20"/>
  <c r="AC348" i="20"/>
  <c r="AB348" i="20"/>
  <c r="AA348" i="20"/>
  <c r="Z348" i="20"/>
  <c r="X348" i="20"/>
  <c r="W348" i="20"/>
  <c r="V348" i="20"/>
  <c r="U348" i="20"/>
  <c r="T348" i="20"/>
  <c r="S348" i="20"/>
  <c r="R348" i="20"/>
  <c r="Q348" i="20"/>
  <c r="P348" i="20"/>
  <c r="O348" i="20"/>
  <c r="N348" i="20"/>
  <c r="M348" i="20"/>
  <c r="L348" i="20"/>
  <c r="A348" i="20"/>
  <c r="AO347" i="20"/>
  <c r="AN347" i="20"/>
  <c r="AM347" i="20"/>
  <c r="AL347" i="20"/>
  <c r="AK347" i="20"/>
  <c r="AJ347" i="20"/>
  <c r="AI347" i="20"/>
  <c r="AH347" i="20"/>
  <c r="AG347" i="20"/>
  <c r="AF347" i="20"/>
  <c r="AE347" i="20"/>
  <c r="AD347" i="20"/>
  <c r="AC347" i="20"/>
  <c r="AB347" i="20"/>
  <c r="AA347" i="20"/>
  <c r="Z347" i="20"/>
  <c r="X347" i="20"/>
  <c r="W347" i="20"/>
  <c r="V347" i="20"/>
  <c r="U347" i="20"/>
  <c r="T347" i="20"/>
  <c r="S347" i="20"/>
  <c r="R347" i="20"/>
  <c r="Q347" i="20"/>
  <c r="P347" i="20"/>
  <c r="O347" i="20"/>
  <c r="N347" i="20"/>
  <c r="M347" i="20"/>
  <c r="L347" i="20"/>
  <c r="A347" i="20"/>
  <c r="AO346" i="20"/>
  <c r="AN346" i="20"/>
  <c r="AM346" i="20"/>
  <c r="AL346" i="20"/>
  <c r="AK346" i="20"/>
  <c r="AJ346" i="20"/>
  <c r="AI346" i="20"/>
  <c r="AH346" i="20"/>
  <c r="AG346" i="20"/>
  <c r="AF346" i="20"/>
  <c r="AE346" i="20"/>
  <c r="AD346" i="20"/>
  <c r="AC346" i="20"/>
  <c r="AB346" i="20"/>
  <c r="AA346" i="20"/>
  <c r="Z346" i="20"/>
  <c r="X346" i="20"/>
  <c r="W346" i="20"/>
  <c r="V346" i="20"/>
  <c r="U346" i="20"/>
  <c r="T346" i="20"/>
  <c r="S346" i="20"/>
  <c r="R346" i="20"/>
  <c r="Q346" i="20"/>
  <c r="P346" i="20"/>
  <c r="O346" i="20"/>
  <c r="N346" i="20"/>
  <c r="M346" i="20"/>
  <c r="L346" i="20"/>
  <c r="A346" i="20"/>
  <c r="AO345" i="20"/>
  <c r="AN345" i="20"/>
  <c r="AM345" i="20"/>
  <c r="AL345" i="20"/>
  <c r="AK345" i="20"/>
  <c r="AJ345" i="20"/>
  <c r="AI345" i="20"/>
  <c r="AH345" i="20"/>
  <c r="AG345" i="20"/>
  <c r="AF345" i="20"/>
  <c r="AE345" i="20"/>
  <c r="AD345" i="20"/>
  <c r="AC345" i="20"/>
  <c r="AB345" i="20"/>
  <c r="AA345" i="20"/>
  <c r="Z345" i="20"/>
  <c r="X345" i="20"/>
  <c r="W345" i="20"/>
  <c r="V345" i="20"/>
  <c r="U345" i="20"/>
  <c r="T345" i="20"/>
  <c r="S345" i="20"/>
  <c r="R345" i="20"/>
  <c r="Q345" i="20"/>
  <c r="P345" i="20"/>
  <c r="O345" i="20"/>
  <c r="N345" i="20"/>
  <c r="M345" i="20"/>
  <c r="L345" i="20"/>
  <c r="A345" i="20"/>
  <c r="AO344" i="20"/>
  <c r="AN344" i="20"/>
  <c r="AM344" i="20"/>
  <c r="AL344" i="20"/>
  <c r="AK344" i="20"/>
  <c r="AJ344" i="20"/>
  <c r="AI344" i="20"/>
  <c r="AH344" i="20"/>
  <c r="AG344" i="20"/>
  <c r="AF344" i="20"/>
  <c r="AE344" i="20"/>
  <c r="AD344" i="20"/>
  <c r="AC344" i="20"/>
  <c r="AB344" i="20"/>
  <c r="AA344" i="20"/>
  <c r="Z344" i="20"/>
  <c r="X344" i="20"/>
  <c r="W344" i="20"/>
  <c r="V344" i="20"/>
  <c r="U344" i="20"/>
  <c r="T344" i="20"/>
  <c r="S344" i="20"/>
  <c r="R344" i="20"/>
  <c r="Q344" i="20"/>
  <c r="P344" i="20"/>
  <c r="O344" i="20"/>
  <c r="N344" i="20"/>
  <c r="M344" i="20"/>
  <c r="L344" i="20"/>
  <c r="A344" i="20"/>
  <c r="AO343" i="20"/>
  <c r="AN343" i="20"/>
  <c r="AM343" i="20"/>
  <c r="AL343" i="20"/>
  <c r="AK343" i="20"/>
  <c r="AJ343" i="20"/>
  <c r="AI343" i="20"/>
  <c r="AH343" i="20"/>
  <c r="AG343" i="20"/>
  <c r="AF343" i="20"/>
  <c r="AE343" i="20"/>
  <c r="AD343" i="20"/>
  <c r="AC343" i="20"/>
  <c r="AB343" i="20"/>
  <c r="AA343" i="20"/>
  <c r="Z343" i="20"/>
  <c r="X343" i="20"/>
  <c r="W343" i="20"/>
  <c r="V343" i="20"/>
  <c r="U343" i="20"/>
  <c r="T343" i="20"/>
  <c r="S343" i="20"/>
  <c r="R343" i="20"/>
  <c r="Q343" i="20"/>
  <c r="P343" i="20"/>
  <c r="O343" i="20"/>
  <c r="N343" i="20"/>
  <c r="M343" i="20"/>
  <c r="L343" i="20"/>
  <c r="A343" i="20"/>
  <c r="AO342" i="20"/>
  <c r="AN342" i="20"/>
  <c r="AM342" i="20"/>
  <c r="AL342" i="20"/>
  <c r="AK342" i="20"/>
  <c r="AJ342" i="20"/>
  <c r="AI342" i="20"/>
  <c r="AH342" i="20"/>
  <c r="AG342" i="20"/>
  <c r="AF342" i="20"/>
  <c r="AE342" i="20"/>
  <c r="AD342" i="20"/>
  <c r="AC342" i="20"/>
  <c r="AB342" i="20"/>
  <c r="AA342" i="20"/>
  <c r="Z342" i="20"/>
  <c r="X342" i="20"/>
  <c r="W342" i="20"/>
  <c r="V342" i="20"/>
  <c r="U342" i="20"/>
  <c r="T342" i="20"/>
  <c r="S342" i="20"/>
  <c r="R342" i="20"/>
  <c r="Q342" i="20"/>
  <c r="P342" i="20"/>
  <c r="O342" i="20"/>
  <c r="N342" i="20"/>
  <c r="M342" i="20"/>
  <c r="L342" i="20"/>
  <c r="A342" i="20"/>
  <c r="AO341" i="20"/>
  <c r="AN341" i="20"/>
  <c r="AM341" i="20"/>
  <c r="AL341" i="20"/>
  <c r="AK341" i="20"/>
  <c r="AJ341" i="20"/>
  <c r="AI341" i="20"/>
  <c r="AH341" i="20"/>
  <c r="AG341" i="20"/>
  <c r="AF341" i="20"/>
  <c r="AE341" i="20"/>
  <c r="AD341" i="20"/>
  <c r="AC341" i="20"/>
  <c r="AB341" i="20"/>
  <c r="AA341" i="20"/>
  <c r="Z341" i="20"/>
  <c r="X341" i="20"/>
  <c r="W341" i="20"/>
  <c r="V341" i="20"/>
  <c r="U341" i="20"/>
  <c r="T341" i="20"/>
  <c r="S341" i="20"/>
  <c r="R341" i="20"/>
  <c r="Q341" i="20"/>
  <c r="P341" i="20"/>
  <c r="O341" i="20"/>
  <c r="N341" i="20"/>
  <c r="M341" i="20"/>
  <c r="L341" i="20"/>
  <c r="A341" i="20"/>
  <c r="AO340" i="20"/>
  <c r="AN340" i="20"/>
  <c r="AM340" i="20"/>
  <c r="AL340" i="20"/>
  <c r="AK340" i="20"/>
  <c r="AJ340" i="20"/>
  <c r="AI340" i="20"/>
  <c r="AH340" i="20"/>
  <c r="AG340" i="20"/>
  <c r="AF340" i="20"/>
  <c r="AE340" i="20"/>
  <c r="AD340" i="20"/>
  <c r="AC340" i="20"/>
  <c r="AB340" i="20"/>
  <c r="AA340" i="20"/>
  <c r="Z340" i="20"/>
  <c r="X340" i="20"/>
  <c r="W340" i="20"/>
  <c r="V340" i="20"/>
  <c r="U340" i="20"/>
  <c r="T340" i="20"/>
  <c r="S340" i="20"/>
  <c r="R340" i="20"/>
  <c r="Q340" i="20"/>
  <c r="P340" i="20"/>
  <c r="O340" i="20"/>
  <c r="N340" i="20"/>
  <c r="M340" i="20"/>
  <c r="L340" i="20"/>
  <c r="A340" i="20"/>
  <c r="AO339" i="20"/>
  <c r="AN339" i="20"/>
  <c r="AM339" i="20"/>
  <c r="AL339" i="20"/>
  <c r="AK339" i="20"/>
  <c r="AJ339" i="20"/>
  <c r="AI339" i="20"/>
  <c r="AH339" i="20"/>
  <c r="AG339" i="20"/>
  <c r="AF339" i="20"/>
  <c r="AE339" i="20"/>
  <c r="AD339" i="20"/>
  <c r="AC339" i="20"/>
  <c r="AB339" i="20"/>
  <c r="AA339" i="20"/>
  <c r="Z339" i="20"/>
  <c r="X339" i="20"/>
  <c r="W339" i="20"/>
  <c r="V339" i="20"/>
  <c r="U339" i="20"/>
  <c r="T339" i="20"/>
  <c r="S339" i="20"/>
  <c r="R339" i="20"/>
  <c r="Q339" i="20"/>
  <c r="P339" i="20"/>
  <c r="O339" i="20"/>
  <c r="N339" i="20"/>
  <c r="M339" i="20"/>
  <c r="L339" i="20"/>
  <c r="A339" i="20"/>
  <c r="AO338" i="20"/>
  <c r="AN338" i="20"/>
  <c r="AM338" i="20"/>
  <c r="AL338" i="20"/>
  <c r="AK338" i="20"/>
  <c r="AJ338" i="20"/>
  <c r="AI338" i="20"/>
  <c r="AH338" i="20"/>
  <c r="AG338" i="20"/>
  <c r="AF338" i="20"/>
  <c r="AE338" i="20"/>
  <c r="AD338" i="20"/>
  <c r="AC338" i="20"/>
  <c r="AB338" i="20"/>
  <c r="AA338" i="20"/>
  <c r="Z338" i="20"/>
  <c r="X338" i="20"/>
  <c r="W338" i="20"/>
  <c r="V338" i="20"/>
  <c r="U338" i="20"/>
  <c r="T338" i="20"/>
  <c r="S338" i="20"/>
  <c r="R338" i="20"/>
  <c r="Q338" i="20"/>
  <c r="P338" i="20"/>
  <c r="O338" i="20"/>
  <c r="N338" i="20"/>
  <c r="M338" i="20"/>
  <c r="L338" i="20"/>
  <c r="A338" i="20"/>
  <c r="AO337" i="20"/>
  <c r="AN337" i="20"/>
  <c r="AM337" i="20"/>
  <c r="AL337" i="20"/>
  <c r="AK337" i="20"/>
  <c r="AJ337" i="20"/>
  <c r="AI337" i="20"/>
  <c r="AH337" i="20"/>
  <c r="AG337" i="20"/>
  <c r="AF337" i="20"/>
  <c r="AE337" i="20"/>
  <c r="AD337" i="20"/>
  <c r="AC337" i="20"/>
  <c r="AB337" i="20"/>
  <c r="AA337" i="20"/>
  <c r="Z337" i="20"/>
  <c r="X337" i="20"/>
  <c r="W337" i="20"/>
  <c r="V337" i="20"/>
  <c r="U337" i="20"/>
  <c r="T337" i="20"/>
  <c r="S337" i="20"/>
  <c r="R337" i="20"/>
  <c r="Q337" i="20"/>
  <c r="P337" i="20"/>
  <c r="O337" i="20"/>
  <c r="N337" i="20"/>
  <c r="M337" i="20"/>
  <c r="L337" i="20"/>
  <c r="A337" i="20"/>
  <c r="AO336" i="20"/>
  <c r="AN336" i="20"/>
  <c r="AM336" i="20"/>
  <c r="AL336" i="20"/>
  <c r="AK336" i="20"/>
  <c r="AJ336" i="20"/>
  <c r="AI336" i="20"/>
  <c r="AH336" i="20"/>
  <c r="AG336" i="20"/>
  <c r="AF336" i="20"/>
  <c r="AE336" i="20"/>
  <c r="AD336" i="20"/>
  <c r="AC336" i="20"/>
  <c r="AB336" i="20"/>
  <c r="AA336" i="20"/>
  <c r="Z336" i="20"/>
  <c r="X336" i="20"/>
  <c r="W336" i="20"/>
  <c r="V336" i="20"/>
  <c r="U336" i="20"/>
  <c r="T336" i="20"/>
  <c r="S336" i="20"/>
  <c r="R336" i="20"/>
  <c r="Q336" i="20"/>
  <c r="P336" i="20"/>
  <c r="O336" i="20"/>
  <c r="N336" i="20"/>
  <c r="M336" i="20"/>
  <c r="L336" i="20"/>
  <c r="A336" i="20"/>
  <c r="AO335" i="20"/>
  <c r="AN335" i="20"/>
  <c r="AM335" i="20"/>
  <c r="AL335" i="20"/>
  <c r="AK335" i="20"/>
  <c r="AJ335" i="20"/>
  <c r="AI335" i="20"/>
  <c r="AH335" i="20"/>
  <c r="AG335" i="20"/>
  <c r="AF335" i="20"/>
  <c r="AE335" i="20"/>
  <c r="AD335" i="20"/>
  <c r="AC335" i="20"/>
  <c r="AB335" i="20"/>
  <c r="AA335" i="20"/>
  <c r="Z335" i="20"/>
  <c r="X335" i="20"/>
  <c r="W335" i="20"/>
  <c r="V335" i="20"/>
  <c r="U335" i="20"/>
  <c r="T335" i="20"/>
  <c r="S335" i="20"/>
  <c r="R335" i="20"/>
  <c r="Q335" i="20"/>
  <c r="P335" i="20"/>
  <c r="O335" i="20"/>
  <c r="N335" i="20"/>
  <c r="M335" i="20"/>
  <c r="L335" i="20"/>
  <c r="A335" i="20"/>
  <c r="AO334" i="20"/>
  <c r="AN334" i="20"/>
  <c r="AM334" i="20"/>
  <c r="AL334" i="20"/>
  <c r="AK334" i="20"/>
  <c r="AJ334" i="20"/>
  <c r="AI334" i="20"/>
  <c r="AH334" i="20"/>
  <c r="AG334" i="20"/>
  <c r="AF334" i="20"/>
  <c r="AE334" i="20"/>
  <c r="AD334" i="20"/>
  <c r="AC334" i="20"/>
  <c r="AB334" i="20"/>
  <c r="AA334" i="20"/>
  <c r="Z334" i="20"/>
  <c r="X334" i="20"/>
  <c r="W334" i="20"/>
  <c r="V334" i="20"/>
  <c r="U334" i="20"/>
  <c r="T334" i="20"/>
  <c r="S334" i="20"/>
  <c r="R334" i="20"/>
  <c r="Q334" i="20"/>
  <c r="P334" i="20"/>
  <c r="O334" i="20"/>
  <c r="N334" i="20"/>
  <c r="M334" i="20"/>
  <c r="L334" i="20"/>
  <c r="A334" i="20"/>
  <c r="AO333" i="20"/>
  <c r="AN333" i="20"/>
  <c r="AM333" i="20"/>
  <c r="AL333" i="20"/>
  <c r="AK333" i="20"/>
  <c r="AJ333" i="20"/>
  <c r="AI333" i="20"/>
  <c r="AH333" i="20"/>
  <c r="AG333" i="20"/>
  <c r="AF333" i="20"/>
  <c r="AE333" i="20"/>
  <c r="AD333" i="20"/>
  <c r="AC333" i="20"/>
  <c r="AB333" i="20"/>
  <c r="AA333" i="20"/>
  <c r="Z333" i="20"/>
  <c r="X333" i="20"/>
  <c r="W333" i="20"/>
  <c r="V333" i="20"/>
  <c r="U333" i="20"/>
  <c r="T333" i="20"/>
  <c r="S333" i="20"/>
  <c r="R333" i="20"/>
  <c r="Q333" i="20"/>
  <c r="P333" i="20"/>
  <c r="O333" i="20"/>
  <c r="N333" i="20"/>
  <c r="M333" i="20"/>
  <c r="L333" i="20"/>
  <c r="A333" i="20"/>
  <c r="AO332" i="20"/>
  <c r="AN332" i="20"/>
  <c r="AM332" i="20"/>
  <c r="AL332" i="20"/>
  <c r="AK332" i="20"/>
  <c r="AJ332" i="20"/>
  <c r="AI332" i="20"/>
  <c r="AH332" i="20"/>
  <c r="AG332" i="20"/>
  <c r="AF332" i="20"/>
  <c r="AE332" i="20"/>
  <c r="AD332" i="20"/>
  <c r="AC332" i="20"/>
  <c r="AB332" i="20"/>
  <c r="AA332" i="20"/>
  <c r="Z332" i="20"/>
  <c r="X332" i="20"/>
  <c r="W332" i="20"/>
  <c r="V332" i="20"/>
  <c r="U332" i="20"/>
  <c r="T332" i="20"/>
  <c r="S332" i="20"/>
  <c r="R332" i="20"/>
  <c r="Q332" i="20"/>
  <c r="P332" i="20"/>
  <c r="O332" i="20"/>
  <c r="N332" i="20"/>
  <c r="M332" i="20"/>
  <c r="L332" i="20"/>
  <c r="A332" i="20"/>
  <c r="AO331" i="20"/>
  <c r="AN331" i="20"/>
  <c r="AM331" i="20"/>
  <c r="AL331" i="20"/>
  <c r="AK331" i="20"/>
  <c r="AJ331" i="20"/>
  <c r="AI331" i="20"/>
  <c r="AH331" i="20"/>
  <c r="AG331" i="20"/>
  <c r="AF331" i="20"/>
  <c r="AE331" i="20"/>
  <c r="AD331" i="20"/>
  <c r="AC331" i="20"/>
  <c r="AB331" i="20"/>
  <c r="AA331" i="20"/>
  <c r="Z331" i="20"/>
  <c r="X331" i="20"/>
  <c r="W331" i="20"/>
  <c r="V331" i="20"/>
  <c r="U331" i="20"/>
  <c r="T331" i="20"/>
  <c r="S331" i="20"/>
  <c r="R331" i="20"/>
  <c r="Q331" i="20"/>
  <c r="P331" i="20"/>
  <c r="O331" i="20"/>
  <c r="N331" i="20"/>
  <c r="M331" i="20"/>
  <c r="L331" i="20"/>
  <c r="A331" i="20"/>
  <c r="AO330" i="20"/>
  <c r="AN330" i="20"/>
  <c r="AM330" i="20"/>
  <c r="AL330" i="20"/>
  <c r="AK330" i="20"/>
  <c r="AJ330" i="20"/>
  <c r="AI330" i="20"/>
  <c r="AH330" i="20"/>
  <c r="AG330" i="20"/>
  <c r="AF330" i="20"/>
  <c r="AE330" i="20"/>
  <c r="AD330" i="20"/>
  <c r="AC330" i="20"/>
  <c r="AB330" i="20"/>
  <c r="AA330" i="20"/>
  <c r="Z330" i="20"/>
  <c r="X330" i="20"/>
  <c r="W330" i="20"/>
  <c r="V330" i="20"/>
  <c r="U330" i="20"/>
  <c r="T330" i="20"/>
  <c r="S330" i="20"/>
  <c r="R330" i="20"/>
  <c r="Q330" i="20"/>
  <c r="P330" i="20"/>
  <c r="O330" i="20"/>
  <c r="N330" i="20"/>
  <c r="M330" i="20"/>
  <c r="L330" i="20"/>
  <c r="A330" i="20"/>
  <c r="AO329" i="20"/>
  <c r="AN329" i="20"/>
  <c r="AM329" i="20"/>
  <c r="AL329" i="20"/>
  <c r="AK329" i="20"/>
  <c r="AJ329" i="20"/>
  <c r="AI329" i="20"/>
  <c r="AH329" i="20"/>
  <c r="AG329" i="20"/>
  <c r="AF329" i="20"/>
  <c r="AE329" i="20"/>
  <c r="AD329" i="20"/>
  <c r="AC329" i="20"/>
  <c r="AB329" i="20"/>
  <c r="AA329" i="20"/>
  <c r="Z329" i="20"/>
  <c r="X329" i="20"/>
  <c r="W329" i="20"/>
  <c r="V329" i="20"/>
  <c r="U329" i="20"/>
  <c r="T329" i="20"/>
  <c r="S329" i="20"/>
  <c r="R329" i="20"/>
  <c r="Q329" i="20"/>
  <c r="P329" i="20"/>
  <c r="O329" i="20"/>
  <c r="N329" i="20"/>
  <c r="M329" i="20"/>
  <c r="L329" i="20"/>
  <c r="A329" i="20"/>
  <c r="AO328" i="20"/>
  <c r="AN328" i="20"/>
  <c r="AM328" i="20"/>
  <c r="AL328" i="20"/>
  <c r="AK328" i="20"/>
  <c r="AJ328" i="20"/>
  <c r="AI328" i="20"/>
  <c r="AH328" i="20"/>
  <c r="AG328" i="20"/>
  <c r="AF328" i="20"/>
  <c r="AE328" i="20"/>
  <c r="AD328" i="20"/>
  <c r="AC328" i="20"/>
  <c r="AB328" i="20"/>
  <c r="AA328" i="20"/>
  <c r="Z328" i="20"/>
  <c r="X328" i="20"/>
  <c r="W328" i="20"/>
  <c r="V328" i="20"/>
  <c r="U328" i="20"/>
  <c r="T328" i="20"/>
  <c r="S328" i="20"/>
  <c r="R328" i="20"/>
  <c r="Q328" i="20"/>
  <c r="P328" i="20"/>
  <c r="O328" i="20"/>
  <c r="N328" i="20"/>
  <c r="M328" i="20"/>
  <c r="L328" i="20"/>
  <c r="A328" i="20"/>
  <c r="AO327" i="20"/>
  <c r="AN327" i="20"/>
  <c r="AM327" i="20"/>
  <c r="AL327" i="20"/>
  <c r="AK327" i="20"/>
  <c r="AJ327" i="20"/>
  <c r="AI327" i="20"/>
  <c r="AH327" i="20"/>
  <c r="AG327" i="20"/>
  <c r="AF327" i="20"/>
  <c r="AE327" i="20"/>
  <c r="AD327" i="20"/>
  <c r="AC327" i="20"/>
  <c r="AB327" i="20"/>
  <c r="AA327" i="20"/>
  <c r="Z327" i="20"/>
  <c r="X327" i="20"/>
  <c r="W327" i="20"/>
  <c r="V327" i="20"/>
  <c r="U327" i="20"/>
  <c r="T327" i="20"/>
  <c r="S327" i="20"/>
  <c r="R327" i="20"/>
  <c r="Q327" i="20"/>
  <c r="P327" i="20"/>
  <c r="O327" i="20"/>
  <c r="N327" i="20"/>
  <c r="M327" i="20"/>
  <c r="L327" i="20"/>
  <c r="A327" i="20"/>
  <c r="AO326" i="20"/>
  <c r="AN326" i="20"/>
  <c r="AM326" i="20"/>
  <c r="AL326" i="20"/>
  <c r="AK326" i="20"/>
  <c r="AJ326" i="20"/>
  <c r="AI326" i="20"/>
  <c r="AH326" i="20"/>
  <c r="AG326" i="20"/>
  <c r="AF326" i="20"/>
  <c r="AE326" i="20"/>
  <c r="AD326" i="20"/>
  <c r="AC326" i="20"/>
  <c r="AB326" i="20"/>
  <c r="AA326" i="20"/>
  <c r="Z326" i="20"/>
  <c r="X326" i="20"/>
  <c r="W326" i="20"/>
  <c r="V326" i="20"/>
  <c r="U326" i="20"/>
  <c r="T326" i="20"/>
  <c r="S326" i="20"/>
  <c r="R326" i="20"/>
  <c r="Q326" i="20"/>
  <c r="P326" i="20"/>
  <c r="O326" i="20"/>
  <c r="N326" i="20"/>
  <c r="M326" i="20"/>
  <c r="L326" i="20"/>
  <c r="A326" i="20"/>
  <c r="AO325" i="20"/>
  <c r="AN325" i="20"/>
  <c r="AM325" i="20"/>
  <c r="AL325" i="20"/>
  <c r="AK325" i="20"/>
  <c r="AJ325" i="20"/>
  <c r="AI325" i="20"/>
  <c r="AH325" i="20"/>
  <c r="AG325" i="20"/>
  <c r="AF325" i="20"/>
  <c r="AE325" i="20"/>
  <c r="AD325" i="20"/>
  <c r="AC325" i="20"/>
  <c r="AB325" i="20"/>
  <c r="AA325" i="20"/>
  <c r="Z325" i="20"/>
  <c r="X325" i="20"/>
  <c r="W325" i="20"/>
  <c r="V325" i="20"/>
  <c r="U325" i="20"/>
  <c r="T325" i="20"/>
  <c r="S325" i="20"/>
  <c r="R325" i="20"/>
  <c r="Q325" i="20"/>
  <c r="P325" i="20"/>
  <c r="O325" i="20"/>
  <c r="N325" i="20"/>
  <c r="M325" i="20"/>
  <c r="L325" i="20"/>
  <c r="A325" i="20"/>
  <c r="AO324" i="20"/>
  <c r="AN324" i="20"/>
  <c r="AM324" i="20"/>
  <c r="AL324" i="20"/>
  <c r="AK324" i="20"/>
  <c r="AJ324" i="20"/>
  <c r="AI324" i="20"/>
  <c r="AH324" i="20"/>
  <c r="AG324" i="20"/>
  <c r="AF324" i="20"/>
  <c r="AE324" i="20"/>
  <c r="AD324" i="20"/>
  <c r="AC324" i="20"/>
  <c r="AB324" i="20"/>
  <c r="AA324" i="20"/>
  <c r="Z324" i="20"/>
  <c r="X324" i="20"/>
  <c r="W324" i="20"/>
  <c r="V324" i="20"/>
  <c r="U324" i="20"/>
  <c r="T324" i="20"/>
  <c r="S324" i="20"/>
  <c r="R324" i="20"/>
  <c r="Q324" i="20"/>
  <c r="P324" i="20"/>
  <c r="O324" i="20"/>
  <c r="N324" i="20"/>
  <c r="M324" i="20"/>
  <c r="L324" i="20"/>
  <c r="A324" i="20"/>
  <c r="AO323" i="20"/>
  <c r="AN323" i="20"/>
  <c r="AM323" i="20"/>
  <c r="AL323" i="20"/>
  <c r="AK323" i="20"/>
  <c r="AJ323" i="20"/>
  <c r="AI323" i="20"/>
  <c r="AH323" i="20"/>
  <c r="AG323" i="20"/>
  <c r="AF323" i="20"/>
  <c r="AE323" i="20"/>
  <c r="AD323" i="20"/>
  <c r="AC323" i="20"/>
  <c r="AB323" i="20"/>
  <c r="AA323" i="20"/>
  <c r="Z323" i="20"/>
  <c r="X323" i="20"/>
  <c r="W323" i="20"/>
  <c r="V323" i="20"/>
  <c r="U323" i="20"/>
  <c r="T323" i="20"/>
  <c r="S323" i="20"/>
  <c r="R323" i="20"/>
  <c r="Q323" i="20"/>
  <c r="P323" i="20"/>
  <c r="O323" i="20"/>
  <c r="N323" i="20"/>
  <c r="M323" i="20"/>
  <c r="L323" i="20"/>
  <c r="A323" i="20"/>
  <c r="AO322" i="20"/>
  <c r="AN322" i="20"/>
  <c r="AM322" i="20"/>
  <c r="AL322" i="20"/>
  <c r="AK322" i="20"/>
  <c r="AJ322" i="20"/>
  <c r="AI322" i="20"/>
  <c r="AH322" i="20"/>
  <c r="AG322" i="20"/>
  <c r="AF322" i="20"/>
  <c r="AE322" i="20"/>
  <c r="AD322" i="20"/>
  <c r="AC322" i="20"/>
  <c r="AB322" i="20"/>
  <c r="AA322" i="20"/>
  <c r="Z322" i="20"/>
  <c r="X322" i="20"/>
  <c r="W322" i="20"/>
  <c r="V322" i="20"/>
  <c r="U322" i="20"/>
  <c r="T322" i="20"/>
  <c r="S322" i="20"/>
  <c r="R322" i="20"/>
  <c r="Q322" i="20"/>
  <c r="P322" i="20"/>
  <c r="O322" i="20"/>
  <c r="N322" i="20"/>
  <c r="M322" i="20"/>
  <c r="L322" i="20"/>
  <c r="A322" i="20"/>
  <c r="AO321" i="20"/>
  <c r="AN321" i="20"/>
  <c r="AM321" i="20"/>
  <c r="AL321" i="20"/>
  <c r="AK321" i="20"/>
  <c r="AJ321" i="20"/>
  <c r="AI321" i="20"/>
  <c r="AH321" i="20"/>
  <c r="AG321" i="20"/>
  <c r="AF321" i="20"/>
  <c r="AE321" i="20"/>
  <c r="AD321" i="20"/>
  <c r="AC321" i="20"/>
  <c r="AB321" i="20"/>
  <c r="AA321" i="20"/>
  <c r="Z321" i="20"/>
  <c r="X321" i="20"/>
  <c r="W321" i="20"/>
  <c r="V321" i="20"/>
  <c r="U321" i="20"/>
  <c r="T321" i="20"/>
  <c r="S321" i="20"/>
  <c r="R321" i="20"/>
  <c r="Q321" i="20"/>
  <c r="P321" i="20"/>
  <c r="O321" i="20"/>
  <c r="N321" i="20"/>
  <c r="M321" i="20"/>
  <c r="L321" i="20"/>
  <c r="A321" i="20"/>
  <c r="AO320" i="20"/>
  <c r="AN320" i="20"/>
  <c r="AM320" i="20"/>
  <c r="AL320" i="20"/>
  <c r="AK320" i="20"/>
  <c r="AJ320" i="20"/>
  <c r="AI320" i="20"/>
  <c r="AH320" i="20"/>
  <c r="AG320" i="20"/>
  <c r="AF320" i="20"/>
  <c r="AE320" i="20"/>
  <c r="AD320" i="20"/>
  <c r="AC320" i="20"/>
  <c r="AB320" i="20"/>
  <c r="AA320" i="20"/>
  <c r="Z320" i="20"/>
  <c r="X320" i="20"/>
  <c r="W320" i="20"/>
  <c r="V320" i="20"/>
  <c r="U320" i="20"/>
  <c r="T320" i="20"/>
  <c r="S320" i="20"/>
  <c r="R320" i="20"/>
  <c r="Q320" i="20"/>
  <c r="P320" i="20"/>
  <c r="O320" i="20"/>
  <c r="N320" i="20"/>
  <c r="M320" i="20"/>
  <c r="L320" i="20"/>
  <c r="A320" i="20"/>
  <c r="AO319" i="20"/>
  <c r="AN319" i="20"/>
  <c r="AM319" i="20"/>
  <c r="AL319" i="20"/>
  <c r="AK319" i="20"/>
  <c r="AJ319" i="20"/>
  <c r="AI319" i="20"/>
  <c r="AH319" i="20"/>
  <c r="AG319" i="20"/>
  <c r="AF319" i="20"/>
  <c r="AE319" i="20"/>
  <c r="AD319" i="20"/>
  <c r="AC319" i="20"/>
  <c r="AB319" i="20"/>
  <c r="AA319" i="20"/>
  <c r="Z319" i="20"/>
  <c r="X319" i="20"/>
  <c r="W319" i="20"/>
  <c r="V319" i="20"/>
  <c r="U319" i="20"/>
  <c r="T319" i="20"/>
  <c r="S319" i="20"/>
  <c r="R319" i="20"/>
  <c r="Q319" i="20"/>
  <c r="P319" i="20"/>
  <c r="O319" i="20"/>
  <c r="N319" i="20"/>
  <c r="M319" i="20"/>
  <c r="L319" i="20"/>
  <c r="A319" i="20"/>
  <c r="AO318" i="20"/>
  <c r="AN318" i="20"/>
  <c r="AM318" i="20"/>
  <c r="AL318" i="20"/>
  <c r="AK318" i="20"/>
  <c r="AJ318" i="20"/>
  <c r="AI318" i="20"/>
  <c r="AH318" i="20"/>
  <c r="AG318" i="20"/>
  <c r="AF318" i="20"/>
  <c r="AE318" i="20"/>
  <c r="AD318" i="20"/>
  <c r="AC318" i="20"/>
  <c r="AB318" i="20"/>
  <c r="AA318" i="20"/>
  <c r="Z318" i="20"/>
  <c r="X318" i="20"/>
  <c r="W318" i="20"/>
  <c r="V318" i="20"/>
  <c r="U318" i="20"/>
  <c r="T318" i="20"/>
  <c r="S318" i="20"/>
  <c r="R318" i="20"/>
  <c r="Q318" i="20"/>
  <c r="P318" i="20"/>
  <c r="O318" i="20"/>
  <c r="N318" i="20"/>
  <c r="M318" i="20"/>
  <c r="L318" i="20"/>
  <c r="A318" i="20"/>
  <c r="AO317" i="20"/>
  <c r="AN317" i="20"/>
  <c r="AM317" i="20"/>
  <c r="AL317" i="20"/>
  <c r="AK317" i="20"/>
  <c r="AJ317" i="20"/>
  <c r="AI317" i="20"/>
  <c r="AH317" i="20"/>
  <c r="AG317" i="20"/>
  <c r="AF317" i="20"/>
  <c r="AE317" i="20"/>
  <c r="AD317" i="20"/>
  <c r="AC317" i="20"/>
  <c r="AB317" i="20"/>
  <c r="AA317" i="20"/>
  <c r="Z317" i="20"/>
  <c r="X317" i="20"/>
  <c r="W317" i="20"/>
  <c r="V317" i="20"/>
  <c r="U317" i="20"/>
  <c r="T317" i="20"/>
  <c r="S317" i="20"/>
  <c r="R317" i="20"/>
  <c r="Q317" i="20"/>
  <c r="P317" i="20"/>
  <c r="O317" i="20"/>
  <c r="N317" i="20"/>
  <c r="M317" i="20"/>
  <c r="L317" i="20"/>
  <c r="A317" i="20"/>
  <c r="AO316" i="20"/>
  <c r="AN316" i="20"/>
  <c r="AM316" i="20"/>
  <c r="AL316" i="20"/>
  <c r="AK316" i="20"/>
  <c r="AJ316" i="20"/>
  <c r="AI316" i="20"/>
  <c r="AH316" i="20"/>
  <c r="AG316" i="20"/>
  <c r="AF316" i="20"/>
  <c r="AE316" i="20"/>
  <c r="AD316" i="20"/>
  <c r="AC316" i="20"/>
  <c r="AB316" i="20"/>
  <c r="AA316" i="20"/>
  <c r="Z316" i="20"/>
  <c r="X316" i="20"/>
  <c r="W316" i="20"/>
  <c r="V316" i="20"/>
  <c r="U316" i="20"/>
  <c r="T316" i="20"/>
  <c r="S316" i="20"/>
  <c r="R316" i="20"/>
  <c r="Q316" i="20"/>
  <c r="P316" i="20"/>
  <c r="O316" i="20"/>
  <c r="N316" i="20"/>
  <c r="M316" i="20"/>
  <c r="L316" i="20"/>
  <c r="A316" i="20"/>
  <c r="AO315" i="20"/>
  <c r="AN315" i="20"/>
  <c r="AM315" i="20"/>
  <c r="AL315" i="20"/>
  <c r="AK315" i="20"/>
  <c r="AJ315" i="20"/>
  <c r="AI315" i="20"/>
  <c r="AH315" i="20"/>
  <c r="AG315" i="20"/>
  <c r="AF315" i="20"/>
  <c r="AE315" i="20"/>
  <c r="AD315" i="20"/>
  <c r="AC315" i="20"/>
  <c r="AB315" i="20"/>
  <c r="AA315" i="20"/>
  <c r="Z315" i="20"/>
  <c r="X315" i="20"/>
  <c r="W315" i="20"/>
  <c r="V315" i="20"/>
  <c r="U315" i="20"/>
  <c r="T315" i="20"/>
  <c r="S315" i="20"/>
  <c r="R315" i="20"/>
  <c r="Q315" i="20"/>
  <c r="P315" i="20"/>
  <c r="O315" i="20"/>
  <c r="N315" i="20"/>
  <c r="M315" i="20"/>
  <c r="L315" i="20"/>
  <c r="A315" i="20"/>
  <c r="AO314" i="20"/>
  <c r="AN314" i="20"/>
  <c r="AM314" i="20"/>
  <c r="AL314" i="20"/>
  <c r="AK314" i="20"/>
  <c r="AJ314" i="20"/>
  <c r="AI314" i="20"/>
  <c r="AH314" i="20"/>
  <c r="AG314" i="20"/>
  <c r="AF314" i="20"/>
  <c r="AE314" i="20"/>
  <c r="AD314" i="20"/>
  <c r="AC314" i="20"/>
  <c r="AB314" i="20"/>
  <c r="AA314" i="20"/>
  <c r="Z314" i="20"/>
  <c r="X314" i="20"/>
  <c r="W314" i="20"/>
  <c r="V314" i="20"/>
  <c r="U314" i="20"/>
  <c r="T314" i="20"/>
  <c r="S314" i="20"/>
  <c r="R314" i="20"/>
  <c r="Q314" i="20"/>
  <c r="P314" i="20"/>
  <c r="O314" i="20"/>
  <c r="N314" i="20"/>
  <c r="M314" i="20"/>
  <c r="L314" i="20"/>
  <c r="A314" i="20"/>
  <c r="AO313" i="20"/>
  <c r="AN313" i="20"/>
  <c r="AM313" i="20"/>
  <c r="AL313" i="20"/>
  <c r="AK313" i="20"/>
  <c r="AJ313" i="20"/>
  <c r="AI313" i="20"/>
  <c r="AH313" i="20"/>
  <c r="AG313" i="20"/>
  <c r="AF313" i="20"/>
  <c r="AE313" i="20"/>
  <c r="AD313" i="20"/>
  <c r="AC313" i="20"/>
  <c r="AB313" i="20"/>
  <c r="AA313" i="20"/>
  <c r="Z313" i="20"/>
  <c r="X313" i="20"/>
  <c r="W313" i="20"/>
  <c r="V313" i="20"/>
  <c r="U313" i="20"/>
  <c r="T313" i="20"/>
  <c r="S313" i="20"/>
  <c r="R313" i="20"/>
  <c r="Q313" i="20"/>
  <c r="P313" i="20"/>
  <c r="O313" i="20"/>
  <c r="N313" i="20"/>
  <c r="M313" i="20"/>
  <c r="L313" i="20"/>
  <c r="A313" i="20"/>
  <c r="AO312" i="20"/>
  <c r="AN312" i="20"/>
  <c r="AM312" i="20"/>
  <c r="AL312" i="20"/>
  <c r="AK312" i="20"/>
  <c r="AJ312" i="20"/>
  <c r="AI312" i="20"/>
  <c r="AH312" i="20"/>
  <c r="AG312" i="20"/>
  <c r="AF312" i="20"/>
  <c r="AE312" i="20"/>
  <c r="AD312" i="20"/>
  <c r="AC312" i="20"/>
  <c r="AB312" i="20"/>
  <c r="AA312" i="20"/>
  <c r="Z312" i="20"/>
  <c r="X312" i="20"/>
  <c r="W312" i="20"/>
  <c r="V312" i="20"/>
  <c r="U312" i="20"/>
  <c r="T312" i="20"/>
  <c r="S312" i="20"/>
  <c r="R312" i="20"/>
  <c r="Q312" i="20"/>
  <c r="P312" i="20"/>
  <c r="O312" i="20"/>
  <c r="N312" i="20"/>
  <c r="M312" i="20"/>
  <c r="L312" i="20"/>
  <c r="A312" i="20"/>
  <c r="AO311" i="20"/>
  <c r="AN311" i="20"/>
  <c r="AM311" i="20"/>
  <c r="AL311" i="20"/>
  <c r="AK311" i="20"/>
  <c r="AJ311" i="20"/>
  <c r="AI311" i="20"/>
  <c r="AH311" i="20"/>
  <c r="AG311" i="20"/>
  <c r="AF311" i="20"/>
  <c r="AE311" i="20"/>
  <c r="AD311" i="20"/>
  <c r="AC311" i="20"/>
  <c r="AB311" i="20"/>
  <c r="AA311" i="20"/>
  <c r="Z311" i="20"/>
  <c r="X311" i="20"/>
  <c r="W311" i="20"/>
  <c r="V311" i="20"/>
  <c r="U311" i="20"/>
  <c r="T311" i="20"/>
  <c r="S311" i="20"/>
  <c r="R311" i="20"/>
  <c r="Q311" i="20"/>
  <c r="P311" i="20"/>
  <c r="O311" i="20"/>
  <c r="N311" i="20"/>
  <c r="M311" i="20"/>
  <c r="L311" i="20"/>
  <c r="A311" i="20"/>
  <c r="AO310" i="20"/>
  <c r="AN310" i="20"/>
  <c r="AM310" i="20"/>
  <c r="AL310" i="20"/>
  <c r="AK310" i="20"/>
  <c r="AJ310" i="20"/>
  <c r="AI310" i="20"/>
  <c r="AH310" i="20"/>
  <c r="AG310" i="20"/>
  <c r="AF310" i="20"/>
  <c r="AE310" i="20"/>
  <c r="AD310" i="20"/>
  <c r="AC310" i="20"/>
  <c r="AB310" i="20"/>
  <c r="AA310" i="20"/>
  <c r="Z310" i="20"/>
  <c r="X310" i="20"/>
  <c r="W310" i="20"/>
  <c r="V310" i="20"/>
  <c r="U310" i="20"/>
  <c r="T310" i="20"/>
  <c r="S310" i="20"/>
  <c r="R310" i="20"/>
  <c r="Q310" i="20"/>
  <c r="P310" i="20"/>
  <c r="O310" i="20"/>
  <c r="N310" i="20"/>
  <c r="M310" i="20"/>
  <c r="L310" i="20"/>
  <c r="A310" i="20"/>
  <c r="AO309" i="20"/>
  <c r="AN309" i="20"/>
  <c r="AM309" i="20"/>
  <c r="AL309" i="20"/>
  <c r="AK309" i="20"/>
  <c r="AJ309" i="20"/>
  <c r="AI309" i="20"/>
  <c r="AH309" i="20"/>
  <c r="AG309" i="20"/>
  <c r="AF309" i="20"/>
  <c r="AE309" i="20"/>
  <c r="AD309" i="20"/>
  <c r="AC309" i="20"/>
  <c r="AB309" i="20"/>
  <c r="AA309" i="20"/>
  <c r="Z309" i="20"/>
  <c r="X309" i="20"/>
  <c r="W309" i="20"/>
  <c r="V309" i="20"/>
  <c r="U309" i="20"/>
  <c r="T309" i="20"/>
  <c r="S309" i="20"/>
  <c r="R309" i="20"/>
  <c r="Q309" i="20"/>
  <c r="P309" i="20"/>
  <c r="O309" i="20"/>
  <c r="N309" i="20"/>
  <c r="M309" i="20"/>
  <c r="L309" i="20"/>
  <c r="A309" i="20"/>
  <c r="AO308" i="20"/>
  <c r="AN308" i="20"/>
  <c r="AM308" i="20"/>
  <c r="AL308" i="20"/>
  <c r="AK308" i="20"/>
  <c r="AJ308" i="20"/>
  <c r="AI308" i="20"/>
  <c r="AH308" i="20"/>
  <c r="AG308" i="20"/>
  <c r="AF308" i="20"/>
  <c r="AE308" i="20"/>
  <c r="AD308" i="20"/>
  <c r="AC308" i="20"/>
  <c r="AB308" i="20"/>
  <c r="AA308" i="20"/>
  <c r="Z308" i="20"/>
  <c r="X308" i="20"/>
  <c r="W308" i="20"/>
  <c r="V308" i="20"/>
  <c r="U308" i="20"/>
  <c r="T308" i="20"/>
  <c r="S308" i="20"/>
  <c r="R308" i="20"/>
  <c r="Q308" i="20"/>
  <c r="P308" i="20"/>
  <c r="O308" i="20"/>
  <c r="N308" i="20"/>
  <c r="M308" i="20"/>
  <c r="L308" i="20"/>
  <c r="A308" i="20"/>
  <c r="AO307" i="20"/>
  <c r="AN307" i="20"/>
  <c r="AM307" i="20"/>
  <c r="AL307" i="20"/>
  <c r="AK307" i="20"/>
  <c r="AJ307" i="20"/>
  <c r="AI307" i="20"/>
  <c r="AH307" i="20"/>
  <c r="AG307" i="20"/>
  <c r="AF307" i="20"/>
  <c r="AE307" i="20"/>
  <c r="AD307" i="20"/>
  <c r="AC307" i="20"/>
  <c r="AB307" i="20"/>
  <c r="AA307" i="20"/>
  <c r="Z307" i="20"/>
  <c r="X307" i="20"/>
  <c r="W307" i="20"/>
  <c r="V307" i="20"/>
  <c r="U307" i="20"/>
  <c r="T307" i="20"/>
  <c r="S307" i="20"/>
  <c r="R307" i="20"/>
  <c r="Q307" i="20"/>
  <c r="P307" i="20"/>
  <c r="O307" i="20"/>
  <c r="N307" i="20"/>
  <c r="M307" i="20"/>
  <c r="L307" i="20"/>
  <c r="A307" i="20"/>
  <c r="AO306" i="20"/>
  <c r="AN306" i="20"/>
  <c r="AM306" i="20"/>
  <c r="AL306" i="20"/>
  <c r="AK306" i="20"/>
  <c r="AJ306" i="20"/>
  <c r="AI306" i="20"/>
  <c r="AH306" i="20"/>
  <c r="AG306" i="20"/>
  <c r="AF306" i="20"/>
  <c r="AE306" i="20"/>
  <c r="AD306" i="20"/>
  <c r="AC306" i="20"/>
  <c r="AB306" i="20"/>
  <c r="AA306" i="20"/>
  <c r="Z306" i="20"/>
  <c r="X306" i="20"/>
  <c r="W306" i="20"/>
  <c r="V306" i="20"/>
  <c r="U306" i="20"/>
  <c r="T306" i="20"/>
  <c r="S306" i="20"/>
  <c r="R306" i="20"/>
  <c r="Q306" i="20"/>
  <c r="P306" i="20"/>
  <c r="O306" i="20"/>
  <c r="N306" i="20"/>
  <c r="M306" i="20"/>
  <c r="L306" i="20"/>
  <c r="A306" i="20"/>
  <c r="AO305" i="20"/>
  <c r="AN305" i="20"/>
  <c r="AM305" i="20"/>
  <c r="AL305" i="20"/>
  <c r="AK305" i="20"/>
  <c r="AJ305" i="20"/>
  <c r="AI305" i="20"/>
  <c r="AH305" i="20"/>
  <c r="AG305" i="20"/>
  <c r="AF305" i="20"/>
  <c r="AE305" i="20"/>
  <c r="AD305" i="20"/>
  <c r="AC305" i="20"/>
  <c r="AB305" i="20"/>
  <c r="AA305" i="20"/>
  <c r="Z305" i="20"/>
  <c r="X305" i="20"/>
  <c r="W305" i="20"/>
  <c r="V305" i="20"/>
  <c r="U305" i="20"/>
  <c r="T305" i="20"/>
  <c r="S305" i="20"/>
  <c r="R305" i="20"/>
  <c r="Q305" i="20"/>
  <c r="P305" i="20"/>
  <c r="O305" i="20"/>
  <c r="N305" i="20"/>
  <c r="M305" i="20"/>
  <c r="L305" i="20"/>
  <c r="A305" i="20"/>
  <c r="AO304" i="20"/>
  <c r="AN304" i="20"/>
  <c r="AM304" i="20"/>
  <c r="AL304" i="20"/>
  <c r="AK304" i="20"/>
  <c r="AJ304" i="20"/>
  <c r="AI304" i="20"/>
  <c r="AH304" i="20"/>
  <c r="AG304" i="20"/>
  <c r="AF304" i="20"/>
  <c r="AE304" i="20"/>
  <c r="AD304" i="20"/>
  <c r="AC304" i="20"/>
  <c r="AB304" i="20"/>
  <c r="AA304" i="20"/>
  <c r="Z304" i="20"/>
  <c r="X304" i="20"/>
  <c r="W304" i="20"/>
  <c r="V304" i="20"/>
  <c r="U304" i="20"/>
  <c r="T304" i="20"/>
  <c r="S304" i="20"/>
  <c r="R304" i="20"/>
  <c r="Q304" i="20"/>
  <c r="P304" i="20"/>
  <c r="O304" i="20"/>
  <c r="N304" i="20"/>
  <c r="M304" i="20"/>
  <c r="L304" i="20"/>
  <c r="A304" i="20"/>
  <c r="AO303" i="20"/>
  <c r="AN303" i="20"/>
  <c r="AM303" i="20"/>
  <c r="AL303" i="20"/>
  <c r="AK303" i="20"/>
  <c r="AJ303" i="20"/>
  <c r="AI303" i="20"/>
  <c r="AH303" i="20"/>
  <c r="AG303" i="20"/>
  <c r="AF303" i="20"/>
  <c r="AE303" i="20"/>
  <c r="AD303" i="20"/>
  <c r="AC303" i="20"/>
  <c r="AB303" i="20"/>
  <c r="AA303" i="20"/>
  <c r="Z303" i="20"/>
  <c r="X303" i="20"/>
  <c r="W303" i="20"/>
  <c r="V303" i="20"/>
  <c r="U303" i="20"/>
  <c r="T303" i="20"/>
  <c r="S303" i="20"/>
  <c r="R303" i="20"/>
  <c r="Q303" i="20"/>
  <c r="P303" i="20"/>
  <c r="O303" i="20"/>
  <c r="N303" i="20"/>
  <c r="M303" i="20"/>
  <c r="L303" i="20"/>
  <c r="A303" i="20"/>
  <c r="AO302" i="20"/>
  <c r="AN302" i="20"/>
  <c r="AM302" i="20"/>
  <c r="AL302" i="20"/>
  <c r="AK302" i="20"/>
  <c r="AJ302" i="20"/>
  <c r="AI302" i="20"/>
  <c r="AH302" i="20"/>
  <c r="AG302" i="20"/>
  <c r="AF302" i="20"/>
  <c r="AE302" i="20"/>
  <c r="AD302" i="20"/>
  <c r="AC302" i="20"/>
  <c r="AB302" i="20"/>
  <c r="AA302" i="20"/>
  <c r="Z302" i="20"/>
  <c r="X302" i="20"/>
  <c r="W302" i="20"/>
  <c r="V302" i="20"/>
  <c r="U302" i="20"/>
  <c r="T302" i="20"/>
  <c r="S302" i="20"/>
  <c r="R302" i="20"/>
  <c r="Q302" i="20"/>
  <c r="P302" i="20"/>
  <c r="O302" i="20"/>
  <c r="N302" i="20"/>
  <c r="M302" i="20"/>
  <c r="L302" i="20"/>
  <c r="A302" i="20"/>
  <c r="AO301" i="20"/>
  <c r="AN301" i="20"/>
  <c r="AM301" i="20"/>
  <c r="AL301" i="20"/>
  <c r="AK301" i="20"/>
  <c r="AJ301" i="20"/>
  <c r="AI301" i="20"/>
  <c r="AH301" i="20"/>
  <c r="AG301" i="20"/>
  <c r="AF301" i="20"/>
  <c r="AE301" i="20"/>
  <c r="AD301" i="20"/>
  <c r="AC301" i="20"/>
  <c r="AB301" i="20"/>
  <c r="AA301" i="20"/>
  <c r="Z301" i="20"/>
  <c r="X301" i="20"/>
  <c r="W301" i="20"/>
  <c r="V301" i="20"/>
  <c r="U301" i="20"/>
  <c r="T301" i="20"/>
  <c r="S301" i="20"/>
  <c r="R301" i="20"/>
  <c r="Q301" i="20"/>
  <c r="P301" i="20"/>
  <c r="O301" i="20"/>
  <c r="N301" i="20"/>
  <c r="M301" i="20"/>
  <c r="L301" i="20"/>
  <c r="A301" i="20"/>
  <c r="AO300" i="20"/>
  <c r="AN300" i="20"/>
  <c r="AM300" i="20"/>
  <c r="AL300" i="20"/>
  <c r="AK300" i="20"/>
  <c r="AJ300" i="20"/>
  <c r="AI300" i="20"/>
  <c r="AH300" i="20"/>
  <c r="AG300" i="20"/>
  <c r="AF300" i="20"/>
  <c r="AE300" i="20"/>
  <c r="AD300" i="20"/>
  <c r="AC300" i="20"/>
  <c r="AB300" i="20"/>
  <c r="AA300" i="20"/>
  <c r="Z300" i="20"/>
  <c r="X300" i="20"/>
  <c r="W300" i="20"/>
  <c r="V300" i="20"/>
  <c r="U300" i="20"/>
  <c r="T300" i="20"/>
  <c r="S300" i="20"/>
  <c r="R300" i="20"/>
  <c r="Q300" i="20"/>
  <c r="P300" i="20"/>
  <c r="O300" i="20"/>
  <c r="N300" i="20"/>
  <c r="M300" i="20"/>
  <c r="L300" i="20"/>
  <c r="A300" i="20"/>
  <c r="AO299" i="20"/>
  <c r="AN299" i="20"/>
  <c r="AM299" i="20"/>
  <c r="AL299" i="20"/>
  <c r="AK299" i="20"/>
  <c r="AJ299" i="20"/>
  <c r="AI299" i="20"/>
  <c r="AH299" i="20"/>
  <c r="AG299" i="20"/>
  <c r="AF299" i="20"/>
  <c r="AE299" i="20"/>
  <c r="AD299" i="20"/>
  <c r="AC299" i="20"/>
  <c r="AB299" i="20"/>
  <c r="AA299" i="20"/>
  <c r="Z299" i="20"/>
  <c r="X299" i="20"/>
  <c r="W299" i="20"/>
  <c r="V299" i="20"/>
  <c r="U299" i="20"/>
  <c r="T299" i="20"/>
  <c r="S299" i="20"/>
  <c r="R299" i="20"/>
  <c r="Q299" i="20"/>
  <c r="P299" i="20"/>
  <c r="O299" i="20"/>
  <c r="N299" i="20"/>
  <c r="M299" i="20"/>
  <c r="L299" i="20"/>
  <c r="A299" i="20"/>
  <c r="AO298" i="20"/>
  <c r="AN298" i="20"/>
  <c r="AM298" i="20"/>
  <c r="AL298" i="20"/>
  <c r="AK298" i="20"/>
  <c r="AJ298" i="20"/>
  <c r="AI298" i="20"/>
  <c r="AH298" i="20"/>
  <c r="AG298" i="20"/>
  <c r="AF298" i="20"/>
  <c r="AE298" i="20"/>
  <c r="AD298" i="20"/>
  <c r="AC298" i="20"/>
  <c r="AB298" i="20"/>
  <c r="AA298" i="20"/>
  <c r="Z298" i="20"/>
  <c r="X298" i="20"/>
  <c r="W298" i="20"/>
  <c r="V298" i="20"/>
  <c r="U298" i="20"/>
  <c r="T298" i="20"/>
  <c r="S298" i="20"/>
  <c r="R298" i="20"/>
  <c r="Q298" i="20"/>
  <c r="P298" i="20"/>
  <c r="O298" i="20"/>
  <c r="N298" i="20"/>
  <c r="M298" i="20"/>
  <c r="L298" i="20"/>
  <c r="A298" i="20"/>
  <c r="AO297" i="20"/>
  <c r="AN297" i="20"/>
  <c r="AM297" i="20"/>
  <c r="AL297" i="20"/>
  <c r="AK297" i="20"/>
  <c r="AJ297" i="20"/>
  <c r="AI297" i="20"/>
  <c r="AH297" i="20"/>
  <c r="AG297" i="20"/>
  <c r="AF297" i="20"/>
  <c r="AE297" i="20"/>
  <c r="AD297" i="20"/>
  <c r="AC297" i="20"/>
  <c r="AB297" i="20"/>
  <c r="AA297" i="20"/>
  <c r="Z297" i="20"/>
  <c r="X297" i="20"/>
  <c r="W297" i="20"/>
  <c r="V297" i="20"/>
  <c r="U297" i="20"/>
  <c r="T297" i="20"/>
  <c r="S297" i="20"/>
  <c r="R297" i="20"/>
  <c r="Q297" i="20"/>
  <c r="P297" i="20"/>
  <c r="O297" i="20"/>
  <c r="N297" i="20"/>
  <c r="M297" i="20"/>
  <c r="L297" i="20"/>
  <c r="A297" i="20"/>
  <c r="AO296" i="20"/>
  <c r="AN296" i="20"/>
  <c r="AM296" i="20"/>
  <c r="AL296" i="20"/>
  <c r="AK296" i="20"/>
  <c r="AJ296" i="20"/>
  <c r="AI296" i="20"/>
  <c r="AH296" i="20"/>
  <c r="AG296" i="20"/>
  <c r="AF296" i="20"/>
  <c r="AE296" i="20"/>
  <c r="AD296" i="20"/>
  <c r="AC296" i="20"/>
  <c r="AB296" i="20"/>
  <c r="AA296" i="20"/>
  <c r="Z296" i="20"/>
  <c r="X296" i="20"/>
  <c r="W296" i="20"/>
  <c r="V296" i="20"/>
  <c r="U296" i="20"/>
  <c r="T296" i="20"/>
  <c r="S296" i="20"/>
  <c r="R296" i="20"/>
  <c r="Q296" i="20"/>
  <c r="P296" i="20"/>
  <c r="O296" i="20"/>
  <c r="N296" i="20"/>
  <c r="M296" i="20"/>
  <c r="L296" i="20"/>
  <c r="A296" i="20"/>
  <c r="AO295" i="20"/>
  <c r="AN295" i="20"/>
  <c r="AM295" i="20"/>
  <c r="AL295" i="20"/>
  <c r="AK295" i="20"/>
  <c r="AJ295" i="20"/>
  <c r="AI295" i="20"/>
  <c r="AH295" i="20"/>
  <c r="AG295" i="20"/>
  <c r="AF295" i="20"/>
  <c r="AE295" i="20"/>
  <c r="AD295" i="20"/>
  <c r="AC295" i="20"/>
  <c r="AB295" i="20"/>
  <c r="AA295" i="20"/>
  <c r="Z295" i="20"/>
  <c r="X295" i="20"/>
  <c r="W295" i="20"/>
  <c r="V295" i="20"/>
  <c r="U295" i="20"/>
  <c r="T295" i="20"/>
  <c r="S295" i="20"/>
  <c r="R295" i="20"/>
  <c r="Q295" i="20"/>
  <c r="P295" i="20"/>
  <c r="O295" i="20"/>
  <c r="N295" i="20"/>
  <c r="M295" i="20"/>
  <c r="L295" i="20"/>
  <c r="A295" i="20"/>
  <c r="AO294" i="20"/>
  <c r="AN294" i="20"/>
  <c r="AM294" i="20"/>
  <c r="AL294" i="20"/>
  <c r="AK294" i="20"/>
  <c r="AJ294" i="20"/>
  <c r="AI294" i="20"/>
  <c r="AH294" i="20"/>
  <c r="AG294" i="20"/>
  <c r="AF294" i="20"/>
  <c r="AE294" i="20"/>
  <c r="AD294" i="20"/>
  <c r="AC294" i="20"/>
  <c r="AB294" i="20"/>
  <c r="AA294" i="20"/>
  <c r="Z294" i="20"/>
  <c r="X294" i="20"/>
  <c r="W294" i="20"/>
  <c r="V294" i="20"/>
  <c r="U294" i="20"/>
  <c r="T294" i="20"/>
  <c r="S294" i="20"/>
  <c r="R294" i="20"/>
  <c r="Q294" i="20"/>
  <c r="P294" i="20"/>
  <c r="O294" i="20"/>
  <c r="N294" i="20"/>
  <c r="M294" i="20"/>
  <c r="L294" i="20"/>
  <c r="A294" i="20"/>
  <c r="AO293" i="20"/>
  <c r="AN293" i="20"/>
  <c r="AM293" i="20"/>
  <c r="AL293" i="20"/>
  <c r="AK293" i="20"/>
  <c r="AJ293" i="20"/>
  <c r="AI293" i="20"/>
  <c r="AH293" i="20"/>
  <c r="AG293" i="20"/>
  <c r="AF293" i="20"/>
  <c r="AE293" i="20"/>
  <c r="AD293" i="20"/>
  <c r="AC293" i="20"/>
  <c r="AB293" i="20"/>
  <c r="AA293" i="20"/>
  <c r="Z293" i="20"/>
  <c r="X293" i="20"/>
  <c r="W293" i="20"/>
  <c r="V293" i="20"/>
  <c r="U293" i="20"/>
  <c r="T293" i="20"/>
  <c r="S293" i="20"/>
  <c r="R293" i="20"/>
  <c r="Q293" i="20"/>
  <c r="P293" i="20"/>
  <c r="O293" i="20"/>
  <c r="N293" i="20"/>
  <c r="M293" i="20"/>
  <c r="L293" i="20"/>
  <c r="A293" i="20"/>
  <c r="AO292" i="20"/>
  <c r="AN292" i="20"/>
  <c r="AM292" i="20"/>
  <c r="AL292" i="20"/>
  <c r="AK292" i="20"/>
  <c r="AJ292" i="20"/>
  <c r="AI292" i="20"/>
  <c r="AH292" i="20"/>
  <c r="AG292" i="20"/>
  <c r="AF292" i="20"/>
  <c r="AE292" i="20"/>
  <c r="AD292" i="20"/>
  <c r="AC292" i="20"/>
  <c r="AB292" i="20"/>
  <c r="AA292" i="20"/>
  <c r="Z292" i="20"/>
  <c r="X292" i="20"/>
  <c r="W292" i="20"/>
  <c r="V292" i="20"/>
  <c r="U292" i="20"/>
  <c r="T292" i="20"/>
  <c r="S292" i="20"/>
  <c r="R292" i="20"/>
  <c r="Q292" i="20"/>
  <c r="P292" i="20"/>
  <c r="O292" i="20"/>
  <c r="N292" i="20"/>
  <c r="M292" i="20"/>
  <c r="L292" i="20"/>
  <c r="A292" i="20"/>
  <c r="AO291" i="20"/>
  <c r="AN291" i="20"/>
  <c r="AM291" i="20"/>
  <c r="AL291" i="20"/>
  <c r="AK291" i="20"/>
  <c r="AJ291" i="20"/>
  <c r="AI291" i="20"/>
  <c r="AH291" i="20"/>
  <c r="AG291" i="20"/>
  <c r="AF291" i="20"/>
  <c r="AE291" i="20"/>
  <c r="AD291" i="20"/>
  <c r="AC291" i="20"/>
  <c r="AB291" i="20"/>
  <c r="AA291" i="20"/>
  <c r="Z291" i="20"/>
  <c r="X291" i="20"/>
  <c r="W291" i="20"/>
  <c r="V291" i="20"/>
  <c r="U291" i="20"/>
  <c r="T291" i="20"/>
  <c r="S291" i="20"/>
  <c r="R291" i="20"/>
  <c r="Q291" i="20"/>
  <c r="P291" i="20"/>
  <c r="O291" i="20"/>
  <c r="N291" i="20"/>
  <c r="M291" i="20"/>
  <c r="L291" i="20"/>
  <c r="A291" i="20"/>
  <c r="AO290" i="20"/>
  <c r="AN290" i="20"/>
  <c r="AM290" i="20"/>
  <c r="AL290" i="20"/>
  <c r="AK290" i="20"/>
  <c r="AJ290" i="20"/>
  <c r="AI290" i="20"/>
  <c r="AH290" i="20"/>
  <c r="AG290" i="20"/>
  <c r="AF290" i="20"/>
  <c r="AE290" i="20"/>
  <c r="AD290" i="20"/>
  <c r="AC290" i="20"/>
  <c r="AB290" i="20"/>
  <c r="AA290" i="20"/>
  <c r="Z290" i="20"/>
  <c r="X290" i="20"/>
  <c r="W290" i="20"/>
  <c r="V290" i="20"/>
  <c r="U290" i="20"/>
  <c r="T290" i="20"/>
  <c r="S290" i="20"/>
  <c r="R290" i="20"/>
  <c r="Q290" i="20"/>
  <c r="P290" i="20"/>
  <c r="O290" i="20"/>
  <c r="N290" i="20"/>
  <c r="M290" i="20"/>
  <c r="L290" i="20"/>
  <c r="A290" i="20"/>
  <c r="AO289" i="20"/>
  <c r="AN289" i="20"/>
  <c r="AM289" i="20"/>
  <c r="AL289" i="20"/>
  <c r="AK289" i="20"/>
  <c r="AJ289" i="20"/>
  <c r="AI289" i="20"/>
  <c r="AH289" i="20"/>
  <c r="AG289" i="20"/>
  <c r="AF289" i="20"/>
  <c r="AE289" i="20"/>
  <c r="AD289" i="20"/>
  <c r="AC289" i="20"/>
  <c r="AB289" i="20"/>
  <c r="AA289" i="20"/>
  <c r="Z289" i="20"/>
  <c r="X289" i="20"/>
  <c r="W289" i="20"/>
  <c r="V289" i="20"/>
  <c r="U289" i="20"/>
  <c r="T289" i="20"/>
  <c r="S289" i="20"/>
  <c r="R289" i="20"/>
  <c r="Q289" i="20"/>
  <c r="P289" i="20"/>
  <c r="O289" i="20"/>
  <c r="N289" i="20"/>
  <c r="M289" i="20"/>
  <c r="L289" i="20"/>
  <c r="A289" i="20"/>
  <c r="AO288" i="20"/>
  <c r="AN288" i="20"/>
  <c r="AM288" i="20"/>
  <c r="AL288" i="20"/>
  <c r="AK288" i="20"/>
  <c r="AJ288" i="20"/>
  <c r="AI288" i="20"/>
  <c r="AH288" i="20"/>
  <c r="AG288" i="20"/>
  <c r="AF288" i="20"/>
  <c r="AE288" i="20"/>
  <c r="AD288" i="20"/>
  <c r="AC288" i="20"/>
  <c r="AB288" i="20"/>
  <c r="AA288" i="20"/>
  <c r="Z288" i="20"/>
  <c r="X288" i="20"/>
  <c r="W288" i="20"/>
  <c r="V288" i="20"/>
  <c r="U288" i="20"/>
  <c r="T288" i="20"/>
  <c r="S288" i="20"/>
  <c r="R288" i="20"/>
  <c r="Q288" i="20"/>
  <c r="P288" i="20"/>
  <c r="O288" i="20"/>
  <c r="N288" i="20"/>
  <c r="M288" i="20"/>
  <c r="L288" i="20"/>
  <c r="A288" i="20"/>
  <c r="AO287" i="20"/>
  <c r="AN287" i="20"/>
  <c r="AM287" i="20"/>
  <c r="AL287" i="20"/>
  <c r="AK287" i="20"/>
  <c r="AJ287" i="20"/>
  <c r="AI287" i="20"/>
  <c r="AH287" i="20"/>
  <c r="AG287" i="20"/>
  <c r="AF287" i="20"/>
  <c r="AE287" i="20"/>
  <c r="AD287" i="20"/>
  <c r="AC287" i="20"/>
  <c r="AB287" i="20"/>
  <c r="AA287" i="20"/>
  <c r="Z287" i="20"/>
  <c r="X287" i="20"/>
  <c r="W287" i="20"/>
  <c r="V287" i="20"/>
  <c r="U287" i="20"/>
  <c r="T287" i="20"/>
  <c r="S287" i="20"/>
  <c r="R287" i="20"/>
  <c r="Q287" i="20"/>
  <c r="P287" i="20"/>
  <c r="O287" i="20"/>
  <c r="N287" i="20"/>
  <c r="M287" i="20"/>
  <c r="L287" i="20"/>
  <c r="A287" i="20"/>
  <c r="AO286" i="20"/>
  <c r="AN286" i="20"/>
  <c r="AM286" i="20"/>
  <c r="AL286" i="20"/>
  <c r="AK286" i="20"/>
  <c r="AJ286" i="20"/>
  <c r="AI286" i="20"/>
  <c r="AH286" i="20"/>
  <c r="AG286" i="20"/>
  <c r="AF286" i="20"/>
  <c r="AE286" i="20"/>
  <c r="AD286" i="20"/>
  <c r="AC286" i="20"/>
  <c r="AB286" i="20"/>
  <c r="AA286" i="20"/>
  <c r="Z286" i="20"/>
  <c r="X286" i="20"/>
  <c r="W286" i="20"/>
  <c r="V286" i="20"/>
  <c r="U286" i="20"/>
  <c r="T286" i="20"/>
  <c r="S286" i="20"/>
  <c r="R286" i="20"/>
  <c r="Q286" i="20"/>
  <c r="P286" i="20"/>
  <c r="O286" i="20"/>
  <c r="N286" i="20"/>
  <c r="M286" i="20"/>
  <c r="L286" i="20"/>
  <c r="A286" i="20"/>
  <c r="AO285" i="20"/>
  <c r="AN285" i="20"/>
  <c r="AM285" i="20"/>
  <c r="AL285" i="20"/>
  <c r="AK285" i="20"/>
  <c r="AJ285" i="20"/>
  <c r="AI285" i="20"/>
  <c r="AH285" i="20"/>
  <c r="AG285" i="20"/>
  <c r="AF285" i="20"/>
  <c r="AE285" i="20"/>
  <c r="AD285" i="20"/>
  <c r="AC285" i="20"/>
  <c r="AB285" i="20"/>
  <c r="AA285" i="20"/>
  <c r="Z285" i="20"/>
  <c r="X285" i="20"/>
  <c r="W285" i="20"/>
  <c r="V285" i="20"/>
  <c r="U285" i="20"/>
  <c r="T285" i="20"/>
  <c r="S285" i="20"/>
  <c r="R285" i="20"/>
  <c r="Q285" i="20"/>
  <c r="P285" i="20"/>
  <c r="O285" i="20"/>
  <c r="N285" i="20"/>
  <c r="M285" i="20"/>
  <c r="L285" i="20"/>
  <c r="A285" i="20"/>
  <c r="AO284" i="20"/>
  <c r="AN284" i="20"/>
  <c r="AM284" i="20"/>
  <c r="AL284" i="20"/>
  <c r="AK284" i="20"/>
  <c r="AJ284" i="20"/>
  <c r="AI284" i="20"/>
  <c r="AH284" i="20"/>
  <c r="AG284" i="20"/>
  <c r="AF284" i="20"/>
  <c r="AE284" i="20"/>
  <c r="AD284" i="20"/>
  <c r="AC284" i="20"/>
  <c r="AB284" i="20"/>
  <c r="AA284" i="20"/>
  <c r="Z284" i="20"/>
  <c r="X284" i="20"/>
  <c r="W284" i="20"/>
  <c r="V284" i="20"/>
  <c r="U284" i="20"/>
  <c r="T284" i="20"/>
  <c r="S284" i="20"/>
  <c r="R284" i="20"/>
  <c r="Q284" i="20"/>
  <c r="P284" i="20"/>
  <c r="O284" i="20"/>
  <c r="N284" i="20"/>
  <c r="M284" i="20"/>
  <c r="L284" i="20"/>
  <c r="A284" i="20"/>
  <c r="AO283" i="20"/>
  <c r="AN283" i="20"/>
  <c r="AM283" i="20"/>
  <c r="AL283" i="20"/>
  <c r="AK283" i="20"/>
  <c r="AJ283" i="20"/>
  <c r="AI283" i="20"/>
  <c r="AH283" i="20"/>
  <c r="AG283" i="20"/>
  <c r="AF283" i="20"/>
  <c r="AE283" i="20"/>
  <c r="AD283" i="20"/>
  <c r="AC283" i="20"/>
  <c r="AB283" i="20"/>
  <c r="AA283" i="20"/>
  <c r="Z283" i="20"/>
  <c r="X283" i="20"/>
  <c r="W283" i="20"/>
  <c r="V283" i="20"/>
  <c r="U283" i="20"/>
  <c r="T283" i="20"/>
  <c r="S283" i="20"/>
  <c r="R283" i="20"/>
  <c r="Q283" i="20"/>
  <c r="P283" i="20"/>
  <c r="O283" i="20"/>
  <c r="N283" i="20"/>
  <c r="M283" i="20"/>
  <c r="L283" i="20"/>
  <c r="A283" i="20"/>
  <c r="AO282" i="20"/>
  <c r="AN282" i="20"/>
  <c r="AM282" i="20"/>
  <c r="AL282" i="20"/>
  <c r="AK282" i="20"/>
  <c r="AJ282" i="20"/>
  <c r="AI282" i="20"/>
  <c r="AH282" i="20"/>
  <c r="AG282" i="20"/>
  <c r="AF282" i="20"/>
  <c r="AE282" i="20"/>
  <c r="AD282" i="20"/>
  <c r="AC282" i="20"/>
  <c r="AB282" i="20"/>
  <c r="AA282" i="20"/>
  <c r="Z282" i="20"/>
  <c r="X282" i="20"/>
  <c r="W282" i="20"/>
  <c r="V282" i="20"/>
  <c r="U282" i="20"/>
  <c r="T282" i="20"/>
  <c r="S282" i="20"/>
  <c r="R282" i="20"/>
  <c r="Q282" i="20"/>
  <c r="P282" i="20"/>
  <c r="O282" i="20"/>
  <c r="N282" i="20"/>
  <c r="M282" i="20"/>
  <c r="L282" i="20"/>
  <c r="A282" i="20"/>
  <c r="AO281" i="20"/>
  <c r="AN281" i="20"/>
  <c r="AM281" i="20"/>
  <c r="AL281" i="20"/>
  <c r="AK281" i="20"/>
  <c r="AJ281" i="20"/>
  <c r="AI281" i="20"/>
  <c r="AH281" i="20"/>
  <c r="AG281" i="20"/>
  <c r="AF281" i="20"/>
  <c r="AE281" i="20"/>
  <c r="AD281" i="20"/>
  <c r="AC281" i="20"/>
  <c r="AB281" i="20"/>
  <c r="AA281" i="20"/>
  <c r="Z281" i="20"/>
  <c r="X281" i="20"/>
  <c r="W281" i="20"/>
  <c r="V281" i="20"/>
  <c r="U281" i="20"/>
  <c r="T281" i="20"/>
  <c r="S281" i="20"/>
  <c r="R281" i="20"/>
  <c r="Q281" i="20"/>
  <c r="P281" i="20"/>
  <c r="O281" i="20"/>
  <c r="N281" i="20"/>
  <c r="M281" i="20"/>
  <c r="L281" i="20"/>
  <c r="A281" i="20"/>
  <c r="AO280" i="20"/>
  <c r="AN280" i="20"/>
  <c r="AM280" i="20"/>
  <c r="AL280" i="20"/>
  <c r="AK280" i="20"/>
  <c r="AJ280" i="20"/>
  <c r="AI280" i="20"/>
  <c r="AH280" i="20"/>
  <c r="AG280" i="20"/>
  <c r="AF280" i="20"/>
  <c r="AE280" i="20"/>
  <c r="AD280" i="20"/>
  <c r="AC280" i="20"/>
  <c r="AB280" i="20"/>
  <c r="AA280" i="20"/>
  <c r="Z280" i="20"/>
  <c r="X280" i="20"/>
  <c r="W280" i="20"/>
  <c r="V280" i="20"/>
  <c r="U280" i="20"/>
  <c r="T280" i="20"/>
  <c r="S280" i="20"/>
  <c r="R280" i="20"/>
  <c r="Q280" i="20"/>
  <c r="P280" i="20"/>
  <c r="O280" i="20"/>
  <c r="N280" i="20"/>
  <c r="M280" i="20"/>
  <c r="L280" i="20"/>
  <c r="A280" i="20"/>
  <c r="AO279" i="20"/>
  <c r="AN279" i="20"/>
  <c r="AM279" i="20"/>
  <c r="AL279" i="20"/>
  <c r="AK279" i="20"/>
  <c r="AJ279" i="20"/>
  <c r="AI279" i="20"/>
  <c r="AH279" i="20"/>
  <c r="AG279" i="20"/>
  <c r="AF279" i="20"/>
  <c r="AE279" i="20"/>
  <c r="AD279" i="20"/>
  <c r="AC279" i="20"/>
  <c r="AB279" i="20"/>
  <c r="AA279" i="20"/>
  <c r="Z279" i="20"/>
  <c r="X279" i="20"/>
  <c r="W279" i="20"/>
  <c r="V279" i="20"/>
  <c r="U279" i="20"/>
  <c r="T279" i="20"/>
  <c r="S279" i="20"/>
  <c r="R279" i="20"/>
  <c r="Q279" i="20"/>
  <c r="P279" i="20"/>
  <c r="O279" i="20"/>
  <c r="N279" i="20"/>
  <c r="M279" i="20"/>
  <c r="L279" i="20"/>
  <c r="A279" i="20"/>
  <c r="AO278" i="20"/>
  <c r="AN278" i="20"/>
  <c r="AM278" i="20"/>
  <c r="AL278" i="20"/>
  <c r="AK278" i="20"/>
  <c r="AJ278" i="20"/>
  <c r="AI278" i="20"/>
  <c r="AH278" i="20"/>
  <c r="AG278" i="20"/>
  <c r="AF278" i="20"/>
  <c r="AE278" i="20"/>
  <c r="AD278" i="20"/>
  <c r="AC278" i="20"/>
  <c r="AB278" i="20"/>
  <c r="AA278" i="20"/>
  <c r="Z278" i="20"/>
  <c r="X278" i="20"/>
  <c r="W278" i="20"/>
  <c r="V278" i="20"/>
  <c r="U278" i="20"/>
  <c r="T278" i="20"/>
  <c r="S278" i="20"/>
  <c r="R278" i="20"/>
  <c r="Q278" i="20"/>
  <c r="P278" i="20"/>
  <c r="O278" i="20"/>
  <c r="N278" i="20"/>
  <c r="M278" i="20"/>
  <c r="L278" i="20"/>
  <c r="A278" i="20"/>
  <c r="AO277" i="20"/>
  <c r="AN277" i="20"/>
  <c r="AM277" i="20"/>
  <c r="AL277" i="20"/>
  <c r="AK277" i="20"/>
  <c r="AJ277" i="20"/>
  <c r="AI277" i="20"/>
  <c r="AH277" i="20"/>
  <c r="AG277" i="20"/>
  <c r="AF277" i="20"/>
  <c r="AE277" i="20"/>
  <c r="AD277" i="20"/>
  <c r="AC277" i="20"/>
  <c r="AB277" i="20"/>
  <c r="AA277" i="20"/>
  <c r="Z277" i="20"/>
  <c r="X277" i="20"/>
  <c r="W277" i="20"/>
  <c r="V277" i="20"/>
  <c r="U277" i="20"/>
  <c r="T277" i="20"/>
  <c r="S277" i="20"/>
  <c r="R277" i="20"/>
  <c r="Q277" i="20"/>
  <c r="P277" i="20"/>
  <c r="O277" i="20"/>
  <c r="N277" i="20"/>
  <c r="M277" i="20"/>
  <c r="L277" i="20"/>
  <c r="A277" i="20"/>
  <c r="AO276" i="20"/>
  <c r="AN276" i="20"/>
  <c r="AM276" i="20"/>
  <c r="AL276" i="20"/>
  <c r="AK276" i="20"/>
  <c r="AJ276" i="20"/>
  <c r="AI276" i="20"/>
  <c r="AH276" i="20"/>
  <c r="AG276" i="20"/>
  <c r="AF276" i="20"/>
  <c r="AE276" i="20"/>
  <c r="AD276" i="20"/>
  <c r="AC276" i="20"/>
  <c r="AB276" i="20"/>
  <c r="AA276" i="20"/>
  <c r="Z276" i="20"/>
  <c r="X276" i="20"/>
  <c r="W276" i="20"/>
  <c r="V276" i="20"/>
  <c r="U276" i="20"/>
  <c r="T276" i="20"/>
  <c r="S276" i="20"/>
  <c r="R276" i="20"/>
  <c r="Q276" i="20"/>
  <c r="P276" i="20"/>
  <c r="O276" i="20"/>
  <c r="N276" i="20"/>
  <c r="M276" i="20"/>
  <c r="L276" i="20"/>
  <c r="A276" i="20"/>
  <c r="AO275" i="20"/>
  <c r="AN275" i="20"/>
  <c r="AM275" i="20"/>
  <c r="AL275" i="20"/>
  <c r="AK275" i="20"/>
  <c r="AJ275" i="20"/>
  <c r="AI275" i="20"/>
  <c r="AH275" i="20"/>
  <c r="AG275" i="20"/>
  <c r="AF275" i="20"/>
  <c r="AE275" i="20"/>
  <c r="AD275" i="20"/>
  <c r="AC275" i="20"/>
  <c r="AB275" i="20"/>
  <c r="AA275" i="20"/>
  <c r="Z275" i="20"/>
  <c r="X275" i="20"/>
  <c r="W275" i="20"/>
  <c r="V275" i="20"/>
  <c r="U275" i="20"/>
  <c r="T275" i="20"/>
  <c r="S275" i="20"/>
  <c r="R275" i="20"/>
  <c r="Q275" i="20"/>
  <c r="P275" i="20"/>
  <c r="O275" i="20"/>
  <c r="N275" i="20"/>
  <c r="M275" i="20"/>
  <c r="L275" i="20"/>
  <c r="A275" i="20"/>
  <c r="AO274" i="20"/>
  <c r="AN274" i="20"/>
  <c r="AM274" i="20"/>
  <c r="AL274" i="20"/>
  <c r="AK274" i="20"/>
  <c r="AJ274" i="20"/>
  <c r="AI274" i="20"/>
  <c r="AH274" i="20"/>
  <c r="AG274" i="20"/>
  <c r="AF274" i="20"/>
  <c r="AE274" i="20"/>
  <c r="AD274" i="20"/>
  <c r="AC274" i="20"/>
  <c r="AB274" i="20"/>
  <c r="AA274" i="20"/>
  <c r="Z274" i="20"/>
  <c r="X274" i="20"/>
  <c r="W274" i="20"/>
  <c r="V274" i="20"/>
  <c r="U274" i="20"/>
  <c r="T274" i="20"/>
  <c r="S274" i="20"/>
  <c r="R274" i="20"/>
  <c r="Q274" i="20"/>
  <c r="P274" i="20"/>
  <c r="O274" i="20"/>
  <c r="N274" i="20"/>
  <c r="M274" i="20"/>
  <c r="L274" i="20"/>
  <c r="A274" i="20"/>
  <c r="AO273" i="20"/>
  <c r="AN273" i="20"/>
  <c r="AM273" i="20"/>
  <c r="AL273" i="20"/>
  <c r="AK273" i="20"/>
  <c r="AJ273" i="20"/>
  <c r="AI273" i="20"/>
  <c r="AH273" i="20"/>
  <c r="AG273" i="20"/>
  <c r="AF273" i="20"/>
  <c r="AE273" i="20"/>
  <c r="AD273" i="20"/>
  <c r="AC273" i="20"/>
  <c r="AB273" i="20"/>
  <c r="AA273" i="20"/>
  <c r="Z273" i="20"/>
  <c r="X273" i="20"/>
  <c r="W273" i="20"/>
  <c r="V273" i="20"/>
  <c r="U273" i="20"/>
  <c r="T273" i="20"/>
  <c r="S273" i="20"/>
  <c r="R273" i="20"/>
  <c r="Q273" i="20"/>
  <c r="P273" i="20"/>
  <c r="O273" i="20"/>
  <c r="N273" i="20"/>
  <c r="M273" i="20"/>
  <c r="L273" i="20"/>
  <c r="A273" i="20"/>
  <c r="AO272" i="20"/>
  <c r="AN272" i="20"/>
  <c r="AM272" i="20"/>
  <c r="AL272" i="20"/>
  <c r="AK272" i="20"/>
  <c r="AJ272" i="20"/>
  <c r="AI272" i="20"/>
  <c r="AH272" i="20"/>
  <c r="AG272" i="20"/>
  <c r="AF272" i="20"/>
  <c r="AE272" i="20"/>
  <c r="AD272" i="20"/>
  <c r="AC272" i="20"/>
  <c r="AB272" i="20"/>
  <c r="AA272" i="20"/>
  <c r="Z272" i="20"/>
  <c r="X272" i="20"/>
  <c r="W272" i="20"/>
  <c r="V272" i="20"/>
  <c r="U272" i="20"/>
  <c r="T272" i="20"/>
  <c r="S272" i="20"/>
  <c r="R272" i="20"/>
  <c r="Q272" i="20"/>
  <c r="P272" i="20"/>
  <c r="O272" i="20"/>
  <c r="N272" i="20"/>
  <c r="M272" i="20"/>
  <c r="L272" i="20"/>
  <c r="A272" i="20"/>
  <c r="AO271" i="20"/>
  <c r="AN271" i="20"/>
  <c r="AM271" i="20"/>
  <c r="AL271" i="20"/>
  <c r="AK271" i="20"/>
  <c r="AJ271" i="20"/>
  <c r="AI271" i="20"/>
  <c r="AH271" i="20"/>
  <c r="AG271" i="20"/>
  <c r="AF271" i="20"/>
  <c r="AE271" i="20"/>
  <c r="AD271" i="20"/>
  <c r="AC271" i="20"/>
  <c r="AB271" i="20"/>
  <c r="AA271" i="20"/>
  <c r="Z271" i="20"/>
  <c r="X271" i="20"/>
  <c r="W271" i="20"/>
  <c r="V271" i="20"/>
  <c r="U271" i="20"/>
  <c r="T271" i="20"/>
  <c r="S271" i="20"/>
  <c r="R271" i="20"/>
  <c r="Q271" i="20"/>
  <c r="P271" i="20"/>
  <c r="O271" i="20"/>
  <c r="N271" i="20"/>
  <c r="M271" i="20"/>
  <c r="L271" i="20"/>
  <c r="A271" i="20"/>
  <c r="AO270" i="20"/>
  <c r="AN270" i="20"/>
  <c r="AM270" i="20"/>
  <c r="AL270" i="20"/>
  <c r="AK270" i="20"/>
  <c r="AJ270" i="20"/>
  <c r="AI270" i="20"/>
  <c r="AH270" i="20"/>
  <c r="AG270" i="20"/>
  <c r="AF270" i="20"/>
  <c r="AE270" i="20"/>
  <c r="AD270" i="20"/>
  <c r="AC270" i="20"/>
  <c r="AB270" i="20"/>
  <c r="AA270" i="20"/>
  <c r="Z270" i="20"/>
  <c r="X270" i="20"/>
  <c r="W270" i="20"/>
  <c r="V270" i="20"/>
  <c r="U270" i="20"/>
  <c r="T270" i="20"/>
  <c r="S270" i="20"/>
  <c r="R270" i="20"/>
  <c r="Q270" i="20"/>
  <c r="P270" i="20"/>
  <c r="O270" i="20"/>
  <c r="N270" i="20"/>
  <c r="M270" i="20"/>
  <c r="L270" i="20"/>
  <c r="A270" i="20"/>
  <c r="AO269" i="20"/>
  <c r="AN269" i="20"/>
  <c r="AM269" i="20"/>
  <c r="AL269" i="20"/>
  <c r="AK269" i="20"/>
  <c r="AJ269" i="20"/>
  <c r="AI269" i="20"/>
  <c r="AH269" i="20"/>
  <c r="AG269" i="20"/>
  <c r="AF269" i="20"/>
  <c r="AE269" i="20"/>
  <c r="AD269" i="20"/>
  <c r="AC269" i="20"/>
  <c r="AB269" i="20"/>
  <c r="AA269" i="20"/>
  <c r="Z269" i="20"/>
  <c r="X269" i="20"/>
  <c r="W269" i="20"/>
  <c r="V269" i="20"/>
  <c r="U269" i="20"/>
  <c r="T269" i="20"/>
  <c r="S269" i="20"/>
  <c r="R269" i="20"/>
  <c r="Q269" i="20"/>
  <c r="P269" i="20"/>
  <c r="O269" i="20"/>
  <c r="N269" i="20"/>
  <c r="M269" i="20"/>
  <c r="L269" i="20"/>
  <c r="A269" i="20"/>
  <c r="AO268" i="20"/>
  <c r="AN268" i="20"/>
  <c r="AM268" i="20"/>
  <c r="AL268" i="20"/>
  <c r="AK268" i="20"/>
  <c r="AJ268" i="20"/>
  <c r="AI268" i="20"/>
  <c r="AH268" i="20"/>
  <c r="AG268" i="20"/>
  <c r="AF268" i="20"/>
  <c r="AE268" i="20"/>
  <c r="AD268" i="20"/>
  <c r="AC268" i="20"/>
  <c r="AB268" i="20"/>
  <c r="AA268" i="20"/>
  <c r="Z268" i="20"/>
  <c r="X268" i="20"/>
  <c r="W268" i="20"/>
  <c r="V268" i="20"/>
  <c r="U268" i="20"/>
  <c r="T268" i="20"/>
  <c r="S268" i="20"/>
  <c r="R268" i="20"/>
  <c r="Q268" i="20"/>
  <c r="P268" i="20"/>
  <c r="O268" i="20"/>
  <c r="N268" i="20"/>
  <c r="M268" i="20"/>
  <c r="L268" i="20"/>
  <c r="A268" i="20"/>
  <c r="AO267" i="20"/>
  <c r="AN267" i="20"/>
  <c r="AM267" i="20"/>
  <c r="AL267" i="20"/>
  <c r="AK267" i="20"/>
  <c r="AJ267" i="20"/>
  <c r="AI267" i="20"/>
  <c r="AH267" i="20"/>
  <c r="AG267" i="20"/>
  <c r="AF267" i="20"/>
  <c r="AE267" i="20"/>
  <c r="AD267" i="20"/>
  <c r="AC267" i="20"/>
  <c r="AB267" i="20"/>
  <c r="AA267" i="20"/>
  <c r="Z267" i="20"/>
  <c r="X267" i="20"/>
  <c r="W267" i="20"/>
  <c r="V267" i="20"/>
  <c r="U267" i="20"/>
  <c r="T267" i="20"/>
  <c r="S267" i="20"/>
  <c r="R267" i="20"/>
  <c r="Q267" i="20"/>
  <c r="P267" i="20"/>
  <c r="O267" i="20"/>
  <c r="N267" i="20"/>
  <c r="M267" i="20"/>
  <c r="L267" i="20"/>
  <c r="A267" i="20"/>
  <c r="AO266" i="20"/>
  <c r="AN266" i="20"/>
  <c r="AM266" i="20"/>
  <c r="AL266" i="20"/>
  <c r="AK266" i="20"/>
  <c r="AJ266" i="20"/>
  <c r="AI266" i="20"/>
  <c r="AH266" i="20"/>
  <c r="AG266" i="20"/>
  <c r="AF266" i="20"/>
  <c r="AE266" i="20"/>
  <c r="AD266" i="20"/>
  <c r="AC266" i="20"/>
  <c r="AB266" i="20"/>
  <c r="AA266" i="20"/>
  <c r="Z266" i="20"/>
  <c r="X266" i="20"/>
  <c r="W266" i="20"/>
  <c r="V266" i="20"/>
  <c r="U266" i="20"/>
  <c r="T266" i="20"/>
  <c r="S266" i="20"/>
  <c r="R266" i="20"/>
  <c r="Q266" i="20"/>
  <c r="P266" i="20"/>
  <c r="O266" i="20"/>
  <c r="N266" i="20"/>
  <c r="M266" i="20"/>
  <c r="L266" i="20"/>
  <c r="A266" i="20"/>
  <c r="AO265" i="20"/>
  <c r="AN265" i="20"/>
  <c r="AM265" i="20"/>
  <c r="AL265" i="20"/>
  <c r="AK265" i="20"/>
  <c r="AJ265" i="20"/>
  <c r="AI265" i="20"/>
  <c r="AH265" i="20"/>
  <c r="AG265" i="20"/>
  <c r="AF265" i="20"/>
  <c r="AE265" i="20"/>
  <c r="AD265" i="20"/>
  <c r="AC265" i="20"/>
  <c r="AB265" i="20"/>
  <c r="AA265" i="20"/>
  <c r="Z265" i="20"/>
  <c r="X265" i="20"/>
  <c r="W265" i="20"/>
  <c r="V265" i="20"/>
  <c r="U265" i="20"/>
  <c r="T265" i="20"/>
  <c r="S265" i="20"/>
  <c r="R265" i="20"/>
  <c r="Q265" i="20"/>
  <c r="P265" i="20"/>
  <c r="O265" i="20"/>
  <c r="N265" i="20"/>
  <c r="M265" i="20"/>
  <c r="L265" i="20"/>
  <c r="A265" i="20"/>
  <c r="AO264" i="20"/>
  <c r="AN264" i="20"/>
  <c r="AM264" i="20"/>
  <c r="AL264" i="20"/>
  <c r="AK264" i="20"/>
  <c r="AJ264" i="20"/>
  <c r="AI264" i="20"/>
  <c r="AH264" i="20"/>
  <c r="AG264" i="20"/>
  <c r="AF264" i="20"/>
  <c r="AE264" i="20"/>
  <c r="AD264" i="20"/>
  <c r="AC264" i="20"/>
  <c r="AB264" i="20"/>
  <c r="AA264" i="20"/>
  <c r="Z264" i="20"/>
  <c r="X264" i="20"/>
  <c r="W264" i="20"/>
  <c r="V264" i="20"/>
  <c r="U264" i="20"/>
  <c r="T264" i="20"/>
  <c r="S264" i="20"/>
  <c r="R264" i="20"/>
  <c r="Q264" i="20"/>
  <c r="P264" i="20"/>
  <c r="O264" i="20"/>
  <c r="N264" i="20"/>
  <c r="M264" i="20"/>
  <c r="L264" i="20"/>
  <c r="A264" i="20"/>
  <c r="AO263" i="20"/>
  <c r="AN263" i="20"/>
  <c r="AM263" i="20"/>
  <c r="AL263" i="20"/>
  <c r="AK263" i="20"/>
  <c r="AJ263" i="20"/>
  <c r="AI263" i="20"/>
  <c r="AH263" i="20"/>
  <c r="AG263" i="20"/>
  <c r="AF263" i="20"/>
  <c r="AE263" i="20"/>
  <c r="AD263" i="20"/>
  <c r="AC263" i="20"/>
  <c r="AB263" i="20"/>
  <c r="AA263" i="20"/>
  <c r="Z263" i="20"/>
  <c r="X263" i="20"/>
  <c r="W263" i="20"/>
  <c r="V263" i="20"/>
  <c r="U263" i="20"/>
  <c r="T263" i="20"/>
  <c r="S263" i="20"/>
  <c r="R263" i="20"/>
  <c r="Q263" i="20"/>
  <c r="P263" i="20"/>
  <c r="O263" i="20"/>
  <c r="N263" i="20"/>
  <c r="M263" i="20"/>
  <c r="L263" i="20"/>
  <c r="A263" i="20"/>
  <c r="AO262" i="20"/>
  <c r="AN262" i="20"/>
  <c r="AM262" i="20"/>
  <c r="AL262" i="20"/>
  <c r="AK262" i="20"/>
  <c r="AJ262" i="20"/>
  <c r="AI262" i="20"/>
  <c r="AH262" i="20"/>
  <c r="AG262" i="20"/>
  <c r="AF262" i="20"/>
  <c r="AE262" i="20"/>
  <c r="AD262" i="20"/>
  <c r="AC262" i="20"/>
  <c r="AB262" i="20"/>
  <c r="AA262" i="20"/>
  <c r="Z262" i="20"/>
  <c r="X262" i="20"/>
  <c r="W262" i="20"/>
  <c r="V262" i="20"/>
  <c r="U262" i="20"/>
  <c r="T262" i="20"/>
  <c r="S262" i="20"/>
  <c r="R262" i="20"/>
  <c r="Q262" i="20"/>
  <c r="P262" i="20"/>
  <c r="O262" i="20"/>
  <c r="N262" i="20"/>
  <c r="M262" i="20"/>
  <c r="L262" i="20"/>
  <c r="A262" i="20"/>
  <c r="AO261" i="20"/>
  <c r="AN261" i="20"/>
  <c r="AM261" i="20"/>
  <c r="AL261" i="20"/>
  <c r="AK261" i="20"/>
  <c r="AJ261" i="20"/>
  <c r="AI261" i="20"/>
  <c r="AH261" i="20"/>
  <c r="AG261" i="20"/>
  <c r="AF261" i="20"/>
  <c r="AE261" i="20"/>
  <c r="AD261" i="20"/>
  <c r="AC261" i="20"/>
  <c r="AB261" i="20"/>
  <c r="AA261" i="20"/>
  <c r="Z261" i="20"/>
  <c r="X261" i="20"/>
  <c r="W261" i="20"/>
  <c r="V261" i="20"/>
  <c r="U261" i="20"/>
  <c r="T261" i="20"/>
  <c r="S261" i="20"/>
  <c r="R261" i="20"/>
  <c r="Q261" i="20"/>
  <c r="P261" i="20"/>
  <c r="O261" i="20"/>
  <c r="N261" i="20"/>
  <c r="M261" i="20"/>
  <c r="L261" i="20"/>
  <c r="A261" i="20"/>
  <c r="AO260" i="20"/>
  <c r="AN260" i="20"/>
  <c r="AM260" i="20"/>
  <c r="AL260" i="20"/>
  <c r="AK260" i="20"/>
  <c r="AJ260" i="20"/>
  <c r="AI260" i="20"/>
  <c r="AH260" i="20"/>
  <c r="AG260" i="20"/>
  <c r="AF260" i="20"/>
  <c r="AE260" i="20"/>
  <c r="AD260" i="20"/>
  <c r="AC260" i="20"/>
  <c r="AB260" i="20"/>
  <c r="AA260" i="20"/>
  <c r="Z260" i="20"/>
  <c r="X260" i="20"/>
  <c r="W260" i="20"/>
  <c r="V260" i="20"/>
  <c r="U260" i="20"/>
  <c r="T260" i="20"/>
  <c r="S260" i="20"/>
  <c r="R260" i="20"/>
  <c r="Q260" i="20"/>
  <c r="P260" i="20"/>
  <c r="O260" i="20"/>
  <c r="N260" i="20"/>
  <c r="M260" i="20"/>
  <c r="L260" i="20"/>
  <c r="A260" i="20"/>
  <c r="AO259" i="20"/>
  <c r="AN259" i="20"/>
  <c r="AM259" i="20"/>
  <c r="AL259" i="20"/>
  <c r="AK259" i="20"/>
  <c r="AJ259" i="20"/>
  <c r="AI259" i="20"/>
  <c r="AH259" i="20"/>
  <c r="AG259" i="20"/>
  <c r="AF259" i="20"/>
  <c r="AE259" i="20"/>
  <c r="AD259" i="20"/>
  <c r="AC259" i="20"/>
  <c r="AB259" i="20"/>
  <c r="AA259" i="20"/>
  <c r="Z259" i="20"/>
  <c r="X259" i="20"/>
  <c r="W259" i="20"/>
  <c r="V259" i="20"/>
  <c r="U259" i="20"/>
  <c r="T259" i="20"/>
  <c r="S259" i="20"/>
  <c r="R259" i="20"/>
  <c r="Q259" i="20"/>
  <c r="P259" i="20"/>
  <c r="O259" i="20"/>
  <c r="N259" i="20"/>
  <c r="M259" i="20"/>
  <c r="L259" i="20"/>
  <c r="A259" i="20"/>
  <c r="AO258" i="20"/>
  <c r="AN258" i="20"/>
  <c r="AM258" i="20"/>
  <c r="AL258" i="20"/>
  <c r="AK258" i="20"/>
  <c r="AJ258" i="20"/>
  <c r="AI258" i="20"/>
  <c r="AH258" i="20"/>
  <c r="AG258" i="20"/>
  <c r="AF258" i="20"/>
  <c r="AE258" i="20"/>
  <c r="AD258" i="20"/>
  <c r="AC258" i="20"/>
  <c r="AB258" i="20"/>
  <c r="AA258" i="20"/>
  <c r="Z258" i="20"/>
  <c r="X258" i="20"/>
  <c r="W258" i="20"/>
  <c r="V258" i="20"/>
  <c r="U258" i="20"/>
  <c r="T258" i="20"/>
  <c r="S258" i="20"/>
  <c r="R258" i="20"/>
  <c r="Q258" i="20"/>
  <c r="P258" i="20"/>
  <c r="O258" i="20"/>
  <c r="N258" i="20"/>
  <c r="M258" i="20"/>
  <c r="L258" i="20"/>
  <c r="A258" i="20"/>
  <c r="AO257" i="20"/>
  <c r="AN257" i="20"/>
  <c r="AM257" i="20"/>
  <c r="AL257" i="20"/>
  <c r="AK257" i="20"/>
  <c r="AJ257" i="20"/>
  <c r="AI257" i="20"/>
  <c r="AH257" i="20"/>
  <c r="AG257" i="20"/>
  <c r="AF257" i="20"/>
  <c r="AE257" i="20"/>
  <c r="AD257" i="20"/>
  <c r="AC257" i="20"/>
  <c r="AB257" i="20"/>
  <c r="AA257" i="20"/>
  <c r="Z257" i="20"/>
  <c r="X257" i="20"/>
  <c r="W257" i="20"/>
  <c r="V257" i="20"/>
  <c r="U257" i="20"/>
  <c r="T257" i="20"/>
  <c r="S257" i="20"/>
  <c r="R257" i="20"/>
  <c r="Q257" i="20"/>
  <c r="P257" i="20"/>
  <c r="O257" i="20"/>
  <c r="N257" i="20"/>
  <c r="M257" i="20"/>
  <c r="L257" i="20"/>
  <c r="A257" i="20"/>
  <c r="AO256" i="20"/>
  <c r="AN256" i="20"/>
  <c r="AM256" i="20"/>
  <c r="AL256" i="20"/>
  <c r="AK256" i="20"/>
  <c r="AJ256" i="20"/>
  <c r="AI256" i="20"/>
  <c r="AH256" i="20"/>
  <c r="AG256" i="20"/>
  <c r="AF256" i="20"/>
  <c r="AE256" i="20"/>
  <c r="AD256" i="20"/>
  <c r="AC256" i="20"/>
  <c r="AB256" i="20"/>
  <c r="AA256" i="20"/>
  <c r="Z256" i="20"/>
  <c r="X256" i="20"/>
  <c r="W256" i="20"/>
  <c r="V256" i="20"/>
  <c r="U256" i="20"/>
  <c r="T256" i="20"/>
  <c r="S256" i="20"/>
  <c r="R256" i="20"/>
  <c r="Q256" i="20"/>
  <c r="P256" i="20"/>
  <c r="O256" i="20"/>
  <c r="N256" i="20"/>
  <c r="M256" i="20"/>
  <c r="L256" i="20"/>
  <c r="A256" i="20"/>
  <c r="AO255" i="20"/>
  <c r="AN255" i="20"/>
  <c r="AM255" i="20"/>
  <c r="AL255" i="20"/>
  <c r="AK255" i="20"/>
  <c r="AJ255" i="20"/>
  <c r="AI255" i="20"/>
  <c r="AH255" i="20"/>
  <c r="AG255" i="20"/>
  <c r="AF255" i="20"/>
  <c r="AE255" i="20"/>
  <c r="AD255" i="20"/>
  <c r="AC255" i="20"/>
  <c r="AB255" i="20"/>
  <c r="AA255" i="20"/>
  <c r="Z255" i="20"/>
  <c r="X255" i="20"/>
  <c r="W255" i="20"/>
  <c r="V255" i="20"/>
  <c r="U255" i="20"/>
  <c r="T255" i="20"/>
  <c r="S255" i="20"/>
  <c r="R255" i="20"/>
  <c r="Q255" i="20"/>
  <c r="P255" i="20"/>
  <c r="O255" i="20"/>
  <c r="N255" i="20"/>
  <c r="M255" i="20"/>
  <c r="L255" i="20"/>
  <c r="A255" i="20"/>
  <c r="AO254" i="20"/>
  <c r="AN254" i="20"/>
  <c r="AM254" i="20"/>
  <c r="AL254" i="20"/>
  <c r="AK254" i="20"/>
  <c r="AJ254" i="20"/>
  <c r="AI254" i="20"/>
  <c r="AH254" i="20"/>
  <c r="AG254" i="20"/>
  <c r="AF254" i="20"/>
  <c r="AE254" i="20"/>
  <c r="AD254" i="20"/>
  <c r="AC254" i="20"/>
  <c r="AB254" i="20"/>
  <c r="AA254" i="20"/>
  <c r="Z254" i="20"/>
  <c r="X254" i="20"/>
  <c r="W254" i="20"/>
  <c r="V254" i="20"/>
  <c r="U254" i="20"/>
  <c r="T254" i="20"/>
  <c r="S254" i="20"/>
  <c r="R254" i="20"/>
  <c r="Q254" i="20"/>
  <c r="P254" i="20"/>
  <c r="O254" i="20"/>
  <c r="N254" i="20"/>
  <c r="M254" i="20"/>
  <c r="L254" i="20"/>
  <c r="A254" i="20"/>
  <c r="AO253" i="20"/>
  <c r="AN253" i="20"/>
  <c r="AM253" i="20"/>
  <c r="AL253" i="20"/>
  <c r="AK253" i="20"/>
  <c r="AJ253" i="20"/>
  <c r="AI253" i="20"/>
  <c r="AH253" i="20"/>
  <c r="AG253" i="20"/>
  <c r="AF253" i="20"/>
  <c r="AE253" i="20"/>
  <c r="AD253" i="20"/>
  <c r="AC253" i="20"/>
  <c r="AB253" i="20"/>
  <c r="AA253" i="20"/>
  <c r="Z253" i="20"/>
  <c r="X253" i="20"/>
  <c r="W253" i="20"/>
  <c r="V253" i="20"/>
  <c r="U253" i="20"/>
  <c r="T253" i="20"/>
  <c r="S253" i="20"/>
  <c r="R253" i="20"/>
  <c r="Q253" i="20"/>
  <c r="P253" i="20"/>
  <c r="O253" i="20"/>
  <c r="N253" i="20"/>
  <c r="M253" i="20"/>
  <c r="L253" i="20"/>
  <c r="A253" i="20"/>
  <c r="AO252" i="20"/>
  <c r="AN252" i="20"/>
  <c r="AM252" i="20"/>
  <c r="AL252" i="20"/>
  <c r="AK252" i="20"/>
  <c r="AJ252" i="20"/>
  <c r="AI252" i="20"/>
  <c r="AH252" i="20"/>
  <c r="AG252" i="20"/>
  <c r="AF252" i="20"/>
  <c r="AE252" i="20"/>
  <c r="AD252" i="20"/>
  <c r="AC252" i="20"/>
  <c r="AB252" i="20"/>
  <c r="AA252" i="20"/>
  <c r="Z252" i="20"/>
  <c r="X252" i="20"/>
  <c r="W252" i="20"/>
  <c r="V252" i="20"/>
  <c r="U252" i="20"/>
  <c r="T252" i="20"/>
  <c r="S252" i="20"/>
  <c r="R252" i="20"/>
  <c r="Q252" i="20"/>
  <c r="P252" i="20"/>
  <c r="O252" i="20"/>
  <c r="N252" i="20"/>
  <c r="M252" i="20"/>
  <c r="L252" i="20"/>
  <c r="A252" i="20"/>
  <c r="AO251" i="20"/>
  <c r="AN251" i="20"/>
  <c r="AM251" i="20"/>
  <c r="AL251" i="20"/>
  <c r="AK251" i="20"/>
  <c r="AJ251" i="20"/>
  <c r="AI251" i="20"/>
  <c r="AH251" i="20"/>
  <c r="AG251" i="20"/>
  <c r="AF251" i="20"/>
  <c r="AE251" i="20"/>
  <c r="AD251" i="20"/>
  <c r="AC251" i="20"/>
  <c r="AB251" i="20"/>
  <c r="AA251" i="20"/>
  <c r="Z251" i="20"/>
  <c r="X251" i="20"/>
  <c r="W251" i="20"/>
  <c r="V251" i="20"/>
  <c r="U251" i="20"/>
  <c r="T251" i="20"/>
  <c r="S251" i="20"/>
  <c r="R251" i="20"/>
  <c r="Q251" i="20"/>
  <c r="P251" i="20"/>
  <c r="O251" i="20"/>
  <c r="N251" i="20"/>
  <c r="M251" i="20"/>
  <c r="L251" i="20"/>
  <c r="A251" i="20"/>
  <c r="AO250" i="20"/>
  <c r="AN250" i="20"/>
  <c r="AM250" i="20"/>
  <c r="AL250" i="20"/>
  <c r="AK250" i="20"/>
  <c r="AJ250" i="20"/>
  <c r="AI250" i="20"/>
  <c r="AH250" i="20"/>
  <c r="AG250" i="20"/>
  <c r="AF250" i="20"/>
  <c r="AE250" i="20"/>
  <c r="AD250" i="20"/>
  <c r="AC250" i="20"/>
  <c r="AB250" i="20"/>
  <c r="AA250" i="20"/>
  <c r="Z250" i="20"/>
  <c r="X250" i="20"/>
  <c r="W250" i="20"/>
  <c r="V250" i="20"/>
  <c r="U250" i="20"/>
  <c r="T250" i="20"/>
  <c r="S250" i="20"/>
  <c r="R250" i="20"/>
  <c r="Q250" i="20"/>
  <c r="P250" i="20"/>
  <c r="O250" i="20"/>
  <c r="N250" i="20"/>
  <c r="M250" i="20"/>
  <c r="L250" i="20"/>
  <c r="A250" i="20"/>
  <c r="AO249" i="20"/>
  <c r="AN249" i="20"/>
  <c r="AM249" i="20"/>
  <c r="AL249" i="20"/>
  <c r="AK249" i="20"/>
  <c r="AJ249" i="20"/>
  <c r="AI249" i="20"/>
  <c r="AH249" i="20"/>
  <c r="AG249" i="20"/>
  <c r="AF249" i="20"/>
  <c r="AE249" i="20"/>
  <c r="AD249" i="20"/>
  <c r="AC249" i="20"/>
  <c r="AB249" i="20"/>
  <c r="AA249" i="20"/>
  <c r="Z249" i="20"/>
  <c r="X249" i="20"/>
  <c r="W249" i="20"/>
  <c r="V249" i="20"/>
  <c r="U249" i="20"/>
  <c r="T249" i="20"/>
  <c r="S249" i="20"/>
  <c r="R249" i="20"/>
  <c r="Q249" i="20"/>
  <c r="P249" i="20"/>
  <c r="O249" i="20"/>
  <c r="N249" i="20"/>
  <c r="M249" i="20"/>
  <c r="L249" i="20"/>
  <c r="A249" i="20"/>
  <c r="AO248" i="20"/>
  <c r="AN248" i="20"/>
  <c r="AM248" i="20"/>
  <c r="AL248" i="20"/>
  <c r="AK248" i="20"/>
  <c r="AJ248" i="20"/>
  <c r="AI248" i="20"/>
  <c r="AH248" i="20"/>
  <c r="AG248" i="20"/>
  <c r="AF248" i="20"/>
  <c r="AE248" i="20"/>
  <c r="AD248" i="20"/>
  <c r="AC248" i="20"/>
  <c r="AB248" i="20"/>
  <c r="AA248" i="20"/>
  <c r="Z248" i="20"/>
  <c r="X248" i="20"/>
  <c r="W248" i="20"/>
  <c r="V248" i="20"/>
  <c r="U248" i="20"/>
  <c r="T248" i="20"/>
  <c r="S248" i="20"/>
  <c r="R248" i="20"/>
  <c r="Q248" i="20"/>
  <c r="P248" i="20"/>
  <c r="O248" i="20"/>
  <c r="N248" i="20"/>
  <c r="M248" i="20"/>
  <c r="L248" i="20"/>
  <c r="A248" i="20"/>
  <c r="AO247" i="20"/>
  <c r="AN247" i="20"/>
  <c r="AM247" i="20"/>
  <c r="AL247" i="20"/>
  <c r="AK247" i="20"/>
  <c r="AJ247" i="20"/>
  <c r="AI247" i="20"/>
  <c r="AH247" i="20"/>
  <c r="AG247" i="20"/>
  <c r="AF247" i="20"/>
  <c r="AE247" i="20"/>
  <c r="AD247" i="20"/>
  <c r="AC247" i="20"/>
  <c r="AB247" i="20"/>
  <c r="AA247" i="20"/>
  <c r="Z247" i="20"/>
  <c r="X247" i="20"/>
  <c r="W247" i="20"/>
  <c r="V247" i="20"/>
  <c r="U247" i="20"/>
  <c r="T247" i="20"/>
  <c r="S247" i="20"/>
  <c r="R247" i="20"/>
  <c r="Q247" i="20"/>
  <c r="P247" i="20"/>
  <c r="O247" i="20"/>
  <c r="N247" i="20"/>
  <c r="M247" i="20"/>
  <c r="L247" i="20"/>
  <c r="A247" i="20"/>
  <c r="AO246" i="20"/>
  <c r="AN246" i="20"/>
  <c r="AM246" i="20"/>
  <c r="AL246" i="20"/>
  <c r="AK246" i="20"/>
  <c r="AJ246" i="20"/>
  <c r="AI246" i="20"/>
  <c r="AH246" i="20"/>
  <c r="AG246" i="20"/>
  <c r="AF246" i="20"/>
  <c r="AE246" i="20"/>
  <c r="AD246" i="20"/>
  <c r="AC246" i="20"/>
  <c r="AB246" i="20"/>
  <c r="AA246" i="20"/>
  <c r="Z246" i="20"/>
  <c r="X246" i="20"/>
  <c r="W246" i="20"/>
  <c r="V246" i="20"/>
  <c r="U246" i="20"/>
  <c r="T246" i="20"/>
  <c r="S246" i="20"/>
  <c r="R246" i="20"/>
  <c r="Q246" i="20"/>
  <c r="P246" i="20"/>
  <c r="O246" i="20"/>
  <c r="N246" i="20"/>
  <c r="M246" i="20"/>
  <c r="L246" i="20"/>
  <c r="A246" i="20"/>
  <c r="AO245" i="20"/>
  <c r="AN245" i="20"/>
  <c r="AM245" i="20"/>
  <c r="AL245" i="20"/>
  <c r="AK245" i="20"/>
  <c r="AJ245" i="20"/>
  <c r="AI245" i="20"/>
  <c r="AH245" i="20"/>
  <c r="AG245" i="20"/>
  <c r="AF245" i="20"/>
  <c r="AE245" i="20"/>
  <c r="AD245" i="20"/>
  <c r="AC245" i="20"/>
  <c r="AB245" i="20"/>
  <c r="AA245" i="20"/>
  <c r="Z245" i="20"/>
  <c r="X245" i="20"/>
  <c r="W245" i="20"/>
  <c r="V245" i="20"/>
  <c r="U245" i="20"/>
  <c r="T245" i="20"/>
  <c r="S245" i="20"/>
  <c r="R245" i="20"/>
  <c r="Q245" i="20"/>
  <c r="P245" i="20"/>
  <c r="O245" i="20"/>
  <c r="N245" i="20"/>
  <c r="M245" i="20"/>
  <c r="L245" i="20"/>
  <c r="A245" i="20"/>
  <c r="AO244" i="20"/>
  <c r="AN244" i="20"/>
  <c r="AM244" i="20"/>
  <c r="AL244" i="20"/>
  <c r="AK244" i="20"/>
  <c r="AJ244" i="20"/>
  <c r="AI244" i="20"/>
  <c r="AH244" i="20"/>
  <c r="AG244" i="20"/>
  <c r="AF244" i="20"/>
  <c r="AE244" i="20"/>
  <c r="AD244" i="20"/>
  <c r="AC244" i="20"/>
  <c r="AB244" i="20"/>
  <c r="AA244" i="20"/>
  <c r="Z244" i="20"/>
  <c r="X244" i="20"/>
  <c r="W244" i="20"/>
  <c r="V244" i="20"/>
  <c r="U244" i="20"/>
  <c r="T244" i="20"/>
  <c r="S244" i="20"/>
  <c r="R244" i="20"/>
  <c r="Q244" i="20"/>
  <c r="P244" i="20"/>
  <c r="O244" i="20"/>
  <c r="N244" i="20"/>
  <c r="M244" i="20"/>
  <c r="L244" i="20"/>
  <c r="A244" i="20"/>
  <c r="AO243" i="20"/>
  <c r="AN243" i="20"/>
  <c r="AM243" i="20"/>
  <c r="AL243" i="20"/>
  <c r="AK243" i="20"/>
  <c r="AJ243" i="20"/>
  <c r="AI243" i="20"/>
  <c r="AH243" i="20"/>
  <c r="AG243" i="20"/>
  <c r="AF243" i="20"/>
  <c r="AE243" i="20"/>
  <c r="AD243" i="20"/>
  <c r="AC243" i="20"/>
  <c r="AB243" i="20"/>
  <c r="AA243" i="20"/>
  <c r="Z243" i="20"/>
  <c r="X243" i="20"/>
  <c r="W243" i="20"/>
  <c r="V243" i="20"/>
  <c r="U243" i="20"/>
  <c r="T243" i="20"/>
  <c r="S243" i="20"/>
  <c r="R243" i="20"/>
  <c r="Q243" i="20"/>
  <c r="P243" i="20"/>
  <c r="O243" i="20"/>
  <c r="N243" i="20"/>
  <c r="M243" i="20"/>
  <c r="L243" i="20"/>
  <c r="A243" i="20"/>
  <c r="AO242" i="20"/>
  <c r="AN242" i="20"/>
  <c r="AM242" i="20"/>
  <c r="AL242" i="20"/>
  <c r="AK242" i="20"/>
  <c r="AJ242" i="20"/>
  <c r="AI242" i="20"/>
  <c r="AH242" i="20"/>
  <c r="AG242" i="20"/>
  <c r="AF242" i="20"/>
  <c r="AE242" i="20"/>
  <c r="AD242" i="20"/>
  <c r="AC242" i="20"/>
  <c r="AB242" i="20"/>
  <c r="AA242" i="20"/>
  <c r="Z242" i="20"/>
  <c r="X242" i="20"/>
  <c r="W242" i="20"/>
  <c r="V242" i="20"/>
  <c r="U242" i="20"/>
  <c r="T242" i="20"/>
  <c r="S242" i="20"/>
  <c r="R242" i="20"/>
  <c r="Q242" i="20"/>
  <c r="P242" i="20"/>
  <c r="O242" i="20"/>
  <c r="N242" i="20"/>
  <c r="M242" i="20"/>
  <c r="L242" i="20"/>
  <c r="A242" i="20"/>
  <c r="AO241" i="20"/>
  <c r="AN241" i="20"/>
  <c r="AM241" i="20"/>
  <c r="AL241" i="20"/>
  <c r="AK241" i="20"/>
  <c r="AJ241" i="20"/>
  <c r="AI241" i="20"/>
  <c r="AH241" i="20"/>
  <c r="AG241" i="20"/>
  <c r="AF241" i="20"/>
  <c r="AE241" i="20"/>
  <c r="AD241" i="20"/>
  <c r="AC241" i="20"/>
  <c r="AB241" i="20"/>
  <c r="AA241" i="20"/>
  <c r="Z241" i="20"/>
  <c r="X241" i="20"/>
  <c r="W241" i="20"/>
  <c r="V241" i="20"/>
  <c r="U241" i="20"/>
  <c r="T241" i="20"/>
  <c r="S241" i="20"/>
  <c r="R241" i="20"/>
  <c r="Q241" i="20"/>
  <c r="P241" i="20"/>
  <c r="O241" i="20"/>
  <c r="N241" i="20"/>
  <c r="M241" i="20"/>
  <c r="L241" i="20"/>
  <c r="A241" i="20"/>
  <c r="AO240" i="20"/>
  <c r="AN240" i="20"/>
  <c r="AM240" i="20"/>
  <c r="AL240" i="20"/>
  <c r="AK240" i="20"/>
  <c r="AJ240" i="20"/>
  <c r="AI240" i="20"/>
  <c r="AH240" i="20"/>
  <c r="AG240" i="20"/>
  <c r="AF240" i="20"/>
  <c r="AE240" i="20"/>
  <c r="AD240" i="20"/>
  <c r="AC240" i="20"/>
  <c r="AB240" i="20"/>
  <c r="AA240" i="20"/>
  <c r="Z240" i="20"/>
  <c r="X240" i="20"/>
  <c r="W240" i="20"/>
  <c r="V240" i="20"/>
  <c r="U240" i="20"/>
  <c r="T240" i="20"/>
  <c r="S240" i="20"/>
  <c r="R240" i="20"/>
  <c r="Q240" i="20"/>
  <c r="P240" i="20"/>
  <c r="O240" i="20"/>
  <c r="N240" i="20"/>
  <c r="M240" i="20"/>
  <c r="L240" i="20"/>
  <c r="A240" i="20"/>
  <c r="AO239" i="20"/>
  <c r="AN239" i="20"/>
  <c r="AM239" i="20"/>
  <c r="AL239" i="20"/>
  <c r="AK239" i="20"/>
  <c r="AJ239" i="20"/>
  <c r="AI239" i="20"/>
  <c r="AH239" i="20"/>
  <c r="AG239" i="20"/>
  <c r="AF239" i="20"/>
  <c r="AE239" i="20"/>
  <c r="AD239" i="20"/>
  <c r="AC239" i="20"/>
  <c r="AB239" i="20"/>
  <c r="AA239" i="20"/>
  <c r="Z239" i="20"/>
  <c r="X239" i="20"/>
  <c r="W239" i="20"/>
  <c r="V239" i="20"/>
  <c r="U239" i="20"/>
  <c r="T239" i="20"/>
  <c r="S239" i="20"/>
  <c r="R239" i="20"/>
  <c r="Q239" i="20"/>
  <c r="P239" i="20"/>
  <c r="O239" i="20"/>
  <c r="N239" i="20"/>
  <c r="M239" i="20"/>
  <c r="L239" i="20"/>
  <c r="A239" i="20"/>
  <c r="AO238" i="20"/>
  <c r="AN238" i="20"/>
  <c r="AM238" i="20"/>
  <c r="AL238" i="20"/>
  <c r="AK238" i="20"/>
  <c r="AJ238" i="20"/>
  <c r="AI238" i="20"/>
  <c r="AH238" i="20"/>
  <c r="AG238" i="20"/>
  <c r="AF238" i="20"/>
  <c r="AE238" i="20"/>
  <c r="AD238" i="20"/>
  <c r="AC238" i="20"/>
  <c r="AB238" i="20"/>
  <c r="AA238" i="20"/>
  <c r="Z238" i="20"/>
  <c r="X238" i="20"/>
  <c r="W238" i="20"/>
  <c r="V238" i="20"/>
  <c r="U238" i="20"/>
  <c r="T238" i="20"/>
  <c r="S238" i="20"/>
  <c r="R238" i="20"/>
  <c r="Q238" i="20"/>
  <c r="P238" i="20"/>
  <c r="O238" i="20"/>
  <c r="N238" i="20"/>
  <c r="M238" i="20"/>
  <c r="L238" i="20"/>
  <c r="A238" i="20"/>
  <c r="AO237" i="20"/>
  <c r="AN237" i="20"/>
  <c r="AM237" i="20"/>
  <c r="AL237" i="20"/>
  <c r="AK237" i="20"/>
  <c r="AJ237" i="20"/>
  <c r="AI237" i="20"/>
  <c r="AH237" i="20"/>
  <c r="AG237" i="20"/>
  <c r="AF237" i="20"/>
  <c r="AE237" i="20"/>
  <c r="AD237" i="20"/>
  <c r="AC237" i="20"/>
  <c r="AB237" i="20"/>
  <c r="AA237" i="20"/>
  <c r="Z237" i="20"/>
  <c r="X237" i="20"/>
  <c r="W237" i="20"/>
  <c r="V237" i="20"/>
  <c r="U237" i="20"/>
  <c r="T237" i="20"/>
  <c r="S237" i="20"/>
  <c r="R237" i="20"/>
  <c r="Q237" i="20"/>
  <c r="P237" i="20"/>
  <c r="O237" i="20"/>
  <c r="N237" i="20"/>
  <c r="M237" i="20"/>
  <c r="L237" i="20"/>
  <c r="A237" i="20"/>
  <c r="AO236" i="20"/>
  <c r="AN236" i="20"/>
  <c r="AM236" i="20"/>
  <c r="AL236" i="20"/>
  <c r="AK236" i="20"/>
  <c r="AJ236" i="20"/>
  <c r="AI236" i="20"/>
  <c r="AH236" i="20"/>
  <c r="AG236" i="20"/>
  <c r="AF236" i="20"/>
  <c r="AE236" i="20"/>
  <c r="AD236" i="20"/>
  <c r="AC236" i="20"/>
  <c r="AB236" i="20"/>
  <c r="AA236" i="20"/>
  <c r="Z236" i="20"/>
  <c r="X236" i="20"/>
  <c r="W236" i="20"/>
  <c r="V236" i="20"/>
  <c r="U236" i="20"/>
  <c r="T236" i="20"/>
  <c r="S236" i="20"/>
  <c r="R236" i="20"/>
  <c r="Q236" i="20"/>
  <c r="P236" i="20"/>
  <c r="O236" i="20"/>
  <c r="N236" i="20"/>
  <c r="M236" i="20"/>
  <c r="L236" i="20"/>
  <c r="A236" i="20"/>
  <c r="AO235" i="20"/>
  <c r="AN235" i="20"/>
  <c r="AM235" i="20"/>
  <c r="AL235" i="20"/>
  <c r="AK235" i="20"/>
  <c r="AJ235" i="20"/>
  <c r="AI235" i="20"/>
  <c r="AH235" i="20"/>
  <c r="AG235" i="20"/>
  <c r="AF235" i="20"/>
  <c r="AE235" i="20"/>
  <c r="AD235" i="20"/>
  <c r="AC235" i="20"/>
  <c r="AB235" i="20"/>
  <c r="AA235" i="20"/>
  <c r="Z235" i="20"/>
  <c r="X235" i="20"/>
  <c r="W235" i="20"/>
  <c r="V235" i="20"/>
  <c r="U235" i="20"/>
  <c r="T235" i="20"/>
  <c r="S235" i="20"/>
  <c r="R235" i="20"/>
  <c r="Q235" i="20"/>
  <c r="P235" i="20"/>
  <c r="O235" i="20"/>
  <c r="N235" i="20"/>
  <c r="M235" i="20"/>
  <c r="L235" i="20"/>
  <c r="A235" i="20"/>
  <c r="AO234" i="20"/>
  <c r="AN234" i="20"/>
  <c r="AM234" i="20"/>
  <c r="AL234" i="20"/>
  <c r="AK234" i="20"/>
  <c r="AJ234" i="20"/>
  <c r="AI234" i="20"/>
  <c r="AH234" i="20"/>
  <c r="AG234" i="20"/>
  <c r="AF234" i="20"/>
  <c r="AE234" i="20"/>
  <c r="AD234" i="20"/>
  <c r="AC234" i="20"/>
  <c r="AB234" i="20"/>
  <c r="AA234" i="20"/>
  <c r="Z234" i="20"/>
  <c r="X234" i="20"/>
  <c r="W234" i="20"/>
  <c r="V234" i="20"/>
  <c r="U234" i="20"/>
  <c r="T234" i="20"/>
  <c r="S234" i="20"/>
  <c r="R234" i="20"/>
  <c r="Q234" i="20"/>
  <c r="P234" i="20"/>
  <c r="O234" i="20"/>
  <c r="N234" i="20"/>
  <c r="M234" i="20"/>
  <c r="L234" i="20"/>
  <c r="A234" i="20"/>
  <c r="AO233" i="20"/>
  <c r="AN233" i="20"/>
  <c r="AM233" i="20"/>
  <c r="AL233" i="20"/>
  <c r="AK233" i="20"/>
  <c r="AJ233" i="20"/>
  <c r="AI233" i="20"/>
  <c r="AH233" i="20"/>
  <c r="AG233" i="20"/>
  <c r="AF233" i="20"/>
  <c r="AE233" i="20"/>
  <c r="AD233" i="20"/>
  <c r="AC233" i="20"/>
  <c r="AB233" i="20"/>
  <c r="AA233" i="20"/>
  <c r="Z233" i="20"/>
  <c r="X233" i="20"/>
  <c r="W233" i="20"/>
  <c r="V233" i="20"/>
  <c r="U233" i="20"/>
  <c r="T233" i="20"/>
  <c r="S233" i="20"/>
  <c r="R233" i="20"/>
  <c r="Q233" i="20"/>
  <c r="P233" i="20"/>
  <c r="O233" i="20"/>
  <c r="N233" i="20"/>
  <c r="M233" i="20"/>
  <c r="L233" i="20"/>
  <c r="A233" i="20"/>
  <c r="AO232" i="20"/>
  <c r="AN232" i="20"/>
  <c r="AM232" i="20"/>
  <c r="AL232" i="20"/>
  <c r="AK232" i="20"/>
  <c r="AJ232" i="20"/>
  <c r="AI232" i="20"/>
  <c r="AH232" i="20"/>
  <c r="AG232" i="20"/>
  <c r="AF232" i="20"/>
  <c r="AE232" i="20"/>
  <c r="AD232" i="20"/>
  <c r="AC232" i="20"/>
  <c r="AB232" i="20"/>
  <c r="AA232" i="20"/>
  <c r="Z232" i="20"/>
  <c r="X232" i="20"/>
  <c r="W232" i="20"/>
  <c r="V232" i="20"/>
  <c r="U232" i="20"/>
  <c r="T232" i="20"/>
  <c r="S232" i="20"/>
  <c r="R232" i="20"/>
  <c r="Q232" i="20"/>
  <c r="P232" i="20"/>
  <c r="O232" i="20"/>
  <c r="N232" i="20"/>
  <c r="M232" i="20"/>
  <c r="L232" i="20"/>
  <c r="A232" i="20"/>
  <c r="AO231" i="20"/>
  <c r="AN231" i="20"/>
  <c r="AM231" i="20"/>
  <c r="AL231" i="20"/>
  <c r="AK231" i="20"/>
  <c r="AJ231" i="20"/>
  <c r="AI231" i="20"/>
  <c r="AH231" i="20"/>
  <c r="AG231" i="20"/>
  <c r="AF231" i="20"/>
  <c r="AE231" i="20"/>
  <c r="AD231" i="20"/>
  <c r="AC231" i="20"/>
  <c r="AB231" i="20"/>
  <c r="AA231" i="20"/>
  <c r="Z231" i="20"/>
  <c r="X231" i="20"/>
  <c r="W231" i="20"/>
  <c r="V231" i="20"/>
  <c r="U231" i="20"/>
  <c r="T231" i="20"/>
  <c r="S231" i="20"/>
  <c r="R231" i="20"/>
  <c r="Q231" i="20"/>
  <c r="P231" i="20"/>
  <c r="O231" i="20"/>
  <c r="N231" i="20"/>
  <c r="M231" i="20"/>
  <c r="L231" i="20"/>
  <c r="A231" i="20"/>
  <c r="AO230" i="20"/>
  <c r="AN230" i="20"/>
  <c r="AM230" i="20"/>
  <c r="AL230" i="20"/>
  <c r="AK230" i="20"/>
  <c r="AJ230" i="20"/>
  <c r="AI230" i="20"/>
  <c r="AH230" i="20"/>
  <c r="AG230" i="20"/>
  <c r="AF230" i="20"/>
  <c r="AE230" i="20"/>
  <c r="AD230" i="20"/>
  <c r="AC230" i="20"/>
  <c r="AB230" i="20"/>
  <c r="AA230" i="20"/>
  <c r="Z230" i="20"/>
  <c r="X230" i="20"/>
  <c r="W230" i="20"/>
  <c r="V230" i="20"/>
  <c r="U230" i="20"/>
  <c r="T230" i="20"/>
  <c r="S230" i="20"/>
  <c r="R230" i="20"/>
  <c r="Q230" i="20"/>
  <c r="P230" i="20"/>
  <c r="O230" i="20"/>
  <c r="N230" i="20"/>
  <c r="M230" i="20"/>
  <c r="L230" i="20"/>
  <c r="A230" i="20"/>
  <c r="AO229" i="20"/>
  <c r="AN229" i="20"/>
  <c r="AM229" i="20"/>
  <c r="AL229" i="20"/>
  <c r="AK229" i="20"/>
  <c r="AJ229" i="20"/>
  <c r="AI229" i="20"/>
  <c r="AH229" i="20"/>
  <c r="AG229" i="20"/>
  <c r="AF229" i="20"/>
  <c r="AE229" i="20"/>
  <c r="AD229" i="20"/>
  <c r="AC229" i="20"/>
  <c r="AB229" i="20"/>
  <c r="AA229" i="20"/>
  <c r="Z229" i="20"/>
  <c r="X229" i="20"/>
  <c r="W229" i="20"/>
  <c r="V229" i="20"/>
  <c r="U229" i="20"/>
  <c r="T229" i="20"/>
  <c r="S229" i="20"/>
  <c r="R229" i="20"/>
  <c r="Q229" i="20"/>
  <c r="P229" i="20"/>
  <c r="O229" i="20"/>
  <c r="N229" i="20"/>
  <c r="M229" i="20"/>
  <c r="L229" i="20"/>
  <c r="A229" i="20"/>
  <c r="AO228" i="20"/>
  <c r="AN228" i="20"/>
  <c r="AM228" i="20"/>
  <c r="AL228" i="20"/>
  <c r="AK228" i="20"/>
  <c r="AJ228" i="20"/>
  <c r="AI228" i="20"/>
  <c r="AH228" i="20"/>
  <c r="AG228" i="20"/>
  <c r="AF228" i="20"/>
  <c r="AE228" i="20"/>
  <c r="AD228" i="20"/>
  <c r="AC228" i="20"/>
  <c r="AB228" i="20"/>
  <c r="AA228" i="20"/>
  <c r="Z228" i="20"/>
  <c r="X228" i="20"/>
  <c r="W228" i="20"/>
  <c r="V228" i="20"/>
  <c r="U228" i="20"/>
  <c r="T228" i="20"/>
  <c r="S228" i="20"/>
  <c r="R228" i="20"/>
  <c r="Q228" i="20"/>
  <c r="P228" i="20"/>
  <c r="O228" i="20"/>
  <c r="N228" i="20"/>
  <c r="M228" i="20"/>
  <c r="L228" i="20"/>
  <c r="A228" i="20"/>
  <c r="AO227" i="20"/>
  <c r="AN227" i="20"/>
  <c r="AM227" i="20"/>
  <c r="AL227" i="20"/>
  <c r="AK227" i="20"/>
  <c r="AJ227" i="20"/>
  <c r="AI227" i="20"/>
  <c r="AH227" i="20"/>
  <c r="AG227" i="20"/>
  <c r="AF227" i="20"/>
  <c r="AE227" i="20"/>
  <c r="AD227" i="20"/>
  <c r="AC227" i="20"/>
  <c r="AB227" i="20"/>
  <c r="AA227" i="20"/>
  <c r="Z227" i="20"/>
  <c r="X227" i="20"/>
  <c r="W227" i="20"/>
  <c r="V227" i="20"/>
  <c r="U227" i="20"/>
  <c r="T227" i="20"/>
  <c r="S227" i="20"/>
  <c r="R227" i="20"/>
  <c r="Q227" i="20"/>
  <c r="P227" i="20"/>
  <c r="O227" i="20"/>
  <c r="N227" i="20"/>
  <c r="M227" i="20"/>
  <c r="L227" i="20"/>
  <c r="A227" i="20"/>
  <c r="AO226" i="20"/>
  <c r="AN226" i="20"/>
  <c r="AM226" i="20"/>
  <c r="AL226" i="20"/>
  <c r="AK226" i="20"/>
  <c r="AJ226" i="20"/>
  <c r="AI226" i="20"/>
  <c r="AH226" i="20"/>
  <c r="AG226" i="20"/>
  <c r="AF226" i="20"/>
  <c r="AE226" i="20"/>
  <c r="AD226" i="20"/>
  <c r="AC226" i="20"/>
  <c r="AB226" i="20"/>
  <c r="AA226" i="20"/>
  <c r="Z226" i="20"/>
  <c r="X226" i="20"/>
  <c r="W226" i="20"/>
  <c r="V226" i="20"/>
  <c r="U226" i="20"/>
  <c r="T226" i="20"/>
  <c r="S226" i="20"/>
  <c r="R226" i="20"/>
  <c r="Q226" i="20"/>
  <c r="P226" i="20"/>
  <c r="O226" i="20"/>
  <c r="N226" i="20"/>
  <c r="M226" i="20"/>
  <c r="L226" i="20"/>
  <c r="A226" i="20"/>
  <c r="AO225" i="20"/>
  <c r="AN225" i="20"/>
  <c r="AM225" i="20"/>
  <c r="AL225" i="20"/>
  <c r="AK225" i="20"/>
  <c r="AJ225" i="20"/>
  <c r="AI225" i="20"/>
  <c r="AH225" i="20"/>
  <c r="AG225" i="20"/>
  <c r="AF225" i="20"/>
  <c r="AE225" i="20"/>
  <c r="AD225" i="20"/>
  <c r="AC225" i="20"/>
  <c r="AB225" i="20"/>
  <c r="AA225" i="20"/>
  <c r="Z225" i="20"/>
  <c r="X225" i="20"/>
  <c r="W225" i="20"/>
  <c r="V225" i="20"/>
  <c r="U225" i="20"/>
  <c r="T225" i="20"/>
  <c r="S225" i="20"/>
  <c r="R225" i="20"/>
  <c r="Q225" i="20"/>
  <c r="P225" i="20"/>
  <c r="O225" i="20"/>
  <c r="N225" i="20"/>
  <c r="M225" i="20"/>
  <c r="L225" i="20"/>
  <c r="A225" i="20"/>
  <c r="AO224" i="20"/>
  <c r="AN224" i="20"/>
  <c r="AM224" i="20"/>
  <c r="AL224" i="20"/>
  <c r="AK224" i="20"/>
  <c r="AJ224" i="20"/>
  <c r="AI224" i="20"/>
  <c r="AH224" i="20"/>
  <c r="AG224" i="20"/>
  <c r="AF224" i="20"/>
  <c r="AE224" i="20"/>
  <c r="AD224" i="20"/>
  <c r="AC224" i="20"/>
  <c r="AB224" i="20"/>
  <c r="AA224" i="20"/>
  <c r="Z224" i="20"/>
  <c r="X224" i="20"/>
  <c r="W224" i="20"/>
  <c r="V224" i="20"/>
  <c r="U224" i="20"/>
  <c r="T224" i="20"/>
  <c r="S224" i="20"/>
  <c r="R224" i="20"/>
  <c r="Q224" i="20"/>
  <c r="P224" i="20"/>
  <c r="O224" i="20"/>
  <c r="N224" i="20"/>
  <c r="M224" i="20"/>
  <c r="L224" i="20"/>
  <c r="A224" i="20"/>
  <c r="AO223" i="20"/>
  <c r="AN223" i="20"/>
  <c r="AM223" i="20"/>
  <c r="AL223" i="20"/>
  <c r="AK223" i="20"/>
  <c r="AJ223" i="20"/>
  <c r="AI223" i="20"/>
  <c r="AH223" i="20"/>
  <c r="AG223" i="20"/>
  <c r="AF223" i="20"/>
  <c r="AE223" i="20"/>
  <c r="AD223" i="20"/>
  <c r="AC223" i="20"/>
  <c r="AB223" i="20"/>
  <c r="AA223" i="20"/>
  <c r="Z223" i="20"/>
  <c r="AO222" i="20"/>
  <c r="AN222" i="20"/>
  <c r="AM222" i="20"/>
  <c r="AL222" i="20"/>
  <c r="AK222" i="20"/>
  <c r="AJ222" i="20"/>
  <c r="AI222" i="20"/>
  <c r="AH222" i="20"/>
  <c r="AG222" i="20"/>
  <c r="AF222" i="20"/>
  <c r="AE222" i="20"/>
  <c r="AD222" i="20"/>
  <c r="AC222" i="20"/>
  <c r="AB222" i="20"/>
  <c r="AA222" i="20"/>
  <c r="Z222" i="20"/>
  <c r="X222" i="20"/>
  <c r="W222" i="20"/>
  <c r="V222" i="20"/>
  <c r="U222" i="20"/>
  <c r="T222" i="20"/>
  <c r="S222" i="20"/>
  <c r="R222" i="20"/>
  <c r="Q222" i="20"/>
  <c r="P222" i="20"/>
  <c r="O222" i="20"/>
  <c r="N222" i="20"/>
  <c r="M222" i="20"/>
  <c r="L222" i="20"/>
  <c r="A222" i="20"/>
  <c r="AO221" i="20"/>
  <c r="AN221" i="20"/>
  <c r="AM221" i="20"/>
  <c r="AL221" i="20"/>
  <c r="AK221" i="20"/>
  <c r="AJ221" i="20"/>
  <c r="AI221" i="20"/>
  <c r="AH221" i="20"/>
  <c r="AG221" i="20"/>
  <c r="AF221" i="20"/>
  <c r="AE221" i="20"/>
  <c r="AD221" i="20"/>
  <c r="AC221" i="20"/>
  <c r="AB221" i="20"/>
  <c r="AA221" i="20"/>
  <c r="Z221" i="20"/>
  <c r="X221" i="20"/>
  <c r="W221" i="20"/>
  <c r="V221" i="20"/>
  <c r="U221" i="20"/>
  <c r="T221" i="20"/>
  <c r="S221" i="20"/>
  <c r="R221" i="20"/>
  <c r="Q221" i="20"/>
  <c r="P221" i="20"/>
  <c r="O221" i="20"/>
  <c r="N221" i="20"/>
  <c r="M221" i="20"/>
  <c r="L221" i="20"/>
  <c r="A221" i="20"/>
  <c r="AO220" i="20"/>
  <c r="AN220" i="20"/>
  <c r="AM220" i="20"/>
  <c r="AL220" i="20"/>
  <c r="AK220" i="20"/>
  <c r="AJ220" i="20"/>
  <c r="AI220" i="20"/>
  <c r="AH220" i="20"/>
  <c r="AG220" i="20"/>
  <c r="AF220" i="20"/>
  <c r="AE220" i="20"/>
  <c r="AD220" i="20"/>
  <c r="AC220" i="20"/>
  <c r="AB220" i="20"/>
  <c r="AA220" i="20"/>
  <c r="Z220" i="20"/>
  <c r="X220" i="20"/>
  <c r="W220" i="20"/>
  <c r="V220" i="20"/>
  <c r="U220" i="20"/>
  <c r="T220" i="20"/>
  <c r="S220" i="20"/>
  <c r="R220" i="20"/>
  <c r="Q220" i="20"/>
  <c r="P220" i="20"/>
  <c r="O220" i="20"/>
  <c r="N220" i="20"/>
  <c r="M220" i="20"/>
  <c r="L220" i="20"/>
  <c r="A220" i="20"/>
  <c r="AO219" i="20"/>
  <c r="AN219" i="20"/>
  <c r="AM219" i="20"/>
  <c r="AL219" i="20"/>
  <c r="AK219" i="20"/>
  <c r="AJ219" i="20"/>
  <c r="AI219" i="20"/>
  <c r="AH219" i="20"/>
  <c r="AG219" i="20"/>
  <c r="AF219" i="20"/>
  <c r="AE219" i="20"/>
  <c r="AD219" i="20"/>
  <c r="AC219" i="20"/>
  <c r="AB219" i="20"/>
  <c r="AA219" i="20"/>
  <c r="Z219" i="20"/>
  <c r="X219" i="20"/>
  <c r="W219" i="20"/>
  <c r="V219" i="20"/>
  <c r="U219" i="20"/>
  <c r="T219" i="20"/>
  <c r="S219" i="20"/>
  <c r="R219" i="20"/>
  <c r="Q219" i="20"/>
  <c r="P219" i="20"/>
  <c r="O219" i="20"/>
  <c r="N219" i="20"/>
  <c r="M219" i="20"/>
  <c r="L219" i="20"/>
  <c r="A219" i="20"/>
  <c r="AO218" i="20"/>
  <c r="AN218" i="20"/>
  <c r="AM218" i="20"/>
  <c r="AL218" i="20"/>
  <c r="AK218" i="20"/>
  <c r="AJ218" i="20"/>
  <c r="AI218" i="20"/>
  <c r="AH218" i="20"/>
  <c r="AG218" i="20"/>
  <c r="AF218" i="20"/>
  <c r="AE218" i="20"/>
  <c r="AD218" i="20"/>
  <c r="AC218" i="20"/>
  <c r="AB218" i="20"/>
  <c r="AA218" i="20"/>
  <c r="Z218" i="20"/>
  <c r="X218" i="20"/>
  <c r="W218" i="20"/>
  <c r="V218" i="20"/>
  <c r="U218" i="20"/>
  <c r="T218" i="20"/>
  <c r="S218" i="20"/>
  <c r="R218" i="20"/>
  <c r="Q218" i="20"/>
  <c r="P218" i="20"/>
  <c r="O218" i="20"/>
  <c r="N218" i="20"/>
  <c r="M218" i="20"/>
  <c r="L218" i="20"/>
  <c r="A218" i="20"/>
  <c r="AO217" i="20"/>
  <c r="AN217" i="20"/>
  <c r="AM217" i="20"/>
  <c r="AL217" i="20"/>
  <c r="AK217" i="20"/>
  <c r="AJ217" i="20"/>
  <c r="AI217" i="20"/>
  <c r="AH217" i="20"/>
  <c r="AG217" i="20"/>
  <c r="AF217" i="20"/>
  <c r="AE217" i="20"/>
  <c r="AD217" i="20"/>
  <c r="AC217" i="20"/>
  <c r="AB217" i="20"/>
  <c r="AA217" i="20"/>
  <c r="Z217" i="20"/>
  <c r="X217" i="20"/>
  <c r="W217" i="20"/>
  <c r="V217" i="20"/>
  <c r="U217" i="20"/>
  <c r="T217" i="20"/>
  <c r="S217" i="20"/>
  <c r="R217" i="20"/>
  <c r="Q217" i="20"/>
  <c r="P217" i="20"/>
  <c r="O217" i="20"/>
  <c r="N217" i="20"/>
  <c r="M217" i="20"/>
  <c r="L217" i="20"/>
  <c r="A217" i="20"/>
  <c r="AO216" i="20"/>
  <c r="AN216" i="20"/>
  <c r="AM216" i="20"/>
  <c r="AL216" i="20"/>
  <c r="AK216" i="20"/>
  <c r="AJ216" i="20"/>
  <c r="AI216" i="20"/>
  <c r="AH216" i="20"/>
  <c r="AG216" i="20"/>
  <c r="AF216" i="20"/>
  <c r="AE216" i="20"/>
  <c r="AD216" i="20"/>
  <c r="AC216" i="20"/>
  <c r="AB216" i="20"/>
  <c r="AA216" i="20"/>
  <c r="Z216" i="20"/>
  <c r="X216" i="20"/>
  <c r="W216" i="20"/>
  <c r="V216" i="20"/>
  <c r="U216" i="20"/>
  <c r="T216" i="20"/>
  <c r="S216" i="20"/>
  <c r="R216" i="20"/>
  <c r="Q216" i="20"/>
  <c r="P216" i="20"/>
  <c r="O216" i="20"/>
  <c r="N216" i="20"/>
  <c r="M216" i="20"/>
  <c r="L216" i="20"/>
  <c r="A216" i="20"/>
  <c r="AO215" i="20"/>
  <c r="AN215" i="20"/>
  <c r="AM215" i="20"/>
  <c r="AL215" i="20"/>
  <c r="AK215" i="20"/>
  <c r="AJ215" i="20"/>
  <c r="AI215" i="20"/>
  <c r="AH215" i="20"/>
  <c r="AG215" i="20"/>
  <c r="AF215" i="20"/>
  <c r="AE215" i="20"/>
  <c r="AD215" i="20"/>
  <c r="AC215" i="20"/>
  <c r="AB215" i="20"/>
  <c r="AA215" i="20"/>
  <c r="Z215" i="20"/>
  <c r="X215" i="20"/>
  <c r="W215" i="20"/>
  <c r="V215" i="20"/>
  <c r="U215" i="20"/>
  <c r="T215" i="20"/>
  <c r="S215" i="20"/>
  <c r="R215" i="20"/>
  <c r="Q215" i="20"/>
  <c r="P215" i="20"/>
  <c r="O215" i="20"/>
  <c r="N215" i="20"/>
  <c r="M215" i="20"/>
  <c r="L215" i="20"/>
  <c r="A215" i="20"/>
  <c r="AO214" i="20"/>
  <c r="AN214" i="20"/>
  <c r="AM214" i="20"/>
  <c r="AL214" i="20"/>
  <c r="AK214" i="20"/>
  <c r="AJ214" i="20"/>
  <c r="AI214" i="20"/>
  <c r="AH214" i="20"/>
  <c r="AG214" i="20"/>
  <c r="AF214" i="20"/>
  <c r="AE214" i="20"/>
  <c r="AD214" i="20"/>
  <c r="AC214" i="20"/>
  <c r="AB214" i="20"/>
  <c r="AA214" i="20"/>
  <c r="Z214" i="20"/>
  <c r="X214" i="20"/>
  <c r="W214" i="20"/>
  <c r="V214" i="20"/>
  <c r="U214" i="20"/>
  <c r="T214" i="20"/>
  <c r="S214" i="20"/>
  <c r="R214" i="20"/>
  <c r="Q214" i="20"/>
  <c r="P214" i="20"/>
  <c r="O214" i="20"/>
  <c r="N214" i="20"/>
  <c r="M214" i="20"/>
  <c r="L214" i="20"/>
  <c r="A214" i="20"/>
  <c r="AO213" i="20"/>
  <c r="AN213" i="20"/>
  <c r="AM213" i="20"/>
  <c r="AL213" i="20"/>
  <c r="AK213" i="20"/>
  <c r="AJ213" i="20"/>
  <c r="AI213" i="20"/>
  <c r="AH213" i="20"/>
  <c r="AG213" i="20"/>
  <c r="AF213" i="20"/>
  <c r="AE213" i="20"/>
  <c r="AD213" i="20"/>
  <c r="AC213" i="20"/>
  <c r="AB213" i="20"/>
  <c r="AA213" i="20"/>
  <c r="Z213" i="20"/>
  <c r="X213" i="20"/>
  <c r="W213" i="20"/>
  <c r="V213" i="20"/>
  <c r="U213" i="20"/>
  <c r="T213" i="20"/>
  <c r="S213" i="20"/>
  <c r="R213" i="20"/>
  <c r="Q213" i="20"/>
  <c r="P213" i="20"/>
  <c r="O213" i="20"/>
  <c r="N213" i="20"/>
  <c r="M213" i="20"/>
  <c r="L213" i="20"/>
  <c r="A213" i="20"/>
  <c r="AO212" i="20"/>
  <c r="AN212" i="20"/>
  <c r="AM212" i="20"/>
  <c r="AL212" i="20"/>
  <c r="AK212" i="20"/>
  <c r="AJ212" i="20"/>
  <c r="AI212" i="20"/>
  <c r="AH212" i="20"/>
  <c r="AG212" i="20"/>
  <c r="AF212" i="20"/>
  <c r="AE212" i="20"/>
  <c r="AD212" i="20"/>
  <c r="AC212" i="20"/>
  <c r="AB212" i="20"/>
  <c r="AA212" i="20"/>
  <c r="Z212" i="20"/>
  <c r="X212" i="20"/>
  <c r="W212" i="20"/>
  <c r="V212" i="20"/>
  <c r="U212" i="20"/>
  <c r="T212" i="20"/>
  <c r="S212" i="20"/>
  <c r="R212" i="20"/>
  <c r="Q212" i="20"/>
  <c r="P212" i="20"/>
  <c r="O212" i="20"/>
  <c r="N212" i="20"/>
  <c r="M212" i="20"/>
  <c r="L212" i="20"/>
  <c r="A212" i="20"/>
  <c r="AO211" i="20"/>
  <c r="AN211" i="20"/>
  <c r="AM211" i="20"/>
  <c r="AL211" i="20"/>
  <c r="AK211" i="20"/>
  <c r="AJ211" i="20"/>
  <c r="AI211" i="20"/>
  <c r="AH211" i="20"/>
  <c r="AG211" i="20"/>
  <c r="AF211" i="20"/>
  <c r="AE211" i="20"/>
  <c r="AD211" i="20"/>
  <c r="AC211" i="20"/>
  <c r="AB211" i="20"/>
  <c r="AA211" i="20"/>
  <c r="Z211" i="20"/>
  <c r="X211" i="20"/>
  <c r="W211" i="20"/>
  <c r="V211" i="20"/>
  <c r="U211" i="20"/>
  <c r="T211" i="20"/>
  <c r="S211" i="20"/>
  <c r="R211" i="20"/>
  <c r="Q211" i="20"/>
  <c r="P211" i="20"/>
  <c r="O211" i="20"/>
  <c r="N211" i="20"/>
  <c r="M211" i="20"/>
  <c r="L211" i="20"/>
  <c r="A211" i="20"/>
  <c r="AO210" i="20"/>
  <c r="AN210" i="20"/>
  <c r="AM210" i="20"/>
  <c r="AL210" i="20"/>
  <c r="AK210" i="20"/>
  <c r="AJ210" i="20"/>
  <c r="AI210" i="20"/>
  <c r="AH210" i="20"/>
  <c r="AG210" i="20"/>
  <c r="AF210" i="20"/>
  <c r="AE210" i="20"/>
  <c r="AD210" i="20"/>
  <c r="AC210" i="20"/>
  <c r="AB210" i="20"/>
  <c r="AA210" i="20"/>
  <c r="Z210" i="20"/>
  <c r="X210" i="20"/>
  <c r="W210" i="20"/>
  <c r="V210" i="20"/>
  <c r="U210" i="20"/>
  <c r="T210" i="20"/>
  <c r="S210" i="20"/>
  <c r="R210" i="20"/>
  <c r="Q210" i="20"/>
  <c r="P210" i="20"/>
  <c r="O210" i="20"/>
  <c r="N210" i="20"/>
  <c r="M210" i="20"/>
  <c r="L210" i="20"/>
  <c r="A210" i="20"/>
  <c r="AO209" i="20"/>
  <c r="AN209" i="20"/>
  <c r="AM209" i="20"/>
  <c r="AL209" i="20"/>
  <c r="AK209" i="20"/>
  <c r="AJ209" i="20"/>
  <c r="AI209" i="20"/>
  <c r="AH209" i="20"/>
  <c r="AG209" i="20"/>
  <c r="AF209" i="20"/>
  <c r="AE209" i="20"/>
  <c r="AD209" i="20"/>
  <c r="AC209" i="20"/>
  <c r="AB209" i="20"/>
  <c r="AA209" i="20"/>
  <c r="Z209" i="20"/>
  <c r="X209" i="20"/>
  <c r="W209" i="20"/>
  <c r="V209" i="20"/>
  <c r="U209" i="20"/>
  <c r="T209" i="20"/>
  <c r="S209" i="20"/>
  <c r="R209" i="20"/>
  <c r="Q209" i="20"/>
  <c r="P209" i="20"/>
  <c r="O209" i="20"/>
  <c r="N209" i="20"/>
  <c r="M209" i="20"/>
  <c r="L209" i="20"/>
  <c r="A209" i="20"/>
  <c r="AO208" i="20"/>
  <c r="AN208" i="20"/>
  <c r="AM208" i="20"/>
  <c r="AL208" i="20"/>
  <c r="AK208" i="20"/>
  <c r="AJ208" i="20"/>
  <c r="AI208" i="20"/>
  <c r="AH208" i="20"/>
  <c r="AG208" i="20"/>
  <c r="AF208" i="20"/>
  <c r="AE208" i="20"/>
  <c r="AD208" i="20"/>
  <c r="AC208" i="20"/>
  <c r="AB208" i="20"/>
  <c r="AA208" i="20"/>
  <c r="Z208" i="20"/>
  <c r="X208" i="20"/>
  <c r="W208" i="20"/>
  <c r="V208" i="20"/>
  <c r="U208" i="20"/>
  <c r="T208" i="20"/>
  <c r="S208" i="20"/>
  <c r="R208" i="20"/>
  <c r="Q208" i="20"/>
  <c r="P208" i="20"/>
  <c r="O208" i="20"/>
  <c r="N208" i="20"/>
  <c r="M208" i="20"/>
  <c r="L208" i="20"/>
  <c r="A208" i="20"/>
  <c r="AO207" i="20"/>
  <c r="AN207" i="20"/>
  <c r="AM207" i="20"/>
  <c r="AL207" i="20"/>
  <c r="AK207" i="20"/>
  <c r="AJ207" i="20"/>
  <c r="AI207" i="20"/>
  <c r="AH207" i="20"/>
  <c r="AG207" i="20"/>
  <c r="AF207" i="20"/>
  <c r="AE207" i="20"/>
  <c r="AD207" i="20"/>
  <c r="AC207" i="20"/>
  <c r="AB207" i="20"/>
  <c r="AA207" i="20"/>
  <c r="Z207" i="20"/>
  <c r="X207" i="20"/>
  <c r="W207" i="20"/>
  <c r="V207" i="20"/>
  <c r="U207" i="20"/>
  <c r="T207" i="20"/>
  <c r="S207" i="20"/>
  <c r="R207" i="20"/>
  <c r="Q207" i="20"/>
  <c r="P207" i="20"/>
  <c r="O207" i="20"/>
  <c r="N207" i="20"/>
  <c r="M207" i="20"/>
  <c r="L207" i="20"/>
  <c r="A207" i="20"/>
  <c r="AO206" i="20"/>
  <c r="AN206" i="20"/>
  <c r="AM206" i="20"/>
  <c r="AL206" i="20"/>
  <c r="AK206" i="20"/>
  <c r="AJ206" i="20"/>
  <c r="AI206" i="20"/>
  <c r="AH206" i="20"/>
  <c r="AG206" i="20"/>
  <c r="AF206" i="20"/>
  <c r="AE206" i="20"/>
  <c r="AD206" i="20"/>
  <c r="AC206" i="20"/>
  <c r="AB206" i="20"/>
  <c r="AA206" i="20"/>
  <c r="Z206" i="20"/>
  <c r="X206" i="20"/>
  <c r="W206" i="20"/>
  <c r="V206" i="20"/>
  <c r="U206" i="20"/>
  <c r="T206" i="20"/>
  <c r="S206" i="20"/>
  <c r="R206" i="20"/>
  <c r="Q206" i="20"/>
  <c r="P206" i="20"/>
  <c r="O206" i="20"/>
  <c r="N206" i="20"/>
  <c r="M206" i="20"/>
  <c r="L206" i="20"/>
  <c r="A206" i="20"/>
  <c r="AO205" i="20"/>
  <c r="AN205" i="20"/>
  <c r="AM205" i="20"/>
  <c r="AL205" i="20"/>
  <c r="AK205" i="20"/>
  <c r="AJ205" i="20"/>
  <c r="AI205" i="20"/>
  <c r="AH205" i="20"/>
  <c r="AG205" i="20"/>
  <c r="AF205" i="20"/>
  <c r="AE205" i="20"/>
  <c r="AD205" i="20"/>
  <c r="AC205" i="20"/>
  <c r="AB205" i="20"/>
  <c r="AA205" i="20"/>
  <c r="Z205" i="20"/>
  <c r="X205" i="20"/>
  <c r="W205" i="20"/>
  <c r="V205" i="20"/>
  <c r="U205" i="20"/>
  <c r="T205" i="20"/>
  <c r="S205" i="20"/>
  <c r="R205" i="20"/>
  <c r="Q205" i="20"/>
  <c r="P205" i="20"/>
  <c r="O205" i="20"/>
  <c r="N205" i="20"/>
  <c r="M205" i="20"/>
  <c r="L205" i="20"/>
  <c r="A205" i="20"/>
  <c r="AO204" i="20"/>
  <c r="AN204" i="20"/>
  <c r="AM204" i="20"/>
  <c r="AL204" i="20"/>
  <c r="AK204" i="20"/>
  <c r="AJ204" i="20"/>
  <c r="AI204" i="20"/>
  <c r="AH204" i="20"/>
  <c r="AG204" i="20"/>
  <c r="AF204" i="20"/>
  <c r="AE204" i="20"/>
  <c r="AD204" i="20"/>
  <c r="AC204" i="20"/>
  <c r="AB204" i="20"/>
  <c r="AA204" i="20"/>
  <c r="Z204" i="20"/>
  <c r="X204" i="20"/>
  <c r="W204" i="20"/>
  <c r="V204" i="20"/>
  <c r="U204" i="20"/>
  <c r="T204" i="20"/>
  <c r="S204" i="20"/>
  <c r="R204" i="20"/>
  <c r="Q204" i="20"/>
  <c r="P204" i="20"/>
  <c r="O204" i="20"/>
  <c r="N204" i="20"/>
  <c r="M204" i="20"/>
  <c r="L204" i="20"/>
  <c r="A204" i="20"/>
  <c r="AO203" i="20"/>
  <c r="AN203" i="20"/>
  <c r="AM203" i="20"/>
  <c r="AL203" i="20"/>
  <c r="AK203" i="20"/>
  <c r="AJ203" i="20"/>
  <c r="AI203" i="20"/>
  <c r="AH203" i="20"/>
  <c r="AG203" i="20"/>
  <c r="AF203" i="20"/>
  <c r="AE203" i="20"/>
  <c r="AD203" i="20"/>
  <c r="AC203" i="20"/>
  <c r="AB203" i="20"/>
  <c r="AA203" i="20"/>
  <c r="Z203" i="20"/>
  <c r="X203" i="20"/>
  <c r="W203" i="20"/>
  <c r="V203" i="20"/>
  <c r="U203" i="20"/>
  <c r="T203" i="20"/>
  <c r="S203" i="20"/>
  <c r="R203" i="20"/>
  <c r="Q203" i="20"/>
  <c r="P203" i="20"/>
  <c r="O203" i="20"/>
  <c r="N203" i="20"/>
  <c r="M203" i="20"/>
  <c r="L203" i="20"/>
  <c r="A203" i="20"/>
  <c r="AO202" i="20"/>
  <c r="AN202" i="20"/>
  <c r="AM202" i="20"/>
  <c r="AL202" i="20"/>
  <c r="AK202" i="20"/>
  <c r="AJ202" i="20"/>
  <c r="AI202" i="20"/>
  <c r="AH202" i="20"/>
  <c r="AG202" i="20"/>
  <c r="AF202" i="20"/>
  <c r="AE202" i="20"/>
  <c r="AD202" i="20"/>
  <c r="AC202" i="20"/>
  <c r="AB202" i="20"/>
  <c r="AA202" i="20"/>
  <c r="Z202" i="20"/>
  <c r="X202" i="20"/>
  <c r="W202" i="20"/>
  <c r="V202" i="20"/>
  <c r="U202" i="20"/>
  <c r="T202" i="20"/>
  <c r="S202" i="20"/>
  <c r="R202" i="20"/>
  <c r="Q202" i="20"/>
  <c r="P202" i="20"/>
  <c r="O202" i="20"/>
  <c r="N202" i="20"/>
  <c r="M202" i="20"/>
  <c r="L202" i="20"/>
  <c r="A202" i="20"/>
  <c r="AO201" i="20"/>
  <c r="AN201" i="20"/>
  <c r="AM201" i="20"/>
  <c r="AL201" i="20"/>
  <c r="AK201" i="20"/>
  <c r="AJ201" i="20"/>
  <c r="AI201" i="20"/>
  <c r="AH201" i="20"/>
  <c r="AG201" i="20"/>
  <c r="AF201" i="20"/>
  <c r="AE201" i="20"/>
  <c r="AD201" i="20"/>
  <c r="AC201" i="20"/>
  <c r="AB201" i="20"/>
  <c r="AA201" i="20"/>
  <c r="Z201" i="20"/>
  <c r="X201" i="20"/>
  <c r="W201" i="20"/>
  <c r="V201" i="20"/>
  <c r="U201" i="20"/>
  <c r="T201" i="20"/>
  <c r="S201" i="20"/>
  <c r="R201" i="20"/>
  <c r="Q201" i="20"/>
  <c r="P201" i="20"/>
  <c r="O201" i="20"/>
  <c r="N201" i="20"/>
  <c r="M201" i="20"/>
  <c r="L201" i="20"/>
  <c r="A201" i="20"/>
  <c r="AO200" i="20"/>
  <c r="AN200" i="20"/>
  <c r="AM200" i="20"/>
  <c r="AL200" i="20"/>
  <c r="AK200" i="20"/>
  <c r="AJ200" i="20"/>
  <c r="AI200" i="20"/>
  <c r="AH200" i="20"/>
  <c r="AG200" i="20"/>
  <c r="AF200" i="20"/>
  <c r="AE200" i="20"/>
  <c r="AD200" i="20"/>
  <c r="AC200" i="20"/>
  <c r="AB200" i="20"/>
  <c r="AA200" i="20"/>
  <c r="Z200" i="20"/>
  <c r="X200" i="20"/>
  <c r="W200" i="20"/>
  <c r="V200" i="20"/>
  <c r="U200" i="20"/>
  <c r="T200" i="20"/>
  <c r="S200" i="20"/>
  <c r="R200" i="20"/>
  <c r="Q200" i="20"/>
  <c r="P200" i="20"/>
  <c r="O200" i="20"/>
  <c r="N200" i="20"/>
  <c r="M200" i="20"/>
  <c r="L200" i="20"/>
  <c r="A200" i="20"/>
  <c r="AO199" i="20"/>
  <c r="AN199" i="20"/>
  <c r="AM199" i="20"/>
  <c r="AL199" i="20"/>
  <c r="AK199" i="20"/>
  <c r="AJ199" i="20"/>
  <c r="AI199" i="20"/>
  <c r="AH199" i="20"/>
  <c r="AG199" i="20"/>
  <c r="AF199" i="20"/>
  <c r="AE199" i="20"/>
  <c r="AD199" i="20"/>
  <c r="AC199" i="20"/>
  <c r="AB199" i="20"/>
  <c r="AA199" i="20"/>
  <c r="Z199" i="20"/>
  <c r="X199" i="20"/>
  <c r="W199" i="20"/>
  <c r="V199" i="20"/>
  <c r="U199" i="20"/>
  <c r="T199" i="20"/>
  <c r="S199" i="20"/>
  <c r="R199" i="20"/>
  <c r="Q199" i="20"/>
  <c r="P199" i="20"/>
  <c r="O199" i="20"/>
  <c r="N199" i="20"/>
  <c r="M199" i="20"/>
  <c r="L199" i="20"/>
  <c r="A199" i="20"/>
  <c r="AO198" i="20"/>
  <c r="AN198" i="20"/>
  <c r="AM198" i="20"/>
  <c r="AL198" i="20"/>
  <c r="AK198" i="20"/>
  <c r="AJ198" i="20"/>
  <c r="AI198" i="20"/>
  <c r="AH198" i="20"/>
  <c r="AG198" i="20"/>
  <c r="AF198" i="20"/>
  <c r="AE198" i="20"/>
  <c r="AD198" i="20"/>
  <c r="AC198" i="20"/>
  <c r="AB198" i="20"/>
  <c r="AA198" i="20"/>
  <c r="Z198" i="20"/>
  <c r="X198" i="20"/>
  <c r="W198" i="20"/>
  <c r="V198" i="20"/>
  <c r="U198" i="20"/>
  <c r="T198" i="20"/>
  <c r="S198" i="20"/>
  <c r="R198" i="20"/>
  <c r="Q198" i="20"/>
  <c r="P198" i="20"/>
  <c r="O198" i="20"/>
  <c r="N198" i="20"/>
  <c r="M198" i="20"/>
  <c r="L198" i="20"/>
  <c r="A198" i="20"/>
  <c r="AO197" i="20"/>
  <c r="AN197" i="20"/>
  <c r="AM197" i="20"/>
  <c r="AL197" i="20"/>
  <c r="AK197" i="20"/>
  <c r="AJ197" i="20"/>
  <c r="AI197" i="20"/>
  <c r="AH197" i="20"/>
  <c r="AG197" i="20"/>
  <c r="AF197" i="20"/>
  <c r="AE197" i="20"/>
  <c r="AD197" i="20"/>
  <c r="AC197" i="20"/>
  <c r="AB197" i="20"/>
  <c r="AA197" i="20"/>
  <c r="Z197" i="20"/>
  <c r="X197" i="20"/>
  <c r="W197" i="20"/>
  <c r="V197" i="20"/>
  <c r="U197" i="20"/>
  <c r="T197" i="20"/>
  <c r="S197" i="20"/>
  <c r="R197" i="20"/>
  <c r="Q197" i="20"/>
  <c r="P197" i="20"/>
  <c r="O197" i="20"/>
  <c r="N197" i="20"/>
  <c r="M197" i="20"/>
  <c r="L197" i="20"/>
  <c r="A197" i="20"/>
  <c r="AO196" i="20"/>
  <c r="AN196" i="20"/>
  <c r="AM196" i="20"/>
  <c r="AL196" i="20"/>
  <c r="AK196" i="20"/>
  <c r="AJ196" i="20"/>
  <c r="AI196" i="20"/>
  <c r="AH196" i="20"/>
  <c r="AG196" i="20"/>
  <c r="AF196" i="20"/>
  <c r="AE196" i="20"/>
  <c r="AD196" i="20"/>
  <c r="AC196" i="20"/>
  <c r="AB196" i="20"/>
  <c r="AA196" i="20"/>
  <c r="Z196" i="20"/>
  <c r="X196" i="20"/>
  <c r="W196" i="20"/>
  <c r="V196" i="20"/>
  <c r="U196" i="20"/>
  <c r="T196" i="20"/>
  <c r="S196" i="20"/>
  <c r="R196" i="20"/>
  <c r="Q196" i="20"/>
  <c r="P196" i="20"/>
  <c r="O196" i="20"/>
  <c r="N196" i="20"/>
  <c r="M196" i="20"/>
  <c r="L196" i="20"/>
  <c r="A196" i="20"/>
  <c r="AO195" i="20"/>
  <c r="AN195" i="20"/>
  <c r="AM195" i="20"/>
  <c r="AL195" i="20"/>
  <c r="AK195" i="20"/>
  <c r="AJ195" i="20"/>
  <c r="AI195" i="20"/>
  <c r="AH195" i="20"/>
  <c r="AG195" i="20"/>
  <c r="AF195" i="20"/>
  <c r="AE195" i="20"/>
  <c r="AD195" i="20"/>
  <c r="AC195" i="20"/>
  <c r="AB195" i="20"/>
  <c r="AA195" i="20"/>
  <c r="Z195" i="20"/>
  <c r="X195" i="20"/>
  <c r="W195" i="20"/>
  <c r="V195" i="20"/>
  <c r="U195" i="20"/>
  <c r="T195" i="20"/>
  <c r="S195" i="20"/>
  <c r="R195" i="20"/>
  <c r="Q195" i="20"/>
  <c r="P195" i="20"/>
  <c r="O195" i="20"/>
  <c r="N195" i="20"/>
  <c r="M195" i="20"/>
  <c r="L195" i="20"/>
  <c r="A195" i="20"/>
  <c r="AO194" i="20"/>
  <c r="AN194" i="20"/>
  <c r="AM194" i="20"/>
  <c r="AL194" i="20"/>
  <c r="AK194" i="20"/>
  <c r="AJ194" i="20"/>
  <c r="AI194" i="20"/>
  <c r="AH194" i="20"/>
  <c r="AG194" i="20"/>
  <c r="AF194" i="20"/>
  <c r="AE194" i="20"/>
  <c r="AD194" i="20"/>
  <c r="AC194" i="20"/>
  <c r="AB194" i="20"/>
  <c r="AA194" i="20"/>
  <c r="Z194" i="20"/>
  <c r="X194" i="20"/>
  <c r="W194" i="20"/>
  <c r="V194" i="20"/>
  <c r="U194" i="20"/>
  <c r="T194" i="20"/>
  <c r="S194" i="20"/>
  <c r="R194" i="20"/>
  <c r="Q194" i="20"/>
  <c r="P194" i="20"/>
  <c r="O194" i="20"/>
  <c r="N194" i="20"/>
  <c r="M194" i="20"/>
  <c r="L194" i="20"/>
  <c r="A194" i="20"/>
  <c r="AO193" i="20"/>
  <c r="AN193" i="20"/>
  <c r="AM193" i="20"/>
  <c r="AL193" i="20"/>
  <c r="AK193" i="20"/>
  <c r="AJ193" i="20"/>
  <c r="AI193" i="20"/>
  <c r="AH193" i="20"/>
  <c r="AG193" i="20"/>
  <c r="AF193" i="20"/>
  <c r="AE193" i="20"/>
  <c r="AD193" i="20"/>
  <c r="AC193" i="20"/>
  <c r="AB193" i="20"/>
  <c r="AA193" i="20"/>
  <c r="Z193" i="20"/>
  <c r="X193" i="20"/>
  <c r="W193" i="20"/>
  <c r="V193" i="20"/>
  <c r="U193" i="20"/>
  <c r="T193" i="20"/>
  <c r="S193" i="20"/>
  <c r="R193" i="20"/>
  <c r="Q193" i="20"/>
  <c r="P193" i="20"/>
  <c r="O193" i="20"/>
  <c r="N193" i="20"/>
  <c r="M193" i="20"/>
  <c r="L193" i="20"/>
  <c r="A193" i="20"/>
  <c r="AO192" i="20"/>
  <c r="AN192" i="20"/>
  <c r="AM192" i="20"/>
  <c r="AL192" i="20"/>
  <c r="AK192" i="20"/>
  <c r="AJ192" i="20"/>
  <c r="AI192" i="20"/>
  <c r="AH192" i="20"/>
  <c r="AG192" i="20"/>
  <c r="AF192" i="20"/>
  <c r="AE192" i="20"/>
  <c r="AD192" i="20"/>
  <c r="AC192" i="20"/>
  <c r="AB192" i="20"/>
  <c r="AA192" i="20"/>
  <c r="Z192" i="20"/>
  <c r="X192" i="20"/>
  <c r="W192" i="20"/>
  <c r="V192" i="20"/>
  <c r="U192" i="20"/>
  <c r="T192" i="20"/>
  <c r="S192" i="20"/>
  <c r="R192" i="20"/>
  <c r="Q192" i="20"/>
  <c r="P192" i="20"/>
  <c r="O192" i="20"/>
  <c r="N192" i="20"/>
  <c r="M192" i="20"/>
  <c r="L192" i="20"/>
  <c r="A192" i="20"/>
  <c r="AO191" i="20"/>
  <c r="AN191" i="20"/>
  <c r="AM191" i="20"/>
  <c r="AL191" i="20"/>
  <c r="AK191" i="20"/>
  <c r="AJ191" i="20"/>
  <c r="AI191" i="20"/>
  <c r="AH191" i="20"/>
  <c r="AG191" i="20"/>
  <c r="AF191" i="20"/>
  <c r="AE191" i="20"/>
  <c r="AD191" i="20"/>
  <c r="AC191" i="20"/>
  <c r="AB191" i="20"/>
  <c r="AA191" i="20"/>
  <c r="Z191" i="20"/>
  <c r="X191" i="20"/>
  <c r="W191" i="20"/>
  <c r="V191" i="20"/>
  <c r="U191" i="20"/>
  <c r="T191" i="20"/>
  <c r="S191" i="20"/>
  <c r="R191" i="20"/>
  <c r="Q191" i="20"/>
  <c r="P191" i="20"/>
  <c r="O191" i="20"/>
  <c r="N191" i="20"/>
  <c r="M191" i="20"/>
  <c r="L191" i="20"/>
  <c r="A191" i="20"/>
  <c r="AO190" i="20"/>
  <c r="AN190" i="20"/>
  <c r="AM190" i="20"/>
  <c r="AL190" i="20"/>
  <c r="AK190" i="20"/>
  <c r="AJ190" i="20"/>
  <c r="AI190" i="20"/>
  <c r="AH190" i="20"/>
  <c r="AG190" i="20"/>
  <c r="AF190" i="20"/>
  <c r="AE190" i="20"/>
  <c r="AD190" i="20"/>
  <c r="AC190" i="20"/>
  <c r="AB190" i="20"/>
  <c r="AA190" i="20"/>
  <c r="Z190" i="20"/>
  <c r="X190" i="20"/>
  <c r="W190" i="20"/>
  <c r="V190" i="20"/>
  <c r="U190" i="20"/>
  <c r="T190" i="20"/>
  <c r="S190" i="20"/>
  <c r="R190" i="20"/>
  <c r="Q190" i="20"/>
  <c r="P190" i="20"/>
  <c r="O190" i="20"/>
  <c r="N190" i="20"/>
  <c r="M190" i="20"/>
  <c r="L190" i="20"/>
  <c r="A190" i="20"/>
  <c r="AO189" i="20"/>
  <c r="AN189" i="20"/>
  <c r="AM189" i="20"/>
  <c r="AL189" i="20"/>
  <c r="AK189" i="20"/>
  <c r="AJ189" i="20"/>
  <c r="AI189" i="20"/>
  <c r="AH189" i="20"/>
  <c r="AG189" i="20"/>
  <c r="AF189" i="20"/>
  <c r="AE189" i="20"/>
  <c r="AD189" i="20"/>
  <c r="AC189" i="20"/>
  <c r="AB189" i="20"/>
  <c r="AA189" i="20"/>
  <c r="Z189" i="20"/>
  <c r="X189" i="20"/>
  <c r="W189" i="20"/>
  <c r="V189" i="20"/>
  <c r="U189" i="20"/>
  <c r="T189" i="20"/>
  <c r="S189" i="20"/>
  <c r="R189" i="20"/>
  <c r="Q189" i="20"/>
  <c r="P189" i="20"/>
  <c r="O189" i="20"/>
  <c r="N189" i="20"/>
  <c r="M189" i="20"/>
  <c r="L189" i="20"/>
  <c r="A189" i="20"/>
  <c r="AO188" i="20"/>
  <c r="AN188" i="20"/>
  <c r="AM188" i="20"/>
  <c r="AL188" i="20"/>
  <c r="AK188" i="20"/>
  <c r="AJ188" i="20"/>
  <c r="AI188" i="20"/>
  <c r="AH188" i="20"/>
  <c r="AG188" i="20"/>
  <c r="AF188" i="20"/>
  <c r="AE188" i="20"/>
  <c r="AD188" i="20"/>
  <c r="AC188" i="20"/>
  <c r="AB188" i="20"/>
  <c r="AA188" i="20"/>
  <c r="Z188" i="20"/>
  <c r="X188" i="20"/>
  <c r="W188" i="20"/>
  <c r="V188" i="20"/>
  <c r="U188" i="20"/>
  <c r="T188" i="20"/>
  <c r="S188" i="20"/>
  <c r="R188" i="20"/>
  <c r="Q188" i="20"/>
  <c r="P188" i="20"/>
  <c r="O188" i="20"/>
  <c r="N188" i="20"/>
  <c r="M188" i="20"/>
  <c r="L188" i="20"/>
  <c r="A188" i="20"/>
  <c r="AO187" i="20"/>
  <c r="AN187" i="20"/>
  <c r="AM187" i="20"/>
  <c r="AL187" i="20"/>
  <c r="AK187" i="20"/>
  <c r="AJ187" i="20"/>
  <c r="AI187" i="20"/>
  <c r="AH187" i="20"/>
  <c r="AG187" i="20"/>
  <c r="AF187" i="20"/>
  <c r="AE187" i="20"/>
  <c r="AD187" i="20"/>
  <c r="AC187" i="20"/>
  <c r="AB187" i="20"/>
  <c r="AA187" i="20"/>
  <c r="Z187" i="20"/>
  <c r="X187" i="20"/>
  <c r="W187" i="20"/>
  <c r="V187" i="20"/>
  <c r="U187" i="20"/>
  <c r="T187" i="20"/>
  <c r="S187" i="20"/>
  <c r="R187" i="20"/>
  <c r="Q187" i="20"/>
  <c r="P187" i="20"/>
  <c r="O187" i="20"/>
  <c r="N187" i="20"/>
  <c r="M187" i="20"/>
  <c r="L187" i="20"/>
  <c r="A187" i="20"/>
  <c r="AO186" i="20"/>
  <c r="AN186" i="20"/>
  <c r="AM186" i="20"/>
  <c r="AL186" i="20"/>
  <c r="AK186" i="20"/>
  <c r="AJ186" i="20"/>
  <c r="AI186" i="20"/>
  <c r="AH186" i="20"/>
  <c r="AG186" i="20"/>
  <c r="AF186" i="20"/>
  <c r="AE186" i="20"/>
  <c r="AD186" i="20"/>
  <c r="AC186" i="20"/>
  <c r="AB186" i="20"/>
  <c r="AA186" i="20"/>
  <c r="Z186" i="20"/>
  <c r="X186" i="20"/>
  <c r="W186" i="20"/>
  <c r="V186" i="20"/>
  <c r="U186" i="20"/>
  <c r="T186" i="20"/>
  <c r="S186" i="20"/>
  <c r="R186" i="20"/>
  <c r="Q186" i="20"/>
  <c r="P186" i="20"/>
  <c r="O186" i="20"/>
  <c r="N186" i="20"/>
  <c r="M186" i="20"/>
  <c r="L186" i="20"/>
  <c r="A186" i="20"/>
  <c r="AO185" i="20"/>
  <c r="AN185" i="20"/>
  <c r="AM185" i="20"/>
  <c r="AL185" i="20"/>
  <c r="AK185" i="20"/>
  <c r="AJ185" i="20"/>
  <c r="AI185" i="20"/>
  <c r="AH185" i="20"/>
  <c r="AG185" i="20"/>
  <c r="AF185" i="20"/>
  <c r="AE185" i="20"/>
  <c r="AD185" i="20"/>
  <c r="AC185" i="20"/>
  <c r="AB185" i="20"/>
  <c r="AA185" i="20"/>
  <c r="Z185" i="20"/>
  <c r="X185" i="20"/>
  <c r="W185" i="20"/>
  <c r="V185" i="20"/>
  <c r="U185" i="20"/>
  <c r="T185" i="20"/>
  <c r="S185" i="20"/>
  <c r="R185" i="20"/>
  <c r="Q185" i="20"/>
  <c r="P185" i="20"/>
  <c r="O185" i="20"/>
  <c r="N185" i="20"/>
  <c r="M185" i="20"/>
  <c r="L185" i="20"/>
  <c r="A185" i="20"/>
  <c r="AO184" i="20"/>
  <c r="AN184" i="20"/>
  <c r="AM184" i="20"/>
  <c r="AL184" i="20"/>
  <c r="AK184" i="20"/>
  <c r="AJ184" i="20"/>
  <c r="AI184" i="20"/>
  <c r="AH184" i="20"/>
  <c r="AG184" i="20"/>
  <c r="AF184" i="20"/>
  <c r="AE184" i="20"/>
  <c r="AD184" i="20"/>
  <c r="AC184" i="20"/>
  <c r="AB184" i="20"/>
  <c r="AA184" i="20"/>
  <c r="Z184" i="20"/>
  <c r="X184" i="20"/>
  <c r="W184" i="20"/>
  <c r="V184" i="20"/>
  <c r="U184" i="20"/>
  <c r="T184" i="20"/>
  <c r="S184" i="20"/>
  <c r="R184" i="20"/>
  <c r="Q184" i="20"/>
  <c r="P184" i="20"/>
  <c r="O184" i="20"/>
  <c r="N184" i="20"/>
  <c r="M184" i="20"/>
  <c r="L184" i="20"/>
  <c r="A184" i="20"/>
  <c r="AO183" i="20"/>
  <c r="AN183" i="20"/>
  <c r="AM183" i="20"/>
  <c r="AL183" i="20"/>
  <c r="AK183" i="20"/>
  <c r="AJ183" i="20"/>
  <c r="AI183" i="20"/>
  <c r="AH183" i="20"/>
  <c r="AG183" i="20"/>
  <c r="AF183" i="20"/>
  <c r="AE183" i="20"/>
  <c r="AD183" i="20"/>
  <c r="AC183" i="20"/>
  <c r="AB183" i="20"/>
  <c r="AA183" i="20"/>
  <c r="Z183" i="20"/>
  <c r="X183" i="20"/>
  <c r="W183" i="20"/>
  <c r="V183" i="20"/>
  <c r="U183" i="20"/>
  <c r="T183" i="20"/>
  <c r="S183" i="20"/>
  <c r="R183" i="20"/>
  <c r="Q183" i="20"/>
  <c r="P183" i="20"/>
  <c r="O183" i="20"/>
  <c r="N183" i="20"/>
  <c r="M183" i="20"/>
  <c r="L183" i="20"/>
  <c r="A183" i="20"/>
  <c r="AO182" i="20"/>
  <c r="AN182" i="20"/>
  <c r="AM182" i="20"/>
  <c r="AL182" i="20"/>
  <c r="AK182" i="20"/>
  <c r="AJ182" i="20"/>
  <c r="AI182" i="20"/>
  <c r="AH182" i="20"/>
  <c r="AG182" i="20"/>
  <c r="AF182" i="20"/>
  <c r="AE182" i="20"/>
  <c r="AD182" i="20"/>
  <c r="AC182" i="20"/>
  <c r="AB182" i="20"/>
  <c r="AA182" i="20"/>
  <c r="Z182" i="20"/>
  <c r="X182" i="20"/>
  <c r="W182" i="20"/>
  <c r="V182" i="20"/>
  <c r="U182" i="20"/>
  <c r="T182" i="20"/>
  <c r="S182" i="20"/>
  <c r="R182" i="20"/>
  <c r="Q182" i="20"/>
  <c r="P182" i="20"/>
  <c r="O182" i="20"/>
  <c r="N182" i="20"/>
  <c r="M182" i="20"/>
  <c r="L182" i="20"/>
  <c r="A182" i="20"/>
  <c r="AO181" i="20"/>
  <c r="AN181" i="20"/>
  <c r="AM181" i="20"/>
  <c r="AL181" i="20"/>
  <c r="AK181" i="20"/>
  <c r="AJ181" i="20"/>
  <c r="AI181" i="20"/>
  <c r="AH181" i="20"/>
  <c r="AG181" i="20"/>
  <c r="AF181" i="20"/>
  <c r="AE181" i="20"/>
  <c r="AD181" i="20"/>
  <c r="AC181" i="20"/>
  <c r="AB181" i="20"/>
  <c r="AA181" i="20"/>
  <c r="Z181" i="20"/>
  <c r="X181" i="20"/>
  <c r="W181" i="20"/>
  <c r="V181" i="20"/>
  <c r="U181" i="20"/>
  <c r="T181" i="20"/>
  <c r="S181" i="20"/>
  <c r="R181" i="20"/>
  <c r="Q181" i="20"/>
  <c r="P181" i="20"/>
  <c r="O181" i="20"/>
  <c r="N181" i="20"/>
  <c r="M181" i="20"/>
  <c r="L181" i="20"/>
  <c r="A181" i="20"/>
  <c r="AO180" i="20"/>
  <c r="AN180" i="20"/>
  <c r="AM180" i="20"/>
  <c r="AL180" i="20"/>
  <c r="AK180" i="20"/>
  <c r="AJ180" i="20"/>
  <c r="AI180" i="20"/>
  <c r="AH180" i="20"/>
  <c r="AG180" i="20"/>
  <c r="AF180" i="20"/>
  <c r="AE180" i="20"/>
  <c r="AD180" i="20"/>
  <c r="AC180" i="20"/>
  <c r="AB180" i="20"/>
  <c r="AA180" i="20"/>
  <c r="Z180" i="20"/>
  <c r="X180" i="20"/>
  <c r="W180" i="20"/>
  <c r="V180" i="20"/>
  <c r="U180" i="20"/>
  <c r="T180" i="20"/>
  <c r="S180" i="20"/>
  <c r="R180" i="20"/>
  <c r="Q180" i="20"/>
  <c r="P180" i="20"/>
  <c r="O180" i="20"/>
  <c r="N180" i="20"/>
  <c r="M180" i="20"/>
  <c r="L180" i="20"/>
  <c r="A180" i="20"/>
  <c r="AO179" i="20"/>
  <c r="AN179" i="20"/>
  <c r="AM179" i="20"/>
  <c r="AL179" i="20"/>
  <c r="AK179" i="20"/>
  <c r="AJ179" i="20"/>
  <c r="AI179" i="20"/>
  <c r="AH179" i="20"/>
  <c r="AG179" i="20"/>
  <c r="AF179" i="20"/>
  <c r="AE179" i="20"/>
  <c r="AD179" i="20"/>
  <c r="AC179" i="20"/>
  <c r="AB179" i="20"/>
  <c r="AA179" i="20"/>
  <c r="Z179" i="20"/>
  <c r="X179" i="20"/>
  <c r="W179" i="20"/>
  <c r="V179" i="20"/>
  <c r="U179" i="20"/>
  <c r="T179" i="20"/>
  <c r="S179" i="20"/>
  <c r="R179" i="20"/>
  <c r="Q179" i="20"/>
  <c r="P179" i="20"/>
  <c r="O179" i="20"/>
  <c r="N179" i="20"/>
  <c r="M179" i="20"/>
  <c r="L179" i="20"/>
  <c r="A179" i="20"/>
  <c r="AO178" i="20"/>
  <c r="AN178" i="20"/>
  <c r="AM178" i="20"/>
  <c r="AL178" i="20"/>
  <c r="AK178" i="20"/>
  <c r="AJ178" i="20"/>
  <c r="AI178" i="20"/>
  <c r="AH178" i="20"/>
  <c r="AG178" i="20"/>
  <c r="AF178" i="20"/>
  <c r="AE178" i="20"/>
  <c r="AD178" i="20"/>
  <c r="AC178" i="20"/>
  <c r="AB178" i="20"/>
  <c r="AA178" i="20"/>
  <c r="Z178" i="20"/>
  <c r="X178" i="20"/>
  <c r="W178" i="20"/>
  <c r="V178" i="20"/>
  <c r="U178" i="20"/>
  <c r="T178" i="20"/>
  <c r="S178" i="20"/>
  <c r="R178" i="20"/>
  <c r="Q178" i="20"/>
  <c r="P178" i="20"/>
  <c r="O178" i="20"/>
  <c r="N178" i="20"/>
  <c r="M178" i="20"/>
  <c r="L178" i="20"/>
  <c r="A178" i="20"/>
  <c r="AO177" i="20"/>
  <c r="AN177" i="20"/>
  <c r="AM177" i="20"/>
  <c r="AL177" i="20"/>
  <c r="AK177" i="20"/>
  <c r="AJ177" i="20"/>
  <c r="AI177" i="20"/>
  <c r="AH177" i="20"/>
  <c r="AG177" i="20"/>
  <c r="AF177" i="20"/>
  <c r="AE177" i="20"/>
  <c r="AD177" i="20"/>
  <c r="AC177" i="20"/>
  <c r="AB177" i="20"/>
  <c r="AA177" i="20"/>
  <c r="Z177" i="20"/>
  <c r="X177" i="20"/>
  <c r="W177" i="20"/>
  <c r="V177" i="20"/>
  <c r="U177" i="20"/>
  <c r="T177" i="20"/>
  <c r="S177" i="20"/>
  <c r="R177" i="20"/>
  <c r="Q177" i="20"/>
  <c r="P177" i="20"/>
  <c r="O177" i="20"/>
  <c r="N177" i="20"/>
  <c r="M177" i="20"/>
  <c r="L177" i="20"/>
  <c r="A177" i="20"/>
  <c r="AO176" i="20"/>
  <c r="AN176" i="20"/>
  <c r="AM176" i="20"/>
  <c r="AL176" i="20"/>
  <c r="AK176" i="20"/>
  <c r="AJ176" i="20"/>
  <c r="AI176" i="20"/>
  <c r="AH176" i="20"/>
  <c r="AG176" i="20"/>
  <c r="AF176" i="20"/>
  <c r="AE176" i="20"/>
  <c r="AD176" i="20"/>
  <c r="AC176" i="20"/>
  <c r="AB176" i="20"/>
  <c r="AA176" i="20"/>
  <c r="Z176" i="20"/>
  <c r="X176" i="20"/>
  <c r="W176" i="20"/>
  <c r="V176" i="20"/>
  <c r="U176" i="20"/>
  <c r="T176" i="20"/>
  <c r="S176" i="20"/>
  <c r="R176" i="20"/>
  <c r="Q176" i="20"/>
  <c r="P176" i="20"/>
  <c r="O176" i="20"/>
  <c r="N176" i="20"/>
  <c r="M176" i="20"/>
  <c r="L176" i="20"/>
  <c r="A176" i="20"/>
  <c r="AO175" i="20"/>
  <c r="AN175" i="20"/>
  <c r="AM175" i="20"/>
  <c r="AL175" i="20"/>
  <c r="AK175" i="20"/>
  <c r="AJ175" i="20"/>
  <c r="AI175" i="20"/>
  <c r="AH175" i="20"/>
  <c r="AG175" i="20"/>
  <c r="AF175" i="20"/>
  <c r="AE175" i="20"/>
  <c r="AD175" i="20"/>
  <c r="AC175" i="20"/>
  <c r="AB175" i="20"/>
  <c r="AA175" i="20"/>
  <c r="Z175" i="20"/>
  <c r="X175" i="20"/>
  <c r="W175" i="20"/>
  <c r="V175" i="20"/>
  <c r="U175" i="20"/>
  <c r="T175" i="20"/>
  <c r="S175" i="20"/>
  <c r="R175" i="20"/>
  <c r="Q175" i="20"/>
  <c r="P175" i="20"/>
  <c r="O175" i="20"/>
  <c r="N175" i="20"/>
  <c r="M175" i="20"/>
  <c r="L175" i="20"/>
  <c r="A175" i="20"/>
  <c r="AO174" i="20"/>
  <c r="AN174" i="20"/>
  <c r="AM174" i="20"/>
  <c r="AL174" i="20"/>
  <c r="AK174" i="20"/>
  <c r="AJ174" i="20"/>
  <c r="AI174" i="20"/>
  <c r="AH174" i="20"/>
  <c r="AG174" i="20"/>
  <c r="AF174" i="20"/>
  <c r="AE174" i="20"/>
  <c r="AD174" i="20"/>
  <c r="AC174" i="20"/>
  <c r="AB174" i="20"/>
  <c r="AA174" i="20"/>
  <c r="Z174" i="20"/>
  <c r="X174" i="20"/>
  <c r="W174" i="20"/>
  <c r="V174" i="20"/>
  <c r="U174" i="20"/>
  <c r="T174" i="20"/>
  <c r="S174" i="20"/>
  <c r="R174" i="20"/>
  <c r="Q174" i="20"/>
  <c r="P174" i="20"/>
  <c r="O174" i="20"/>
  <c r="N174" i="20"/>
  <c r="M174" i="20"/>
  <c r="L174" i="20"/>
  <c r="A174" i="20"/>
  <c r="AO173" i="20"/>
  <c r="AN173" i="20"/>
  <c r="AM173" i="20"/>
  <c r="AL173" i="20"/>
  <c r="AK173" i="20"/>
  <c r="AJ173" i="20"/>
  <c r="AI173" i="20"/>
  <c r="AH173" i="20"/>
  <c r="AG173" i="20"/>
  <c r="AF173" i="20"/>
  <c r="AE173" i="20"/>
  <c r="AD173" i="20"/>
  <c r="AC173" i="20"/>
  <c r="AB173" i="20"/>
  <c r="AA173" i="20"/>
  <c r="Z173" i="20"/>
  <c r="X173" i="20"/>
  <c r="W173" i="20"/>
  <c r="V173" i="20"/>
  <c r="U173" i="20"/>
  <c r="T173" i="20"/>
  <c r="S173" i="20"/>
  <c r="R173" i="20"/>
  <c r="Q173" i="20"/>
  <c r="P173" i="20"/>
  <c r="O173" i="20"/>
  <c r="N173" i="20"/>
  <c r="M173" i="20"/>
  <c r="L173" i="20"/>
  <c r="A173" i="20"/>
  <c r="AO172" i="20"/>
  <c r="AN172" i="20"/>
  <c r="AM172" i="20"/>
  <c r="AL172" i="20"/>
  <c r="AK172" i="20"/>
  <c r="AJ172" i="20"/>
  <c r="AI172" i="20"/>
  <c r="AH172" i="20"/>
  <c r="AG172" i="20"/>
  <c r="AF172" i="20"/>
  <c r="AE172" i="20"/>
  <c r="AD172" i="20"/>
  <c r="AC172" i="20"/>
  <c r="AB172" i="20"/>
  <c r="AA172" i="20"/>
  <c r="Z172" i="20"/>
  <c r="X172" i="20"/>
  <c r="W172" i="20"/>
  <c r="V172" i="20"/>
  <c r="U172" i="20"/>
  <c r="T172" i="20"/>
  <c r="S172" i="20"/>
  <c r="R172" i="20"/>
  <c r="Q172" i="20"/>
  <c r="P172" i="20"/>
  <c r="O172" i="20"/>
  <c r="N172" i="20"/>
  <c r="M172" i="20"/>
  <c r="L172" i="20"/>
  <c r="A172" i="20"/>
  <c r="AO171" i="20"/>
  <c r="AN171" i="20"/>
  <c r="AM171" i="20"/>
  <c r="AL171" i="20"/>
  <c r="AK171" i="20"/>
  <c r="AJ171" i="20"/>
  <c r="AI171" i="20"/>
  <c r="AH171" i="20"/>
  <c r="AG171" i="20"/>
  <c r="AF171" i="20"/>
  <c r="AE171" i="20"/>
  <c r="AD171" i="20"/>
  <c r="AC171" i="20"/>
  <c r="AB171" i="20"/>
  <c r="AA171" i="20"/>
  <c r="Z171" i="20"/>
  <c r="X171" i="20"/>
  <c r="W171" i="20"/>
  <c r="V171" i="20"/>
  <c r="U171" i="20"/>
  <c r="T171" i="20"/>
  <c r="S171" i="20"/>
  <c r="R171" i="20"/>
  <c r="Q171" i="20"/>
  <c r="P171" i="20"/>
  <c r="O171" i="20"/>
  <c r="N171" i="20"/>
  <c r="M171" i="20"/>
  <c r="L171" i="20"/>
  <c r="A171" i="20"/>
  <c r="AO170" i="20"/>
  <c r="AN170" i="20"/>
  <c r="AM170" i="20"/>
  <c r="AL170" i="20"/>
  <c r="AK170" i="20"/>
  <c r="AJ170" i="20"/>
  <c r="AI170" i="20"/>
  <c r="AH170" i="20"/>
  <c r="AG170" i="20"/>
  <c r="AF170" i="20"/>
  <c r="AE170" i="20"/>
  <c r="AD170" i="20"/>
  <c r="AC170" i="20"/>
  <c r="AB170" i="20"/>
  <c r="AA170" i="20"/>
  <c r="Z170" i="20"/>
  <c r="X170" i="20"/>
  <c r="W170" i="20"/>
  <c r="V170" i="20"/>
  <c r="U170" i="20"/>
  <c r="T170" i="20"/>
  <c r="S170" i="20"/>
  <c r="R170" i="20"/>
  <c r="Q170" i="20"/>
  <c r="P170" i="20"/>
  <c r="O170" i="20"/>
  <c r="N170" i="20"/>
  <c r="M170" i="20"/>
  <c r="L170" i="20"/>
  <c r="A170" i="20"/>
  <c r="AO169" i="20"/>
  <c r="AN169" i="20"/>
  <c r="AM169" i="20"/>
  <c r="AL169" i="20"/>
  <c r="AK169" i="20"/>
  <c r="AJ169" i="20"/>
  <c r="AI169" i="20"/>
  <c r="AH169" i="20"/>
  <c r="AG169" i="20"/>
  <c r="AF169" i="20"/>
  <c r="AE169" i="20"/>
  <c r="AD169" i="20"/>
  <c r="AC169" i="20"/>
  <c r="AB169" i="20"/>
  <c r="AA169" i="20"/>
  <c r="Z169" i="20"/>
  <c r="X169" i="20"/>
  <c r="W169" i="20"/>
  <c r="V169" i="20"/>
  <c r="U169" i="20"/>
  <c r="T169" i="20"/>
  <c r="S169" i="20"/>
  <c r="R169" i="20"/>
  <c r="Q169" i="20"/>
  <c r="P169" i="20"/>
  <c r="O169" i="20"/>
  <c r="N169" i="20"/>
  <c r="M169" i="20"/>
  <c r="L169" i="20"/>
  <c r="A169" i="20"/>
  <c r="AO168" i="20"/>
  <c r="AN168" i="20"/>
  <c r="AM168" i="20"/>
  <c r="AL168" i="20"/>
  <c r="AK168" i="20"/>
  <c r="AJ168" i="20"/>
  <c r="AI168" i="20"/>
  <c r="AH168" i="20"/>
  <c r="AG168" i="20"/>
  <c r="AF168" i="20"/>
  <c r="AE168" i="20"/>
  <c r="AD168" i="20"/>
  <c r="AC168" i="20"/>
  <c r="AB168" i="20"/>
  <c r="AA168" i="20"/>
  <c r="Z168" i="20"/>
  <c r="X168" i="20"/>
  <c r="W168" i="20"/>
  <c r="V168" i="20"/>
  <c r="U168" i="20"/>
  <c r="T168" i="20"/>
  <c r="S168" i="20"/>
  <c r="R168" i="20"/>
  <c r="Q168" i="20"/>
  <c r="P168" i="20"/>
  <c r="O168" i="20"/>
  <c r="N168" i="20"/>
  <c r="M168" i="20"/>
  <c r="L168" i="20"/>
  <c r="A168" i="20"/>
  <c r="AO167" i="20"/>
  <c r="AN167" i="20"/>
  <c r="AM167" i="20"/>
  <c r="AL167" i="20"/>
  <c r="AK167" i="20"/>
  <c r="AJ167" i="20"/>
  <c r="AI167" i="20"/>
  <c r="AH167" i="20"/>
  <c r="AG167" i="20"/>
  <c r="AF167" i="20"/>
  <c r="AE167" i="20"/>
  <c r="AD167" i="20"/>
  <c r="AC167" i="20"/>
  <c r="AB167" i="20"/>
  <c r="AA167" i="20"/>
  <c r="Z167" i="20"/>
  <c r="X167" i="20"/>
  <c r="W167" i="20"/>
  <c r="V167" i="20"/>
  <c r="U167" i="20"/>
  <c r="T167" i="20"/>
  <c r="S167" i="20"/>
  <c r="R167" i="20"/>
  <c r="Q167" i="20"/>
  <c r="P167" i="20"/>
  <c r="O167" i="20"/>
  <c r="N167" i="20"/>
  <c r="M167" i="20"/>
  <c r="L167" i="20"/>
  <c r="A167" i="20"/>
  <c r="AO166" i="20"/>
  <c r="AN166" i="20"/>
  <c r="AM166" i="20"/>
  <c r="AL166" i="20"/>
  <c r="AK166" i="20"/>
  <c r="AJ166" i="20"/>
  <c r="AI166" i="20"/>
  <c r="AH166" i="20"/>
  <c r="AG166" i="20"/>
  <c r="AF166" i="20"/>
  <c r="AE166" i="20"/>
  <c r="AD166" i="20"/>
  <c r="AC166" i="20"/>
  <c r="AB166" i="20"/>
  <c r="AA166" i="20"/>
  <c r="Z166" i="20"/>
  <c r="X166" i="20"/>
  <c r="W166" i="20"/>
  <c r="V166" i="20"/>
  <c r="U166" i="20"/>
  <c r="T166" i="20"/>
  <c r="S166" i="20"/>
  <c r="R166" i="20"/>
  <c r="Q166" i="20"/>
  <c r="P166" i="20"/>
  <c r="O166" i="20"/>
  <c r="N166" i="20"/>
  <c r="M166" i="20"/>
  <c r="L166" i="20"/>
  <c r="A166" i="20"/>
  <c r="AO165" i="20"/>
  <c r="AN165" i="20"/>
  <c r="AM165" i="20"/>
  <c r="AL165" i="20"/>
  <c r="AK165" i="20"/>
  <c r="AJ165" i="20"/>
  <c r="AI165" i="20"/>
  <c r="AH165" i="20"/>
  <c r="AG165" i="20"/>
  <c r="AF165" i="20"/>
  <c r="AE165" i="20"/>
  <c r="AD165" i="20"/>
  <c r="AC165" i="20"/>
  <c r="AB165" i="20"/>
  <c r="AA165" i="20"/>
  <c r="Z165" i="20"/>
  <c r="X165" i="20"/>
  <c r="W165" i="20"/>
  <c r="V165" i="20"/>
  <c r="U165" i="20"/>
  <c r="T165" i="20"/>
  <c r="S165" i="20"/>
  <c r="R165" i="20"/>
  <c r="Q165" i="20"/>
  <c r="P165" i="20"/>
  <c r="O165" i="20"/>
  <c r="N165" i="20"/>
  <c r="M165" i="20"/>
  <c r="L165" i="20"/>
  <c r="A165" i="20"/>
  <c r="AO164" i="20"/>
  <c r="AN164" i="20"/>
  <c r="AM164" i="20"/>
  <c r="AL164" i="20"/>
  <c r="AK164" i="20"/>
  <c r="AJ164" i="20"/>
  <c r="AI164" i="20"/>
  <c r="AH164" i="20"/>
  <c r="AG164" i="20"/>
  <c r="AF164" i="20"/>
  <c r="AE164" i="20"/>
  <c r="AD164" i="20"/>
  <c r="AC164" i="20"/>
  <c r="AB164" i="20"/>
  <c r="AA164" i="20"/>
  <c r="Z164" i="20"/>
  <c r="X164" i="20"/>
  <c r="W164" i="20"/>
  <c r="V164" i="20"/>
  <c r="U164" i="20"/>
  <c r="T164" i="20"/>
  <c r="S164" i="20"/>
  <c r="R164" i="20"/>
  <c r="Q164" i="20"/>
  <c r="P164" i="20"/>
  <c r="O164" i="20"/>
  <c r="N164" i="20"/>
  <c r="M164" i="20"/>
  <c r="L164" i="20"/>
  <c r="A164" i="20"/>
  <c r="AO163" i="20"/>
  <c r="AN163" i="20"/>
  <c r="AM163" i="20"/>
  <c r="AL163" i="20"/>
  <c r="AK163" i="20"/>
  <c r="AJ163" i="20"/>
  <c r="AI163" i="20"/>
  <c r="AH163" i="20"/>
  <c r="AG163" i="20"/>
  <c r="AF163" i="20"/>
  <c r="AE163" i="20"/>
  <c r="AD163" i="20"/>
  <c r="AC163" i="20"/>
  <c r="AB163" i="20"/>
  <c r="AA163" i="20"/>
  <c r="Z163" i="20"/>
  <c r="X163" i="20"/>
  <c r="W163" i="20"/>
  <c r="V163" i="20"/>
  <c r="U163" i="20"/>
  <c r="T163" i="20"/>
  <c r="S163" i="20"/>
  <c r="R163" i="20"/>
  <c r="Q163" i="20"/>
  <c r="P163" i="20"/>
  <c r="O163" i="20"/>
  <c r="N163" i="20"/>
  <c r="M163" i="20"/>
  <c r="L163" i="20"/>
  <c r="A163" i="20"/>
  <c r="AO162" i="20"/>
  <c r="AN162" i="20"/>
  <c r="AM162" i="20"/>
  <c r="AL162" i="20"/>
  <c r="AK162" i="20"/>
  <c r="AJ162" i="20"/>
  <c r="AI162" i="20"/>
  <c r="AH162" i="20"/>
  <c r="AG162" i="20"/>
  <c r="AF162" i="20"/>
  <c r="AE162" i="20"/>
  <c r="AD162" i="20"/>
  <c r="AC162" i="20"/>
  <c r="AB162" i="20"/>
  <c r="AA162" i="20"/>
  <c r="Z162" i="20"/>
  <c r="X162" i="20"/>
  <c r="W162" i="20"/>
  <c r="V162" i="20"/>
  <c r="U162" i="20"/>
  <c r="T162" i="20"/>
  <c r="S162" i="20"/>
  <c r="R162" i="20"/>
  <c r="Q162" i="20"/>
  <c r="P162" i="20"/>
  <c r="O162" i="20"/>
  <c r="N162" i="20"/>
  <c r="M162" i="20"/>
  <c r="L162" i="20"/>
  <c r="A162" i="20"/>
  <c r="AO161" i="20"/>
  <c r="AN161" i="20"/>
  <c r="AM161" i="20"/>
  <c r="AL161" i="20"/>
  <c r="AK161" i="20"/>
  <c r="AJ161" i="20"/>
  <c r="AI161" i="20"/>
  <c r="AH161" i="20"/>
  <c r="AG161" i="20"/>
  <c r="AF161" i="20"/>
  <c r="AE161" i="20"/>
  <c r="AD161" i="20"/>
  <c r="AC161" i="20"/>
  <c r="AB161" i="20"/>
  <c r="AA161" i="20"/>
  <c r="Z161" i="20"/>
  <c r="X161" i="20"/>
  <c r="W161" i="20"/>
  <c r="V161" i="20"/>
  <c r="U161" i="20"/>
  <c r="T161" i="20"/>
  <c r="S161" i="20"/>
  <c r="R161" i="20"/>
  <c r="Q161" i="20"/>
  <c r="P161" i="20"/>
  <c r="O161" i="20"/>
  <c r="N161" i="20"/>
  <c r="M161" i="20"/>
  <c r="L161" i="20"/>
  <c r="A161" i="20"/>
  <c r="AO160" i="20"/>
  <c r="AN160" i="20"/>
  <c r="AM160" i="20"/>
  <c r="AL160" i="20"/>
  <c r="AK160" i="20"/>
  <c r="AJ160" i="20"/>
  <c r="AI160" i="20"/>
  <c r="AH160" i="20"/>
  <c r="AG160" i="20"/>
  <c r="AF160" i="20"/>
  <c r="AE160" i="20"/>
  <c r="AD160" i="20"/>
  <c r="AC160" i="20"/>
  <c r="AB160" i="20"/>
  <c r="AA160" i="20"/>
  <c r="Z160" i="20"/>
  <c r="X160" i="20"/>
  <c r="W160" i="20"/>
  <c r="V160" i="20"/>
  <c r="U160" i="20"/>
  <c r="T160" i="20"/>
  <c r="S160" i="20"/>
  <c r="R160" i="20"/>
  <c r="Q160" i="20"/>
  <c r="P160" i="20"/>
  <c r="O160" i="20"/>
  <c r="N160" i="20"/>
  <c r="M160" i="20"/>
  <c r="L160" i="20"/>
  <c r="A160" i="20"/>
  <c r="AO159" i="20"/>
  <c r="AN159" i="20"/>
  <c r="AM159" i="20"/>
  <c r="AL159" i="20"/>
  <c r="AK159" i="20"/>
  <c r="AJ159" i="20"/>
  <c r="AI159" i="20"/>
  <c r="AH159" i="20"/>
  <c r="AG159" i="20"/>
  <c r="AF159" i="20"/>
  <c r="AE159" i="20"/>
  <c r="AD159" i="20"/>
  <c r="AC159" i="20"/>
  <c r="AB159" i="20"/>
  <c r="AA159" i="20"/>
  <c r="Z159" i="20"/>
  <c r="X159" i="20"/>
  <c r="W159" i="20"/>
  <c r="V159" i="20"/>
  <c r="U159" i="20"/>
  <c r="T159" i="20"/>
  <c r="S159" i="20"/>
  <c r="R159" i="20"/>
  <c r="Q159" i="20"/>
  <c r="P159" i="20"/>
  <c r="O159" i="20"/>
  <c r="N159" i="20"/>
  <c r="M159" i="20"/>
  <c r="L159" i="20"/>
  <c r="A159" i="20"/>
  <c r="AO158" i="20"/>
  <c r="AN158" i="20"/>
  <c r="AM158" i="20"/>
  <c r="AL158" i="20"/>
  <c r="AK158" i="20"/>
  <c r="AJ158" i="20"/>
  <c r="AI158" i="20"/>
  <c r="AH158" i="20"/>
  <c r="AG158" i="20"/>
  <c r="AF158" i="20"/>
  <c r="AE158" i="20"/>
  <c r="AD158" i="20"/>
  <c r="AC158" i="20"/>
  <c r="AB158" i="20"/>
  <c r="AA158" i="20"/>
  <c r="Z158" i="20"/>
  <c r="X158" i="20"/>
  <c r="W158" i="20"/>
  <c r="V158" i="20"/>
  <c r="U158" i="20"/>
  <c r="T158" i="20"/>
  <c r="S158" i="20"/>
  <c r="R158" i="20"/>
  <c r="Q158" i="20"/>
  <c r="P158" i="20"/>
  <c r="O158" i="20"/>
  <c r="N158" i="20"/>
  <c r="M158" i="20"/>
  <c r="L158" i="20"/>
  <c r="A158" i="20"/>
  <c r="AO157" i="20"/>
  <c r="AN157" i="20"/>
  <c r="AM157" i="20"/>
  <c r="AL157" i="20"/>
  <c r="AK157" i="20"/>
  <c r="AJ157" i="20"/>
  <c r="AI157" i="20"/>
  <c r="AH157" i="20"/>
  <c r="AG157" i="20"/>
  <c r="AF157" i="20"/>
  <c r="AE157" i="20"/>
  <c r="AD157" i="20"/>
  <c r="AC157" i="20"/>
  <c r="AB157" i="20"/>
  <c r="AA157" i="20"/>
  <c r="Z157" i="20"/>
  <c r="X157" i="20"/>
  <c r="W157" i="20"/>
  <c r="V157" i="20"/>
  <c r="U157" i="20"/>
  <c r="T157" i="20"/>
  <c r="S157" i="20"/>
  <c r="R157" i="20"/>
  <c r="Q157" i="20"/>
  <c r="P157" i="20"/>
  <c r="O157" i="20"/>
  <c r="N157" i="20"/>
  <c r="M157" i="20"/>
  <c r="L157" i="20"/>
  <c r="A157" i="20"/>
  <c r="AO156" i="20"/>
  <c r="AN156" i="20"/>
  <c r="AM156" i="20"/>
  <c r="AL156" i="20"/>
  <c r="AK156" i="20"/>
  <c r="AJ156" i="20"/>
  <c r="AI156" i="20"/>
  <c r="AH156" i="20"/>
  <c r="AG156" i="20"/>
  <c r="AF156" i="20"/>
  <c r="AE156" i="20"/>
  <c r="AD156" i="20"/>
  <c r="AC156" i="20"/>
  <c r="AB156" i="20"/>
  <c r="AA156" i="20"/>
  <c r="Z156" i="20"/>
  <c r="X156" i="20"/>
  <c r="W156" i="20"/>
  <c r="V156" i="20"/>
  <c r="U156" i="20"/>
  <c r="T156" i="20"/>
  <c r="S156" i="20"/>
  <c r="R156" i="20"/>
  <c r="Q156" i="20"/>
  <c r="P156" i="20"/>
  <c r="O156" i="20"/>
  <c r="N156" i="20"/>
  <c r="M156" i="20"/>
  <c r="L156" i="20"/>
  <c r="A156" i="20"/>
  <c r="AO155" i="20"/>
  <c r="AN155" i="20"/>
  <c r="AM155" i="20"/>
  <c r="AL155" i="20"/>
  <c r="AK155" i="20"/>
  <c r="AJ155" i="20"/>
  <c r="AI155" i="20"/>
  <c r="AH155" i="20"/>
  <c r="AG155" i="20"/>
  <c r="AF155" i="20"/>
  <c r="AE155" i="20"/>
  <c r="AD155" i="20"/>
  <c r="AC155" i="20"/>
  <c r="AB155" i="20"/>
  <c r="AA155" i="20"/>
  <c r="Z155" i="20"/>
  <c r="X155" i="20"/>
  <c r="W155" i="20"/>
  <c r="V155" i="20"/>
  <c r="U155" i="20"/>
  <c r="T155" i="20"/>
  <c r="S155" i="20"/>
  <c r="R155" i="20"/>
  <c r="Q155" i="20"/>
  <c r="P155" i="20"/>
  <c r="O155" i="20"/>
  <c r="N155" i="20"/>
  <c r="M155" i="20"/>
  <c r="L155" i="20"/>
  <c r="A155" i="20"/>
  <c r="AO154" i="20"/>
  <c r="AN154" i="20"/>
  <c r="AM154" i="20"/>
  <c r="AL154" i="20"/>
  <c r="AK154" i="20"/>
  <c r="AJ154" i="20"/>
  <c r="AI154" i="20"/>
  <c r="AH154" i="20"/>
  <c r="AG154" i="20"/>
  <c r="AF154" i="20"/>
  <c r="AE154" i="20"/>
  <c r="AD154" i="20"/>
  <c r="AC154" i="20"/>
  <c r="AB154" i="20"/>
  <c r="AA154" i="20"/>
  <c r="Z154" i="20"/>
  <c r="X154" i="20"/>
  <c r="W154" i="20"/>
  <c r="V154" i="20"/>
  <c r="U154" i="20"/>
  <c r="T154" i="20"/>
  <c r="S154" i="20"/>
  <c r="R154" i="20"/>
  <c r="Q154" i="20"/>
  <c r="P154" i="20"/>
  <c r="O154" i="20"/>
  <c r="N154" i="20"/>
  <c r="M154" i="20"/>
  <c r="L154" i="20"/>
  <c r="A154" i="20"/>
  <c r="AO153" i="20"/>
  <c r="AN153" i="20"/>
  <c r="AM153" i="20"/>
  <c r="AL153" i="20"/>
  <c r="AK153" i="20"/>
  <c r="AJ153" i="20"/>
  <c r="AI153" i="20"/>
  <c r="AH153" i="20"/>
  <c r="AG153" i="20"/>
  <c r="AF153" i="20"/>
  <c r="AE153" i="20"/>
  <c r="AD153" i="20"/>
  <c r="AC153" i="20"/>
  <c r="AB153" i="20"/>
  <c r="AA153" i="20"/>
  <c r="Z153" i="20"/>
  <c r="X153" i="20"/>
  <c r="W153" i="20"/>
  <c r="V153" i="20"/>
  <c r="U153" i="20"/>
  <c r="T153" i="20"/>
  <c r="S153" i="20"/>
  <c r="R153" i="20"/>
  <c r="Q153" i="20"/>
  <c r="P153" i="20"/>
  <c r="O153" i="20"/>
  <c r="N153" i="20"/>
  <c r="M153" i="20"/>
  <c r="L153" i="20"/>
  <c r="A153" i="20"/>
  <c r="AO152" i="20"/>
  <c r="AN152" i="20"/>
  <c r="AM152" i="20"/>
  <c r="AL152" i="20"/>
  <c r="AK152" i="20"/>
  <c r="AJ152" i="20"/>
  <c r="AI152" i="20"/>
  <c r="AH152" i="20"/>
  <c r="AG152" i="20"/>
  <c r="AF152" i="20"/>
  <c r="AE152" i="20"/>
  <c r="AD152" i="20"/>
  <c r="AC152" i="20"/>
  <c r="AB152" i="20"/>
  <c r="AA152" i="20"/>
  <c r="Z152" i="20"/>
  <c r="X152" i="20"/>
  <c r="W152" i="20"/>
  <c r="V152" i="20"/>
  <c r="U152" i="20"/>
  <c r="T152" i="20"/>
  <c r="S152" i="20"/>
  <c r="R152" i="20"/>
  <c r="Q152" i="20"/>
  <c r="P152" i="20"/>
  <c r="O152" i="20"/>
  <c r="N152" i="20"/>
  <c r="M152" i="20"/>
  <c r="L152" i="20"/>
  <c r="A152" i="20"/>
  <c r="AO151" i="20"/>
  <c r="AN151" i="20"/>
  <c r="AM151" i="20"/>
  <c r="AL151" i="20"/>
  <c r="AK151" i="20"/>
  <c r="AJ151" i="20"/>
  <c r="AI151" i="20"/>
  <c r="AH151" i="20"/>
  <c r="AG151" i="20"/>
  <c r="AF151" i="20"/>
  <c r="AE151" i="20"/>
  <c r="AD151" i="20"/>
  <c r="AC151" i="20"/>
  <c r="AB151" i="20"/>
  <c r="AA151" i="20"/>
  <c r="Z151" i="20"/>
  <c r="X151" i="20"/>
  <c r="W151" i="20"/>
  <c r="V151" i="20"/>
  <c r="U151" i="20"/>
  <c r="T151" i="20"/>
  <c r="S151" i="20"/>
  <c r="R151" i="20"/>
  <c r="Q151" i="20"/>
  <c r="P151" i="20"/>
  <c r="O151" i="20"/>
  <c r="N151" i="20"/>
  <c r="M151" i="20"/>
  <c r="L151" i="20"/>
  <c r="A151" i="20"/>
  <c r="AO150" i="20"/>
  <c r="AN150" i="20"/>
  <c r="AM150" i="20"/>
  <c r="AL150" i="20"/>
  <c r="AK150" i="20"/>
  <c r="AJ150" i="20"/>
  <c r="AI150" i="20"/>
  <c r="AH150" i="20"/>
  <c r="AG150" i="20"/>
  <c r="AF150" i="20"/>
  <c r="AE150" i="20"/>
  <c r="AD150" i="20"/>
  <c r="AC150" i="20"/>
  <c r="AB150" i="20"/>
  <c r="AA150" i="20"/>
  <c r="Z150" i="20"/>
  <c r="X150" i="20"/>
  <c r="W150" i="20"/>
  <c r="V150" i="20"/>
  <c r="U150" i="20"/>
  <c r="T150" i="20"/>
  <c r="S150" i="20"/>
  <c r="R150" i="20"/>
  <c r="Q150" i="20"/>
  <c r="P150" i="20"/>
  <c r="O150" i="20"/>
  <c r="N150" i="20"/>
  <c r="M150" i="20"/>
  <c r="L150" i="20"/>
  <c r="A150" i="20"/>
  <c r="AO149" i="20"/>
  <c r="AN149" i="20"/>
  <c r="AM149" i="20"/>
  <c r="AL149" i="20"/>
  <c r="AK149" i="20"/>
  <c r="AJ149" i="20"/>
  <c r="AI149" i="20"/>
  <c r="AH149" i="20"/>
  <c r="AG149" i="20"/>
  <c r="AF149" i="20"/>
  <c r="AE149" i="20"/>
  <c r="AD149" i="20"/>
  <c r="AC149" i="20"/>
  <c r="AB149" i="20"/>
  <c r="AA149" i="20"/>
  <c r="Z149" i="20"/>
  <c r="X149" i="20"/>
  <c r="W149" i="20"/>
  <c r="V149" i="20"/>
  <c r="U149" i="20"/>
  <c r="T149" i="20"/>
  <c r="S149" i="20"/>
  <c r="R149" i="20"/>
  <c r="Q149" i="20"/>
  <c r="P149" i="20"/>
  <c r="O149" i="20"/>
  <c r="N149" i="20"/>
  <c r="M149" i="20"/>
  <c r="L149" i="20"/>
  <c r="A149" i="20"/>
  <c r="AO148" i="20"/>
  <c r="AN148" i="20"/>
  <c r="AM148" i="20"/>
  <c r="AL148" i="20"/>
  <c r="AK148" i="20"/>
  <c r="AJ148" i="20"/>
  <c r="AI148" i="20"/>
  <c r="AH148" i="20"/>
  <c r="AG148" i="20"/>
  <c r="AF148" i="20"/>
  <c r="AE148" i="20"/>
  <c r="AD148" i="20"/>
  <c r="AC148" i="20"/>
  <c r="AB148" i="20"/>
  <c r="AA148" i="20"/>
  <c r="Z148" i="20"/>
  <c r="X148" i="20"/>
  <c r="W148" i="20"/>
  <c r="V148" i="20"/>
  <c r="U148" i="20"/>
  <c r="T148" i="20"/>
  <c r="S148" i="20"/>
  <c r="R148" i="20"/>
  <c r="Q148" i="20"/>
  <c r="P148" i="20"/>
  <c r="O148" i="20"/>
  <c r="N148" i="20"/>
  <c r="M148" i="20"/>
  <c r="L148" i="20"/>
  <c r="A148" i="20"/>
  <c r="AO147" i="20"/>
  <c r="AN147" i="20"/>
  <c r="AM147" i="20"/>
  <c r="AL147" i="20"/>
  <c r="AK147" i="20"/>
  <c r="AJ147" i="20"/>
  <c r="AI147" i="20"/>
  <c r="AH147" i="20"/>
  <c r="AG147" i="20"/>
  <c r="AF147" i="20"/>
  <c r="AE147" i="20"/>
  <c r="AD147" i="20"/>
  <c r="AC147" i="20"/>
  <c r="AB147" i="20"/>
  <c r="AA147" i="20"/>
  <c r="Z147" i="20"/>
  <c r="X147" i="20"/>
  <c r="W147" i="20"/>
  <c r="V147" i="20"/>
  <c r="U147" i="20"/>
  <c r="T147" i="20"/>
  <c r="S147" i="20"/>
  <c r="R147" i="20"/>
  <c r="Q147" i="20"/>
  <c r="P147" i="20"/>
  <c r="O147" i="20"/>
  <c r="N147" i="20"/>
  <c r="M147" i="20"/>
  <c r="L147" i="20"/>
  <c r="A147" i="20"/>
  <c r="AO146" i="20"/>
  <c r="AN146" i="20"/>
  <c r="AM146" i="20"/>
  <c r="AL146" i="20"/>
  <c r="AK146" i="20"/>
  <c r="AJ146" i="20"/>
  <c r="AI146" i="20"/>
  <c r="AH146" i="20"/>
  <c r="AG146" i="20"/>
  <c r="AF146" i="20"/>
  <c r="AE146" i="20"/>
  <c r="AD146" i="20"/>
  <c r="AC146" i="20"/>
  <c r="AB146" i="20"/>
  <c r="AA146" i="20"/>
  <c r="Z146" i="20"/>
  <c r="X146" i="20"/>
  <c r="W146" i="20"/>
  <c r="V146" i="20"/>
  <c r="U146" i="20"/>
  <c r="T146" i="20"/>
  <c r="S146" i="20"/>
  <c r="R146" i="20"/>
  <c r="Q146" i="20"/>
  <c r="P146" i="20"/>
  <c r="O146" i="20"/>
  <c r="N146" i="20"/>
  <c r="M146" i="20"/>
  <c r="L146" i="20"/>
  <c r="A146" i="20"/>
  <c r="AO145" i="20"/>
  <c r="AN145" i="20"/>
  <c r="AM145" i="20"/>
  <c r="AL145" i="20"/>
  <c r="AK145" i="20"/>
  <c r="AJ145" i="20"/>
  <c r="AI145" i="20"/>
  <c r="AH145" i="20"/>
  <c r="AG145" i="20"/>
  <c r="AF145" i="20"/>
  <c r="AE145" i="20"/>
  <c r="AD145" i="20"/>
  <c r="AC145" i="20"/>
  <c r="AB145" i="20"/>
  <c r="AA145" i="20"/>
  <c r="Z145" i="20"/>
  <c r="X145" i="20"/>
  <c r="W145" i="20"/>
  <c r="V145" i="20"/>
  <c r="U145" i="20"/>
  <c r="T145" i="20"/>
  <c r="S145" i="20"/>
  <c r="R145" i="20"/>
  <c r="Q145" i="20"/>
  <c r="P145" i="20"/>
  <c r="O145" i="20"/>
  <c r="N145" i="20"/>
  <c r="M145" i="20"/>
  <c r="L145" i="20"/>
  <c r="A145" i="20"/>
  <c r="AO144" i="20"/>
  <c r="AN144" i="20"/>
  <c r="AM144" i="20"/>
  <c r="AL144" i="20"/>
  <c r="AK144" i="20"/>
  <c r="AJ144" i="20"/>
  <c r="AI144" i="20"/>
  <c r="AH144" i="20"/>
  <c r="AG144" i="20"/>
  <c r="AF144" i="20"/>
  <c r="AE144" i="20"/>
  <c r="AD144" i="20"/>
  <c r="AC144" i="20"/>
  <c r="AB144" i="20"/>
  <c r="AA144" i="20"/>
  <c r="Z144" i="20"/>
  <c r="X144" i="20"/>
  <c r="W144" i="20"/>
  <c r="V144" i="20"/>
  <c r="U144" i="20"/>
  <c r="T144" i="20"/>
  <c r="S144" i="20"/>
  <c r="R144" i="20"/>
  <c r="Q144" i="20"/>
  <c r="P144" i="20"/>
  <c r="O144" i="20"/>
  <c r="N144" i="20"/>
  <c r="M144" i="20"/>
  <c r="L144" i="20"/>
  <c r="A144" i="20"/>
  <c r="AO143" i="20"/>
  <c r="AN143" i="20"/>
  <c r="AM143" i="20"/>
  <c r="AL143" i="20"/>
  <c r="AK143" i="20"/>
  <c r="AJ143" i="20"/>
  <c r="AI143" i="20"/>
  <c r="AH143" i="20"/>
  <c r="AG143" i="20"/>
  <c r="AF143" i="20"/>
  <c r="AE143" i="20"/>
  <c r="AD143" i="20"/>
  <c r="AC143" i="20"/>
  <c r="AB143" i="20"/>
  <c r="AA143" i="20"/>
  <c r="Z143" i="20"/>
  <c r="X143" i="20"/>
  <c r="W143" i="20"/>
  <c r="V143" i="20"/>
  <c r="U143" i="20"/>
  <c r="T143" i="20"/>
  <c r="S143" i="20"/>
  <c r="R143" i="20"/>
  <c r="Q143" i="20"/>
  <c r="P143" i="20"/>
  <c r="O143" i="20"/>
  <c r="N143" i="20"/>
  <c r="M143" i="20"/>
  <c r="L143" i="20"/>
  <c r="A143" i="20"/>
  <c r="AO142" i="20"/>
  <c r="AN142" i="20"/>
  <c r="AM142" i="20"/>
  <c r="AL142" i="20"/>
  <c r="AK142" i="20"/>
  <c r="AJ142" i="20"/>
  <c r="AI142" i="20"/>
  <c r="AH142" i="20"/>
  <c r="AG142" i="20"/>
  <c r="AF142" i="20"/>
  <c r="AE142" i="20"/>
  <c r="AD142" i="20"/>
  <c r="AC142" i="20"/>
  <c r="AB142" i="20"/>
  <c r="AA142" i="20"/>
  <c r="Z142" i="20"/>
  <c r="X142" i="20"/>
  <c r="W142" i="20"/>
  <c r="V142" i="20"/>
  <c r="U142" i="20"/>
  <c r="T142" i="20"/>
  <c r="S142" i="20"/>
  <c r="R142" i="20"/>
  <c r="Q142" i="20"/>
  <c r="P142" i="20"/>
  <c r="O142" i="20"/>
  <c r="N142" i="20"/>
  <c r="M142" i="20"/>
  <c r="L142" i="20"/>
  <c r="A142" i="20"/>
  <c r="AO141" i="20"/>
  <c r="AN141" i="20"/>
  <c r="AM141" i="20"/>
  <c r="AL141" i="20"/>
  <c r="AK141" i="20"/>
  <c r="AJ141" i="20"/>
  <c r="AI141" i="20"/>
  <c r="AH141" i="20"/>
  <c r="AG141" i="20"/>
  <c r="AF141" i="20"/>
  <c r="AE141" i="20"/>
  <c r="AD141" i="20"/>
  <c r="AC141" i="20"/>
  <c r="AB141" i="20"/>
  <c r="AA141" i="20"/>
  <c r="Z141" i="20"/>
  <c r="X141" i="20"/>
  <c r="W141" i="20"/>
  <c r="V141" i="20"/>
  <c r="U141" i="20"/>
  <c r="T141" i="20"/>
  <c r="S141" i="20"/>
  <c r="R141" i="20"/>
  <c r="Q141" i="20"/>
  <c r="P141" i="20"/>
  <c r="O141" i="20"/>
  <c r="N141" i="20"/>
  <c r="M141" i="20"/>
  <c r="L141" i="20"/>
  <c r="A141" i="20"/>
  <c r="AO140" i="20"/>
  <c r="AN140" i="20"/>
  <c r="AM140" i="20"/>
  <c r="AL140" i="20"/>
  <c r="AK140" i="20"/>
  <c r="AJ140" i="20"/>
  <c r="AI140" i="20"/>
  <c r="AH140" i="20"/>
  <c r="AG140" i="20"/>
  <c r="AF140" i="20"/>
  <c r="AE140" i="20"/>
  <c r="AD140" i="20"/>
  <c r="AC140" i="20"/>
  <c r="AB140" i="20"/>
  <c r="AA140" i="20"/>
  <c r="Z140" i="20"/>
  <c r="X140" i="20"/>
  <c r="W140" i="20"/>
  <c r="V140" i="20"/>
  <c r="U140" i="20"/>
  <c r="T140" i="20"/>
  <c r="S140" i="20"/>
  <c r="R140" i="20"/>
  <c r="Q140" i="20"/>
  <c r="P140" i="20"/>
  <c r="O140" i="20"/>
  <c r="N140" i="20"/>
  <c r="M140" i="20"/>
  <c r="L140" i="20"/>
  <c r="A140" i="20"/>
  <c r="AO139" i="20"/>
  <c r="AN139" i="20"/>
  <c r="AM139" i="20"/>
  <c r="AL139" i="20"/>
  <c r="AK139" i="20"/>
  <c r="AJ139" i="20"/>
  <c r="AI139" i="20"/>
  <c r="AH139" i="20"/>
  <c r="AG139" i="20"/>
  <c r="AF139" i="20"/>
  <c r="AE139" i="20"/>
  <c r="AD139" i="20"/>
  <c r="AC139" i="20"/>
  <c r="AB139" i="20"/>
  <c r="AA139" i="20"/>
  <c r="Z139" i="20"/>
  <c r="X139" i="20"/>
  <c r="W139" i="20"/>
  <c r="V139" i="20"/>
  <c r="U139" i="20"/>
  <c r="T139" i="20"/>
  <c r="S139" i="20"/>
  <c r="R139" i="20"/>
  <c r="Q139" i="20"/>
  <c r="P139" i="20"/>
  <c r="O139" i="20"/>
  <c r="N139" i="20"/>
  <c r="M139" i="20"/>
  <c r="L139" i="20"/>
  <c r="A139" i="20"/>
  <c r="AO138" i="20"/>
  <c r="AN138" i="20"/>
  <c r="AM138" i="20"/>
  <c r="AL138" i="20"/>
  <c r="AK138" i="20"/>
  <c r="AJ138" i="20"/>
  <c r="AI138" i="20"/>
  <c r="AH138" i="20"/>
  <c r="AG138" i="20"/>
  <c r="AF138" i="20"/>
  <c r="AE138" i="20"/>
  <c r="AD138" i="20"/>
  <c r="AC138" i="20"/>
  <c r="AB138" i="20"/>
  <c r="AA138" i="20"/>
  <c r="Z138" i="20"/>
  <c r="X138" i="20"/>
  <c r="W138" i="20"/>
  <c r="V138" i="20"/>
  <c r="U138" i="20"/>
  <c r="T138" i="20"/>
  <c r="S138" i="20"/>
  <c r="R138" i="20"/>
  <c r="Q138" i="20"/>
  <c r="P138" i="20"/>
  <c r="O138" i="20"/>
  <c r="N138" i="20"/>
  <c r="M138" i="20"/>
  <c r="L138" i="20"/>
  <c r="A138" i="20"/>
  <c r="AO137" i="20"/>
  <c r="AN137" i="20"/>
  <c r="AM137" i="20"/>
  <c r="AL137" i="20"/>
  <c r="AK137" i="20"/>
  <c r="AJ137" i="20"/>
  <c r="AI137" i="20"/>
  <c r="AH137" i="20"/>
  <c r="AG137" i="20"/>
  <c r="AF137" i="20"/>
  <c r="AE137" i="20"/>
  <c r="AD137" i="20"/>
  <c r="AC137" i="20"/>
  <c r="AB137" i="20"/>
  <c r="AA137" i="20"/>
  <c r="Z137" i="20"/>
  <c r="X137" i="20"/>
  <c r="W137" i="20"/>
  <c r="V137" i="20"/>
  <c r="U137" i="20"/>
  <c r="T137" i="20"/>
  <c r="S137" i="20"/>
  <c r="R137" i="20"/>
  <c r="Q137" i="20"/>
  <c r="P137" i="20"/>
  <c r="O137" i="20"/>
  <c r="N137" i="20"/>
  <c r="M137" i="20"/>
  <c r="L137" i="20"/>
  <c r="A137" i="20"/>
  <c r="AO136" i="20"/>
  <c r="AN136" i="20"/>
  <c r="AM136" i="20"/>
  <c r="AL136" i="20"/>
  <c r="AK136" i="20"/>
  <c r="AJ136" i="20"/>
  <c r="AI136" i="20"/>
  <c r="AH136" i="20"/>
  <c r="AG136" i="20"/>
  <c r="AF136" i="20"/>
  <c r="AE136" i="20"/>
  <c r="AD136" i="20"/>
  <c r="AC136" i="20"/>
  <c r="AB136" i="20"/>
  <c r="AA136" i="20"/>
  <c r="Z136" i="20"/>
  <c r="X136" i="20"/>
  <c r="W136" i="20"/>
  <c r="V136" i="20"/>
  <c r="U136" i="20"/>
  <c r="T136" i="20"/>
  <c r="S136" i="20"/>
  <c r="R136" i="20"/>
  <c r="Q136" i="20"/>
  <c r="P136" i="20"/>
  <c r="O136" i="20"/>
  <c r="N136" i="20"/>
  <c r="M136" i="20"/>
  <c r="L136" i="20"/>
  <c r="A136" i="20"/>
  <c r="AO135" i="20"/>
  <c r="AN135" i="20"/>
  <c r="AM135" i="20"/>
  <c r="AL135" i="20"/>
  <c r="AK135" i="20"/>
  <c r="AJ135" i="20"/>
  <c r="AI135" i="20"/>
  <c r="AH135" i="20"/>
  <c r="AG135" i="20"/>
  <c r="AF135" i="20"/>
  <c r="AE135" i="20"/>
  <c r="AD135" i="20"/>
  <c r="AC135" i="20"/>
  <c r="AB135" i="20"/>
  <c r="AA135" i="20"/>
  <c r="Z135" i="20"/>
  <c r="X135" i="20"/>
  <c r="W135" i="20"/>
  <c r="V135" i="20"/>
  <c r="U135" i="20"/>
  <c r="T135" i="20"/>
  <c r="S135" i="20"/>
  <c r="R135" i="20"/>
  <c r="Q135" i="20"/>
  <c r="P135" i="20"/>
  <c r="O135" i="20"/>
  <c r="N135" i="20"/>
  <c r="M135" i="20"/>
  <c r="L135" i="20"/>
  <c r="A135" i="20"/>
  <c r="AO134" i="20"/>
  <c r="AN134" i="20"/>
  <c r="AM134" i="20"/>
  <c r="AL134" i="20"/>
  <c r="AK134" i="20"/>
  <c r="AJ134" i="20"/>
  <c r="AI134" i="20"/>
  <c r="AH134" i="20"/>
  <c r="AG134" i="20"/>
  <c r="AF134" i="20"/>
  <c r="AE134" i="20"/>
  <c r="AD134" i="20"/>
  <c r="AC134" i="20"/>
  <c r="AB134" i="20"/>
  <c r="AA134" i="20"/>
  <c r="Z134" i="20"/>
  <c r="X134" i="20"/>
  <c r="W134" i="20"/>
  <c r="V134" i="20"/>
  <c r="U134" i="20"/>
  <c r="T134" i="20"/>
  <c r="S134" i="20"/>
  <c r="R134" i="20"/>
  <c r="Q134" i="20"/>
  <c r="P134" i="20"/>
  <c r="O134" i="20"/>
  <c r="N134" i="20"/>
  <c r="M134" i="20"/>
  <c r="L134" i="20"/>
  <c r="A134" i="20"/>
  <c r="AO133" i="20"/>
  <c r="AN133" i="20"/>
  <c r="AM133" i="20"/>
  <c r="AL133" i="20"/>
  <c r="AK133" i="20"/>
  <c r="AJ133" i="20"/>
  <c r="AI133" i="20"/>
  <c r="AH133" i="20"/>
  <c r="AG133" i="20"/>
  <c r="AF133" i="20"/>
  <c r="AE133" i="20"/>
  <c r="AD133" i="20"/>
  <c r="AC133" i="20"/>
  <c r="AB133" i="20"/>
  <c r="AA133" i="20"/>
  <c r="Z133" i="20"/>
  <c r="X133" i="20"/>
  <c r="W133" i="20"/>
  <c r="V133" i="20"/>
  <c r="U133" i="20"/>
  <c r="T133" i="20"/>
  <c r="S133" i="20"/>
  <c r="R133" i="20"/>
  <c r="Q133" i="20"/>
  <c r="P133" i="20"/>
  <c r="O133" i="20"/>
  <c r="N133" i="20"/>
  <c r="M133" i="20"/>
  <c r="L133" i="20"/>
  <c r="A133" i="20"/>
  <c r="AO132" i="20"/>
  <c r="AN132" i="20"/>
  <c r="AM132" i="20"/>
  <c r="AL132" i="20"/>
  <c r="AK132" i="20"/>
  <c r="AJ132" i="20"/>
  <c r="AI132" i="20"/>
  <c r="AH132" i="20"/>
  <c r="AG132" i="20"/>
  <c r="AF132" i="20"/>
  <c r="AE132" i="20"/>
  <c r="AD132" i="20"/>
  <c r="AC132" i="20"/>
  <c r="AB132" i="20"/>
  <c r="AA132" i="20"/>
  <c r="Z132" i="20"/>
  <c r="X132" i="20"/>
  <c r="W132" i="20"/>
  <c r="V132" i="20"/>
  <c r="U132" i="20"/>
  <c r="T132" i="20"/>
  <c r="S132" i="20"/>
  <c r="R132" i="20"/>
  <c r="Q132" i="20"/>
  <c r="P132" i="20"/>
  <c r="O132" i="20"/>
  <c r="N132" i="20"/>
  <c r="M132" i="20"/>
  <c r="L132" i="20"/>
  <c r="A132" i="20"/>
  <c r="AO131" i="20"/>
  <c r="AN131" i="20"/>
  <c r="AM131" i="20"/>
  <c r="AL131" i="20"/>
  <c r="AK131" i="20"/>
  <c r="AJ131" i="20"/>
  <c r="AI131" i="20"/>
  <c r="AH131" i="20"/>
  <c r="AG131" i="20"/>
  <c r="AF131" i="20"/>
  <c r="AE131" i="20"/>
  <c r="AD131" i="20"/>
  <c r="AC131" i="20"/>
  <c r="AB131" i="20"/>
  <c r="AA131" i="20"/>
  <c r="Z131" i="20"/>
  <c r="X131" i="20"/>
  <c r="W131" i="20"/>
  <c r="V131" i="20"/>
  <c r="U131" i="20"/>
  <c r="T131" i="20"/>
  <c r="S131" i="20"/>
  <c r="R131" i="20"/>
  <c r="Q131" i="20"/>
  <c r="P131" i="20"/>
  <c r="O131" i="20"/>
  <c r="N131" i="20"/>
  <c r="M131" i="20"/>
  <c r="L131" i="20"/>
  <c r="A131" i="20"/>
  <c r="AO130" i="20"/>
  <c r="AN130" i="20"/>
  <c r="AM130" i="20"/>
  <c r="AL130" i="20"/>
  <c r="AK130" i="20"/>
  <c r="AJ130" i="20"/>
  <c r="AI130" i="20"/>
  <c r="AH130" i="20"/>
  <c r="AG130" i="20"/>
  <c r="AF130" i="20"/>
  <c r="AE130" i="20"/>
  <c r="AD130" i="20"/>
  <c r="AC130" i="20"/>
  <c r="AB130" i="20"/>
  <c r="AA130" i="20"/>
  <c r="Z130" i="20"/>
  <c r="X130" i="20"/>
  <c r="W130" i="20"/>
  <c r="V130" i="20"/>
  <c r="U130" i="20"/>
  <c r="T130" i="20"/>
  <c r="S130" i="20"/>
  <c r="R130" i="20"/>
  <c r="Q130" i="20"/>
  <c r="P130" i="20"/>
  <c r="O130" i="20"/>
  <c r="N130" i="20"/>
  <c r="M130" i="20"/>
  <c r="L130" i="20"/>
  <c r="A130" i="20"/>
  <c r="AO129" i="20"/>
  <c r="AN129" i="20"/>
  <c r="AM129" i="20"/>
  <c r="AL129" i="20"/>
  <c r="AK129" i="20"/>
  <c r="AJ129" i="20"/>
  <c r="AI129" i="20"/>
  <c r="AH129" i="20"/>
  <c r="AG129" i="20"/>
  <c r="AF129" i="20"/>
  <c r="AE129" i="20"/>
  <c r="AD129" i="20"/>
  <c r="AC129" i="20"/>
  <c r="AB129" i="20"/>
  <c r="AA129" i="20"/>
  <c r="Z129" i="20"/>
  <c r="X129" i="20"/>
  <c r="W129" i="20"/>
  <c r="V129" i="20"/>
  <c r="U129" i="20"/>
  <c r="T129" i="20"/>
  <c r="S129" i="20"/>
  <c r="R129" i="20"/>
  <c r="Q129" i="20"/>
  <c r="P129" i="20"/>
  <c r="O129" i="20"/>
  <c r="N129" i="20"/>
  <c r="M129" i="20"/>
  <c r="L129" i="20"/>
  <c r="A129" i="20"/>
  <c r="AO128" i="20"/>
  <c r="AN128" i="20"/>
  <c r="AM128" i="20"/>
  <c r="AL128" i="20"/>
  <c r="AK128" i="20"/>
  <c r="AJ128" i="20"/>
  <c r="AI128" i="20"/>
  <c r="AH128" i="20"/>
  <c r="AG128" i="20"/>
  <c r="AF128" i="20"/>
  <c r="AE128" i="20"/>
  <c r="AD128" i="20"/>
  <c r="AC128" i="20"/>
  <c r="AB128" i="20"/>
  <c r="AA128" i="20"/>
  <c r="Z128" i="20"/>
  <c r="X128" i="20"/>
  <c r="W128" i="20"/>
  <c r="V128" i="20"/>
  <c r="U128" i="20"/>
  <c r="T128" i="20"/>
  <c r="S128" i="20"/>
  <c r="R128" i="20"/>
  <c r="Q128" i="20"/>
  <c r="P128" i="20"/>
  <c r="O128" i="20"/>
  <c r="N128" i="20"/>
  <c r="M128" i="20"/>
  <c r="L128" i="20"/>
  <c r="A128" i="20"/>
  <c r="AO127" i="20"/>
  <c r="AN127" i="20"/>
  <c r="AM127" i="20"/>
  <c r="AL127" i="20"/>
  <c r="AK127" i="20"/>
  <c r="AJ127" i="20"/>
  <c r="AI127" i="20"/>
  <c r="AH127" i="20"/>
  <c r="AG127" i="20"/>
  <c r="AF127" i="20"/>
  <c r="AE127" i="20"/>
  <c r="AD127" i="20"/>
  <c r="AC127" i="20"/>
  <c r="AB127" i="20"/>
  <c r="AA127" i="20"/>
  <c r="Z127" i="20"/>
  <c r="X127" i="20"/>
  <c r="W127" i="20"/>
  <c r="V127" i="20"/>
  <c r="U127" i="20"/>
  <c r="T127" i="20"/>
  <c r="S127" i="20"/>
  <c r="R127" i="20"/>
  <c r="Q127" i="20"/>
  <c r="P127" i="20"/>
  <c r="O127" i="20"/>
  <c r="N127" i="20"/>
  <c r="M127" i="20"/>
  <c r="L127" i="20"/>
  <c r="A127" i="20"/>
  <c r="AO126" i="20"/>
  <c r="AN126" i="20"/>
  <c r="AM126" i="20"/>
  <c r="AL126" i="20"/>
  <c r="AK126" i="20"/>
  <c r="AJ126" i="20"/>
  <c r="AI126" i="20"/>
  <c r="AH126" i="20"/>
  <c r="AG126" i="20"/>
  <c r="AF126" i="20"/>
  <c r="AE126" i="20"/>
  <c r="AD126" i="20"/>
  <c r="AC126" i="20"/>
  <c r="AB126" i="20"/>
  <c r="AA126" i="20"/>
  <c r="Z126" i="20"/>
  <c r="X126" i="20"/>
  <c r="W126" i="20"/>
  <c r="V126" i="20"/>
  <c r="U126" i="20"/>
  <c r="T126" i="20"/>
  <c r="S126" i="20"/>
  <c r="R126" i="20"/>
  <c r="Q126" i="20"/>
  <c r="P126" i="20"/>
  <c r="O126" i="20"/>
  <c r="N126" i="20"/>
  <c r="M126" i="20"/>
  <c r="L126" i="20"/>
  <c r="A126" i="20"/>
  <c r="AO125" i="20"/>
  <c r="AN125" i="20"/>
  <c r="AM125" i="20"/>
  <c r="AL125" i="20"/>
  <c r="AK125" i="20"/>
  <c r="AJ125" i="20"/>
  <c r="AI125" i="20"/>
  <c r="AH125" i="20"/>
  <c r="AG125" i="20"/>
  <c r="AF125" i="20"/>
  <c r="AE125" i="20"/>
  <c r="AD125" i="20"/>
  <c r="AC125" i="20"/>
  <c r="AB125" i="20"/>
  <c r="AA125" i="20"/>
  <c r="Z125" i="20"/>
  <c r="X125" i="20"/>
  <c r="W125" i="20"/>
  <c r="V125" i="20"/>
  <c r="U125" i="20"/>
  <c r="T125" i="20"/>
  <c r="S125" i="20"/>
  <c r="R125" i="20"/>
  <c r="Q125" i="20"/>
  <c r="P125" i="20"/>
  <c r="O125" i="20"/>
  <c r="N125" i="20"/>
  <c r="M125" i="20"/>
  <c r="L125" i="20"/>
  <c r="A125" i="20"/>
  <c r="AO124" i="20"/>
  <c r="AN124" i="20"/>
  <c r="AM124" i="20"/>
  <c r="AL124" i="20"/>
  <c r="AK124" i="20"/>
  <c r="AJ124" i="20"/>
  <c r="AI124" i="20"/>
  <c r="AH124" i="20"/>
  <c r="AG124" i="20"/>
  <c r="AF124" i="20"/>
  <c r="AE124" i="20"/>
  <c r="AD124" i="20"/>
  <c r="AC124" i="20"/>
  <c r="AB124" i="20"/>
  <c r="AA124" i="20"/>
  <c r="Z124" i="20"/>
  <c r="X124" i="20"/>
  <c r="W124" i="20"/>
  <c r="V124" i="20"/>
  <c r="U124" i="20"/>
  <c r="T124" i="20"/>
  <c r="S124" i="20"/>
  <c r="R124" i="20"/>
  <c r="Q124" i="20"/>
  <c r="P124" i="20"/>
  <c r="O124" i="20"/>
  <c r="N124" i="20"/>
  <c r="M124" i="20"/>
  <c r="L124" i="20"/>
  <c r="A124" i="20"/>
  <c r="AO123" i="20"/>
  <c r="AN123" i="20"/>
  <c r="AM123" i="20"/>
  <c r="AL123" i="20"/>
  <c r="AK123" i="20"/>
  <c r="AJ123" i="20"/>
  <c r="AI123" i="20"/>
  <c r="AH123" i="20"/>
  <c r="AG123" i="20"/>
  <c r="AF123" i="20"/>
  <c r="AE123" i="20"/>
  <c r="AD123" i="20"/>
  <c r="AC123" i="20"/>
  <c r="AB123" i="20"/>
  <c r="AA123" i="20"/>
  <c r="Z123" i="20"/>
  <c r="X123" i="20"/>
  <c r="W123" i="20"/>
  <c r="V123" i="20"/>
  <c r="U123" i="20"/>
  <c r="T123" i="20"/>
  <c r="S123" i="20"/>
  <c r="R123" i="20"/>
  <c r="Q123" i="20"/>
  <c r="P123" i="20"/>
  <c r="O123" i="20"/>
  <c r="N123" i="20"/>
  <c r="M123" i="20"/>
  <c r="L123" i="20"/>
  <c r="A123" i="20"/>
  <c r="AO122" i="20"/>
  <c r="AN122" i="20"/>
  <c r="AM122" i="20"/>
  <c r="AL122" i="20"/>
  <c r="AK122" i="20"/>
  <c r="AJ122" i="20"/>
  <c r="AI122" i="20"/>
  <c r="AH122" i="20"/>
  <c r="AG122" i="20"/>
  <c r="AF122" i="20"/>
  <c r="AE122" i="20"/>
  <c r="AD122" i="20"/>
  <c r="AC122" i="20"/>
  <c r="AB122" i="20"/>
  <c r="AA122" i="20"/>
  <c r="Z122" i="20"/>
  <c r="X122" i="20"/>
  <c r="W122" i="20"/>
  <c r="V122" i="20"/>
  <c r="U122" i="20"/>
  <c r="T122" i="20"/>
  <c r="S122" i="20"/>
  <c r="R122" i="20"/>
  <c r="Q122" i="20"/>
  <c r="P122" i="20"/>
  <c r="O122" i="20"/>
  <c r="N122" i="20"/>
  <c r="M122" i="20"/>
  <c r="L122" i="20"/>
  <c r="A122" i="20"/>
  <c r="AO121" i="20"/>
  <c r="AN121" i="20"/>
  <c r="AM121" i="20"/>
  <c r="AL121" i="20"/>
  <c r="AK121" i="20"/>
  <c r="AJ121" i="20"/>
  <c r="AI121" i="20"/>
  <c r="AH121" i="20"/>
  <c r="AG121" i="20"/>
  <c r="AF121" i="20"/>
  <c r="AE121" i="20"/>
  <c r="AD121" i="20"/>
  <c r="AC121" i="20"/>
  <c r="AB121" i="20"/>
  <c r="AA121" i="20"/>
  <c r="Z121" i="20"/>
  <c r="X121" i="20"/>
  <c r="W121" i="20"/>
  <c r="V121" i="20"/>
  <c r="U121" i="20"/>
  <c r="T121" i="20"/>
  <c r="S121" i="20"/>
  <c r="R121" i="20"/>
  <c r="Q121" i="20"/>
  <c r="P121" i="20"/>
  <c r="O121" i="20"/>
  <c r="N121" i="20"/>
  <c r="M121" i="20"/>
  <c r="L121" i="20"/>
  <c r="A121" i="20"/>
  <c r="AO120" i="20"/>
  <c r="AN120" i="20"/>
  <c r="AM120" i="20"/>
  <c r="AL120" i="20"/>
  <c r="AK120" i="20"/>
  <c r="AJ120" i="20"/>
  <c r="AI120" i="20"/>
  <c r="AH120" i="20"/>
  <c r="AG120" i="20"/>
  <c r="AF120" i="20"/>
  <c r="AE120" i="20"/>
  <c r="AD120" i="20"/>
  <c r="AC120" i="20"/>
  <c r="AB120" i="20"/>
  <c r="AA120" i="20"/>
  <c r="Z120" i="20"/>
  <c r="X120" i="20"/>
  <c r="W120" i="20"/>
  <c r="V120" i="20"/>
  <c r="U120" i="20"/>
  <c r="T120" i="20"/>
  <c r="S120" i="20"/>
  <c r="R120" i="20"/>
  <c r="Q120" i="20"/>
  <c r="P120" i="20"/>
  <c r="O120" i="20"/>
  <c r="N120" i="20"/>
  <c r="M120" i="20"/>
  <c r="L120" i="20"/>
  <c r="A120" i="20"/>
  <c r="AO119" i="20"/>
  <c r="AN119" i="20"/>
  <c r="AM119" i="20"/>
  <c r="AL119" i="20"/>
  <c r="AK119" i="20"/>
  <c r="AJ119" i="20"/>
  <c r="AI119" i="20"/>
  <c r="AH119" i="20"/>
  <c r="AG119" i="20"/>
  <c r="AF119" i="20"/>
  <c r="AE119" i="20"/>
  <c r="AD119" i="20"/>
  <c r="AC119" i="20"/>
  <c r="AB119" i="20"/>
  <c r="AA119" i="20"/>
  <c r="Z119" i="20"/>
  <c r="X119" i="20"/>
  <c r="W119" i="20"/>
  <c r="V119" i="20"/>
  <c r="U119" i="20"/>
  <c r="T119" i="20"/>
  <c r="S119" i="20"/>
  <c r="R119" i="20"/>
  <c r="Q119" i="20"/>
  <c r="P119" i="20"/>
  <c r="O119" i="20"/>
  <c r="N119" i="20"/>
  <c r="M119" i="20"/>
  <c r="L119" i="20"/>
  <c r="A119" i="20"/>
  <c r="AO118" i="20"/>
  <c r="AN118" i="20"/>
  <c r="AM118" i="20"/>
  <c r="AL118" i="20"/>
  <c r="AK118" i="20"/>
  <c r="AJ118" i="20"/>
  <c r="AI118" i="20"/>
  <c r="AH118" i="20"/>
  <c r="AG118" i="20"/>
  <c r="AF118" i="20"/>
  <c r="AE118" i="20"/>
  <c r="AD118" i="20"/>
  <c r="AC118" i="20"/>
  <c r="AB118" i="20"/>
  <c r="AA118" i="20"/>
  <c r="Z118" i="20"/>
  <c r="X118" i="20"/>
  <c r="W118" i="20"/>
  <c r="V118" i="20"/>
  <c r="U118" i="20"/>
  <c r="T118" i="20"/>
  <c r="S118" i="20"/>
  <c r="R118" i="20"/>
  <c r="Q118" i="20"/>
  <c r="P118" i="20"/>
  <c r="O118" i="20"/>
  <c r="N118" i="20"/>
  <c r="M118" i="20"/>
  <c r="L118" i="20"/>
  <c r="A118" i="20"/>
  <c r="AO117" i="20"/>
  <c r="AN117" i="20"/>
  <c r="AM117" i="20"/>
  <c r="AL117" i="20"/>
  <c r="AK117" i="20"/>
  <c r="AJ117" i="20"/>
  <c r="AI117" i="20"/>
  <c r="AH117" i="20"/>
  <c r="AG117" i="20"/>
  <c r="AF117" i="20"/>
  <c r="AE117" i="20"/>
  <c r="AD117" i="20"/>
  <c r="AC117" i="20"/>
  <c r="AB117" i="20"/>
  <c r="AA117" i="20"/>
  <c r="Z117" i="20"/>
  <c r="X117" i="20"/>
  <c r="W117" i="20"/>
  <c r="V117" i="20"/>
  <c r="U117" i="20"/>
  <c r="T117" i="20"/>
  <c r="S117" i="20"/>
  <c r="R117" i="20"/>
  <c r="Q117" i="20"/>
  <c r="P117" i="20"/>
  <c r="O117" i="20"/>
  <c r="N117" i="20"/>
  <c r="M117" i="20"/>
  <c r="L117" i="20"/>
  <c r="A117" i="20"/>
  <c r="AO116" i="20"/>
  <c r="AN116" i="20"/>
  <c r="AM116" i="20"/>
  <c r="AL116" i="20"/>
  <c r="AK116" i="20"/>
  <c r="AJ116" i="20"/>
  <c r="AI116" i="20"/>
  <c r="AH116" i="20"/>
  <c r="AG116" i="20"/>
  <c r="AF116" i="20"/>
  <c r="AE116" i="20"/>
  <c r="AD116" i="20"/>
  <c r="AC116" i="20"/>
  <c r="AB116" i="20"/>
  <c r="AA116" i="20"/>
  <c r="Z116" i="20"/>
  <c r="X116" i="20"/>
  <c r="W116" i="20"/>
  <c r="V116" i="20"/>
  <c r="U116" i="20"/>
  <c r="T116" i="20"/>
  <c r="S116" i="20"/>
  <c r="R116" i="20"/>
  <c r="Q116" i="20"/>
  <c r="P116" i="20"/>
  <c r="O116" i="20"/>
  <c r="N116" i="20"/>
  <c r="M116" i="20"/>
  <c r="L116" i="20"/>
  <c r="A116" i="20"/>
  <c r="AO115" i="20"/>
  <c r="AN115" i="20"/>
  <c r="AM115" i="20"/>
  <c r="AL115" i="20"/>
  <c r="AK115" i="20"/>
  <c r="AJ115" i="20"/>
  <c r="AI115" i="20"/>
  <c r="AH115" i="20"/>
  <c r="AG115" i="20"/>
  <c r="AF115" i="20"/>
  <c r="AE115" i="20"/>
  <c r="AD115" i="20"/>
  <c r="AC115" i="20"/>
  <c r="AB115" i="20"/>
  <c r="AA115" i="20"/>
  <c r="Z115" i="20"/>
  <c r="X115" i="20"/>
  <c r="W115" i="20"/>
  <c r="V115" i="20"/>
  <c r="U115" i="20"/>
  <c r="T115" i="20"/>
  <c r="S115" i="20"/>
  <c r="R115" i="20"/>
  <c r="Q115" i="20"/>
  <c r="P115" i="20"/>
  <c r="O115" i="20"/>
  <c r="N115" i="20"/>
  <c r="M115" i="20"/>
  <c r="L115" i="20"/>
  <c r="A115" i="20"/>
  <c r="AO114" i="20"/>
  <c r="AN114" i="20"/>
  <c r="AM114" i="20"/>
  <c r="AL114" i="20"/>
  <c r="AK114" i="20"/>
  <c r="AJ114" i="20"/>
  <c r="AI114" i="20"/>
  <c r="AH114" i="20"/>
  <c r="AG114" i="20"/>
  <c r="AF114" i="20"/>
  <c r="AE114" i="20"/>
  <c r="AD114" i="20"/>
  <c r="AC114" i="20"/>
  <c r="AB114" i="20"/>
  <c r="AA114" i="20"/>
  <c r="Z114" i="20"/>
  <c r="X114" i="20"/>
  <c r="W114" i="20"/>
  <c r="V114" i="20"/>
  <c r="U114" i="20"/>
  <c r="T114" i="20"/>
  <c r="S114" i="20"/>
  <c r="R114" i="20"/>
  <c r="Q114" i="20"/>
  <c r="P114" i="20"/>
  <c r="O114" i="20"/>
  <c r="N114" i="20"/>
  <c r="M114" i="20"/>
  <c r="L114" i="20"/>
  <c r="A114" i="20"/>
  <c r="AO113" i="20"/>
  <c r="AN113" i="20"/>
  <c r="AM113" i="20"/>
  <c r="AL113" i="20"/>
  <c r="AK113" i="20"/>
  <c r="AJ113" i="20"/>
  <c r="AI113" i="20"/>
  <c r="AH113" i="20"/>
  <c r="AG113" i="20"/>
  <c r="AF113" i="20"/>
  <c r="AE113" i="20"/>
  <c r="AD113" i="20"/>
  <c r="AC113" i="20"/>
  <c r="AB113" i="20"/>
  <c r="AA113" i="20"/>
  <c r="Z113" i="20"/>
  <c r="X113" i="20"/>
  <c r="W113" i="20"/>
  <c r="V113" i="20"/>
  <c r="U113" i="20"/>
  <c r="T113" i="20"/>
  <c r="S113" i="20"/>
  <c r="R113" i="20"/>
  <c r="Q113" i="20"/>
  <c r="P113" i="20"/>
  <c r="O113" i="20"/>
  <c r="N113" i="20"/>
  <c r="M113" i="20"/>
  <c r="L113" i="20"/>
  <c r="A113" i="20"/>
  <c r="AO112" i="20"/>
  <c r="AN112" i="20"/>
  <c r="AM112" i="20"/>
  <c r="AL112" i="20"/>
  <c r="AK112" i="20"/>
  <c r="AJ112" i="20"/>
  <c r="AI112" i="20"/>
  <c r="AH112" i="20"/>
  <c r="AG112" i="20"/>
  <c r="AF112" i="20"/>
  <c r="AE112" i="20"/>
  <c r="AD112" i="20"/>
  <c r="AC112" i="20"/>
  <c r="AB112" i="20"/>
  <c r="AA112" i="20"/>
  <c r="Z112" i="20"/>
  <c r="X112" i="20"/>
  <c r="W112" i="20"/>
  <c r="V112" i="20"/>
  <c r="U112" i="20"/>
  <c r="T112" i="20"/>
  <c r="S112" i="20"/>
  <c r="R112" i="20"/>
  <c r="Q112" i="20"/>
  <c r="P112" i="20"/>
  <c r="O112" i="20"/>
  <c r="N112" i="20"/>
  <c r="M112" i="20"/>
  <c r="L112" i="20"/>
  <c r="A112" i="20"/>
  <c r="AO111" i="20"/>
  <c r="AN111" i="20"/>
  <c r="AM111" i="20"/>
  <c r="AL111" i="20"/>
  <c r="AK111" i="20"/>
  <c r="AJ111" i="20"/>
  <c r="AI111" i="20"/>
  <c r="AH111" i="20"/>
  <c r="AG111" i="20"/>
  <c r="AF111" i="20"/>
  <c r="AE111" i="20"/>
  <c r="AD111" i="20"/>
  <c r="AC111" i="20"/>
  <c r="AB111" i="20"/>
  <c r="AA111" i="20"/>
  <c r="Z111" i="20"/>
  <c r="X111" i="20"/>
  <c r="W111" i="20"/>
  <c r="V111" i="20"/>
  <c r="U111" i="20"/>
  <c r="T111" i="20"/>
  <c r="S111" i="20"/>
  <c r="R111" i="20"/>
  <c r="Q111" i="20"/>
  <c r="P111" i="20"/>
  <c r="O111" i="20"/>
  <c r="N111" i="20"/>
  <c r="M111" i="20"/>
  <c r="L111" i="20"/>
  <c r="A111" i="20"/>
  <c r="AO110" i="20"/>
  <c r="AN110" i="20"/>
  <c r="AM110" i="20"/>
  <c r="AL110" i="20"/>
  <c r="AK110" i="20"/>
  <c r="AJ110" i="20"/>
  <c r="AI110" i="20"/>
  <c r="AH110" i="20"/>
  <c r="AG110" i="20"/>
  <c r="AF110" i="20"/>
  <c r="AE110" i="20"/>
  <c r="AD110" i="20"/>
  <c r="AC110" i="20"/>
  <c r="AB110" i="20"/>
  <c r="AA110" i="20"/>
  <c r="Z110" i="20"/>
  <c r="X110" i="20"/>
  <c r="W110" i="20"/>
  <c r="V110" i="20"/>
  <c r="U110" i="20"/>
  <c r="T110" i="20"/>
  <c r="S110" i="20"/>
  <c r="R110" i="20"/>
  <c r="Q110" i="20"/>
  <c r="P110" i="20"/>
  <c r="O110" i="20"/>
  <c r="N110" i="20"/>
  <c r="M110" i="20"/>
  <c r="L110" i="20"/>
  <c r="A110" i="20"/>
  <c r="AO109" i="20"/>
  <c r="AN109" i="20"/>
  <c r="AM109" i="20"/>
  <c r="AL109" i="20"/>
  <c r="AK109" i="20"/>
  <c r="AJ109" i="20"/>
  <c r="AI109" i="20"/>
  <c r="AH109" i="20"/>
  <c r="AG109" i="20"/>
  <c r="AF109" i="20"/>
  <c r="AE109" i="20"/>
  <c r="AD109" i="20"/>
  <c r="AC109" i="20"/>
  <c r="AB109" i="20"/>
  <c r="AA109" i="20"/>
  <c r="Z109" i="20"/>
  <c r="X109" i="20"/>
  <c r="W109" i="20"/>
  <c r="V109" i="20"/>
  <c r="U109" i="20"/>
  <c r="T109" i="20"/>
  <c r="S109" i="20"/>
  <c r="R109" i="20"/>
  <c r="Q109" i="20"/>
  <c r="P109" i="20"/>
  <c r="O109" i="20"/>
  <c r="N109" i="20"/>
  <c r="M109" i="20"/>
  <c r="L109" i="20"/>
  <c r="A109" i="20"/>
  <c r="AO108" i="20"/>
  <c r="AN108" i="20"/>
  <c r="AM108" i="20"/>
  <c r="AL108" i="20"/>
  <c r="AK108" i="20"/>
  <c r="AJ108" i="20"/>
  <c r="AI108" i="20"/>
  <c r="AH108" i="20"/>
  <c r="AG108" i="20"/>
  <c r="AF108" i="20"/>
  <c r="AE108" i="20"/>
  <c r="AD108" i="20"/>
  <c r="AC108" i="20"/>
  <c r="AB108" i="20"/>
  <c r="AA108" i="20"/>
  <c r="Z108" i="20"/>
  <c r="X108" i="20"/>
  <c r="W108" i="20"/>
  <c r="V108" i="20"/>
  <c r="U108" i="20"/>
  <c r="T108" i="20"/>
  <c r="S108" i="20"/>
  <c r="R108" i="20"/>
  <c r="Q108" i="20"/>
  <c r="P108" i="20"/>
  <c r="O108" i="20"/>
  <c r="N108" i="20"/>
  <c r="M108" i="20"/>
  <c r="L108" i="20"/>
  <c r="A108" i="20"/>
  <c r="AO107" i="20"/>
  <c r="AN107" i="20"/>
  <c r="AM107" i="20"/>
  <c r="AL107" i="20"/>
  <c r="AK107" i="20"/>
  <c r="AJ107" i="20"/>
  <c r="AI107" i="20"/>
  <c r="AH107" i="20"/>
  <c r="AG107" i="20"/>
  <c r="AF107" i="20"/>
  <c r="AE107" i="20"/>
  <c r="AD107" i="20"/>
  <c r="AC107" i="20"/>
  <c r="AB107" i="20"/>
  <c r="AA107" i="20"/>
  <c r="Z107" i="20"/>
  <c r="X107" i="20"/>
  <c r="W107" i="20"/>
  <c r="V107" i="20"/>
  <c r="U107" i="20"/>
  <c r="T107" i="20"/>
  <c r="S107" i="20"/>
  <c r="R107" i="20"/>
  <c r="Q107" i="20"/>
  <c r="P107" i="20"/>
  <c r="O107" i="20"/>
  <c r="N107" i="20"/>
  <c r="M107" i="20"/>
  <c r="L107" i="20"/>
  <c r="A107" i="20"/>
  <c r="AO106" i="20"/>
  <c r="AN106" i="20"/>
  <c r="AM106" i="20"/>
  <c r="AL106" i="20"/>
  <c r="AK106" i="20"/>
  <c r="AJ106" i="20"/>
  <c r="AI106" i="20"/>
  <c r="AH106" i="20"/>
  <c r="AG106" i="20"/>
  <c r="AF106" i="20"/>
  <c r="AE106" i="20"/>
  <c r="AD106" i="20"/>
  <c r="AC106" i="20"/>
  <c r="AB106" i="20"/>
  <c r="AA106" i="20"/>
  <c r="Z106" i="20"/>
  <c r="X106" i="20"/>
  <c r="W106" i="20"/>
  <c r="V106" i="20"/>
  <c r="U106" i="20"/>
  <c r="T106" i="20"/>
  <c r="S106" i="20"/>
  <c r="R106" i="20"/>
  <c r="Q106" i="20"/>
  <c r="P106" i="20"/>
  <c r="O106" i="20"/>
  <c r="N106" i="20"/>
  <c r="M106" i="20"/>
  <c r="L106" i="20"/>
  <c r="A106" i="20"/>
  <c r="AO105" i="20"/>
  <c r="AN105" i="20"/>
  <c r="AM105" i="20"/>
  <c r="AL105" i="20"/>
  <c r="AK105" i="20"/>
  <c r="AJ105" i="20"/>
  <c r="AI105" i="20"/>
  <c r="AH105" i="20"/>
  <c r="AG105" i="20"/>
  <c r="AF105" i="20"/>
  <c r="AE105" i="20"/>
  <c r="AD105" i="20"/>
  <c r="AC105" i="20"/>
  <c r="AB105" i="20"/>
  <c r="AA105" i="20"/>
  <c r="Z105" i="20"/>
  <c r="X105" i="20"/>
  <c r="W105" i="20"/>
  <c r="V105" i="20"/>
  <c r="U105" i="20"/>
  <c r="T105" i="20"/>
  <c r="S105" i="20"/>
  <c r="R105" i="20"/>
  <c r="Q105" i="20"/>
  <c r="P105" i="20"/>
  <c r="O105" i="20"/>
  <c r="N105" i="20"/>
  <c r="M105" i="20"/>
  <c r="L105" i="20"/>
  <c r="A105" i="20"/>
  <c r="AO104" i="20"/>
  <c r="AN104" i="20"/>
  <c r="AM104" i="20"/>
  <c r="AL104" i="20"/>
  <c r="AK104" i="20"/>
  <c r="AJ104" i="20"/>
  <c r="AI104" i="20"/>
  <c r="AH104" i="20"/>
  <c r="AG104" i="20"/>
  <c r="AF104" i="20"/>
  <c r="AE104" i="20"/>
  <c r="AD104" i="20"/>
  <c r="AC104" i="20"/>
  <c r="AB104" i="20"/>
  <c r="AA104" i="20"/>
  <c r="Z104" i="20"/>
  <c r="X104" i="20"/>
  <c r="W104" i="20"/>
  <c r="V104" i="20"/>
  <c r="U104" i="20"/>
  <c r="T104" i="20"/>
  <c r="S104" i="20"/>
  <c r="R104" i="20"/>
  <c r="Q104" i="20"/>
  <c r="P104" i="20"/>
  <c r="O104" i="20"/>
  <c r="N104" i="20"/>
  <c r="M104" i="20"/>
  <c r="L104" i="20"/>
  <c r="A104" i="20"/>
  <c r="AO103" i="20"/>
  <c r="AN103" i="20"/>
  <c r="AM103" i="20"/>
  <c r="AL103" i="20"/>
  <c r="AK103" i="20"/>
  <c r="AJ103" i="20"/>
  <c r="AI103" i="20"/>
  <c r="AH103" i="20"/>
  <c r="AG103" i="20"/>
  <c r="AF103" i="20"/>
  <c r="AE103" i="20"/>
  <c r="AD103" i="20"/>
  <c r="AC103" i="20"/>
  <c r="AB103" i="20"/>
  <c r="AA103" i="20"/>
  <c r="Z103" i="20"/>
  <c r="X103" i="20"/>
  <c r="W103" i="20"/>
  <c r="V103" i="20"/>
  <c r="U103" i="20"/>
  <c r="T103" i="20"/>
  <c r="S103" i="20"/>
  <c r="R103" i="20"/>
  <c r="Q103" i="20"/>
  <c r="P103" i="20"/>
  <c r="O103" i="20"/>
  <c r="N103" i="20"/>
  <c r="M103" i="20"/>
  <c r="L103" i="20"/>
  <c r="A103" i="20"/>
  <c r="AO102" i="20"/>
  <c r="AN102" i="20"/>
  <c r="AM102" i="20"/>
  <c r="AL102" i="20"/>
  <c r="AK102" i="20"/>
  <c r="AJ102" i="20"/>
  <c r="AI102" i="20"/>
  <c r="AH102" i="20"/>
  <c r="AG102" i="20"/>
  <c r="AF102" i="20"/>
  <c r="AE102" i="20"/>
  <c r="AD102" i="20"/>
  <c r="AC102" i="20"/>
  <c r="AB102" i="20"/>
  <c r="AA102" i="20"/>
  <c r="Z102" i="20"/>
  <c r="X102" i="20"/>
  <c r="W102" i="20"/>
  <c r="V102" i="20"/>
  <c r="U102" i="20"/>
  <c r="T102" i="20"/>
  <c r="S102" i="20"/>
  <c r="R102" i="20"/>
  <c r="Q102" i="20"/>
  <c r="P102" i="20"/>
  <c r="O102" i="20"/>
  <c r="N102" i="20"/>
  <c r="M102" i="20"/>
  <c r="L102" i="20"/>
  <c r="A102" i="20"/>
  <c r="AO101" i="20"/>
  <c r="AN101" i="20"/>
  <c r="AM101" i="20"/>
  <c r="AL101" i="20"/>
  <c r="AK101" i="20"/>
  <c r="AJ101" i="20"/>
  <c r="AI101" i="20"/>
  <c r="AH101" i="20"/>
  <c r="AG101" i="20"/>
  <c r="AF101" i="20"/>
  <c r="AE101" i="20"/>
  <c r="AD101" i="20"/>
  <c r="AC101" i="20"/>
  <c r="AB101" i="20"/>
  <c r="AA101" i="20"/>
  <c r="Z101" i="20"/>
  <c r="X101" i="20"/>
  <c r="W101" i="20"/>
  <c r="V101" i="20"/>
  <c r="U101" i="20"/>
  <c r="T101" i="20"/>
  <c r="S101" i="20"/>
  <c r="R101" i="20"/>
  <c r="Q101" i="20"/>
  <c r="P101" i="20"/>
  <c r="O101" i="20"/>
  <c r="N101" i="20"/>
  <c r="M101" i="20"/>
  <c r="L101" i="20"/>
  <c r="A101" i="20"/>
  <c r="AO100" i="20"/>
  <c r="AN100" i="20"/>
  <c r="AM100" i="20"/>
  <c r="AL100" i="20"/>
  <c r="AK100" i="20"/>
  <c r="AJ100" i="20"/>
  <c r="AI100" i="20"/>
  <c r="AH100" i="20"/>
  <c r="AG100" i="20"/>
  <c r="AF100" i="20"/>
  <c r="AE100" i="20"/>
  <c r="AD100" i="20"/>
  <c r="AC100" i="20"/>
  <c r="AB100" i="20"/>
  <c r="AA100" i="20"/>
  <c r="Z100" i="20"/>
  <c r="X100" i="20"/>
  <c r="W100" i="20"/>
  <c r="V100" i="20"/>
  <c r="U100" i="20"/>
  <c r="T100" i="20"/>
  <c r="S100" i="20"/>
  <c r="R100" i="20"/>
  <c r="Q100" i="20"/>
  <c r="P100" i="20"/>
  <c r="O100" i="20"/>
  <c r="N100" i="20"/>
  <c r="M100" i="20"/>
  <c r="L100" i="20"/>
  <c r="A100" i="20"/>
  <c r="AO99" i="20"/>
  <c r="AN99" i="20"/>
  <c r="AM99" i="20"/>
  <c r="AL99" i="20"/>
  <c r="AK99" i="20"/>
  <c r="AJ99" i="20"/>
  <c r="AI99" i="20"/>
  <c r="AH99" i="20"/>
  <c r="AG99" i="20"/>
  <c r="AF99" i="20"/>
  <c r="AE99" i="20"/>
  <c r="AD99" i="20"/>
  <c r="AC99" i="20"/>
  <c r="AB99" i="20"/>
  <c r="AA99" i="20"/>
  <c r="Z99" i="20"/>
  <c r="X99" i="20"/>
  <c r="W99" i="20"/>
  <c r="V99" i="20"/>
  <c r="U99" i="20"/>
  <c r="T99" i="20"/>
  <c r="S99" i="20"/>
  <c r="R99" i="20"/>
  <c r="Q99" i="20"/>
  <c r="P99" i="20"/>
  <c r="O99" i="20"/>
  <c r="N99" i="20"/>
  <c r="M99" i="20"/>
  <c r="L99" i="20"/>
  <c r="A99" i="20"/>
  <c r="AO98" i="20"/>
  <c r="AN98" i="20"/>
  <c r="AM98" i="20"/>
  <c r="AL98" i="20"/>
  <c r="AK98" i="20"/>
  <c r="AJ98" i="20"/>
  <c r="AI98" i="20"/>
  <c r="AH98" i="20"/>
  <c r="AG98" i="20"/>
  <c r="AF98" i="20"/>
  <c r="AE98" i="20"/>
  <c r="AD98" i="20"/>
  <c r="AC98" i="20"/>
  <c r="AB98" i="20"/>
  <c r="AA98" i="20"/>
  <c r="Z98" i="20"/>
  <c r="X98" i="20"/>
  <c r="W98" i="20"/>
  <c r="V98" i="20"/>
  <c r="U98" i="20"/>
  <c r="T98" i="20"/>
  <c r="S98" i="20"/>
  <c r="R98" i="20"/>
  <c r="Q98" i="20"/>
  <c r="P98" i="20"/>
  <c r="O98" i="20"/>
  <c r="N98" i="20"/>
  <c r="M98" i="20"/>
  <c r="L98" i="20"/>
  <c r="A98" i="20"/>
  <c r="AO97" i="20"/>
  <c r="AN97" i="20"/>
  <c r="AM97" i="20"/>
  <c r="AL97" i="20"/>
  <c r="AK97" i="20"/>
  <c r="AJ97" i="20"/>
  <c r="AI97" i="20"/>
  <c r="AH97" i="20"/>
  <c r="AG97" i="20"/>
  <c r="AF97" i="20"/>
  <c r="AE97" i="20"/>
  <c r="AD97" i="20"/>
  <c r="AC97" i="20"/>
  <c r="AB97" i="20"/>
  <c r="AA97" i="20"/>
  <c r="Z97" i="20"/>
  <c r="X97" i="20"/>
  <c r="W97" i="20"/>
  <c r="V97" i="20"/>
  <c r="U97" i="20"/>
  <c r="T97" i="20"/>
  <c r="S97" i="20"/>
  <c r="R97" i="20"/>
  <c r="Q97" i="20"/>
  <c r="P97" i="20"/>
  <c r="O97" i="20"/>
  <c r="N97" i="20"/>
  <c r="M97" i="20"/>
  <c r="L97" i="20"/>
  <c r="A97" i="20"/>
  <c r="AO96" i="20"/>
  <c r="AN96" i="20"/>
  <c r="AM96" i="20"/>
  <c r="AL96" i="20"/>
  <c r="AK96" i="20"/>
  <c r="AJ96" i="20"/>
  <c r="AI96" i="20"/>
  <c r="AH96" i="20"/>
  <c r="AG96" i="20"/>
  <c r="AF96" i="20"/>
  <c r="AE96" i="20"/>
  <c r="AD96" i="20"/>
  <c r="AC96" i="20"/>
  <c r="AB96" i="20"/>
  <c r="AA96" i="20"/>
  <c r="Z96" i="20"/>
  <c r="X96" i="20"/>
  <c r="W96" i="20"/>
  <c r="V96" i="20"/>
  <c r="U96" i="20"/>
  <c r="T96" i="20"/>
  <c r="S96" i="20"/>
  <c r="R96" i="20"/>
  <c r="Q96" i="20"/>
  <c r="P96" i="20"/>
  <c r="O96" i="20"/>
  <c r="N96" i="20"/>
  <c r="M96" i="20"/>
  <c r="L96" i="20"/>
  <c r="A96" i="20"/>
  <c r="AO95" i="20"/>
  <c r="AN95" i="20"/>
  <c r="AM95" i="20"/>
  <c r="AL95" i="20"/>
  <c r="AK95" i="20"/>
  <c r="AJ95" i="20"/>
  <c r="AI95" i="20"/>
  <c r="AH95" i="20"/>
  <c r="AG95" i="20"/>
  <c r="AF95" i="20"/>
  <c r="AE95" i="20"/>
  <c r="AD95" i="20"/>
  <c r="AC95" i="20"/>
  <c r="AB95" i="20"/>
  <c r="AA95" i="20"/>
  <c r="Z95" i="20"/>
  <c r="X95" i="20"/>
  <c r="W95" i="20"/>
  <c r="V95" i="20"/>
  <c r="U95" i="20"/>
  <c r="T95" i="20"/>
  <c r="S95" i="20"/>
  <c r="R95" i="20"/>
  <c r="Q95" i="20"/>
  <c r="P95" i="20"/>
  <c r="O95" i="20"/>
  <c r="N95" i="20"/>
  <c r="M95" i="20"/>
  <c r="L95" i="20"/>
  <c r="A95" i="20"/>
  <c r="AO94" i="20"/>
  <c r="AN94" i="20"/>
  <c r="AM94" i="20"/>
  <c r="AL94" i="20"/>
  <c r="AK94" i="20"/>
  <c r="AJ94" i="20"/>
  <c r="AI94" i="20"/>
  <c r="AH94" i="20"/>
  <c r="AG94" i="20"/>
  <c r="AF94" i="20"/>
  <c r="AE94" i="20"/>
  <c r="AD94" i="20"/>
  <c r="AC94" i="20"/>
  <c r="AB94" i="20"/>
  <c r="AA94" i="20"/>
  <c r="Z94" i="20"/>
  <c r="X94" i="20"/>
  <c r="W94" i="20"/>
  <c r="V94" i="20"/>
  <c r="U94" i="20"/>
  <c r="T94" i="20"/>
  <c r="S94" i="20"/>
  <c r="R94" i="20"/>
  <c r="Q94" i="20"/>
  <c r="P94" i="20"/>
  <c r="N94" i="20"/>
  <c r="M94" i="20"/>
  <c r="L94" i="20"/>
  <c r="A94" i="20"/>
  <c r="AO93" i="20"/>
  <c r="AN93" i="20"/>
  <c r="AM93" i="20"/>
  <c r="AL93" i="20"/>
  <c r="AK93" i="20"/>
  <c r="AJ93" i="20"/>
  <c r="AI93" i="20"/>
  <c r="AH93" i="20"/>
  <c r="AG93" i="20"/>
  <c r="AF93" i="20"/>
  <c r="AE93" i="20"/>
  <c r="AD93" i="20"/>
  <c r="AC93" i="20"/>
  <c r="AB93" i="20"/>
  <c r="AA93" i="20"/>
  <c r="Z93" i="20"/>
  <c r="X93" i="20"/>
  <c r="W93" i="20"/>
  <c r="V93" i="20"/>
  <c r="U93" i="20"/>
  <c r="T93" i="20"/>
  <c r="S93" i="20"/>
  <c r="R93" i="20"/>
  <c r="Q93" i="20"/>
  <c r="P93" i="20"/>
  <c r="N93" i="20"/>
  <c r="M93" i="20"/>
  <c r="L93" i="20"/>
  <c r="A93" i="20"/>
  <c r="AO92" i="20"/>
  <c r="AN92" i="20"/>
  <c r="AM92" i="20"/>
  <c r="AL92" i="20"/>
  <c r="AK92" i="20"/>
  <c r="AJ92" i="20"/>
  <c r="AI92" i="20"/>
  <c r="AH92" i="20"/>
  <c r="AG92" i="20"/>
  <c r="AF92" i="20"/>
  <c r="AE92" i="20"/>
  <c r="AD92" i="20"/>
  <c r="AC92" i="20"/>
  <c r="AB92" i="20"/>
  <c r="AA92" i="20"/>
  <c r="Z92" i="20"/>
  <c r="X92" i="20"/>
  <c r="W92" i="20"/>
  <c r="V92" i="20"/>
  <c r="U92" i="20"/>
  <c r="T92" i="20"/>
  <c r="S92" i="20"/>
  <c r="R92" i="20"/>
  <c r="Q92" i="20"/>
  <c r="P92" i="20"/>
  <c r="O92" i="20"/>
  <c r="N92" i="20"/>
  <c r="M92" i="20"/>
  <c r="L92" i="20"/>
  <c r="A92" i="20"/>
  <c r="AO91" i="20"/>
  <c r="AN91" i="20"/>
  <c r="AM91" i="20"/>
  <c r="AL91" i="20"/>
  <c r="AK91" i="20"/>
  <c r="AJ91" i="20"/>
  <c r="AI91" i="20"/>
  <c r="AH91" i="20"/>
  <c r="AG91" i="20"/>
  <c r="AF91" i="20"/>
  <c r="AE91" i="20"/>
  <c r="AD91" i="20"/>
  <c r="AC91" i="20"/>
  <c r="AB91" i="20"/>
  <c r="AA91" i="20"/>
  <c r="Z91" i="20"/>
  <c r="X91" i="20"/>
  <c r="W91" i="20"/>
  <c r="V91" i="20"/>
  <c r="U91" i="20"/>
  <c r="T91" i="20"/>
  <c r="S91" i="20"/>
  <c r="R91" i="20"/>
  <c r="Q91" i="20"/>
  <c r="P91" i="20"/>
  <c r="O91" i="20"/>
  <c r="N91" i="20"/>
  <c r="M91" i="20"/>
  <c r="L91" i="20"/>
  <c r="A91" i="20"/>
  <c r="AO90" i="20"/>
  <c r="AN90" i="20"/>
  <c r="AM90" i="20"/>
  <c r="AL90" i="20"/>
  <c r="AK90" i="20"/>
  <c r="AJ90" i="20"/>
  <c r="AI90" i="20"/>
  <c r="AH90" i="20"/>
  <c r="AG90" i="20"/>
  <c r="AF90" i="20"/>
  <c r="AE90" i="20"/>
  <c r="AD90" i="20"/>
  <c r="AC90" i="20"/>
  <c r="AB90" i="20"/>
  <c r="AA90" i="20"/>
  <c r="Z90" i="20"/>
  <c r="X90" i="20"/>
  <c r="W90" i="20"/>
  <c r="V90" i="20"/>
  <c r="U90" i="20"/>
  <c r="T90" i="20"/>
  <c r="S90" i="20"/>
  <c r="R90" i="20"/>
  <c r="Q90" i="20"/>
  <c r="P90" i="20"/>
  <c r="O90" i="20"/>
  <c r="N90" i="20"/>
  <c r="M90" i="20"/>
  <c r="L90" i="20"/>
  <c r="A90" i="20"/>
  <c r="AO89" i="20"/>
  <c r="AN89" i="20"/>
  <c r="AM89" i="20"/>
  <c r="AL89" i="20"/>
  <c r="AK89" i="20"/>
  <c r="AJ89" i="20"/>
  <c r="AI89" i="20"/>
  <c r="AH89" i="20"/>
  <c r="AG89" i="20"/>
  <c r="AF89" i="20"/>
  <c r="AE89" i="20"/>
  <c r="AD89" i="20"/>
  <c r="AC89" i="20"/>
  <c r="AB89" i="20"/>
  <c r="AA89" i="20"/>
  <c r="Z89" i="20"/>
  <c r="X89" i="20"/>
  <c r="W89" i="20"/>
  <c r="V89" i="20"/>
  <c r="U89" i="20"/>
  <c r="T89" i="20"/>
  <c r="S89" i="20"/>
  <c r="R89" i="20"/>
  <c r="Q89" i="20"/>
  <c r="P89" i="20"/>
  <c r="O89" i="20"/>
  <c r="N89" i="20"/>
  <c r="M89" i="20"/>
  <c r="L89" i="20"/>
  <c r="A89" i="20"/>
  <c r="AO88" i="20"/>
  <c r="AN88" i="20"/>
  <c r="AM88" i="20"/>
  <c r="AL88" i="20"/>
  <c r="AK88" i="20"/>
  <c r="AJ88" i="20"/>
  <c r="AI88" i="20"/>
  <c r="AH88" i="20"/>
  <c r="AG88" i="20"/>
  <c r="AF88" i="20"/>
  <c r="AE88" i="20"/>
  <c r="AD88" i="20"/>
  <c r="AC88" i="20"/>
  <c r="AB88" i="20"/>
  <c r="AA88" i="20"/>
  <c r="Z88" i="20"/>
  <c r="X88" i="20"/>
  <c r="W88" i="20"/>
  <c r="V88" i="20"/>
  <c r="U88" i="20"/>
  <c r="T88" i="20"/>
  <c r="S88" i="20"/>
  <c r="R88" i="20"/>
  <c r="Q88" i="20"/>
  <c r="P88" i="20"/>
  <c r="O88" i="20"/>
  <c r="N88" i="20"/>
  <c r="M88" i="20"/>
  <c r="L88" i="20"/>
  <c r="A88" i="20"/>
  <c r="AO87" i="20"/>
  <c r="AN87" i="20"/>
  <c r="AM87" i="20"/>
  <c r="AL87" i="20"/>
  <c r="AK87" i="20"/>
  <c r="AJ87" i="20"/>
  <c r="AI87" i="20"/>
  <c r="AH87" i="20"/>
  <c r="AG87" i="20"/>
  <c r="AF87" i="20"/>
  <c r="AE87" i="20"/>
  <c r="AD87" i="20"/>
  <c r="AC87" i="20"/>
  <c r="AB87" i="20"/>
  <c r="AA87" i="20"/>
  <c r="Z87" i="20"/>
  <c r="X87" i="20"/>
  <c r="W87" i="20"/>
  <c r="V87" i="20"/>
  <c r="U87" i="20"/>
  <c r="T87" i="20"/>
  <c r="S87" i="20"/>
  <c r="R87" i="20"/>
  <c r="Q87" i="20"/>
  <c r="P87" i="20"/>
  <c r="O87" i="20"/>
  <c r="N87" i="20"/>
  <c r="M87" i="20"/>
  <c r="L87" i="20"/>
  <c r="A87" i="20"/>
  <c r="AO86" i="20"/>
  <c r="AN86" i="20"/>
  <c r="AM86" i="20"/>
  <c r="AL86" i="20"/>
  <c r="AK86" i="20"/>
  <c r="AJ86" i="20"/>
  <c r="AI86" i="20"/>
  <c r="AH86" i="20"/>
  <c r="AG86" i="20"/>
  <c r="AF86" i="20"/>
  <c r="AE86" i="20"/>
  <c r="AD86" i="20"/>
  <c r="AC86" i="20"/>
  <c r="AB86" i="20"/>
  <c r="AA86" i="20"/>
  <c r="Z86" i="20"/>
  <c r="X86" i="20"/>
  <c r="W86" i="20"/>
  <c r="V86" i="20"/>
  <c r="U86" i="20"/>
  <c r="T86" i="20"/>
  <c r="S86" i="20"/>
  <c r="R86" i="20"/>
  <c r="Q86" i="20"/>
  <c r="P86" i="20"/>
  <c r="O86" i="20"/>
  <c r="N86" i="20"/>
  <c r="M86" i="20"/>
  <c r="L86" i="20"/>
  <c r="A86" i="20"/>
  <c r="AO85" i="20"/>
  <c r="AN85" i="20"/>
  <c r="AM85" i="20"/>
  <c r="AL85" i="20"/>
  <c r="AK85" i="20"/>
  <c r="AJ85" i="20"/>
  <c r="AI85" i="20"/>
  <c r="AH85" i="20"/>
  <c r="AG85" i="20"/>
  <c r="AF85" i="20"/>
  <c r="AE85" i="20"/>
  <c r="AD85" i="20"/>
  <c r="AC85" i="20"/>
  <c r="AB85" i="20"/>
  <c r="AA85" i="20"/>
  <c r="Z85" i="20"/>
  <c r="X85" i="20"/>
  <c r="W85" i="20"/>
  <c r="V85" i="20"/>
  <c r="U85" i="20"/>
  <c r="T85" i="20"/>
  <c r="S85" i="20"/>
  <c r="R85" i="20"/>
  <c r="Q85" i="20"/>
  <c r="P85" i="20"/>
  <c r="O85" i="20"/>
  <c r="N85" i="20"/>
  <c r="M85" i="20"/>
  <c r="L85" i="20"/>
  <c r="A85" i="20"/>
  <c r="AO84" i="20"/>
  <c r="AN84" i="20"/>
  <c r="AM84" i="20"/>
  <c r="AL84" i="20"/>
  <c r="AK84" i="20"/>
  <c r="AJ84" i="20"/>
  <c r="AI84" i="20"/>
  <c r="AH84" i="20"/>
  <c r="AG84" i="20"/>
  <c r="AF84" i="20"/>
  <c r="AE84" i="20"/>
  <c r="AD84" i="20"/>
  <c r="AC84" i="20"/>
  <c r="AB84" i="20"/>
  <c r="AA84" i="20"/>
  <c r="Z84" i="20"/>
  <c r="X84" i="20"/>
  <c r="W84" i="20"/>
  <c r="V84" i="20"/>
  <c r="U84" i="20"/>
  <c r="T84" i="20"/>
  <c r="S84" i="20"/>
  <c r="R84" i="20"/>
  <c r="Q84" i="20"/>
  <c r="P84" i="20"/>
  <c r="O84" i="20"/>
  <c r="N84" i="20"/>
  <c r="M84" i="20"/>
  <c r="L84" i="20"/>
  <c r="A84" i="20"/>
  <c r="AO83" i="20"/>
  <c r="AN83" i="20"/>
  <c r="AM83" i="20"/>
  <c r="AL83" i="20"/>
  <c r="AK83" i="20"/>
  <c r="AJ83" i="20"/>
  <c r="AI83" i="20"/>
  <c r="AH83" i="20"/>
  <c r="AG83" i="20"/>
  <c r="AF83" i="20"/>
  <c r="AE83" i="20"/>
  <c r="AD83" i="20"/>
  <c r="AC83" i="20"/>
  <c r="AB83" i="20"/>
  <c r="AA83" i="20"/>
  <c r="Z83" i="20"/>
  <c r="X83" i="20"/>
  <c r="W83" i="20"/>
  <c r="V83" i="20"/>
  <c r="U83" i="20"/>
  <c r="T83" i="20"/>
  <c r="S83" i="20"/>
  <c r="R83" i="20"/>
  <c r="Q83" i="20"/>
  <c r="P83" i="20"/>
  <c r="O83" i="20"/>
  <c r="N83" i="20"/>
  <c r="M83" i="20"/>
  <c r="L83" i="20"/>
  <c r="A83" i="20"/>
  <c r="AO82" i="20"/>
  <c r="AN82" i="20"/>
  <c r="AM82" i="20"/>
  <c r="AL82" i="20"/>
  <c r="AK82" i="20"/>
  <c r="AJ82" i="20"/>
  <c r="AI82" i="20"/>
  <c r="AH82" i="20"/>
  <c r="AG82" i="20"/>
  <c r="AF82" i="20"/>
  <c r="AE82" i="20"/>
  <c r="AD82" i="20"/>
  <c r="AC82" i="20"/>
  <c r="AB82" i="20"/>
  <c r="AA82" i="20"/>
  <c r="Z82" i="20"/>
  <c r="X82" i="20"/>
  <c r="W82" i="20"/>
  <c r="V82" i="20"/>
  <c r="U82" i="20"/>
  <c r="T82" i="20"/>
  <c r="S82" i="20"/>
  <c r="R82" i="20"/>
  <c r="Q82" i="20"/>
  <c r="P82" i="20"/>
  <c r="O82" i="20"/>
  <c r="N82" i="20"/>
  <c r="M82" i="20"/>
  <c r="L82" i="20"/>
  <c r="A82" i="20"/>
  <c r="AO81" i="20"/>
  <c r="AN81" i="20"/>
  <c r="AM81" i="20"/>
  <c r="AL81" i="20"/>
  <c r="AK81" i="20"/>
  <c r="AJ81" i="20"/>
  <c r="AI81" i="20"/>
  <c r="AH81" i="20"/>
  <c r="AG81" i="20"/>
  <c r="AF81" i="20"/>
  <c r="AE81" i="20"/>
  <c r="AD81" i="20"/>
  <c r="AC81" i="20"/>
  <c r="AB81" i="20"/>
  <c r="AA81" i="20"/>
  <c r="Z81" i="20"/>
  <c r="X81" i="20"/>
  <c r="W81" i="20"/>
  <c r="V81" i="20"/>
  <c r="U81" i="20"/>
  <c r="T81" i="20"/>
  <c r="S81" i="20"/>
  <c r="R81" i="20"/>
  <c r="Q81" i="20"/>
  <c r="P81" i="20"/>
  <c r="O81" i="20"/>
  <c r="N81" i="20"/>
  <c r="M81" i="20"/>
  <c r="L81" i="20"/>
  <c r="A81" i="20"/>
  <c r="AO80" i="20"/>
  <c r="AN80" i="20"/>
  <c r="AM80" i="20"/>
  <c r="AL80" i="20"/>
  <c r="AK80" i="20"/>
  <c r="AJ80" i="20"/>
  <c r="AI80" i="20"/>
  <c r="AH80" i="20"/>
  <c r="AG80" i="20"/>
  <c r="AF80" i="20"/>
  <c r="AE80" i="20"/>
  <c r="AD80" i="20"/>
  <c r="AC80" i="20"/>
  <c r="AB80" i="20"/>
  <c r="AA80" i="20"/>
  <c r="Z80" i="20"/>
  <c r="X80" i="20"/>
  <c r="W80" i="20"/>
  <c r="V80" i="20"/>
  <c r="U80" i="20"/>
  <c r="T80" i="20"/>
  <c r="S80" i="20"/>
  <c r="R80" i="20"/>
  <c r="Q80" i="20"/>
  <c r="P80" i="20"/>
  <c r="O80" i="20"/>
  <c r="N80" i="20"/>
  <c r="M80" i="20"/>
  <c r="L80" i="20"/>
  <c r="A80" i="20"/>
  <c r="AO79" i="20"/>
  <c r="AN79" i="20"/>
  <c r="AM79" i="20"/>
  <c r="AL79" i="20"/>
  <c r="AK79" i="20"/>
  <c r="AJ79" i="20"/>
  <c r="AI79" i="20"/>
  <c r="AH79" i="20"/>
  <c r="AG79" i="20"/>
  <c r="AF79" i="20"/>
  <c r="AE79" i="20"/>
  <c r="AD79" i="20"/>
  <c r="AC79" i="20"/>
  <c r="AB79" i="20"/>
  <c r="AA79" i="20"/>
  <c r="Z79" i="20"/>
  <c r="X79" i="20"/>
  <c r="W79" i="20"/>
  <c r="V79" i="20"/>
  <c r="U79" i="20"/>
  <c r="T79" i="20"/>
  <c r="S79" i="20"/>
  <c r="R79" i="20"/>
  <c r="Q79" i="20"/>
  <c r="P79" i="20"/>
  <c r="O79" i="20"/>
  <c r="N79" i="20"/>
  <c r="M79" i="20"/>
  <c r="L79" i="20"/>
  <c r="A79" i="20"/>
  <c r="AO78" i="20"/>
  <c r="AN78" i="20"/>
  <c r="AM78" i="20"/>
  <c r="AL78" i="20"/>
  <c r="AK78" i="20"/>
  <c r="AJ78" i="20"/>
  <c r="AI78" i="20"/>
  <c r="AH78" i="20"/>
  <c r="AG78" i="20"/>
  <c r="AF78" i="20"/>
  <c r="AE78" i="20"/>
  <c r="AD78" i="20"/>
  <c r="AC78" i="20"/>
  <c r="AB78" i="20"/>
  <c r="AA78" i="20"/>
  <c r="Z78" i="20"/>
  <c r="X78" i="20"/>
  <c r="W78" i="20"/>
  <c r="V78" i="20"/>
  <c r="U78" i="20"/>
  <c r="T78" i="20"/>
  <c r="S78" i="20"/>
  <c r="R78" i="20"/>
  <c r="Q78" i="20"/>
  <c r="P78" i="20"/>
  <c r="O78" i="20"/>
  <c r="N78" i="20"/>
  <c r="M78" i="20"/>
  <c r="L78" i="20"/>
  <c r="A78" i="20"/>
  <c r="AO77" i="20"/>
  <c r="AN77" i="20"/>
  <c r="AM77" i="20"/>
  <c r="AL77" i="20"/>
  <c r="AK77" i="20"/>
  <c r="AJ77" i="20"/>
  <c r="AI77" i="20"/>
  <c r="AH77" i="20"/>
  <c r="AG77" i="20"/>
  <c r="AF77" i="20"/>
  <c r="AE77" i="20"/>
  <c r="AD77" i="20"/>
  <c r="AC77" i="20"/>
  <c r="AB77" i="20"/>
  <c r="AA77" i="20"/>
  <c r="Z77" i="20"/>
  <c r="X77" i="20"/>
  <c r="W77" i="20"/>
  <c r="V77" i="20"/>
  <c r="U77" i="20"/>
  <c r="T77" i="20"/>
  <c r="S77" i="20"/>
  <c r="R77" i="20"/>
  <c r="Q77" i="20"/>
  <c r="P77" i="20"/>
  <c r="O77" i="20"/>
  <c r="N77" i="20"/>
  <c r="M77" i="20"/>
  <c r="L77" i="20"/>
  <c r="A77" i="20"/>
  <c r="AO76" i="20"/>
  <c r="AN76" i="20"/>
  <c r="AM76" i="20"/>
  <c r="AL76" i="20"/>
  <c r="AK76" i="20"/>
  <c r="AJ76" i="20"/>
  <c r="AI76" i="20"/>
  <c r="AH76" i="20"/>
  <c r="AG76" i="20"/>
  <c r="AF76" i="20"/>
  <c r="AE76" i="20"/>
  <c r="AD76" i="20"/>
  <c r="AC76" i="20"/>
  <c r="AB76" i="20"/>
  <c r="AA76" i="20"/>
  <c r="Z76" i="20"/>
  <c r="X76" i="20"/>
  <c r="W76" i="20"/>
  <c r="V76" i="20"/>
  <c r="U76" i="20"/>
  <c r="T76" i="20"/>
  <c r="S76" i="20"/>
  <c r="R76" i="20"/>
  <c r="Q76" i="20"/>
  <c r="P76" i="20"/>
  <c r="O76" i="20"/>
  <c r="N76" i="20"/>
  <c r="M76" i="20"/>
  <c r="L76" i="20"/>
  <c r="A76" i="20"/>
  <c r="AO75" i="20"/>
  <c r="AN75" i="20"/>
  <c r="AM75" i="20"/>
  <c r="AL75" i="20"/>
  <c r="AK75" i="20"/>
  <c r="AJ75" i="20"/>
  <c r="AI75" i="20"/>
  <c r="AH75" i="20"/>
  <c r="AG75" i="20"/>
  <c r="AF75" i="20"/>
  <c r="AE75" i="20"/>
  <c r="AD75" i="20"/>
  <c r="AC75" i="20"/>
  <c r="AB75" i="20"/>
  <c r="AA75" i="20"/>
  <c r="Z75" i="20"/>
  <c r="X75" i="20"/>
  <c r="W75" i="20"/>
  <c r="V75" i="20"/>
  <c r="U75" i="20"/>
  <c r="T75" i="20"/>
  <c r="S75" i="20"/>
  <c r="R75" i="20"/>
  <c r="Q75" i="20"/>
  <c r="P75" i="20"/>
  <c r="O75" i="20"/>
  <c r="N75" i="20"/>
  <c r="M75" i="20"/>
  <c r="L75" i="20"/>
  <c r="A75" i="20"/>
  <c r="AO74" i="20"/>
  <c r="AN74" i="20"/>
  <c r="AM74" i="20"/>
  <c r="AL74" i="20"/>
  <c r="AK74" i="20"/>
  <c r="AJ74" i="20"/>
  <c r="AI74" i="20"/>
  <c r="AH74" i="20"/>
  <c r="AG74" i="20"/>
  <c r="AF74" i="20"/>
  <c r="AE74" i="20"/>
  <c r="AD74" i="20"/>
  <c r="AC74" i="20"/>
  <c r="AB74" i="20"/>
  <c r="AA74" i="20"/>
  <c r="Z74" i="20"/>
  <c r="X74" i="20"/>
  <c r="W74" i="20"/>
  <c r="V74" i="20"/>
  <c r="U74" i="20"/>
  <c r="T74" i="20"/>
  <c r="S74" i="20"/>
  <c r="R74" i="20"/>
  <c r="Q74" i="20"/>
  <c r="P74" i="20"/>
  <c r="O74" i="20"/>
  <c r="N74" i="20"/>
  <c r="M74" i="20"/>
  <c r="L74" i="20"/>
  <c r="A74" i="20"/>
  <c r="AO73" i="20"/>
  <c r="AN73" i="20"/>
  <c r="AM73" i="20"/>
  <c r="AL73" i="20"/>
  <c r="AK73" i="20"/>
  <c r="AJ73" i="20"/>
  <c r="AI73" i="20"/>
  <c r="AH73" i="20"/>
  <c r="AG73" i="20"/>
  <c r="AF73" i="20"/>
  <c r="AE73" i="20"/>
  <c r="AD73" i="20"/>
  <c r="AC73" i="20"/>
  <c r="AB73" i="20"/>
  <c r="AA73" i="20"/>
  <c r="Z73" i="20"/>
  <c r="X73" i="20"/>
  <c r="W73" i="20"/>
  <c r="V73" i="20"/>
  <c r="U73" i="20"/>
  <c r="T73" i="20"/>
  <c r="S73" i="20"/>
  <c r="R73" i="20"/>
  <c r="Q73" i="20"/>
  <c r="P73" i="20"/>
  <c r="O73" i="20"/>
  <c r="N73" i="20"/>
  <c r="M73" i="20"/>
  <c r="L73" i="20"/>
  <c r="A73" i="20"/>
  <c r="AO72" i="20"/>
  <c r="AN72" i="20"/>
  <c r="AM72" i="20"/>
  <c r="AL72" i="20"/>
  <c r="AK72" i="20"/>
  <c r="AJ72" i="20"/>
  <c r="AI72" i="20"/>
  <c r="AH72" i="20"/>
  <c r="AG72" i="20"/>
  <c r="AF72" i="20"/>
  <c r="AE72" i="20"/>
  <c r="AD72" i="20"/>
  <c r="AC72" i="20"/>
  <c r="AB72" i="20"/>
  <c r="AA72" i="20"/>
  <c r="Z72" i="20"/>
  <c r="X72" i="20"/>
  <c r="W72" i="20"/>
  <c r="V72" i="20"/>
  <c r="U72" i="20"/>
  <c r="T72" i="20"/>
  <c r="S72" i="20"/>
  <c r="R72" i="20"/>
  <c r="Q72" i="20"/>
  <c r="P72" i="20"/>
  <c r="O72" i="20"/>
  <c r="N72" i="20"/>
  <c r="M72" i="20"/>
  <c r="L72" i="20"/>
  <c r="A72" i="20"/>
  <c r="AO71" i="20"/>
  <c r="AN71" i="20"/>
  <c r="AM71" i="20"/>
  <c r="AL71" i="20"/>
  <c r="AK71" i="20"/>
  <c r="AJ71" i="20"/>
  <c r="AI71" i="20"/>
  <c r="AH71" i="20"/>
  <c r="AG71" i="20"/>
  <c r="AF71" i="20"/>
  <c r="AE71" i="20"/>
  <c r="AD71" i="20"/>
  <c r="AC71" i="20"/>
  <c r="AB71" i="20"/>
  <c r="AA71" i="20"/>
  <c r="Z71" i="20"/>
  <c r="X71" i="20"/>
  <c r="W71" i="20"/>
  <c r="V71" i="20"/>
  <c r="U71" i="20"/>
  <c r="T71" i="20"/>
  <c r="S71" i="20"/>
  <c r="R71" i="20"/>
  <c r="Q71" i="20"/>
  <c r="P71" i="20"/>
  <c r="O71" i="20"/>
  <c r="N71" i="20"/>
  <c r="M71" i="20"/>
  <c r="L71" i="20"/>
  <c r="A71" i="20"/>
  <c r="AO70" i="20"/>
  <c r="AN70" i="20"/>
  <c r="AM70" i="20"/>
  <c r="AL70" i="20"/>
  <c r="AK70" i="20"/>
  <c r="AJ70" i="20"/>
  <c r="AI70" i="20"/>
  <c r="AH70" i="20"/>
  <c r="AG70" i="20"/>
  <c r="AF70" i="20"/>
  <c r="AE70" i="20"/>
  <c r="AD70" i="20"/>
  <c r="AC70" i="20"/>
  <c r="AB70" i="20"/>
  <c r="AA70" i="20"/>
  <c r="Z70" i="20"/>
  <c r="X70" i="20"/>
  <c r="W70" i="20"/>
  <c r="V70" i="20"/>
  <c r="U70" i="20"/>
  <c r="T70" i="20"/>
  <c r="S70" i="20"/>
  <c r="R70" i="20"/>
  <c r="Q70" i="20"/>
  <c r="P70" i="20"/>
  <c r="O70" i="20"/>
  <c r="N70" i="20"/>
  <c r="M70" i="20"/>
  <c r="L70" i="20"/>
  <c r="A70" i="20"/>
  <c r="AO69" i="20"/>
  <c r="AN69" i="20"/>
  <c r="AM69" i="20"/>
  <c r="AL69" i="20"/>
  <c r="AK69" i="20"/>
  <c r="AJ69" i="20"/>
  <c r="AI69" i="20"/>
  <c r="AH69" i="20"/>
  <c r="AG69" i="20"/>
  <c r="AF69" i="20"/>
  <c r="AE69" i="20"/>
  <c r="AD69" i="20"/>
  <c r="AC69" i="20"/>
  <c r="AB69" i="20"/>
  <c r="AA69" i="20"/>
  <c r="Z69" i="20"/>
  <c r="X69" i="20"/>
  <c r="W69" i="20"/>
  <c r="V69" i="20"/>
  <c r="U69" i="20"/>
  <c r="T69" i="20"/>
  <c r="S69" i="20"/>
  <c r="R69" i="20"/>
  <c r="Q69" i="20"/>
  <c r="P69" i="20"/>
  <c r="O69" i="20"/>
  <c r="N69" i="20"/>
  <c r="M69" i="20"/>
  <c r="L69" i="20"/>
  <c r="A69" i="20"/>
  <c r="AO68" i="20"/>
  <c r="AN68" i="20"/>
  <c r="AM68" i="20"/>
  <c r="AL68" i="20"/>
  <c r="AK68" i="20"/>
  <c r="AJ68" i="20"/>
  <c r="AI68" i="20"/>
  <c r="AH68" i="20"/>
  <c r="AG68" i="20"/>
  <c r="AF68" i="20"/>
  <c r="AE68" i="20"/>
  <c r="AD68" i="20"/>
  <c r="AC68" i="20"/>
  <c r="AB68" i="20"/>
  <c r="AA68" i="20"/>
  <c r="Z68" i="20"/>
  <c r="X68" i="20"/>
  <c r="W68" i="20"/>
  <c r="V68" i="20"/>
  <c r="U68" i="20"/>
  <c r="T68" i="20"/>
  <c r="S68" i="20"/>
  <c r="R68" i="20"/>
  <c r="Q68" i="20"/>
  <c r="P68" i="20"/>
  <c r="O68" i="20"/>
  <c r="N68" i="20"/>
  <c r="M68" i="20"/>
  <c r="L68" i="20"/>
  <c r="A68" i="20"/>
  <c r="AO67" i="20"/>
  <c r="AN67" i="20"/>
  <c r="AM67" i="20"/>
  <c r="AL67" i="20"/>
  <c r="AK67" i="20"/>
  <c r="AJ67" i="20"/>
  <c r="AI67" i="20"/>
  <c r="AH67" i="20"/>
  <c r="AG67" i="20"/>
  <c r="AF67" i="20"/>
  <c r="AE67" i="20"/>
  <c r="AD67" i="20"/>
  <c r="AC67" i="20"/>
  <c r="AB67" i="20"/>
  <c r="AA67" i="20"/>
  <c r="Z67" i="20"/>
  <c r="X67" i="20"/>
  <c r="W67" i="20"/>
  <c r="V67" i="20"/>
  <c r="U67" i="20"/>
  <c r="T67" i="20"/>
  <c r="S67" i="20"/>
  <c r="R67" i="20"/>
  <c r="Q67" i="20"/>
  <c r="P67" i="20"/>
  <c r="O67" i="20"/>
  <c r="N67" i="20"/>
  <c r="M67" i="20"/>
  <c r="L67" i="20"/>
  <c r="A67" i="20"/>
  <c r="AO66" i="20"/>
  <c r="AN66" i="20"/>
  <c r="AM66" i="20"/>
  <c r="AL66" i="20"/>
  <c r="AK66" i="20"/>
  <c r="AJ66" i="20"/>
  <c r="AI66" i="20"/>
  <c r="AH66" i="20"/>
  <c r="AG66" i="20"/>
  <c r="AF66" i="20"/>
  <c r="AE66" i="20"/>
  <c r="AD66" i="20"/>
  <c r="AC66" i="20"/>
  <c r="AB66" i="20"/>
  <c r="AA66" i="20"/>
  <c r="Z66" i="20"/>
  <c r="X66" i="20"/>
  <c r="W66" i="20"/>
  <c r="V66" i="20"/>
  <c r="U66" i="20"/>
  <c r="T66" i="20"/>
  <c r="S66" i="20"/>
  <c r="R66" i="20"/>
  <c r="Q66" i="20"/>
  <c r="P66" i="20"/>
  <c r="O66" i="20"/>
  <c r="N66" i="20"/>
  <c r="M66" i="20"/>
  <c r="L66" i="20"/>
  <c r="A66" i="20"/>
  <c r="AO65" i="20"/>
  <c r="AN65" i="20"/>
  <c r="AM65" i="20"/>
  <c r="AL65" i="20"/>
  <c r="AK65" i="20"/>
  <c r="AJ65" i="20"/>
  <c r="AI65" i="20"/>
  <c r="AH65" i="20"/>
  <c r="AG65" i="20"/>
  <c r="AF65" i="20"/>
  <c r="AE65" i="20"/>
  <c r="AD65" i="20"/>
  <c r="AC65" i="20"/>
  <c r="AB65" i="20"/>
  <c r="AA65" i="20"/>
  <c r="Z65" i="20"/>
  <c r="X65" i="20"/>
  <c r="W65" i="20"/>
  <c r="V65" i="20"/>
  <c r="U65" i="20"/>
  <c r="T65" i="20"/>
  <c r="S65" i="20"/>
  <c r="R65" i="20"/>
  <c r="Q65" i="20"/>
  <c r="P65" i="20"/>
  <c r="O65" i="20"/>
  <c r="N65" i="20"/>
  <c r="M65" i="20"/>
  <c r="L65" i="20"/>
  <c r="A65" i="20"/>
  <c r="AO64" i="20"/>
  <c r="AN64" i="20"/>
  <c r="AM64" i="20"/>
  <c r="AL64" i="20"/>
  <c r="AK64" i="20"/>
  <c r="AJ64" i="20"/>
  <c r="AI64" i="20"/>
  <c r="AH64" i="20"/>
  <c r="AG64" i="20"/>
  <c r="AF64" i="20"/>
  <c r="AE64" i="20"/>
  <c r="AD64" i="20"/>
  <c r="AC64" i="20"/>
  <c r="AB64" i="20"/>
  <c r="AA64" i="20"/>
  <c r="Z64" i="20"/>
  <c r="X64" i="20"/>
  <c r="W64" i="20"/>
  <c r="V64" i="20"/>
  <c r="U64" i="20"/>
  <c r="T64" i="20"/>
  <c r="S64" i="20"/>
  <c r="R64" i="20"/>
  <c r="Q64" i="20"/>
  <c r="P64" i="20"/>
  <c r="O64" i="20"/>
  <c r="N64" i="20"/>
  <c r="M64" i="20"/>
  <c r="L64" i="20"/>
  <c r="A64" i="20"/>
  <c r="AO63" i="20"/>
  <c r="AN63" i="20"/>
  <c r="AM63" i="20"/>
  <c r="AL63" i="20"/>
  <c r="AK63" i="20"/>
  <c r="AJ63" i="20"/>
  <c r="AI63" i="20"/>
  <c r="AH63" i="20"/>
  <c r="AG63" i="20"/>
  <c r="AF63" i="20"/>
  <c r="AE63" i="20"/>
  <c r="AD63" i="20"/>
  <c r="AC63" i="20"/>
  <c r="AB63" i="20"/>
  <c r="AA63" i="20"/>
  <c r="Z63" i="20"/>
  <c r="X63" i="20"/>
  <c r="W63" i="20"/>
  <c r="V63" i="20"/>
  <c r="U63" i="20"/>
  <c r="T63" i="20"/>
  <c r="S63" i="20"/>
  <c r="R63" i="20"/>
  <c r="Q63" i="20"/>
  <c r="P63" i="20"/>
  <c r="O63" i="20"/>
  <c r="N63" i="20"/>
  <c r="M63" i="20"/>
  <c r="L63" i="20"/>
  <c r="A63" i="20"/>
  <c r="AO62" i="20"/>
  <c r="AN62" i="20"/>
  <c r="AM62" i="20"/>
  <c r="AL62" i="20"/>
  <c r="AK62" i="20"/>
  <c r="AJ62" i="20"/>
  <c r="AI62" i="20"/>
  <c r="AH62" i="20"/>
  <c r="AG62" i="20"/>
  <c r="AF62" i="20"/>
  <c r="AE62" i="20"/>
  <c r="AD62" i="20"/>
  <c r="AC62" i="20"/>
  <c r="AB62" i="20"/>
  <c r="AA62" i="20"/>
  <c r="Z62" i="20"/>
  <c r="X62" i="20"/>
  <c r="W62" i="20"/>
  <c r="V62" i="20"/>
  <c r="U62" i="20"/>
  <c r="T62" i="20"/>
  <c r="S62" i="20"/>
  <c r="R62" i="20"/>
  <c r="Q62" i="20"/>
  <c r="P62" i="20"/>
  <c r="O62" i="20"/>
  <c r="N62" i="20"/>
  <c r="M62" i="20"/>
  <c r="L62" i="20"/>
  <c r="A62" i="20"/>
  <c r="AO61" i="20"/>
  <c r="AN61" i="20"/>
  <c r="AM61" i="20"/>
  <c r="AL61" i="20"/>
  <c r="AK61" i="20"/>
  <c r="AJ61" i="20"/>
  <c r="AI61" i="20"/>
  <c r="AH61" i="20"/>
  <c r="AG61" i="20"/>
  <c r="AF61" i="20"/>
  <c r="AE61" i="20"/>
  <c r="AD61" i="20"/>
  <c r="AC61" i="20"/>
  <c r="AB61" i="20"/>
  <c r="AA61" i="20"/>
  <c r="Z61" i="20"/>
  <c r="X61" i="20"/>
  <c r="W61" i="20"/>
  <c r="V61" i="20"/>
  <c r="U61" i="20"/>
  <c r="T61" i="20"/>
  <c r="S61" i="20"/>
  <c r="R61" i="20"/>
  <c r="Q61" i="20"/>
  <c r="P61" i="20"/>
  <c r="O61" i="20"/>
  <c r="N61" i="20"/>
  <c r="M61" i="20"/>
  <c r="L61" i="20"/>
  <c r="A61" i="20"/>
  <c r="AO60" i="20"/>
  <c r="AN60" i="20"/>
  <c r="AM60" i="20"/>
  <c r="AL60" i="20"/>
  <c r="AK60" i="20"/>
  <c r="AJ60" i="20"/>
  <c r="AI60" i="20"/>
  <c r="AH60" i="20"/>
  <c r="AG60" i="20"/>
  <c r="AF60" i="20"/>
  <c r="AE60" i="20"/>
  <c r="AD60" i="20"/>
  <c r="AC60" i="20"/>
  <c r="AB60" i="20"/>
  <c r="AA60" i="20"/>
  <c r="Z60" i="20"/>
  <c r="X60" i="20"/>
  <c r="W60" i="20"/>
  <c r="V60" i="20"/>
  <c r="U60" i="20"/>
  <c r="T60" i="20"/>
  <c r="S60" i="20"/>
  <c r="R60" i="20"/>
  <c r="Q60" i="20"/>
  <c r="P60" i="20"/>
  <c r="O60" i="20"/>
  <c r="N60" i="20"/>
  <c r="M60" i="20"/>
  <c r="L60" i="20"/>
  <c r="A60" i="20"/>
  <c r="AO59" i="20"/>
  <c r="AN59" i="20"/>
  <c r="AM59" i="20"/>
  <c r="AL59" i="20"/>
  <c r="AK59" i="20"/>
  <c r="AJ59" i="20"/>
  <c r="AI59" i="20"/>
  <c r="AH59" i="20"/>
  <c r="AG59" i="20"/>
  <c r="AF59" i="20"/>
  <c r="AE59" i="20"/>
  <c r="AD59" i="20"/>
  <c r="AC59" i="20"/>
  <c r="AB59" i="20"/>
  <c r="AA59" i="20"/>
  <c r="Z59" i="20"/>
  <c r="X59" i="20"/>
  <c r="W59" i="20"/>
  <c r="V59" i="20"/>
  <c r="U59" i="20"/>
  <c r="T59" i="20"/>
  <c r="S59" i="20"/>
  <c r="R59" i="20"/>
  <c r="Q59" i="20"/>
  <c r="P59" i="20"/>
  <c r="O59" i="20"/>
  <c r="N59" i="20"/>
  <c r="M59" i="20"/>
  <c r="L59" i="20"/>
  <c r="A59" i="20"/>
  <c r="AO58" i="20"/>
  <c r="AN58" i="20"/>
  <c r="AM58" i="20"/>
  <c r="AL58" i="20"/>
  <c r="AK58" i="20"/>
  <c r="AJ58" i="20"/>
  <c r="AI58" i="20"/>
  <c r="AH58" i="20"/>
  <c r="AG58" i="20"/>
  <c r="AF58" i="20"/>
  <c r="AE58" i="20"/>
  <c r="AD58" i="20"/>
  <c r="AC58" i="20"/>
  <c r="AB58" i="20"/>
  <c r="AA58" i="20"/>
  <c r="Z58" i="20"/>
  <c r="X58" i="20"/>
  <c r="W58" i="20"/>
  <c r="V58" i="20"/>
  <c r="U58" i="20"/>
  <c r="T58" i="20"/>
  <c r="S58" i="20"/>
  <c r="R58" i="20"/>
  <c r="Q58" i="20"/>
  <c r="P58" i="20"/>
  <c r="O58" i="20"/>
  <c r="N58" i="20"/>
  <c r="M58" i="20"/>
  <c r="L58" i="20"/>
  <c r="A58" i="20"/>
  <c r="AO57" i="20"/>
  <c r="AN57" i="20"/>
  <c r="AM57" i="20"/>
  <c r="AL57" i="20"/>
  <c r="AK57" i="20"/>
  <c r="AJ57" i="20"/>
  <c r="AI57" i="20"/>
  <c r="AH57" i="20"/>
  <c r="AG57" i="20"/>
  <c r="AF57" i="20"/>
  <c r="AE57" i="20"/>
  <c r="AD57" i="20"/>
  <c r="AC57" i="20"/>
  <c r="AB57" i="20"/>
  <c r="AA57" i="20"/>
  <c r="Z57" i="20"/>
  <c r="X57" i="20"/>
  <c r="W57" i="20"/>
  <c r="V57" i="20"/>
  <c r="U57" i="20"/>
  <c r="T57" i="20"/>
  <c r="S57" i="20"/>
  <c r="R57" i="20"/>
  <c r="Q57" i="20"/>
  <c r="P57" i="20"/>
  <c r="O57" i="20"/>
  <c r="N57" i="20"/>
  <c r="M57" i="20"/>
  <c r="L57" i="20"/>
  <c r="A57" i="20"/>
  <c r="AO56" i="20"/>
  <c r="AN56" i="20"/>
  <c r="AM56" i="20"/>
  <c r="AL56" i="20"/>
  <c r="AK56" i="20"/>
  <c r="AJ56" i="20"/>
  <c r="AI56" i="20"/>
  <c r="AH56" i="20"/>
  <c r="AG56" i="20"/>
  <c r="AF56" i="20"/>
  <c r="AE56" i="20"/>
  <c r="AD56" i="20"/>
  <c r="AC56" i="20"/>
  <c r="AB56" i="20"/>
  <c r="AA56" i="20"/>
  <c r="Z56" i="20"/>
  <c r="X56" i="20"/>
  <c r="W56" i="20"/>
  <c r="V56" i="20"/>
  <c r="U56" i="20"/>
  <c r="T56" i="20"/>
  <c r="S56" i="20"/>
  <c r="R56" i="20"/>
  <c r="Q56" i="20"/>
  <c r="P56" i="20"/>
  <c r="O56" i="20"/>
  <c r="N56" i="20"/>
  <c r="M56" i="20"/>
  <c r="L56" i="20"/>
  <c r="A56" i="20"/>
  <c r="AO55" i="20"/>
  <c r="AN55" i="20"/>
  <c r="AM55" i="20"/>
  <c r="AL55" i="20"/>
  <c r="AK55" i="20"/>
  <c r="AJ55" i="20"/>
  <c r="AI55" i="20"/>
  <c r="AH55" i="20"/>
  <c r="AG55" i="20"/>
  <c r="AF55" i="20"/>
  <c r="AE55" i="20"/>
  <c r="AD55" i="20"/>
  <c r="AC55" i="20"/>
  <c r="AB55" i="20"/>
  <c r="AA55" i="20"/>
  <c r="Z55" i="20"/>
  <c r="X55" i="20"/>
  <c r="W55" i="20"/>
  <c r="V55" i="20"/>
  <c r="U55" i="20"/>
  <c r="T55" i="20"/>
  <c r="S55" i="20"/>
  <c r="R55" i="20"/>
  <c r="Q55" i="20"/>
  <c r="P55" i="20"/>
  <c r="O55" i="20"/>
  <c r="N55" i="20"/>
  <c r="M55" i="20"/>
  <c r="L55" i="20"/>
  <c r="A55" i="20"/>
  <c r="AO54" i="20"/>
  <c r="AN54" i="20"/>
  <c r="AM54" i="20"/>
  <c r="AL54" i="20"/>
  <c r="AK54" i="20"/>
  <c r="AJ54" i="20"/>
  <c r="AI54" i="20"/>
  <c r="AH54" i="20"/>
  <c r="AG54" i="20"/>
  <c r="AF54" i="20"/>
  <c r="AE54" i="20"/>
  <c r="AD54" i="20"/>
  <c r="AC54" i="20"/>
  <c r="AB54" i="20"/>
  <c r="AA54" i="20"/>
  <c r="Z54" i="20"/>
  <c r="X54" i="20"/>
  <c r="W54" i="20"/>
  <c r="V54" i="20"/>
  <c r="U54" i="20"/>
  <c r="T54" i="20"/>
  <c r="S54" i="20"/>
  <c r="R54" i="20"/>
  <c r="Q54" i="20"/>
  <c r="P54" i="20"/>
  <c r="O54" i="20"/>
  <c r="N54" i="20"/>
  <c r="M54" i="20"/>
  <c r="L54" i="20"/>
  <c r="A54" i="20"/>
  <c r="AO53" i="20"/>
  <c r="AN53" i="20"/>
  <c r="AM53" i="20"/>
  <c r="AL53" i="20"/>
  <c r="AK53" i="20"/>
  <c r="AJ53" i="20"/>
  <c r="AI53" i="20"/>
  <c r="AH53" i="20"/>
  <c r="AG53" i="20"/>
  <c r="AF53" i="20"/>
  <c r="AE53" i="20"/>
  <c r="AD53" i="20"/>
  <c r="AC53" i="20"/>
  <c r="AB53" i="20"/>
  <c r="AA53" i="20"/>
  <c r="Z53" i="20"/>
  <c r="X53" i="20"/>
  <c r="W53" i="20"/>
  <c r="V53" i="20"/>
  <c r="U53" i="20"/>
  <c r="T53" i="20"/>
  <c r="S53" i="20"/>
  <c r="R53" i="20"/>
  <c r="Q53" i="20"/>
  <c r="P53" i="20"/>
  <c r="O53" i="20"/>
  <c r="N53" i="20"/>
  <c r="M53" i="20"/>
  <c r="L53" i="20"/>
  <c r="A53" i="20"/>
  <c r="AO52" i="20"/>
  <c r="AN52" i="20"/>
  <c r="AM52" i="20"/>
  <c r="AL52" i="20"/>
  <c r="AK52" i="20"/>
  <c r="AJ52" i="20"/>
  <c r="AI52" i="20"/>
  <c r="AH52" i="20"/>
  <c r="AG52" i="20"/>
  <c r="AF52" i="20"/>
  <c r="AE52" i="20"/>
  <c r="AD52" i="20"/>
  <c r="AC52" i="20"/>
  <c r="AB52" i="20"/>
  <c r="AA52" i="20"/>
  <c r="Z52" i="20"/>
  <c r="X52" i="20"/>
  <c r="W52" i="20"/>
  <c r="V52" i="20"/>
  <c r="U52" i="20"/>
  <c r="T52" i="20"/>
  <c r="S52" i="20"/>
  <c r="R52" i="20"/>
  <c r="Q52" i="20"/>
  <c r="P52" i="20"/>
  <c r="O52" i="20"/>
  <c r="N52" i="20"/>
  <c r="M52" i="20"/>
  <c r="L52" i="20"/>
  <c r="A52" i="20"/>
  <c r="AO51" i="20"/>
  <c r="AN51" i="20"/>
  <c r="AM51" i="20"/>
  <c r="AL51" i="20"/>
  <c r="AK51" i="20"/>
  <c r="AJ51" i="20"/>
  <c r="AI51" i="20"/>
  <c r="AH51" i="20"/>
  <c r="AG51" i="20"/>
  <c r="AF51" i="20"/>
  <c r="AE51" i="20"/>
  <c r="AD51" i="20"/>
  <c r="AC51" i="20"/>
  <c r="AB51" i="20"/>
  <c r="AA51" i="20"/>
  <c r="Z51" i="20"/>
  <c r="X51" i="20"/>
  <c r="W51" i="20"/>
  <c r="V51" i="20"/>
  <c r="U51" i="20"/>
  <c r="T51" i="20"/>
  <c r="S51" i="20"/>
  <c r="R51" i="20"/>
  <c r="Q51" i="20"/>
  <c r="P51" i="20"/>
  <c r="O51" i="20"/>
  <c r="N51" i="20"/>
  <c r="M51" i="20"/>
  <c r="L51" i="20"/>
  <c r="A51" i="20"/>
  <c r="AO50" i="20"/>
  <c r="AN50" i="20"/>
  <c r="AM50" i="20"/>
  <c r="AL50" i="20"/>
  <c r="AK50" i="20"/>
  <c r="AJ50" i="20"/>
  <c r="AI50" i="20"/>
  <c r="AH50" i="20"/>
  <c r="AG50" i="20"/>
  <c r="AF50" i="20"/>
  <c r="AE50" i="20"/>
  <c r="AD50" i="20"/>
  <c r="AC50" i="20"/>
  <c r="AB50" i="20"/>
  <c r="AA50" i="20"/>
  <c r="Z50" i="20"/>
  <c r="X50" i="20"/>
  <c r="W50" i="20"/>
  <c r="V50" i="20"/>
  <c r="U50" i="20"/>
  <c r="T50" i="20"/>
  <c r="S50" i="20"/>
  <c r="R50" i="20"/>
  <c r="Q50" i="20"/>
  <c r="P50" i="20"/>
  <c r="O50" i="20"/>
  <c r="N50" i="20"/>
  <c r="M50" i="20"/>
  <c r="L50" i="20"/>
  <c r="A50" i="20"/>
  <c r="AO49" i="20"/>
  <c r="AN49" i="20"/>
  <c r="AM49" i="20"/>
  <c r="AL49" i="20"/>
  <c r="AK49" i="20"/>
  <c r="AJ49" i="20"/>
  <c r="AI49" i="20"/>
  <c r="AH49" i="20"/>
  <c r="AG49" i="20"/>
  <c r="AF49" i="20"/>
  <c r="AE49" i="20"/>
  <c r="AD49" i="20"/>
  <c r="AC49" i="20"/>
  <c r="AB49" i="20"/>
  <c r="AA49" i="20"/>
  <c r="Z49" i="20"/>
  <c r="X49" i="20"/>
  <c r="W49" i="20"/>
  <c r="V49" i="20"/>
  <c r="U49" i="20"/>
  <c r="T49" i="20"/>
  <c r="S49" i="20"/>
  <c r="R49" i="20"/>
  <c r="Q49" i="20"/>
  <c r="P49" i="20"/>
  <c r="O49" i="20"/>
  <c r="N49" i="20"/>
  <c r="M49" i="20"/>
  <c r="L49" i="20"/>
  <c r="A49" i="20"/>
  <c r="AO48" i="20"/>
  <c r="AN48" i="20"/>
  <c r="AM48" i="20"/>
  <c r="AL48" i="20"/>
  <c r="AK48" i="20"/>
  <c r="AJ48" i="20"/>
  <c r="AI48" i="20"/>
  <c r="AH48" i="20"/>
  <c r="AG48" i="20"/>
  <c r="AF48" i="20"/>
  <c r="AE48" i="20"/>
  <c r="AD48" i="20"/>
  <c r="AC48" i="20"/>
  <c r="AB48" i="20"/>
  <c r="AA48" i="20"/>
  <c r="Z48" i="20"/>
  <c r="X48" i="20"/>
  <c r="W48" i="20"/>
  <c r="V48" i="20"/>
  <c r="U48" i="20"/>
  <c r="T48" i="20"/>
  <c r="S48" i="20"/>
  <c r="R48" i="20"/>
  <c r="Q48" i="20"/>
  <c r="P48" i="20"/>
  <c r="O48" i="20"/>
  <c r="N48" i="20"/>
  <c r="M48" i="20"/>
  <c r="L48" i="20"/>
  <c r="A48" i="20"/>
  <c r="AO47" i="20"/>
  <c r="AN47" i="20"/>
  <c r="AM47" i="20"/>
  <c r="AL47" i="20"/>
  <c r="AK47" i="20"/>
  <c r="AJ47" i="20"/>
  <c r="AI47" i="20"/>
  <c r="AH47" i="20"/>
  <c r="AG47" i="20"/>
  <c r="AF47" i="20"/>
  <c r="AE47" i="20"/>
  <c r="AD47" i="20"/>
  <c r="AC47" i="20"/>
  <c r="AB47" i="20"/>
  <c r="AA47" i="20"/>
  <c r="Z47" i="20"/>
  <c r="X47" i="20"/>
  <c r="W47" i="20"/>
  <c r="V47" i="20"/>
  <c r="U47" i="20"/>
  <c r="T47" i="20"/>
  <c r="S47" i="20"/>
  <c r="R47" i="20"/>
  <c r="Q47" i="20"/>
  <c r="P47" i="20"/>
  <c r="O47" i="20"/>
  <c r="N47" i="20"/>
  <c r="M47" i="20"/>
  <c r="L47" i="20"/>
  <c r="A47" i="20"/>
  <c r="AO46" i="20"/>
  <c r="AN46" i="20"/>
  <c r="AM46" i="20"/>
  <c r="AL46" i="20"/>
  <c r="AK46" i="20"/>
  <c r="AJ46" i="20"/>
  <c r="AI46" i="20"/>
  <c r="AH46" i="20"/>
  <c r="AG46" i="20"/>
  <c r="AF46" i="20"/>
  <c r="AE46" i="20"/>
  <c r="AD46" i="20"/>
  <c r="AC46" i="20"/>
  <c r="AB46" i="20"/>
  <c r="AA46" i="20"/>
  <c r="Z46" i="20"/>
  <c r="X46" i="20"/>
  <c r="W46" i="20"/>
  <c r="V46" i="20"/>
  <c r="U46" i="20"/>
  <c r="T46" i="20"/>
  <c r="S46" i="20"/>
  <c r="R46" i="20"/>
  <c r="Q46" i="20"/>
  <c r="P46" i="20"/>
  <c r="O46" i="20"/>
  <c r="N46" i="20"/>
  <c r="M46" i="20"/>
  <c r="L46" i="20"/>
  <c r="A46" i="20"/>
  <c r="AO45" i="20"/>
  <c r="AN45" i="20"/>
  <c r="AM45" i="20"/>
  <c r="AL45" i="20"/>
  <c r="AK45" i="20"/>
  <c r="AJ45" i="20"/>
  <c r="AI45" i="20"/>
  <c r="AH45" i="20"/>
  <c r="AG45" i="20"/>
  <c r="AF45" i="20"/>
  <c r="AE45" i="20"/>
  <c r="AD45" i="20"/>
  <c r="AC45" i="20"/>
  <c r="AB45" i="20"/>
  <c r="AA45" i="20"/>
  <c r="Z45" i="20"/>
  <c r="X45" i="20"/>
  <c r="W45" i="20"/>
  <c r="V45" i="20"/>
  <c r="U45" i="20"/>
  <c r="T45" i="20"/>
  <c r="S45" i="20"/>
  <c r="R45" i="20"/>
  <c r="Q45" i="20"/>
  <c r="P45" i="20"/>
  <c r="O45" i="20"/>
  <c r="N45" i="20"/>
  <c r="M45" i="20"/>
  <c r="L45" i="20"/>
  <c r="A45" i="20"/>
  <c r="AO44" i="20"/>
  <c r="AN44" i="20"/>
  <c r="AM44" i="20"/>
  <c r="AL44" i="20"/>
  <c r="AK44" i="20"/>
  <c r="AJ44" i="20"/>
  <c r="AI44" i="20"/>
  <c r="AH44" i="20"/>
  <c r="AG44" i="20"/>
  <c r="AF44" i="20"/>
  <c r="AE44" i="20"/>
  <c r="AD44" i="20"/>
  <c r="AC44" i="20"/>
  <c r="AB44" i="20"/>
  <c r="AA44" i="20"/>
  <c r="Z44" i="20"/>
  <c r="X44" i="20"/>
  <c r="W44" i="20"/>
  <c r="V44" i="20"/>
  <c r="U44" i="20"/>
  <c r="T44" i="20"/>
  <c r="S44" i="20"/>
  <c r="R44" i="20"/>
  <c r="Q44" i="20"/>
  <c r="P44" i="20"/>
  <c r="O44" i="20"/>
  <c r="N44" i="20"/>
  <c r="M44" i="20"/>
  <c r="L44" i="20"/>
  <c r="A44" i="20"/>
  <c r="AO43" i="20"/>
  <c r="AN43" i="20"/>
  <c r="AM43" i="20"/>
  <c r="AL43" i="20"/>
  <c r="AK43" i="20"/>
  <c r="AJ43" i="20"/>
  <c r="AI43" i="20"/>
  <c r="AH43" i="20"/>
  <c r="AG43" i="20"/>
  <c r="AF43" i="20"/>
  <c r="AE43" i="20"/>
  <c r="AD43" i="20"/>
  <c r="AC43" i="20"/>
  <c r="AB43" i="20"/>
  <c r="AA43" i="20"/>
  <c r="Z43" i="20"/>
  <c r="X43" i="20"/>
  <c r="W43" i="20"/>
  <c r="V43" i="20"/>
  <c r="U43" i="20"/>
  <c r="T43" i="20"/>
  <c r="S43" i="20"/>
  <c r="R43" i="20"/>
  <c r="Q43" i="20"/>
  <c r="P43" i="20"/>
  <c r="O43" i="20"/>
  <c r="N43" i="20"/>
  <c r="M43" i="20"/>
  <c r="L43" i="20"/>
  <c r="A43" i="20"/>
  <c r="AO42" i="20"/>
  <c r="AN42" i="20"/>
  <c r="AM42" i="20"/>
  <c r="AL42" i="20"/>
  <c r="AK42" i="20"/>
  <c r="AJ42" i="20"/>
  <c r="AI42" i="20"/>
  <c r="AH42" i="20"/>
  <c r="AG42" i="20"/>
  <c r="AF42" i="20"/>
  <c r="AE42" i="20"/>
  <c r="AD42" i="20"/>
  <c r="AC42" i="20"/>
  <c r="AB42" i="20"/>
  <c r="AA42" i="20"/>
  <c r="Z42" i="20"/>
  <c r="X42" i="20"/>
  <c r="W42" i="20"/>
  <c r="V42" i="20"/>
  <c r="U42" i="20"/>
  <c r="T42" i="20"/>
  <c r="S42" i="20"/>
  <c r="R42" i="20"/>
  <c r="Q42" i="20"/>
  <c r="P42" i="20"/>
  <c r="O42" i="20"/>
  <c r="N42" i="20"/>
  <c r="M42" i="20"/>
  <c r="L42" i="20"/>
  <c r="A42" i="20"/>
  <c r="AO41" i="20"/>
  <c r="AN41" i="20"/>
  <c r="AM41" i="20"/>
  <c r="AL41" i="20"/>
  <c r="AK41" i="20"/>
  <c r="AJ41" i="20"/>
  <c r="AI41" i="20"/>
  <c r="AH41" i="20"/>
  <c r="AG41" i="20"/>
  <c r="AF41" i="20"/>
  <c r="AE41" i="20"/>
  <c r="AD41" i="20"/>
  <c r="AC41" i="20"/>
  <c r="AB41" i="20"/>
  <c r="AA41" i="20"/>
  <c r="Z41" i="20"/>
  <c r="X41" i="20"/>
  <c r="W41" i="20"/>
  <c r="V41" i="20"/>
  <c r="U41" i="20"/>
  <c r="T41" i="20"/>
  <c r="S41" i="20"/>
  <c r="R41" i="20"/>
  <c r="Q41" i="20"/>
  <c r="P41" i="20"/>
  <c r="N41" i="20"/>
  <c r="M41" i="20"/>
  <c r="L41" i="20"/>
  <c r="A41" i="20"/>
  <c r="AO40" i="20"/>
  <c r="AN40" i="20"/>
  <c r="AM40" i="20"/>
  <c r="AL40" i="20"/>
  <c r="AK40" i="20"/>
  <c r="AJ40" i="20"/>
  <c r="AI40" i="20"/>
  <c r="AH40" i="20"/>
  <c r="AG40" i="20"/>
  <c r="AF40" i="20"/>
  <c r="AE40" i="20"/>
  <c r="AD40" i="20"/>
  <c r="AC40" i="20"/>
  <c r="AB40" i="20"/>
  <c r="AA40" i="20"/>
  <c r="Z40" i="20"/>
  <c r="X40" i="20"/>
  <c r="W40" i="20"/>
  <c r="V40" i="20"/>
  <c r="U40" i="20"/>
  <c r="T40" i="20"/>
  <c r="S40" i="20"/>
  <c r="R40" i="20"/>
  <c r="Q40" i="20"/>
  <c r="P40" i="20"/>
  <c r="O40" i="20"/>
  <c r="N40" i="20"/>
  <c r="M40" i="20"/>
  <c r="L40" i="20"/>
  <c r="A40" i="20"/>
  <c r="AO39" i="20"/>
  <c r="AN39" i="20"/>
  <c r="AM39" i="20"/>
  <c r="AL39" i="20"/>
  <c r="AK39" i="20"/>
  <c r="AJ39" i="20"/>
  <c r="AI39" i="20"/>
  <c r="AH39" i="20"/>
  <c r="AG39" i="20"/>
  <c r="AF39" i="20"/>
  <c r="AE39" i="20"/>
  <c r="AD39" i="20"/>
  <c r="AC39" i="20"/>
  <c r="AB39" i="20"/>
  <c r="AA39" i="20"/>
  <c r="Z39" i="20"/>
  <c r="X39" i="20"/>
  <c r="W39" i="20"/>
  <c r="V39" i="20"/>
  <c r="U39" i="20"/>
  <c r="T39" i="20"/>
  <c r="S39" i="20"/>
  <c r="R39" i="20"/>
  <c r="Q39" i="20"/>
  <c r="P39" i="20"/>
  <c r="O39" i="20"/>
  <c r="N39" i="20"/>
  <c r="M39" i="20"/>
  <c r="L39" i="20"/>
  <c r="A39" i="20"/>
  <c r="AO38" i="20"/>
  <c r="AN38" i="20"/>
  <c r="AM38" i="20"/>
  <c r="AL38" i="20"/>
  <c r="AK38" i="20"/>
  <c r="AJ38" i="20"/>
  <c r="AI38" i="20"/>
  <c r="AH38" i="20"/>
  <c r="AG38" i="20"/>
  <c r="AF38" i="20"/>
  <c r="AE38" i="20"/>
  <c r="AD38" i="20"/>
  <c r="AC38" i="20"/>
  <c r="AB38" i="20"/>
  <c r="AA38" i="20"/>
  <c r="Z38" i="20"/>
  <c r="X38" i="20"/>
  <c r="W38" i="20"/>
  <c r="V38" i="20"/>
  <c r="U38" i="20"/>
  <c r="T38" i="20"/>
  <c r="S38" i="20"/>
  <c r="R38" i="20"/>
  <c r="Q38" i="20"/>
  <c r="P38" i="20"/>
  <c r="O38" i="20"/>
  <c r="N38" i="20"/>
  <c r="M38" i="20"/>
  <c r="L38" i="20"/>
  <c r="A38" i="20"/>
  <c r="AO37" i="20"/>
  <c r="AN37" i="20"/>
  <c r="AM37" i="20"/>
  <c r="AL37" i="20"/>
  <c r="AK37" i="20"/>
  <c r="AJ37" i="20"/>
  <c r="AI37" i="20"/>
  <c r="AH37" i="20"/>
  <c r="AG37" i="20"/>
  <c r="AF37" i="20"/>
  <c r="AE37" i="20"/>
  <c r="AD37" i="20"/>
  <c r="AC37" i="20"/>
  <c r="AB37" i="20"/>
  <c r="AA37" i="20"/>
  <c r="Z37" i="20"/>
  <c r="X37" i="20"/>
  <c r="W37" i="20"/>
  <c r="V37" i="20"/>
  <c r="U37" i="20"/>
  <c r="T37" i="20"/>
  <c r="S37" i="20"/>
  <c r="R37" i="20"/>
  <c r="Q37" i="20"/>
  <c r="P37" i="20"/>
  <c r="O37" i="20"/>
  <c r="N37" i="20"/>
  <c r="M37" i="20"/>
  <c r="L37" i="20"/>
  <c r="A37" i="20"/>
  <c r="AO36" i="20"/>
  <c r="AN36" i="20"/>
  <c r="AM36" i="20"/>
  <c r="AL36" i="20"/>
  <c r="AK36" i="20"/>
  <c r="AJ36" i="20"/>
  <c r="AI36" i="20"/>
  <c r="AH36" i="20"/>
  <c r="AG36" i="20"/>
  <c r="AF36" i="20"/>
  <c r="AE36" i="20"/>
  <c r="AD36" i="20"/>
  <c r="AC36" i="20"/>
  <c r="AB36" i="20"/>
  <c r="AA36" i="20"/>
  <c r="Z36" i="20"/>
  <c r="X36" i="20"/>
  <c r="W36" i="20"/>
  <c r="V36" i="20"/>
  <c r="U36" i="20"/>
  <c r="T36" i="20"/>
  <c r="S36" i="20"/>
  <c r="R36" i="20"/>
  <c r="Q36" i="20"/>
  <c r="P36" i="20"/>
  <c r="O36" i="20"/>
  <c r="N36" i="20"/>
  <c r="M36" i="20"/>
  <c r="L36" i="20"/>
  <c r="A36" i="20"/>
  <c r="AO35" i="20"/>
  <c r="AN35" i="20"/>
  <c r="AM35" i="20"/>
  <c r="AL35" i="20"/>
  <c r="AK35" i="20"/>
  <c r="AJ35" i="20"/>
  <c r="AI35" i="20"/>
  <c r="AH35" i="20"/>
  <c r="AG35" i="20"/>
  <c r="AF35" i="20"/>
  <c r="AE35" i="20"/>
  <c r="AD35" i="20"/>
  <c r="AC35" i="20"/>
  <c r="AB35" i="20"/>
  <c r="AA35" i="20"/>
  <c r="Z35" i="20"/>
  <c r="X35" i="20"/>
  <c r="W35" i="20"/>
  <c r="V35" i="20"/>
  <c r="U35" i="20"/>
  <c r="T35" i="20"/>
  <c r="S35" i="20"/>
  <c r="R35" i="20"/>
  <c r="Q35" i="20"/>
  <c r="P35" i="20"/>
  <c r="O35" i="20"/>
  <c r="N35" i="20"/>
  <c r="M35" i="20"/>
  <c r="L35" i="20"/>
  <c r="A35" i="20"/>
  <c r="AO34" i="20"/>
  <c r="AN34" i="20"/>
  <c r="AM34" i="20"/>
  <c r="AL34" i="20"/>
  <c r="AK34" i="20"/>
  <c r="AJ34" i="20"/>
  <c r="AI34" i="20"/>
  <c r="AH34" i="20"/>
  <c r="AG34" i="20"/>
  <c r="AF34" i="20"/>
  <c r="AE34" i="20"/>
  <c r="AD34" i="20"/>
  <c r="AC34" i="20"/>
  <c r="AB34" i="20"/>
  <c r="AA34" i="20"/>
  <c r="Z34" i="20"/>
  <c r="X34" i="20"/>
  <c r="W34" i="20"/>
  <c r="V34" i="20"/>
  <c r="U34" i="20"/>
  <c r="T34" i="20"/>
  <c r="S34" i="20"/>
  <c r="R34" i="20"/>
  <c r="Q34" i="20"/>
  <c r="P34" i="20"/>
  <c r="O34" i="20"/>
  <c r="N34" i="20"/>
  <c r="M34" i="20"/>
  <c r="L34" i="20"/>
  <c r="A34" i="20"/>
  <c r="AO33" i="20"/>
  <c r="AN33" i="20"/>
  <c r="AM33" i="20"/>
  <c r="AL33" i="20"/>
  <c r="AK33" i="20"/>
  <c r="AJ33" i="20"/>
  <c r="AI33" i="20"/>
  <c r="AH33" i="20"/>
  <c r="AG33" i="20"/>
  <c r="AF33" i="20"/>
  <c r="AE33" i="20"/>
  <c r="AD33" i="20"/>
  <c r="AC33" i="20"/>
  <c r="AB33" i="20"/>
  <c r="AA33" i="20"/>
  <c r="Z33" i="20"/>
  <c r="X33" i="20"/>
  <c r="W33" i="20"/>
  <c r="V33" i="20"/>
  <c r="U33" i="20"/>
  <c r="T33" i="20"/>
  <c r="S33" i="20"/>
  <c r="R33" i="20"/>
  <c r="Q33" i="20"/>
  <c r="P33" i="20"/>
  <c r="O33" i="20"/>
  <c r="N33" i="20"/>
  <c r="M33" i="20"/>
  <c r="L33" i="20"/>
  <c r="A33" i="20"/>
  <c r="AO32" i="20"/>
  <c r="AN32" i="20"/>
  <c r="AM32" i="20"/>
  <c r="AL32" i="20"/>
  <c r="AK32" i="20"/>
  <c r="AJ32" i="20"/>
  <c r="AI32" i="20"/>
  <c r="AH32" i="20"/>
  <c r="AG32" i="20"/>
  <c r="AF32" i="20"/>
  <c r="AE32" i="20"/>
  <c r="AD32" i="20"/>
  <c r="AC32" i="20"/>
  <c r="AB32" i="20"/>
  <c r="AA32" i="20"/>
  <c r="Z32" i="20"/>
  <c r="X32" i="20"/>
  <c r="W32" i="20"/>
  <c r="V32" i="20"/>
  <c r="U32" i="20"/>
  <c r="T32" i="20"/>
  <c r="S32" i="20"/>
  <c r="R32" i="20"/>
  <c r="Q32" i="20"/>
  <c r="P32" i="20"/>
  <c r="O32" i="20"/>
  <c r="N32" i="20"/>
  <c r="M32" i="20"/>
  <c r="L32" i="20"/>
  <c r="A32" i="20"/>
  <c r="AO31" i="20"/>
  <c r="AN31" i="20"/>
  <c r="AM31" i="20"/>
  <c r="AL31" i="20"/>
  <c r="AK31" i="20"/>
  <c r="AJ31" i="20"/>
  <c r="AI31" i="20"/>
  <c r="AH31" i="20"/>
  <c r="AG31" i="20"/>
  <c r="AF31" i="20"/>
  <c r="AE31" i="20"/>
  <c r="AD31" i="20"/>
  <c r="AC31" i="20"/>
  <c r="AB31" i="20"/>
  <c r="AA31" i="20"/>
  <c r="Z31" i="20"/>
  <c r="X31" i="20"/>
  <c r="W31" i="20"/>
  <c r="V31" i="20"/>
  <c r="U31" i="20"/>
  <c r="T31" i="20"/>
  <c r="S31" i="20"/>
  <c r="R31" i="20"/>
  <c r="Q31" i="20"/>
  <c r="P31" i="20"/>
  <c r="O31" i="20"/>
  <c r="N31" i="20"/>
  <c r="M31" i="20"/>
  <c r="L31" i="20"/>
  <c r="A31" i="20"/>
  <c r="AO30" i="20"/>
  <c r="AN30" i="20"/>
  <c r="AM30" i="20"/>
  <c r="AL30" i="20"/>
  <c r="AK30" i="20"/>
  <c r="AJ30" i="20"/>
  <c r="AI30" i="20"/>
  <c r="AH30" i="20"/>
  <c r="AG30" i="20"/>
  <c r="AF30" i="20"/>
  <c r="AE30" i="20"/>
  <c r="AD30" i="20"/>
  <c r="AC30" i="20"/>
  <c r="AB30" i="20"/>
  <c r="AA30" i="20"/>
  <c r="Z30" i="20"/>
  <c r="X30" i="20"/>
  <c r="W30" i="20"/>
  <c r="V30" i="20"/>
  <c r="U30" i="20"/>
  <c r="T30" i="20"/>
  <c r="S30" i="20"/>
  <c r="R30" i="20"/>
  <c r="Q30" i="20"/>
  <c r="P30" i="20"/>
  <c r="O30" i="20"/>
  <c r="N30" i="20"/>
  <c r="M30" i="20"/>
  <c r="L30" i="20"/>
  <c r="A30" i="20"/>
  <c r="AO29" i="20"/>
  <c r="AN29" i="20"/>
  <c r="AM29" i="20"/>
  <c r="AL29" i="20"/>
  <c r="AK29" i="20"/>
  <c r="AJ29" i="20"/>
  <c r="AI29" i="20"/>
  <c r="AH29" i="20"/>
  <c r="AG29" i="20"/>
  <c r="AF29" i="20"/>
  <c r="AE29" i="20"/>
  <c r="AD29" i="20"/>
  <c r="AC29" i="20"/>
  <c r="AB29" i="20"/>
  <c r="AA29" i="20"/>
  <c r="Z29" i="20"/>
  <c r="X29" i="20"/>
  <c r="W29" i="20"/>
  <c r="V29" i="20"/>
  <c r="U29" i="20"/>
  <c r="T29" i="20"/>
  <c r="S29" i="20"/>
  <c r="R29" i="20"/>
  <c r="Q29" i="20"/>
  <c r="P29" i="20"/>
  <c r="O29" i="20"/>
  <c r="N29" i="20"/>
  <c r="M29" i="20"/>
  <c r="L29" i="20"/>
  <c r="A29" i="20"/>
  <c r="AO28" i="20"/>
  <c r="AN28" i="20"/>
  <c r="AM28" i="20"/>
  <c r="AL28" i="20"/>
  <c r="AK28" i="20"/>
  <c r="AJ28" i="20"/>
  <c r="AI28" i="20"/>
  <c r="AH28" i="20"/>
  <c r="AG28" i="20"/>
  <c r="AF28" i="20"/>
  <c r="AE28" i="20"/>
  <c r="AD28" i="20"/>
  <c r="AC28" i="20"/>
  <c r="AB28" i="20"/>
  <c r="AA28" i="20"/>
  <c r="Z28" i="20"/>
  <c r="X28" i="20"/>
  <c r="W28" i="20"/>
  <c r="V28" i="20"/>
  <c r="U28" i="20"/>
  <c r="T28" i="20"/>
  <c r="S28" i="20"/>
  <c r="R28" i="20"/>
  <c r="Q28" i="20"/>
  <c r="P28" i="20"/>
  <c r="O28" i="20"/>
  <c r="N28" i="20"/>
  <c r="M28" i="20"/>
  <c r="L28" i="20"/>
  <c r="A28" i="20"/>
  <c r="AO27" i="20"/>
  <c r="AN27" i="20"/>
  <c r="AM27" i="20"/>
  <c r="AL27" i="20"/>
  <c r="AK27" i="20"/>
  <c r="AJ27" i="20"/>
  <c r="AI27" i="20"/>
  <c r="AH27" i="20"/>
  <c r="AG27" i="20"/>
  <c r="AF27" i="20"/>
  <c r="AE27" i="20"/>
  <c r="AD27" i="20"/>
  <c r="AC27" i="20"/>
  <c r="AB27" i="20"/>
  <c r="AA27" i="20"/>
  <c r="Z27" i="20"/>
  <c r="X27" i="20"/>
  <c r="W27" i="20"/>
  <c r="V27" i="20"/>
  <c r="U27" i="20"/>
  <c r="T27" i="20"/>
  <c r="S27" i="20"/>
  <c r="R27" i="20"/>
  <c r="Q27" i="20"/>
  <c r="P27" i="20"/>
  <c r="O27" i="20"/>
  <c r="N27" i="20"/>
  <c r="M27" i="20"/>
  <c r="L27" i="20"/>
  <c r="A27" i="20"/>
  <c r="AO26" i="20"/>
  <c r="AN26" i="20"/>
  <c r="AM26" i="20"/>
  <c r="AL26" i="20"/>
  <c r="AK26" i="20"/>
  <c r="AJ26" i="20"/>
  <c r="AI26" i="20"/>
  <c r="AH26" i="20"/>
  <c r="AG26" i="20"/>
  <c r="AF26" i="20"/>
  <c r="AE26" i="20"/>
  <c r="AD26" i="20"/>
  <c r="AC26" i="20"/>
  <c r="AB26" i="20"/>
  <c r="AA26" i="20"/>
  <c r="Z26" i="20"/>
  <c r="X26" i="20"/>
  <c r="W26" i="20"/>
  <c r="V26" i="20"/>
  <c r="U26" i="20"/>
  <c r="T26" i="20"/>
  <c r="S26" i="20"/>
  <c r="R26" i="20"/>
  <c r="Q26" i="20"/>
  <c r="P26" i="20"/>
  <c r="O26" i="20"/>
  <c r="N26" i="20"/>
  <c r="M26" i="20"/>
  <c r="L26" i="20"/>
  <c r="A26" i="20"/>
  <c r="AO25" i="20"/>
  <c r="AN25" i="20"/>
  <c r="AM25" i="20"/>
  <c r="AL25" i="20"/>
  <c r="AK25" i="20"/>
  <c r="AJ25" i="20"/>
  <c r="AI25" i="20"/>
  <c r="AH25" i="20"/>
  <c r="AG25" i="20"/>
  <c r="AF25" i="20"/>
  <c r="AE25" i="20"/>
  <c r="AD25" i="20"/>
  <c r="AC25" i="20"/>
  <c r="AB25" i="20"/>
  <c r="AA25" i="20"/>
  <c r="Z25" i="20"/>
  <c r="X25" i="20"/>
  <c r="W25" i="20"/>
  <c r="V25" i="20"/>
  <c r="U25" i="20"/>
  <c r="T25" i="20"/>
  <c r="S25" i="20"/>
  <c r="R25" i="20"/>
  <c r="Q25" i="20"/>
  <c r="P25" i="20"/>
  <c r="O25" i="20"/>
  <c r="N25" i="20"/>
  <c r="M25" i="20"/>
  <c r="L25" i="20"/>
  <c r="A25" i="20"/>
  <c r="AO24" i="20"/>
  <c r="AN24" i="20"/>
  <c r="AM24" i="20"/>
  <c r="AL24" i="20"/>
  <c r="AK24" i="20"/>
  <c r="AJ24" i="20"/>
  <c r="AI24" i="20"/>
  <c r="AH24" i="20"/>
  <c r="AG24" i="20"/>
  <c r="AF24" i="20"/>
  <c r="AE24" i="20"/>
  <c r="AD24" i="20"/>
  <c r="AC24" i="20"/>
  <c r="AB24" i="20"/>
  <c r="AA24" i="20"/>
  <c r="Z24" i="20"/>
  <c r="X24" i="20"/>
  <c r="W24" i="20"/>
  <c r="V24" i="20"/>
  <c r="U24" i="20"/>
  <c r="T24" i="20"/>
  <c r="S24" i="20"/>
  <c r="R24" i="20"/>
  <c r="Q24" i="20"/>
  <c r="P24" i="20"/>
  <c r="O24" i="20"/>
  <c r="N24" i="20"/>
  <c r="M24" i="20"/>
  <c r="L24" i="20"/>
  <c r="A24" i="20"/>
  <c r="AO23" i="20"/>
  <c r="AN23" i="20"/>
  <c r="AM23" i="20"/>
  <c r="AL23" i="20"/>
  <c r="AK23" i="20"/>
  <c r="AJ23" i="20"/>
  <c r="AI23" i="20"/>
  <c r="AH23" i="20"/>
  <c r="AG23" i="20"/>
  <c r="AF23" i="20"/>
  <c r="AE23" i="20"/>
  <c r="AD23" i="20"/>
  <c r="AC23" i="20"/>
  <c r="AB23" i="20"/>
  <c r="AA23" i="20"/>
  <c r="Z23" i="20"/>
  <c r="X23" i="20"/>
  <c r="W23" i="20"/>
  <c r="V23" i="20"/>
  <c r="U23" i="20"/>
  <c r="T23" i="20"/>
  <c r="S23" i="20"/>
  <c r="R23" i="20"/>
  <c r="Q23" i="20"/>
  <c r="P23" i="20"/>
  <c r="O23" i="20"/>
  <c r="N23" i="20"/>
  <c r="M23" i="20"/>
  <c r="L23" i="20"/>
  <c r="A23" i="20"/>
  <c r="AO22" i="20"/>
  <c r="AN22" i="20"/>
  <c r="AM22" i="20"/>
  <c r="AL22" i="20"/>
  <c r="AK22" i="20"/>
  <c r="AJ22" i="20"/>
  <c r="AI22" i="20"/>
  <c r="AH22" i="20"/>
  <c r="AG22" i="20"/>
  <c r="AF22" i="20"/>
  <c r="AE22" i="20"/>
  <c r="AD22" i="20"/>
  <c r="AC22" i="20"/>
  <c r="AB22" i="20"/>
  <c r="AA22" i="20"/>
  <c r="Z22" i="20"/>
  <c r="X22" i="20"/>
  <c r="W22" i="20"/>
  <c r="V22" i="20"/>
  <c r="U22" i="20"/>
  <c r="T22" i="20"/>
  <c r="S22" i="20"/>
  <c r="R22" i="20"/>
  <c r="Q22" i="20"/>
  <c r="P22" i="20"/>
  <c r="O22" i="20"/>
  <c r="N22" i="20"/>
  <c r="M22" i="20"/>
  <c r="L22" i="20"/>
  <c r="A22" i="20"/>
  <c r="AO21" i="20"/>
  <c r="AN21" i="20"/>
  <c r="AM21" i="20"/>
  <c r="AL21" i="20"/>
  <c r="AK21" i="20"/>
  <c r="AJ21" i="20"/>
  <c r="AI21" i="20"/>
  <c r="AH21" i="20"/>
  <c r="AG21" i="20"/>
  <c r="AF21" i="20"/>
  <c r="AE21" i="20"/>
  <c r="AD21" i="20"/>
  <c r="AC21" i="20"/>
  <c r="AB21" i="20"/>
  <c r="AA21" i="20"/>
  <c r="Z21" i="20"/>
  <c r="X21" i="20"/>
  <c r="W21" i="20"/>
  <c r="V21" i="20"/>
  <c r="U21" i="20"/>
  <c r="T21" i="20"/>
  <c r="S21" i="20"/>
  <c r="R21" i="20"/>
  <c r="Q21" i="20"/>
  <c r="P21" i="20"/>
  <c r="O21" i="20"/>
  <c r="N21" i="20"/>
  <c r="M21" i="20"/>
  <c r="L21" i="20"/>
  <c r="A21" i="20"/>
  <c r="AO20" i="20"/>
  <c r="AN20" i="20"/>
  <c r="AM20" i="20"/>
  <c r="AL20" i="20"/>
  <c r="AK20" i="20"/>
  <c r="AJ20" i="20"/>
  <c r="AI20" i="20"/>
  <c r="AH20" i="20"/>
  <c r="AG20" i="20"/>
  <c r="AF20" i="20"/>
  <c r="AE20" i="20"/>
  <c r="AD20" i="20"/>
  <c r="AC20" i="20"/>
  <c r="AB20" i="20"/>
  <c r="AA20" i="20"/>
  <c r="Z20" i="20"/>
  <c r="X20" i="20"/>
  <c r="W20" i="20"/>
  <c r="V20" i="20"/>
  <c r="U20" i="20"/>
  <c r="T20" i="20"/>
  <c r="S20" i="20"/>
  <c r="R20" i="20"/>
  <c r="Q20" i="20"/>
  <c r="P20" i="20"/>
  <c r="O20" i="20"/>
  <c r="N20" i="20"/>
  <c r="M20" i="20"/>
  <c r="L20" i="20"/>
  <c r="A20" i="20"/>
  <c r="AO19" i="20"/>
  <c r="AN19" i="20"/>
  <c r="AM19" i="20"/>
  <c r="AL19" i="20"/>
  <c r="AK19" i="20"/>
  <c r="AJ19" i="20"/>
  <c r="AI19" i="20"/>
  <c r="AH19" i="20"/>
  <c r="AG19" i="20"/>
  <c r="AF19" i="20"/>
  <c r="AE19" i="20"/>
  <c r="AD19" i="20"/>
  <c r="AC19" i="20"/>
  <c r="AB19" i="20"/>
  <c r="AA19" i="20"/>
  <c r="Z19" i="20"/>
  <c r="X19" i="20"/>
  <c r="W19" i="20"/>
  <c r="V19" i="20"/>
  <c r="U19" i="20"/>
  <c r="T19" i="20"/>
  <c r="S19" i="20"/>
  <c r="R19" i="20"/>
  <c r="Q19" i="20"/>
  <c r="P19" i="20"/>
  <c r="O19" i="20"/>
  <c r="N19" i="20"/>
  <c r="M19" i="20"/>
  <c r="L19" i="20"/>
  <c r="A19" i="20"/>
  <c r="AO18" i="20"/>
  <c r="AN18" i="20"/>
  <c r="AM18" i="20"/>
  <c r="AL18" i="20"/>
  <c r="AK18" i="20"/>
  <c r="AJ18" i="20"/>
  <c r="AI18" i="20"/>
  <c r="AH18" i="20"/>
  <c r="AG18" i="20"/>
  <c r="AF18" i="20"/>
  <c r="AE18" i="20"/>
  <c r="AD18" i="20"/>
  <c r="AC18" i="20"/>
  <c r="AB18" i="20"/>
  <c r="AA18" i="20"/>
  <c r="Z18" i="20"/>
  <c r="X18" i="20"/>
  <c r="W18" i="20"/>
  <c r="V18" i="20"/>
  <c r="U18" i="20"/>
  <c r="T18" i="20"/>
  <c r="S18" i="20"/>
  <c r="R18" i="20"/>
  <c r="Q18" i="20"/>
  <c r="P18" i="20"/>
  <c r="O18" i="20"/>
  <c r="N18" i="20"/>
  <c r="M18" i="20"/>
  <c r="L18" i="20"/>
  <c r="A18" i="20"/>
  <c r="AO17" i="20"/>
  <c r="AN17" i="20"/>
  <c r="AM17" i="20"/>
  <c r="AL17" i="20"/>
  <c r="AK17" i="20"/>
  <c r="AJ17" i="20"/>
  <c r="AI17" i="20"/>
  <c r="AH17" i="20"/>
  <c r="AG17" i="20"/>
  <c r="AF17" i="20"/>
  <c r="AE17" i="20"/>
  <c r="AD17" i="20"/>
  <c r="AC17" i="20"/>
  <c r="AB17" i="20"/>
  <c r="AA17" i="20"/>
  <c r="Z17" i="20"/>
  <c r="X17" i="20"/>
  <c r="W17" i="20"/>
  <c r="V17" i="20"/>
  <c r="U17" i="20"/>
  <c r="T17" i="20"/>
  <c r="S17" i="20"/>
  <c r="R17" i="20"/>
  <c r="Q17" i="20"/>
  <c r="P17" i="20"/>
  <c r="O17" i="20"/>
  <c r="N17" i="20"/>
  <c r="M17" i="20"/>
  <c r="L17" i="20"/>
  <c r="A17" i="20"/>
  <c r="AO16" i="20"/>
  <c r="AN16" i="20"/>
  <c r="AM16" i="20"/>
  <c r="AL16" i="20"/>
  <c r="AK16" i="20"/>
  <c r="AJ16" i="20"/>
  <c r="AI16" i="20"/>
  <c r="AH16" i="20"/>
  <c r="AG16" i="20"/>
  <c r="AF16" i="20"/>
  <c r="AE16" i="20"/>
  <c r="AD16" i="20"/>
  <c r="AC16" i="20"/>
  <c r="AB16" i="20"/>
  <c r="AA16" i="20"/>
  <c r="Z16" i="20"/>
  <c r="X16" i="20"/>
  <c r="W16" i="20"/>
  <c r="V16" i="20"/>
  <c r="U16" i="20"/>
  <c r="T16" i="20"/>
  <c r="S16" i="20"/>
  <c r="R16" i="20"/>
  <c r="Q16" i="20"/>
  <c r="P16" i="20"/>
  <c r="O16" i="20"/>
  <c r="N16" i="20"/>
  <c r="M16" i="20"/>
  <c r="L16" i="20"/>
  <c r="A16" i="20"/>
  <c r="AO15" i="20"/>
  <c r="AN15" i="20"/>
  <c r="AM15" i="20"/>
  <c r="AL15" i="20"/>
  <c r="AK15" i="20"/>
  <c r="AJ15" i="20"/>
  <c r="AI15" i="20"/>
  <c r="AH15" i="20"/>
  <c r="AG15" i="20"/>
  <c r="AF15" i="20"/>
  <c r="AE15" i="20"/>
  <c r="AD15" i="20"/>
  <c r="AC15" i="20"/>
  <c r="AB15" i="20"/>
  <c r="AA15" i="20"/>
  <c r="Z15" i="20"/>
  <c r="X15" i="20"/>
  <c r="W15" i="20"/>
  <c r="V15" i="20"/>
  <c r="U15" i="20"/>
  <c r="T15" i="20"/>
  <c r="S15" i="20"/>
  <c r="R15" i="20"/>
  <c r="Q15" i="20"/>
  <c r="P15" i="20"/>
  <c r="O15" i="20"/>
  <c r="N15" i="20"/>
  <c r="M15" i="20"/>
  <c r="L15" i="20"/>
  <c r="A15" i="20"/>
  <c r="AO14" i="20"/>
  <c r="AN14" i="20"/>
  <c r="AM14" i="20"/>
  <c r="AL14" i="20"/>
  <c r="AK14" i="20"/>
  <c r="AJ14" i="20"/>
  <c r="AI14" i="20"/>
  <c r="AH14" i="20"/>
  <c r="AG14" i="20"/>
  <c r="AF14" i="20"/>
  <c r="AE14" i="20"/>
  <c r="AD14" i="20"/>
  <c r="AC14" i="20"/>
  <c r="AB14" i="20"/>
  <c r="AA14" i="20"/>
  <c r="Z14" i="20"/>
  <c r="X14" i="20"/>
  <c r="W14" i="20"/>
  <c r="V14" i="20"/>
  <c r="U14" i="20"/>
  <c r="T14" i="20"/>
  <c r="S14" i="20"/>
  <c r="R14" i="20"/>
  <c r="O14" i="20"/>
  <c r="N14" i="20"/>
  <c r="M14" i="20"/>
  <c r="L14" i="20"/>
  <c r="A14" i="20"/>
  <c r="AO13" i="20"/>
  <c r="AN13" i="20"/>
  <c r="AM13" i="20"/>
  <c r="AL13" i="20"/>
  <c r="AK13" i="20"/>
  <c r="AJ13" i="20"/>
  <c r="AI13" i="20"/>
  <c r="AH13" i="20"/>
  <c r="AG13" i="20"/>
  <c r="AF13" i="20"/>
  <c r="AE13" i="20"/>
  <c r="AD13" i="20"/>
  <c r="AC13" i="20"/>
  <c r="AB13" i="20"/>
  <c r="AA13" i="20"/>
  <c r="Z13" i="20"/>
  <c r="X13" i="20"/>
  <c r="W13" i="20"/>
  <c r="V13" i="20"/>
  <c r="U13" i="20"/>
  <c r="T13" i="20"/>
  <c r="S13" i="20"/>
  <c r="R13" i="20"/>
  <c r="Q13" i="20"/>
  <c r="P13" i="20"/>
  <c r="O13" i="20"/>
  <c r="N13" i="20"/>
  <c r="M13" i="20"/>
  <c r="L13" i="20"/>
  <c r="A13" i="20"/>
  <c r="AO12" i="20"/>
  <c r="AN12" i="20"/>
  <c r="AM12" i="20"/>
  <c r="AL12" i="20"/>
  <c r="AK12" i="20"/>
  <c r="AJ12" i="20"/>
  <c r="AI12" i="20"/>
  <c r="AH12" i="20"/>
  <c r="AG12" i="20"/>
  <c r="AF12" i="20"/>
  <c r="AE12" i="20"/>
  <c r="AD12" i="20"/>
  <c r="AC12" i="20"/>
  <c r="AB12" i="20"/>
  <c r="AA12" i="20"/>
  <c r="Z12" i="20"/>
  <c r="X12" i="20"/>
  <c r="W12" i="20"/>
  <c r="V12" i="20"/>
  <c r="U12" i="20"/>
  <c r="T12" i="20"/>
  <c r="S12" i="20"/>
  <c r="R12" i="20"/>
  <c r="Q12" i="20"/>
  <c r="P12" i="20"/>
  <c r="O12" i="20"/>
  <c r="N12" i="20"/>
  <c r="M12" i="20"/>
  <c r="L12" i="20"/>
  <c r="A12" i="20"/>
  <c r="AO11" i="20"/>
  <c r="AN11" i="20"/>
  <c r="AM11" i="20"/>
  <c r="AL11" i="20"/>
  <c r="AK11" i="20"/>
  <c r="AJ11" i="20"/>
  <c r="AI11" i="20"/>
  <c r="AH11" i="20"/>
  <c r="AG11" i="20"/>
  <c r="AF11" i="20"/>
  <c r="AE11" i="20"/>
  <c r="AD11" i="20"/>
  <c r="AC11" i="20"/>
  <c r="AB11" i="20"/>
  <c r="AA11" i="20"/>
  <c r="Z11" i="20"/>
  <c r="X11" i="20"/>
  <c r="W11" i="20"/>
  <c r="V11" i="20"/>
  <c r="U11" i="20"/>
  <c r="T11" i="20"/>
  <c r="S11" i="20"/>
  <c r="R11" i="20"/>
  <c r="Q11" i="20"/>
  <c r="P11" i="20"/>
  <c r="O11" i="20"/>
  <c r="N11" i="20"/>
  <c r="M11" i="20"/>
  <c r="L11" i="20"/>
  <c r="A11" i="20"/>
  <c r="AO10" i="20"/>
  <c r="AN10" i="20"/>
  <c r="AM10" i="20"/>
  <c r="AL10" i="20"/>
  <c r="AK10" i="20"/>
  <c r="AJ10" i="20"/>
  <c r="AI10" i="20"/>
  <c r="AH10" i="20"/>
  <c r="AG10" i="20"/>
  <c r="AF10" i="20"/>
  <c r="AE10" i="20"/>
  <c r="AD10" i="20"/>
  <c r="AC10" i="20"/>
  <c r="AB10" i="20"/>
  <c r="AA10" i="20"/>
  <c r="Z10" i="20"/>
  <c r="X10" i="20"/>
  <c r="W10" i="20"/>
  <c r="V10" i="20"/>
  <c r="U10" i="20"/>
  <c r="T10" i="20"/>
  <c r="S10" i="20"/>
  <c r="R10" i="20"/>
  <c r="Q10" i="20"/>
  <c r="P10" i="20"/>
  <c r="O10" i="20"/>
  <c r="N10" i="20"/>
  <c r="M10" i="20"/>
  <c r="L10" i="20"/>
  <c r="A10" i="20"/>
  <c r="AO9" i="20"/>
  <c r="AN9" i="20"/>
  <c r="AM9" i="20"/>
  <c r="AL9" i="20"/>
  <c r="AK9" i="20"/>
  <c r="AJ9" i="20"/>
  <c r="AI9" i="20"/>
  <c r="AH9" i="20"/>
  <c r="AG9" i="20"/>
  <c r="AF9" i="20"/>
  <c r="AE9" i="20"/>
  <c r="AD9" i="20"/>
  <c r="AC9" i="20"/>
  <c r="AB9" i="20"/>
  <c r="AA9" i="20"/>
  <c r="Z9" i="20"/>
  <c r="X9" i="20"/>
  <c r="W9" i="20"/>
  <c r="V9" i="20"/>
  <c r="U9" i="20"/>
  <c r="T9" i="20"/>
  <c r="S9" i="20"/>
  <c r="R9" i="20"/>
  <c r="Q9" i="20"/>
  <c r="P9" i="20"/>
  <c r="O9" i="20"/>
  <c r="N9" i="20"/>
  <c r="M9" i="20"/>
  <c r="L9" i="20"/>
  <c r="A9" i="20"/>
  <c r="AO8" i="20"/>
  <c r="AN8" i="20"/>
  <c r="AM8" i="20"/>
  <c r="AL8" i="20"/>
  <c r="AK8" i="20"/>
  <c r="AJ8" i="20"/>
  <c r="AI8" i="20"/>
  <c r="AH8" i="20"/>
  <c r="AG8" i="20"/>
  <c r="AF8" i="20"/>
  <c r="AE8" i="20"/>
  <c r="AD8" i="20"/>
  <c r="AC8" i="20"/>
  <c r="AB8" i="20"/>
  <c r="AA8" i="20"/>
  <c r="Z8" i="20"/>
  <c r="X8" i="20"/>
  <c r="W8" i="20"/>
  <c r="V8" i="20"/>
  <c r="U8" i="20"/>
  <c r="T8" i="20"/>
  <c r="S8" i="20"/>
  <c r="R8" i="20"/>
  <c r="Q8" i="20"/>
  <c r="P8" i="20"/>
  <c r="O8" i="20"/>
  <c r="N8" i="20"/>
  <c r="M8" i="20"/>
  <c r="L8" i="20"/>
  <c r="A8" i="20"/>
  <c r="AO7" i="20"/>
  <c r="AN7" i="20"/>
  <c r="AM7" i="20"/>
  <c r="AL7" i="20"/>
  <c r="AK7" i="20"/>
  <c r="AJ7" i="20"/>
  <c r="AI7" i="20"/>
  <c r="AH7" i="20"/>
  <c r="AG7" i="20"/>
  <c r="AF7" i="20"/>
  <c r="AE7" i="20"/>
  <c r="AD7" i="20"/>
  <c r="AC7" i="20"/>
  <c r="AB7" i="20"/>
  <c r="AA7" i="20"/>
  <c r="Z7" i="20"/>
  <c r="X7" i="20"/>
  <c r="W7" i="20"/>
  <c r="V7" i="20"/>
  <c r="U7" i="20"/>
  <c r="T7" i="20"/>
  <c r="S7" i="20"/>
  <c r="R7" i="20"/>
  <c r="Q7" i="20"/>
  <c r="P7" i="20"/>
  <c r="O7" i="20"/>
  <c r="N7" i="20"/>
  <c r="M7" i="20"/>
  <c r="L7" i="20"/>
  <c r="A7" i="20"/>
  <c r="AO6" i="20"/>
  <c r="AN6" i="20"/>
  <c r="AM6" i="20"/>
  <c r="AL6" i="20"/>
  <c r="AK6" i="20"/>
  <c r="AJ6" i="20"/>
  <c r="AI6" i="20"/>
  <c r="AH6" i="20"/>
  <c r="AG6" i="20"/>
  <c r="AF6" i="20"/>
  <c r="AE6" i="20"/>
  <c r="AD6" i="20"/>
  <c r="AC6" i="20"/>
  <c r="AB6" i="20"/>
  <c r="AA6" i="20"/>
  <c r="Z6" i="20"/>
  <c r="X6" i="20"/>
  <c r="W6" i="20"/>
  <c r="V6" i="20"/>
  <c r="U6" i="20"/>
  <c r="T6" i="20"/>
  <c r="S6" i="20"/>
  <c r="R6" i="20"/>
  <c r="Q6" i="20"/>
  <c r="P6" i="20"/>
  <c r="O6" i="20"/>
  <c r="N6" i="20"/>
  <c r="M6" i="20"/>
  <c r="L6" i="20"/>
  <c r="A6" i="20"/>
  <c r="AO5" i="20"/>
  <c r="AN5" i="20"/>
  <c r="AM5" i="20"/>
  <c r="AL5" i="20"/>
  <c r="AK5" i="20"/>
  <c r="AJ5" i="20"/>
  <c r="AI5" i="20"/>
  <c r="AH5" i="20"/>
  <c r="AG5" i="20"/>
  <c r="AF5" i="20"/>
  <c r="AE5" i="20"/>
  <c r="AD5" i="20"/>
  <c r="AC5" i="20"/>
  <c r="AB5" i="20"/>
  <c r="AA5" i="20"/>
  <c r="Z5" i="20"/>
  <c r="X5" i="20"/>
  <c r="W5" i="20"/>
  <c r="V5" i="20"/>
  <c r="U5" i="20"/>
  <c r="T5" i="20"/>
  <c r="S5" i="20"/>
  <c r="R5" i="20"/>
  <c r="Q5" i="20"/>
  <c r="P5" i="20"/>
  <c r="O5" i="20"/>
  <c r="N5" i="20"/>
  <c r="M5" i="20"/>
  <c r="L5" i="20"/>
  <c r="A5" i="20"/>
  <c r="AO4" i="20"/>
  <c r="AN4" i="20"/>
  <c r="AM4" i="20"/>
  <c r="AL4" i="20"/>
  <c r="AK4" i="20"/>
  <c r="AJ4" i="20"/>
  <c r="AI4" i="20"/>
  <c r="AH4" i="20"/>
  <c r="AG4" i="20"/>
  <c r="AF4" i="20"/>
  <c r="AE4" i="20"/>
  <c r="AD4" i="20"/>
  <c r="AC4" i="20"/>
  <c r="AB4" i="20"/>
  <c r="AA4" i="20"/>
  <c r="Z4" i="20"/>
  <c r="X4" i="20"/>
  <c r="W4" i="20"/>
  <c r="V4" i="20"/>
  <c r="U4" i="20"/>
  <c r="T4" i="20"/>
  <c r="S4" i="20"/>
  <c r="R4" i="20"/>
  <c r="Q4" i="20"/>
  <c r="P4" i="20"/>
  <c r="O4" i="20"/>
  <c r="N4" i="20"/>
  <c r="M4" i="20"/>
  <c r="L4" i="20"/>
  <c r="A4" i="20"/>
  <c r="AG3" i="20"/>
  <c r="AF3" i="20"/>
  <c r="AE3" i="20"/>
  <c r="AD3" i="20"/>
  <c r="AC3" i="20"/>
  <c r="AB3" i="20"/>
  <c r="AA3" i="20"/>
  <c r="Z3" i="20"/>
  <c r="X3" i="20"/>
  <c r="W3" i="20"/>
  <c r="V3" i="20"/>
  <c r="U3" i="20"/>
  <c r="T3" i="20"/>
  <c r="S3" i="20"/>
  <c r="R3" i="20"/>
  <c r="Q3" i="20"/>
  <c r="P3" i="20"/>
  <c r="O3" i="20"/>
  <c r="N3" i="20"/>
  <c r="M3" i="20"/>
  <c r="L3" i="20"/>
  <c r="A3" i="20"/>
  <c r="L148" i="12"/>
  <c r="J148" i="12"/>
  <c r="H148" i="12"/>
  <c r="G148" i="12"/>
  <c r="F148" i="12"/>
  <c r="E148" i="12"/>
  <c r="D148" i="12"/>
  <c r="C148" i="12"/>
  <c r="B148" i="12"/>
  <c r="A148" i="12"/>
  <c r="L147" i="12"/>
  <c r="J147" i="12"/>
  <c r="H147" i="12"/>
  <c r="G147" i="12"/>
  <c r="F147" i="12"/>
  <c r="E147" i="12"/>
  <c r="D147" i="12"/>
  <c r="C147" i="12"/>
  <c r="B147" i="12"/>
  <c r="A147" i="12"/>
  <c r="L146" i="12"/>
  <c r="J146" i="12"/>
  <c r="H146" i="12"/>
  <c r="G146" i="12"/>
  <c r="F146" i="12"/>
  <c r="E146" i="12"/>
  <c r="D146" i="12"/>
  <c r="C146" i="12"/>
  <c r="B146" i="12"/>
  <c r="A146" i="12"/>
  <c r="L145" i="12"/>
  <c r="J145" i="12"/>
  <c r="H145" i="12"/>
  <c r="G145" i="12"/>
  <c r="F145" i="12"/>
  <c r="E145" i="12"/>
  <c r="D145" i="12"/>
  <c r="C145" i="12"/>
  <c r="B145" i="12"/>
  <c r="A145" i="12"/>
  <c r="L144" i="12"/>
  <c r="J144" i="12"/>
  <c r="H144" i="12"/>
  <c r="G144" i="12"/>
  <c r="F144" i="12"/>
  <c r="E144" i="12"/>
  <c r="D144" i="12"/>
  <c r="C144" i="12"/>
  <c r="B144" i="12"/>
  <c r="A144" i="12"/>
  <c r="L143" i="12"/>
  <c r="J143" i="12"/>
  <c r="H143" i="12"/>
  <c r="G143" i="12"/>
  <c r="F143" i="12"/>
  <c r="E143" i="12"/>
  <c r="D143" i="12"/>
  <c r="C143" i="12"/>
  <c r="B143" i="12"/>
  <c r="A143" i="12"/>
  <c r="L142" i="12"/>
  <c r="J142" i="12"/>
  <c r="H142" i="12"/>
  <c r="G142" i="12"/>
  <c r="F142" i="12"/>
  <c r="E142" i="12"/>
  <c r="D142" i="12"/>
  <c r="C142" i="12"/>
  <c r="B142" i="12"/>
  <c r="A142" i="12"/>
  <c r="L141" i="12"/>
  <c r="J141" i="12"/>
  <c r="H141" i="12"/>
  <c r="G141" i="12"/>
  <c r="F141" i="12"/>
  <c r="E141" i="12"/>
  <c r="D141" i="12"/>
  <c r="C141" i="12"/>
  <c r="B141" i="12"/>
  <c r="A141" i="12"/>
  <c r="L140" i="12"/>
  <c r="J140" i="12"/>
  <c r="H140" i="12"/>
  <c r="G140" i="12"/>
  <c r="F140" i="12"/>
  <c r="E140" i="12"/>
  <c r="D140" i="12"/>
  <c r="C140" i="12"/>
  <c r="B140" i="12"/>
  <c r="A140" i="12"/>
  <c r="L139" i="12"/>
  <c r="J139" i="12"/>
  <c r="H139" i="12"/>
  <c r="G139" i="12"/>
  <c r="F139" i="12"/>
  <c r="E139" i="12"/>
  <c r="D139" i="12"/>
  <c r="C139" i="12"/>
  <c r="B139" i="12"/>
  <c r="A139" i="12"/>
  <c r="L138" i="12"/>
  <c r="J138" i="12"/>
  <c r="H138" i="12"/>
  <c r="G138" i="12"/>
  <c r="F138" i="12"/>
  <c r="E138" i="12"/>
  <c r="D138" i="12"/>
  <c r="C138" i="12"/>
  <c r="B138" i="12"/>
  <c r="A138" i="12"/>
  <c r="L137" i="12"/>
  <c r="J137" i="12"/>
  <c r="H137" i="12"/>
  <c r="G137" i="12"/>
  <c r="F137" i="12"/>
  <c r="E137" i="12"/>
  <c r="D137" i="12"/>
  <c r="C137" i="12"/>
  <c r="B137" i="12"/>
  <c r="A137" i="12"/>
  <c r="L136" i="12"/>
  <c r="J136" i="12"/>
  <c r="H136" i="12"/>
  <c r="G136" i="12"/>
  <c r="F136" i="12"/>
  <c r="E136" i="12"/>
  <c r="D136" i="12"/>
  <c r="C136" i="12"/>
  <c r="B136" i="12"/>
  <c r="A136" i="12"/>
  <c r="L135" i="12"/>
  <c r="J135" i="12"/>
  <c r="H135" i="12"/>
  <c r="G135" i="12"/>
  <c r="F135" i="12"/>
  <c r="E135" i="12"/>
  <c r="D135" i="12"/>
  <c r="C135" i="12"/>
  <c r="B135" i="12"/>
  <c r="A135" i="12"/>
  <c r="L134" i="12"/>
  <c r="J134" i="12"/>
  <c r="H134" i="12"/>
  <c r="G134" i="12"/>
  <c r="F134" i="12"/>
  <c r="E134" i="12"/>
  <c r="D134" i="12"/>
  <c r="C134" i="12"/>
  <c r="B134" i="12"/>
  <c r="A134" i="12"/>
  <c r="L133" i="12"/>
  <c r="J133" i="12"/>
  <c r="H133" i="12"/>
  <c r="G133" i="12"/>
  <c r="F133" i="12"/>
  <c r="E133" i="12"/>
  <c r="D133" i="12"/>
  <c r="C133" i="12"/>
  <c r="B133" i="12"/>
  <c r="A133" i="12"/>
  <c r="L132" i="12"/>
  <c r="J132" i="12"/>
  <c r="H132" i="12"/>
  <c r="G132" i="12"/>
  <c r="F132" i="12"/>
  <c r="E132" i="12"/>
  <c r="D132" i="12"/>
  <c r="C132" i="12"/>
  <c r="B132" i="12"/>
  <c r="A132" i="12"/>
  <c r="L131" i="12"/>
  <c r="J131" i="12"/>
  <c r="H131" i="12"/>
  <c r="G131" i="12"/>
  <c r="F131" i="12"/>
  <c r="E131" i="12"/>
  <c r="D131" i="12"/>
  <c r="C131" i="12"/>
  <c r="B131" i="12"/>
  <c r="A131" i="12"/>
  <c r="L130" i="12"/>
  <c r="J130" i="12"/>
  <c r="H130" i="12"/>
  <c r="G130" i="12"/>
  <c r="F130" i="12"/>
  <c r="E130" i="12"/>
  <c r="D130" i="12"/>
  <c r="C130" i="12"/>
  <c r="B130" i="12"/>
  <c r="A130" i="12"/>
  <c r="L129" i="12"/>
  <c r="J129" i="12"/>
  <c r="H129" i="12"/>
  <c r="G129" i="12"/>
  <c r="F129" i="12"/>
  <c r="E129" i="12"/>
  <c r="D129" i="12"/>
  <c r="C129" i="12"/>
  <c r="B129" i="12"/>
  <c r="A129" i="12"/>
  <c r="L128" i="12"/>
  <c r="J128" i="12"/>
  <c r="H128" i="12"/>
  <c r="G128" i="12"/>
  <c r="F128" i="12"/>
  <c r="E128" i="12"/>
  <c r="D128" i="12"/>
  <c r="C128" i="12"/>
  <c r="B128" i="12"/>
  <c r="A128" i="12"/>
  <c r="L127" i="12"/>
  <c r="J127" i="12"/>
  <c r="H127" i="12"/>
  <c r="G127" i="12"/>
  <c r="F127" i="12"/>
  <c r="E127" i="12"/>
  <c r="D127" i="12"/>
  <c r="C127" i="12"/>
  <c r="B127" i="12"/>
  <c r="A127" i="12"/>
  <c r="L126" i="12"/>
  <c r="J126" i="12"/>
  <c r="H126" i="12"/>
  <c r="G126" i="12"/>
  <c r="F126" i="12"/>
  <c r="E126" i="12"/>
  <c r="D126" i="12"/>
  <c r="C126" i="12"/>
  <c r="B126" i="12"/>
  <c r="A126" i="12"/>
  <c r="L125" i="12"/>
  <c r="J125" i="12"/>
  <c r="H125" i="12"/>
  <c r="G125" i="12"/>
  <c r="F125" i="12"/>
  <c r="E125" i="12"/>
  <c r="D125" i="12"/>
  <c r="C125" i="12"/>
  <c r="B125" i="12"/>
  <c r="A125" i="12"/>
  <c r="L124" i="12"/>
  <c r="J124" i="12"/>
  <c r="H124" i="12"/>
  <c r="G124" i="12"/>
  <c r="F124" i="12"/>
  <c r="E124" i="12"/>
  <c r="D124" i="12"/>
  <c r="C124" i="12"/>
  <c r="B124" i="12"/>
  <c r="A124" i="12"/>
  <c r="L123" i="12"/>
  <c r="K123" i="12"/>
  <c r="J123" i="12"/>
  <c r="I123" i="12"/>
  <c r="H123" i="12"/>
  <c r="G123" i="12"/>
  <c r="F123" i="12"/>
  <c r="E123" i="12"/>
  <c r="D123" i="12"/>
  <c r="C123" i="12"/>
  <c r="B123" i="12"/>
  <c r="A123" i="12"/>
  <c r="L122" i="12"/>
  <c r="K122" i="12"/>
  <c r="J122" i="12"/>
  <c r="I122" i="12"/>
  <c r="H122" i="12"/>
  <c r="G122" i="12"/>
  <c r="F122" i="12"/>
  <c r="E122" i="12"/>
  <c r="D122" i="12"/>
  <c r="C122" i="12"/>
  <c r="B122" i="12"/>
  <c r="A122" i="12"/>
  <c r="L121" i="12"/>
  <c r="K121" i="12"/>
  <c r="J121" i="12"/>
  <c r="I121" i="12"/>
  <c r="H121" i="12"/>
  <c r="G121" i="12"/>
  <c r="F121" i="12"/>
  <c r="E121" i="12"/>
  <c r="D121" i="12"/>
  <c r="C121" i="12"/>
  <c r="B121" i="12"/>
  <c r="A121" i="12"/>
  <c r="L120" i="12"/>
  <c r="K120" i="12"/>
  <c r="J120" i="12"/>
  <c r="I120" i="12"/>
  <c r="H120" i="12"/>
  <c r="G120" i="12"/>
  <c r="F120" i="12"/>
  <c r="E120" i="12"/>
  <c r="D120" i="12"/>
  <c r="C120" i="12"/>
  <c r="B120" i="12"/>
  <c r="A120" i="12"/>
  <c r="L119" i="12"/>
  <c r="K119" i="12"/>
  <c r="J119" i="12"/>
  <c r="I119" i="12"/>
  <c r="H119" i="12"/>
  <c r="G119" i="12"/>
  <c r="F119" i="12"/>
  <c r="E119" i="12"/>
  <c r="D119" i="12"/>
  <c r="C119" i="12"/>
  <c r="B119" i="12"/>
  <c r="A119" i="12"/>
  <c r="L118" i="12"/>
  <c r="K118" i="12"/>
  <c r="J118" i="12"/>
  <c r="I118" i="12"/>
  <c r="H118" i="12"/>
  <c r="G118" i="12"/>
  <c r="F118" i="12"/>
  <c r="E118" i="12"/>
  <c r="D118" i="12"/>
  <c r="C118" i="12"/>
  <c r="B118" i="12"/>
  <c r="A118" i="12"/>
  <c r="L117" i="12"/>
  <c r="K117" i="12"/>
  <c r="J117" i="12"/>
  <c r="I117" i="12"/>
  <c r="H117" i="12"/>
  <c r="G117" i="12"/>
  <c r="F117" i="12"/>
  <c r="E117" i="12"/>
  <c r="D117" i="12"/>
  <c r="C117" i="12"/>
  <c r="B117" i="12"/>
  <c r="A117" i="12"/>
  <c r="L116" i="12"/>
  <c r="K116" i="12"/>
  <c r="J116" i="12"/>
  <c r="I116" i="12"/>
  <c r="H116" i="12"/>
  <c r="G116" i="12"/>
  <c r="F116" i="12"/>
  <c r="E116" i="12"/>
  <c r="D116" i="12"/>
  <c r="C116" i="12"/>
  <c r="B116" i="12"/>
  <c r="A116" i="12"/>
  <c r="L115" i="12"/>
  <c r="K115" i="12"/>
  <c r="J115" i="12"/>
  <c r="I115" i="12"/>
  <c r="H115" i="12"/>
  <c r="G115" i="12"/>
  <c r="F115" i="12"/>
  <c r="E115" i="12"/>
  <c r="D115" i="12"/>
  <c r="C115" i="12"/>
  <c r="B115" i="12"/>
  <c r="A115" i="12"/>
  <c r="L114" i="12"/>
  <c r="K114" i="12"/>
  <c r="J114" i="12"/>
  <c r="I114" i="12"/>
  <c r="H114" i="12"/>
  <c r="G114" i="12"/>
  <c r="F114" i="12"/>
  <c r="E114" i="12"/>
  <c r="D114" i="12"/>
  <c r="C114" i="12"/>
  <c r="B114" i="12"/>
  <c r="A114" i="12"/>
  <c r="L113" i="12"/>
  <c r="K113" i="12"/>
  <c r="J113" i="12"/>
  <c r="I113" i="12"/>
  <c r="H113" i="12"/>
  <c r="G113" i="12"/>
  <c r="F113" i="12"/>
  <c r="E113" i="12"/>
  <c r="D113" i="12"/>
  <c r="C113" i="12"/>
  <c r="B113" i="12"/>
  <c r="A113" i="12"/>
  <c r="L112" i="12"/>
  <c r="K112" i="12"/>
  <c r="J112" i="12"/>
  <c r="I112" i="12"/>
  <c r="H112" i="12"/>
  <c r="G112" i="12"/>
  <c r="F112" i="12"/>
  <c r="E112" i="12"/>
  <c r="D112" i="12"/>
  <c r="C112" i="12"/>
  <c r="B112" i="12"/>
  <c r="A112" i="12"/>
  <c r="L111" i="12"/>
  <c r="K111" i="12"/>
  <c r="J111" i="12"/>
  <c r="I111" i="12"/>
  <c r="H111" i="12"/>
  <c r="G111" i="12"/>
  <c r="F111" i="12"/>
  <c r="E111" i="12"/>
  <c r="D111" i="12"/>
  <c r="C111" i="12"/>
  <c r="B111" i="12"/>
  <c r="A111" i="12"/>
  <c r="L110" i="12"/>
  <c r="K110" i="12"/>
  <c r="J110" i="12"/>
  <c r="I110" i="12"/>
  <c r="H110" i="12"/>
  <c r="G110" i="12"/>
  <c r="F110" i="12"/>
  <c r="E110" i="12"/>
  <c r="D110" i="12"/>
  <c r="C110" i="12"/>
  <c r="B110" i="12"/>
  <c r="A110" i="12"/>
  <c r="L109" i="12"/>
  <c r="K109" i="12"/>
  <c r="J109" i="12"/>
  <c r="I109" i="12"/>
  <c r="H109" i="12"/>
  <c r="G109" i="12"/>
  <c r="F109" i="12"/>
  <c r="E109" i="12"/>
  <c r="D109" i="12"/>
  <c r="C109" i="12"/>
  <c r="B109" i="12"/>
  <c r="A109" i="12"/>
  <c r="L108" i="12"/>
  <c r="K108" i="12"/>
  <c r="J108" i="12"/>
  <c r="I108" i="12"/>
  <c r="H108" i="12"/>
  <c r="G108" i="12"/>
  <c r="F108" i="12"/>
  <c r="E108" i="12"/>
  <c r="D108" i="12"/>
  <c r="C108" i="12"/>
  <c r="B108" i="12"/>
  <c r="A108" i="12"/>
  <c r="L107" i="12"/>
  <c r="K107" i="12"/>
  <c r="J107" i="12"/>
  <c r="I107" i="12"/>
  <c r="H107" i="12"/>
  <c r="G107" i="12"/>
  <c r="F107" i="12"/>
  <c r="E107" i="12"/>
  <c r="D107" i="12"/>
  <c r="C107" i="12"/>
  <c r="B107" i="12"/>
  <c r="A107" i="12"/>
  <c r="L106" i="12"/>
  <c r="K106" i="12"/>
  <c r="J106" i="12"/>
  <c r="I106" i="12"/>
  <c r="H106" i="12"/>
  <c r="G106" i="12"/>
  <c r="F106" i="12"/>
  <c r="E106" i="12"/>
  <c r="D106" i="12"/>
  <c r="C106" i="12"/>
  <c r="B106" i="12"/>
  <c r="A106" i="12"/>
  <c r="L105" i="12"/>
  <c r="K105" i="12"/>
  <c r="J105" i="12"/>
  <c r="I105" i="12"/>
  <c r="H105" i="12"/>
  <c r="G105" i="12"/>
  <c r="F105" i="12"/>
  <c r="E105" i="12"/>
  <c r="D105" i="12"/>
  <c r="C105" i="12"/>
  <c r="B105" i="12"/>
  <c r="A105" i="12"/>
  <c r="L104" i="12"/>
  <c r="K104" i="12"/>
  <c r="J104" i="12"/>
  <c r="I104" i="12"/>
  <c r="H104" i="12"/>
  <c r="G104" i="12"/>
  <c r="F104" i="12"/>
  <c r="E104" i="12"/>
  <c r="D104" i="12"/>
  <c r="C104" i="12"/>
  <c r="B104" i="12"/>
  <c r="A104" i="12"/>
  <c r="L103" i="12"/>
  <c r="K103" i="12"/>
  <c r="J103" i="12"/>
  <c r="I103" i="12"/>
  <c r="H103" i="12"/>
  <c r="G103" i="12"/>
  <c r="F103" i="12"/>
  <c r="E103" i="12"/>
  <c r="D103" i="12"/>
  <c r="C103" i="12"/>
  <c r="B103" i="12"/>
  <c r="A103" i="12"/>
  <c r="L102" i="12"/>
  <c r="K102" i="12"/>
  <c r="J102" i="12"/>
  <c r="I102" i="12"/>
  <c r="H102" i="12"/>
  <c r="G102" i="12"/>
  <c r="F102" i="12"/>
  <c r="E102" i="12"/>
  <c r="D102" i="12"/>
  <c r="C102" i="12"/>
  <c r="B102" i="12"/>
  <c r="A102" i="12"/>
  <c r="L101" i="12"/>
  <c r="K101" i="12"/>
  <c r="J101" i="12"/>
  <c r="I101" i="12"/>
  <c r="H101" i="12"/>
  <c r="G101" i="12"/>
  <c r="F101" i="12"/>
  <c r="E101" i="12"/>
  <c r="D101" i="12"/>
  <c r="C101" i="12"/>
  <c r="B101" i="12"/>
  <c r="A101" i="12"/>
  <c r="L100" i="12"/>
  <c r="K100" i="12"/>
  <c r="J100" i="12"/>
  <c r="I100" i="12"/>
  <c r="H100" i="12"/>
  <c r="G100" i="12"/>
  <c r="F100" i="12"/>
  <c r="E100" i="12"/>
  <c r="D100" i="12"/>
  <c r="C100" i="12"/>
  <c r="B100" i="12"/>
  <c r="A100" i="12"/>
  <c r="L99" i="12"/>
  <c r="K99" i="12"/>
  <c r="J99" i="12"/>
  <c r="I99" i="12"/>
  <c r="H99" i="12"/>
  <c r="G99" i="12"/>
  <c r="F99" i="12"/>
  <c r="E99" i="12"/>
  <c r="D99" i="12"/>
  <c r="C99" i="12"/>
  <c r="B99" i="12"/>
  <c r="A99" i="12"/>
  <c r="L98" i="12"/>
  <c r="K98" i="12"/>
  <c r="J98" i="12"/>
  <c r="I98" i="12"/>
  <c r="H98" i="12"/>
  <c r="G98" i="12"/>
  <c r="F98" i="12"/>
  <c r="E98" i="12"/>
  <c r="D98" i="12"/>
  <c r="C98" i="12"/>
  <c r="B98" i="12"/>
  <c r="A98" i="12"/>
  <c r="L97" i="12"/>
  <c r="K97" i="12"/>
  <c r="J97" i="12"/>
  <c r="I97" i="12"/>
  <c r="H97" i="12"/>
  <c r="G97" i="12"/>
  <c r="F97" i="12"/>
  <c r="E97" i="12"/>
  <c r="D97" i="12"/>
  <c r="C97" i="12"/>
  <c r="B97" i="12"/>
  <c r="A97" i="12"/>
  <c r="L96" i="12"/>
  <c r="K96" i="12"/>
  <c r="J96" i="12"/>
  <c r="I96" i="12"/>
  <c r="H96" i="12"/>
  <c r="G96" i="12"/>
  <c r="F96" i="12"/>
  <c r="E96" i="12"/>
  <c r="D96" i="12"/>
  <c r="C96" i="12"/>
  <c r="B96" i="12"/>
  <c r="A96" i="12"/>
  <c r="L95" i="12"/>
  <c r="K95" i="12"/>
  <c r="J95" i="12"/>
  <c r="I95" i="12"/>
  <c r="H95" i="12"/>
  <c r="G95" i="12"/>
  <c r="F95" i="12"/>
  <c r="E95" i="12"/>
  <c r="D95" i="12"/>
  <c r="C95" i="12"/>
  <c r="B95" i="12"/>
  <c r="A95" i="12"/>
  <c r="L94" i="12"/>
  <c r="K94" i="12"/>
  <c r="J94" i="12"/>
  <c r="I94" i="12"/>
  <c r="H94" i="12"/>
  <c r="G94" i="12"/>
  <c r="F94" i="12"/>
  <c r="E94" i="12"/>
  <c r="D94" i="12"/>
  <c r="C94" i="12"/>
  <c r="B94" i="12"/>
  <c r="A94" i="12"/>
  <c r="L93" i="12"/>
  <c r="K93" i="12"/>
  <c r="J93" i="12"/>
  <c r="I93" i="12"/>
  <c r="H93" i="12"/>
  <c r="G93" i="12"/>
  <c r="F93" i="12"/>
  <c r="E93" i="12"/>
  <c r="D93" i="12"/>
  <c r="C93" i="12"/>
  <c r="B93" i="12"/>
  <c r="A93" i="12"/>
  <c r="L92" i="12"/>
  <c r="K92" i="12"/>
  <c r="J92" i="12"/>
  <c r="I92" i="12"/>
  <c r="H92" i="12"/>
  <c r="G92" i="12"/>
  <c r="F92" i="12"/>
  <c r="E92" i="12"/>
  <c r="D92" i="12"/>
  <c r="C92" i="12"/>
  <c r="B92" i="12"/>
  <c r="A92" i="12"/>
  <c r="L91" i="12"/>
  <c r="K91" i="12"/>
  <c r="J91" i="12"/>
  <c r="I91" i="12"/>
  <c r="H91" i="12"/>
  <c r="G91" i="12"/>
  <c r="F91" i="12"/>
  <c r="E91" i="12"/>
  <c r="D91" i="12"/>
  <c r="C91" i="12"/>
  <c r="B91" i="12"/>
  <c r="A91" i="12"/>
  <c r="L90" i="12"/>
  <c r="K90" i="12"/>
  <c r="J90" i="12"/>
  <c r="I90" i="12"/>
  <c r="H90" i="12"/>
  <c r="G90" i="12"/>
  <c r="F90" i="12"/>
  <c r="E90" i="12"/>
  <c r="D90" i="12"/>
  <c r="C90" i="12"/>
  <c r="B90" i="12"/>
  <c r="A90" i="12"/>
  <c r="L89" i="12"/>
  <c r="K89" i="12"/>
  <c r="J89" i="12"/>
  <c r="I89" i="12"/>
  <c r="H89" i="12"/>
  <c r="G89" i="12"/>
  <c r="F89" i="12"/>
  <c r="E89" i="12"/>
  <c r="D89" i="12"/>
  <c r="C89" i="12"/>
  <c r="B89" i="12"/>
  <c r="A89" i="12"/>
  <c r="L88" i="12"/>
  <c r="K88" i="12"/>
  <c r="J88" i="12"/>
  <c r="I88" i="12"/>
  <c r="H88" i="12"/>
  <c r="G88" i="12"/>
  <c r="F88" i="12"/>
  <c r="E88" i="12"/>
  <c r="D88" i="12"/>
  <c r="C88" i="12"/>
  <c r="B88" i="12"/>
  <c r="A88" i="12"/>
  <c r="L87" i="12"/>
  <c r="K87" i="12"/>
  <c r="J87" i="12"/>
  <c r="I87" i="12"/>
  <c r="H87" i="12"/>
  <c r="G87" i="12"/>
  <c r="F87" i="12"/>
  <c r="E87" i="12"/>
  <c r="D87" i="12"/>
  <c r="C87" i="12"/>
  <c r="B87" i="12"/>
  <c r="A87" i="12"/>
  <c r="L86" i="12"/>
  <c r="K86" i="12"/>
  <c r="J86" i="12"/>
  <c r="I86" i="12"/>
  <c r="H86" i="12"/>
  <c r="G86" i="12"/>
  <c r="F86" i="12"/>
  <c r="E86" i="12"/>
  <c r="D86" i="12"/>
  <c r="C86" i="12"/>
  <c r="B86" i="12"/>
  <c r="A86" i="12"/>
  <c r="L85" i="12"/>
  <c r="K85" i="12"/>
  <c r="J85" i="12"/>
  <c r="I85" i="12"/>
  <c r="H85" i="12"/>
  <c r="G85" i="12"/>
  <c r="F85" i="12"/>
  <c r="E85" i="12"/>
  <c r="D85" i="12"/>
  <c r="C85" i="12"/>
  <c r="B85" i="12"/>
  <c r="A85" i="12"/>
  <c r="L84" i="12"/>
  <c r="K84" i="12"/>
  <c r="J84" i="12"/>
  <c r="I84" i="12"/>
  <c r="H84" i="12"/>
  <c r="G84" i="12"/>
  <c r="F84" i="12"/>
  <c r="E84" i="12"/>
  <c r="D84" i="12"/>
  <c r="C84" i="12"/>
  <c r="B84" i="12"/>
  <c r="A84" i="12"/>
  <c r="L83" i="12"/>
  <c r="K83" i="12"/>
  <c r="J83" i="12"/>
  <c r="I83" i="12"/>
  <c r="H83" i="12"/>
  <c r="G83" i="12"/>
  <c r="F83" i="12"/>
  <c r="E83" i="12"/>
  <c r="D83" i="12"/>
  <c r="C83" i="12"/>
  <c r="B83" i="12"/>
  <c r="A83" i="12"/>
  <c r="L82" i="12"/>
  <c r="K82" i="12"/>
  <c r="J82" i="12"/>
  <c r="I82" i="12"/>
  <c r="H82" i="12"/>
  <c r="G82" i="12"/>
  <c r="F82" i="12"/>
  <c r="E82" i="12"/>
  <c r="D82" i="12"/>
  <c r="C82" i="12"/>
  <c r="B82" i="12"/>
  <c r="A82" i="12"/>
  <c r="L81" i="12"/>
  <c r="K81" i="12"/>
  <c r="J81" i="12"/>
  <c r="I81" i="12"/>
  <c r="H81" i="12"/>
  <c r="G81" i="12"/>
  <c r="F81" i="12"/>
  <c r="E81" i="12"/>
  <c r="D81" i="12"/>
  <c r="C81" i="12"/>
  <c r="B81" i="12"/>
  <c r="A81" i="12"/>
  <c r="L80" i="12"/>
  <c r="K80" i="12"/>
  <c r="J80" i="12"/>
  <c r="I80" i="12"/>
  <c r="H80" i="12"/>
  <c r="G80" i="12"/>
  <c r="F80" i="12"/>
  <c r="E80" i="12"/>
  <c r="D80" i="12"/>
  <c r="C80" i="12"/>
  <c r="B80" i="12"/>
  <c r="A80" i="12"/>
  <c r="L79" i="12"/>
  <c r="K79" i="12"/>
  <c r="J79" i="12"/>
  <c r="I79" i="12"/>
  <c r="H79" i="12"/>
  <c r="G79" i="12"/>
  <c r="F79" i="12"/>
  <c r="E79" i="12"/>
  <c r="D79" i="12"/>
  <c r="C79" i="12"/>
  <c r="B79" i="12"/>
  <c r="A79" i="12"/>
  <c r="L78" i="12"/>
  <c r="K78" i="12"/>
  <c r="J78" i="12"/>
  <c r="I78" i="12"/>
  <c r="H78" i="12"/>
  <c r="G78" i="12"/>
  <c r="F78" i="12"/>
  <c r="E78" i="12"/>
  <c r="D78" i="12"/>
  <c r="C78" i="12"/>
  <c r="B78" i="12"/>
  <c r="A78" i="12"/>
  <c r="L77" i="12"/>
  <c r="K77" i="12"/>
  <c r="J77" i="12"/>
  <c r="I77" i="12"/>
  <c r="H77" i="12"/>
  <c r="G77" i="12"/>
  <c r="F77" i="12"/>
  <c r="E77" i="12"/>
  <c r="D77" i="12"/>
  <c r="C77" i="12"/>
  <c r="B77" i="12"/>
  <c r="A77" i="12"/>
  <c r="L76" i="12"/>
  <c r="K76" i="12"/>
  <c r="J76" i="12"/>
  <c r="I76" i="12"/>
  <c r="H76" i="12"/>
  <c r="G76" i="12"/>
  <c r="F76" i="12"/>
  <c r="E76" i="12"/>
  <c r="D76" i="12"/>
  <c r="C76" i="12"/>
  <c r="B76" i="12"/>
  <c r="A76" i="12"/>
  <c r="L75" i="12"/>
  <c r="K75" i="12"/>
  <c r="J75" i="12"/>
  <c r="I75" i="12"/>
  <c r="H75" i="12"/>
  <c r="G75" i="12"/>
  <c r="F75" i="12"/>
  <c r="E75" i="12"/>
  <c r="D75" i="12"/>
  <c r="C75" i="12"/>
  <c r="B75" i="12"/>
  <c r="A75" i="12"/>
  <c r="L74" i="12"/>
  <c r="K74" i="12"/>
  <c r="J74" i="12"/>
  <c r="I74" i="12"/>
  <c r="H74" i="12"/>
  <c r="G74" i="12"/>
  <c r="F74" i="12"/>
  <c r="E74" i="12"/>
  <c r="D74" i="12"/>
  <c r="C74" i="12"/>
  <c r="B74" i="12"/>
  <c r="A74" i="12"/>
  <c r="L73" i="12"/>
  <c r="K73" i="12"/>
  <c r="J73" i="12"/>
  <c r="I73" i="12"/>
  <c r="H73" i="12"/>
  <c r="G73" i="12"/>
  <c r="F73" i="12"/>
  <c r="E73" i="12"/>
  <c r="D73" i="12"/>
  <c r="C73" i="12"/>
  <c r="B73" i="12"/>
  <c r="A73" i="12"/>
  <c r="L72" i="12"/>
  <c r="K72" i="12"/>
  <c r="J72" i="12"/>
  <c r="I72" i="12"/>
  <c r="H72" i="12"/>
  <c r="G72" i="12"/>
  <c r="F72" i="12"/>
  <c r="E72" i="12"/>
  <c r="D72" i="12"/>
  <c r="C72" i="12"/>
  <c r="B72" i="12"/>
  <c r="A72" i="12"/>
  <c r="L71" i="12"/>
  <c r="K71" i="12"/>
  <c r="J71" i="12"/>
  <c r="I71" i="12"/>
  <c r="H71" i="12"/>
  <c r="G71" i="12"/>
  <c r="F71" i="12"/>
  <c r="E71" i="12"/>
  <c r="D71" i="12"/>
  <c r="C71" i="12"/>
  <c r="B71" i="12"/>
  <c r="A71" i="12"/>
  <c r="L70" i="12"/>
  <c r="K70" i="12"/>
  <c r="J70" i="12"/>
  <c r="I70" i="12"/>
  <c r="H70" i="12"/>
  <c r="G70" i="12"/>
  <c r="F70" i="12"/>
  <c r="E70" i="12"/>
  <c r="D70" i="12"/>
  <c r="C70" i="12"/>
  <c r="B70" i="12"/>
  <c r="A70" i="12"/>
  <c r="L69" i="12"/>
  <c r="K69" i="12"/>
  <c r="J69" i="12"/>
  <c r="I69" i="12"/>
  <c r="H69" i="12"/>
  <c r="G69" i="12"/>
  <c r="F69" i="12"/>
  <c r="E69" i="12"/>
  <c r="D69" i="12"/>
  <c r="C69" i="12"/>
  <c r="B69" i="12"/>
  <c r="A69" i="12"/>
  <c r="L68" i="12"/>
  <c r="K68" i="12"/>
  <c r="J68" i="12"/>
  <c r="I68" i="12"/>
  <c r="H68" i="12"/>
  <c r="G68" i="12"/>
  <c r="F68" i="12"/>
  <c r="E68" i="12"/>
  <c r="D68" i="12"/>
  <c r="C68" i="12"/>
  <c r="B68" i="12"/>
  <c r="A68" i="12"/>
  <c r="L67" i="12"/>
  <c r="K67" i="12"/>
  <c r="J67" i="12"/>
  <c r="I67" i="12"/>
  <c r="H67" i="12"/>
  <c r="G67" i="12"/>
  <c r="F67" i="12"/>
  <c r="E67" i="12"/>
  <c r="D67" i="12"/>
  <c r="C67" i="12"/>
  <c r="B67" i="12"/>
  <c r="A67" i="12"/>
  <c r="L66" i="12"/>
  <c r="K66" i="12"/>
  <c r="J66" i="12"/>
  <c r="I66" i="12"/>
  <c r="H66" i="12"/>
  <c r="G66" i="12"/>
  <c r="F66" i="12"/>
  <c r="E66" i="12"/>
  <c r="D66" i="12"/>
  <c r="C66" i="12"/>
  <c r="B66" i="12"/>
  <c r="A66" i="12"/>
  <c r="L65" i="12"/>
  <c r="K65" i="12"/>
  <c r="J65" i="12"/>
  <c r="I65" i="12"/>
  <c r="H65" i="12"/>
  <c r="G65" i="12"/>
  <c r="F65" i="12"/>
  <c r="E65" i="12"/>
  <c r="D65" i="12"/>
  <c r="C65" i="12"/>
  <c r="B65" i="12"/>
  <c r="A65" i="12"/>
  <c r="L64" i="12"/>
  <c r="K64" i="12"/>
  <c r="J64" i="12"/>
  <c r="I64" i="12"/>
  <c r="H64" i="12"/>
  <c r="G64" i="12"/>
  <c r="F64" i="12"/>
  <c r="E64" i="12"/>
  <c r="D64" i="12"/>
  <c r="C64" i="12"/>
  <c r="B64" i="12"/>
  <c r="A64" i="12"/>
  <c r="L63" i="12"/>
  <c r="K63" i="12"/>
  <c r="J63" i="12"/>
  <c r="I63" i="12"/>
  <c r="H63" i="12"/>
  <c r="G63" i="12"/>
  <c r="F63" i="12"/>
  <c r="E63" i="12"/>
  <c r="D63" i="12"/>
  <c r="C63" i="12"/>
  <c r="B63" i="12"/>
  <c r="A63" i="12"/>
  <c r="L62" i="12"/>
  <c r="K62" i="12"/>
  <c r="J62" i="12"/>
  <c r="I62" i="12"/>
  <c r="H62" i="12"/>
  <c r="G62" i="12"/>
  <c r="F62" i="12"/>
  <c r="E62" i="12"/>
  <c r="D62" i="12"/>
  <c r="C62" i="12"/>
  <c r="B62" i="12"/>
  <c r="A62" i="12"/>
  <c r="L61" i="12"/>
  <c r="K61" i="12"/>
  <c r="J61" i="12"/>
  <c r="I61" i="12"/>
  <c r="H61" i="12"/>
  <c r="G61" i="12"/>
  <c r="F61" i="12"/>
  <c r="E61" i="12"/>
  <c r="D61" i="12"/>
  <c r="C61" i="12"/>
  <c r="B61" i="12"/>
  <c r="A61" i="12"/>
  <c r="L60" i="12"/>
  <c r="K60" i="12"/>
  <c r="J60" i="12"/>
  <c r="I60" i="12"/>
  <c r="H60" i="12"/>
  <c r="G60" i="12"/>
  <c r="F60" i="12"/>
  <c r="E60" i="12"/>
  <c r="D60" i="12"/>
  <c r="C60" i="12"/>
  <c r="B60" i="12"/>
  <c r="A60" i="12"/>
  <c r="L59" i="12"/>
  <c r="K59" i="12"/>
  <c r="J59" i="12"/>
  <c r="I59" i="12"/>
  <c r="H59" i="12"/>
  <c r="G59" i="12"/>
  <c r="F59" i="12"/>
  <c r="E59" i="12"/>
  <c r="D59" i="12"/>
  <c r="C59" i="12"/>
  <c r="B59" i="12"/>
  <c r="A59" i="12"/>
  <c r="L58" i="12"/>
  <c r="K58" i="12"/>
  <c r="J58" i="12"/>
  <c r="I58" i="12"/>
  <c r="H58" i="12"/>
  <c r="G58" i="12"/>
  <c r="F58" i="12"/>
  <c r="E58" i="12"/>
  <c r="D58" i="12"/>
  <c r="C58" i="12"/>
  <c r="B58" i="12"/>
  <c r="A58" i="12"/>
  <c r="L57" i="12"/>
  <c r="K57" i="12"/>
  <c r="J57" i="12"/>
  <c r="I57" i="12"/>
  <c r="H57" i="12"/>
  <c r="G57" i="12"/>
  <c r="F57" i="12"/>
  <c r="E57" i="12"/>
  <c r="D57" i="12"/>
  <c r="C57" i="12"/>
  <c r="B57" i="12"/>
  <c r="A57" i="12"/>
  <c r="L56" i="12"/>
  <c r="K56" i="12"/>
  <c r="J56" i="12"/>
  <c r="I56" i="12"/>
  <c r="H56" i="12"/>
  <c r="G56" i="12"/>
  <c r="F56" i="12"/>
  <c r="E56" i="12"/>
  <c r="D56" i="12"/>
  <c r="C56" i="12"/>
  <c r="B56" i="12"/>
  <c r="A56" i="12"/>
  <c r="L55" i="12"/>
  <c r="K55" i="12"/>
  <c r="J55" i="12"/>
  <c r="I55" i="12"/>
  <c r="H55" i="12"/>
  <c r="G55" i="12"/>
  <c r="F55" i="12"/>
  <c r="E55" i="12"/>
  <c r="D55" i="12"/>
  <c r="C55" i="12"/>
  <c r="B55" i="12"/>
  <c r="A55" i="12"/>
  <c r="L54" i="12"/>
  <c r="K54" i="12"/>
  <c r="J54" i="12"/>
  <c r="I54" i="12"/>
  <c r="H54" i="12"/>
  <c r="G54" i="12"/>
  <c r="F54" i="12"/>
  <c r="E54" i="12"/>
  <c r="D54" i="12"/>
  <c r="C54" i="12"/>
  <c r="B54" i="12"/>
  <c r="A54" i="12"/>
  <c r="L53" i="12"/>
  <c r="K53" i="12"/>
  <c r="J53" i="12"/>
  <c r="I53" i="12"/>
  <c r="H53" i="12"/>
  <c r="G53" i="12"/>
  <c r="F53" i="12"/>
  <c r="E53" i="12"/>
  <c r="D53" i="12"/>
  <c r="C53" i="12"/>
  <c r="B53" i="12"/>
  <c r="A53" i="12"/>
  <c r="L52" i="12"/>
  <c r="K52" i="12"/>
  <c r="J52" i="12"/>
  <c r="I52" i="12"/>
  <c r="H52" i="12"/>
  <c r="G52" i="12"/>
  <c r="F52" i="12"/>
  <c r="E52" i="12"/>
  <c r="D52" i="12"/>
  <c r="C52" i="12"/>
  <c r="B52" i="12"/>
  <c r="A52" i="12"/>
  <c r="L51" i="12"/>
  <c r="K51" i="12"/>
  <c r="J51" i="12"/>
  <c r="I51" i="12"/>
  <c r="H51" i="12"/>
  <c r="G51" i="12"/>
  <c r="F51" i="12"/>
  <c r="E51" i="12"/>
  <c r="D51" i="12"/>
  <c r="C51" i="12"/>
  <c r="B51" i="12"/>
  <c r="A51" i="12"/>
  <c r="L50" i="12"/>
  <c r="K50" i="12"/>
  <c r="J50" i="12"/>
  <c r="I50" i="12"/>
  <c r="H50" i="12"/>
  <c r="G50" i="12"/>
  <c r="F50" i="12"/>
  <c r="E50" i="12"/>
  <c r="D50" i="12"/>
  <c r="C50" i="12"/>
  <c r="B50" i="12"/>
  <c r="A50" i="12"/>
  <c r="L49" i="12"/>
  <c r="K49" i="12"/>
  <c r="J49" i="12"/>
  <c r="I49" i="12"/>
  <c r="H49" i="12"/>
  <c r="G49" i="12"/>
  <c r="F49" i="12"/>
  <c r="E49" i="12"/>
  <c r="D49" i="12"/>
  <c r="C49" i="12"/>
  <c r="B49" i="12"/>
  <c r="A49" i="12"/>
  <c r="L48" i="12"/>
  <c r="K48" i="12"/>
  <c r="J48" i="12"/>
  <c r="I48" i="12"/>
  <c r="H48" i="12"/>
  <c r="G48" i="12"/>
  <c r="F48" i="12"/>
  <c r="E48" i="12"/>
  <c r="D48" i="12"/>
  <c r="C48" i="12"/>
  <c r="B48" i="12"/>
  <c r="A48" i="12"/>
  <c r="L47" i="12"/>
  <c r="K47" i="12"/>
  <c r="J47" i="12"/>
  <c r="I47" i="12"/>
  <c r="H47" i="12"/>
  <c r="G47" i="12"/>
  <c r="F47" i="12"/>
  <c r="E47" i="12"/>
  <c r="D47" i="12"/>
  <c r="C47" i="12"/>
  <c r="B47" i="12"/>
  <c r="A47" i="12"/>
  <c r="L46" i="12"/>
  <c r="K46" i="12"/>
  <c r="J46" i="12"/>
  <c r="I46" i="12"/>
  <c r="H46" i="12"/>
  <c r="G46" i="12"/>
  <c r="F46" i="12"/>
  <c r="E46" i="12"/>
  <c r="D46" i="12"/>
  <c r="C46" i="12"/>
  <c r="B46" i="12"/>
  <c r="A46" i="12"/>
  <c r="L45" i="12"/>
  <c r="K45" i="12"/>
  <c r="J45" i="12"/>
  <c r="I45" i="12"/>
  <c r="H45" i="12"/>
  <c r="G45" i="12"/>
  <c r="F45" i="12"/>
  <c r="E45" i="12"/>
  <c r="D45" i="12"/>
  <c r="C45" i="12"/>
  <c r="B45" i="12"/>
  <c r="A45" i="12"/>
  <c r="L44" i="12"/>
  <c r="K44" i="12"/>
  <c r="J44" i="12"/>
  <c r="I44" i="12"/>
  <c r="H44" i="12"/>
  <c r="G44" i="12"/>
  <c r="F44" i="12"/>
  <c r="E44" i="12"/>
  <c r="D44" i="12"/>
  <c r="C44" i="12"/>
  <c r="B44" i="12"/>
  <c r="A44" i="12"/>
  <c r="L43" i="12"/>
  <c r="K43" i="12"/>
  <c r="J43" i="12"/>
  <c r="I43" i="12"/>
  <c r="H43" i="12"/>
  <c r="G43" i="12"/>
  <c r="F43" i="12"/>
  <c r="E43" i="12"/>
  <c r="D43" i="12"/>
  <c r="C43" i="12"/>
  <c r="B43" i="12"/>
  <c r="A43" i="12"/>
  <c r="L42" i="12"/>
  <c r="K42" i="12"/>
  <c r="J42" i="12"/>
  <c r="I42" i="12"/>
  <c r="H42" i="12"/>
  <c r="G42" i="12"/>
  <c r="F42" i="12"/>
  <c r="E42" i="12"/>
  <c r="D42" i="12"/>
  <c r="C42" i="12"/>
  <c r="B42" i="12"/>
  <c r="A42" i="12"/>
  <c r="L41" i="12"/>
  <c r="K41" i="12"/>
  <c r="J41" i="12"/>
  <c r="I41" i="12"/>
  <c r="H41" i="12"/>
  <c r="G41" i="12"/>
  <c r="F41" i="12"/>
  <c r="E41" i="12"/>
  <c r="D41" i="12"/>
  <c r="C41" i="12"/>
  <c r="B41" i="12"/>
  <c r="A41" i="12"/>
  <c r="L40" i="12"/>
  <c r="K40" i="12"/>
  <c r="J40" i="12"/>
  <c r="I40" i="12"/>
  <c r="H40" i="12"/>
  <c r="G40" i="12"/>
  <c r="F40" i="12"/>
  <c r="E40" i="12"/>
  <c r="D40" i="12"/>
  <c r="C40" i="12"/>
  <c r="B40" i="12"/>
  <c r="A40" i="12"/>
  <c r="L39" i="12"/>
  <c r="K39" i="12"/>
  <c r="J39" i="12"/>
  <c r="I39" i="12"/>
  <c r="H39" i="12"/>
  <c r="G39" i="12"/>
  <c r="F39" i="12"/>
  <c r="E39" i="12"/>
  <c r="D39" i="12"/>
  <c r="C39" i="12"/>
  <c r="B39" i="12"/>
  <c r="A39" i="12"/>
  <c r="L38" i="12"/>
  <c r="K38" i="12"/>
  <c r="J38" i="12"/>
  <c r="I38" i="12"/>
  <c r="H38" i="12"/>
  <c r="G38" i="12"/>
  <c r="F38" i="12"/>
  <c r="E38" i="12"/>
  <c r="D38" i="12"/>
  <c r="C38" i="12"/>
  <c r="B38" i="12"/>
  <c r="A38" i="12"/>
  <c r="L37" i="12"/>
  <c r="K37" i="12"/>
  <c r="J37" i="12"/>
  <c r="I37" i="12"/>
  <c r="H37" i="12"/>
  <c r="G37" i="12"/>
  <c r="F37" i="12"/>
  <c r="E37" i="12"/>
  <c r="D37" i="12"/>
  <c r="C37" i="12"/>
  <c r="B37" i="12"/>
  <c r="A37" i="12"/>
  <c r="L36" i="12"/>
  <c r="K36" i="12"/>
  <c r="J36" i="12"/>
  <c r="I36" i="12"/>
  <c r="H36" i="12"/>
  <c r="G36" i="12"/>
  <c r="F36" i="12"/>
  <c r="E36" i="12"/>
  <c r="D36" i="12"/>
  <c r="C36" i="12"/>
  <c r="B36" i="12"/>
  <c r="A36" i="12"/>
  <c r="L35" i="12"/>
  <c r="K35" i="12"/>
  <c r="J35" i="12"/>
  <c r="I35" i="12"/>
  <c r="H35" i="12"/>
  <c r="G35" i="12"/>
  <c r="F35" i="12"/>
  <c r="E35" i="12"/>
  <c r="D35" i="12"/>
  <c r="C35" i="12"/>
  <c r="B35" i="12"/>
  <c r="A35" i="12"/>
  <c r="L34" i="12"/>
  <c r="K34" i="12"/>
  <c r="J34" i="12"/>
  <c r="I34" i="12"/>
  <c r="H34" i="12"/>
  <c r="G34" i="12"/>
  <c r="F34" i="12"/>
  <c r="E34" i="12"/>
  <c r="D34" i="12"/>
  <c r="C34" i="12"/>
  <c r="B34" i="12"/>
  <c r="A34" i="12"/>
  <c r="L33" i="12"/>
  <c r="K33" i="12"/>
  <c r="J33" i="12"/>
  <c r="I33" i="12"/>
  <c r="H33" i="12"/>
  <c r="G33" i="12"/>
  <c r="F33" i="12"/>
  <c r="E33" i="12"/>
  <c r="D33" i="12"/>
  <c r="C33" i="12"/>
  <c r="B33" i="12"/>
  <c r="A33" i="12"/>
  <c r="L32" i="12"/>
  <c r="K32" i="12"/>
  <c r="J32" i="12"/>
  <c r="I32" i="12"/>
  <c r="H32" i="12"/>
  <c r="G32" i="12"/>
  <c r="F32" i="12"/>
  <c r="E32" i="12"/>
  <c r="D32" i="12"/>
  <c r="C32" i="12"/>
  <c r="B32" i="12"/>
  <c r="A32" i="12"/>
  <c r="L31" i="12"/>
  <c r="K31" i="12"/>
  <c r="J31" i="12"/>
  <c r="I31" i="12"/>
  <c r="H31" i="12"/>
  <c r="G31" i="12"/>
  <c r="F31" i="12"/>
  <c r="E31" i="12"/>
  <c r="D31" i="12"/>
  <c r="C31" i="12"/>
  <c r="B31" i="12"/>
  <c r="A31" i="12"/>
  <c r="L30" i="12"/>
  <c r="K30" i="12"/>
  <c r="J30" i="12"/>
  <c r="I30" i="12"/>
  <c r="H30" i="12"/>
  <c r="G30" i="12"/>
  <c r="F30" i="12"/>
  <c r="E30" i="12"/>
  <c r="D30" i="12"/>
  <c r="C30" i="12"/>
  <c r="B30" i="12"/>
  <c r="A30" i="12"/>
  <c r="L29" i="12"/>
  <c r="K29" i="12"/>
  <c r="J29" i="12"/>
  <c r="I29" i="12"/>
  <c r="H29" i="12"/>
  <c r="G29" i="12"/>
  <c r="F29" i="12"/>
  <c r="E29" i="12"/>
  <c r="D29" i="12"/>
  <c r="C29" i="12"/>
  <c r="B29" i="12"/>
  <c r="A29" i="12"/>
  <c r="L28" i="12"/>
  <c r="K28" i="12"/>
  <c r="J28" i="12"/>
  <c r="I28" i="12"/>
  <c r="H28" i="12"/>
  <c r="G28" i="12"/>
  <c r="F28" i="12"/>
  <c r="E28" i="12"/>
  <c r="D28" i="12"/>
  <c r="C28" i="12"/>
  <c r="B28" i="12"/>
  <c r="A28" i="12"/>
  <c r="L27" i="12"/>
  <c r="K27" i="12"/>
  <c r="J27" i="12"/>
  <c r="I27" i="12"/>
  <c r="H27" i="12"/>
  <c r="G27" i="12"/>
  <c r="F27" i="12"/>
  <c r="E27" i="12"/>
  <c r="D27" i="12"/>
  <c r="C27" i="12"/>
  <c r="B27" i="12"/>
  <c r="A27" i="12"/>
  <c r="L26" i="12"/>
  <c r="K26" i="12"/>
  <c r="J26" i="12"/>
  <c r="I26" i="12"/>
  <c r="H26" i="12"/>
  <c r="G26" i="12"/>
  <c r="F26" i="12"/>
  <c r="E26" i="12"/>
  <c r="D26" i="12"/>
  <c r="C26" i="12"/>
  <c r="B26" i="12"/>
  <c r="A26" i="12"/>
  <c r="L25" i="12"/>
  <c r="K25" i="12"/>
  <c r="J25" i="12"/>
  <c r="I25" i="12"/>
  <c r="H25" i="12"/>
  <c r="G25" i="12"/>
  <c r="F25" i="12"/>
  <c r="E25" i="12"/>
  <c r="D25" i="12"/>
  <c r="C25" i="12"/>
  <c r="B25" i="12"/>
  <c r="A25" i="12"/>
  <c r="L24" i="12"/>
  <c r="K24" i="12"/>
  <c r="J24" i="12"/>
  <c r="I24" i="12"/>
  <c r="H24" i="12"/>
  <c r="G24" i="12"/>
  <c r="F24" i="12"/>
  <c r="E24" i="12"/>
  <c r="D24" i="12"/>
  <c r="C24" i="12"/>
  <c r="B24" i="12"/>
  <c r="A24" i="12"/>
  <c r="L23" i="12"/>
  <c r="K23" i="12"/>
  <c r="J23" i="12"/>
  <c r="I23" i="12"/>
  <c r="H23" i="12"/>
  <c r="G23" i="12"/>
  <c r="F23" i="12"/>
  <c r="E23" i="12"/>
  <c r="D23" i="12"/>
  <c r="C23" i="12"/>
  <c r="B23" i="12"/>
  <c r="A23" i="12"/>
  <c r="L22" i="12"/>
  <c r="K22" i="12"/>
  <c r="J22" i="12"/>
  <c r="I22" i="12"/>
  <c r="H22" i="12"/>
  <c r="G22" i="12"/>
  <c r="F22" i="12"/>
  <c r="E22" i="12"/>
  <c r="D22" i="12"/>
  <c r="C22" i="12"/>
  <c r="B22" i="12"/>
  <c r="A22" i="12"/>
  <c r="L21" i="12"/>
  <c r="K21" i="12"/>
  <c r="J21" i="12"/>
  <c r="I21" i="12"/>
  <c r="H21" i="12"/>
  <c r="G21" i="12"/>
  <c r="F21" i="12"/>
  <c r="E21" i="12"/>
  <c r="D21" i="12"/>
  <c r="C21" i="12"/>
  <c r="B21" i="12"/>
  <c r="A21" i="12"/>
  <c r="L20" i="12"/>
  <c r="K20" i="12"/>
  <c r="J20" i="12"/>
  <c r="I20" i="12"/>
  <c r="H20" i="12"/>
  <c r="G20" i="12"/>
  <c r="F20" i="12"/>
  <c r="E20" i="12"/>
  <c r="D20" i="12"/>
  <c r="C20" i="12"/>
  <c r="B20" i="12"/>
  <c r="A20" i="12"/>
  <c r="L19" i="12"/>
  <c r="K19" i="12"/>
  <c r="J19" i="12"/>
  <c r="I19" i="12"/>
  <c r="H19" i="12"/>
  <c r="G19" i="12"/>
  <c r="F19" i="12"/>
  <c r="E19" i="12"/>
  <c r="D19" i="12"/>
  <c r="C19" i="12"/>
  <c r="B19" i="12"/>
  <c r="A19" i="12"/>
  <c r="L18" i="12"/>
  <c r="K18" i="12"/>
  <c r="J18" i="12"/>
  <c r="I18" i="12"/>
  <c r="H18" i="12"/>
  <c r="G18" i="12"/>
  <c r="F18" i="12"/>
  <c r="E18" i="12"/>
  <c r="D18" i="12"/>
  <c r="C18" i="12"/>
  <c r="B18" i="12"/>
  <c r="A18" i="12"/>
  <c r="L17" i="12"/>
  <c r="K17" i="12"/>
  <c r="J17" i="12"/>
  <c r="I17" i="12"/>
  <c r="H17" i="12"/>
  <c r="G17" i="12"/>
  <c r="F17" i="12"/>
  <c r="E17" i="12"/>
  <c r="D17" i="12"/>
  <c r="C17" i="12"/>
  <c r="B17" i="12"/>
  <c r="A17" i="12"/>
  <c r="L16" i="12"/>
  <c r="K16" i="12"/>
  <c r="J16" i="12"/>
  <c r="I16" i="12"/>
  <c r="H16" i="12"/>
  <c r="G16" i="12"/>
  <c r="F16" i="12"/>
  <c r="E16" i="12"/>
  <c r="D16" i="12"/>
  <c r="C16" i="12"/>
  <c r="B16" i="12"/>
  <c r="A16" i="12"/>
  <c r="L15" i="12"/>
  <c r="K15" i="12"/>
  <c r="J15" i="12"/>
  <c r="I15" i="12"/>
  <c r="H15" i="12"/>
  <c r="G15" i="12"/>
  <c r="F15" i="12"/>
  <c r="E15" i="12"/>
  <c r="D15" i="12"/>
  <c r="C15" i="12"/>
  <c r="B15" i="12"/>
  <c r="A15" i="12"/>
  <c r="L14" i="12"/>
  <c r="K14" i="12"/>
  <c r="J14" i="12"/>
  <c r="I14" i="12"/>
  <c r="H14" i="12"/>
  <c r="G14" i="12"/>
  <c r="F14" i="12"/>
  <c r="E14" i="12"/>
  <c r="D14" i="12"/>
  <c r="C14" i="12"/>
  <c r="B14" i="12"/>
  <c r="A14" i="12"/>
  <c r="L13" i="12"/>
  <c r="K13" i="12"/>
  <c r="J13" i="12"/>
  <c r="I13" i="12"/>
  <c r="H13" i="12"/>
  <c r="G13" i="12"/>
  <c r="F13" i="12"/>
  <c r="E13" i="12"/>
  <c r="D13" i="12"/>
  <c r="C13" i="12"/>
  <c r="B13" i="12"/>
  <c r="A13" i="12"/>
  <c r="L12" i="12"/>
  <c r="K12" i="12"/>
  <c r="J12" i="12"/>
  <c r="I12" i="12"/>
  <c r="H12" i="12"/>
  <c r="G12" i="12"/>
  <c r="F12" i="12"/>
  <c r="E12" i="12"/>
  <c r="D12" i="12"/>
  <c r="C12" i="12"/>
  <c r="B12" i="12"/>
  <c r="A12" i="12"/>
  <c r="L11" i="12"/>
  <c r="K11" i="12"/>
  <c r="J11" i="12"/>
  <c r="I11" i="12"/>
  <c r="H11" i="12"/>
  <c r="G11" i="12"/>
  <c r="F11" i="12"/>
  <c r="E11" i="12"/>
  <c r="D11" i="12"/>
  <c r="C11" i="12"/>
  <c r="B11" i="12"/>
  <c r="A11" i="12"/>
  <c r="L10" i="12"/>
  <c r="K10" i="12"/>
  <c r="J10" i="12"/>
  <c r="I10" i="12"/>
  <c r="H10" i="12"/>
  <c r="G10" i="12"/>
  <c r="F10" i="12"/>
  <c r="E10" i="12"/>
  <c r="D10" i="12"/>
  <c r="C10" i="12"/>
  <c r="B10" i="12"/>
  <c r="A10" i="12"/>
  <c r="L9" i="12"/>
  <c r="K9" i="12"/>
  <c r="J9" i="12"/>
  <c r="I9" i="12"/>
  <c r="H9" i="12"/>
  <c r="G9" i="12"/>
  <c r="F9" i="12"/>
  <c r="E9" i="12"/>
  <c r="D9" i="12"/>
  <c r="C9" i="12"/>
  <c r="B9" i="12"/>
  <c r="A9" i="12"/>
  <c r="L8" i="12"/>
  <c r="K8" i="12"/>
  <c r="J8" i="12"/>
  <c r="I8" i="12"/>
  <c r="H8" i="12"/>
  <c r="G8" i="12"/>
  <c r="F8" i="12"/>
  <c r="E8" i="12"/>
  <c r="D8" i="12"/>
  <c r="C8" i="12"/>
  <c r="B8" i="12"/>
  <c r="A8" i="12"/>
  <c r="L7" i="12"/>
  <c r="K7" i="12"/>
  <c r="J7" i="12"/>
  <c r="I7" i="12"/>
  <c r="H7" i="12"/>
  <c r="G7" i="12"/>
  <c r="F7" i="12"/>
  <c r="E7" i="12"/>
  <c r="D7" i="12"/>
  <c r="C7" i="12"/>
  <c r="B7" i="12"/>
  <c r="A7" i="12"/>
  <c r="L6" i="12"/>
  <c r="K6" i="12"/>
  <c r="J6" i="12"/>
  <c r="I6" i="12"/>
  <c r="H6" i="12"/>
  <c r="G6" i="12"/>
  <c r="F6" i="12"/>
  <c r="E6" i="12"/>
  <c r="D6" i="12"/>
  <c r="C6" i="12"/>
  <c r="B6" i="12"/>
  <c r="A6" i="12"/>
  <c r="L5" i="12"/>
  <c r="K5" i="12"/>
  <c r="J5" i="12"/>
  <c r="I5" i="12"/>
  <c r="H5" i="12"/>
  <c r="G5" i="12"/>
  <c r="F5" i="12"/>
  <c r="E5" i="12"/>
  <c r="D5" i="12"/>
  <c r="C5" i="12"/>
  <c r="B5" i="12"/>
  <c r="A5" i="12"/>
  <c r="L4" i="12"/>
  <c r="K4" i="12"/>
  <c r="J4" i="12"/>
  <c r="I4" i="12"/>
  <c r="H4" i="12"/>
  <c r="G4" i="12"/>
  <c r="F4" i="12"/>
  <c r="E4" i="12"/>
  <c r="D4" i="12"/>
  <c r="C4" i="12"/>
  <c r="B4" i="12"/>
  <c r="A4" i="12"/>
  <c r="L3" i="12"/>
  <c r="K3" i="12"/>
  <c r="J3" i="12"/>
  <c r="I3" i="12"/>
  <c r="H3" i="12"/>
  <c r="G3" i="12"/>
  <c r="F3" i="12"/>
  <c r="E3" i="12"/>
  <c r="D3" i="12"/>
  <c r="C3" i="12"/>
  <c r="B3" i="12"/>
  <c r="A3" i="12"/>
  <c r="L2" i="12"/>
  <c r="K2" i="12"/>
  <c r="J2" i="12"/>
  <c r="I2" i="12"/>
  <c r="H2" i="12"/>
  <c r="G2" i="12"/>
  <c r="F2" i="12"/>
  <c r="E2" i="12"/>
  <c r="D2" i="12"/>
  <c r="C2" i="12"/>
  <c r="B2" i="12"/>
  <c r="A2" i="12"/>
  <c r="K46" i="11"/>
  <c r="J46" i="11"/>
  <c r="I46" i="11"/>
  <c r="H46" i="11"/>
  <c r="G46" i="11"/>
  <c r="F46" i="11"/>
  <c r="E46" i="11"/>
  <c r="D46" i="11"/>
  <c r="C46" i="11"/>
  <c r="B46" i="11"/>
  <c r="A46" i="11"/>
  <c r="K45" i="11"/>
  <c r="J45" i="11"/>
  <c r="I45" i="11"/>
  <c r="H45" i="11"/>
  <c r="G45" i="11"/>
  <c r="F45" i="11"/>
  <c r="E45" i="11"/>
  <c r="D45" i="11"/>
  <c r="C45" i="11"/>
  <c r="B45" i="11"/>
  <c r="A45" i="11"/>
  <c r="K44" i="11"/>
  <c r="J44" i="11"/>
  <c r="I44" i="11"/>
  <c r="H44" i="11"/>
  <c r="G44" i="11"/>
  <c r="F44" i="11"/>
  <c r="E44" i="11"/>
  <c r="D44" i="11"/>
  <c r="C44" i="11"/>
  <c r="B44" i="11"/>
  <c r="A44" i="11"/>
  <c r="K43" i="11"/>
  <c r="J43" i="11"/>
  <c r="I43" i="11"/>
  <c r="H43" i="11"/>
  <c r="G43" i="11"/>
  <c r="F43" i="11"/>
  <c r="E43" i="11"/>
  <c r="D43" i="11"/>
  <c r="C43" i="11"/>
  <c r="B43" i="11"/>
  <c r="A43" i="11"/>
  <c r="K42" i="11"/>
  <c r="J42" i="11"/>
  <c r="I42" i="11"/>
  <c r="H42" i="11"/>
  <c r="G42" i="11"/>
  <c r="F42" i="11"/>
  <c r="E42" i="11"/>
  <c r="D42" i="11"/>
  <c r="C42" i="11"/>
  <c r="B42" i="11"/>
  <c r="A42" i="11"/>
  <c r="K41" i="11"/>
  <c r="J41" i="11"/>
  <c r="I41" i="11"/>
  <c r="H41" i="11"/>
  <c r="G41" i="11"/>
  <c r="F41" i="11"/>
  <c r="E41" i="11"/>
  <c r="D41" i="11"/>
  <c r="C41" i="11"/>
  <c r="B41" i="11"/>
  <c r="A41" i="11"/>
  <c r="K40" i="11"/>
  <c r="J40" i="11"/>
  <c r="I40" i="11"/>
  <c r="H40" i="11"/>
  <c r="G40" i="11"/>
  <c r="F40" i="11"/>
  <c r="E40" i="11"/>
  <c r="D40" i="11"/>
  <c r="C40" i="11"/>
  <c r="B40" i="11"/>
  <c r="A40" i="11"/>
  <c r="K39" i="11"/>
  <c r="J39" i="11"/>
  <c r="I39" i="11"/>
  <c r="H39" i="11"/>
  <c r="G39" i="11"/>
  <c r="F39" i="11"/>
  <c r="E39" i="11"/>
  <c r="D39" i="11"/>
  <c r="C39" i="11"/>
  <c r="B39" i="11"/>
  <c r="A39" i="11"/>
  <c r="K38" i="11"/>
  <c r="J38" i="11"/>
  <c r="I38" i="11"/>
  <c r="H38" i="11"/>
  <c r="G38" i="11"/>
  <c r="F38" i="11"/>
  <c r="E38" i="11"/>
  <c r="D38" i="11"/>
  <c r="C38" i="11"/>
  <c r="B38" i="11"/>
  <c r="A38" i="11"/>
  <c r="K37" i="11"/>
  <c r="J37" i="11"/>
  <c r="I37" i="11"/>
  <c r="H37" i="11"/>
  <c r="G37" i="11"/>
  <c r="F37" i="11"/>
  <c r="E37" i="11"/>
  <c r="D37" i="11"/>
  <c r="C37" i="11"/>
  <c r="B37" i="11"/>
  <c r="A37" i="11"/>
  <c r="K36" i="11"/>
  <c r="J36" i="11"/>
  <c r="I36" i="11"/>
  <c r="H36" i="11"/>
  <c r="G36" i="11"/>
  <c r="F36" i="11"/>
  <c r="E36" i="11"/>
  <c r="D36" i="11"/>
  <c r="C36" i="11"/>
  <c r="B36" i="11"/>
  <c r="A36" i="11"/>
  <c r="K35" i="11"/>
  <c r="J35" i="11"/>
  <c r="I35" i="11"/>
  <c r="H35" i="11"/>
  <c r="G35" i="11"/>
  <c r="F35" i="11"/>
  <c r="E35" i="11"/>
  <c r="D35" i="11"/>
  <c r="C35" i="11"/>
  <c r="B35" i="11"/>
  <c r="A35" i="11"/>
  <c r="K34" i="11"/>
  <c r="J34" i="11"/>
  <c r="I34" i="11"/>
  <c r="H34" i="11"/>
  <c r="G34" i="11"/>
  <c r="F34" i="11"/>
  <c r="E34" i="11"/>
  <c r="D34" i="11"/>
  <c r="C34" i="11"/>
  <c r="B34" i="11"/>
  <c r="A34" i="11"/>
  <c r="K33" i="11"/>
  <c r="J33" i="11"/>
  <c r="I33" i="11"/>
  <c r="H33" i="11"/>
  <c r="G33" i="11"/>
  <c r="F33" i="11"/>
  <c r="E33" i="11"/>
  <c r="D33" i="11"/>
  <c r="C33" i="11"/>
  <c r="B33" i="11"/>
  <c r="A33" i="11"/>
  <c r="K32" i="11"/>
  <c r="J32" i="11"/>
  <c r="I32" i="11"/>
  <c r="H32" i="11"/>
  <c r="G32" i="11"/>
  <c r="F32" i="11"/>
  <c r="E32" i="11"/>
  <c r="D32" i="11"/>
  <c r="C32" i="11"/>
  <c r="B32" i="11"/>
  <c r="A32" i="11"/>
  <c r="K31" i="11"/>
  <c r="J31" i="11"/>
  <c r="I31" i="11"/>
  <c r="H31" i="11"/>
  <c r="G31" i="11"/>
  <c r="F31" i="11"/>
  <c r="E31" i="11"/>
  <c r="D31" i="11"/>
  <c r="C31" i="11"/>
  <c r="B31" i="11"/>
  <c r="A31" i="11"/>
  <c r="K30" i="11"/>
  <c r="J30" i="11"/>
  <c r="I30" i="11"/>
  <c r="H30" i="11"/>
  <c r="G30" i="11"/>
  <c r="F30" i="11"/>
  <c r="E30" i="11"/>
  <c r="D30" i="11"/>
  <c r="C30" i="11"/>
  <c r="B30" i="11"/>
  <c r="A30" i="11"/>
  <c r="K29" i="11"/>
  <c r="J29" i="11"/>
  <c r="I29" i="11"/>
  <c r="H29" i="11"/>
  <c r="G29" i="11"/>
  <c r="F29" i="11"/>
  <c r="E29" i="11"/>
  <c r="D29" i="11"/>
  <c r="C29" i="11"/>
  <c r="B29" i="11"/>
  <c r="A29" i="11"/>
  <c r="K28" i="11"/>
  <c r="J28" i="11"/>
  <c r="I28" i="11"/>
  <c r="H28" i="11"/>
  <c r="G28" i="11"/>
  <c r="F28" i="11"/>
  <c r="E28" i="11"/>
  <c r="D28" i="11"/>
  <c r="C28" i="11"/>
  <c r="B28" i="11"/>
  <c r="A28" i="11"/>
  <c r="K27" i="11"/>
  <c r="J27" i="11"/>
  <c r="I27" i="11"/>
  <c r="H27" i="11"/>
  <c r="G27" i="11"/>
  <c r="F27" i="11"/>
  <c r="E27" i="11"/>
  <c r="D27" i="11"/>
  <c r="C27" i="11"/>
  <c r="B27" i="11"/>
  <c r="A27" i="11"/>
  <c r="K26" i="11"/>
  <c r="J26" i="11"/>
  <c r="I26" i="11"/>
  <c r="H26" i="11"/>
  <c r="G26" i="11"/>
  <c r="F26" i="11"/>
  <c r="E26" i="11"/>
  <c r="D26" i="11"/>
  <c r="C26" i="11"/>
  <c r="B26" i="11"/>
  <c r="A26" i="11"/>
  <c r="K25" i="11"/>
  <c r="J25" i="11"/>
  <c r="I25" i="11"/>
  <c r="H25" i="11"/>
  <c r="G25" i="11"/>
  <c r="F25" i="11"/>
  <c r="E25" i="11"/>
  <c r="D25" i="11"/>
  <c r="C25" i="11"/>
  <c r="B25" i="11"/>
  <c r="A25" i="11"/>
  <c r="K24" i="11"/>
  <c r="J24" i="11"/>
  <c r="I24" i="11"/>
  <c r="H24" i="11"/>
  <c r="G24" i="11"/>
  <c r="F24" i="11"/>
  <c r="E24" i="11"/>
  <c r="D24" i="11"/>
  <c r="C24" i="11"/>
  <c r="B24" i="11"/>
  <c r="A24" i="11"/>
  <c r="K23" i="11"/>
  <c r="J23" i="11"/>
  <c r="I23" i="11"/>
  <c r="H23" i="11"/>
  <c r="G23" i="11"/>
  <c r="F23" i="11"/>
  <c r="E23" i="11"/>
  <c r="D23" i="11"/>
  <c r="C23" i="11"/>
  <c r="B23" i="11"/>
  <c r="A23" i="11"/>
  <c r="K22" i="11"/>
  <c r="J22" i="11"/>
  <c r="I22" i="11"/>
  <c r="H22" i="11"/>
  <c r="G22" i="11"/>
  <c r="F22" i="11"/>
  <c r="E22" i="11"/>
  <c r="D22" i="11"/>
  <c r="C22" i="11"/>
  <c r="B22" i="11"/>
  <c r="A22" i="11"/>
  <c r="K21" i="11"/>
  <c r="J21" i="11"/>
  <c r="I21" i="11"/>
  <c r="H21" i="11"/>
  <c r="G21" i="11"/>
  <c r="F21" i="11"/>
  <c r="E21" i="11"/>
  <c r="D21" i="11"/>
  <c r="C21" i="11"/>
  <c r="B21" i="11"/>
  <c r="A21" i="11"/>
  <c r="K20" i="11"/>
  <c r="J20" i="11"/>
  <c r="I20" i="11"/>
  <c r="H20" i="11"/>
  <c r="G20" i="11"/>
  <c r="F20" i="11"/>
  <c r="E20" i="11"/>
  <c r="D20" i="11"/>
  <c r="C20" i="11"/>
  <c r="B20" i="11"/>
  <c r="A20" i="11"/>
  <c r="K19" i="11"/>
  <c r="J19" i="11"/>
  <c r="I19" i="11"/>
  <c r="H19" i="11"/>
  <c r="G19" i="11"/>
  <c r="F19" i="11"/>
  <c r="E19" i="11"/>
  <c r="D19" i="11"/>
  <c r="C19" i="11"/>
  <c r="B19" i="11"/>
  <c r="A19" i="11"/>
  <c r="K18" i="11"/>
  <c r="J18" i="11"/>
  <c r="I18" i="11"/>
  <c r="H18" i="11"/>
  <c r="G18" i="11"/>
  <c r="F18" i="11"/>
  <c r="E18" i="11"/>
  <c r="D18" i="11"/>
  <c r="C18" i="11"/>
  <c r="B18" i="11"/>
  <c r="A18" i="11"/>
  <c r="K17" i="11"/>
  <c r="J17" i="11"/>
  <c r="I17" i="11"/>
  <c r="H17" i="11"/>
  <c r="G17" i="11"/>
  <c r="F17" i="11"/>
  <c r="E17" i="11"/>
  <c r="D17" i="11"/>
  <c r="C17" i="11"/>
  <c r="B17" i="11"/>
  <c r="A17" i="11"/>
  <c r="K16" i="11"/>
  <c r="J16" i="11"/>
  <c r="I16" i="11"/>
  <c r="H16" i="11"/>
  <c r="G16" i="11"/>
  <c r="F16" i="11"/>
  <c r="E16" i="11"/>
  <c r="D16" i="11"/>
  <c r="C16" i="11"/>
  <c r="B16" i="11"/>
  <c r="A16" i="11"/>
  <c r="K15" i="11"/>
  <c r="J15" i="11"/>
  <c r="I15" i="11"/>
  <c r="H15" i="11"/>
  <c r="G15" i="11"/>
  <c r="F15" i="11"/>
  <c r="E15" i="11"/>
  <c r="D15" i="11"/>
  <c r="C15" i="11"/>
  <c r="B15" i="11"/>
  <c r="A15" i="11"/>
  <c r="K14" i="11"/>
  <c r="J14" i="11"/>
  <c r="I14" i="11"/>
  <c r="H14" i="11"/>
  <c r="G14" i="11"/>
  <c r="F14" i="11"/>
  <c r="E14" i="11"/>
  <c r="D14" i="11"/>
  <c r="C14" i="11"/>
  <c r="B14" i="11"/>
  <c r="A14" i="11"/>
  <c r="K13" i="11"/>
  <c r="J13" i="11"/>
  <c r="I13" i="11"/>
  <c r="H13" i="11"/>
  <c r="G13" i="11"/>
  <c r="F13" i="11"/>
  <c r="E13" i="11"/>
  <c r="D13" i="11"/>
  <c r="C13" i="11"/>
  <c r="B13" i="11"/>
  <c r="A13" i="11"/>
  <c r="K12" i="11"/>
  <c r="J12" i="11"/>
  <c r="I12" i="11"/>
  <c r="H12" i="11"/>
  <c r="G12" i="11"/>
  <c r="F12" i="11"/>
  <c r="E12" i="11"/>
  <c r="D12" i="11"/>
  <c r="C12" i="11"/>
  <c r="B12" i="11"/>
  <c r="A12" i="11"/>
  <c r="K11" i="11"/>
  <c r="J11" i="11"/>
  <c r="I11" i="11"/>
  <c r="H11" i="11"/>
  <c r="G11" i="11"/>
  <c r="F11" i="11"/>
  <c r="E11" i="11"/>
  <c r="D11" i="11"/>
  <c r="C11" i="11"/>
  <c r="B11" i="11"/>
  <c r="A11" i="11"/>
  <c r="K10" i="11"/>
  <c r="J10" i="11"/>
  <c r="I10" i="11"/>
  <c r="H10" i="11"/>
  <c r="G10" i="11"/>
  <c r="F10" i="11"/>
  <c r="E10" i="11"/>
  <c r="D10" i="11"/>
  <c r="C10" i="11"/>
  <c r="B10" i="11"/>
  <c r="A10" i="11"/>
  <c r="K9" i="11"/>
  <c r="J9" i="11"/>
  <c r="I9" i="11"/>
  <c r="H9" i="11"/>
  <c r="G9" i="11"/>
  <c r="F9" i="11"/>
  <c r="E9" i="11"/>
  <c r="D9" i="11"/>
  <c r="C9" i="11"/>
  <c r="B9" i="11"/>
  <c r="A9" i="11"/>
  <c r="K8" i="11"/>
  <c r="J8" i="11"/>
  <c r="I8" i="11"/>
  <c r="H8" i="11"/>
  <c r="G8" i="11"/>
  <c r="F8" i="11"/>
  <c r="E8" i="11"/>
  <c r="D8" i="11"/>
  <c r="C8" i="11"/>
  <c r="B8" i="11"/>
  <c r="A8" i="11"/>
  <c r="K7" i="11"/>
  <c r="J7" i="11"/>
  <c r="I7" i="11"/>
  <c r="H7" i="11"/>
  <c r="G7" i="11"/>
  <c r="F7" i="11"/>
  <c r="E7" i="11"/>
  <c r="D7" i="11"/>
  <c r="C7" i="11"/>
  <c r="B7" i="11"/>
  <c r="A7" i="11"/>
  <c r="K6" i="11"/>
  <c r="J6" i="11"/>
  <c r="I6" i="11"/>
  <c r="H6" i="11"/>
  <c r="G6" i="11"/>
  <c r="F6" i="11"/>
  <c r="E6" i="11"/>
  <c r="D6" i="11"/>
  <c r="C6" i="11"/>
  <c r="B6" i="11"/>
  <c r="A6" i="11"/>
  <c r="K5" i="11"/>
  <c r="J5" i="11"/>
  <c r="I5" i="11"/>
  <c r="H5" i="11"/>
  <c r="G5" i="11"/>
  <c r="F5" i="11"/>
  <c r="E5" i="11"/>
  <c r="D5" i="11"/>
  <c r="C5" i="11"/>
  <c r="B5" i="11"/>
  <c r="A5" i="11"/>
  <c r="K4" i="11"/>
  <c r="J4" i="11"/>
  <c r="I4" i="11"/>
  <c r="H4" i="11"/>
  <c r="G4" i="11"/>
  <c r="F4" i="11"/>
  <c r="E4" i="11"/>
  <c r="D4" i="11"/>
  <c r="C4" i="11"/>
  <c r="B4" i="11"/>
  <c r="A4" i="11"/>
  <c r="K3" i="11"/>
  <c r="J3" i="11"/>
  <c r="I3" i="11"/>
  <c r="H3" i="11"/>
  <c r="G3" i="11"/>
  <c r="F3" i="11"/>
  <c r="E3" i="11"/>
  <c r="D3" i="11"/>
  <c r="C3" i="11"/>
  <c r="B3" i="11"/>
  <c r="A3" i="11"/>
  <c r="K23" i="10"/>
  <c r="J23" i="10"/>
  <c r="I23" i="10"/>
  <c r="H23" i="10"/>
  <c r="G23" i="10"/>
  <c r="F23" i="10"/>
  <c r="E23" i="10"/>
  <c r="D23" i="10"/>
  <c r="C23" i="10"/>
  <c r="B23" i="10"/>
  <c r="A23" i="10"/>
  <c r="K22" i="10"/>
  <c r="J22" i="10"/>
  <c r="I22" i="10"/>
  <c r="H22" i="10"/>
  <c r="G22" i="10"/>
  <c r="F22" i="10"/>
  <c r="E22" i="10"/>
  <c r="D22" i="10"/>
  <c r="C22" i="10"/>
  <c r="B22" i="10"/>
  <c r="A22" i="10"/>
  <c r="K21" i="10"/>
  <c r="J21" i="10"/>
  <c r="I21" i="10"/>
  <c r="H21" i="10"/>
  <c r="G21" i="10"/>
  <c r="F21" i="10"/>
  <c r="E21" i="10"/>
  <c r="D21" i="10"/>
  <c r="C21" i="10"/>
  <c r="B21" i="10"/>
  <c r="A21" i="10"/>
  <c r="K20" i="10"/>
  <c r="J20" i="10"/>
  <c r="I20" i="10"/>
  <c r="H20" i="10"/>
  <c r="G20" i="10"/>
  <c r="F20" i="10"/>
  <c r="E20" i="10"/>
  <c r="D20" i="10"/>
  <c r="C20" i="10"/>
  <c r="B20" i="10"/>
  <c r="A20" i="10"/>
  <c r="K19" i="10"/>
  <c r="J19" i="10"/>
  <c r="I19" i="10"/>
  <c r="H19" i="10"/>
  <c r="G19" i="10"/>
  <c r="F19" i="10"/>
  <c r="E19" i="10"/>
  <c r="D19" i="10"/>
  <c r="C19" i="10"/>
  <c r="B19" i="10"/>
  <c r="A19" i="10"/>
  <c r="K18" i="10"/>
  <c r="J18" i="10"/>
  <c r="I18" i="10"/>
  <c r="H18" i="10"/>
  <c r="G18" i="10"/>
  <c r="F18" i="10"/>
  <c r="E18" i="10"/>
  <c r="D18" i="10"/>
  <c r="C18" i="10"/>
  <c r="B18" i="10"/>
  <c r="A18" i="10"/>
  <c r="K17" i="10"/>
  <c r="J17" i="10"/>
  <c r="I17" i="10"/>
  <c r="H17" i="10"/>
  <c r="G17" i="10"/>
  <c r="F17" i="10"/>
  <c r="E17" i="10"/>
  <c r="D17" i="10"/>
  <c r="C17" i="10"/>
  <c r="B17" i="10"/>
  <c r="A17" i="10"/>
  <c r="K16" i="10"/>
  <c r="J16" i="10"/>
  <c r="I16" i="10"/>
  <c r="H16" i="10"/>
  <c r="G16" i="10"/>
  <c r="F16" i="10"/>
  <c r="E16" i="10"/>
  <c r="D16" i="10"/>
  <c r="C16" i="10"/>
  <c r="B16" i="10"/>
  <c r="A16" i="10"/>
  <c r="K15" i="10"/>
  <c r="J15" i="10"/>
  <c r="I15" i="10"/>
  <c r="H15" i="10"/>
  <c r="G15" i="10"/>
  <c r="F15" i="10"/>
  <c r="E15" i="10"/>
  <c r="D15" i="10"/>
  <c r="C15" i="10"/>
  <c r="B15" i="10"/>
  <c r="A15" i="10"/>
  <c r="K14" i="10"/>
  <c r="J14" i="10"/>
  <c r="I14" i="10"/>
  <c r="H14" i="10"/>
  <c r="G14" i="10"/>
  <c r="F14" i="10"/>
  <c r="E14" i="10"/>
  <c r="D14" i="10"/>
  <c r="C14" i="10"/>
  <c r="B14" i="10"/>
  <c r="A14" i="10"/>
  <c r="K13" i="10"/>
  <c r="J13" i="10"/>
  <c r="I13" i="10"/>
  <c r="H13" i="10"/>
  <c r="G13" i="10"/>
  <c r="F13" i="10"/>
  <c r="E13" i="10"/>
  <c r="D13" i="10"/>
  <c r="C13" i="10"/>
  <c r="B13" i="10"/>
  <c r="A13" i="10"/>
  <c r="K12" i="10"/>
  <c r="J12" i="10"/>
  <c r="I12" i="10"/>
  <c r="H12" i="10"/>
  <c r="G12" i="10"/>
  <c r="F12" i="10"/>
  <c r="E12" i="10"/>
  <c r="D12" i="10"/>
  <c r="C12" i="10"/>
  <c r="B12" i="10"/>
  <c r="A12" i="10"/>
  <c r="K11" i="10"/>
  <c r="J11" i="10"/>
  <c r="I11" i="10"/>
  <c r="H11" i="10"/>
  <c r="G11" i="10"/>
  <c r="F11" i="10"/>
  <c r="E11" i="10"/>
  <c r="D11" i="10"/>
  <c r="C11" i="10"/>
  <c r="B11" i="10"/>
  <c r="A11" i="10"/>
  <c r="K10" i="10"/>
  <c r="J10" i="10"/>
  <c r="I10" i="10"/>
  <c r="H10" i="10"/>
  <c r="G10" i="10"/>
  <c r="F10" i="10"/>
  <c r="E10" i="10"/>
  <c r="D10" i="10"/>
  <c r="C10" i="10"/>
  <c r="B10" i="10"/>
  <c r="A10" i="10"/>
  <c r="K9" i="10"/>
  <c r="J9" i="10"/>
  <c r="I9" i="10"/>
  <c r="H9" i="10"/>
  <c r="G9" i="10"/>
  <c r="F9" i="10"/>
  <c r="E9" i="10"/>
  <c r="D9" i="10"/>
  <c r="C9" i="10"/>
  <c r="B9" i="10"/>
  <c r="A9" i="10"/>
  <c r="K8" i="10"/>
  <c r="J8" i="10"/>
  <c r="I8" i="10"/>
  <c r="H8" i="10"/>
  <c r="G8" i="10"/>
  <c r="F8" i="10"/>
  <c r="E8" i="10"/>
  <c r="D8" i="10"/>
  <c r="C8" i="10"/>
  <c r="B8" i="10"/>
  <c r="A8" i="10"/>
  <c r="K7" i="10"/>
  <c r="J7" i="10"/>
  <c r="I7" i="10"/>
  <c r="H7" i="10"/>
  <c r="G7" i="10"/>
  <c r="F7" i="10"/>
  <c r="E7" i="10"/>
  <c r="D7" i="10"/>
  <c r="C7" i="10"/>
  <c r="B7" i="10"/>
  <c r="A7" i="10"/>
  <c r="K6" i="10"/>
  <c r="J6" i="10"/>
  <c r="I6" i="10"/>
  <c r="H6" i="10"/>
  <c r="G6" i="10"/>
  <c r="F6" i="10"/>
  <c r="E6" i="10"/>
  <c r="D6" i="10"/>
  <c r="C6" i="10"/>
  <c r="B6" i="10"/>
  <c r="A6" i="10"/>
  <c r="K5" i="10"/>
  <c r="J5" i="10"/>
  <c r="I5" i="10"/>
  <c r="H5" i="10"/>
  <c r="G5" i="10"/>
  <c r="F5" i="10"/>
  <c r="E5" i="10"/>
  <c r="D5" i="10"/>
  <c r="C5" i="10"/>
  <c r="B5" i="10"/>
  <c r="A5" i="10"/>
  <c r="K4" i="10"/>
  <c r="J4" i="10"/>
  <c r="I4" i="10"/>
  <c r="H4" i="10"/>
  <c r="G4" i="10"/>
  <c r="F4" i="10"/>
  <c r="E4" i="10"/>
  <c r="D4" i="10"/>
  <c r="C4" i="10"/>
  <c r="B4" i="10"/>
  <c r="A4" i="10"/>
  <c r="K3" i="10"/>
  <c r="J3" i="10"/>
  <c r="I3" i="10"/>
  <c r="H3" i="10"/>
  <c r="G3" i="10"/>
  <c r="F3" i="10"/>
  <c r="E3" i="10"/>
  <c r="D3" i="10"/>
  <c r="C3" i="10"/>
  <c r="B3" i="10"/>
  <c r="A3" i="10"/>
  <c r="L112" i="9"/>
  <c r="K112" i="9"/>
  <c r="J112" i="9"/>
  <c r="I112" i="9"/>
  <c r="H112" i="9"/>
  <c r="G112" i="9"/>
  <c r="F112" i="9"/>
  <c r="E112" i="9"/>
  <c r="D112" i="9"/>
  <c r="C112" i="9"/>
  <c r="B112" i="9"/>
  <c r="A112" i="9"/>
  <c r="L111" i="9"/>
  <c r="K111" i="9"/>
  <c r="J111" i="9"/>
  <c r="I111" i="9"/>
  <c r="H111" i="9"/>
  <c r="G111" i="9"/>
  <c r="F111" i="9"/>
  <c r="E111" i="9"/>
  <c r="D111" i="9"/>
  <c r="C111" i="9"/>
  <c r="B111" i="9"/>
  <c r="A111" i="9"/>
  <c r="L110" i="9"/>
  <c r="K110" i="9"/>
  <c r="J110" i="9"/>
  <c r="I110" i="9"/>
  <c r="H110" i="9"/>
  <c r="G110" i="9"/>
  <c r="F110" i="9"/>
  <c r="E110" i="9"/>
  <c r="D110" i="9"/>
  <c r="C110" i="9"/>
  <c r="B110" i="9"/>
  <c r="A110" i="9"/>
  <c r="L109" i="9"/>
  <c r="K109" i="9"/>
  <c r="J109" i="9"/>
  <c r="I109" i="9"/>
  <c r="H109" i="9"/>
  <c r="G109" i="9"/>
  <c r="F109" i="9"/>
  <c r="E109" i="9"/>
  <c r="D109" i="9"/>
  <c r="C109" i="9"/>
  <c r="B109" i="9"/>
  <c r="A109" i="9"/>
  <c r="L108" i="9"/>
  <c r="K108" i="9"/>
  <c r="J108" i="9"/>
  <c r="I108" i="9"/>
  <c r="H108" i="9"/>
  <c r="G108" i="9"/>
  <c r="F108" i="9"/>
  <c r="E108" i="9"/>
  <c r="D108" i="9"/>
  <c r="C108" i="9"/>
  <c r="B108" i="9"/>
  <c r="A108" i="9"/>
  <c r="L107" i="9"/>
  <c r="K107" i="9"/>
  <c r="J107" i="9"/>
  <c r="I107" i="9"/>
  <c r="H107" i="9"/>
  <c r="G107" i="9"/>
  <c r="F107" i="9"/>
  <c r="E107" i="9"/>
  <c r="D107" i="9"/>
  <c r="C107" i="9"/>
  <c r="B107" i="9"/>
  <c r="A107" i="9"/>
  <c r="L106" i="9"/>
  <c r="K106" i="9"/>
  <c r="J106" i="9"/>
  <c r="I106" i="9"/>
  <c r="H106" i="9"/>
  <c r="G106" i="9"/>
  <c r="F106" i="9"/>
  <c r="E106" i="9"/>
  <c r="D106" i="9"/>
  <c r="C106" i="9"/>
  <c r="B106" i="9"/>
  <c r="A106" i="9"/>
  <c r="L105" i="9"/>
  <c r="K105" i="9"/>
  <c r="J105" i="9"/>
  <c r="I105" i="9"/>
  <c r="H105" i="9"/>
  <c r="G105" i="9"/>
  <c r="F105" i="9"/>
  <c r="E105" i="9"/>
  <c r="D105" i="9"/>
  <c r="C105" i="9"/>
  <c r="B105" i="9"/>
  <c r="A105" i="9"/>
  <c r="L104" i="9"/>
  <c r="K104" i="9"/>
  <c r="J104" i="9"/>
  <c r="I104" i="9"/>
  <c r="H104" i="9"/>
  <c r="G104" i="9"/>
  <c r="F104" i="9"/>
  <c r="E104" i="9"/>
  <c r="D104" i="9"/>
  <c r="C104" i="9"/>
  <c r="B104" i="9"/>
  <c r="A104" i="9"/>
  <c r="L103" i="9"/>
  <c r="K103" i="9"/>
  <c r="J103" i="9"/>
  <c r="I103" i="9"/>
  <c r="H103" i="9"/>
  <c r="G103" i="9"/>
  <c r="F103" i="9"/>
  <c r="E103" i="9"/>
  <c r="D103" i="9"/>
  <c r="C103" i="9"/>
  <c r="B103" i="9"/>
  <c r="A103" i="9"/>
  <c r="L102" i="9"/>
  <c r="K102" i="9"/>
  <c r="J102" i="9"/>
  <c r="I102" i="9"/>
  <c r="H102" i="9"/>
  <c r="G102" i="9"/>
  <c r="F102" i="9"/>
  <c r="E102" i="9"/>
  <c r="D102" i="9"/>
  <c r="C102" i="9"/>
  <c r="B102" i="9"/>
  <c r="A102" i="9"/>
  <c r="L101" i="9"/>
  <c r="K101" i="9"/>
  <c r="J101" i="9"/>
  <c r="I101" i="9"/>
  <c r="H101" i="9"/>
  <c r="G101" i="9"/>
  <c r="F101" i="9"/>
  <c r="E101" i="9"/>
  <c r="D101" i="9"/>
  <c r="C101" i="9"/>
  <c r="B101" i="9"/>
  <c r="A101" i="9"/>
  <c r="L100" i="9"/>
  <c r="K100" i="9"/>
  <c r="J100" i="9"/>
  <c r="I100" i="9"/>
  <c r="H100" i="9"/>
  <c r="G100" i="9"/>
  <c r="F100" i="9"/>
  <c r="E100" i="9"/>
  <c r="D100" i="9"/>
  <c r="C100" i="9"/>
  <c r="B100" i="9"/>
  <c r="A100" i="9"/>
  <c r="L99" i="9"/>
  <c r="K99" i="9"/>
  <c r="J99" i="9"/>
  <c r="I99" i="9"/>
  <c r="H99" i="9"/>
  <c r="G99" i="9"/>
  <c r="F99" i="9"/>
  <c r="E99" i="9"/>
  <c r="D99" i="9"/>
  <c r="C99" i="9"/>
  <c r="B99" i="9"/>
  <c r="A99" i="9"/>
  <c r="L98" i="9"/>
  <c r="K98" i="9"/>
  <c r="J98" i="9"/>
  <c r="I98" i="9"/>
  <c r="H98" i="9"/>
  <c r="G98" i="9"/>
  <c r="F98" i="9"/>
  <c r="E98" i="9"/>
  <c r="D98" i="9"/>
  <c r="C98" i="9"/>
  <c r="B98" i="9"/>
  <c r="A98" i="9"/>
  <c r="L97" i="9"/>
  <c r="K97" i="9"/>
  <c r="J97" i="9"/>
  <c r="I97" i="9"/>
  <c r="H97" i="9"/>
  <c r="G97" i="9"/>
  <c r="F97" i="9"/>
  <c r="E97" i="9"/>
  <c r="D97" i="9"/>
  <c r="C97" i="9"/>
  <c r="B97" i="9"/>
  <c r="A97" i="9"/>
  <c r="L96" i="9"/>
  <c r="K96" i="9"/>
  <c r="J96" i="9"/>
  <c r="I96" i="9"/>
  <c r="H96" i="9"/>
  <c r="G96" i="9"/>
  <c r="F96" i="9"/>
  <c r="E96" i="9"/>
  <c r="D96" i="9"/>
  <c r="C96" i="9"/>
  <c r="B96" i="9"/>
  <c r="A96" i="9"/>
  <c r="L95" i="9"/>
  <c r="K95" i="9"/>
  <c r="J95" i="9"/>
  <c r="I95" i="9"/>
  <c r="H95" i="9"/>
  <c r="G95" i="9"/>
  <c r="F95" i="9"/>
  <c r="E95" i="9"/>
  <c r="D95" i="9"/>
  <c r="C95" i="9"/>
  <c r="B95" i="9"/>
  <c r="A95" i="9"/>
  <c r="L94" i="9"/>
  <c r="K94" i="9"/>
  <c r="J94" i="9"/>
  <c r="I94" i="9"/>
  <c r="H94" i="9"/>
  <c r="G94" i="9"/>
  <c r="F94" i="9"/>
  <c r="E94" i="9"/>
  <c r="D94" i="9"/>
  <c r="C94" i="9"/>
  <c r="B94" i="9"/>
  <c r="A94" i="9"/>
  <c r="L93" i="9"/>
  <c r="K93" i="9"/>
  <c r="J93" i="9"/>
  <c r="I93" i="9"/>
  <c r="H93" i="9"/>
  <c r="G93" i="9"/>
  <c r="F93" i="9"/>
  <c r="E93" i="9"/>
  <c r="D93" i="9"/>
  <c r="C93" i="9"/>
  <c r="B93" i="9"/>
  <c r="A93" i="9"/>
  <c r="L92" i="9"/>
  <c r="K92" i="9"/>
  <c r="J92" i="9"/>
  <c r="I92" i="9"/>
  <c r="H92" i="9"/>
  <c r="G92" i="9"/>
  <c r="F92" i="9"/>
  <c r="E92" i="9"/>
  <c r="D92" i="9"/>
  <c r="C92" i="9"/>
  <c r="B92" i="9"/>
  <c r="A92" i="9"/>
  <c r="L91" i="9"/>
  <c r="K91" i="9"/>
  <c r="J91" i="9"/>
  <c r="I91" i="9"/>
  <c r="H91" i="9"/>
  <c r="G91" i="9"/>
  <c r="F91" i="9"/>
  <c r="E91" i="9"/>
  <c r="D91" i="9"/>
  <c r="C91" i="9"/>
  <c r="B91" i="9"/>
  <c r="A91" i="9"/>
  <c r="L90" i="9"/>
  <c r="K90" i="9"/>
  <c r="J90" i="9"/>
  <c r="I90" i="9"/>
  <c r="H90" i="9"/>
  <c r="G90" i="9"/>
  <c r="F90" i="9"/>
  <c r="E90" i="9"/>
  <c r="D90" i="9"/>
  <c r="C90" i="9"/>
  <c r="B90" i="9"/>
  <c r="A90" i="9"/>
  <c r="L89" i="9"/>
  <c r="K89" i="9"/>
  <c r="J89" i="9"/>
  <c r="I89" i="9"/>
  <c r="H89" i="9"/>
  <c r="G89" i="9"/>
  <c r="F89" i="9"/>
  <c r="E89" i="9"/>
  <c r="D89" i="9"/>
  <c r="C89" i="9"/>
  <c r="B89" i="9"/>
  <c r="A89" i="9"/>
  <c r="L88" i="9"/>
  <c r="K88" i="9"/>
  <c r="J88" i="9"/>
  <c r="I88" i="9"/>
  <c r="H88" i="9"/>
  <c r="G88" i="9"/>
  <c r="F88" i="9"/>
  <c r="E88" i="9"/>
  <c r="D88" i="9"/>
  <c r="C88" i="9"/>
  <c r="B88" i="9"/>
  <c r="A88" i="9"/>
  <c r="L87" i="9"/>
  <c r="K87" i="9"/>
  <c r="J87" i="9"/>
  <c r="I87" i="9"/>
  <c r="H87" i="9"/>
  <c r="G87" i="9"/>
  <c r="F87" i="9"/>
  <c r="E87" i="9"/>
  <c r="D87" i="9"/>
  <c r="C87" i="9"/>
  <c r="B87" i="9"/>
  <c r="A87" i="9"/>
  <c r="L86" i="9"/>
  <c r="K86" i="9"/>
  <c r="J86" i="9"/>
  <c r="I86" i="9"/>
  <c r="H86" i="9"/>
  <c r="G86" i="9"/>
  <c r="F86" i="9"/>
  <c r="E86" i="9"/>
  <c r="D86" i="9"/>
  <c r="C86" i="9"/>
  <c r="B86" i="9"/>
  <c r="A86" i="9"/>
  <c r="L85" i="9"/>
  <c r="K85" i="9"/>
  <c r="J85" i="9"/>
  <c r="I85" i="9"/>
  <c r="H85" i="9"/>
  <c r="G85" i="9"/>
  <c r="F85" i="9"/>
  <c r="E85" i="9"/>
  <c r="D85" i="9"/>
  <c r="C85" i="9"/>
  <c r="B85" i="9"/>
  <c r="A85" i="9"/>
  <c r="L84" i="9"/>
  <c r="K84" i="9"/>
  <c r="J84" i="9"/>
  <c r="I84" i="9"/>
  <c r="H84" i="9"/>
  <c r="G84" i="9"/>
  <c r="F84" i="9"/>
  <c r="E84" i="9"/>
  <c r="D84" i="9"/>
  <c r="C84" i="9"/>
  <c r="B84" i="9"/>
  <c r="A84" i="9"/>
  <c r="L83" i="9"/>
  <c r="K83" i="9"/>
  <c r="J83" i="9"/>
  <c r="I83" i="9"/>
  <c r="H83" i="9"/>
  <c r="G83" i="9"/>
  <c r="F83" i="9"/>
  <c r="E83" i="9"/>
  <c r="D83" i="9"/>
  <c r="C83" i="9"/>
  <c r="B83" i="9"/>
  <c r="A83" i="9"/>
  <c r="L82" i="9"/>
  <c r="K82" i="9"/>
  <c r="J82" i="9"/>
  <c r="I82" i="9"/>
  <c r="H82" i="9"/>
  <c r="G82" i="9"/>
  <c r="F82" i="9"/>
  <c r="E82" i="9"/>
  <c r="D82" i="9"/>
  <c r="C82" i="9"/>
  <c r="B82" i="9"/>
  <c r="A82" i="9"/>
  <c r="L81" i="9"/>
  <c r="K81" i="9"/>
  <c r="J81" i="9"/>
  <c r="I81" i="9"/>
  <c r="H81" i="9"/>
  <c r="G81" i="9"/>
  <c r="F81" i="9"/>
  <c r="E81" i="9"/>
  <c r="D81" i="9"/>
  <c r="C81" i="9"/>
  <c r="B81" i="9"/>
  <c r="A81" i="9"/>
  <c r="L80" i="9"/>
  <c r="K80" i="9"/>
  <c r="J80" i="9"/>
  <c r="I80" i="9"/>
  <c r="H80" i="9"/>
  <c r="G80" i="9"/>
  <c r="F80" i="9"/>
  <c r="E80" i="9"/>
  <c r="D80" i="9"/>
  <c r="C80" i="9"/>
  <c r="B80" i="9"/>
  <c r="A80" i="9"/>
  <c r="L79" i="9"/>
  <c r="K79" i="9"/>
  <c r="J79" i="9"/>
  <c r="I79" i="9"/>
  <c r="H79" i="9"/>
  <c r="G79" i="9"/>
  <c r="F79" i="9"/>
  <c r="E79" i="9"/>
  <c r="D79" i="9"/>
  <c r="C79" i="9"/>
  <c r="B79" i="9"/>
  <c r="A79" i="9"/>
  <c r="L78" i="9"/>
  <c r="K78" i="9"/>
  <c r="J78" i="9"/>
  <c r="I78" i="9"/>
  <c r="H78" i="9"/>
  <c r="G78" i="9"/>
  <c r="F78" i="9"/>
  <c r="E78" i="9"/>
  <c r="D78" i="9"/>
  <c r="C78" i="9"/>
  <c r="B78" i="9"/>
  <c r="A78" i="9"/>
  <c r="L77" i="9"/>
  <c r="K77" i="9"/>
  <c r="J77" i="9"/>
  <c r="I77" i="9"/>
  <c r="H77" i="9"/>
  <c r="G77" i="9"/>
  <c r="F77" i="9"/>
  <c r="E77" i="9"/>
  <c r="D77" i="9"/>
  <c r="C77" i="9"/>
  <c r="B77" i="9"/>
  <c r="A77" i="9"/>
  <c r="L76" i="9"/>
  <c r="K76" i="9"/>
  <c r="J76" i="9"/>
  <c r="I76" i="9"/>
  <c r="H76" i="9"/>
  <c r="G76" i="9"/>
  <c r="F76" i="9"/>
  <c r="E76" i="9"/>
  <c r="D76" i="9"/>
  <c r="C76" i="9"/>
  <c r="B76" i="9"/>
  <c r="A76" i="9"/>
  <c r="L75" i="9"/>
  <c r="K75" i="9"/>
  <c r="J75" i="9"/>
  <c r="I75" i="9"/>
  <c r="H75" i="9"/>
  <c r="G75" i="9"/>
  <c r="F75" i="9"/>
  <c r="E75" i="9"/>
  <c r="D75" i="9"/>
  <c r="C75" i="9"/>
  <c r="B75" i="9"/>
  <c r="A75" i="9"/>
  <c r="L74" i="9"/>
  <c r="K74" i="9"/>
  <c r="J74" i="9"/>
  <c r="I74" i="9"/>
  <c r="H74" i="9"/>
  <c r="G74" i="9"/>
  <c r="F74" i="9"/>
  <c r="E74" i="9"/>
  <c r="D74" i="9"/>
  <c r="C74" i="9"/>
  <c r="B74" i="9"/>
  <c r="A74" i="9"/>
  <c r="L73" i="9"/>
  <c r="K73" i="9"/>
  <c r="J73" i="9"/>
  <c r="I73" i="9"/>
  <c r="H73" i="9"/>
  <c r="G73" i="9"/>
  <c r="F73" i="9"/>
  <c r="E73" i="9"/>
  <c r="D73" i="9"/>
  <c r="C73" i="9"/>
  <c r="B73" i="9"/>
  <c r="A73" i="9"/>
  <c r="L72" i="9"/>
  <c r="K72" i="9"/>
  <c r="J72" i="9"/>
  <c r="I72" i="9"/>
  <c r="H72" i="9"/>
  <c r="G72" i="9"/>
  <c r="F72" i="9"/>
  <c r="E72" i="9"/>
  <c r="D72" i="9"/>
  <c r="C72" i="9"/>
  <c r="B72" i="9"/>
  <c r="A72" i="9"/>
  <c r="L71" i="9"/>
  <c r="K71" i="9"/>
  <c r="J71" i="9"/>
  <c r="I71" i="9"/>
  <c r="H71" i="9"/>
  <c r="G71" i="9"/>
  <c r="F71" i="9"/>
  <c r="E71" i="9"/>
  <c r="D71" i="9"/>
  <c r="C71" i="9"/>
  <c r="B71" i="9"/>
  <c r="A71" i="9"/>
  <c r="L70" i="9"/>
  <c r="K70" i="9"/>
  <c r="J70" i="9"/>
  <c r="I70" i="9"/>
  <c r="H70" i="9"/>
  <c r="G70" i="9"/>
  <c r="F70" i="9"/>
  <c r="E70" i="9"/>
  <c r="D70" i="9"/>
  <c r="C70" i="9"/>
  <c r="B70" i="9"/>
  <c r="A70" i="9"/>
  <c r="L69" i="9"/>
  <c r="K69" i="9"/>
  <c r="J69" i="9"/>
  <c r="I69" i="9"/>
  <c r="H69" i="9"/>
  <c r="G69" i="9"/>
  <c r="F69" i="9"/>
  <c r="E69" i="9"/>
  <c r="D69" i="9"/>
  <c r="C69" i="9"/>
  <c r="B69" i="9"/>
  <c r="A69" i="9"/>
  <c r="L68" i="9"/>
  <c r="K68" i="9"/>
  <c r="J68" i="9"/>
  <c r="I68" i="9"/>
  <c r="H68" i="9"/>
  <c r="G68" i="9"/>
  <c r="F68" i="9"/>
  <c r="E68" i="9"/>
  <c r="D68" i="9"/>
  <c r="C68" i="9"/>
  <c r="B68" i="9"/>
  <c r="A68" i="9"/>
  <c r="L67" i="9"/>
  <c r="K67" i="9"/>
  <c r="J67" i="9"/>
  <c r="I67" i="9"/>
  <c r="H67" i="9"/>
  <c r="G67" i="9"/>
  <c r="F67" i="9"/>
  <c r="E67" i="9"/>
  <c r="D67" i="9"/>
  <c r="C67" i="9"/>
  <c r="B67" i="9"/>
  <c r="A67" i="9"/>
  <c r="L66" i="9"/>
  <c r="K66" i="9"/>
  <c r="J66" i="9"/>
  <c r="I66" i="9"/>
  <c r="H66" i="9"/>
  <c r="G66" i="9"/>
  <c r="F66" i="9"/>
  <c r="E66" i="9"/>
  <c r="D66" i="9"/>
  <c r="C66" i="9"/>
  <c r="B66" i="9"/>
  <c r="A66" i="9"/>
  <c r="L65" i="9"/>
  <c r="K65" i="9"/>
  <c r="J65" i="9"/>
  <c r="I65" i="9"/>
  <c r="H65" i="9"/>
  <c r="G65" i="9"/>
  <c r="F65" i="9"/>
  <c r="E65" i="9"/>
  <c r="D65" i="9"/>
  <c r="C65" i="9"/>
  <c r="B65" i="9"/>
  <c r="A65" i="9"/>
  <c r="L64" i="9"/>
  <c r="K64" i="9"/>
  <c r="J64" i="9"/>
  <c r="I64" i="9"/>
  <c r="H64" i="9"/>
  <c r="G64" i="9"/>
  <c r="F64" i="9"/>
  <c r="E64" i="9"/>
  <c r="D64" i="9"/>
  <c r="C64" i="9"/>
  <c r="B64" i="9"/>
  <c r="A64" i="9"/>
  <c r="L63" i="9"/>
  <c r="K63" i="9"/>
  <c r="J63" i="9"/>
  <c r="I63" i="9"/>
  <c r="H63" i="9"/>
  <c r="G63" i="9"/>
  <c r="F63" i="9"/>
  <c r="E63" i="9"/>
  <c r="D63" i="9"/>
  <c r="C63" i="9"/>
  <c r="B63" i="9"/>
  <c r="A63" i="9"/>
  <c r="L62" i="9"/>
  <c r="K62" i="9"/>
  <c r="J62" i="9"/>
  <c r="I62" i="9"/>
  <c r="H62" i="9"/>
  <c r="G62" i="9"/>
  <c r="F62" i="9"/>
  <c r="E62" i="9"/>
  <c r="D62" i="9"/>
  <c r="C62" i="9"/>
  <c r="B62" i="9"/>
  <c r="A62" i="9"/>
  <c r="L61" i="9"/>
  <c r="K61" i="9"/>
  <c r="J61" i="9"/>
  <c r="I61" i="9"/>
  <c r="H61" i="9"/>
  <c r="G61" i="9"/>
  <c r="F61" i="9"/>
  <c r="E61" i="9"/>
  <c r="D61" i="9"/>
  <c r="C61" i="9"/>
  <c r="B61" i="9"/>
  <c r="A61" i="9"/>
  <c r="L60" i="9"/>
  <c r="K60" i="9"/>
  <c r="J60" i="9"/>
  <c r="I60" i="9"/>
  <c r="H60" i="9"/>
  <c r="G60" i="9"/>
  <c r="F60" i="9"/>
  <c r="E60" i="9"/>
  <c r="D60" i="9"/>
  <c r="C60" i="9"/>
  <c r="B60" i="9"/>
  <c r="A60" i="9"/>
  <c r="L59" i="9"/>
  <c r="K59" i="9"/>
  <c r="J59" i="9"/>
  <c r="I59" i="9"/>
  <c r="H59" i="9"/>
  <c r="G59" i="9"/>
  <c r="F59" i="9"/>
  <c r="E59" i="9"/>
  <c r="D59" i="9"/>
  <c r="C59" i="9"/>
  <c r="B59" i="9"/>
  <c r="A59" i="9"/>
  <c r="L58" i="9"/>
  <c r="K58" i="9"/>
  <c r="J58" i="9"/>
  <c r="I58" i="9"/>
  <c r="H58" i="9"/>
  <c r="G58" i="9"/>
  <c r="F58" i="9"/>
  <c r="E58" i="9"/>
  <c r="D58" i="9"/>
  <c r="C58" i="9"/>
  <c r="B58" i="9"/>
  <c r="A58" i="9"/>
  <c r="L57" i="9"/>
  <c r="K57" i="9"/>
  <c r="J57" i="9"/>
  <c r="I57" i="9"/>
  <c r="H57" i="9"/>
  <c r="G57" i="9"/>
  <c r="F57" i="9"/>
  <c r="E57" i="9"/>
  <c r="D57" i="9"/>
  <c r="C57" i="9"/>
  <c r="B57" i="9"/>
  <c r="A57" i="9"/>
  <c r="L56" i="9"/>
  <c r="K56" i="9"/>
  <c r="J56" i="9"/>
  <c r="I56" i="9"/>
  <c r="H56" i="9"/>
  <c r="G56" i="9"/>
  <c r="F56" i="9"/>
  <c r="E56" i="9"/>
  <c r="D56" i="9"/>
  <c r="C56" i="9"/>
  <c r="B56" i="9"/>
  <c r="A56" i="9"/>
  <c r="L55" i="9"/>
  <c r="K55" i="9"/>
  <c r="J55" i="9"/>
  <c r="I55" i="9"/>
  <c r="H55" i="9"/>
  <c r="G55" i="9"/>
  <c r="F55" i="9"/>
  <c r="E55" i="9"/>
  <c r="D55" i="9"/>
  <c r="C55" i="9"/>
  <c r="B55" i="9"/>
  <c r="A55" i="9"/>
  <c r="L54" i="9"/>
  <c r="K54" i="9"/>
  <c r="J54" i="9"/>
  <c r="I54" i="9"/>
  <c r="H54" i="9"/>
  <c r="G54" i="9"/>
  <c r="F54" i="9"/>
  <c r="E54" i="9"/>
  <c r="D54" i="9"/>
  <c r="C54" i="9"/>
  <c r="B54" i="9"/>
  <c r="A54" i="9"/>
  <c r="L53" i="9"/>
  <c r="K53" i="9"/>
  <c r="J53" i="9"/>
  <c r="I53" i="9"/>
  <c r="H53" i="9"/>
  <c r="G53" i="9"/>
  <c r="F53" i="9"/>
  <c r="E53" i="9"/>
  <c r="D53" i="9"/>
  <c r="C53" i="9"/>
  <c r="B53" i="9"/>
  <c r="A53" i="9"/>
  <c r="L52" i="9"/>
  <c r="K52" i="9"/>
  <c r="J52" i="9"/>
  <c r="I52" i="9"/>
  <c r="H52" i="9"/>
  <c r="G52" i="9"/>
  <c r="F52" i="9"/>
  <c r="E52" i="9"/>
  <c r="D52" i="9"/>
  <c r="C52" i="9"/>
  <c r="B52" i="9"/>
  <c r="A52" i="9"/>
  <c r="L51" i="9"/>
  <c r="K51" i="9"/>
  <c r="J51" i="9"/>
  <c r="I51" i="9"/>
  <c r="H51" i="9"/>
  <c r="G51" i="9"/>
  <c r="F51" i="9"/>
  <c r="E51" i="9"/>
  <c r="D51" i="9"/>
  <c r="C51" i="9"/>
  <c r="B51" i="9"/>
  <c r="A51" i="9"/>
  <c r="L50" i="9"/>
  <c r="K50" i="9"/>
  <c r="J50" i="9"/>
  <c r="I50" i="9"/>
  <c r="H50" i="9"/>
  <c r="G50" i="9"/>
  <c r="F50" i="9"/>
  <c r="E50" i="9"/>
  <c r="D50" i="9"/>
  <c r="C50" i="9"/>
  <c r="B50" i="9"/>
  <c r="A50" i="9"/>
  <c r="L49" i="9"/>
  <c r="K49" i="9"/>
  <c r="J49" i="9"/>
  <c r="I49" i="9"/>
  <c r="H49" i="9"/>
  <c r="G49" i="9"/>
  <c r="F49" i="9"/>
  <c r="E49" i="9"/>
  <c r="D49" i="9"/>
  <c r="C49" i="9"/>
  <c r="B49" i="9"/>
  <c r="A49" i="9"/>
  <c r="L48" i="9"/>
  <c r="K48" i="9"/>
  <c r="J48" i="9"/>
  <c r="I48" i="9"/>
  <c r="H48" i="9"/>
  <c r="G48" i="9"/>
  <c r="F48" i="9"/>
  <c r="E48" i="9"/>
  <c r="D48" i="9"/>
  <c r="C48" i="9"/>
  <c r="B48" i="9"/>
  <c r="A48" i="9"/>
  <c r="L47" i="9"/>
  <c r="K47" i="9"/>
  <c r="J47" i="9"/>
  <c r="I47" i="9"/>
  <c r="H47" i="9"/>
  <c r="G47" i="9"/>
  <c r="F47" i="9"/>
  <c r="E47" i="9"/>
  <c r="D47" i="9"/>
  <c r="C47" i="9"/>
  <c r="B47" i="9"/>
  <c r="A47" i="9"/>
  <c r="L46" i="9"/>
  <c r="K46" i="9"/>
  <c r="J46" i="9"/>
  <c r="I46" i="9"/>
  <c r="H46" i="9"/>
  <c r="G46" i="9"/>
  <c r="F46" i="9"/>
  <c r="E46" i="9"/>
  <c r="D46" i="9"/>
  <c r="C46" i="9"/>
  <c r="B46" i="9"/>
  <c r="A46" i="9"/>
  <c r="L45" i="9"/>
  <c r="K45" i="9"/>
  <c r="J45" i="9"/>
  <c r="I45" i="9"/>
  <c r="H45" i="9"/>
  <c r="G45" i="9"/>
  <c r="F45" i="9"/>
  <c r="E45" i="9"/>
  <c r="D45" i="9"/>
  <c r="C45" i="9"/>
  <c r="B45" i="9"/>
  <c r="A45" i="9"/>
  <c r="L44" i="9"/>
  <c r="K44" i="9"/>
  <c r="J44" i="9"/>
  <c r="I44" i="9"/>
  <c r="H44" i="9"/>
  <c r="G44" i="9"/>
  <c r="F44" i="9"/>
  <c r="E44" i="9"/>
  <c r="D44" i="9"/>
  <c r="C44" i="9"/>
  <c r="B44" i="9"/>
  <c r="A44" i="9"/>
  <c r="L43" i="9"/>
  <c r="K43" i="9"/>
  <c r="J43" i="9"/>
  <c r="I43" i="9"/>
  <c r="H43" i="9"/>
  <c r="G43" i="9"/>
  <c r="F43" i="9"/>
  <c r="E43" i="9"/>
  <c r="D43" i="9"/>
  <c r="C43" i="9"/>
  <c r="B43" i="9"/>
  <c r="A43" i="9"/>
  <c r="L42" i="9"/>
  <c r="K42" i="9"/>
  <c r="J42" i="9"/>
  <c r="I42" i="9"/>
  <c r="H42" i="9"/>
  <c r="G42" i="9"/>
  <c r="F42" i="9"/>
  <c r="E42" i="9"/>
  <c r="D42" i="9"/>
  <c r="C42" i="9"/>
  <c r="B42" i="9"/>
  <c r="A42" i="9"/>
  <c r="L41" i="9"/>
  <c r="K41" i="9"/>
  <c r="J41" i="9"/>
  <c r="I41" i="9"/>
  <c r="H41" i="9"/>
  <c r="G41" i="9"/>
  <c r="F41" i="9"/>
  <c r="E41" i="9"/>
  <c r="D41" i="9"/>
  <c r="C41" i="9"/>
  <c r="B41" i="9"/>
  <c r="A41" i="9"/>
  <c r="L40" i="9"/>
  <c r="K40" i="9"/>
  <c r="J40" i="9"/>
  <c r="I40" i="9"/>
  <c r="H40" i="9"/>
  <c r="G40" i="9"/>
  <c r="F40" i="9"/>
  <c r="E40" i="9"/>
  <c r="D40" i="9"/>
  <c r="C40" i="9"/>
  <c r="B40" i="9"/>
  <c r="A40" i="9"/>
  <c r="L39" i="9"/>
  <c r="K39" i="9"/>
  <c r="J39" i="9"/>
  <c r="I39" i="9"/>
  <c r="H39" i="9"/>
  <c r="G39" i="9"/>
  <c r="F39" i="9"/>
  <c r="E39" i="9"/>
  <c r="D39" i="9"/>
  <c r="C39" i="9"/>
  <c r="B39" i="9"/>
  <c r="A39" i="9"/>
  <c r="L38" i="9"/>
  <c r="K38" i="9"/>
  <c r="J38" i="9"/>
  <c r="I38" i="9"/>
  <c r="H38" i="9"/>
  <c r="G38" i="9"/>
  <c r="F38" i="9"/>
  <c r="E38" i="9"/>
  <c r="D38" i="9"/>
  <c r="C38" i="9"/>
  <c r="B38" i="9"/>
  <c r="A38" i="9"/>
  <c r="L37" i="9"/>
  <c r="K37" i="9"/>
  <c r="J37" i="9"/>
  <c r="I37" i="9"/>
  <c r="H37" i="9"/>
  <c r="G37" i="9"/>
  <c r="F37" i="9"/>
  <c r="E37" i="9"/>
  <c r="D37" i="9"/>
  <c r="C37" i="9"/>
  <c r="B37" i="9"/>
  <c r="A37" i="9"/>
  <c r="L36" i="9"/>
  <c r="K36" i="9"/>
  <c r="J36" i="9"/>
  <c r="I36" i="9"/>
  <c r="H36" i="9"/>
  <c r="G36" i="9"/>
  <c r="F36" i="9"/>
  <c r="E36" i="9"/>
  <c r="D36" i="9"/>
  <c r="C36" i="9"/>
  <c r="B36" i="9"/>
  <c r="A36" i="9"/>
  <c r="L35" i="9"/>
  <c r="K35" i="9"/>
  <c r="J35" i="9"/>
  <c r="I35" i="9"/>
  <c r="H35" i="9"/>
  <c r="G35" i="9"/>
  <c r="F35" i="9"/>
  <c r="E35" i="9"/>
  <c r="D35" i="9"/>
  <c r="C35" i="9"/>
  <c r="B35" i="9"/>
  <c r="A35" i="9"/>
  <c r="L34" i="9"/>
  <c r="K34" i="9"/>
  <c r="J34" i="9"/>
  <c r="I34" i="9"/>
  <c r="H34" i="9"/>
  <c r="G34" i="9"/>
  <c r="F34" i="9"/>
  <c r="E34" i="9"/>
  <c r="D34" i="9"/>
  <c r="C34" i="9"/>
  <c r="B34" i="9"/>
  <c r="A34" i="9"/>
  <c r="L33" i="9"/>
  <c r="K33" i="9"/>
  <c r="J33" i="9"/>
  <c r="I33" i="9"/>
  <c r="H33" i="9"/>
  <c r="G33" i="9"/>
  <c r="F33" i="9"/>
  <c r="E33" i="9"/>
  <c r="D33" i="9"/>
  <c r="C33" i="9"/>
  <c r="B33" i="9"/>
  <c r="A33" i="9"/>
  <c r="L32" i="9"/>
  <c r="K32" i="9"/>
  <c r="J32" i="9"/>
  <c r="I32" i="9"/>
  <c r="H32" i="9"/>
  <c r="G32" i="9"/>
  <c r="F32" i="9"/>
  <c r="E32" i="9"/>
  <c r="D32" i="9"/>
  <c r="C32" i="9"/>
  <c r="B32" i="9"/>
  <c r="A32" i="9"/>
  <c r="L31" i="9"/>
  <c r="K31" i="9"/>
  <c r="J31" i="9"/>
  <c r="I31" i="9"/>
  <c r="H31" i="9"/>
  <c r="G31" i="9"/>
  <c r="F31" i="9"/>
  <c r="E31" i="9"/>
  <c r="D31" i="9"/>
  <c r="C31" i="9"/>
  <c r="B31" i="9"/>
  <c r="A31" i="9"/>
  <c r="L30" i="9"/>
  <c r="K30" i="9"/>
  <c r="J30" i="9"/>
  <c r="I30" i="9"/>
  <c r="H30" i="9"/>
  <c r="G30" i="9"/>
  <c r="F30" i="9"/>
  <c r="E30" i="9"/>
  <c r="D30" i="9"/>
  <c r="C30" i="9"/>
  <c r="B30" i="9"/>
  <c r="A30" i="9"/>
  <c r="L29" i="9"/>
  <c r="K29" i="9"/>
  <c r="J29" i="9"/>
  <c r="I29" i="9"/>
  <c r="H29" i="9"/>
  <c r="G29" i="9"/>
  <c r="F29" i="9"/>
  <c r="E29" i="9"/>
  <c r="D29" i="9"/>
  <c r="C29" i="9"/>
  <c r="B29" i="9"/>
  <c r="A29" i="9"/>
  <c r="L28" i="9"/>
  <c r="K28" i="9"/>
  <c r="J28" i="9"/>
  <c r="I28" i="9"/>
  <c r="H28" i="9"/>
  <c r="G28" i="9"/>
  <c r="F28" i="9"/>
  <c r="E28" i="9"/>
  <c r="D28" i="9"/>
  <c r="C28" i="9"/>
  <c r="B28" i="9"/>
  <c r="A28" i="9"/>
  <c r="L27" i="9"/>
  <c r="K27" i="9"/>
  <c r="J27" i="9"/>
  <c r="I27" i="9"/>
  <c r="H27" i="9"/>
  <c r="G27" i="9"/>
  <c r="F27" i="9"/>
  <c r="E27" i="9"/>
  <c r="D27" i="9"/>
  <c r="C27" i="9"/>
  <c r="B27" i="9"/>
  <c r="A27" i="9"/>
  <c r="L26" i="9"/>
  <c r="K26" i="9"/>
  <c r="J26" i="9"/>
  <c r="I26" i="9"/>
  <c r="H26" i="9"/>
  <c r="G26" i="9"/>
  <c r="F26" i="9"/>
  <c r="E26" i="9"/>
  <c r="D26" i="9"/>
  <c r="C26" i="9"/>
  <c r="B26" i="9"/>
  <c r="A26" i="9"/>
  <c r="L25" i="9"/>
  <c r="K25" i="9"/>
  <c r="J25" i="9"/>
  <c r="I25" i="9"/>
  <c r="H25" i="9"/>
  <c r="G25" i="9"/>
  <c r="F25" i="9"/>
  <c r="E25" i="9"/>
  <c r="D25" i="9"/>
  <c r="C25" i="9"/>
  <c r="B25" i="9"/>
  <c r="A25" i="9"/>
  <c r="L24" i="9"/>
  <c r="K24" i="9"/>
  <c r="J24" i="9"/>
  <c r="I24" i="9"/>
  <c r="H24" i="9"/>
  <c r="G24" i="9"/>
  <c r="F24" i="9"/>
  <c r="E24" i="9"/>
  <c r="D24" i="9"/>
  <c r="C24" i="9"/>
  <c r="B24" i="9"/>
  <c r="A24" i="9"/>
  <c r="L23" i="9"/>
  <c r="K23" i="9"/>
  <c r="J23" i="9"/>
  <c r="I23" i="9"/>
  <c r="H23" i="9"/>
  <c r="G23" i="9"/>
  <c r="F23" i="9"/>
  <c r="E23" i="9"/>
  <c r="D23" i="9"/>
  <c r="C23" i="9"/>
  <c r="B23" i="9"/>
  <c r="A23" i="9"/>
  <c r="L22" i="9"/>
  <c r="K22" i="9"/>
  <c r="J22" i="9"/>
  <c r="I22" i="9"/>
  <c r="H22" i="9"/>
  <c r="G22" i="9"/>
  <c r="F22" i="9"/>
  <c r="E22" i="9"/>
  <c r="D22" i="9"/>
  <c r="C22" i="9"/>
  <c r="B22" i="9"/>
  <c r="A22" i="9"/>
  <c r="L21" i="9"/>
  <c r="K21" i="9"/>
  <c r="J21" i="9"/>
  <c r="I21" i="9"/>
  <c r="H21" i="9"/>
  <c r="G21" i="9"/>
  <c r="F21" i="9"/>
  <c r="E21" i="9"/>
  <c r="D21" i="9"/>
  <c r="C21" i="9"/>
  <c r="B21" i="9"/>
  <c r="A21" i="9"/>
  <c r="L20" i="9"/>
  <c r="K20" i="9"/>
  <c r="J20" i="9"/>
  <c r="I20" i="9"/>
  <c r="H20" i="9"/>
  <c r="G20" i="9"/>
  <c r="F20" i="9"/>
  <c r="E20" i="9"/>
  <c r="D20" i="9"/>
  <c r="C20" i="9"/>
  <c r="B20" i="9"/>
  <c r="A20" i="9"/>
  <c r="L19" i="9"/>
  <c r="K19" i="9"/>
  <c r="J19" i="9"/>
  <c r="I19" i="9"/>
  <c r="H19" i="9"/>
  <c r="G19" i="9"/>
  <c r="F19" i="9"/>
  <c r="E19" i="9"/>
  <c r="D19" i="9"/>
  <c r="C19" i="9"/>
  <c r="B19" i="9"/>
  <c r="A19" i="9"/>
  <c r="L18" i="9"/>
  <c r="K18" i="9"/>
  <c r="J18" i="9"/>
  <c r="I18" i="9"/>
  <c r="H18" i="9"/>
  <c r="G18" i="9"/>
  <c r="F18" i="9"/>
  <c r="E18" i="9"/>
  <c r="D18" i="9"/>
  <c r="C18" i="9"/>
  <c r="B18" i="9"/>
  <c r="A18" i="9"/>
  <c r="L17" i="9"/>
  <c r="K17" i="9"/>
  <c r="J17" i="9"/>
  <c r="I17" i="9"/>
  <c r="H17" i="9"/>
  <c r="G17" i="9"/>
  <c r="F17" i="9"/>
  <c r="E17" i="9"/>
  <c r="D17" i="9"/>
  <c r="C17" i="9"/>
  <c r="B17" i="9"/>
  <c r="A17" i="9"/>
  <c r="L16" i="9"/>
  <c r="K16" i="9"/>
  <c r="J16" i="9"/>
  <c r="I16" i="9"/>
  <c r="H16" i="9"/>
  <c r="G16" i="9"/>
  <c r="F16" i="9"/>
  <c r="E16" i="9"/>
  <c r="D16" i="9"/>
  <c r="C16" i="9"/>
  <c r="B16" i="9"/>
  <c r="A16" i="9"/>
  <c r="L15" i="9"/>
  <c r="K15" i="9"/>
  <c r="J15" i="9"/>
  <c r="I15" i="9"/>
  <c r="H15" i="9"/>
  <c r="G15" i="9"/>
  <c r="F15" i="9"/>
  <c r="E15" i="9"/>
  <c r="D15" i="9"/>
  <c r="C15" i="9"/>
  <c r="B15" i="9"/>
  <c r="A15" i="9"/>
  <c r="L14" i="9"/>
  <c r="K14" i="9"/>
  <c r="J14" i="9"/>
  <c r="I14" i="9"/>
  <c r="H14" i="9"/>
  <c r="G14" i="9"/>
  <c r="F14" i="9"/>
  <c r="E14" i="9"/>
  <c r="D14" i="9"/>
  <c r="C14" i="9"/>
  <c r="B14" i="9"/>
  <c r="A14" i="9"/>
  <c r="L13" i="9"/>
  <c r="K13" i="9"/>
  <c r="J13" i="9"/>
  <c r="I13" i="9"/>
  <c r="H13" i="9"/>
  <c r="G13" i="9"/>
  <c r="F13" i="9"/>
  <c r="E13" i="9"/>
  <c r="D13" i="9"/>
  <c r="C13" i="9"/>
  <c r="B13" i="9"/>
  <c r="A13" i="9"/>
  <c r="L12" i="9"/>
  <c r="K12" i="9"/>
  <c r="J12" i="9"/>
  <c r="I12" i="9"/>
  <c r="H12" i="9"/>
  <c r="G12" i="9"/>
  <c r="F12" i="9"/>
  <c r="E12" i="9"/>
  <c r="D12" i="9"/>
  <c r="C12" i="9"/>
  <c r="B12" i="9"/>
  <c r="A12" i="9"/>
  <c r="L11" i="9"/>
  <c r="K11" i="9"/>
  <c r="J11" i="9"/>
  <c r="I11" i="9"/>
  <c r="H11" i="9"/>
  <c r="G11" i="9"/>
  <c r="F11" i="9"/>
  <c r="E11" i="9"/>
  <c r="D11" i="9"/>
  <c r="C11" i="9"/>
  <c r="B11" i="9"/>
  <c r="A11" i="9"/>
  <c r="L10" i="9"/>
  <c r="K10" i="9"/>
  <c r="J10" i="9"/>
  <c r="I10" i="9"/>
  <c r="H10" i="9"/>
  <c r="G10" i="9"/>
  <c r="F10" i="9"/>
  <c r="E10" i="9"/>
  <c r="D10" i="9"/>
  <c r="C10" i="9"/>
  <c r="B10" i="9"/>
  <c r="A10" i="9"/>
  <c r="L9" i="9"/>
  <c r="K9" i="9"/>
  <c r="J9" i="9"/>
  <c r="I9" i="9"/>
  <c r="H9" i="9"/>
  <c r="G9" i="9"/>
  <c r="F9" i="9"/>
  <c r="E9" i="9"/>
  <c r="D9" i="9"/>
  <c r="C9" i="9"/>
  <c r="B9" i="9"/>
  <c r="A9" i="9"/>
  <c r="L8" i="9"/>
  <c r="K8" i="9"/>
  <c r="J8" i="9"/>
  <c r="I8" i="9"/>
  <c r="H8" i="9"/>
  <c r="G8" i="9"/>
  <c r="F8" i="9"/>
  <c r="E8" i="9"/>
  <c r="D8" i="9"/>
  <c r="C8" i="9"/>
  <c r="B8" i="9"/>
  <c r="A8" i="9"/>
  <c r="L7" i="9"/>
  <c r="K7" i="9"/>
  <c r="J7" i="9"/>
  <c r="I7" i="9"/>
  <c r="H7" i="9"/>
  <c r="G7" i="9"/>
  <c r="F7" i="9"/>
  <c r="E7" i="9"/>
  <c r="D7" i="9"/>
  <c r="C7" i="9"/>
  <c r="B7" i="9"/>
  <c r="A7" i="9"/>
  <c r="L6" i="9"/>
  <c r="K6" i="9"/>
  <c r="J6" i="9"/>
  <c r="I6" i="9"/>
  <c r="H6" i="9"/>
  <c r="G6" i="9"/>
  <c r="F6" i="9"/>
  <c r="E6" i="9"/>
  <c r="D6" i="9"/>
  <c r="C6" i="9"/>
  <c r="B6" i="9"/>
  <c r="A6" i="9"/>
  <c r="L5" i="9"/>
  <c r="K5" i="9"/>
  <c r="J5" i="9"/>
  <c r="I5" i="9"/>
  <c r="H5" i="9"/>
  <c r="G5" i="9"/>
  <c r="F5" i="9"/>
  <c r="E5" i="9"/>
  <c r="D5" i="9"/>
  <c r="C5" i="9"/>
  <c r="B5" i="9"/>
  <c r="A5" i="9"/>
  <c r="L4" i="9"/>
  <c r="K4" i="9"/>
  <c r="J4" i="9"/>
  <c r="I4" i="9"/>
  <c r="H4" i="9"/>
  <c r="G4" i="9"/>
  <c r="F4" i="9"/>
  <c r="E4" i="9"/>
  <c r="D4" i="9"/>
  <c r="C4" i="9"/>
  <c r="B4" i="9"/>
  <c r="A4" i="9"/>
  <c r="L3" i="9"/>
  <c r="K3" i="9"/>
  <c r="J3" i="9"/>
  <c r="I3" i="9"/>
  <c r="H3" i="9"/>
  <c r="G3" i="9"/>
  <c r="F3" i="9"/>
  <c r="E3" i="9"/>
  <c r="D3" i="9"/>
  <c r="C3" i="9"/>
  <c r="B3" i="9"/>
  <c r="A3" i="9"/>
  <c r="K96" i="8"/>
  <c r="J96" i="8"/>
  <c r="I96" i="8"/>
  <c r="H96" i="8"/>
  <c r="G96" i="8"/>
  <c r="F96" i="8"/>
  <c r="E96" i="8"/>
  <c r="D96" i="8"/>
  <c r="C96" i="8"/>
  <c r="B96" i="8"/>
  <c r="A96" i="8"/>
  <c r="K95" i="8"/>
  <c r="J95" i="8"/>
  <c r="I95" i="8"/>
  <c r="H95" i="8"/>
  <c r="G95" i="8"/>
  <c r="F95" i="8"/>
  <c r="E95" i="8"/>
  <c r="D95" i="8"/>
  <c r="C95" i="8"/>
  <c r="B95" i="8"/>
  <c r="A95" i="8"/>
  <c r="K94" i="8"/>
  <c r="J94" i="8"/>
  <c r="I94" i="8"/>
  <c r="H94" i="8"/>
  <c r="G94" i="8"/>
  <c r="F94" i="8"/>
  <c r="E94" i="8"/>
  <c r="D94" i="8"/>
  <c r="C94" i="8"/>
  <c r="B94" i="8"/>
  <c r="A94" i="8"/>
  <c r="K93" i="8"/>
  <c r="J93" i="8"/>
  <c r="I93" i="8"/>
  <c r="H93" i="8"/>
  <c r="G93" i="8"/>
  <c r="F93" i="8"/>
  <c r="E93" i="8"/>
  <c r="D93" i="8"/>
  <c r="C93" i="8"/>
  <c r="B93" i="8"/>
  <c r="A93" i="8"/>
  <c r="K92" i="8"/>
  <c r="J92" i="8"/>
  <c r="I92" i="8"/>
  <c r="H92" i="8"/>
  <c r="G92" i="8"/>
  <c r="F92" i="8"/>
  <c r="E92" i="8"/>
  <c r="D92" i="8"/>
  <c r="C92" i="8"/>
  <c r="B92" i="8"/>
  <c r="A92" i="8"/>
  <c r="K91" i="8"/>
  <c r="J91" i="8"/>
  <c r="I91" i="8"/>
  <c r="H91" i="8"/>
  <c r="G91" i="8"/>
  <c r="F91" i="8"/>
  <c r="E91" i="8"/>
  <c r="D91" i="8"/>
  <c r="C91" i="8"/>
  <c r="B91" i="8"/>
  <c r="A91" i="8"/>
  <c r="K90" i="8"/>
  <c r="J90" i="8"/>
  <c r="I90" i="8"/>
  <c r="H90" i="8"/>
  <c r="G90" i="8"/>
  <c r="F90" i="8"/>
  <c r="E90" i="8"/>
  <c r="D90" i="8"/>
  <c r="C90" i="8"/>
  <c r="B90" i="8"/>
  <c r="A90" i="8"/>
  <c r="K89" i="8"/>
  <c r="J89" i="8"/>
  <c r="I89" i="8"/>
  <c r="H89" i="8"/>
  <c r="G89" i="8"/>
  <c r="F89" i="8"/>
  <c r="E89" i="8"/>
  <c r="D89" i="8"/>
  <c r="C89" i="8"/>
  <c r="B89" i="8"/>
  <c r="A89" i="8"/>
  <c r="K88" i="8"/>
  <c r="J88" i="8"/>
  <c r="I88" i="8"/>
  <c r="H88" i="8"/>
  <c r="G88" i="8"/>
  <c r="F88" i="8"/>
  <c r="E88" i="8"/>
  <c r="D88" i="8"/>
  <c r="C88" i="8"/>
  <c r="B88" i="8"/>
  <c r="A88" i="8"/>
  <c r="K87" i="8"/>
  <c r="J87" i="8"/>
  <c r="I87" i="8"/>
  <c r="H87" i="8"/>
  <c r="G87" i="8"/>
  <c r="F87" i="8"/>
  <c r="E87" i="8"/>
  <c r="D87" i="8"/>
  <c r="C87" i="8"/>
  <c r="B87" i="8"/>
  <c r="A87" i="8"/>
  <c r="K86" i="8"/>
  <c r="J86" i="8"/>
  <c r="I86" i="8"/>
  <c r="H86" i="8"/>
  <c r="G86" i="8"/>
  <c r="F86" i="8"/>
  <c r="E86" i="8"/>
  <c r="D86" i="8"/>
  <c r="C86" i="8"/>
  <c r="B86" i="8"/>
  <c r="A86" i="8"/>
  <c r="K85" i="8"/>
  <c r="J85" i="8"/>
  <c r="I85" i="8"/>
  <c r="H85" i="8"/>
  <c r="G85" i="8"/>
  <c r="F85" i="8"/>
  <c r="E85" i="8"/>
  <c r="D85" i="8"/>
  <c r="C85" i="8"/>
  <c r="B85" i="8"/>
  <c r="A85" i="8"/>
  <c r="K84" i="8"/>
  <c r="J84" i="8"/>
  <c r="I84" i="8"/>
  <c r="H84" i="8"/>
  <c r="G84" i="8"/>
  <c r="F84" i="8"/>
  <c r="E84" i="8"/>
  <c r="D84" i="8"/>
  <c r="C84" i="8"/>
  <c r="B84" i="8"/>
  <c r="A84" i="8"/>
  <c r="K83" i="8"/>
  <c r="J83" i="8"/>
  <c r="I83" i="8"/>
  <c r="H83" i="8"/>
  <c r="G83" i="8"/>
  <c r="F83" i="8"/>
  <c r="E83" i="8"/>
  <c r="D83" i="8"/>
  <c r="C83" i="8"/>
  <c r="B83" i="8"/>
  <c r="A83" i="8"/>
  <c r="K82" i="8"/>
  <c r="J82" i="8"/>
  <c r="I82" i="8"/>
  <c r="H82" i="8"/>
  <c r="G82" i="8"/>
  <c r="F82" i="8"/>
  <c r="E82" i="8"/>
  <c r="D82" i="8"/>
  <c r="C82" i="8"/>
  <c r="B82" i="8"/>
  <c r="A82" i="8"/>
  <c r="K81" i="8"/>
  <c r="J81" i="8"/>
  <c r="I81" i="8"/>
  <c r="H81" i="8"/>
  <c r="G81" i="8"/>
  <c r="F81" i="8"/>
  <c r="E81" i="8"/>
  <c r="D81" i="8"/>
  <c r="C81" i="8"/>
  <c r="B81" i="8"/>
  <c r="A81" i="8"/>
  <c r="K80" i="8"/>
  <c r="J80" i="8"/>
  <c r="I80" i="8"/>
  <c r="H80" i="8"/>
  <c r="G80" i="8"/>
  <c r="F80" i="8"/>
  <c r="E80" i="8"/>
  <c r="D80" i="8"/>
  <c r="C80" i="8"/>
  <c r="B80" i="8"/>
  <c r="A80" i="8"/>
  <c r="K79" i="8"/>
  <c r="J79" i="8"/>
  <c r="I79" i="8"/>
  <c r="H79" i="8"/>
  <c r="G79" i="8"/>
  <c r="F79" i="8"/>
  <c r="E79" i="8"/>
  <c r="D79" i="8"/>
  <c r="C79" i="8"/>
  <c r="B79" i="8"/>
  <c r="A79" i="8"/>
  <c r="K78" i="8"/>
  <c r="J78" i="8"/>
  <c r="I78" i="8"/>
  <c r="H78" i="8"/>
  <c r="G78" i="8"/>
  <c r="F78" i="8"/>
  <c r="E78" i="8"/>
  <c r="D78" i="8"/>
  <c r="C78" i="8"/>
  <c r="B78" i="8"/>
  <c r="A78" i="8"/>
  <c r="K77" i="8"/>
  <c r="J77" i="8"/>
  <c r="I77" i="8"/>
  <c r="H77" i="8"/>
  <c r="G77" i="8"/>
  <c r="F77" i="8"/>
  <c r="E77" i="8"/>
  <c r="D77" i="8"/>
  <c r="C77" i="8"/>
  <c r="B77" i="8"/>
  <c r="A77" i="8"/>
  <c r="K76" i="8"/>
  <c r="J76" i="8"/>
  <c r="I76" i="8"/>
  <c r="H76" i="8"/>
  <c r="G76" i="8"/>
  <c r="F76" i="8"/>
  <c r="E76" i="8"/>
  <c r="D76" i="8"/>
  <c r="C76" i="8"/>
  <c r="B76" i="8"/>
  <c r="A76" i="8"/>
  <c r="K75" i="8"/>
  <c r="J75" i="8"/>
  <c r="I75" i="8"/>
  <c r="H75" i="8"/>
  <c r="G75" i="8"/>
  <c r="F75" i="8"/>
  <c r="E75" i="8"/>
  <c r="D75" i="8"/>
  <c r="C75" i="8"/>
  <c r="B75" i="8"/>
  <c r="A75" i="8"/>
  <c r="K74" i="8"/>
  <c r="J74" i="8"/>
  <c r="I74" i="8"/>
  <c r="H74" i="8"/>
  <c r="G74" i="8"/>
  <c r="F74" i="8"/>
  <c r="E74" i="8"/>
  <c r="D74" i="8"/>
  <c r="C74" i="8"/>
  <c r="B74" i="8"/>
  <c r="A74" i="8"/>
  <c r="K73" i="8"/>
  <c r="J73" i="8"/>
  <c r="I73" i="8"/>
  <c r="H73" i="8"/>
  <c r="G73" i="8"/>
  <c r="F73" i="8"/>
  <c r="E73" i="8"/>
  <c r="D73" i="8"/>
  <c r="C73" i="8"/>
  <c r="B73" i="8"/>
  <c r="A73" i="8"/>
  <c r="K72" i="8"/>
  <c r="J72" i="8"/>
  <c r="I72" i="8"/>
  <c r="H72" i="8"/>
  <c r="G72" i="8"/>
  <c r="F72" i="8"/>
  <c r="E72" i="8"/>
  <c r="D72" i="8"/>
  <c r="C72" i="8"/>
  <c r="B72" i="8"/>
  <c r="A72" i="8"/>
  <c r="K71" i="8"/>
  <c r="J71" i="8"/>
  <c r="I71" i="8"/>
  <c r="H71" i="8"/>
  <c r="G71" i="8"/>
  <c r="F71" i="8"/>
  <c r="E71" i="8"/>
  <c r="D71" i="8"/>
  <c r="C71" i="8"/>
  <c r="B71" i="8"/>
  <c r="A71" i="8"/>
  <c r="K70" i="8"/>
  <c r="J70" i="8"/>
  <c r="I70" i="8"/>
  <c r="H70" i="8"/>
  <c r="G70" i="8"/>
  <c r="F70" i="8"/>
  <c r="E70" i="8"/>
  <c r="D70" i="8"/>
  <c r="C70" i="8"/>
  <c r="B70" i="8"/>
  <c r="A70" i="8"/>
  <c r="K69" i="8"/>
  <c r="J69" i="8"/>
  <c r="I69" i="8"/>
  <c r="H69" i="8"/>
  <c r="G69" i="8"/>
  <c r="F69" i="8"/>
  <c r="E69" i="8"/>
  <c r="D69" i="8"/>
  <c r="C69" i="8"/>
  <c r="B69" i="8"/>
  <c r="A69" i="8"/>
  <c r="K68" i="8"/>
  <c r="J68" i="8"/>
  <c r="I68" i="8"/>
  <c r="H68" i="8"/>
  <c r="G68" i="8"/>
  <c r="F68" i="8"/>
  <c r="E68" i="8"/>
  <c r="D68" i="8"/>
  <c r="C68" i="8"/>
  <c r="B68" i="8"/>
  <c r="A68" i="8"/>
  <c r="K67" i="8"/>
  <c r="J67" i="8"/>
  <c r="I67" i="8"/>
  <c r="H67" i="8"/>
  <c r="G67" i="8"/>
  <c r="F67" i="8"/>
  <c r="E67" i="8"/>
  <c r="D67" i="8"/>
  <c r="C67" i="8"/>
  <c r="B67" i="8"/>
  <c r="A67" i="8"/>
  <c r="K66" i="8"/>
  <c r="J66" i="8"/>
  <c r="I66" i="8"/>
  <c r="H66" i="8"/>
  <c r="G66" i="8"/>
  <c r="F66" i="8"/>
  <c r="E66" i="8"/>
  <c r="D66" i="8"/>
  <c r="C66" i="8"/>
  <c r="B66" i="8"/>
  <c r="A66" i="8"/>
  <c r="K65" i="8"/>
  <c r="J65" i="8"/>
  <c r="I65" i="8"/>
  <c r="H65" i="8"/>
  <c r="G65" i="8"/>
  <c r="F65" i="8"/>
  <c r="E65" i="8"/>
  <c r="D65" i="8"/>
  <c r="C65" i="8"/>
  <c r="B65" i="8"/>
  <c r="A65" i="8"/>
  <c r="K64" i="8"/>
  <c r="J64" i="8"/>
  <c r="I64" i="8"/>
  <c r="H64" i="8"/>
  <c r="G64" i="8"/>
  <c r="F64" i="8"/>
  <c r="E64" i="8"/>
  <c r="D64" i="8"/>
  <c r="C64" i="8"/>
  <c r="B64" i="8"/>
  <c r="A64" i="8"/>
  <c r="K63" i="8"/>
  <c r="J63" i="8"/>
  <c r="I63" i="8"/>
  <c r="H63" i="8"/>
  <c r="G63" i="8"/>
  <c r="F63" i="8"/>
  <c r="E63" i="8"/>
  <c r="D63" i="8"/>
  <c r="C63" i="8"/>
  <c r="B63" i="8"/>
  <c r="A63" i="8"/>
  <c r="K62" i="8"/>
  <c r="J62" i="8"/>
  <c r="I62" i="8"/>
  <c r="H62" i="8"/>
  <c r="G62" i="8"/>
  <c r="F62" i="8"/>
  <c r="E62" i="8"/>
  <c r="D62" i="8"/>
  <c r="C62" i="8"/>
  <c r="B62" i="8"/>
  <c r="A62" i="8"/>
  <c r="K61" i="8"/>
  <c r="J61" i="8"/>
  <c r="I61" i="8"/>
  <c r="H61" i="8"/>
  <c r="G61" i="8"/>
  <c r="F61" i="8"/>
  <c r="E61" i="8"/>
  <c r="D61" i="8"/>
  <c r="C61" i="8"/>
  <c r="B61" i="8"/>
  <c r="A61" i="8"/>
  <c r="K60" i="8"/>
  <c r="J60" i="8"/>
  <c r="I60" i="8"/>
  <c r="H60" i="8"/>
  <c r="G60" i="8"/>
  <c r="F60" i="8"/>
  <c r="E60" i="8"/>
  <c r="D60" i="8"/>
  <c r="C60" i="8"/>
  <c r="B60" i="8"/>
  <c r="A60" i="8"/>
  <c r="K59" i="8"/>
  <c r="J59" i="8"/>
  <c r="I59" i="8"/>
  <c r="H59" i="8"/>
  <c r="G59" i="8"/>
  <c r="F59" i="8"/>
  <c r="E59" i="8"/>
  <c r="D59" i="8"/>
  <c r="C59" i="8"/>
  <c r="B59" i="8"/>
  <c r="A59" i="8"/>
  <c r="K58" i="8"/>
  <c r="J58" i="8"/>
  <c r="I58" i="8"/>
  <c r="H58" i="8"/>
  <c r="G58" i="8"/>
  <c r="F58" i="8"/>
  <c r="E58" i="8"/>
  <c r="D58" i="8"/>
  <c r="C58" i="8"/>
  <c r="B58" i="8"/>
  <c r="A58" i="8"/>
  <c r="K57" i="8"/>
  <c r="J57" i="8"/>
  <c r="I57" i="8"/>
  <c r="H57" i="8"/>
  <c r="G57" i="8"/>
  <c r="F57" i="8"/>
  <c r="E57" i="8"/>
  <c r="D57" i="8"/>
  <c r="C57" i="8"/>
  <c r="B57" i="8"/>
  <c r="A57" i="8"/>
  <c r="K56" i="8"/>
  <c r="J56" i="8"/>
  <c r="I56" i="8"/>
  <c r="H56" i="8"/>
  <c r="G56" i="8"/>
  <c r="F56" i="8"/>
  <c r="E56" i="8"/>
  <c r="D56" i="8"/>
  <c r="C56" i="8"/>
  <c r="B56" i="8"/>
  <c r="A56" i="8"/>
  <c r="K55" i="8"/>
  <c r="J55" i="8"/>
  <c r="I55" i="8"/>
  <c r="H55" i="8"/>
  <c r="G55" i="8"/>
  <c r="F55" i="8"/>
  <c r="E55" i="8"/>
  <c r="D55" i="8"/>
  <c r="C55" i="8"/>
  <c r="B55" i="8"/>
  <c r="A55" i="8"/>
  <c r="K54" i="8"/>
  <c r="J54" i="8"/>
  <c r="I54" i="8"/>
  <c r="H54" i="8"/>
  <c r="G54" i="8"/>
  <c r="F54" i="8"/>
  <c r="E54" i="8"/>
  <c r="D54" i="8"/>
  <c r="C54" i="8"/>
  <c r="B54" i="8"/>
  <c r="A54" i="8"/>
  <c r="K53" i="8"/>
  <c r="J53" i="8"/>
  <c r="I53" i="8"/>
  <c r="H53" i="8"/>
  <c r="G53" i="8"/>
  <c r="F53" i="8"/>
  <c r="E53" i="8"/>
  <c r="D53" i="8"/>
  <c r="C53" i="8"/>
  <c r="B53" i="8"/>
  <c r="A53" i="8"/>
  <c r="K52" i="8"/>
  <c r="J52" i="8"/>
  <c r="I52" i="8"/>
  <c r="H52" i="8"/>
  <c r="G52" i="8"/>
  <c r="F52" i="8"/>
  <c r="E52" i="8"/>
  <c r="D52" i="8"/>
  <c r="C52" i="8"/>
  <c r="B52" i="8"/>
  <c r="A52" i="8"/>
  <c r="K51" i="8"/>
  <c r="J51" i="8"/>
  <c r="I51" i="8"/>
  <c r="H51" i="8"/>
  <c r="G51" i="8"/>
  <c r="F51" i="8"/>
  <c r="E51" i="8"/>
  <c r="D51" i="8"/>
  <c r="C51" i="8"/>
  <c r="B51" i="8"/>
  <c r="A51" i="8"/>
  <c r="K50" i="8"/>
  <c r="J50" i="8"/>
  <c r="I50" i="8"/>
  <c r="H50" i="8"/>
  <c r="G50" i="8"/>
  <c r="F50" i="8"/>
  <c r="E50" i="8"/>
  <c r="D50" i="8"/>
  <c r="C50" i="8"/>
  <c r="B50" i="8"/>
  <c r="A50" i="8"/>
  <c r="K49" i="8"/>
  <c r="J49" i="8"/>
  <c r="I49" i="8"/>
  <c r="H49" i="8"/>
  <c r="G49" i="8"/>
  <c r="F49" i="8"/>
  <c r="E49" i="8"/>
  <c r="D49" i="8"/>
  <c r="C49" i="8"/>
  <c r="B49" i="8"/>
  <c r="A49" i="8"/>
  <c r="K48" i="8"/>
  <c r="J48" i="8"/>
  <c r="I48" i="8"/>
  <c r="H48" i="8"/>
  <c r="G48" i="8"/>
  <c r="F48" i="8"/>
  <c r="E48" i="8"/>
  <c r="D48" i="8"/>
  <c r="C48" i="8"/>
  <c r="B48" i="8"/>
  <c r="A48" i="8"/>
  <c r="K47" i="8"/>
  <c r="J47" i="8"/>
  <c r="I47" i="8"/>
  <c r="H47" i="8"/>
  <c r="G47" i="8"/>
  <c r="F47" i="8"/>
  <c r="E47" i="8"/>
  <c r="D47" i="8"/>
  <c r="C47" i="8"/>
  <c r="B47" i="8"/>
  <c r="A47" i="8"/>
  <c r="K46" i="8"/>
  <c r="J46" i="8"/>
  <c r="I46" i="8"/>
  <c r="H46" i="8"/>
  <c r="G46" i="8"/>
  <c r="F46" i="8"/>
  <c r="E46" i="8"/>
  <c r="D46" i="8"/>
  <c r="C46" i="8"/>
  <c r="B46" i="8"/>
  <c r="A46" i="8"/>
  <c r="K45" i="8"/>
  <c r="J45" i="8"/>
  <c r="I45" i="8"/>
  <c r="H45" i="8"/>
  <c r="G45" i="8"/>
  <c r="F45" i="8"/>
  <c r="E45" i="8"/>
  <c r="D45" i="8"/>
  <c r="C45" i="8"/>
  <c r="B45" i="8"/>
  <c r="A45" i="8"/>
  <c r="K44" i="8"/>
  <c r="J44" i="8"/>
  <c r="I44" i="8"/>
  <c r="H44" i="8"/>
  <c r="G44" i="8"/>
  <c r="F44" i="8"/>
  <c r="E44" i="8"/>
  <c r="D44" i="8"/>
  <c r="C44" i="8"/>
  <c r="B44" i="8"/>
  <c r="A44" i="8"/>
  <c r="K43" i="8"/>
  <c r="J43" i="8"/>
  <c r="I43" i="8"/>
  <c r="H43" i="8"/>
  <c r="G43" i="8"/>
  <c r="F43" i="8"/>
  <c r="E43" i="8"/>
  <c r="D43" i="8"/>
  <c r="C43" i="8"/>
  <c r="B43" i="8"/>
  <c r="A43" i="8"/>
  <c r="K42" i="8"/>
  <c r="J42" i="8"/>
  <c r="I42" i="8"/>
  <c r="H42" i="8"/>
  <c r="G42" i="8"/>
  <c r="F42" i="8"/>
  <c r="E42" i="8"/>
  <c r="D42" i="8"/>
  <c r="C42" i="8"/>
  <c r="B42" i="8"/>
  <c r="A42" i="8"/>
  <c r="K41" i="8"/>
  <c r="J41" i="8"/>
  <c r="I41" i="8"/>
  <c r="H41" i="8"/>
  <c r="G41" i="8"/>
  <c r="F41" i="8"/>
  <c r="E41" i="8"/>
  <c r="D41" i="8"/>
  <c r="C41" i="8"/>
  <c r="B41" i="8"/>
  <c r="A41" i="8"/>
  <c r="K40" i="8"/>
  <c r="J40" i="8"/>
  <c r="I40" i="8"/>
  <c r="H40" i="8"/>
  <c r="G40" i="8"/>
  <c r="F40" i="8"/>
  <c r="E40" i="8"/>
  <c r="D40" i="8"/>
  <c r="C40" i="8"/>
  <c r="B40" i="8"/>
  <c r="A40" i="8"/>
  <c r="K39" i="8"/>
  <c r="J39" i="8"/>
  <c r="I39" i="8"/>
  <c r="H39" i="8"/>
  <c r="G39" i="8"/>
  <c r="F39" i="8"/>
  <c r="E39" i="8"/>
  <c r="D39" i="8"/>
  <c r="C39" i="8"/>
  <c r="B39" i="8"/>
  <c r="A39" i="8"/>
  <c r="K38" i="8"/>
  <c r="J38" i="8"/>
  <c r="I38" i="8"/>
  <c r="H38" i="8"/>
  <c r="G38" i="8"/>
  <c r="F38" i="8"/>
  <c r="E38" i="8"/>
  <c r="D38" i="8"/>
  <c r="C38" i="8"/>
  <c r="B38" i="8"/>
  <c r="A38" i="8"/>
  <c r="K37" i="8"/>
  <c r="J37" i="8"/>
  <c r="I37" i="8"/>
  <c r="H37" i="8"/>
  <c r="G37" i="8"/>
  <c r="F37" i="8"/>
  <c r="E37" i="8"/>
  <c r="D37" i="8"/>
  <c r="C37" i="8"/>
  <c r="B37" i="8"/>
  <c r="A37" i="8"/>
  <c r="K36" i="8"/>
  <c r="J36" i="8"/>
  <c r="I36" i="8"/>
  <c r="H36" i="8"/>
  <c r="G36" i="8"/>
  <c r="F36" i="8"/>
  <c r="E36" i="8"/>
  <c r="D36" i="8"/>
  <c r="C36" i="8"/>
  <c r="B36" i="8"/>
  <c r="A36" i="8"/>
  <c r="K35" i="8"/>
  <c r="J35" i="8"/>
  <c r="I35" i="8"/>
  <c r="H35" i="8"/>
  <c r="G35" i="8"/>
  <c r="F35" i="8"/>
  <c r="E35" i="8"/>
  <c r="D35" i="8"/>
  <c r="C35" i="8"/>
  <c r="B35" i="8"/>
  <c r="A35" i="8"/>
  <c r="K34" i="8"/>
  <c r="J34" i="8"/>
  <c r="I34" i="8"/>
  <c r="H34" i="8"/>
  <c r="G34" i="8"/>
  <c r="F34" i="8"/>
  <c r="E34" i="8"/>
  <c r="D34" i="8"/>
  <c r="C34" i="8"/>
  <c r="B34" i="8"/>
  <c r="A34" i="8"/>
  <c r="K33" i="8"/>
  <c r="J33" i="8"/>
  <c r="I33" i="8"/>
  <c r="H33" i="8"/>
  <c r="G33" i="8"/>
  <c r="F33" i="8"/>
  <c r="E33" i="8"/>
  <c r="D33" i="8"/>
  <c r="C33" i="8"/>
  <c r="B33" i="8"/>
  <c r="A33" i="8"/>
  <c r="K32" i="8"/>
  <c r="J32" i="8"/>
  <c r="I32" i="8"/>
  <c r="H32" i="8"/>
  <c r="G32" i="8"/>
  <c r="F32" i="8"/>
  <c r="E32" i="8"/>
  <c r="D32" i="8"/>
  <c r="C32" i="8"/>
  <c r="B32" i="8"/>
  <c r="A32" i="8"/>
  <c r="K31" i="8"/>
  <c r="J31" i="8"/>
  <c r="I31" i="8"/>
  <c r="H31" i="8"/>
  <c r="G31" i="8"/>
  <c r="F31" i="8"/>
  <c r="E31" i="8"/>
  <c r="D31" i="8"/>
  <c r="C31" i="8"/>
  <c r="B31" i="8"/>
  <c r="A31" i="8"/>
  <c r="K30" i="8"/>
  <c r="J30" i="8"/>
  <c r="I30" i="8"/>
  <c r="H30" i="8"/>
  <c r="G30" i="8"/>
  <c r="F30" i="8"/>
  <c r="E30" i="8"/>
  <c r="D30" i="8"/>
  <c r="C30" i="8"/>
  <c r="B30" i="8"/>
  <c r="A30" i="8"/>
  <c r="K29" i="8"/>
  <c r="J29" i="8"/>
  <c r="I29" i="8"/>
  <c r="H29" i="8"/>
  <c r="G29" i="8"/>
  <c r="F29" i="8"/>
  <c r="E29" i="8"/>
  <c r="D29" i="8"/>
  <c r="C29" i="8"/>
  <c r="B29" i="8"/>
  <c r="A29" i="8"/>
  <c r="K28" i="8"/>
  <c r="J28" i="8"/>
  <c r="I28" i="8"/>
  <c r="H28" i="8"/>
  <c r="G28" i="8"/>
  <c r="F28" i="8"/>
  <c r="E28" i="8"/>
  <c r="D28" i="8"/>
  <c r="C28" i="8"/>
  <c r="B28" i="8"/>
  <c r="A28" i="8"/>
  <c r="K27" i="8"/>
  <c r="J27" i="8"/>
  <c r="I27" i="8"/>
  <c r="H27" i="8"/>
  <c r="G27" i="8"/>
  <c r="F27" i="8"/>
  <c r="E27" i="8"/>
  <c r="D27" i="8"/>
  <c r="C27" i="8"/>
  <c r="B27" i="8"/>
  <c r="A27" i="8"/>
  <c r="K26" i="8"/>
  <c r="J26" i="8"/>
  <c r="I26" i="8"/>
  <c r="H26" i="8"/>
  <c r="G26" i="8"/>
  <c r="F26" i="8"/>
  <c r="E26" i="8"/>
  <c r="D26" i="8"/>
  <c r="C26" i="8"/>
  <c r="B26" i="8"/>
  <c r="A26" i="8"/>
  <c r="K25" i="8"/>
  <c r="J25" i="8"/>
  <c r="I25" i="8"/>
  <c r="H25" i="8"/>
  <c r="G25" i="8"/>
  <c r="F25" i="8"/>
  <c r="E25" i="8"/>
  <c r="D25" i="8"/>
  <c r="C25" i="8"/>
  <c r="B25" i="8"/>
  <c r="A25" i="8"/>
  <c r="K24" i="8"/>
  <c r="J24" i="8"/>
  <c r="I24" i="8"/>
  <c r="H24" i="8"/>
  <c r="G24" i="8"/>
  <c r="F24" i="8"/>
  <c r="E24" i="8"/>
  <c r="D24" i="8"/>
  <c r="C24" i="8"/>
  <c r="B24" i="8"/>
  <c r="A24" i="8"/>
  <c r="K23" i="8"/>
  <c r="J23" i="8"/>
  <c r="I23" i="8"/>
  <c r="H23" i="8"/>
  <c r="G23" i="8"/>
  <c r="F23" i="8"/>
  <c r="E23" i="8"/>
  <c r="D23" i="8"/>
  <c r="C23" i="8"/>
  <c r="B23" i="8"/>
  <c r="A23" i="8"/>
  <c r="K22" i="8"/>
  <c r="J22" i="8"/>
  <c r="I22" i="8"/>
  <c r="H22" i="8"/>
  <c r="G22" i="8"/>
  <c r="F22" i="8"/>
  <c r="E22" i="8"/>
  <c r="D22" i="8"/>
  <c r="C22" i="8"/>
  <c r="B22" i="8"/>
  <c r="A22" i="8"/>
  <c r="K21" i="8"/>
  <c r="J21" i="8"/>
  <c r="I21" i="8"/>
  <c r="H21" i="8"/>
  <c r="G21" i="8"/>
  <c r="F21" i="8"/>
  <c r="E21" i="8"/>
  <c r="D21" i="8"/>
  <c r="C21" i="8"/>
  <c r="B21" i="8"/>
  <c r="A21" i="8"/>
  <c r="K20" i="8"/>
  <c r="J20" i="8"/>
  <c r="I20" i="8"/>
  <c r="H20" i="8"/>
  <c r="G20" i="8"/>
  <c r="F20" i="8"/>
  <c r="E20" i="8"/>
  <c r="D20" i="8"/>
  <c r="C20" i="8"/>
  <c r="B20" i="8"/>
  <c r="A20" i="8"/>
  <c r="K19" i="8"/>
  <c r="J19" i="8"/>
  <c r="I19" i="8"/>
  <c r="H19" i="8"/>
  <c r="G19" i="8"/>
  <c r="F19" i="8"/>
  <c r="E19" i="8"/>
  <c r="D19" i="8"/>
  <c r="C19" i="8"/>
  <c r="B19" i="8"/>
  <c r="A19" i="8"/>
  <c r="K18" i="8"/>
  <c r="J18" i="8"/>
  <c r="I18" i="8"/>
  <c r="H18" i="8"/>
  <c r="G18" i="8"/>
  <c r="F18" i="8"/>
  <c r="E18" i="8"/>
  <c r="D18" i="8"/>
  <c r="C18" i="8"/>
  <c r="B18" i="8"/>
  <c r="A18" i="8"/>
  <c r="K17" i="8"/>
  <c r="J17" i="8"/>
  <c r="I17" i="8"/>
  <c r="H17" i="8"/>
  <c r="G17" i="8"/>
  <c r="F17" i="8"/>
  <c r="E17" i="8"/>
  <c r="D17" i="8"/>
  <c r="C17" i="8"/>
  <c r="B17" i="8"/>
  <c r="A17" i="8"/>
  <c r="K16" i="8"/>
  <c r="J16" i="8"/>
  <c r="I16" i="8"/>
  <c r="H16" i="8"/>
  <c r="G16" i="8"/>
  <c r="F16" i="8"/>
  <c r="E16" i="8"/>
  <c r="D16" i="8"/>
  <c r="C16" i="8"/>
  <c r="B16" i="8"/>
  <c r="A16" i="8"/>
  <c r="K15" i="8"/>
  <c r="J15" i="8"/>
  <c r="I15" i="8"/>
  <c r="H15" i="8"/>
  <c r="G15" i="8"/>
  <c r="F15" i="8"/>
  <c r="E15" i="8"/>
  <c r="D15" i="8"/>
  <c r="C15" i="8"/>
  <c r="B15" i="8"/>
  <c r="A15" i="8"/>
  <c r="K14" i="8"/>
  <c r="J14" i="8"/>
  <c r="I14" i="8"/>
  <c r="H14" i="8"/>
  <c r="G14" i="8"/>
  <c r="F14" i="8"/>
  <c r="E14" i="8"/>
  <c r="D14" i="8"/>
  <c r="C14" i="8"/>
  <c r="B14" i="8"/>
  <c r="A14" i="8"/>
  <c r="K13" i="8"/>
  <c r="J13" i="8"/>
  <c r="I13" i="8"/>
  <c r="H13" i="8"/>
  <c r="G13" i="8"/>
  <c r="F13" i="8"/>
  <c r="E13" i="8"/>
  <c r="D13" i="8"/>
  <c r="C13" i="8"/>
  <c r="B13" i="8"/>
  <c r="A13" i="8"/>
  <c r="K12" i="8"/>
  <c r="J12" i="8"/>
  <c r="I12" i="8"/>
  <c r="H12" i="8"/>
  <c r="G12" i="8"/>
  <c r="F12" i="8"/>
  <c r="E12" i="8"/>
  <c r="D12" i="8"/>
  <c r="C12" i="8"/>
  <c r="B12" i="8"/>
  <c r="A12" i="8"/>
  <c r="K11" i="8"/>
  <c r="J11" i="8"/>
  <c r="I11" i="8"/>
  <c r="H11" i="8"/>
  <c r="G11" i="8"/>
  <c r="F11" i="8"/>
  <c r="E11" i="8"/>
  <c r="D11" i="8"/>
  <c r="C11" i="8"/>
  <c r="B11" i="8"/>
  <c r="A11" i="8"/>
  <c r="K10" i="8"/>
  <c r="J10" i="8"/>
  <c r="I10" i="8"/>
  <c r="H10" i="8"/>
  <c r="G10" i="8"/>
  <c r="F10" i="8"/>
  <c r="E10" i="8"/>
  <c r="D10" i="8"/>
  <c r="C10" i="8"/>
  <c r="B10" i="8"/>
  <c r="A10" i="8"/>
  <c r="K9" i="8"/>
  <c r="J9" i="8"/>
  <c r="I9" i="8"/>
  <c r="H9" i="8"/>
  <c r="G9" i="8"/>
  <c r="F9" i="8"/>
  <c r="E9" i="8"/>
  <c r="D9" i="8"/>
  <c r="C9" i="8"/>
  <c r="B9" i="8"/>
  <c r="A9" i="8"/>
  <c r="K8" i="8"/>
  <c r="J8" i="8"/>
  <c r="I8" i="8"/>
  <c r="H8" i="8"/>
  <c r="G8" i="8"/>
  <c r="F8" i="8"/>
  <c r="E8" i="8"/>
  <c r="D8" i="8"/>
  <c r="C8" i="8"/>
  <c r="B8" i="8"/>
  <c r="A8" i="8"/>
  <c r="K7" i="8"/>
  <c r="J7" i="8"/>
  <c r="I7" i="8"/>
  <c r="H7" i="8"/>
  <c r="G7" i="8"/>
  <c r="F7" i="8"/>
  <c r="E7" i="8"/>
  <c r="D7" i="8"/>
  <c r="C7" i="8"/>
  <c r="B7" i="8"/>
  <c r="A7" i="8"/>
  <c r="K6" i="8"/>
  <c r="J6" i="8"/>
  <c r="I6" i="8"/>
  <c r="H6" i="8"/>
  <c r="G6" i="8"/>
  <c r="F6" i="8"/>
  <c r="E6" i="8"/>
  <c r="D6" i="8"/>
  <c r="C6" i="8"/>
  <c r="B6" i="8"/>
  <c r="A6" i="8"/>
  <c r="K5" i="8"/>
  <c r="J5" i="8"/>
  <c r="I5" i="8"/>
  <c r="H5" i="8"/>
  <c r="G5" i="8"/>
  <c r="F5" i="8"/>
  <c r="E5" i="8"/>
  <c r="D5" i="8"/>
  <c r="C5" i="8"/>
  <c r="B5" i="8"/>
  <c r="A5" i="8"/>
  <c r="K4" i="8"/>
  <c r="J4" i="8"/>
  <c r="I4" i="8"/>
  <c r="H4" i="8"/>
  <c r="G4" i="8"/>
  <c r="F4" i="8"/>
  <c r="E4" i="8"/>
  <c r="D4" i="8"/>
  <c r="C4" i="8"/>
  <c r="B4" i="8"/>
  <c r="A4" i="8"/>
  <c r="K3" i="8"/>
  <c r="J3" i="8"/>
  <c r="I3" i="8"/>
  <c r="H3" i="8"/>
  <c r="G3" i="8"/>
  <c r="F3" i="8"/>
  <c r="E3" i="8"/>
  <c r="D3" i="8"/>
  <c r="C3" i="8"/>
  <c r="B3" i="8"/>
  <c r="A3" i="8"/>
  <c r="K43" i="7"/>
  <c r="J43" i="7"/>
  <c r="I43" i="7"/>
  <c r="H43" i="7"/>
  <c r="G43" i="7"/>
  <c r="F43" i="7"/>
  <c r="E43" i="7"/>
  <c r="D43" i="7"/>
  <c r="C43" i="7"/>
  <c r="B43" i="7"/>
  <c r="A43" i="7"/>
  <c r="K42" i="7"/>
  <c r="J42" i="7"/>
  <c r="I42" i="7"/>
  <c r="H42" i="7"/>
  <c r="G42" i="7"/>
  <c r="F42" i="7"/>
  <c r="E42" i="7"/>
  <c r="D42" i="7"/>
  <c r="C42" i="7"/>
  <c r="B42" i="7"/>
  <c r="A42" i="7"/>
  <c r="K41" i="7"/>
  <c r="J41" i="7"/>
  <c r="I41" i="7"/>
  <c r="H41" i="7"/>
  <c r="G41" i="7"/>
  <c r="F41" i="7"/>
  <c r="E41" i="7"/>
  <c r="D41" i="7"/>
  <c r="C41" i="7"/>
  <c r="B41" i="7"/>
  <c r="A41" i="7"/>
  <c r="K40" i="7"/>
  <c r="J40" i="7"/>
  <c r="I40" i="7"/>
  <c r="H40" i="7"/>
  <c r="G40" i="7"/>
  <c r="F40" i="7"/>
  <c r="E40" i="7"/>
  <c r="D40" i="7"/>
  <c r="C40" i="7"/>
  <c r="B40" i="7"/>
  <c r="A40" i="7"/>
  <c r="K39" i="7"/>
  <c r="J39" i="7"/>
  <c r="I39" i="7"/>
  <c r="H39" i="7"/>
  <c r="G39" i="7"/>
  <c r="F39" i="7"/>
  <c r="E39" i="7"/>
  <c r="D39" i="7"/>
  <c r="C39" i="7"/>
  <c r="B39" i="7"/>
  <c r="A39" i="7"/>
  <c r="K38" i="7"/>
  <c r="J38" i="7"/>
  <c r="I38" i="7"/>
  <c r="H38" i="7"/>
  <c r="G38" i="7"/>
  <c r="F38" i="7"/>
  <c r="E38" i="7"/>
  <c r="D38" i="7"/>
  <c r="C38" i="7"/>
  <c r="B38" i="7"/>
  <c r="A38" i="7"/>
  <c r="K37" i="7"/>
  <c r="J37" i="7"/>
  <c r="I37" i="7"/>
  <c r="H37" i="7"/>
  <c r="G37" i="7"/>
  <c r="F37" i="7"/>
  <c r="E37" i="7"/>
  <c r="D37" i="7"/>
  <c r="C37" i="7"/>
  <c r="B37" i="7"/>
  <c r="A37" i="7"/>
  <c r="K36" i="7"/>
  <c r="J36" i="7"/>
  <c r="I36" i="7"/>
  <c r="H36" i="7"/>
  <c r="G36" i="7"/>
  <c r="F36" i="7"/>
  <c r="E36" i="7"/>
  <c r="D36" i="7"/>
  <c r="C36" i="7"/>
  <c r="B36" i="7"/>
  <c r="A36" i="7"/>
  <c r="K35" i="7"/>
  <c r="J35" i="7"/>
  <c r="I35" i="7"/>
  <c r="H35" i="7"/>
  <c r="G35" i="7"/>
  <c r="F35" i="7"/>
  <c r="E35" i="7"/>
  <c r="D35" i="7"/>
  <c r="C35" i="7"/>
  <c r="B35" i="7"/>
  <c r="A35" i="7"/>
  <c r="K34" i="7"/>
  <c r="J34" i="7"/>
  <c r="I34" i="7"/>
  <c r="H34" i="7"/>
  <c r="G34" i="7"/>
  <c r="F34" i="7"/>
  <c r="E34" i="7"/>
  <c r="D34" i="7"/>
  <c r="C34" i="7"/>
  <c r="B34" i="7"/>
  <c r="A34" i="7"/>
  <c r="K33" i="7"/>
  <c r="J33" i="7"/>
  <c r="I33" i="7"/>
  <c r="H33" i="7"/>
  <c r="G33" i="7"/>
  <c r="F33" i="7"/>
  <c r="E33" i="7"/>
  <c r="D33" i="7"/>
  <c r="C33" i="7"/>
  <c r="B33" i="7"/>
  <c r="A33" i="7"/>
  <c r="K32" i="7"/>
  <c r="J32" i="7"/>
  <c r="I32" i="7"/>
  <c r="H32" i="7"/>
  <c r="G32" i="7"/>
  <c r="F32" i="7"/>
  <c r="E32" i="7"/>
  <c r="D32" i="7"/>
  <c r="C32" i="7"/>
  <c r="B32" i="7"/>
  <c r="A32" i="7"/>
  <c r="K31" i="7"/>
  <c r="J31" i="7"/>
  <c r="I31" i="7"/>
  <c r="H31" i="7"/>
  <c r="G31" i="7"/>
  <c r="F31" i="7"/>
  <c r="E31" i="7"/>
  <c r="D31" i="7"/>
  <c r="C31" i="7"/>
  <c r="B31" i="7"/>
  <c r="A31" i="7"/>
  <c r="K30" i="7"/>
  <c r="J30" i="7"/>
  <c r="I30" i="7"/>
  <c r="H30" i="7"/>
  <c r="G30" i="7"/>
  <c r="F30" i="7"/>
  <c r="E30" i="7"/>
  <c r="D30" i="7"/>
  <c r="C30" i="7"/>
  <c r="B30" i="7"/>
  <c r="A30" i="7"/>
  <c r="K29" i="7"/>
  <c r="J29" i="7"/>
  <c r="I29" i="7"/>
  <c r="H29" i="7"/>
  <c r="G29" i="7"/>
  <c r="F29" i="7"/>
  <c r="E29" i="7"/>
  <c r="D29" i="7"/>
  <c r="C29" i="7"/>
  <c r="B29" i="7"/>
  <c r="A29" i="7"/>
  <c r="K28" i="7"/>
  <c r="J28" i="7"/>
  <c r="I28" i="7"/>
  <c r="H28" i="7"/>
  <c r="G28" i="7"/>
  <c r="F28" i="7"/>
  <c r="E28" i="7"/>
  <c r="D28" i="7"/>
  <c r="C28" i="7"/>
  <c r="B28" i="7"/>
  <c r="A28" i="7"/>
  <c r="K27" i="7"/>
  <c r="J27" i="7"/>
  <c r="I27" i="7"/>
  <c r="H27" i="7"/>
  <c r="G27" i="7"/>
  <c r="F27" i="7"/>
  <c r="E27" i="7"/>
  <c r="D27" i="7"/>
  <c r="C27" i="7"/>
  <c r="B27" i="7"/>
  <c r="A27" i="7"/>
  <c r="K26" i="7"/>
  <c r="J26" i="7"/>
  <c r="I26" i="7"/>
  <c r="H26" i="7"/>
  <c r="G26" i="7"/>
  <c r="F26" i="7"/>
  <c r="E26" i="7"/>
  <c r="D26" i="7"/>
  <c r="C26" i="7"/>
  <c r="B26" i="7"/>
  <c r="A26" i="7"/>
  <c r="K25" i="7"/>
  <c r="J25" i="7"/>
  <c r="I25" i="7"/>
  <c r="H25" i="7"/>
  <c r="G25" i="7"/>
  <c r="F25" i="7"/>
  <c r="E25" i="7"/>
  <c r="D25" i="7"/>
  <c r="C25" i="7"/>
  <c r="B25" i="7"/>
  <c r="A25" i="7"/>
  <c r="K24" i="7"/>
  <c r="J24" i="7"/>
  <c r="I24" i="7"/>
  <c r="H24" i="7"/>
  <c r="G24" i="7"/>
  <c r="F24" i="7"/>
  <c r="E24" i="7"/>
  <c r="D24" i="7"/>
  <c r="C24" i="7"/>
  <c r="B24" i="7"/>
  <c r="A24" i="7"/>
  <c r="K23" i="7"/>
  <c r="J23" i="7"/>
  <c r="I23" i="7"/>
  <c r="H23" i="7"/>
  <c r="G23" i="7"/>
  <c r="F23" i="7"/>
  <c r="E23" i="7"/>
  <c r="D23" i="7"/>
  <c r="C23" i="7"/>
  <c r="B23" i="7"/>
  <c r="A23" i="7"/>
  <c r="K22" i="7"/>
  <c r="J22" i="7"/>
  <c r="I22" i="7"/>
  <c r="H22" i="7"/>
  <c r="G22" i="7"/>
  <c r="F22" i="7"/>
  <c r="E22" i="7"/>
  <c r="D22" i="7"/>
  <c r="C22" i="7"/>
  <c r="B22" i="7"/>
  <c r="A22" i="7"/>
  <c r="K21" i="7"/>
  <c r="J21" i="7"/>
  <c r="I21" i="7"/>
  <c r="H21" i="7"/>
  <c r="G21" i="7"/>
  <c r="F21" i="7"/>
  <c r="E21" i="7"/>
  <c r="D21" i="7"/>
  <c r="C21" i="7"/>
  <c r="B21" i="7"/>
  <c r="A21" i="7"/>
  <c r="K20" i="7"/>
  <c r="J20" i="7"/>
  <c r="I20" i="7"/>
  <c r="H20" i="7"/>
  <c r="G20" i="7"/>
  <c r="F20" i="7"/>
  <c r="E20" i="7"/>
  <c r="D20" i="7"/>
  <c r="C20" i="7"/>
  <c r="B20" i="7"/>
  <c r="A20" i="7"/>
  <c r="K19" i="7"/>
  <c r="J19" i="7"/>
  <c r="I19" i="7"/>
  <c r="H19" i="7"/>
  <c r="G19" i="7"/>
  <c r="F19" i="7"/>
  <c r="E19" i="7"/>
  <c r="D19" i="7"/>
  <c r="C19" i="7"/>
  <c r="B19" i="7"/>
  <c r="A19" i="7"/>
  <c r="K18" i="7"/>
  <c r="J18" i="7"/>
  <c r="I18" i="7"/>
  <c r="H18" i="7"/>
  <c r="G18" i="7"/>
  <c r="F18" i="7"/>
  <c r="E18" i="7"/>
  <c r="D18" i="7"/>
  <c r="C18" i="7"/>
  <c r="B18" i="7"/>
  <c r="A18" i="7"/>
  <c r="K17" i="7"/>
  <c r="J17" i="7"/>
  <c r="I17" i="7"/>
  <c r="H17" i="7"/>
  <c r="G17" i="7"/>
  <c r="F17" i="7"/>
  <c r="E17" i="7"/>
  <c r="D17" i="7"/>
  <c r="C17" i="7"/>
  <c r="B17" i="7"/>
  <c r="A17" i="7"/>
  <c r="K16" i="7"/>
  <c r="J16" i="7"/>
  <c r="I16" i="7"/>
  <c r="H16" i="7"/>
  <c r="G16" i="7"/>
  <c r="F16" i="7"/>
  <c r="E16" i="7"/>
  <c r="D16" i="7"/>
  <c r="C16" i="7"/>
  <c r="B16" i="7"/>
  <c r="A16" i="7"/>
  <c r="K15" i="7"/>
  <c r="J15" i="7"/>
  <c r="I15" i="7"/>
  <c r="H15" i="7"/>
  <c r="G15" i="7"/>
  <c r="F15" i="7"/>
  <c r="E15" i="7"/>
  <c r="D15" i="7"/>
  <c r="C15" i="7"/>
  <c r="B15" i="7"/>
  <c r="A15" i="7"/>
  <c r="K14" i="7"/>
  <c r="J14" i="7"/>
  <c r="I14" i="7"/>
  <c r="H14" i="7"/>
  <c r="G14" i="7"/>
  <c r="F14" i="7"/>
  <c r="E14" i="7"/>
  <c r="D14" i="7"/>
  <c r="C14" i="7"/>
  <c r="B14" i="7"/>
  <c r="A14" i="7"/>
  <c r="K13" i="7"/>
  <c r="J13" i="7"/>
  <c r="I13" i="7"/>
  <c r="H13" i="7"/>
  <c r="G13" i="7"/>
  <c r="F13" i="7"/>
  <c r="E13" i="7"/>
  <c r="D13" i="7"/>
  <c r="C13" i="7"/>
  <c r="B13" i="7"/>
  <c r="A13" i="7"/>
  <c r="K12" i="7"/>
  <c r="J12" i="7"/>
  <c r="I12" i="7"/>
  <c r="H12" i="7"/>
  <c r="G12" i="7"/>
  <c r="F12" i="7"/>
  <c r="E12" i="7"/>
  <c r="D12" i="7"/>
  <c r="C12" i="7"/>
  <c r="B12" i="7"/>
  <c r="A12" i="7"/>
  <c r="K11" i="7"/>
  <c r="J11" i="7"/>
  <c r="I11" i="7"/>
  <c r="H11" i="7"/>
  <c r="G11" i="7"/>
  <c r="F11" i="7"/>
  <c r="E11" i="7"/>
  <c r="D11" i="7"/>
  <c r="C11" i="7"/>
  <c r="B11" i="7"/>
  <c r="A11" i="7"/>
  <c r="K10" i="7"/>
  <c r="J10" i="7"/>
  <c r="I10" i="7"/>
  <c r="H10" i="7"/>
  <c r="G10" i="7"/>
  <c r="F10" i="7"/>
  <c r="E10" i="7"/>
  <c r="D10" i="7"/>
  <c r="C10" i="7"/>
  <c r="B10" i="7"/>
  <c r="A10" i="7"/>
  <c r="K9" i="7"/>
  <c r="J9" i="7"/>
  <c r="I9" i="7"/>
  <c r="H9" i="7"/>
  <c r="G9" i="7"/>
  <c r="F9" i="7"/>
  <c r="E9" i="7"/>
  <c r="D9" i="7"/>
  <c r="C9" i="7"/>
  <c r="B9" i="7"/>
  <c r="A9" i="7"/>
  <c r="K8" i="7"/>
  <c r="J8" i="7"/>
  <c r="I8" i="7"/>
  <c r="H8" i="7"/>
  <c r="G8" i="7"/>
  <c r="F8" i="7"/>
  <c r="E8" i="7"/>
  <c r="D8" i="7"/>
  <c r="C8" i="7"/>
  <c r="B8" i="7"/>
  <c r="A8" i="7"/>
  <c r="K7" i="7"/>
  <c r="J7" i="7"/>
  <c r="I7" i="7"/>
  <c r="H7" i="7"/>
  <c r="G7" i="7"/>
  <c r="F7" i="7"/>
  <c r="E7" i="7"/>
  <c r="D7" i="7"/>
  <c r="C7" i="7"/>
  <c r="B7" i="7"/>
  <c r="A7" i="7"/>
  <c r="K6" i="7"/>
  <c r="J6" i="7"/>
  <c r="I6" i="7"/>
  <c r="H6" i="7"/>
  <c r="G6" i="7"/>
  <c r="F6" i="7"/>
  <c r="E6" i="7"/>
  <c r="D6" i="7"/>
  <c r="C6" i="7"/>
  <c r="B6" i="7"/>
  <c r="A6" i="7"/>
  <c r="K5" i="7"/>
  <c r="J5" i="7"/>
  <c r="I5" i="7"/>
  <c r="H5" i="7"/>
  <c r="G5" i="7"/>
  <c r="F5" i="7"/>
  <c r="E5" i="7"/>
  <c r="D5" i="7"/>
  <c r="C5" i="7"/>
  <c r="B5" i="7"/>
  <c r="A5" i="7"/>
  <c r="K4" i="7"/>
  <c r="J4" i="7"/>
  <c r="I4" i="7"/>
  <c r="H4" i="7"/>
  <c r="G4" i="7"/>
  <c r="F4" i="7"/>
  <c r="E4" i="7"/>
  <c r="D4" i="7"/>
  <c r="C4" i="7"/>
  <c r="B4" i="7"/>
  <c r="A4" i="7"/>
  <c r="K3" i="7"/>
  <c r="J3" i="7"/>
  <c r="I3" i="7"/>
  <c r="H3" i="7"/>
  <c r="G3" i="7"/>
  <c r="F3" i="7"/>
  <c r="E3" i="7"/>
  <c r="D3" i="7"/>
  <c r="C3" i="7"/>
  <c r="B3" i="7"/>
  <c r="A3" i="7"/>
  <c r="K315" i="6"/>
  <c r="I315" i="6"/>
  <c r="H315" i="6"/>
  <c r="G315" i="6"/>
  <c r="F315" i="6"/>
  <c r="E315" i="6"/>
  <c r="D315" i="6"/>
  <c r="C315" i="6"/>
  <c r="B315" i="6"/>
  <c r="A315" i="6"/>
  <c r="K314" i="6"/>
  <c r="I314" i="6"/>
  <c r="H314" i="6"/>
  <c r="G314" i="6"/>
  <c r="F314" i="6"/>
  <c r="E314" i="6"/>
  <c r="D314" i="6"/>
  <c r="C314" i="6"/>
  <c r="B314" i="6"/>
  <c r="A314" i="6"/>
  <c r="K313" i="6"/>
  <c r="I313" i="6"/>
  <c r="H313" i="6"/>
  <c r="G313" i="6"/>
  <c r="F313" i="6"/>
  <c r="E313" i="6"/>
  <c r="D313" i="6"/>
  <c r="C313" i="6"/>
  <c r="B313" i="6"/>
  <c r="A313" i="6"/>
  <c r="K312" i="6"/>
  <c r="I312" i="6"/>
  <c r="H312" i="6"/>
  <c r="G312" i="6"/>
  <c r="F312" i="6"/>
  <c r="E312" i="6"/>
  <c r="D312" i="6"/>
  <c r="C312" i="6"/>
  <c r="B312" i="6"/>
  <c r="A312" i="6"/>
  <c r="K311" i="6"/>
  <c r="I311" i="6"/>
  <c r="H311" i="6"/>
  <c r="G311" i="6"/>
  <c r="F311" i="6"/>
  <c r="E311" i="6"/>
  <c r="D311" i="6"/>
  <c r="C311" i="6"/>
  <c r="B311" i="6"/>
  <c r="A311" i="6"/>
  <c r="K310" i="6"/>
  <c r="I310" i="6"/>
  <c r="H310" i="6"/>
  <c r="G310" i="6"/>
  <c r="F310" i="6"/>
  <c r="E310" i="6"/>
  <c r="D310" i="6"/>
  <c r="C310" i="6"/>
  <c r="B310" i="6"/>
  <c r="A310" i="6"/>
  <c r="K309" i="6"/>
  <c r="I309" i="6"/>
  <c r="H309" i="6"/>
  <c r="G309" i="6"/>
  <c r="F309" i="6"/>
  <c r="E309" i="6"/>
  <c r="D309" i="6"/>
  <c r="C309" i="6"/>
  <c r="B309" i="6"/>
  <c r="A309" i="6"/>
  <c r="K308" i="6"/>
  <c r="I308" i="6"/>
  <c r="H308" i="6"/>
  <c r="G308" i="6"/>
  <c r="F308" i="6"/>
  <c r="E308" i="6"/>
  <c r="D308" i="6"/>
  <c r="C308" i="6"/>
  <c r="B308" i="6"/>
  <c r="A308" i="6"/>
  <c r="K307" i="6"/>
  <c r="I307" i="6"/>
  <c r="H307" i="6"/>
  <c r="G307" i="6"/>
  <c r="F307" i="6"/>
  <c r="E307" i="6"/>
  <c r="D307" i="6"/>
  <c r="C307" i="6"/>
  <c r="B307" i="6"/>
  <c r="A307" i="6"/>
  <c r="K306" i="6"/>
  <c r="I306" i="6"/>
  <c r="H306" i="6"/>
  <c r="G306" i="6"/>
  <c r="F306" i="6"/>
  <c r="E306" i="6"/>
  <c r="D306" i="6"/>
  <c r="C306" i="6"/>
  <c r="B306" i="6"/>
  <c r="A306" i="6"/>
  <c r="K305" i="6"/>
  <c r="I305" i="6"/>
  <c r="H305" i="6"/>
  <c r="G305" i="6"/>
  <c r="F305" i="6"/>
  <c r="E305" i="6"/>
  <c r="D305" i="6"/>
  <c r="C305" i="6"/>
  <c r="B305" i="6"/>
  <c r="A305" i="6"/>
  <c r="K304" i="6"/>
  <c r="I304" i="6"/>
  <c r="H304" i="6"/>
  <c r="G304" i="6"/>
  <c r="F304" i="6"/>
  <c r="E304" i="6"/>
  <c r="D304" i="6"/>
  <c r="C304" i="6"/>
  <c r="B304" i="6"/>
  <c r="A304" i="6"/>
  <c r="K303" i="6"/>
  <c r="I303" i="6"/>
  <c r="H303" i="6"/>
  <c r="G303" i="6"/>
  <c r="F303" i="6"/>
  <c r="E303" i="6"/>
  <c r="D303" i="6"/>
  <c r="C303" i="6"/>
  <c r="B303" i="6"/>
  <c r="A303" i="6"/>
  <c r="K302" i="6"/>
  <c r="I302" i="6"/>
  <c r="H302" i="6"/>
  <c r="G302" i="6"/>
  <c r="F302" i="6"/>
  <c r="E302" i="6"/>
  <c r="D302" i="6"/>
  <c r="C302" i="6"/>
  <c r="B302" i="6"/>
  <c r="A302" i="6"/>
  <c r="K301" i="6"/>
  <c r="I301" i="6"/>
  <c r="H301" i="6"/>
  <c r="G301" i="6"/>
  <c r="F301" i="6"/>
  <c r="E301" i="6"/>
  <c r="D301" i="6"/>
  <c r="C301" i="6"/>
  <c r="B301" i="6"/>
  <c r="A301" i="6"/>
  <c r="K300" i="6"/>
  <c r="I300" i="6"/>
  <c r="H300" i="6"/>
  <c r="G300" i="6"/>
  <c r="F300" i="6"/>
  <c r="E300" i="6"/>
  <c r="D300" i="6"/>
  <c r="C300" i="6"/>
  <c r="B300" i="6"/>
  <c r="A300" i="6"/>
  <c r="K299" i="6"/>
  <c r="I299" i="6"/>
  <c r="H299" i="6"/>
  <c r="G299" i="6"/>
  <c r="F299" i="6"/>
  <c r="E299" i="6"/>
  <c r="D299" i="6"/>
  <c r="C299" i="6"/>
  <c r="B299" i="6"/>
  <c r="A299" i="6"/>
  <c r="K298" i="6"/>
  <c r="I298" i="6"/>
  <c r="H298" i="6"/>
  <c r="G298" i="6"/>
  <c r="F298" i="6"/>
  <c r="E298" i="6"/>
  <c r="D298" i="6"/>
  <c r="C298" i="6"/>
  <c r="B298" i="6"/>
  <c r="A298" i="6"/>
  <c r="K297" i="6"/>
  <c r="I297" i="6"/>
  <c r="H297" i="6"/>
  <c r="G297" i="6"/>
  <c r="F297" i="6"/>
  <c r="E297" i="6"/>
  <c r="D297" i="6"/>
  <c r="C297" i="6"/>
  <c r="B297" i="6"/>
  <c r="A297" i="6"/>
  <c r="K296" i="6"/>
  <c r="I296" i="6"/>
  <c r="H296" i="6"/>
  <c r="G296" i="6"/>
  <c r="F296" i="6"/>
  <c r="E296" i="6"/>
  <c r="D296" i="6"/>
  <c r="C296" i="6"/>
  <c r="B296" i="6"/>
  <c r="A296" i="6"/>
  <c r="K295" i="6"/>
  <c r="I295" i="6"/>
  <c r="H295" i="6"/>
  <c r="G295" i="6"/>
  <c r="F295" i="6"/>
  <c r="E295" i="6"/>
  <c r="D295" i="6"/>
  <c r="C295" i="6"/>
  <c r="B295" i="6"/>
  <c r="A295" i="6"/>
  <c r="K294" i="6"/>
  <c r="I294" i="6"/>
  <c r="H294" i="6"/>
  <c r="G294" i="6"/>
  <c r="F294" i="6"/>
  <c r="E294" i="6"/>
  <c r="D294" i="6"/>
  <c r="C294" i="6"/>
  <c r="B294" i="6"/>
  <c r="A294" i="6"/>
  <c r="K293" i="6"/>
  <c r="I293" i="6"/>
  <c r="H293" i="6"/>
  <c r="G293" i="6"/>
  <c r="F293" i="6"/>
  <c r="E293" i="6"/>
  <c r="D293" i="6"/>
  <c r="C293" i="6"/>
  <c r="B293" i="6"/>
  <c r="A293" i="6"/>
  <c r="K292" i="6"/>
  <c r="I292" i="6"/>
  <c r="H292" i="6"/>
  <c r="G292" i="6"/>
  <c r="F292" i="6"/>
  <c r="E292" i="6"/>
  <c r="D292" i="6"/>
  <c r="C292" i="6"/>
  <c r="B292" i="6"/>
  <c r="A292" i="6"/>
  <c r="K291" i="6"/>
  <c r="I291" i="6"/>
  <c r="H291" i="6"/>
  <c r="G291" i="6"/>
  <c r="F291" i="6"/>
  <c r="E291" i="6"/>
  <c r="D291" i="6"/>
  <c r="C291" i="6"/>
  <c r="B291" i="6"/>
  <c r="A291" i="6"/>
  <c r="K290" i="6"/>
  <c r="I290" i="6"/>
  <c r="H290" i="6"/>
  <c r="G290" i="6"/>
  <c r="F290" i="6"/>
  <c r="E290" i="6"/>
  <c r="D290" i="6"/>
  <c r="C290" i="6"/>
  <c r="B290" i="6"/>
  <c r="A290" i="6"/>
  <c r="K289" i="6"/>
  <c r="I289" i="6"/>
  <c r="H289" i="6"/>
  <c r="G289" i="6"/>
  <c r="F289" i="6"/>
  <c r="E289" i="6"/>
  <c r="D289" i="6"/>
  <c r="C289" i="6"/>
  <c r="B289" i="6"/>
  <c r="A289" i="6"/>
  <c r="K288" i="6"/>
  <c r="I288" i="6"/>
  <c r="H288" i="6"/>
  <c r="G288" i="6"/>
  <c r="F288" i="6"/>
  <c r="E288" i="6"/>
  <c r="D288" i="6"/>
  <c r="C288" i="6"/>
  <c r="B288" i="6"/>
  <c r="A288" i="6"/>
  <c r="K287" i="6"/>
  <c r="I287" i="6"/>
  <c r="H287" i="6"/>
  <c r="G287" i="6"/>
  <c r="F287" i="6"/>
  <c r="E287" i="6"/>
  <c r="D287" i="6"/>
  <c r="C287" i="6"/>
  <c r="B287" i="6"/>
  <c r="A287" i="6"/>
  <c r="K286" i="6"/>
  <c r="I286" i="6"/>
  <c r="H286" i="6"/>
  <c r="G286" i="6"/>
  <c r="F286" i="6"/>
  <c r="E286" i="6"/>
  <c r="D286" i="6"/>
  <c r="C286" i="6"/>
  <c r="B286" i="6"/>
  <c r="A286" i="6"/>
  <c r="K285" i="6"/>
  <c r="I285" i="6"/>
  <c r="H285" i="6"/>
  <c r="G285" i="6"/>
  <c r="F285" i="6"/>
  <c r="E285" i="6"/>
  <c r="D285" i="6"/>
  <c r="C285" i="6"/>
  <c r="B285" i="6"/>
  <c r="A285" i="6"/>
  <c r="K284" i="6"/>
  <c r="I284" i="6"/>
  <c r="H284" i="6"/>
  <c r="G284" i="6"/>
  <c r="F284" i="6"/>
  <c r="E284" i="6"/>
  <c r="D284" i="6"/>
  <c r="C284" i="6"/>
  <c r="B284" i="6"/>
  <c r="A284" i="6"/>
  <c r="K283" i="6"/>
  <c r="I283" i="6"/>
  <c r="H283" i="6"/>
  <c r="G283" i="6"/>
  <c r="F283" i="6"/>
  <c r="E283" i="6"/>
  <c r="D283" i="6"/>
  <c r="C283" i="6"/>
  <c r="B283" i="6"/>
  <c r="A283" i="6"/>
  <c r="K282" i="6"/>
  <c r="I282" i="6"/>
  <c r="H282" i="6"/>
  <c r="G282" i="6"/>
  <c r="F282" i="6"/>
  <c r="E282" i="6"/>
  <c r="D282" i="6"/>
  <c r="C282" i="6"/>
  <c r="B282" i="6"/>
  <c r="A282" i="6"/>
  <c r="K281" i="6"/>
  <c r="I281" i="6"/>
  <c r="H281" i="6"/>
  <c r="G281" i="6"/>
  <c r="F281" i="6"/>
  <c r="E281" i="6"/>
  <c r="D281" i="6"/>
  <c r="C281" i="6"/>
  <c r="B281" i="6"/>
  <c r="A281" i="6"/>
  <c r="K280" i="6"/>
  <c r="I280" i="6"/>
  <c r="H280" i="6"/>
  <c r="G280" i="6"/>
  <c r="F280" i="6"/>
  <c r="E280" i="6"/>
  <c r="D280" i="6"/>
  <c r="C280" i="6"/>
  <c r="B280" i="6"/>
  <c r="A280" i="6"/>
  <c r="K279" i="6"/>
  <c r="I279" i="6"/>
  <c r="H279" i="6"/>
  <c r="G279" i="6"/>
  <c r="F279" i="6"/>
  <c r="E279" i="6"/>
  <c r="D279" i="6"/>
  <c r="C279" i="6"/>
  <c r="B279" i="6"/>
  <c r="A279" i="6"/>
  <c r="K278" i="6"/>
  <c r="I278" i="6"/>
  <c r="H278" i="6"/>
  <c r="G278" i="6"/>
  <c r="F278" i="6"/>
  <c r="E278" i="6"/>
  <c r="D278" i="6"/>
  <c r="C278" i="6"/>
  <c r="B278" i="6"/>
  <c r="A278" i="6"/>
  <c r="K277" i="6"/>
  <c r="I277" i="6"/>
  <c r="H277" i="6"/>
  <c r="G277" i="6"/>
  <c r="F277" i="6"/>
  <c r="E277" i="6"/>
  <c r="D277" i="6"/>
  <c r="C277" i="6"/>
  <c r="B277" i="6"/>
  <c r="A277" i="6"/>
  <c r="K276" i="6"/>
  <c r="I276" i="6"/>
  <c r="H276" i="6"/>
  <c r="G276" i="6"/>
  <c r="F276" i="6"/>
  <c r="E276" i="6"/>
  <c r="D276" i="6"/>
  <c r="C276" i="6"/>
  <c r="B276" i="6"/>
  <c r="A276" i="6"/>
  <c r="K275" i="6"/>
  <c r="I275" i="6"/>
  <c r="H275" i="6"/>
  <c r="G275" i="6"/>
  <c r="F275" i="6"/>
  <c r="E275" i="6"/>
  <c r="D275" i="6"/>
  <c r="C275" i="6"/>
  <c r="B275" i="6"/>
  <c r="A275" i="6"/>
  <c r="K274" i="6"/>
  <c r="I274" i="6"/>
  <c r="H274" i="6"/>
  <c r="G274" i="6"/>
  <c r="F274" i="6"/>
  <c r="E274" i="6"/>
  <c r="D274" i="6"/>
  <c r="C274" i="6"/>
  <c r="B274" i="6"/>
  <c r="A274" i="6"/>
  <c r="K273" i="6"/>
  <c r="I273" i="6"/>
  <c r="H273" i="6"/>
  <c r="G273" i="6"/>
  <c r="F273" i="6"/>
  <c r="E273" i="6"/>
  <c r="D273" i="6"/>
  <c r="C273" i="6"/>
  <c r="B273" i="6"/>
  <c r="A273" i="6"/>
  <c r="K272" i="6"/>
  <c r="I272" i="6"/>
  <c r="H272" i="6"/>
  <c r="G272" i="6"/>
  <c r="F272" i="6"/>
  <c r="E272" i="6"/>
  <c r="D272" i="6"/>
  <c r="C272" i="6"/>
  <c r="B272" i="6"/>
  <c r="A272" i="6"/>
  <c r="K271" i="6"/>
  <c r="I271" i="6"/>
  <c r="H271" i="6"/>
  <c r="G271" i="6"/>
  <c r="F271" i="6"/>
  <c r="E271" i="6"/>
  <c r="D271" i="6"/>
  <c r="C271" i="6"/>
  <c r="B271" i="6"/>
  <c r="A271" i="6"/>
  <c r="K270" i="6"/>
  <c r="I270" i="6"/>
  <c r="H270" i="6"/>
  <c r="G270" i="6"/>
  <c r="F270" i="6"/>
  <c r="E270" i="6"/>
  <c r="D270" i="6"/>
  <c r="C270" i="6"/>
  <c r="B270" i="6"/>
  <c r="A270" i="6"/>
  <c r="K269" i="6"/>
  <c r="I269" i="6"/>
  <c r="H269" i="6"/>
  <c r="G269" i="6"/>
  <c r="F269" i="6"/>
  <c r="E269" i="6"/>
  <c r="D269" i="6"/>
  <c r="C269" i="6"/>
  <c r="B269" i="6"/>
  <c r="A269" i="6"/>
  <c r="K268" i="6"/>
  <c r="I268" i="6"/>
  <c r="H268" i="6"/>
  <c r="G268" i="6"/>
  <c r="F268" i="6"/>
  <c r="E268" i="6"/>
  <c r="D268" i="6"/>
  <c r="C268" i="6"/>
  <c r="B268" i="6"/>
  <c r="A268" i="6"/>
  <c r="K267" i="6"/>
  <c r="I267" i="6"/>
  <c r="H267" i="6"/>
  <c r="G267" i="6"/>
  <c r="F267" i="6"/>
  <c r="E267" i="6"/>
  <c r="D267" i="6"/>
  <c r="C267" i="6"/>
  <c r="B267" i="6"/>
  <c r="A267" i="6"/>
  <c r="K266" i="6"/>
  <c r="I266" i="6"/>
  <c r="H266" i="6"/>
  <c r="G266" i="6"/>
  <c r="F266" i="6"/>
  <c r="E266" i="6"/>
  <c r="D266" i="6"/>
  <c r="C266" i="6"/>
  <c r="B266" i="6"/>
  <c r="A266" i="6"/>
  <c r="K265" i="6"/>
  <c r="I265" i="6"/>
  <c r="H265" i="6"/>
  <c r="G265" i="6"/>
  <c r="F265" i="6"/>
  <c r="E265" i="6"/>
  <c r="D265" i="6"/>
  <c r="C265" i="6"/>
  <c r="B265" i="6"/>
  <c r="A265" i="6"/>
  <c r="K264" i="6"/>
  <c r="I264" i="6"/>
  <c r="H264" i="6"/>
  <c r="G264" i="6"/>
  <c r="F264" i="6"/>
  <c r="E264" i="6"/>
  <c r="D264" i="6"/>
  <c r="C264" i="6"/>
  <c r="B264" i="6"/>
  <c r="A264" i="6"/>
  <c r="K263" i="6"/>
  <c r="I263" i="6"/>
  <c r="H263" i="6"/>
  <c r="G263" i="6"/>
  <c r="F263" i="6"/>
  <c r="E263" i="6"/>
  <c r="D263" i="6"/>
  <c r="C263" i="6"/>
  <c r="B263" i="6"/>
  <c r="A263" i="6"/>
  <c r="K262" i="6"/>
  <c r="I262" i="6"/>
  <c r="H262" i="6"/>
  <c r="G262" i="6"/>
  <c r="F262" i="6"/>
  <c r="E262" i="6"/>
  <c r="D262" i="6"/>
  <c r="C262" i="6"/>
  <c r="B262" i="6"/>
  <c r="A262" i="6"/>
  <c r="K261" i="6"/>
  <c r="I261" i="6"/>
  <c r="H261" i="6"/>
  <c r="G261" i="6"/>
  <c r="F261" i="6"/>
  <c r="E261" i="6"/>
  <c r="D261" i="6"/>
  <c r="C261" i="6"/>
  <c r="B261" i="6"/>
  <c r="A261" i="6"/>
  <c r="K260" i="6"/>
  <c r="I260" i="6"/>
  <c r="H260" i="6"/>
  <c r="G260" i="6"/>
  <c r="F260" i="6"/>
  <c r="E260" i="6"/>
  <c r="D260" i="6"/>
  <c r="C260" i="6"/>
  <c r="B260" i="6"/>
  <c r="A260" i="6"/>
  <c r="K259" i="6"/>
  <c r="I259" i="6"/>
  <c r="H259" i="6"/>
  <c r="G259" i="6"/>
  <c r="F259" i="6"/>
  <c r="E259" i="6"/>
  <c r="D259" i="6"/>
  <c r="C259" i="6"/>
  <c r="B259" i="6"/>
  <c r="A259" i="6"/>
  <c r="K258" i="6"/>
  <c r="I258" i="6"/>
  <c r="H258" i="6"/>
  <c r="G258" i="6"/>
  <c r="F258" i="6"/>
  <c r="E258" i="6"/>
  <c r="D258" i="6"/>
  <c r="C258" i="6"/>
  <c r="B258" i="6"/>
  <c r="A258" i="6"/>
  <c r="K257" i="6"/>
  <c r="I257" i="6"/>
  <c r="H257" i="6"/>
  <c r="G257" i="6"/>
  <c r="F257" i="6"/>
  <c r="E257" i="6"/>
  <c r="D257" i="6"/>
  <c r="C257" i="6"/>
  <c r="B257" i="6"/>
  <c r="A257" i="6"/>
  <c r="K256" i="6"/>
  <c r="I256" i="6"/>
  <c r="H256" i="6"/>
  <c r="G256" i="6"/>
  <c r="F256" i="6"/>
  <c r="E256" i="6"/>
  <c r="D256" i="6"/>
  <c r="C256" i="6"/>
  <c r="B256" i="6"/>
  <c r="A256" i="6"/>
  <c r="K255" i="6"/>
  <c r="I255" i="6"/>
  <c r="H255" i="6"/>
  <c r="G255" i="6"/>
  <c r="F255" i="6"/>
  <c r="E255" i="6"/>
  <c r="D255" i="6"/>
  <c r="C255" i="6"/>
  <c r="B255" i="6"/>
  <c r="A255" i="6"/>
  <c r="K254" i="6"/>
  <c r="I254" i="6"/>
  <c r="H254" i="6"/>
  <c r="G254" i="6"/>
  <c r="F254" i="6"/>
  <c r="E254" i="6"/>
  <c r="D254" i="6"/>
  <c r="C254" i="6"/>
  <c r="B254" i="6"/>
  <c r="A254" i="6"/>
  <c r="K253" i="6"/>
  <c r="I253" i="6"/>
  <c r="H253" i="6"/>
  <c r="G253" i="6"/>
  <c r="F253" i="6"/>
  <c r="E253" i="6"/>
  <c r="D253" i="6"/>
  <c r="C253" i="6"/>
  <c r="B253" i="6"/>
  <c r="A253" i="6"/>
  <c r="K252" i="6"/>
  <c r="I252" i="6"/>
  <c r="H252" i="6"/>
  <c r="G252" i="6"/>
  <c r="F252" i="6"/>
  <c r="E252" i="6"/>
  <c r="D252" i="6"/>
  <c r="C252" i="6"/>
  <c r="B252" i="6"/>
  <c r="A252" i="6"/>
  <c r="K251" i="6"/>
  <c r="I251" i="6"/>
  <c r="H251" i="6"/>
  <c r="G251" i="6"/>
  <c r="F251" i="6"/>
  <c r="E251" i="6"/>
  <c r="D251" i="6"/>
  <c r="C251" i="6"/>
  <c r="B251" i="6"/>
  <c r="A251" i="6"/>
  <c r="K250" i="6"/>
  <c r="I250" i="6"/>
  <c r="H250" i="6"/>
  <c r="G250" i="6"/>
  <c r="F250" i="6"/>
  <c r="E250" i="6"/>
  <c r="D250" i="6"/>
  <c r="C250" i="6"/>
  <c r="B250" i="6"/>
  <c r="A250" i="6"/>
  <c r="K249" i="6"/>
  <c r="I249" i="6"/>
  <c r="H249" i="6"/>
  <c r="G249" i="6"/>
  <c r="F249" i="6"/>
  <c r="E249" i="6"/>
  <c r="D249" i="6"/>
  <c r="C249" i="6"/>
  <c r="B249" i="6"/>
  <c r="A249" i="6"/>
  <c r="K248" i="6"/>
  <c r="I248" i="6"/>
  <c r="H248" i="6"/>
  <c r="G248" i="6"/>
  <c r="F248" i="6"/>
  <c r="E248" i="6"/>
  <c r="D248" i="6"/>
  <c r="C248" i="6"/>
  <c r="B248" i="6"/>
  <c r="A248" i="6"/>
  <c r="K247" i="6"/>
  <c r="I247" i="6"/>
  <c r="H247" i="6"/>
  <c r="G247" i="6"/>
  <c r="F247" i="6"/>
  <c r="E247" i="6"/>
  <c r="D247" i="6"/>
  <c r="C247" i="6"/>
  <c r="B247" i="6"/>
  <c r="A247" i="6"/>
  <c r="K246" i="6"/>
  <c r="I246" i="6"/>
  <c r="H246" i="6"/>
  <c r="G246" i="6"/>
  <c r="F246" i="6"/>
  <c r="E246" i="6"/>
  <c r="D246" i="6"/>
  <c r="C246" i="6"/>
  <c r="B246" i="6"/>
  <c r="A246" i="6"/>
  <c r="K245" i="6"/>
  <c r="I245" i="6"/>
  <c r="H245" i="6"/>
  <c r="G245" i="6"/>
  <c r="F245" i="6"/>
  <c r="E245" i="6"/>
  <c r="D245" i="6"/>
  <c r="C245" i="6"/>
  <c r="B245" i="6"/>
  <c r="A245" i="6"/>
  <c r="K244" i="6"/>
  <c r="I244" i="6"/>
  <c r="H244" i="6"/>
  <c r="G244" i="6"/>
  <c r="F244" i="6"/>
  <c r="E244" i="6"/>
  <c r="D244" i="6"/>
  <c r="C244" i="6"/>
  <c r="B244" i="6"/>
  <c r="A244" i="6"/>
  <c r="K243" i="6"/>
  <c r="I243" i="6"/>
  <c r="H243" i="6"/>
  <c r="G243" i="6"/>
  <c r="F243" i="6"/>
  <c r="E243" i="6"/>
  <c r="D243" i="6"/>
  <c r="C243" i="6"/>
  <c r="B243" i="6"/>
  <c r="A243" i="6"/>
  <c r="K242" i="6"/>
  <c r="I242" i="6"/>
  <c r="H242" i="6"/>
  <c r="G242" i="6"/>
  <c r="F242" i="6"/>
  <c r="E242" i="6"/>
  <c r="D242" i="6"/>
  <c r="C242" i="6"/>
  <c r="B242" i="6"/>
  <c r="A242" i="6"/>
  <c r="K241" i="6"/>
  <c r="I241" i="6"/>
  <c r="H241" i="6"/>
  <c r="G241" i="6"/>
  <c r="F241" i="6"/>
  <c r="E241" i="6"/>
  <c r="D241" i="6"/>
  <c r="C241" i="6"/>
  <c r="B241" i="6"/>
  <c r="A241" i="6"/>
  <c r="K240" i="6"/>
  <c r="I240" i="6"/>
  <c r="H240" i="6"/>
  <c r="G240" i="6"/>
  <c r="F240" i="6"/>
  <c r="E240" i="6"/>
  <c r="D240" i="6"/>
  <c r="C240" i="6"/>
  <c r="B240" i="6"/>
  <c r="A240" i="6"/>
  <c r="K239" i="6"/>
  <c r="I239" i="6"/>
  <c r="H239" i="6"/>
  <c r="G239" i="6"/>
  <c r="F239" i="6"/>
  <c r="E239" i="6"/>
  <c r="D239" i="6"/>
  <c r="C239" i="6"/>
  <c r="B239" i="6"/>
  <c r="A239" i="6"/>
  <c r="K238" i="6"/>
  <c r="I238" i="6"/>
  <c r="H238" i="6"/>
  <c r="G238" i="6"/>
  <c r="F238" i="6"/>
  <c r="E238" i="6"/>
  <c r="D238" i="6"/>
  <c r="C238" i="6"/>
  <c r="B238" i="6"/>
  <c r="A238" i="6"/>
  <c r="K237" i="6"/>
  <c r="I237" i="6"/>
  <c r="H237" i="6"/>
  <c r="G237" i="6"/>
  <c r="F237" i="6"/>
  <c r="E237" i="6"/>
  <c r="D237" i="6"/>
  <c r="C237" i="6"/>
  <c r="B237" i="6"/>
  <c r="A237" i="6"/>
  <c r="K236" i="6"/>
  <c r="I236" i="6"/>
  <c r="H236" i="6"/>
  <c r="G236" i="6"/>
  <c r="F236" i="6"/>
  <c r="E236" i="6"/>
  <c r="D236" i="6"/>
  <c r="C236" i="6"/>
  <c r="B236" i="6"/>
  <c r="A236" i="6"/>
  <c r="K235" i="6"/>
  <c r="I235" i="6"/>
  <c r="H235" i="6"/>
  <c r="G235" i="6"/>
  <c r="F235" i="6"/>
  <c r="E235" i="6"/>
  <c r="D235" i="6"/>
  <c r="C235" i="6"/>
  <c r="B235" i="6"/>
  <c r="A235" i="6"/>
  <c r="K234" i="6"/>
  <c r="I234" i="6"/>
  <c r="H234" i="6"/>
  <c r="G234" i="6"/>
  <c r="F234" i="6"/>
  <c r="E234" i="6"/>
  <c r="D234" i="6"/>
  <c r="C234" i="6"/>
  <c r="B234" i="6"/>
  <c r="A234" i="6"/>
  <c r="K233" i="6"/>
  <c r="I233" i="6"/>
  <c r="H233" i="6"/>
  <c r="G233" i="6"/>
  <c r="F233" i="6"/>
  <c r="E233" i="6"/>
  <c r="D233" i="6"/>
  <c r="C233" i="6"/>
  <c r="B233" i="6"/>
  <c r="A233" i="6"/>
  <c r="K232" i="6"/>
  <c r="I232" i="6"/>
  <c r="H232" i="6"/>
  <c r="G232" i="6"/>
  <c r="F232" i="6"/>
  <c r="E232" i="6"/>
  <c r="D232" i="6"/>
  <c r="C232" i="6"/>
  <c r="B232" i="6"/>
  <c r="A232" i="6"/>
  <c r="K231" i="6"/>
  <c r="I231" i="6"/>
  <c r="H231" i="6"/>
  <c r="G231" i="6"/>
  <c r="F231" i="6"/>
  <c r="E231" i="6"/>
  <c r="D231" i="6"/>
  <c r="C231" i="6"/>
  <c r="B231" i="6"/>
  <c r="A231" i="6"/>
  <c r="K230" i="6"/>
  <c r="I230" i="6"/>
  <c r="H230" i="6"/>
  <c r="G230" i="6"/>
  <c r="F230" i="6"/>
  <c r="E230" i="6"/>
  <c r="D230" i="6"/>
  <c r="C230" i="6"/>
  <c r="B230" i="6"/>
  <c r="A230" i="6"/>
  <c r="K229" i="6"/>
  <c r="I229" i="6"/>
  <c r="H229" i="6"/>
  <c r="G229" i="6"/>
  <c r="F229" i="6"/>
  <c r="E229" i="6"/>
  <c r="D229" i="6"/>
  <c r="C229" i="6"/>
  <c r="B229" i="6"/>
  <c r="A229" i="6"/>
  <c r="K228" i="6"/>
  <c r="I228" i="6"/>
  <c r="H228" i="6"/>
  <c r="G228" i="6"/>
  <c r="F228" i="6"/>
  <c r="E228" i="6"/>
  <c r="D228" i="6"/>
  <c r="C228" i="6"/>
  <c r="B228" i="6"/>
  <c r="A228" i="6"/>
  <c r="K227" i="6"/>
  <c r="I227" i="6"/>
  <c r="H227" i="6"/>
  <c r="G227" i="6"/>
  <c r="F227" i="6"/>
  <c r="E227" i="6"/>
  <c r="D227" i="6"/>
  <c r="C227" i="6"/>
  <c r="B227" i="6"/>
  <c r="A227" i="6"/>
  <c r="K226" i="6"/>
  <c r="I226" i="6"/>
  <c r="H226" i="6"/>
  <c r="G226" i="6"/>
  <c r="F226" i="6"/>
  <c r="E226" i="6"/>
  <c r="D226" i="6"/>
  <c r="C226" i="6"/>
  <c r="B226" i="6"/>
  <c r="A226" i="6"/>
  <c r="K225" i="6"/>
  <c r="I225" i="6"/>
  <c r="H225" i="6"/>
  <c r="G225" i="6"/>
  <c r="F225" i="6"/>
  <c r="E225" i="6"/>
  <c r="D225" i="6"/>
  <c r="C225" i="6"/>
  <c r="B225" i="6"/>
  <c r="A225" i="6"/>
  <c r="K224" i="6"/>
  <c r="I224" i="6"/>
  <c r="H224" i="6"/>
  <c r="G224" i="6"/>
  <c r="F224" i="6"/>
  <c r="E224" i="6"/>
  <c r="D224" i="6"/>
  <c r="C224" i="6"/>
  <c r="B224" i="6"/>
  <c r="A224" i="6"/>
  <c r="K223" i="6"/>
  <c r="I223" i="6"/>
  <c r="H223" i="6"/>
  <c r="G223" i="6"/>
  <c r="F223" i="6"/>
  <c r="E223" i="6"/>
  <c r="D223" i="6"/>
  <c r="C223" i="6"/>
  <c r="B223" i="6"/>
  <c r="A223" i="6"/>
  <c r="K222" i="6"/>
  <c r="I222" i="6"/>
  <c r="H222" i="6"/>
  <c r="G222" i="6"/>
  <c r="F222" i="6"/>
  <c r="E222" i="6"/>
  <c r="D222" i="6"/>
  <c r="C222" i="6"/>
  <c r="B222" i="6"/>
  <c r="A222" i="6"/>
  <c r="K221" i="6"/>
  <c r="I221" i="6"/>
  <c r="H221" i="6"/>
  <c r="G221" i="6"/>
  <c r="F221" i="6"/>
  <c r="E221" i="6"/>
  <c r="D221" i="6"/>
  <c r="C221" i="6"/>
  <c r="B221" i="6"/>
  <c r="A221" i="6"/>
  <c r="K220" i="6"/>
  <c r="I220" i="6"/>
  <c r="H220" i="6"/>
  <c r="G220" i="6"/>
  <c r="F220" i="6"/>
  <c r="E220" i="6"/>
  <c r="D220" i="6"/>
  <c r="C220" i="6"/>
  <c r="B220" i="6"/>
  <c r="A220" i="6"/>
  <c r="K219" i="6"/>
  <c r="I219" i="6"/>
  <c r="H219" i="6"/>
  <c r="G219" i="6"/>
  <c r="F219" i="6"/>
  <c r="E219" i="6"/>
  <c r="D219" i="6"/>
  <c r="C219" i="6"/>
  <c r="B219" i="6"/>
  <c r="A219" i="6"/>
  <c r="K218" i="6"/>
  <c r="I218" i="6"/>
  <c r="H218" i="6"/>
  <c r="G218" i="6"/>
  <c r="F218" i="6"/>
  <c r="E218" i="6"/>
  <c r="D218" i="6"/>
  <c r="C218" i="6"/>
  <c r="B218" i="6"/>
  <c r="A218" i="6"/>
  <c r="K217" i="6"/>
  <c r="I217" i="6"/>
  <c r="H217" i="6"/>
  <c r="G217" i="6"/>
  <c r="F217" i="6"/>
  <c r="E217" i="6"/>
  <c r="D217" i="6"/>
  <c r="C217" i="6"/>
  <c r="B217" i="6"/>
  <c r="A217" i="6"/>
  <c r="K216" i="6"/>
  <c r="I216" i="6"/>
  <c r="H216" i="6"/>
  <c r="G216" i="6"/>
  <c r="F216" i="6"/>
  <c r="E216" i="6"/>
  <c r="D216" i="6"/>
  <c r="C216" i="6"/>
  <c r="B216" i="6"/>
  <c r="A216" i="6"/>
  <c r="K215" i="6"/>
  <c r="I215" i="6"/>
  <c r="H215" i="6"/>
  <c r="G215" i="6"/>
  <c r="F215" i="6"/>
  <c r="E215" i="6"/>
  <c r="D215" i="6"/>
  <c r="C215" i="6"/>
  <c r="B215" i="6"/>
  <c r="A215" i="6"/>
  <c r="K214" i="6"/>
  <c r="I214" i="6"/>
  <c r="H214" i="6"/>
  <c r="G214" i="6"/>
  <c r="F214" i="6"/>
  <c r="E214" i="6"/>
  <c r="D214" i="6"/>
  <c r="C214" i="6"/>
  <c r="B214" i="6"/>
  <c r="A214" i="6"/>
  <c r="K213" i="6"/>
  <c r="I213" i="6"/>
  <c r="H213" i="6"/>
  <c r="G213" i="6"/>
  <c r="F213" i="6"/>
  <c r="E213" i="6"/>
  <c r="D213" i="6"/>
  <c r="C213" i="6"/>
  <c r="B213" i="6"/>
  <c r="A213" i="6"/>
  <c r="K212" i="6"/>
  <c r="I212" i="6"/>
  <c r="H212" i="6"/>
  <c r="G212" i="6"/>
  <c r="F212" i="6"/>
  <c r="E212" i="6"/>
  <c r="D212" i="6"/>
  <c r="C212" i="6"/>
  <c r="B212" i="6"/>
  <c r="A212" i="6"/>
  <c r="K211" i="6"/>
  <c r="I211" i="6"/>
  <c r="H211" i="6"/>
  <c r="G211" i="6"/>
  <c r="F211" i="6"/>
  <c r="E211" i="6"/>
  <c r="D211" i="6"/>
  <c r="C211" i="6"/>
  <c r="B211" i="6"/>
  <c r="A211" i="6"/>
  <c r="K210" i="6"/>
  <c r="I210" i="6"/>
  <c r="H210" i="6"/>
  <c r="G210" i="6"/>
  <c r="F210" i="6"/>
  <c r="E210" i="6"/>
  <c r="D210" i="6"/>
  <c r="C210" i="6"/>
  <c r="B210" i="6"/>
  <c r="A210" i="6"/>
  <c r="K209" i="6"/>
  <c r="I209" i="6"/>
  <c r="H209" i="6"/>
  <c r="G209" i="6"/>
  <c r="F209" i="6"/>
  <c r="E209" i="6"/>
  <c r="D209" i="6"/>
  <c r="C209" i="6"/>
  <c r="B209" i="6"/>
  <c r="A209" i="6"/>
  <c r="K208" i="6"/>
  <c r="I208" i="6"/>
  <c r="H208" i="6"/>
  <c r="G208" i="6"/>
  <c r="F208" i="6"/>
  <c r="E208" i="6"/>
  <c r="D208" i="6"/>
  <c r="C208" i="6"/>
  <c r="B208" i="6"/>
  <c r="A208" i="6"/>
  <c r="K207" i="6"/>
  <c r="I207" i="6"/>
  <c r="H207" i="6"/>
  <c r="G207" i="6"/>
  <c r="F207" i="6"/>
  <c r="E207" i="6"/>
  <c r="D207" i="6"/>
  <c r="C207" i="6"/>
  <c r="B207" i="6"/>
  <c r="A207" i="6"/>
  <c r="K206" i="6"/>
  <c r="I206" i="6"/>
  <c r="H206" i="6"/>
  <c r="G206" i="6"/>
  <c r="F206" i="6"/>
  <c r="E206" i="6"/>
  <c r="D206" i="6"/>
  <c r="C206" i="6"/>
  <c r="B206" i="6"/>
  <c r="A206" i="6"/>
  <c r="K205" i="6"/>
  <c r="I205" i="6"/>
  <c r="H205" i="6"/>
  <c r="G205" i="6"/>
  <c r="F205" i="6"/>
  <c r="E205" i="6"/>
  <c r="D205" i="6"/>
  <c r="C205" i="6"/>
  <c r="B205" i="6"/>
  <c r="A205" i="6"/>
  <c r="K204" i="6"/>
  <c r="I204" i="6"/>
  <c r="H204" i="6"/>
  <c r="G204" i="6"/>
  <c r="F204" i="6"/>
  <c r="E204" i="6"/>
  <c r="D204" i="6"/>
  <c r="C204" i="6"/>
  <c r="B204" i="6"/>
  <c r="A204" i="6"/>
  <c r="K203" i="6"/>
  <c r="I203" i="6"/>
  <c r="H203" i="6"/>
  <c r="G203" i="6"/>
  <c r="F203" i="6"/>
  <c r="E203" i="6"/>
  <c r="D203" i="6"/>
  <c r="C203" i="6"/>
  <c r="B203" i="6"/>
  <c r="A203" i="6"/>
  <c r="K202" i="6"/>
  <c r="I202" i="6"/>
  <c r="H202" i="6"/>
  <c r="G202" i="6"/>
  <c r="F202" i="6"/>
  <c r="E202" i="6"/>
  <c r="D202" i="6"/>
  <c r="C202" i="6"/>
  <c r="B202" i="6"/>
  <c r="A202" i="6"/>
  <c r="K201" i="6"/>
  <c r="I201" i="6"/>
  <c r="H201" i="6"/>
  <c r="G201" i="6"/>
  <c r="F201" i="6"/>
  <c r="E201" i="6"/>
  <c r="D201" i="6"/>
  <c r="C201" i="6"/>
  <c r="B201" i="6"/>
  <c r="A201" i="6"/>
  <c r="K200" i="6"/>
  <c r="I200" i="6"/>
  <c r="H200" i="6"/>
  <c r="G200" i="6"/>
  <c r="F200" i="6"/>
  <c r="E200" i="6"/>
  <c r="D200" i="6"/>
  <c r="C200" i="6"/>
  <c r="B200" i="6"/>
  <c r="A200" i="6"/>
  <c r="K199" i="6"/>
  <c r="I199" i="6"/>
  <c r="H199" i="6"/>
  <c r="G199" i="6"/>
  <c r="F199" i="6"/>
  <c r="E199" i="6"/>
  <c r="D199" i="6"/>
  <c r="C199" i="6"/>
  <c r="B199" i="6"/>
  <c r="A199" i="6"/>
  <c r="K198" i="6"/>
  <c r="I198" i="6"/>
  <c r="H198" i="6"/>
  <c r="G198" i="6"/>
  <c r="F198" i="6"/>
  <c r="E198" i="6"/>
  <c r="D198" i="6"/>
  <c r="C198" i="6"/>
  <c r="B198" i="6"/>
  <c r="A198" i="6"/>
  <c r="K197" i="6"/>
  <c r="I197" i="6"/>
  <c r="H197" i="6"/>
  <c r="G197" i="6"/>
  <c r="F197" i="6"/>
  <c r="E197" i="6"/>
  <c r="D197" i="6"/>
  <c r="C197" i="6"/>
  <c r="B197" i="6"/>
  <c r="A197" i="6"/>
  <c r="K196" i="6"/>
  <c r="I196" i="6"/>
  <c r="H196" i="6"/>
  <c r="G196" i="6"/>
  <c r="F196" i="6"/>
  <c r="E196" i="6"/>
  <c r="D196" i="6"/>
  <c r="C196" i="6"/>
  <c r="B196" i="6"/>
  <c r="A196" i="6"/>
  <c r="K195" i="6"/>
  <c r="I195" i="6"/>
  <c r="H195" i="6"/>
  <c r="G195" i="6"/>
  <c r="F195" i="6"/>
  <c r="E195" i="6"/>
  <c r="D195" i="6"/>
  <c r="C195" i="6"/>
  <c r="B195" i="6"/>
  <c r="A195" i="6"/>
  <c r="K194" i="6"/>
  <c r="I194" i="6"/>
  <c r="H194" i="6"/>
  <c r="G194" i="6"/>
  <c r="F194" i="6"/>
  <c r="E194" i="6"/>
  <c r="D194" i="6"/>
  <c r="C194" i="6"/>
  <c r="B194" i="6"/>
  <c r="A194" i="6"/>
  <c r="K193" i="6"/>
  <c r="I193" i="6"/>
  <c r="H193" i="6"/>
  <c r="G193" i="6"/>
  <c r="F193" i="6"/>
  <c r="E193" i="6"/>
  <c r="D193" i="6"/>
  <c r="C193" i="6"/>
  <c r="B193" i="6"/>
  <c r="A193" i="6"/>
  <c r="K192" i="6"/>
  <c r="I192" i="6"/>
  <c r="H192" i="6"/>
  <c r="G192" i="6"/>
  <c r="F192" i="6"/>
  <c r="E192" i="6"/>
  <c r="D192" i="6"/>
  <c r="C192" i="6"/>
  <c r="B192" i="6"/>
  <c r="A192" i="6"/>
  <c r="K191" i="6"/>
  <c r="I191" i="6"/>
  <c r="H191" i="6"/>
  <c r="G191" i="6"/>
  <c r="F191" i="6"/>
  <c r="E191" i="6"/>
  <c r="D191" i="6"/>
  <c r="C191" i="6"/>
  <c r="B191" i="6"/>
  <c r="A191" i="6"/>
  <c r="K190" i="6"/>
  <c r="I190" i="6"/>
  <c r="H190" i="6"/>
  <c r="G190" i="6"/>
  <c r="F190" i="6"/>
  <c r="E190" i="6"/>
  <c r="D190" i="6"/>
  <c r="C190" i="6"/>
  <c r="B190" i="6"/>
  <c r="A190" i="6"/>
  <c r="K189" i="6"/>
  <c r="I189" i="6"/>
  <c r="H189" i="6"/>
  <c r="G189" i="6"/>
  <c r="F189" i="6"/>
  <c r="E189" i="6"/>
  <c r="D189" i="6"/>
  <c r="C189" i="6"/>
  <c r="B189" i="6"/>
  <c r="A189" i="6"/>
  <c r="K188" i="6"/>
  <c r="I188" i="6"/>
  <c r="H188" i="6"/>
  <c r="G188" i="6"/>
  <c r="F188" i="6"/>
  <c r="E188" i="6"/>
  <c r="D188" i="6"/>
  <c r="C188" i="6"/>
  <c r="B188" i="6"/>
  <c r="A188" i="6"/>
  <c r="K187" i="6"/>
  <c r="I187" i="6"/>
  <c r="H187" i="6"/>
  <c r="G187" i="6"/>
  <c r="F187" i="6"/>
  <c r="E187" i="6"/>
  <c r="D187" i="6"/>
  <c r="C187" i="6"/>
  <c r="B187" i="6"/>
  <c r="A187" i="6"/>
  <c r="K186" i="6"/>
  <c r="I186" i="6"/>
  <c r="H186" i="6"/>
  <c r="G186" i="6"/>
  <c r="F186" i="6"/>
  <c r="E186" i="6"/>
  <c r="D186" i="6"/>
  <c r="C186" i="6"/>
  <c r="B186" i="6"/>
  <c r="A186" i="6"/>
  <c r="K185" i="6"/>
  <c r="I185" i="6"/>
  <c r="H185" i="6"/>
  <c r="G185" i="6"/>
  <c r="F185" i="6"/>
  <c r="E185" i="6"/>
  <c r="D185" i="6"/>
  <c r="C185" i="6"/>
  <c r="B185" i="6"/>
  <c r="A185" i="6"/>
  <c r="K184" i="6"/>
  <c r="I184" i="6"/>
  <c r="H184" i="6"/>
  <c r="G184" i="6"/>
  <c r="F184" i="6"/>
  <c r="E184" i="6"/>
  <c r="D184" i="6"/>
  <c r="C184" i="6"/>
  <c r="B184" i="6"/>
  <c r="A184" i="6"/>
  <c r="K183" i="6"/>
  <c r="I183" i="6"/>
  <c r="H183" i="6"/>
  <c r="G183" i="6"/>
  <c r="F183" i="6"/>
  <c r="E183" i="6"/>
  <c r="D183" i="6"/>
  <c r="C183" i="6"/>
  <c r="B183" i="6"/>
  <c r="A183" i="6"/>
  <c r="K182" i="6"/>
  <c r="I182" i="6"/>
  <c r="H182" i="6"/>
  <c r="G182" i="6"/>
  <c r="F182" i="6"/>
  <c r="E182" i="6"/>
  <c r="D182" i="6"/>
  <c r="C182" i="6"/>
  <c r="B182" i="6"/>
  <c r="A182" i="6"/>
  <c r="K181" i="6"/>
  <c r="I181" i="6"/>
  <c r="H181" i="6"/>
  <c r="G181" i="6"/>
  <c r="F181" i="6"/>
  <c r="E181" i="6"/>
  <c r="D181" i="6"/>
  <c r="C181" i="6"/>
  <c r="B181" i="6"/>
  <c r="A181" i="6"/>
  <c r="K180" i="6"/>
  <c r="I180" i="6"/>
  <c r="H180" i="6"/>
  <c r="G180" i="6"/>
  <c r="F180" i="6"/>
  <c r="E180" i="6"/>
  <c r="D180" i="6"/>
  <c r="C180" i="6"/>
  <c r="B180" i="6"/>
  <c r="A180" i="6"/>
  <c r="K179" i="6"/>
  <c r="I179" i="6"/>
  <c r="H179" i="6"/>
  <c r="G179" i="6"/>
  <c r="F179" i="6"/>
  <c r="E179" i="6"/>
  <c r="D179" i="6"/>
  <c r="C179" i="6"/>
  <c r="B179" i="6"/>
  <c r="A179" i="6"/>
  <c r="K178" i="6"/>
  <c r="I178" i="6"/>
  <c r="H178" i="6"/>
  <c r="G178" i="6"/>
  <c r="F178" i="6"/>
  <c r="E178" i="6"/>
  <c r="D178" i="6"/>
  <c r="C178" i="6"/>
  <c r="B178" i="6"/>
  <c r="A178" i="6"/>
  <c r="K177" i="6"/>
  <c r="I177" i="6"/>
  <c r="H177" i="6"/>
  <c r="G177" i="6"/>
  <c r="F177" i="6"/>
  <c r="E177" i="6"/>
  <c r="D177" i="6"/>
  <c r="C177" i="6"/>
  <c r="B177" i="6"/>
  <c r="A177" i="6"/>
  <c r="K176" i="6"/>
  <c r="I176" i="6"/>
  <c r="H176" i="6"/>
  <c r="G176" i="6"/>
  <c r="F176" i="6"/>
  <c r="E176" i="6"/>
  <c r="D176" i="6"/>
  <c r="C176" i="6"/>
  <c r="B176" i="6"/>
  <c r="A176" i="6"/>
  <c r="K175" i="6"/>
  <c r="I175" i="6"/>
  <c r="H175" i="6"/>
  <c r="G175" i="6"/>
  <c r="F175" i="6"/>
  <c r="E175" i="6"/>
  <c r="D175" i="6"/>
  <c r="C175" i="6"/>
  <c r="B175" i="6"/>
  <c r="A175" i="6"/>
  <c r="K174" i="6"/>
  <c r="I174" i="6"/>
  <c r="H174" i="6"/>
  <c r="G174" i="6"/>
  <c r="F174" i="6"/>
  <c r="E174" i="6"/>
  <c r="D174" i="6"/>
  <c r="C174" i="6"/>
  <c r="B174" i="6"/>
  <c r="A174" i="6"/>
  <c r="K173" i="6"/>
  <c r="I173" i="6"/>
  <c r="H173" i="6"/>
  <c r="G173" i="6"/>
  <c r="F173" i="6"/>
  <c r="E173" i="6"/>
  <c r="D173" i="6"/>
  <c r="C173" i="6"/>
  <c r="B173" i="6"/>
  <c r="A173" i="6"/>
  <c r="K172" i="6"/>
  <c r="I172" i="6"/>
  <c r="H172" i="6"/>
  <c r="G172" i="6"/>
  <c r="F172" i="6"/>
  <c r="E172" i="6"/>
  <c r="D172" i="6"/>
  <c r="C172" i="6"/>
  <c r="B172" i="6"/>
  <c r="A172" i="6"/>
  <c r="K171" i="6"/>
  <c r="I171" i="6"/>
  <c r="H171" i="6"/>
  <c r="G171" i="6"/>
  <c r="F171" i="6"/>
  <c r="E171" i="6"/>
  <c r="D171" i="6"/>
  <c r="C171" i="6"/>
  <c r="B171" i="6"/>
  <c r="A171" i="6"/>
  <c r="K170" i="6"/>
  <c r="I170" i="6"/>
  <c r="H170" i="6"/>
  <c r="G170" i="6"/>
  <c r="F170" i="6"/>
  <c r="E170" i="6"/>
  <c r="D170" i="6"/>
  <c r="C170" i="6"/>
  <c r="B170" i="6"/>
  <c r="A170" i="6"/>
  <c r="K169" i="6"/>
  <c r="I169" i="6"/>
  <c r="H169" i="6"/>
  <c r="G169" i="6"/>
  <c r="F169" i="6"/>
  <c r="E169" i="6"/>
  <c r="D169" i="6"/>
  <c r="C169" i="6"/>
  <c r="B169" i="6"/>
  <c r="A169" i="6"/>
  <c r="K168" i="6"/>
  <c r="I168" i="6"/>
  <c r="H168" i="6"/>
  <c r="G168" i="6"/>
  <c r="F168" i="6"/>
  <c r="E168" i="6"/>
  <c r="D168" i="6"/>
  <c r="C168" i="6"/>
  <c r="B168" i="6"/>
  <c r="A168" i="6"/>
  <c r="K167" i="6"/>
  <c r="I167" i="6"/>
  <c r="H167" i="6"/>
  <c r="G167" i="6"/>
  <c r="F167" i="6"/>
  <c r="E167" i="6"/>
  <c r="D167" i="6"/>
  <c r="C167" i="6"/>
  <c r="B167" i="6"/>
  <c r="A167" i="6"/>
  <c r="K166" i="6"/>
  <c r="I166" i="6"/>
  <c r="H166" i="6"/>
  <c r="G166" i="6"/>
  <c r="F166" i="6"/>
  <c r="E166" i="6"/>
  <c r="D166" i="6"/>
  <c r="C166" i="6"/>
  <c r="B166" i="6"/>
  <c r="A166" i="6"/>
  <c r="K165" i="6"/>
  <c r="I165" i="6"/>
  <c r="H165" i="6"/>
  <c r="G165" i="6"/>
  <c r="F165" i="6"/>
  <c r="E165" i="6"/>
  <c r="D165" i="6"/>
  <c r="C165" i="6"/>
  <c r="B165" i="6"/>
  <c r="A165" i="6"/>
  <c r="K164" i="6"/>
  <c r="I164" i="6"/>
  <c r="H164" i="6"/>
  <c r="G164" i="6"/>
  <c r="F164" i="6"/>
  <c r="E164" i="6"/>
  <c r="D164" i="6"/>
  <c r="C164" i="6"/>
  <c r="B164" i="6"/>
  <c r="A164" i="6"/>
  <c r="K163" i="6"/>
  <c r="I163" i="6"/>
  <c r="H163" i="6"/>
  <c r="G163" i="6"/>
  <c r="F163" i="6"/>
  <c r="E163" i="6"/>
  <c r="D163" i="6"/>
  <c r="C163" i="6"/>
  <c r="B163" i="6"/>
  <c r="A163" i="6"/>
  <c r="K162" i="6"/>
  <c r="I162" i="6"/>
  <c r="H162" i="6"/>
  <c r="G162" i="6"/>
  <c r="F162" i="6"/>
  <c r="E162" i="6"/>
  <c r="D162" i="6"/>
  <c r="C162" i="6"/>
  <c r="B162" i="6"/>
  <c r="A162" i="6"/>
  <c r="K161" i="6"/>
  <c r="I161" i="6"/>
  <c r="H161" i="6"/>
  <c r="G161" i="6"/>
  <c r="F161" i="6"/>
  <c r="E161" i="6"/>
  <c r="D161" i="6"/>
  <c r="C161" i="6"/>
  <c r="B161" i="6"/>
  <c r="A161" i="6"/>
  <c r="K160" i="6"/>
  <c r="I160" i="6"/>
  <c r="H160" i="6"/>
  <c r="G160" i="6"/>
  <c r="F160" i="6"/>
  <c r="E160" i="6"/>
  <c r="D160" i="6"/>
  <c r="C160" i="6"/>
  <c r="B160" i="6"/>
  <c r="A160" i="6"/>
  <c r="K159" i="6"/>
  <c r="I159" i="6"/>
  <c r="H159" i="6"/>
  <c r="G159" i="6"/>
  <c r="F159" i="6"/>
  <c r="E159" i="6"/>
  <c r="D159" i="6"/>
  <c r="C159" i="6"/>
  <c r="B159" i="6"/>
  <c r="A159" i="6"/>
  <c r="K158" i="6"/>
  <c r="I158" i="6"/>
  <c r="H158" i="6"/>
  <c r="G158" i="6"/>
  <c r="F158" i="6"/>
  <c r="E158" i="6"/>
  <c r="D158" i="6"/>
  <c r="C158" i="6"/>
  <c r="B158" i="6"/>
  <c r="A158" i="6"/>
  <c r="K157" i="6"/>
  <c r="I157" i="6"/>
  <c r="H157" i="6"/>
  <c r="G157" i="6"/>
  <c r="F157" i="6"/>
  <c r="E157" i="6"/>
  <c r="D157" i="6"/>
  <c r="C157" i="6"/>
  <c r="B157" i="6"/>
  <c r="A157" i="6"/>
  <c r="K156" i="6"/>
  <c r="I156" i="6"/>
  <c r="H156" i="6"/>
  <c r="G156" i="6"/>
  <c r="F156" i="6"/>
  <c r="E156" i="6"/>
  <c r="D156" i="6"/>
  <c r="C156" i="6"/>
  <c r="B156" i="6"/>
  <c r="A156" i="6"/>
  <c r="K155" i="6"/>
  <c r="I155" i="6"/>
  <c r="H155" i="6"/>
  <c r="G155" i="6"/>
  <c r="F155" i="6"/>
  <c r="E155" i="6"/>
  <c r="D155" i="6"/>
  <c r="C155" i="6"/>
  <c r="B155" i="6"/>
  <c r="A155" i="6"/>
  <c r="K154" i="6"/>
  <c r="I154" i="6"/>
  <c r="H154" i="6"/>
  <c r="G154" i="6"/>
  <c r="F154" i="6"/>
  <c r="E154" i="6"/>
  <c r="D154" i="6"/>
  <c r="C154" i="6"/>
  <c r="B154" i="6"/>
  <c r="A154" i="6"/>
  <c r="K153" i="6"/>
  <c r="I153" i="6"/>
  <c r="H153" i="6"/>
  <c r="G153" i="6"/>
  <c r="F153" i="6"/>
  <c r="E153" i="6"/>
  <c r="D153" i="6"/>
  <c r="C153" i="6"/>
  <c r="B153" i="6"/>
  <c r="A153" i="6"/>
  <c r="K152" i="6"/>
  <c r="I152" i="6"/>
  <c r="H152" i="6"/>
  <c r="G152" i="6"/>
  <c r="F152" i="6"/>
  <c r="E152" i="6"/>
  <c r="D152" i="6"/>
  <c r="C152" i="6"/>
  <c r="B152" i="6"/>
  <c r="A152" i="6"/>
  <c r="K151" i="6"/>
  <c r="I151" i="6"/>
  <c r="H151" i="6"/>
  <c r="G151" i="6"/>
  <c r="F151" i="6"/>
  <c r="E151" i="6"/>
  <c r="D151" i="6"/>
  <c r="C151" i="6"/>
  <c r="B151" i="6"/>
  <c r="A151" i="6"/>
  <c r="K150" i="6"/>
  <c r="I150" i="6"/>
  <c r="H150" i="6"/>
  <c r="G150" i="6"/>
  <c r="F150" i="6"/>
  <c r="E150" i="6"/>
  <c r="D150" i="6"/>
  <c r="C150" i="6"/>
  <c r="B150" i="6"/>
  <c r="A150" i="6"/>
  <c r="K149" i="6"/>
  <c r="I149" i="6"/>
  <c r="H149" i="6"/>
  <c r="G149" i="6"/>
  <c r="F149" i="6"/>
  <c r="E149" i="6"/>
  <c r="D149" i="6"/>
  <c r="C149" i="6"/>
  <c r="B149" i="6"/>
  <c r="A149" i="6"/>
  <c r="K148" i="6"/>
  <c r="I148" i="6"/>
  <c r="H148" i="6"/>
  <c r="G148" i="6"/>
  <c r="F148" i="6"/>
  <c r="E148" i="6"/>
  <c r="D148" i="6"/>
  <c r="C148" i="6"/>
  <c r="B148" i="6"/>
  <c r="A148" i="6"/>
  <c r="K147" i="6"/>
  <c r="I147" i="6"/>
  <c r="H147" i="6"/>
  <c r="G147" i="6"/>
  <c r="F147" i="6"/>
  <c r="E147" i="6"/>
  <c r="D147" i="6"/>
  <c r="C147" i="6"/>
  <c r="B147" i="6"/>
  <c r="A147" i="6"/>
  <c r="K146" i="6"/>
  <c r="I146" i="6"/>
  <c r="H146" i="6"/>
  <c r="G146" i="6"/>
  <c r="F146" i="6"/>
  <c r="E146" i="6"/>
  <c r="D146" i="6"/>
  <c r="C146" i="6"/>
  <c r="B146" i="6"/>
  <c r="A146" i="6"/>
  <c r="K145" i="6"/>
  <c r="I145" i="6"/>
  <c r="H145" i="6"/>
  <c r="G145" i="6"/>
  <c r="F145" i="6"/>
  <c r="E145" i="6"/>
  <c r="D145" i="6"/>
  <c r="C145" i="6"/>
  <c r="B145" i="6"/>
  <c r="A145" i="6"/>
  <c r="K144" i="6"/>
  <c r="I144" i="6"/>
  <c r="H144" i="6"/>
  <c r="G144" i="6"/>
  <c r="F144" i="6"/>
  <c r="E144" i="6"/>
  <c r="D144" i="6"/>
  <c r="C144" i="6"/>
  <c r="B144" i="6"/>
  <c r="A144" i="6"/>
  <c r="K143" i="6"/>
  <c r="I143" i="6"/>
  <c r="H143" i="6"/>
  <c r="G143" i="6"/>
  <c r="F143" i="6"/>
  <c r="E143" i="6"/>
  <c r="D143" i="6"/>
  <c r="C143" i="6"/>
  <c r="B143" i="6"/>
  <c r="A143" i="6"/>
  <c r="K142" i="6"/>
  <c r="I142" i="6"/>
  <c r="H142" i="6"/>
  <c r="G142" i="6"/>
  <c r="F142" i="6"/>
  <c r="E142" i="6"/>
  <c r="D142" i="6"/>
  <c r="C142" i="6"/>
  <c r="B142" i="6"/>
  <c r="A142" i="6"/>
  <c r="K141" i="6"/>
  <c r="I141" i="6"/>
  <c r="H141" i="6"/>
  <c r="G141" i="6"/>
  <c r="F141" i="6"/>
  <c r="E141" i="6"/>
  <c r="D141" i="6"/>
  <c r="C141" i="6"/>
  <c r="B141" i="6"/>
  <c r="A141" i="6"/>
  <c r="K140" i="6"/>
  <c r="I140" i="6"/>
  <c r="H140" i="6"/>
  <c r="G140" i="6"/>
  <c r="F140" i="6"/>
  <c r="E140" i="6"/>
  <c r="D140" i="6"/>
  <c r="C140" i="6"/>
  <c r="B140" i="6"/>
  <c r="A140" i="6"/>
  <c r="K139" i="6"/>
  <c r="I139" i="6"/>
  <c r="H139" i="6"/>
  <c r="G139" i="6"/>
  <c r="F139" i="6"/>
  <c r="E139" i="6"/>
  <c r="D139" i="6"/>
  <c r="C139" i="6"/>
  <c r="B139" i="6"/>
  <c r="A139" i="6"/>
  <c r="K138" i="6"/>
  <c r="I138" i="6"/>
  <c r="H138" i="6"/>
  <c r="G138" i="6"/>
  <c r="F138" i="6"/>
  <c r="E138" i="6"/>
  <c r="D138" i="6"/>
  <c r="C138" i="6"/>
  <c r="B138" i="6"/>
  <c r="A138" i="6"/>
  <c r="K137" i="6"/>
  <c r="I137" i="6"/>
  <c r="H137" i="6"/>
  <c r="G137" i="6"/>
  <c r="F137" i="6"/>
  <c r="E137" i="6"/>
  <c r="D137" i="6"/>
  <c r="C137" i="6"/>
  <c r="B137" i="6"/>
  <c r="A137" i="6"/>
  <c r="K136" i="6"/>
  <c r="I136" i="6"/>
  <c r="H136" i="6"/>
  <c r="G136" i="6"/>
  <c r="F136" i="6"/>
  <c r="E136" i="6"/>
  <c r="D136" i="6"/>
  <c r="C136" i="6"/>
  <c r="B136" i="6"/>
  <c r="A136" i="6"/>
  <c r="K135" i="6"/>
  <c r="I135" i="6"/>
  <c r="H135" i="6"/>
  <c r="G135" i="6"/>
  <c r="F135" i="6"/>
  <c r="E135" i="6"/>
  <c r="D135" i="6"/>
  <c r="C135" i="6"/>
  <c r="B135" i="6"/>
  <c r="A135" i="6"/>
  <c r="K134" i="6"/>
  <c r="I134" i="6"/>
  <c r="H134" i="6"/>
  <c r="G134" i="6"/>
  <c r="F134" i="6"/>
  <c r="E134" i="6"/>
  <c r="D134" i="6"/>
  <c r="C134" i="6"/>
  <c r="B134" i="6"/>
  <c r="A134" i="6"/>
  <c r="K133" i="6"/>
  <c r="I133" i="6"/>
  <c r="H133" i="6"/>
  <c r="G133" i="6"/>
  <c r="F133" i="6"/>
  <c r="E133" i="6"/>
  <c r="D133" i="6"/>
  <c r="C133" i="6"/>
  <c r="B133" i="6"/>
  <c r="A133" i="6"/>
  <c r="K132" i="6"/>
  <c r="I132" i="6"/>
  <c r="H132" i="6"/>
  <c r="G132" i="6"/>
  <c r="F132" i="6"/>
  <c r="E132" i="6"/>
  <c r="D132" i="6"/>
  <c r="C132" i="6"/>
  <c r="B132" i="6"/>
  <c r="A132" i="6"/>
  <c r="K131" i="6"/>
  <c r="I131" i="6"/>
  <c r="H131" i="6"/>
  <c r="G131" i="6"/>
  <c r="F131" i="6"/>
  <c r="E131" i="6"/>
  <c r="D131" i="6"/>
  <c r="C131" i="6"/>
  <c r="B131" i="6"/>
  <c r="A131" i="6"/>
  <c r="K130" i="6"/>
  <c r="I130" i="6"/>
  <c r="H130" i="6"/>
  <c r="G130" i="6"/>
  <c r="F130" i="6"/>
  <c r="E130" i="6"/>
  <c r="D130" i="6"/>
  <c r="C130" i="6"/>
  <c r="B130" i="6"/>
  <c r="A130" i="6"/>
  <c r="K129" i="6"/>
  <c r="I129" i="6"/>
  <c r="H129" i="6"/>
  <c r="G129" i="6"/>
  <c r="F129" i="6"/>
  <c r="E129" i="6"/>
  <c r="D129" i="6"/>
  <c r="C129" i="6"/>
  <c r="B129" i="6"/>
  <c r="A129" i="6"/>
  <c r="K128" i="6"/>
  <c r="I128" i="6"/>
  <c r="H128" i="6"/>
  <c r="G128" i="6"/>
  <c r="F128" i="6"/>
  <c r="E128" i="6"/>
  <c r="D128" i="6"/>
  <c r="C128" i="6"/>
  <c r="B128" i="6"/>
  <c r="A128" i="6"/>
  <c r="K127" i="6"/>
  <c r="I127" i="6"/>
  <c r="H127" i="6"/>
  <c r="G127" i="6"/>
  <c r="F127" i="6"/>
  <c r="E127" i="6"/>
  <c r="D127" i="6"/>
  <c r="C127" i="6"/>
  <c r="B127" i="6"/>
  <c r="A127" i="6"/>
  <c r="K126" i="6"/>
  <c r="I126" i="6"/>
  <c r="H126" i="6"/>
  <c r="G126" i="6"/>
  <c r="F126" i="6"/>
  <c r="E126" i="6"/>
  <c r="D126" i="6"/>
  <c r="C126" i="6"/>
  <c r="B126" i="6"/>
  <c r="A126" i="6"/>
  <c r="K125" i="6"/>
  <c r="I125" i="6"/>
  <c r="H125" i="6"/>
  <c r="G125" i="6"/>
  <c r="F125" i="6"/>
  <c r="E125" i="6"/>
  <c r="D125" i="6"/>
  <c r="C125" i="6"/>
  <c r="B125" i="6"/>
  <c r="A125" i="6"/>
  <c r="K124" i="6"/>
  <c r="I124" i="6"/>
  <c r="H124" i="6"/>
  <c r="G124" i="6"/>
  <c r="F124" i="6"/>
  <c r="E124" i="6"/>
  <c r="D124" i="6"/>
  <c r="C124" i="6"/>
  <c r="B124" i="6"/>
  <c r="A124" i="6"/>
  <c r="K123" i="6"/>
  <c r="I123" i="6"/>
  <c r="H123" i="6"/>
  <c r="G123" i="6"/>
  <c r="F123" i="6"/>
  <c r="E123" i="6"/>
  <c r="D123" i="6"/>
  <c r="C123" i="6"/>
  <c r="B123" i="6"/>
  <c r="A123" i="6"/>
  <c r="K122" i="6"/>
  <c r="I122" i="6"/>
  <c r="H122" i="6"/>
  <c r="G122" i="6"/>
  <c r="F122" i="6"/>
  <c r="E122" i="6"/>
  <c r="D122" i="6"/>
  <c r="C122" i="6"/>
  <c r="B122" i="6"/>
  <c r="A122" i="6"/>
  <c r="K121" i="6"/>
  <c r="I121" i="6"/>
  <c r="H121" i="6"/>
  <c r="G121" i="6"/>
  <c r="F121" i="6"/>
  <c r="E121" i="6"/>
  <c r="D121" i="6"/>
  <c r="C121" i="6"/>
  <c r="B121" i="6"/>
  <c r="A121" i="6"/>
  <c r="K120" i="6"/>
  <c r="I120" i="6"/>
  <c r="H120" i="6"/>
  <c r="G120" i="6"/>
  <c r="F120" i="6"/>
  <c r="E120" i="6"/>
  <c r="D120" i="6"/>
  <c r="C120" i="6"/>
  <c r="B120" i="6"/>
  <c r="A120" i="6"/>
  <c r="K119" i="6"/>
  <c r="I119" i="6"/>
  <c r="H119" i="6"/>
  <c r="G119" i="6"/>
  <c r="F119" i="6"/>
  <c r="E119" i="6"/>
  <c r="D119" i="6"/>
  <c r="C119" i="6"/>
  <c r="B119" i="6"/>
  <c r="A119" i="6"/>
  <c r="K118" i="6"/>
  <c r="I118" i="6"/>
  <c r="H118" i="6"/>
  <c r="G118" i="6"/>
  <c r="F118" i="6"/>
  <c r="E118" i="6"/>
  <c r="D118" i="6"/>
  <c r="C118" i="6"/>
  <c r="B118" i="6"/>
  <c r="A118" i="6"/>
  <c r="K117" i="6"/>
  <c r="I117" i="6"/>
  <c r="H117" i="6"/>
  <c r="G117" i="6"/>
  <c r="F117" i="6"/>
  <c r="E117" i="6"/>
  <c r="D117" i="6"/>
  <c r="C117" i="6"/>
  <c r="B117" i="6"/>
  <c r="A117" i="6"/>
  <c r="K116" i="6"/>
  <c r="I116" i="6"/>
  <c r="H116" i="6"/>
  <c r="G116" i="6"/>
  <c r="F116" i="6"/>
  <c r="E116" i="6"/>
  <c r="D116" i="6"/>
  <c r="C116" i="6"/>
  <c r="B116" i="6"/>
  <c r="A116" i="6"/>
  <c r="K115" i="6"/>
  <c r="I115" i="6"/>
  <c r="H115" i="6"/>
  <c r="G115" i="6"/>
  <c r="F115" i="6"/>
  <c r="E115" i="6"/>
  <c r="D115" i="6"/>
  <c r="C115" i="6"/>
  <c r="B115" i="6"/>
  <c r="A115" i="6"/>
  <c r="K114" i="6"/>
  <c r="I114" i="6"/>
  <c r="H114" i="6"/>
  <c r="G114" i="6"/>
  <c r="F114" i="6"/>
  <c r="E114" i="6"/>
  <c r="D114" i="6"/>
  <c r="C114" i="6"/>
  <c r="B114" i="6"/>
  <c r="A114" i="6"/>
  <c r="K113" i="6"/>
  <c r="I113" i="6"/>
  <c r="H113" i="6"/>
  <c r="G113" i="6"/>
  <c r="F113" i="6"/>
  <c r="E113" i="6"/>
  <c r="D113" i="6"/>
  <c r="C113" i="6"/>
  <c r="B113" i="6"/>
  <c r="A113" i="6"/>
  <c r="K112" i="6"/>
  <c r="I112" i="6"/>
  <c r="H112" i="6"/>
  <c r="G112" i="6"/>
  <c r="F112" i="6"/>
  <c r="E112" i="6"/>
  <c r="D112" i="6"/>
  <c r="C112" i="6"/>
  <c r="B112" i="6"/>
  <c r="A112" i="6"/>
  <c r="K111" i="6"/>
  <c r="I111" i="6"/>
  <c r="H111" i="6"/>
  <c r="G111" i="6"/>
  <c r="F111" i="6"/>
  <c r="E111" i="6"/>
  <c r="D111" i="6"/>
  <c r="C111" i="6"/>
  <c r="B111" i="6"/>
  <c r="A111" i="6"/>
  <c r="K110" i="6"/>
  <c r="I110" i="6"/>
  <c r="H110" i="6"/>
  <c r="G110" i="6"/>
  <c r="F110" i="6"/>
  <c r="E110" i="6"/>
  <c r="D110" i="6"/>
  <c r="C110" i="6"/>
  <c r="B110" i="6"/>
  <c r="A110" i="6"/>
  <c r="K109" i="6"/>
  <c r="I109" i="6"/>
  <c r="H109" i="6"/>
  <c r="G109" i="6"/>
  <c r="F109" i="6"/>
  <c r="E109" i="6"/>
  <c r="D109" i="6"/>
  <c r="C109" i="6"/>
  <c r="B109" i="6"/>
  <c r="A109" i="6"/>
  <c r="K108" i="6"/>
  <c r="I108" i="6"/>
  <c r="H108" i="6"/>
  <c r="G108" i="6"/>
  <c r="F108" i="6"/>
  <c r="E108" i="6"/>
  <c r="D108" i="6"/>
  <c r="C108" i="6"/>
  <c r="B108" i="6"/>
  <c r="A108" i="6"/>
  <c r="K107" i="6"/>
  <c r="I107" i="6"/>
  <c r="H107" i="6"/>
  <c r="G107" i="6"/>
  <c r="F107" i="6"/>
  <c r="E107" i="6"/>
  <c r="D107" i="6"/>
  <c r="C107" i="6"/>
  <c r="B107" i="6"/>
  <c r="A107" i="6"/>
  <c r="K106" i="6"/>
  <c r="I106" i="6"/>
  <c r="H106" i="6"/>
  <c r="G106" i="6"/>
  <c r="F106" i="6"/>
  <c r="E106" i="6"/>
  <c r="D106" i="6"/>
  <c r="C106" i="6"/>
  <c r="B106" i="6"/>
  <c r="A106" i="6"/>
  <c r="K105" i="6"/>
  <c r="I105" i="6"/>
  <c r="H105" i="6"/>
  <c r="G105" i="6"/>
  <c r="F105" i="6"/>
  <c r="E105" i="6"/>
  <c r="D105" i="6"/>
  <c r="C105" i="6"/>
  <c r="B105" i="6"/>
  <c r="A105" i="6"/>
  <c r="K104" i="6"/>
  <c r="I104" i="6"/>
  <c r="H104" i="6"/>
  <c r="G104" i="6"/>
  <c r="F104" i="6"/>
  <c r="E104" i="6"/>
  <c r="D104" i="6"/>
  <c r="C104" i="6"/>
  <c r="B104" i="6"/>
  <c r="A104" i="6"/>
  <c r="K103" i="6"/>
  <c r="I103" i="6"/>
  <c r="H103" i="6"/>
  <c r="G103" i="6"/>
  <c r="F103" i="6"/>
  <c r="E103" i="6"/>
  <c r="D103" i="6"/>
  <c r="C103" i="6"/>
  <c r="B103" i="6"/>
  <c r="A103" i="6"/>
  <c r="K102" i="6"/>
  <c r="I102" i="6"/>
  <c r="H102" i="6"/>
  <c r="G102" i="6"/>
  <c r="F102" i="6"/>
  <c r="E102" i="6"/>
  <c r="D102" i="6"/>
  <c r="C102" i="6"/>
  <c r="B102" i="6"/>
  <c r="A102" i="6"/>
  <c r="K101" i="6"/>
  <c r="I101" i="6"/>
  <c r="H101" i="6"/>
  <c r="G101" i="6"/>
  <c r="F101" i="6"/>
  <c r="E101" i="6"/>
  <c r="D101" i="6"/>
  <c r="C101" i="6"/>
  <c r="B101" i="6"/>
  <c r="A101" i="6"/>
  <c r="K100" i="6"/>
  <c r="I100" i="6"/>
  <c r="H100" i="6"/>
  <c r="G100" i="6"/>
  <c r="F100" i="6"/>
  <c r="E100" i="6"/>
  <c r="D100" i="6"/>
  <c r="C100" i="6"/>
  <c r="B100" i="6"/>
  <c r="A100" i="6"/>
  <c r="K99" i="6"/>
  <c r="I99" i="6"/>
  <c r="H99" i="6"/>
  <c r="G99" i="6"/>
  <c r="F99" i="6"/>
  <c r="E99" i="6"/>
  <c r="D99" i="6"/>
  <c r="C99" i="6"/>
  <c r="B99" i="6"/>
  <c r="A99" i="6"/>
  <c r="K98" i="6"/>
  <c r="I98" i="6"/>
  <c r="H98" i="6"/>
  <c r="G98" i="6"/>
  <c r="F98" i="6"/>
  <c r="E98" i="6"/>
  <c r="D98" i="6"/>
  <c r="C98" i="6"/>
  <c r="B98" i="6"/>
  <c r="A98" i="6"/>
  <c r="K97" i="6"/>
  <c r="I97" i="6"/>
  <c r="H97" i="6"/>
  <c r="G97" i="6"/>
  <c r="F97" i="6"/>
  <c r="E97" i="6"/>
  <c r="D97" i="6"/>
  <c r="C97" i="6"/>
  <c r="B97" i="6"/>
  <c r="A97" i="6"/>
  <c r="K96" i="6"/>
  <c r="I96" i="6"/>
  <c r="H96" i="6"/>
  <c r="G96" i="6"/>
  <c r="F96" i="6"/>
  <c r="E96" i="6"/>
  <c r="D96" i="6"/>
  <c r="C96" i="6"/>
  <c r="B96" i="6"/>
  <c r="A96" i="6"/>
  <c r="K95" i="6"/>
  <c r="I95" i="6"/>
  <c r="H95" i="6"/>
  <c r="G95" i="6"/>
  <c r="F95" i="6"/>
  <c r="E95" i="6"/>
  <c r="D95" i="6"/>
  <c r="C95" i="6"/>
  <c r="B95" i="6"/>
  <c r="A95" i="6"/>
  <c r="K94" i="6"/>
  <c r="I94" i="6"/>
  <c r="H94" i="6"/>
  <c r="G94" i="6"/>
  <c r="F94" i="6"/>
  <c r="E94" i="6"/>
  <c r="D94" i="6"/>
  <c r="C94" i="6"/>
  <c r="B94" i="6"/>
  <c r="A94" i="6"/>
  <c r="K93" i="6"/>
  <c r="I93" i="6"/>
  <c r="H93" i="6"/>
  <c r="G93" i="6"/>
  <c r="F93" i="6"/>
  <c r="E93" i="6"/>
  <c r="D93" i="6"/>
  <c r="C93" i="6"/>
  <c r="B93" i="6"/>
  <c r="A93" i="6"/>
  <c r="K92" i="6"/>
  <c r="I92" i="6"/>
  <c r="H92" i="6"/>
  <c r="G92" i="6"/>
  <c r="F92" i="6"/>
  <c r="E92" i="6"/>
  <c r="D92" i="6"/>
  <c r="C92" i="6"/>
  <c r="B92" i="6"/>
  <c r="A92" i="6"/>
  <c r="K91" i="6"/>
  <c r="I91" i="6"/>
  <c r="H91" i="6"/>
  <c r="G91" i="6"/>
  <c r="F91" i="6"/>
  <c r="E91" i="6"/>
  <c r="D91" i="6"/>
  <c r="C91" i="6"/>
  <c r="B91" i="6"/>
  <c r="A91" i="6"/>
  <c r="K90" i="6"/>
  <c r="I90" i="6"/>
  <c r="H90" i="6"/>
  <c r="G90" i="6"/>
  <c r="F90" i="6"/>
  <c r="E90" i="6"/>
  <c r="D90" i="6"/>
  <c r="C90" i="6"/>
  <c r="B90" i="6"/>
  <c r="A90" i="6"/>
  <c r="K89" i="6"/>
  <c r="I89" i="6"/>
  <c r="H89" i="6"/>
  <c r="G89" i="6"/>
  <c r="F89" i="6"/>
  <c r="E89" i="6"/>
  <c r="D89" i="6"/>
  <c r="C89" i="6"/>
  <c r="B89" i="6"/>
  <c r="A89" i="6"/>
  <c r="K88" i="6"/>
  <c r="I88" i="6"/>
  <c r="H88" i="6"/>
  <c r="G88" i="6"/>
  <c r="F88" i="6"/>
  <c r="E88" i="6"/>
  <c r="D88" i="6"/>
  <c r="C88" i="6"/>
  <c r="B88" i="6"/>
  <c r="A88" i="6"/>
  <c r="K87" i="6"/>
  <c r="I87" i="6"/>
  <c r="H87" i="6"/>
  <c r="G87" i="6"/>
  <c r="F87" i="6"/>
  <c r="E87" i="6"/>
  <c r="D87" i="6"/>
  <c r="C87" i="6"/>
  <c r="B87" i="6"/>
  <c r="A87" i="6"/>
  <c r="K86" i="6"/>
  <c r="I86" i="6"/>
  <c r="H86" i="6"/>
  <c r="G86" i="6"/>
  <c r="F86" i="6"/>
  <c r="E86" i="6"/>
  <c r="D86" i="6"/>
  <c r="C86" i="6"/>
  <c r="B86" i="6"/>
  <c r="A86" i="6"/>
  <c r="K85" i="6"/>
  <c r="I85" i="6"/>
  <c r="H85" i="6"/>
  <c r="G85" i="6"/>
  <c r="F85" i="6"/>
  <c r="E85" i="6"/>
  <c r="D85" i="6"/>
  <c r="C85" i="6"/>
  <c r="B85" i="6"/>
  <c r="A85" i="6"/>
  <c r="K84" i="6"/>
  <c r="I84" i="6"/>
  <c r="H84" i="6"/>
  <c r="G84" i="6"/>
  <c r="F84" i="6"/>
  <c r="E84" i="6"/>
  <c r="D84" i="6"/>
  <c r="C84" i="6"/>
  <c r="B84" i="6"/>
  <c r="A84" i="6"/>
  <c r="K83" i="6"/>
  <c r="I83" i="6"/>
  <c r="H83" i="6"/>
  <c r="G83" i="6"/>
  <c r="F83" i="6"/>
  <c r="E83" i="6"/>
  <c r="D83" i="6"/>
  <c r="C83" i="6"/>
  <c r="B83" i="6"/>
  <c r="A83" i="6"/>
  <c r="K82" i="6"/>
  <c r="I82" i="6"/>
  <c r="H82" i="6"/>
  <c r="G82" i="6"/>
  <c r="F82" i="6"/>
  <c r="E82" i="6"/>
  <c r="D82" i="6"/>
  <c r="C82" i="6"/>
  <c r="B82" i="6"/>
  <c r="A82" i="6"/>
  <c r="K81" i="6"/>
  <c r="I81" i="6"/>
  <c r="H81" i="6"/>
  <c r="G81" i="6"/>
  <c r="F81" i="6"/>
  <c r="E81" i="6"/>
  <c r="D81" i="6"/>
  <c r="C81" i="6"/>
  <c r="B81" i="6"/>
  <c r="A81" i="6"/>
  <c r="K80" i="6"/>
  <c r="I80" i="6"/>
  <c r="H80" i="6"/>
  <c r="G80" i="6"/>
  <c r="F80" i="6"/>
  <c r="E80" i="6"/>
  <c r="D80" i="6"/>
  <c r="C80" i="6"/>
  <c r="B80" i="6"/>
  <c r="A80" i="6"/>
  <c r="K79" i="6"/>
  <c r="I79" i="6"/>
  <c r="H79" i="6"/>
  <c r="G79" i="6"/>
  <c r="F79" i="6"/>
  <c r="E79" i="6"/>
  <c r="D79" i="6"/>
  <c r="C79" i="6"/>
  <c r="B79" i="6"/>
  <c r="A79" i="6"/>
  <c r="K78" i="6"/>
  <c r="I78" i="6"/>
  <c r="H78" i="6"/>
  <c r="G78" i="6"/>
  <c r="F78" i="6"/>
  <c r="E78" i="6"/>
  <c r="D78" i="6"/>
  <c r="C78" i="6"/>
  <c r="B78" i="6"/>
  <c r="A78" i="6"/>
  <c r="K77" i="6"/>
  <c r="I77" i="6"/>
  <c r="H77" i="6"/>
  <c r="G77" i="6"/>
  <c r="F77" i="6"/>
  <c r="E77" i="6"/>
  <c r="D77" i="6"/>
  <c r="C77" i="6"/>
  <c r="B77" i="6"/>
  <c r="A77" i="6"/>
  <c r="K76" i="6"/>
  <c r="I76" i="6"/>
  <c r="H76" i="6"/>
  <c r="G76" i="6"/>
  <c r="F76" i="6"/>
  <c r="E76" i="6"/>
  <c r="D76" i="6"/>
  <c r="C76" i="6"/>
  <c r="B76" i="6"/>
  <c r="A76" i="6"/>
  <c r="K75" i="6"/>
  <c r="I75" i="6"/>
  <c r="H75" i="6"/>
  <c r="G75" i="6"/>
  <c r="F75" i="6"/>
  <c r="E75" i="6"/>
  <c r="D75" i="6"/>
  <c r="C75" i="6"/>
  <c r="B75" i="6"/>
  <c r="A75" i="6"/>
  <c r="K74" i="6"/>
  <c r="I74" i="6"/>
  <c r="H74" i="6"/>
  <c r="G74" i="6"/>
  <c r="F74" i="6"/>
  <c r="E74" i="6"/>
  <c r="D74" i="6"/>
  <c r="C74" i="6"/>
  <c r="B74" i="6"/>
  <c r="A74" i="6"/>
  <c r="K73" i="6"/>
  <c r="I73" i="6"/>
  <c r="H73" i="6"/>
  <c r="G73" i="6"/>
  <c r="F73" i="6"/>
  <c r="E73" i="6"/>
  <c r="D73" i="6"/>
  <c r="C73" i="6"/>
  <c r="B73" i="6"/>
  <c r="A73" i="6"/>
  <c r="K72" i="6"/>
  <c r="I72" i="6"/>
  <c r="H72" i="6"/>
  <c r="G72" i="6"/>
  <c r="F72" i="6"/>
  <c r="E72" i="6"/>
  <c r="D72" i="6"/>
  <c r="C72" i="6"/>
  <c r="B72" i="6"/>
  <c r="A72" i="6"/>
  <c r="K71" i="6"/>
  <c r="I71" i="6"/>
  <c r="H71" i="6"/>
  <c r="G71" i="6"/>
  <c r="F71" i="6"/>
  <c r="E71" i="6"/>
  <c r="D71" i="6"/>
  <c r="C71" i="6"/>
  <c r="B71" i="6"/>
  <c r="A71" i="6"/>
  <c r="K70" i="6"/>
  <c r="I70" i="6"/>
  <c r="H70" i="6"/>
  <c r="G70" i="6"/>
  <c r="F70" i="6"/>
  <c r="E70" i="6"/>
  <c r="D70" i="6"/>
  <c r="C70" i="6"/>
  <c r="B70" i="6"/>
  <c r="A70" i="6"/>
  <c r="K69" i="6"/>
  <c r="I69" i="6"/>
  <c r="H69" i="6"/>
  <c r="G69" i="6"/>
  <c r="F69" i="6"/>
  <c r="E69" i="6"/>
  <c r="D69" i="6"/>
  <c r="C69" i="6"/>
  <c r="B69" i="6"/>
  <c r="A69" i="6"/>
  <c r="K68" i="6"/>
  <c r="I68" i="6"/>
  <c r="H68" i="6"/>
  <c r="G68" i="6"/>
  <c r="F68" i="6"/>
  <c r="E68" i="6"/>
  <c r="D68" i="6"/>
  <c r="C68" i="6"/>
  <c r="B68" i="6"/>
  <c r="A68" i="6"/>
  <c r="K67" i="6"/>
  <c r="I67" i="6"/>
  <c r="H67" i="6"/>
  <c r="G67" i="6"/>
  <c r="F67" i="6"/>
  <c r="E67" i="6"/>
  <c r="D67" i="6"/>
  <c r="C67" i="6"/>
  <c r="B67" i="6"/>
  <c r="A67" i="6"/>
  <c r="K66" i="6"/>
  <c r="I66" i="6"/>
  <c r="H66" i="6"/>
  <c r="G66" i="6"/>
  <c r="F66" i="6"/>
  <c r="E66" i="6"/>
  <c r="D66" i="6"/>
  <c r="C66" i="6"/>
  <c r="B66" i="6"/>
  <c r="A66" i="6"/>
  <c r="K65" i="6"/>
  <c r="I65" i="6"/>
  <c r="H65" i="6"/>
  <c r="G65" i="6"/>
  <c r="F65" i="6"/>
  <c r="E65" i="6"/>
  <c r="D65" i="6"/>
  <c r="C65" i="6"/>
  <c r="B65" i="6"/>
  <c r="A65" i="6"/>
  <c r="K64" i="6"/>
  <c r="I64" i="6"/>
  <c r="H64" i="6"/>
  <c r="G64" i="6"/>
  <c r="F64" i="6"/>
  <c r="E64" i="6"/>
  <c r="D64" i="6"/>
  <c r="C64" i="6"/>
  <c r="B64" i="6"/>
  <c r="A64" i="6"/>
  <c r="K63" i="6"/>
  <c r="I63" i="6"/>
  <c r="H63" i="6"/>
  <c r="G63" i="6"/>
  <c r="F63" i="6"/>
  <c r="E63" i="6"/>
  <c r="D63" i="6"/>
  <c r="C63" i="6"/>
  <c r="B63" i="6"/>
  <c r="A63" i="6"/>
  <c r="K62" i="6"/>
  <c r="I62" i="6"/>
  <c r="H62" i="6"/>
  <c r="G62" i="6"/>
  <c r="F62" i="6"/>
  <c r="E62" i="6"/>
  <c r="D62" i="6"/>
  <c r="C62" i="6"/>
  <c r="B62" i="6"/>
  <c r="A62" i="6"/>
  <c r="K61" i="6"/>
  <c r="I61" i="6"/>
  <c r="H61" i="6"/>
  <c r="G61" i="6"/>
  <c r="F61" i="6"/>
  <c r="E61" i="6"/>
  <c r="D61" i="6"/>
  <c r="C61" i="6"/>
  <c r="B61" i="6"/>
  <c r="A61" i="6"/>
  <c r="K60" i="6"/>
  <c r="I60" i="6"/>
  <c r="H60" i="6"/>
  <c r="G60" i="6"/>
  <c r="F60" i="6"/>
  <c r="E60" i="6"/>
  <c r="D60" i="6"/>
  <c r="C60" i="6"/>
  <c r="B60" i="6"/>
  <c r="A60" i="6"/>
  <c r="K59" i="6"/>
  <c r="I59" i="6"/>
  <c r="H59" i="6"/>
  <c r="G59" i="6"/>
  <c r="F59" i="6"/>
  <c r="E59" i="6"/>
  <c r="D59" i="6"/>
  <c r="C59" i="6"/>
  <c r="B59" i="6"/>
  <c r="A59" i="6"/>
  <c r="K58" i="6"/>
  <c r="I58" i="6"/>
  <c r="H58" i="6"/>
  <c r="G58" i="6"/>
  <c r="F58" i="6"/>
  <c r="E58" i="6"/>
  <c r="D58" i="6"/>
  <c r="C58" i="6"/>
  <c r="B58" i="6"/>
  <c r="A58" i="6"/>
  <c r="K57" i="6"/>
  <c r="I57" i="6"/>
  <c r="H57" i="6"/>
  <c r="G57" i="6"/>
  <c r="F57" i="6"/>
  <c r="E57" i="6"/>
  <c r="D57" i="6"/>
  <c r="C57" i="6"/>
  <c r="B57" i="6"/>
  <c r="A57" i="6"/>
  <c r="K56" i="6"/>
  <c r="I56" i="6"/>
  <c r="H56" i="6"/>
  <c r="G56" i="6"/>
  <c r="F56" i="6"/>
  <c r="E56" i="6"/>
  <c r="D56" i="6"/>
  <c r="C56" i="6"/>
  <c r="B56" i="6"/>
  <c r="A56" i="6"/>
  <c r="K55" i="6"/>
  <c r="I55" i="6"/>
  <c r="H55" i="6"/>
  <c r="G55" i="6"/>
  <c r="F55" i="6"/>
  <c r="E55" i="6"/>
  <c r="D55" i="6"/>
  <c r="C55" i="6"/>
  <c r="B55" i="6"/>
  <c r="A55" i="6"/>
  <c r="K54" i="6"/>
  <c r="I54" i="6"/>
  <c r="H54" i="6"/>
  <c r="G54" i="6"/>
  <c r="F54" i="6"/>
  <c r="E54" i="6"/>
  <c r="D54" i="6"/>
  <c r="C54" i="6"/>
  <c r="B54" i="6"/>
  <c r="A54" i="6"/>
  <c r="K53" i="6"/>
  <c r="I53" i="6"/>
  <c r="H53" i="6"/>
  <c r="G53" i="6"/>
  <c r="F53" i="6"/>
  <c r="E53" i="6"/>
  <c r="D53" i="6"/>
  <c r="C53" i="6"/>
  <c r="B53" i="6"/>
  <c r="A53" i="6"/>
  <c r="K52" i="6"/>
  <c r="I52" i="6"/>
  <c r="H52" i="6"/>
  <c r="G52" i="6"/>
  <c r="F52" i="6"/>
  <c r="E52" i="6"/>
  <c r="D52" i="6"/>
  <c r="C52" i="6"/>
  <c r="B52" i="6"/>
  <c r="A52" i="6"/>
  <c r="K51" i="6"/>
  <c r="I51" i="6"/>
  <c r="H51" i="6"/>
  <c r="G51" i="6"/>
  <c r="F51" i="6"/>
  <c r="E51" i="6"/>
  <c r="D51" i="6"/>
  <c r="C51" i="6"/>
  <c r="B51" i="6"/>
  <c r="A51" i="6"/>
  <c r="K50" i="6"/>
  <c r="I50" i="6"/>
  <c r="H50" i="6"/>
  <c r="G50" i="6"/>
  <c r="F50" i="6"/>
  <c r="E50" i="6"/>
  <c r="D50" i="6"/>
  <c r="C50" i="6"/>
  <c r="B50" i="6"/>
  <c r="A50" i="6"/>
  <c r="K49" i="6"/>
  <c r="I49" i="6"/>
  <c r="H49" i="6"/>
  <c r="G49" i="6"/>
  <c r="F49" i="6"/>
  <c r="E49" i="6"/>
  <c r="D49" i="6"/>
  <c r="C49" i="6"/>
  <c r="B49" i="6"/>
  <c r="A49" i="6"/>
  <c r="K48" i="6"/>
  <c r="I48" i="6"/>
  <c r="H48" i="6"/>
  <c r="G48" i="6"/>
  <c r="F48" i="6"/>
  <c r="E48" i="6"/>
  <c r="D48" i="6"/>
  <c r="C48" i="6"/>
  <c r="B48" i="6"/>
  <c r="A48" i="6"/>
  <c r="K47" i="6"/>
  <c r="I47" i="6"/>
  <c r="H47" i="6"/>
  <c r="G47" i="6"/>
  <c r="F47" i="6"/>
  <c r="E47" i="6"/>
  <c r="D47" i="6"/>
  <c r="C47" i="6"/>
  <c r="B47" i="6"/>
  <c r="A47" i="6"/>
  <c r="K46" i="6"/>
  <c r="I46" i="6"/>
  <c r="H46" i="6"/>
  <c r="G46" i="6"/>
  <c r="F46" i="6"/>
  <c r="E46" i="6"/>
  <c r="D46" i="6"/>
  <c r="C46" i="6"/>
  <c r="B46" i="6"/>
  <c r="A46" i="6"/>
  <c r="K45" i="6"/>
  <c r="I45" i="6"/>
  <c r="H45" i="6"/>
  <c r="G45" i="6"/>
  <c r="F45" i="6"/>
  <c r="E45" i="6"/>
  <c r="D45" i="6"/>
  <c r="C45" i="6"/>
  <c r="B45" i="6"/>
  <c r="A45" i="6"/>
  <c r="K44" i="6"/>
  <c r="I44" i="6"/>
  <c r="H44" i="6"/>
  <c r="G44" i="6"/>
  <c r="F44" i="6"/>
  <c r="E44" i="6"/>
  <c r="D44" i="6"/>
  <c r="C44" i="6"/>
  <c r="B44" i="6"/>
  <c r="A44" i="6"/>
  <c r="K43" i="6"/>
  <c r="I43" i="6"/>
  <c r="H43" i="6"/>
  <c r="G43" i="6"/>
  <c r="F43" i="6"/>
  <c r="E43" i="6"/>
  <c r="D43" i="6"/>
  <c r="C43" i="6"/>
  <c r="B43" i="6"/>
  <c r="A43" i="6"/>
  <c r="K42" i="6"/>
  <c r="I42" i="6"/>
  <c r="H42" i="6"/>
  <c r="G42" i="6"/>
  <c r="F42" i="6"/>
  <c r="E42" i="6"/>
  <c r="D42" i="6"/>
  <c r="C42" i="6"/>
  <c r="B42" i="6"/>
  <c r="A42" i="6"/>
  <c r="K41" i="6"/>
  <c r="I41" i="6"/>
  <c r="H41" i="6"/>
  <c r="G41" i="6"/>
  <c r="F41" i="6"/>
  <c r="E41" i="6"/>
  <c r="D41" i="6"/>
  <c r="C41" i="6"/>
  <c r="B41" i="6"/>
  <c r="A41" i="6"/>
  <c r="K40" i="6"/>
  <c r="I40" i="6"/>
  <c r="H40" i="6"/>
  <c r="G40" i="6"/>
  <c r="F40" i="6"/>
  <c r="E40" i="6"/>
  <c r="D40" i="6"/>
  <c r="C40" i="6"/>
  <c r="B40" i="6"/>
  <c r="A40" i="6"/>
  <c r="K39" i="6"/>
  <c r="I39" i="6"/>
  <c r="H39" i="6"/>
  <c r="G39" i="6"/>
  <c r="F39" i="6"/>
  <c r="E39" i="6"/>
  <c r="D39" i="6"/>
  <c r="C39" i="6"/>
  <c r="B39" i="6"/>
  <c r="A39" i="6"/>
  <c r="K38" i="6"/>
  <c r="I38" i="6"/>
  <c r="H38" i="6"/>
  <c r="G38" i="6"/>
  <c r="F38" i="6"/>
  <c r="E38" i="6"/>
  <c r="D38" i="6"/>
  <c r="C38" i="6"/>
  <c r="B38" i="6"/>
  <c r="A38" i="6"/>
  <c r="K37" i="6"/>
  <c r="I37" i="6"/>
  <c r="H37" i="6"/>
  <c r="G37" i="6"/>
  <c r="F37" i="6"/>
  <c r="E37" i="6"/>
  <c r="D37" i="6"/>
  <c r="C37" i="6"/>
  <c r="B37" i="6"/>
  <c r="A37" i="6"/>
  <c r="K36" i="6"/>
  <c r="I36" i="6"/>
  <c r="H36" i="6"/>
  <c r="G36" i="6"/>
  <c r="F36" i="6"/>
  <c r="E36" i="6"/>
  <c r="D36" i="6"/>
  <c r="C36" i="6"/>
  <c r="B36" i="6"/>
  <c r="A36" i="6"/>
  <c r="K35" i="6"/>
  <c r="I35" i="6"/>
  <c r="H35" i="6"/>
  <c r="G35" i="6"/>
  <c r="F35" i="6"/>
  <c r="E35" i="6"/>
  <c r="D35" i="6"/>
  <c r="C35" i="6"/>
  <c r="B35" i="6"/>
  <c r="A35" i="6"/>
  <c r="K34" i="6"/>
  <c r="I34" i="6"/>
  <c r="H34" i="6"/>
  <c r="G34" i="6"/>
  <c r="F34" i="6"/>
  <c r="E34" i="6"/>
  <c r="D34" i="6"/>
  <c r="C34" i="6"/>
  <c r="B34" i="6"/>
  <c r="A34" i="6"/>
  <c r="K33" i="6"/>
  <c r="I33" i="6"/>
  <c r="H33" i="6"/>
  <c r="G33" i="6"/>
  <c r="F33" i="6"/>
  <c r="E33" i="6"/>
  <c r="D33" i="6"/>
  <c r="C33" i="6"/>
  <c r="B33" i="6"/>
  <c r="A33" i="6"/>
  <c r="K32" i="6"/>
  <c r="I32" i="6"/>
  <c r="H32" i="6"/>
  <c r="G32" i="6"/>
  <c r="F32" i="6"/>
  <c r="E32" i="6"/>
  <c r="D32" i="6"/>
  <c r="C32" i="6"/>
  <c r="B32" i="6"/>
  <c r="A32" i="6"/>
  <c r="K31" i="6"/>
  <c r="I31" i="6"/>
  <c r="H31" i="6"/>
  <c r="G31" i="6"/>
  <c r="F31" i="6"/>
  <c r="E31" i="6"/>
  <c r="D31" i="6"/>
  <c r="C31" i="6"/>
  <c r="B31" i="6"/>
  <c r="A31" i="6"/>
  <c r="K30" i="6"/>
  <c r="I30" i="6"/>
  <c r="H30" i="6"/>
  <c r="G30" i="6"/>
  <c r="F30" i="6"/>
  <c r="E30" i="6"/>
  <c r="D30" i="6"/>
  <c r="C30" i="6"/>
  <c r="B30" i="6"/>
  <c r="A30" i="6"/>
  <c r="K29" i="6"/>
  <c r="I29" i="6"/>
  <c r="H29" i="6"/>
  <c r="G29" i="6"/>
  <c r="F29" i="6"/>
  <c r="E29" i="6"/>
  <c r="D29" i="6"/>
  <c r="C29" i="6"/>
  <c r="B29" i="6"/>
  <c r="A29" i="6"/>
  <c r="K28" i="6"/>
  <c r="I28" i="6"/>
  <c r="H28" i="6"/>
  <c r="G28" i="6"/>
  <c r="F28" i="6"/>
  <c r="E28" i="6"/>
  <c r="D28" i="6"/>
  <c r="C28" i="6"/>
  <c r="B28" i="6"/>
  <c r="A28" i="6"/>
  <c r="K27" i="6"/>
  <c r="I27" i="6"/>
  <c r="H27" i="6"/>
  <c r="G27" i="6"/>
  <c r="F27" i="6"/>
  <c r="E27" i="6"/>
  <c r="D27" i="6"/>
  <c r="C27" i="6"/>
  <c r="B27" i="6"/>
  <c r="A27" i="6"/>
  <c r="K26" i="6"/>
  <c r="I26" i="6"/>
  <c r="H26" i="6"/>
  <c r="G26" i="6"/>
  <c r="F26" i="6"/>
  <c r="E26" i="6"/>
  <c r="D26" i="6"/>
  <c r="C26" i="6"/>
  <c r="B26" i="6"/>
  <c r="A26" i="6"/>
  <c r="K25" i="6"/>
  <c r="I25" i="6"/>
  <c r="H25" i="6"/>
  <c r="G25" i="6"/>
  <c r="F25" i="6"/>
  <c r="E25" i="6"/>
  <c r="D25" i="6"/>
  <c r="C25" i="6"/>
  <c r="B25" i="6"/>
  <c r="A25" i="6"/>
  <c r="K24" i="6"/>
  <c r="I24" i="6"/>
  <c r="H24" i="6"/>
  <c r="G24" i="6"/>
  <c r="F24" i="6"/>
  <c r="E24" i="6"/>
  <c r="D24" i="6"/>
  <c r="C24" i="6"/>
  <c r="B24" i="6"/>
  <c r="A24" i="6"/>
  <c r="K23" i="6"/>
  <c r="I23" i="6"/>
  <c r="H23" i="6"/>
  <c r="G23" i="6"/>
  <c r="F23" i="6"/>
  <c r="E23" i="6"/>
  <c r="D23" i="6"/>
  <c r="C23" i="6"/>
  <c r="B23" i="6"/>
  <c r="A23" i="6"/>
  <c r="K22" i="6"/>
  <c r="I22" i="6"/>
  <c r="H22" i="6"/>
  <c r="G22" i="6"/>
  <c r="F22" i="6"/>
  <c r="E22" i="6"/>
  <c r="D22" i="6"/>
  <c r="C22" i="6"/>
  <c r="B22" i="6"/>
  <c r="A22" i="6"/>
  <c r="K21" i="6"/>
  <c r="I21" i="6"/>
  <c r="H21" i="6"/>
  <c r="G21" i="6"/>
  <c r="F21" i="6"/>
  <c r="E21" i="6"/>
  <c r="D21" i="6"/>
  <c r="C21" i="6"/>
  <c r="B21" i="6"/>
  <c r="A21" i="6"/>
  <c r="K20" i="6"/>
  <c r="I20" i="6"/>
  <c r="H20" i="6"/>
  <c r="G20" i="6"/>
  <c r="F20" i="6"/>
  <c r="E20" i="6"/>
  <c r="D20" i="6"/>
  <c r="C20" i="6"/>
  <c r="B20" i="6"/>
  <c r="A20" i="6"/>
  <c r="K19" i="6"/>
  <c r="I19" i="6"/>
  <c r="H19" i="6"/>
  <c r="G19" i="6"/>
  <c r="F19" i="6"/>
  <c r="E19" i="6"/>
  <c r="D19" i="6"/>
  <c r="C19" i="6"/>
  <c r="B19" i="6"/>
  <c r="A19" i="6"/>
  <c r="K18" i="6"/>
  <c r="I18" i="6"/>
  <c r="H18" i="6"/>
  <c r="G18" i="6"/>
  <c r="F18" i="6"/>
  <c r="E18" i="6"/>
  <c r="D18" i="6"/>
  <c r="C18" i="6"/>
  <c r="B18" i="6"/>
  <c r="A18" i="6"/>
  <c r="K17" i="6"/>
  <c r="I17" i="6"/>
  <c r="H17" i="6"/>
  <c r="G17" i="6"/>
  <c r="F17" i="6"/>
  <c r="E17" i="6"/>
  <c r="D17" i="6"/>
  <c r="C17" i="6"/>
  <c r="B17" i="6"/>
  <c r="A17" i="6"/>
  <c r="K16" i="6"/>
  <c r="I16" i="6"/>
  <c r="H16" i="6"/>
  <c r="G16" i="6"/>
  <c r="F16" i="6"/>
  <c r="E16" i="6"/>
  <c r="D16" i="6"/>
  <c r="C16" i="6"/>
  <c r="B16" i="6"/>
  <c r="A16" i="6"/>
  <c r="K15" i="6"/>
  <c r="I15" i="6"/>
  <c r="H15" i="6"/>
  <c r="G15" i="6"/>
  <c r="F15" i="6"/>
  <c r="E15" i="6"/>
  <c r="D15" i="6"/>
  <c r="C15" i="6"/>
  <c r="B15" i="6"/>
  <c r="A15" i="6"/>
  <c r="K14" i="6"/>
  <c r="I14" i="6"/>
  <c r="H14" i="6"/>
  <c r="G14" i="6"/>
  <c r="F14" i="6"/>
  <c r="E14" i="6"/>
  <c r="D14" i="6"/>
  <c r="C14" i="6"/>
  <c r="B14" i="6"/>
  <c r="A14" i="6"/>
  <c r="K13" i="6"/>
  <c r="I13" i="6"/>
  <c r="H13" i="6"/>
  <c r="G13" i="6"/>
  <c r="F13" i="6"/>
  <c r="E13" i="6"/>
  <c r="D13" i="6"/>
  <c r="C13" i="6"/>
  <c r="B13" i="6"/>
  <c r="A13" i="6"/>
  <c r="K12" i="6"/>
  <c r="I12" i="6"/>
  <c r="H12" i="6"/>
  <c r="G12" i="6"/>
  <c r="F12" i="6"/>
  <c r="E12" i="6"/>
  <c r="D12" i="6"/>
  <c r="C12" i="6"/>
  <c r="B12" i="6"/>
  <c r="A12" i="6"/>
  <c r="K11" i="6"/>
  <c r="I11" i="6"/>
  <c r="H11" i="6"/>
  <c r="G11" i="6"/>
  <c r="F11" i="6"/>
  <c r="E11" i="6"/>
  <c r="D11" i="6"/>
  <c r="C11" i="6"/>
  <c r="B11" i="6"/>
  <c r="A11" i="6"/>
  <c r="K10" i="6"/>
  <c r="I10" i="6"/>
  <c r="H10" i="6"/>
  <c r="G10" i="6"/>
  <c r="F10" i="6"/>
  <c r="E10" i="6"/>
  <c r="D10" i="6"/>
  <c r="C10" i="6"/>
  <c r="B10" i="6"/>
  <c r="A10" i="6"/>
  <c r="K9" i="6"/>
  <c r="I9" i="6"/>
  <c r="H9" i="6"/>
  <c r="G9" i="6"/>
  <c r="F9" i="6"/>
  <c r="E9" i="6"/>
  <c r="D9" i="6"/>
  <c r="C9" i="6"/>
  <c r="B9" i="6"/>
  <c r="A9" i="6"/>
  <c r="K8" i="6"/>
  <c r="I8" i="6"/>
  <c r="H8" i="6"/>
  <c r="G8" i="6"/>
  <c r="F8" i="6"/>
  <c r="E8" i="6"/>
  <c r="D8" i="6"/>
  <c r="C8" i="6"/>
  <c r="B8" i="6"/>
  <c r="A8" i="6"/>
  <c r="K7" i="6"/>
  <c r="I7" i="6"/>
  <c r="H7" i="6"/>
  <c r="G7" i="6"/>
  <c r="F7" i="6"/>
  <c r="E7" i="6"/>
  <c r="D7" i="6"/>
  <c r="C7" i="6"/>
  <c r="B7" i="6"/>
  <c r="A7" i="6"/>
  <c r="K6" i="6"/>
  <c r="I6" i="6"/>
  <c r="H6" i="6"/>
  <c r="G6" i="6"/>
  <c r="F6" i="6"/>
  <c r="E6" i="6"/>
  <c r="D6" i="6"/>
  <c r="C6" i="6"/>
  <c r="B6" i="6"/>
  <c r="A6" i="6"/>
  <c r="K5" i="6"/>
  <c r="I5" i="6"/>
  <c r="H5" i="6"/>
  <c r="G5" i="6"/>
  <c r="F5" i="6"/>
  <c r="E5" i="6"/>
  <c r="D5" i="6"/>
  <c r="C5" i="6"/>
  <c r="B5" i="6"/>
  <c r="A5" i="6"/>
  <c r="K4" i="6"/>
  <c r="I4" i="6"/>
  <c r="H4" i="6"/>
  <c r="G4" i="6"/>
  <c r="F4" i="6"/>
  <c r="E4" i="6"/>
  <c r="D4" i="6"/>
  <c r="C4" i="6"/>
  <c r="B4" i="6"/>
  <c r="A4" i="6"/>
  <c r="K3" i="6"/>
  <c r="I3" i="6"/>
  <c r="H3" i="6"/>
  <c r="G3" i="6"/>
  <c r="F3" i="6"/>
  <c r="E3" i="6"/>
  <c r="D3" i="6"/>
  <c r="C3" i="6"/>
  <c r="B3" i="6"/>
  <c r="A3" i="6"/>
  <c r="I72" i="5"/>
  <c r="H72" i="5"/>
  <c r="G72" i="5"/>
  <c r="F72" i="5"/>
  <c r="E72" i="5"/>
  <c r="D72" i="5"/>
  <c r="C72" i="5"/>
  <c r="B72" i="5"/>
  <c r="A72" i="5"/>
  <c r="I71" i="5"/>
  <c r="H71" i="5"/>
  <c r="G71" i="5"/>
  <c r="F71" i="5"/>
  <c r="E71" i="5"/>
  <c r="D71" i="5"/>
  <c r="C71" i="5"/>
  <c r="B71" i="5"/>
  <c r="A71" i="5"/>
  <c r="I70" i="5"/>
  <c r="H70" i="5"/>
  <c r="G70" i="5"/>
  <c r="F70" i="5"/>
  <c r="E70" i="5"/>
  <c r="D70" i="5"/>
  <c r="C70" i="5"/>
  <c r="B70" i="5"/>
  <c r="A70" i="5"/>
  <c r="I69" i="5"/>
  <c r="H69" i="5"/>
  <c r="G69" i="5"/>
  <c r="F69" i="5"/>
  <c r="E69" i="5"/>
  <c r="D69" i="5"/>
  <c r="C69" i="5"/>
  <c r="B69" i="5"/>
  <c r="A69" i="5"/>
  <c r="I68" i="5"/>
  <c r="H68" i="5"/>
  <c r="G68" i="5"/>
  <c r="F68" i="5"/>
  <c r="E68" i="5"/>
  <c r="D68" i="5"/>
  <c r="C68" i="5"/>
  <c r="B68" i="5"/>
  <c r="A68" i="5"/>
  <c r="I67" i="5"/>
  <c r="H67" i="5"/>
  <c r="G67" i="5"/>
  <c r="F67" i="5"/>
  <c r="E67" i="5"/>
  <c r="D67" i="5"/>
  <c r="C67" i="5"/>
  <c r="B67" i="5"/>
  <c r="A67" i="5"/>
  <c r="I66" i="5"/>
  <c r="H66" i="5"/>
  <c r="G66" i="5"/>
  <c r="F66" i="5"/>
  <c r="E66" i="5"/>
  <c r="D66" i="5"/>
  <c r="C66" i="5"/>
  <c r="B66" i="5"/>
  <c r="A66" i="5"/>
  <c r="I65" i="5"/>
  <c r="H65" i="5"/>
  <c r="G65" i="5"/>
  <c r="F65" i="5"/>
  <c r="E65" i="5"/>
  <c r="D65" i="5"/>
  <c r="C65" i="5"/>
  <c r="B65" i="5"/>
  <c r="A65" i="5"/>
  <c r="I64" i="5"/>
  <c r="H64" i="5"/>
  <c r="G64" i="5"/>
  <c r="F64" i="5"/>
  <c r="E64" i="5"/>
  <c r="D64" i="5"/>
  <c r="C64" i="5"/>
  <c r="B64" i="5"/>
  <c r="A64" i="5"/>
  <c r="I63" i="5"/>
  <c r="H63" i="5"/>
  <c r="G63" i="5"/>
  <c r="F63" i="5"/>
  <c r="E63" i="5"/>
  <c r="D63" i="5"/>
  <c r="C63" i="5"/>
  <c r="B63" i="5"/>
  <c r="A63" i="5"/>
  <c r="I62" i="5"/>
  <c r="H62" i="5"/>
  <c r="G62" i="5"/>
  <c r="F62" i="5"/>
  <c r="E62" i="5"/>
  <c r="D62" i="5"/>
  <c r="C62" i="5"/>
  <c r="B62" i="5"/>
  <c r="A62" i="5"/>
  <c r="I61" i="5"/>
  <c r="H61" i="5"/>
  <c r="G61" i="5"/>
  <c r="F61" i="5"/>
  <c r="E61" i="5"/>
  <c r="D61" i="5"/>
  <c r="C61" i="5"/>
  <c r="B61" i="5"/>
  <c r="A61" i="5"/>
  <c r="I60" i="5"/>
  <c r="H60" i="5"/>
  <c r="G60" i="5"/>
  <c r="F60" i="5"/>
  <c r="E60" i="5"/>
  <c r="D60" i="5"/>
  <c r="C60" i="5"/>
  <c r="B60" i="5"/>
  <c r="A60" i="5"/>
  <c r="I59" i="5"/>
  <c r="H59" i="5"/>
  <c r="G59" i="5"/>
  <c r="F59" i="5"/>
  <c r="E59" i="5"/>
  <c r="D59" i="5"/>
  <c r="C59" i="5"/>
  <c r="B59" i="5"/>
  <c r="A59" i="5"/>
  <c r="I58" i="5"/>
  <c r="H58" i="5"/>
  <c r="G58" i="5"/>
  <c r="F58" i="5"/>
  <c r="E58" i="5"/>
  <c r="D58" i="5"/>
  <c r="C58" i="5"/>
  <c r="B58" i="5"/>
  <c r="A58" i="5"/>
  <c r="I57" i="5"/>
  <c r="H57" i="5"/>
  <c r="G57" i="5"/>
  <c r="F57" i="5"/>
  <c r="E57" i="5"/>
  <c r="D57" i="5"/>
  <c r="C57" i="5"/>
  <c r="B57" i="5"/>
  <c r="A57" i="5"/>
  <c r="I56" i="5"/>
  <c r="H56" i="5"/>
  <c r="G56" i="5"/>
  <c r="F56" i="5"/>
  <c r="E56" i="5"/>
  <c r="D56" i="5"/>
  <c r="C56" i="5"/>
  <c r="B56" i="5"/>
  <c r="A56" i="5"/>
  <c r="I55" i="5"/>
  <c r="H55" i="5"/>
  <c r="G55" i="5"/>
  <c r="F55" i="5"/>
  <c r="E55" i="5"/>
  <c r="D55" i="5"/>
  <c r="C55" i="5"/>
  <c r="B55" i="5"/>
  <c r="A55" i="5"/>
  <c r="I54" i="5"/>
  <c r="H54" i="5"/>
  <c r="G54" i="5"/>
  <c r="F54" i="5"/>
  <c r="E54" i="5"/>
  <c r="D54" i="5"/>
  <c r="C54" i="5"/>
  <c r="B54" i="5"/>
  <c r="A54" i="5"/>
  <c r="I53" i="5"/>
  <c r="H53" i="5"/>
  <c r="G53" i="5"/>
  <c r="F53" i="5"/>
  <c r="E53" i="5"/>
  <c r="D53" i="5"/>
  <c r="C53" i="5"/>
  <c r="B53" i="5"/>
  <c r="A53" i="5"/>
  <c r="I52" i="5"/>
  <c r="H52" i="5"/>
  <c r="G52" i="5"/>
  <c r="F52" i="5"/>
  <c r="E52" i="5"/>
  <c r="D52" i="5"/>
  <c r="C52" i="5"/>
  <c r="B52" i="5"/>
  <c r="A52" i="5"/>
  <c r="I51" i="5"/>
  <c r="H51" i="5"/>
  <c r="G51" i="5"/>
  <c r="F51" i="5"/>
  <c r="E51" i="5"/>
  <c r="D51" i="5"/>
  <c r="C51" i="5"/>
  <c r="B51" i="5"/>
  <c r="A51" i="5"/>
  <c r="I50" i="5"/>
  <c r="H50" i="5"/>
  <c r="G50" i="5"/>
  <c r="F50" i="5"/>
  <c r="E50" i="5"/>
  <c r="D50" i="5"/>
  <c r="C50" i="5"/>
  <c r="B50" i="5"/>
  <c r="A50" i="5"/>
  <c r="I49" i="5"/>
  <c r="H49" i="5"/>
  <c r="G49" i="5"/>
  <c r="F49" i="5"/>
  <c r="E49" i="5"/>
  <c r="D49" i="5"/>
  <c r="C49" i="5"/>
  <c r="B49" i="5"/>
  <c r="A49" i="5"/>
  <c r="I48" i="5"/>
  <c r="H48" i="5"/>
  <c r="G48" i="5"/>
  <c r="F48" i="5"/>
  <c r="E48" i="5"/>
  <c r="D48" i="5"/>
  <c r="C48" i="5"/>
  <c r="B48" i="5"/>
  <c r="A48" i="5"/>
  <c r="I47" i="5"/>
  <c r="H47" i="5"/>
  <c r="G47" i="5"/>
  <c r="F47" i="5"/>
  <c r="E47" i="5"/>
  <c r="D47" i="5"/>
  <c r="C47" i="5"/>
  <c r="B47" i="5"/>
  <c r="A47" i="5"/>
  <c r="I46" i="5"/>
  <c r="H46" i="5"/>
  <c r="G46" i="5"/>
  <c r="F46" i="5"/>
  <c r="E46" i="5"/>
  <c r="D46" i="5"/>
  <c r="C46" i="5"/>
  <c r="B46" i="5"/>
  <c r="A46" i="5"/>
  <c r="I45" i="5"/>
  <c r="H45" i="5"/>
  <c r="G45" i="5"/>
  <c r="F45" i="5"/>
  <c r="E45" i="5"/>
  <c r="D45" i="5"/>
  <c r="C45" i="5"/>
  <c r="B45" i="5"/>
  <c r="A45" i="5"/>
  <c r="I44" i="5"/>
  <c r="H44" i="5"/>
  <c r="G44" i="5"/>
  <c r="F44" i="5"/>
  <c r="E44" i="5"/>
  <c r="D44" i="5"/>
  <c r="C44" i="5"/>
  <c r="B44" i="5"/>
  <c r="A44" i="5"/>
  <c r="I43" i="5"/>
  <c r="H43" i="5"/>
  <c r="G43" i="5"/>
  <c r="F43" i="5"/>
  <c r="E43" i="5"/>
  <c r="D43" i="5"/>
  <c r="C43" i="5"/>
  <c r="B43" i="5"/>
  <c r="A43" i="5"/>
  <c r="I42" i="5"/>
  <c r="H42" i="5"/>
  <c r="G42" i="5"/>
  <c r="F42" i="5"/>
  <c r="E42" i="5"/>
  <c r="D42" i="5"/>
  <c r="C42" i="5"/>
  <c r="B42" i="5"/>
  <c r="A42" i="5"/>
  <c r="I41" i="5"/>
  <c r="H41" i="5"/>
  <c r="G41" i="5"/>
  <c r="F41" i="5"/>
  <c r="E41" i="5"/>
  <c r="D41" i="5"/>
  <c r="C41" i="5"/>
  <c r="B41" i="5"/>
  <c r="A41" i="5"/>
  <c r="I40" i="5"/>
  <c r="H40" i="5"/>
  <c r="G40" i="5"/>
  <c r="F40" i="5"/>
  <c r="E40" i="5"/>
  <c r="D40" i="5"/>
  <c r="C40" i="5"/>
  <c r="B40" i="5"/>
  <c r="A40" i="5"/>
  <c r="I39" i="5"/>
  <c r="H39" i="5"/>
  <c r="G39" i="5"/>
  <c r="F39" i="5"/>
  <c r="E39" i="5"/>
  <c r="D39" i="5"/>
  <c r="C39" i="5"/>
  <c r="B39" i="5"/>
  <c r="A39" i="5"/>
  <c r="I38" i="5"/>
  <c r="H38" i="5"/>
  <c r="G38" i="5"/>
  <c r="F38" i="5"/>
  <c r="E38" i="5"/>
  <c r="D38" i="5"/>
  <c r="C38" i="5"/>
  <c r="B38" i="5"/>
  <c r="A38" i="5"/>
  <c r="I37" i="5"/>
  <c r="H37" i="5"/>
  <c r="G37" i="5"/>
  <c r="F37" i="5"/>
  <c r="E37" i="5"/>
  <c r="D37" i="5"/>
  <c r="C37" i="5"/>
  <c r="B37" i="5"/>
  <c r="A37" i="5"/>
  <c r="I36" i="5"/>
  <c r="H36" i="5"/>
  <c r="G36" i="5"/>
  <c r="F36" i="5"/>
  <c r="E36" i="5"/>
  <c r="D36" i="5"/>
  <c r="C36" i="5"/>
  <c r="B36" i="5"/>
  <c r="A36" i="5"/>
  <c r="I35" i="5"/>
  <c r="H35" i="5"/>
  <c r="G35" i="5"/>
  <c r="F35" i="5"/>
  <c r="E35" i="5"/>
  <c r="D35" i="5"/>
  <c r="C35" i="5"/>
  <c r="B35" i="5"/>
  <c r="A35" i="5"/>
  <c r="I34" i="5"/>
  <c r="H34" i="5"/>
  <c r="G34" i="5"/>
  <c r="F34" i="5"/>
  <c r="E34" i="5"/>
  <c r="D34" i="5"/>
  <c r="C34" i="5"/>
  <c r="B34" i="5"/>
  <c r="A34" i="5"/>
  <c r="I33" i="5"/>
  <c r="H33" i="5"/>
  <c r="G33" i="5"/>
  <c r="F33" i="5"/>
  <c r="E33" i="5"/>
  <c r="D33" i="5"/>
  <c r="C33" i="5"/>
  <c r="B33" i="5"/>
  <c r="A33" i="5"/>
  <c r="I32" i="5"/>
  <c r="H32" i="5"/>
  <c r="G32" i="5"/>
  <c r="F32" i="5"/>
  <c r="E32" i="5"/>
  <c r="D32" i="5"/>
  <c r="C32" i="5"/>
  <c r="B32" i="5"/>
  <c r="A32" i="5"/>
  <c r="I31" i="5"/>
  <c r="H31" i="5"/>
  <c r="G31" i="5"/>
  <c r="F31" i="5"/>
  <c r="E31" i="5"/>
  <c r="D31" i="5"/>
  <c r="C31" i="5"/>
  <c r="B31" i="5"/>
  <c r="A31" i="5"/>
  <c r="I30" i="5"/>
  <c r="H30" i="5"/>
  <c r="G30" i="5"/>
  <c r="F30" i="5"/>
  <c r="E30" i="5"/>
  <c r="D30" i="5"/>
  <c r="C30" i="5"/>
  <c r="B30" i="5"/>
  <c r="A30" i="5"/>
  <c r="I29" i="5"/>
  <c r="H29" i="5"/>
  <c r="G29" i="5"/>
  <c r="F29" i="5"/>
  <c r="E29" i="5"/>
  <c r="D29" i="5"/>
  <c r="C29" i="5"/>
  <c r="B29" i="5"/>
  <c r="A29" i="5"/>
  <c r="I28" i="5"/>
  <c r="H28" i="5"/>
  <c r="G28" i="5"/>
  <c r="F28" i="5"/>
  <c r="E28" i="5"/>
  <c r="D28" i="5"/>
  <c r="C28" i="5"/>
  <c r="B28" i="5"/>
  <c r="A28" i="5"/>
  <c r="I27" i="5"/>
  <c r="H27" i="5"/>
  <c r="G27" i="5"/>
  <c r="F27" i="5"/>
  <c r="E27" i="5"/>
  <c r="D27" i="5"/>
  <c r="C27" i="5"/>
  <c r="B27" i="5"/>
  <c r="A27" i="5"/>
  <c r="I26" i="5"/>
  <c r="H26" i="5"/>
  <c r="G26" i="5"/>
  <c r="F26" i="5"/>
  <c r="E26" i="5"/>
  <c r="D26" i="5"/>
  <c r="C26" i="5"/>
  <c r="B26" i="5"/>
  <c r="A26" i="5"/>
  <c r="I25" i="5"/>
  <c r="H25" i="5"/>
  <c r="G25" i="5"/>
  <c r="F25" i="5"/>
  <c r="E25" i="5"/>
  <c r="D25" i="5"/>
  <c r="C25" i="5"/>
  <c r="B25" i="5"/>
  <c r="A25" i="5"/>
  <c r="I24" i="5"/>
  <c r="H24" i="5"/>
  <c r="G24" i="5"/>
  <c r="F24" i="5"/>
  <c r="E24" i="5"/>
  <c r="D24" i="5"/>
  <c r="C24" i="5"/>
  <c r="B24" i="5"/>
  <c r="A24" i="5"/>
  <c r="I23" i="5"/>
  <c r="H23" i="5"/>
  <c r="G23" i="5"/>
  <c r="F23" i="5"/>
  <c r="E23" i="5"/>
  <c r="D23" i="5"/>
  <c r="C23" i="5"/>
  <c r="B23" i="5"/>
  <c r="A23" i="5"/>
  <c r="I22" i="5"/>
  <c r="H22" i="5"/>
  <c r="G22" i="5"/>
  <c r="F22" i="5"/>
  <c r="E22" i="5"/>
  <c r="D22" i="5"/>
  <c r="C22" i="5"/>
  <c r="B22" i="5"/>
  <c r="A22" i="5"/>
  <c r="I21" i="5"/>
  <c r="H21" i="5"/>
  <c r="G21" i="5"/>
  <c r="F21" i="5"/>
  <c r="E21" i="5"/>
  <c r="D21" i="5"/>
  <c r="C21" i="5"/>
  <c r="B21" i="5"/>
  <c r="A21" i="5"/>
  <c r="I20" i="5"/>
  <c r="H20" i="5"/>
  <c r="G20" i="5"/>
  <c r="F20" i="5"/>
  <c r="E20" i="5"/>
  <c r="D20" i="5"/>
  <c r="C20" i="5"/>
  <c r="B20" i="5"/>
  <c r="A20" i="5"/>
  <c r="I19" i="5"/>
  <c r="H19" i="5"/>
  <c r="G19" i="5"/>
  <c r="F19" i="5"/>
  <c r="E19" i="5"/>
  <c r="D19" i="5"/>
  <c r="C19" i="5"/>
  <c r="B19" i="5"/>
  <c r="A19" i="5"/>
  <c r="I18" i="5"/>
  <c r="H18" i="5"/>
  <c r="G18" i="5"/>
  <c r="F18" i="5"/>
  <c r="E18" i="5"/>
  <c r="D18" i="5"/>
  <c r="C18" i="5"/>
  <c r="B18" i="5"/>
  <c r="A18" i="5"/>
  <c r="I17" i="5"/>
  <c r="H17" i="5"/>
  <c r="G17" i="5"/>
  <c r="F17" i="5"/>
  <c r="E17" i="5"/>
  <c r="D17" i="5"/>
  <c r="C17" i="5"/>
  <c r="B17" i="5"/>
  <c r="A17" i="5"/>
  <c r="I16" i="5"/>
  <c r="H16" i="5"/>
  <c r="G16" i="5"/>
  <c r="F16" i="5"/>
  <c r="E16" i="5"/>
  <c r="D16" i="5"/>
  <c r="C16" i="5"/>
  <c r="B16" i="5"/>
  <c r="A16" i="5"/>
  <c r="I15" i="5"/>
  <c r="H15" i="5"/>
  <c r="G15" i="5"/>
  <c r="F15" i="5"/>
  <c r="E15" i="5"/>
  <c r="D15" i="5"/>
  <c r="C15" i="5"/>
  <c r="B15" i="5"/>
  <c r="A15" i="5"/>
  <c r="I14" i="5"/>
  <c r="H14" i="5"/>
  <c r="G14" i="5"/>
  <c r="F14" i="5"/>
  <c r="E14" i="5"/>
  <c r="D14" i="5"/>
  <c r="C14" i="5"/>
  <c r="B14" i="5"/>
  <c r="A14" i="5"/>
  <c r="I13" i="5"/>
  <c r="H13" i="5"/>
  <c r="G13" i="5"/>
  <c r="F13" i="5"/>
  <c r="E13" i="5"/>
  <c r="D13" i="5"/>
  <c r="C13" i="5"/>
  <c r="B13" i="5"/>
  <c r="A13" i="5"/>
  <c r="I12" i="5"/>
  <c r="H12" i="5"/>
  <c r="G12" i="5"/>
  <c r="F12" i="5"/>
  <c r="E12" i="5"/>
  <c r="D12" i="5"/>
  <c r="C12" i="5"/>
  <c r="B12" i="5"/>
  <c r="A12" i="5"/>
  <c r="I11" i="5"/>
  <c r="H11" i="5"/>
  <c r="G11" i="5"/>
  <c r="F11" i="5"/>
  <c r="E11" i="5"/>
  <c r="D11" i="5"/>
  <c r="C11" i="5"/>
  <c r="B11" i="5"/>
  <c r="A11" i="5"/>
  <c r="I10" i="5"/>
  <c r="H10" i="5"/>
  <c r="G10" i="5"/>
  <c r="F10" i="5"/>
  <c r="E10" i="5"/>
  <c r="D10" i="5"/>
  <c r="C10" i="5"/>
  <c r="B10" i="5"/>
  <c r="A10" i="5"/>
  <c r="I9" i="5"/>
  <c r="H9" i="5"/>
  <c r="G9" i="5"/>
  <c r="F9" i="5"/>
  <c r="E9" i="5"/>
  <c r="D9" i="5"/>
  <c r="C9" i="5"/>
  <c r="B9" i="5"/>
  <c r="A9" i="5"/>
  <c r="I8" i="5"/>
  <c r="H8" i="5"/>
  <c r="G8" i="5"/>
  <c r="F8" i="5"/>
  <c r="E8" i="5"/>
  <c r="D8" i="5"/>
  <c r="C8" i="5"/>
  <c r="B8" i="5"/>
  <c r="A8" i="5"/>
  <c r="I7" i="5"/>
  <c r="H7" i="5"/>
  <c r="G7" i="5"/>
  <c r="F7" i="5"/>
  <c r="E7" i="5"/>
  <c r="D7" i="5"/>
  <c r="C7" i="5"/>
  <c r="B7" i="5"/>
  <c r="A7" i="5"/>
  <c r="I6" i="5"/>
  <c r="H6" i="5"/>
  <c r="G6" i="5"/>
  <c r="F6" i="5"/>
  <c r="E6" i="5"/>
  <c r="D6" i="5"/>
  <c r="C6" i="5"/>
  <c r="B6" i="5"/>
  <c r="A6" i="5"/>
  <c r="I5" i="5"/>
  <c r="H5" i="5"/>
  <c r="G5" i="5"/>
  <c r="F5" i="5"/>
  <c r="E5" i="5"/>
  <c r="D5" i="5"/>
  <c r="C5" i="5"/>
  <c r="B5" i="5"/>
  <c r="A5" i="5"/>
  <c r="I4" i="5"/>
  <c r="H4" i="5"/>
  <c r="G4" i="5"/>
  <c r="F4" i="5"/>
  <c r="E4" i="5"/>
  <c r="D4" i="5"/>
  <c r="C4" i="5"/>
  <c r="B4" i="5"/>
  <c r="A4" i="5"/>
  <c r="I3" i="5"/>
  <c r="H3" i="5"/>
  <c r="G3" i="5"/>
  <c r="F3" i="5"/>
  <c r="E3" i="5"/>
  <c r="D3" i="5"/>
  <c r="C3" i="5"/>
  <c r="B3" i="5"/>
  <c r="A3" i="5"/>
  <c r="F389" i="4"/>
  <c r="F388" i="4"/>
  <c r="F387" i="4"/>
  <c r="F386" i="4"/>
  <c r="F385" i="4"/>
  <c r="F384" i="4"/>
  <c r="F383" i="4"/>
  <c r="F382" i="4"/>
  <c r="F381" i="4"/>
  <c r="F380" i="4"/>
  <c r="F379" i="4"/>
  <c r="F378" i="4"/>
  <c r="F377" i="4"/>
  <c r="F376" i="4"/>
  <c r="F375" i="4"/>
  <c r="F374" i="4"/>
  <c r="F373" i="4"/>
  <c r="F372" i="4"/>
  <c r="F371" i="4"/>
  <c r="F370" i="4"/>
  <c r="F369" i="4"/>
  <c r="F368" i="4"/>
  <c r="F367" i="4"/>
  <c r="F366" i="4"/>
  <c r="F365" i="4"/>
  <c r="F364" i="4"/>
  <c r="F363" i="4"/>
  <c r="F362" i="4"/>
  <c r="F361" i="4"/>
  <c r="F360" i="4"/>
  <c r="F359" i="4"/>
  <c r="F358" i="4"/>
  <c r="F357" i="4"/>
  <c r="F356" i="4"/>
  <c r="F355" i="4"/>
  <c r="F354" i="4"/>
  <c r="F353" i="4"/>
  <c r="G352" i="4"/>
  <c r="F352" i="4"/>
  <c r="G351" i="4"/>
  <c r="F351" i="4"/>
  <c r="G350" i="4"/>
  <c r="F350" i="4"/>
  <c r="G349" i="4"/>
  <c r="F349" i="4"/>
  <c r="G348" i="4"/>
  <c r="F348" i="4"/>
  <c r="G347" i="4"/>
  <c r="F347" i="4"/>
  <c r="G346" i="4"/>
  <c r="F346" i="4"/>
  <c r="G345" i="4"/>
  <c r="F345" i="4"/>
  <c r="G344" i="4"/>
  <c r="F344" i="4"/>
  <c r="G343" i="4"/>
  <c r="F343" i="4"/>
  <c r="G342" i="4"/>
  <c r="F342" i="4"/>
  <c r="G341" i="4"/>
  <c r="F341" i="4"/>
  <c r="G340" i="4"/>
  <c r="F340" i="4"/>
  <c r="G339" i="4"/>
  <c r="F339" i="4"/>
  <c r="G338" i="4"/>
  <c r="F338" i="4"/>
  <c r="G337" i="4"/>
  <c r="F337" i="4"/>
  <c r="G336" i="4"/>
  <c r="F336" i="4"/>
  <c r="G335" i="4"/>
  <c r="F335" i="4"/>
  <c r="G334" i="4"/>
  <c r="F334" i="4"/>
  <c r="G333" i="4"/>
  <c r="F333" i="4"/>
  <c r="G332" i="4"/>
  <c r="F332" i="4"/>
  <c r="G331" i="4"/>
  <c r="F331" i="4"/>
  <c r="G330" i="4"/>
  <c r="F330" i="4"/>
  <c r="G329" i="4"/>
  <c r="F329" i="4"/>
  <c r="G328" i="4"/>
  <c r="F328" i="4"/>
  <c r="G327" i="4"/>
  <c r="F327" i="4"/>
  <c r="G326" i="4"/>
  <c r="F326" i="4"/>
  <c r="G325" i="4"/>
  <c r="F325" i="4"/>
  <c r="G324" i="4"/>
  <c r="F324" i="4"/>
  <c r="G323" i="4"/>
  <c r="F323" i="4"/>
  <c r="G322" i="4"/>
  <c r="F322" i="4"/>
  <c r="G321" i="4"/>
  <c r="F321" i="4"/>
  <c r="G320" i="4"/>
  <c r="F320" i="4"/>
  <c r="G319" i="4"/>
  <c r="F319" i="4"/>
  <c r="G318" i="4"/>
  <c r="F318" i="4"/>
  <c r="G317" i="4"/>
  <c r="F317" i="4"/>
  <c r="G316" i="4"/>
  <c r="F316" i="4"/>
  <c r="G315" i="4"/>
  <c r="F315" i="4"/>
  <c r="G314" i="4"/>
  <c r="F314" i="4"/>
  <c r="G313" i="4"/>
  <c r="F313" i="4"/>
  <c r="G312" i="4"/>
  <c r="F312" i="4"/>
  <c r="G311" i="4"/>
  <c r="F311" i="4"/>
  <c r="G310" i="4"/>
  <c r="F310" i="4"/>
  <c r="G309" i="4"/>
  <c r="F309" i="4"/>
  <c r="G308" i="4"/>
  <c r="F308" i="4"/>
  <c r="G307" i="4"/>
  <c r="F307" i="4"/>
  <c r="G306" i="4"/>
  <c r="F306" i="4"/>
  <c r="G305" i="4"/>
  <c r="F305" i="4"/>
  <c r="G304" i="4"/>
  <c r="F304" i="4"/>
  <c r="G303" i="4"/>
  <c r="F303" i="4"/>
  <c r="G302" i="4"/>
  <c r="F302" i="4"/>
  <c r="G301" i="4"/>
  <c r="F301" i="4"/>
  <c r="G300" i="4"/>
  <c r="F300" i="4"/>
  <c r="G299" i="4"/>
  <c r="F299" i="4"/>
  <c r="G298" i="4"/>
  <c r="F298" i="4"/>
  <c r="G297" i="4"/>
  <c r="F297" i="4"/>
  <c r="G296" i="4"/>
  <c r="F296" i="4"/>
  <c r="G295" i="4"/>
  <c r="F295" i="4"/>
  <c r="G294" i="4"/>
  <c r="F294" i="4"/>
  <c r="G293" i="4"/>
  <c r="F293" i="4"/>
  <c r="G292" i="4"/>
  <c r="F292" i="4"/>
  <c r="G291" i="4"/>
  <c r="F291" i="4"/>
  <c r="G290" i="4"/>
  <c r="F290" i="4"/>
  <c r="G289" i="4"/>
  <c r="F289" i="4"/>
  <c r="G288" i="4"/>
  <c r="F288" i="4"/>
  <c r="G287" i="4"/>
  <c r="F287" i="4"/>
  <c r="G286" i="4"/>
  <c r="F286" i="4"/>
  <c r="G285" i="4"/>
  <c r="F285" i="4"/>
  <c r="G284" i="4"/>
  <c r="F284" i="4"/>
  <c r="G283" i="4"/>
  <c r="F283" i="4"/>
  <c r="G282" i="4"/>
  <c r="F282" i="4"/>
  <c r="G281" i="4"/>
  <c r="F281" i="4"/>
  <c r="G280" i="4"/>
  <c r="F280" i="4"/>
  <c r="G279" i="4"/>
  <c r="F279" i="4"/>
  <c r="G278" i="4"/>
  <c r="F278" i="4"/>
  <c r="G277" i="4"/>
  <c r="F277" i="4"/>
  <c r="G276" i="4"/>
  <c r="F276" i="4"/>
  <c r="G275" i="4"/>
  <c r="F275" i="4"/>
  <c r="G274" i="4"/>
  <c r="F274" i="4"/>
  <c r="G273" i="4"/>
  <c r="F273" i="4"/>
  <c r="G272" i="4"/>
  <c r="F272" i="4"/>
  <c r="G271" i="4"/>
  <c r="F271" i="4"/>
  <c r="G270" i="4"/>
  <c r="F270" i="4"/>
  <c r="G269" i="4"/>
  <c r="F269" i="4"/>
  <c r="G268" i="4"/>
  <c r="F268" i="4"/>
  <c r="G267" i="4"/>
  <c r="F267" i="4"/>
  <c r="G266" i="4"/>
  <c r="F266" i="4"/>
  <c r="G265" i="4"/>
  <c r="F265" i="4"/>
  <c r="G264" i="4"/>
  <c r="F264" i="4"/>
  <c r="G263" i="4"/>
  <c r="F263" i="4"/>
  <c r="G262" i="4"/>
  <c r="F262" i="4"/>
  <c r="G261" i="4"/>
  <c r="F261" i="4"/>
  <c r="G260" i="4"/>
  <c r="F260" i="4"/>
  <c r="G259" i="4"/>
  <c r="F259" i="4"/>
  <c r="G258" i="4"/>
  <c r="F258" i="4"/>
  <c r="H257" i="4"/>
  <c r="G257" i="4"/>
  <c r="F257" i="4"/>
  <c r="H256" i="4"/>
  <c r="G256" i="4"/>
  <c r="F256" i="4"/>
  <c r="H255" i="4"/>
  <c r="G255" i="4"/>
  <c r="F255" i="4"/>
  <c r="H254" i="4"/>
  <c r="G254" i="4"/>
  <c r="F254" i="4"/>
  <c r="H253" i="4"/>
  <c r="G253" i="4"/>
  <c r="F253" i="4"/>
  <c r="H252" i="4"/>
  <c r="G252" i="4"/>
  <c r="F252" i="4"/>
  <c r="H251" i="4"/>
  <c r="G251" i="4"/>
  <c r="F251" i="4"/>
  <c r="H250" i="4"/>
  <c r="G250" i="4"/>
  <c r="F250" i="4"/>
  <c r="H249" i="4"/>
  <c r="G249" i="4"/>
  <c r="F249" i="4"/>
  <c r="H248" i="4"/>
  <c r="G248" i="4"/>
  <c r="F248" i="4"/>
  <c r="H247" i="4"/>
  <c r="G247" i="4"/>
  <c r="F247" i="4"/>
  <c r="H246" i="4"/>
  <c r="G246" i="4"/>
  <c r="F246" i="4"/>
  <c r="H245" i="4"/>
  <c r="G245" i="4"/>
  <c r="F245" i="4"/>
  <c r="H244" i="4"/>
  <c r="G244" i="4"/>
  <c r="F244" i="4"/>
  <c r="H243" i="4"/>
  <c r="G243" i="4"/>
  <c r="F243" i="4"/>
  <c r="H242" i="4"/>
  <c r="G242" i="4"/>
  <c r="F242" i="4"/>
  <c r="H241" i="4"/>
  <c r="G241" i="4"/>
  <c r="F241" i="4"/>
  <c r="H240" i="4"/>
  <c r="G240" i="4"/>
  <c r="F240" i="4"/>
  <c r="H239" i="4"/>
  <c r="G239" i="4"/>
  <c r="F239" i="4"/>
  <c r="H238" i="4"/>
  <c r="G238" i="4"/>
  <c r="F238" i="4"/>
  <c r="H237" i="4"/>
  <c r="G237" i="4"/>
  <c r="F237" i="4"/>
  <c r="H236" i="4"/>
  <c r="G236" i="4"/>
  <c r="F236" i="4"/>
  <c r="H235" i="4"/>
  <c r="G235" i="4"/>
  <c r="F235" i="4"/>
  <c r="H234" i="4"/>
  <c r="G234" i="4"/>
  <c r="F234" i="4"/>
  <c r="H233" i="4"/>
  <c r="G233" i="4"/>
  <c r="F233" i="4"/>
  <c r="H232" i="4"/>
  <c r="G232" i="4"/>
  <c r="F232" i="4"/>
  <c r="H231" i="4"/>
  <c r="G231" i="4"/>
  <c r="F231" i="4"/>
  <c r="H230" i="4"/>
  <c r="G230" i="4"/>
  <c r="F230" i="4"/>
  <c r="H229" i="4"/>
  <c r="G229" i="4"/>
  <c r="F229" i="4"/>
  <c r="H228" i="4"/>
  <c r="G228" i="4"/>
  <c r="F228" i="4"/>
  <c r="H227" i="4"/>
  <c r="G227" i="4"/>
  <c r="F227" i="4"/>
  <c r="H226" i="4"/>
  <c r="G226" i="4"/>
  <c r="F226" i="4"/>
  <c r="H225" i="4"/>
  <c r="G225" i="4"/>
  <c r="F225" i="4"/>
  <c r="H224" i="4"/>
  <c r="G224" i="4"/>
  <c r="F224" i="4"/>
  <c r="H223" i="4"/>
  <c r="G223" i="4"/>
  <c r="F223" i="4"/>
  <c r="H222" i="4"/>
  <c r="G222" i="4"/>
  <c r="F222" i="4"/>
  <c r="H221" i="4"/>
  <c r="G221" i="4"/>
  <c r="F221" i="4"/>
  <c r="H220" i="4"/>
  <c r="G220" i="4"/>
  <c r="F220" i="4"/>
  <c r="H219" i="4"/>
  <c r="G219" i="4"/>
  <c r="F219" i="4"/>
  <c r="H218" i="4"/>
  <c r="G218" i="4"/>
  <c r="F218" i="4"/>
  <c r="H217" i="4"/>
  <c r="G217" i="4"/>
  <c r="F217" i="4"/>
  <c r="H216" i="4"/>
  <c r="G216" i="4"/>
  <c r="F216" i="4"/>
  <c r="H215" i="4"/>
  <c r="G215" i="4"/>
  <c r="F215" i="4"/>
  <c r="H214" i="4"/>
  <c r="G214" i="4"/>
  <c r="F214" i="4"/>
  <c r="H213" i="4"/>
  <c r="G213" i="4"/>
  <c r="F213" i="4"/>
  <c r="H212" i="4"/>
  <c r="G212" i="4"/>
  <c r="F212" i="4"/>
  <c r="H211" i="4"/>
  <c r="G211" i="4"/>
  <c r="F211" i="4"/>
  <c r="H210" i="4"/>
  <c r="G210" i="4"/>
  <c r="F210" i="4"/>
  <c r="H209" i="4"/>
  <c r="G209" i="4"/>
  <c r="F209" i="4"/>
  <c r="H208" i="4"/>
  <c r="G208" i="4"/>
  <c r="F208" i="4"/>
  <c r="H207" i="4"/>
  <c r="G207" i="4"/>
  <c r="F207" i="4"/>
  <c r="H206" i="4"/>
  <c r="G206" i="4"/>
  <c r="F206" i="4"/>
  <c r="H205" i="4"/>
  <c r="G205" i="4"/>
  <c r="F205" i="4"/>
  <c r="H204" i="4"/>
  <c r="G204" i="4"/>
  <c r="F204" i="4"/>
  <c r="H203" i="4"/>
  <c r="G203" i="4"/>
  <c r="F203" i="4"/>
  <c r="H202" i="4"/>
  <c r="G202" i="4"/>
  <c r="F202" i="4"/>
  <c r="H201" i="4"/>
  <c r="G201" i="4"/>
  <c r="F201" i="4"/>
  <c r="H200" i="4"/>
  <c r="G200" i="4"/>
  <c r="F200" i="4"/>
  <c r="H199" i="4"/>
  <c r="G199" i="4"/>
  <c r="F199" i="4"/>
  <c r="H198" i="4"/>
  <c r="G198" i="4"/>
  <c r="F198" i="4"/>
  <c r="H197" i="4"/>
  <c r="G197" i="4"/>
  <c r="F197" i="4"/>
  <c r="H196" i="4"/>
  <c r="G196" i="4"/>
  <c r="F196" i="4"/>
  <c r="H195" i="4"/>
  <c r="G195" i="4"/>
  <c r="F195" i="4"/>
  <c r="H194" i="4"/>
  <c r="G194" i="4"/>
  <c r="F194" i="4"/>
  <c r="H193" i="4"/>
  <c r="G193" i="4"/>
  <c r="F193" i="4"/>
  <c r="H192" i="4"/>
  <c r="G192" i="4"/>
  <c r="F192" i="4"/>
  <c r="H191" i="4"/>
  <c r="G191" i="4"/>
  <c r="F191" i="4"/>
  <c r="H190" i="4"/>
  <c r="G190" i="4"/>
  <c r="F190" i="4"/>
  <c r="H189" i="4"/>
  <c r="G189" i="4"/>
  <c r="F189" i="4"/>
  <c r="H188" i="4"/>
  <c r="G188" i="4"/>
  <c r="F188" i="4"/>
  <c r="H187" i="4"/>
  <c r="G187" i="4"/>
  <c r="F187" i="4"/>
  <c r="H186" i="4"/>
  <c r="G186" i="4"/>
  <c r="F186" i="4"/>
  <c r="H185" i="4"/>
  <c r="G185" i="4"/>
  <c r="F185" i="4"/>
  <c r="H184" i="4"/>
  <c r="G184" i="4"/>
  <c r="F184" i="4"/>
  <c r="H183" i="4"/>
  <c r="G183" i="4"/>
  <c r="F183" i="4"/>
  <c r="H182" i="4"/>
  <c r="G182" i="4"/>
  <c r="F182" i="4"/>
  <c r="H181" i="4"/>
  <c r="G181" i="4"/>
  <c r="F181" i="4"/>
  <c r="H180" i="4"/>
  <c r="G180" i="4"/>
  <c r="F180" i="4"/>
  <c r="H179" i="4"/>
  <c r="G179" i="4"/>
  <c r="F179" i="4"/>
  <c r="H178" i="4"/>
  <c r="G178" i="4"/>
  <c r="F178" i="4"/>
  <c r="H177" i="4"/>
  <c r="G177" i="4"/>
  <c r="F177" i="4"/>
  <c r="H176" i="4"/>
  <c r="G176" i="4"/>
  <c r="F176" i="4"/>
  <c r="H175" i="4"/>
  <c r="G175" i="4"/>
  <c r="F175" i="4"/>
  <c r="H174" i="4"/>
  <c r="G174" i="4"/>
  <c r="F174" i="4"/>
  <c r="H173" i="4"/>
  <c r="G173" i="4"/>
  <c r="F173" i="4"/>
  <c r="H172" i="4"/>
  <c r="G172" i="4"/>
  <c r="F172" i="4"/>
  <c r="H171" i="4"/>
  <c r="G171" i="4"/>
  <c r="F171" i="4"/>
  <c r="H170" i="4"/>
  <c r="G170" i="4"/>
  <c r="F170" i="4"/>
  <c r="H169" i="4"/>
  <c r="G169" i="4"/>
  <c r="F169" i="4"/>
  <c r="H168" i="4"/>
  <c r="G168" i="4"/>
  <c r="F168" i="4"/>
  <c r="H167" i="4"/>
  <c r="G167" i="4"/>
  <c r="F167" i="4"/>
  <c r="H166" i="4"/>
  <c r="G166" i="4"/>
  <c r="F166" i="4"/>
  <c r="H165" i="4"/>
  <c r="G165" i="4"/>
  <c r="F165" i="4"/>
  <c r="H164" i="4"/>
  <c r="G164" i="4"/>
  <c r="F164" i="4"/>
  <c r="H163" i="4"/>
  <c r="G163" i="4"/>
  <c r="F163" i="4"/>
  <c r="H162" i="4"/>
  <c r="G162" i="4"/>
  <c r="F162" i="4"/>
  <c r="H161" i="4"/>
  <c r="G161" i="4"/>
  <c r="F161" i="4"/>
  <c r="H160" i="4"/>
  <c r="G160" i="4"/>
  <c r="F160" i="4"/>
  <c r="H159" i="4"/>
  <c r="G159" i="4"/>
  <c r="F159" i="4"/>
  <c r="H158" i="4"/>
  <c r="G158" i="4"/>
  <c r="F158" i="4"/>
  <c r="H157" i="4"/>
  <c r="G157" i="4"/>
  <c r="F157" i="4"/>
  <c r="H156" i="4"/>
  <c r="G156" i="4"/>
  <c r="F156" i="4"/>
  <c r="H155" i="4"/>
  <c r="G155" i="4"/>
  <c r="F155" i="4"/>
  <c r="H154" i="4"/>
  <c r="G154" i="4"/>
  <c r="F154" i="4"/>
  <c r="H153" i="4"/>
  <c r="G153" i="4"/>
  <c r="F153" i="4"/>
  <c r="H152" i="4"/>
  <c r="G152" i="4"/>
  <c r="F152" i="4"/>
  <c r="H151" i="4"/>
  <c r="G151" i="4"/>
  <c r="F151" i="4"/>
  <c r="H150" i="4"/>
  <c r="G150" i="4"/>
  <c r="F150" i="4"/>
  <c r="H149" i="4"/>
  <c r="G149" i="4"/>
  <c r="F149" i="4"/>
  <c r="H148" i="4"/>
  <c r="G148" i="4"/>
  <c r="F148" i="4"/>
  <c r="H147" i="4"/>
  <c r="G147" i="4"/>
  <c r="F147" i="4"/>
  <c r="H146" i="4"/>
  <c r="G146" i="4"/>
  <c r="F146" i="4"/>
  <c r="H145" i="4"/>
  <c r="G145" i="4"/>
  <c r="F145" i="4"/>
  <c r="H144" i="4"/>
  <c r="G144" i="4"/>
  <c r="F144" i="4"/>
  <c r="H143" i="4"/>
  <c r="G143" i="4"/>
  <c r="F143" i="4"/>
  <c r="H142" i="4"/>
  <c r="G142" i="4"/>
  <c r="F142" i="4"/>
  <c r="H141" i="4"/>
  <c r="G141" i="4"/>
  <c r="F141" i="4"/>
  <c r="H140" i="4"/>
  <c r="G140" i="4"/>
  <c r="F140" i="4"/>
  <c r="H139" i="4"/>
  <c r="G139" i="4"/>
  <c r="F139" i="4"/>
  <c r="H138" i="4"/>
  <c r="G138" i="4"/>
  <c r="F138" i="4"/>
  <c r="H137" i="4"/>
  <c r="G137" i="4"/>
  <c r="F137" i="4"/>
  <c r="H136" i="4"/>
  <c r="G136" i="4"/>
  <c r="F136" i="4"/>
  <c r="H135" i="4"/>
  <c r="G135" i="4"/>
  <c r="F135" i="4"/>
  <c r="H134" i="4"/>
  <c r="G134" i="4"/>
  <c r="F134" i="4"/>
  <c r="H133" i="4"/>
  <c r="G133" i="4"/>
  <c r="F133" i="4"/>
  <c r="H132" i="4"/>
  <c r="G132" i="4"/>
  <c r="F132" i="4"/>
  <c r="H131" i="4"/>
  <c r="G131" i="4"/>
  <c r="F131" i="4"/>
  <c r="H130" i="4"/>
  <c r="G130" i="4"/>
  <c r="F130" i="4"/>
  <c r="H129" i="4"/>
  <c r="G129" i="4"/>
  <c r="F129" i="4"/>
  <c r="H128" i="4"/>
  <c r="G128" i="4"/>
  <c r="F128" i="4"/>
  <c r="H127" i="4"/>
  <c r="G127" i="4"/>
  <c r="F127" i="4"/>
  <c r="H126" i="4"/>
  <c r="G126" i="4"/>
  <c r="F126" i="4"/>
  <c r="H125" i="4"/>
  <c r="G125" i="4"/>
  <c r="F125" i="4"/>
  <c r="H124" i="4"/>
  <c r="G124" i="4"/>
  <c r="F124" i="4"/>
  <c r="H123" i="4"/>
  <c r="G123" i="4"/>
  <c r="F123" i="4"/>
  <c r="H122" i="4"/>
  <c r="G122" i="4"/>
  <c r="F122" i="4"/>
  <c r="H121" i="4"/>
  <c r="G121" i="4"/>
  <c r="F121" i="4"/>
  <c r="H120" i="4"/>
  <c r="G120" i="4"/>
  <c r="F120" i="4"/>
  <c r="H119" i="4"/>
  <c r="G119" i="4"/>
  <c r="F119" i="4"/>
  <c r="H118" i="4"/>
  <c r="G118" i="4"/>
  <c r="F118" i="4"/>
  <c r="H117" i="4"/>
  <c r="G117" i="4"/>
  <c r="F117" i="4"/>
  <c r="H116" i="4"/>
  <c r="G116" i="4"/>
  <c r="F116" i="4"/>
  <c r="H115" i="4"/>
  <c r="G115" i="4"/>
  <c r="F115" i="4"/>
  <c r="H114" i="4"/>
  <c r="G114" i="4"/>
  <c r="F114" i="4"/>
  <c r="H113" i="4"/>
  <c r="G113" i="4"/>
  <c r="F113" i="4"/>
  <c r="H112" i="4"/>
  <c r="G112" i="4"/>
  <c r="F112" i="4"/>
  <c r="H111" i="4"/>
  <c r="G111" i="4"/>
  <c r="F111" i="4"/>
  <c r="H110" i="4"/>
  <c r="G110" i="4"/>
  <c r="F110" i="4"/>
  <c r="H109" i="4"/>
  <c r="G109" i="4"/>
  <c r="F109" i="4"/>
  <c r="H108" i="4"/>
  <c r="G108" i="4"/>
  <c r="F108" i="4"/>
  <c r="H107" i="4"/>
  <c r="G107" i="4"/>
  <c r="F107" i="4"/>
  <c r="H106" i="4"/>
  <c r="G106" i="4"/>
  <c r="F106" i="4"/>
  <c r="H105" i="4"/>
  <c r="G105" i="4"/>
  <c r="F105" i="4"/>
  <c r="H104" i="4"/>
  <c r="G104" i="4"/>
  <c r="F104" i="4"/>
  <c r="H103" i="4"/>
  <c r="G103" i="4"/>
  <c r="F103" i="4"/>
  <c r="H102" i="4"/>
  <c r="G102" i="4"/>
  <c r="F102" i="4"/>
  <c r="H101" i="4"/>
  <c r="G101" i="4"/>
  <c r="F101" i="4"/>
  <c r="H100" i="4"/>
  <c r="G100" i="4"/>
  <c r="F100" i="4"/>
  <c r="H99" i="4"/>
  <c r="G99" i="4"/>
  <c r="F99" i="4"/>
  <c r="H98" i="4"/>
  <c r="G98" i="4"/>
  <c r="F98" i="4"/>
  <c r="H97" i="4"/>
  <c r="G97" i="4"/>
  <c r="F97" i="4"/>
  <c r="H96" i="4"/>
  <c r="G96" i="4"/>
  <c r="F96" i="4"/>
  <c r="H95" i="4"/>
  <c r="G95" i="4"/>
  <c r="F95" i="4"/>
  <c r="H94" i="4"/>
  <c r="G94" i="4"/>
  <c r="F94" i="4"/>
  <c r="H93" i="4"/>
  <c r="G93" i="4"/>
  <c r="F93" i="4"/>
  <c r="H92" i="4"/>
  <c r="G92" i="4"/>
  <c r="F92" i="4"/>
  <c r="H91" i="4"/>
  <c r="G91" i="4"/>
  <c r="F91" i="4"/>
  <c r="H90" i="4"/>
  <c r="G90" i="4"/>
  <c r="F90" i="4"/>
  <c r="H89" i="4"/>
  <c r="G89" i="4"/>
  <c r="F89" i="4"/>
  <c r="H88" i="4"/>
  <c r="G88" i="4"/>
  <c r="F88" i="4"/>
  <c r="H87" i="4"/>
  <c r="G87" i="4"/>
  <c r="F87" i="4"/>
  <c r="H86" i="4"/>
  <c r="G86" i="4"/>
  <c r="F86" i="4"/>
  <c r="H85" i="4"/>
  <c r="G85" i="4"/>
  <c r="F85" i="4"/>
  <c r="H84" i="4"/>
  <c r="G84" i="4"/>
  <c r="F84" i="4"/>
  <c r="H83" i="4"/>
  <c r="G83" i="4"/>
  <c r="F83" i="4"/>
  <c r="H82" i="4"/>
  <c r="G82" i="4"/>
  <c r="F82" i="4"/>
  <c r="H81" i="4"/>
  <c r="G81" i="4"/>
  <c r="F81" i="4"/>
  <c r="H80" i="4"/>
  <c r="G80" i="4"/>
  <c r="F80" i="4"/>
  <c r="H79" i="4"/>
  <c r="G79" i="4"/>
  <c r="F79" i="4"/>
  <c r="H78" i="4"/>
  <c r="G78" i="4"/>
  <c r="F78" i="4"/>
  <c r="H77" i="4"/>
  <c r="G77" i="4"/>
  <c r="F77" i="4"/>
  <c r="H76" i="4"/>
  <c r="G76" i="4"/>
  <c r="F76" i="4"/>
  <c r="H75" i="4"/>
  <c r="G75" i="4"/>
  <c r="F75" i="4"/>
  <c r="H74" i="4"/>
  <c r="G74" i="4"/>
  <c r="F74" i="4"/>
  <c r="H73" i="4"/>
  <c r="G73" i="4"/>
  <c r="F73" i="4"/>
  <c r="H72" i="4"/>
  <c r="G72" i="4"/>
  <c r="F72" i="4"/>
  <c r="H71" i="4"/>
  <c r="G71" i="4"/>
  <c r="F71" i="4"/>
  <c r="H70" i="4"/>
  <c r="G70" i="4"/>
  <c r="F70" i="4"/>
  <c r="H69" i="4"/>
  <c r="G69" i="4"/>
  <c r="F69" i="4"/>
  <c r="H68" i="4"/>
  <c r="G68" i="4"/>
  <c r="F68" i="4"/>
  <c r="H67" i="4"/>
  <c r="G67" i="4"/>
  <c r="F67" i="4"/>
  <c r="H66" i="4"/>
  <c r="G66" i="4"/>
  <c r="F66" i="4"/>
  <c r="H65" i="4"/>
  <c r="G65" i="4"/>
  <c r="F65" i="4"/>
  <c r="H64" i="4"/>
  <c r="G64" i="4"/>
  <c r="F64" i="4"/>
  <c r="H63" i="4"/>
  <c r="G63" i="4"/>
  <c r="F63" i="4"/>
  <c r="H62" i="4"/>
  <c r="G62" i="4"/>
  <c r="F62" i="4"/>
  <c r="H61" i="4"/>
  <c r="G61" i="4"/>
  <c r="F61" i="4"/>
  <c r="H60" i="4"/>
  <c r="G60" i="4"/>
  <c r="F60" i="4"/>
  <c r="H59" i="4"/>
  <c r="G59" i="4"/>
  <c r="F59" i="4"/>
  <c r="H58" i="4"/>
  <c r="G58" i="4"/>
  <c r="F58" i="4"/>
  <c r="H57" i="4"/>
  <c r="G57" i="4"/>
  <c r="F57" i="4"/>
  <c r="H56" i="4"/>
  <c r="F56" i="4"/>
  <c r="H55" i="4"/>
  <c r="G55" i="4"/>
  <c r="F55" i="4"/>
  <c r="H54" i="4"/>
  <c r="G54" i="4"/>
  <c r="F54" i="4"/>
  <c r="H53" i="4"/>
  <c r="G53" i="4"/>
  <c r="F53" i="4"/>
  <c r="H52" i="4"/>
  <c r="G52" i="4"/>
  <c r="F52" i="4"/>
  <c r="H51" i="4"/>
  <c r="G51" i="4"/>
  <c r="F51" i="4"/>
  <c r="H50" i="4"/>
  <c r="G50" i="4"/>
  <c r="F50" i="4"/>
  <c r="H49" i="4"/>
  <c r="G49" i="4"/>
  <c r="F49" i="4"/>
  <c r="H48" i="4"/>
  <c r="G48" i="4"/>
  <c r="F48" i="4"/>
  <c r="H47" i="4"/>
  <c r="G47" i="4"/>
  <c r="F47" i="4"/>
  <c r="H46" i="4"/>
  <c r="G46" i="4"/>
  <c r="F46" i="4"/>
  <c r="H45" i="4"/>
  <c r="G45" i="4"/>
  <c r="F45" i="4"/>
  <c r="H44" i="4"/>
  <c r="G44" i="4"/>
  <c r="F44" i="4"/>
  <c r="H43" i="4"/>
  <c r="G43" i="4"/>
  <c r="F43" i="4"/>
  <c r="H42" i="4"/>
  <c r="G42" i="4"/>
  <c r="F42" i="4"/>
  <c r="H41" i="4"/>
  <c r="G41" i="4"/>
  <c r="F41" i="4"/>
  <c r="H40" i="4"/>
  <c r="G40" i="4"/>
  <c r="F40" i="4"/>
  <c r="H39" i="4"/>
  <c r="G39" i="4"/>
  <c r="F39" i="4"/>
  <c r="H38" i="4"/>
  <c r="G38" i="4"/>
  <c r="F38" i="4"/>
  <c r="H37" i="4"/>
  <c r="G37" i="4"/>
  <c r="F37" i="4"/>
  <c r="H36" i="4"/>
  <c r="G36" i="4"/>
  <c r="F36" i="4"/>
  <c r="H35" i="4"/>
  <c r="G35" i="4"/>
  <c r="F35" i="4"/>
  <c r="H34" i="4"/>
  <c r="G34" i="4"/>
  <c r="F34" i="4"/>
  <c r="H33" i="4"/>
  <c r="G33" i="4"/>
  <c r="F33" i="4"/>
  <c r="H32" i="4"/>
  <c r="G32" i="4"/>
  <c r="F32" i="4"/>
  <c r="H31" i="4"/>
  <c r="F31"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H15" i="4"/>
  <c r="G15" i="4"/>
  <c r="F15" i="4"/>
  <c r="H14" i="4"/>
  <c r="G14" i="4"/>
  <c r="F14" i="4"/>
  <c r="H13" i="4"/>
  <c r="G13" i="4"/>
  <c r="F13" i="4"/>
  <c r="H12" i="4"/>
  <c r="G12" i="4"/>
  <c r="F12" i="4"/>
  <c r="H11" i="4"/>
  <c r="G11" i="4"/>
  <c r="F11" i="4"/>
  <c r="H10" i="4"/>
  <c r="G10" i="4"/>
  <c r="F10" i="4"/>
  <c r="G9" i="4"/>
  <c r="F9" i="4"/>
  <c r="H8" i="4"/>
  <c r="G8" i="4"/>
  <c r="F8" i="4"/>
  <c r="H7" i="4"/>
  <c r="G7" i="4"/>
  <c r="F7" i="4"/>
  <c r="H6" i="4"/>
  <c r="G6" i="4"/>
  <c r="F6" i="4"/>
  <c r="H5" i="4"/>
  <c r="G5" i="4"/>
  <c r="F5" i="4"/>
  <c r="H4" i="4"/>
  <c r="G4" i="4"/>
  <c r="F4" i="4"/>
  <c r="H3" i="4"/>
  <c r="G3" i="4"/>
  <c r="F3" i="4"/>
  <c r="W619" i="3"/>
  <c r="W618" i="3"/>
  <c r="W617" i="3"/>
  <c r="W616" i="3"/>
  <c r="W615" i="3"/>
  <c r="W614" i="3"/>
  <c r="W613" i="3"/>
  <c r="W612" i="3"/>
  <c r="W611" i="3"/>
  <c r="W610" i="3"/>
  <c r="Q610" i="3"/>
  <c r="W609" i="3"/>
  <c r="Q609" i="3"/>
  <c r="W608" i="3"/>
  <c r="Q608" i="3"/>
  <c r="W607" i="3"/>
  <c r="Q607" i="3"/>
  <c r="W606" i="3"/>
  <c r="Q606" i="3"/>
  <c r="W605" i="3"/>
  <c r="Q605" i="3"/>
  <c r="W604" i="3"/>
  <c r="Q604" i="3"/>
  <c r="W603" i="3"/>
  <c r="Q603" i="3"/>
  <c r="W602" i="3"/>
  <c r="Q602" i="3"/>
  <c r="W601" i="3"/>
  <c r="Q601" i="3"/>
  <c r="W600" i="3"/>
  <c r="Q600" i="3"/>
  <c r="W599" i="3"/>
  <c r="Q599" i="3"/>
  <c r="W598" i="3"/>
  <c r="Q598" i="3"/>
  <c r="W597" i="3"/>
  <c r="Q597" i="3"/>
  <c r="W596" i="3"/>
  <c r="Q596" i="3"/>
  <c r="W595" i="3"/>
  <c r="Q595" i="3"/>
  <c r="W594" i="3"/>
  <c r="Q594" i="3"/>
  <c r="A594" i="3"/>
  <c r="W593" i="3"/>
  <c r="Q593" i="3"/>
  <c r="A593" i="3"/>
  <c r="W592" i="3"/>
  <c r="T592" i="3"/>
  <c r="Q592" i="3"/>
  <c r="L592" i="3"/>
  <c r="A592" i="3"/>
  <c r="W591" i="3"/>
  <c r="T591" i="3"/>
  <c r="Q591" i="3"/>
  <c r="L591" i="3"/>
  <c r="A591" i="3"/>
  <c r="W590" i="3"/>
  <c r="T590" i="3"/>
  <c r="Q590" i="3"/>
  <c r="L590" i="3"/>
  <c r="A590" i="3"/>
  <c r="W589" i="3"/>
  <c r="T589" i="3"/>
  <c r="Q589" i="3"/>
  <c r="L589" i="3"/>
  <c r="A589" i="3"/>
  <c r="W588" i="3"/>
  <c r="T588" i="3"/>
  <c r="Q588" i="3"/>
  <c r="L588" i="3"/>
  <c r="A588" i="3"/>
  <c r="W587" i="3"/>
  <c r="T587" i="3"/>
  <c r="Q587" i="3"/>
  <c r="L587" i="3"/>
  <c r="A587" i="3"/>
  <c r="W586" i="3"/>
  <c r="T586" i="3"/>
  <c r="Q586" i="3"/>
  <c r="L586" i="3"/>
  <c r="A586" i="3"/>
  <c r="W585" i="3"/>
  <c r="T585" i="3"/>
  <c r="Q585" i="3"/>
  <c r="L585" i="3"/>
  <c r="A585" i="3"/>
  <c r="W584" i="3"/>
  <c r="T584" i="3"/>
  <c r="Q584" i="3"/>
  <c r="L584" i="3"/>
  <c r="A584" i="3"/>
  <c r="W583" i="3"/>
  <c r="T583" i="3"/>
  <c r="Q583" i="3"/>
  <c r="L583" i="3"/>
  <c r="A583" i="3"/>
  <c r="W582" i="3"/>
  <c r="T582" i="3"/>
  <c r="Q582" i="3"/>
  <c r="L582" i="3"/>
  <c r="A582" i="3"/>
  <c r="W581" i="3"/>
  <c r="T581" i="3"/>
  <c r="Q581" i="3"/>
  <c r="L581" i="3"/>
  <c r="A581" i="3"/>
  <c r="W580" i="3"/>
  <c r="T580" i="3"/>
  <c r="Q580" i="3"/>
  <c r="L580" i="3"/>
  <c r="A580" i="3"/>
  <c r="W579" i="3"/>
  <c r="T579" i="3"/>
  <c r="Q579" i="3"/>
  <c r="L579" i="3"/>
  <c r="A579" i="3"/>
  <c r="W578" i="3"/>
  <c r="T578" i="3"/>
  <c r="Q578" i="3"/>
  <c r="L578" i="3"/>
  <c r="A578" i="3"/>
  <c r="W577" i="3"/>
  <c r="T577" i="3"/>
  <c r="Q577" i="3"/>
  <c r="L577" i="3"/>
  <c r="A577" i="3"/>
  <c r="W576" i="3"/>
  <c r="T576" i="3"/>
  <c r="Q576" i="3"/>
  <c r="L576" i="3"/>
  <c r="A576" i="3"/>
  <c r="W575" i="3"/>
  <c r="T575" i="3"/>
  <c r="Q575" i="3"/>
  <c r="L575" i="3"/>
  <c r="A575" i="3"/>
  <c r="W574" i="3"/>
  <c r="T574" i="3"/>
  <c r="Q574" i="3"/>
  <c r="L574" i="3"/>
  <c r="A574" i="3"/>
  <c r="W573" i="3"/>
  <c r="T573" i="3"/>
  <c r="Q573" i="3"/>
  <c r="L573" i="3"/>
  <c r="A573" i="3"/>
  <c r="W572" i="3"/>
  <c r="T572" i="3"/>
  <c r="Q572" i="3"/>
  <c r="L572" i="3"/>
  <c r="A572" i="3"/>
  <c r="W571" i="3"/>
  <c r="T571" i="3"/>
  <c r="Q571" i="3"/>
  <c r="L571" i="3"/>
  <c r="A571" i="3"/>
  <c r="W570" i="3"/>
  <c r="T570" i="3"/>
  <c r="Q570" i="3"/>
  <c r="M570" i="3"/>
  <c r="L570" i="3"/>
  <c r="A570" i="3"/>
  <c r="W569" i="3"/>
  <c r="T569" i="3"/>
  <c r="Q569" i="3"/>
  <c r="M569" i="3"/>
  <c r="L569" i="3"/>
  <c r="A569" i="3"/>
  <c r="W568" i="3"/>
  <c r="T568" i="3"/>
  <c r="Q568" i="3"/>
  <c r="M568" i="3"/>
  <c r="L568" i="3"/>
  <c r="A568" i="3"/>
  <c r="W567" i="3"/>
  <c r="T567" i="3"/>
  <c r="Q567" i="3"/>
  <c r="M567" i="3"/>
  <c r="L567" i="3"/>
  <c r="A567" i="3"/>
  <c r="W566" i="3"/>
  <c r="T566" i="3"/>
  <c r="Q566" i="3"/>
  <c r="M566" i="3"/>
  <c r="L566" i="3"/>
  <c r="A566" i="3"/>
  <c r="W565" i="3"/>
  <c r="T565" i="3"/>
  <c r="Q565" i="3"/>
  <c r="M565" i="3"/>
  <c r="L565" i="3"/>
  <c r="A565" i="3"/>
  <c r="W564" i="3"/>
  <c r="T564" i="3"/>
  <c r="Q564" i="3"/>
  <c r="M564" i="3"/>
  <c r="L564" i="3"/>
  <c r="A564" i="3"/>
  <c r="W563" i="3"/>
  <c r="T563" i="3"/>
  <c r="Q563" i="3"/>
  <c r="M563" i="3"/>
  <c r="L563" i="3"/>
  <c r="A563" i="3"/>
  <c r="W562" i="3"/>
  <c r="T562" i="3"/>
  <c r="Q562" i="3"/>
  <c r="M562" i="3"/>
  <c r="L562" i="3"/>
  <c r="A562" i="3"/>
  <c r="W561" i="3"/>
  <c r="T561" i="3"/>
  <c r="Q561" i="3"/>
  <c r="M561" i="3"/>
  <c r="L561" i="3"/>
  <c r="A561" i="3"/>
  <c r="W560" i="3"/>
  <c r="T560" i="3"/>
  <c r="Q560" i="3"/>
  <c r="M560" i="3"/>
  <c r="L560" i="3"/>
  <c r="A560" i="3"/>
  <c r="W559" i="3"/>
  <c r="T559" i="3"/>
  <c r="Q559" i="3"/>
  <c r="M559" i="3"/>
  <c r="L559" i="3"/>
  <c r="A559" i="3"/>
  <c r="W558" i="3"/>
  <c r="T558" i="3"/>
  <c r="Q558" i="3"/>
  <c r="M558" i="3"/>
  <c r="L558" i="3"/>
  <c r="A558" i="3"/>
  <c r="W557" i="3"/>
  <c r="T557" i="3"/>
  <c r="Q557" i="3"/>
  <c r="M557" i="3"/>
  <c r="L557" i="3"/>
  <c r="A557" i="3"/>
  <c r="W556" i="3"/>
  <c r="T556" i="3"/>
  <c r="Q556" i="3"/>
  <c r="M556" i="3"/>
  <c r="L556" i="3"/>
  <c r="A556" i="3"/>
  <c r="W555" i="3"/>
  <c r="T555" i="3"/>
  <c r="Q555" i="3"/>
  <c r="O555" i="3"/>
  <c r="M555" i="3"/>
  <c r="L555" i="3"/>
  <c r="A555" i="3"/>
  <c r="W554" i="3"/>
  <c r="T554" i="3"/>
  <c r="Q554" i="3"/>
  <c r="O554" i="3"/>
  <c r="M554" i="3"/>
  <c r="L554" i="3"/>
  <c r="A554" i="3"/>
  <c r="W553" i="3"/>
  <c r="T553" i="3"/>
  <c r="Q553" i="3"/>
  <c r="O553" i="3"/>
  <c r="M553" i="3"/>
  <c r="L553" i="3"/>
  <c r="A553" i="3"/>
  <c r="W552" i="3"/>
  <c r="T552" i="3"/>
  <c r="Q552" i="3"/>
  <c r="O552" i="3"/>
  <c r="M552" i="3"/>
  <c r="L552" i="3"/>
  <c r="A552" i="3"/>
  <c r="W551" i="3"/>
  <c r="T551" i="3"/>
  <c r="Q551" i="3"/>
  <c r="O551" i="3"/>
  <c r="M551" i="3"/>
  <c r="L551" i="3"/>
  <c r="A551" i="3"/>
  <c r="W550" i="3"/>
  <c r="T550" i="3"/>
  <c r="Q550" i="3"/>
  <c r="O550" i="3"/>
  <c r="M550" i="3"/>
  <c r="L550" i="3"/>
  <c r="A550" i="3"/>
  <c r="W549" i="3"/>
  <c r="T549" i="3"/>
  <c r="Q549" i="3"/>
  <c r="O549" i="3"/>
  <c r="M549" i="3"/>
  <c r="L549" i="3"/>
  <c r="A549" i="3"/>
  <c r="W548" i="3"/>
  <c r="T548" i="3"/>
  <c r="Q548" i="3"/>
  <c r="O548" i="3"/>
  <c r="M548" i="3"/>
  <c r="L548" i="3"/>
  <c r="A548" i="3"/>
  <c r="W547" i="3"/>
  <c r="T547" i="3"/>
  <c r="Q547" i="3"/>
  <c r="O547" i="3"/>
  <c r="M547" i="3"/>
  <c r="L547" i="3"/>
  <c r="A547" i="3"/>
  <c r="W546" i="3"/>
  <c r="T546" i="3"/>
  <c r="Q546" i="3"/>
  <c r="O546" i="3"/>
  <c r="M546" i="3"/>
  <c r="L546" i="3"/>
  <c r="A546" i="3"/>
  <c r="W545" i="3"/>
  <c r="T545" i="3"/>
  <c r="Q545" i="3"/>
  <c r="O545" i="3"/>
  <c r="M545" i="3"/>
  <c r="L545" i="3"/>
  <c r="A545" i="3"/>
  <c r="W544" i="3"/>
  <c r="T544" i="3"/>
  <c r="Q544" i="3"/>
  <c r="O544" i="3"/>
  <c r="M544" i="3"/>
  <c r="L544" i="3"/>
  <c r="A544" i="3"/>
  <c r="W543" i="3"/>
  <c r="T543" i="3"/>
  <c r="Q543" i="3"/>
  <c r="O543" i="3"/>
  <c r="M543" i="3"/>
  <c r="L543" i="3"/>
  <c r="A543" i="3"/>
  <c r="W542" i="3"/>
  <c r="T542" i="3"/>
  <c r="Q542" i="3"/>
  <c r="O542" i="3"/>
  <c r="M542" i="3"/>
  <c r="L542" i="3"/>
  <c r="A542" i="3"/>
  <c r="W541" i="3"/>
  <c r="T541" i="3"/>
  <c r="Q541" i="3"/>
  <c r="O541" i="3"/>
  <c r="M541" i="3"/>
  <c r="L541" i="3"/>
  <c r="A541" i="3"/>
  <c r="W540" i="3"/>
  <c r="T540" i="3"/>
  <c r="Q540" i="3"/>
  <c r="O540" i="3"/>
  <c r="M540" i="3"/>
  <c r="L540" i="3"/>
  <c r="A540" i="3"/>
  <c r="W539" i="3"/>
  <c r="T539" i="3"/>
  <c r="Q539" i="3"/>
  <c r="O539" i="3"/>
  <c r="M539" i="3"/>
  <c r="L539" i="3"/>
  <c r="A539" i="3"/>
  <c r="W538" i="3"/>
  <c r="T538" i="3"/>
  <c r="Q538" i="3"/>
  <c r="O538" i="3"/>
  <c r="M538" i="3"/>
  <c r="L538" i="3"/>
  <c r="A538" i="3"/>
  <c r="W537" i="3"/>
  <c r="T537" i="3"/>
  <c r="Q537" i="3"/>
  <c r="O537" i="3"/>
  <c r="M537" i="3"/>
  <c r="L537" i="3"/>
  <c r="A537" i="3"/>
  <c r="W536" i="3"/>
  <c r="T536" i="3"/>
  <c r="Q536" i="3"/>
  <c r="O536" i="3"/>
  <c r="M536" i="3"/>
  <c r="L536" i="3"/>
  <c r="A536" i="3"/>
  <c r="W535" i="3"/>
  <c r="T535" i="3"/>
  <c r="Q535" i="3"/>
  <c r="O535" i="3"/>
  <c r="M535" i="3"/>
  <c r="L535" i="3"/>
  <c r="A535" i="3"/>
  <c r="W534" i="3"/>
  <c r="T534" i="3"/>
  <c r="Q534" i="3"/>
  <c r="O534" i="3"/>
  <c r="M534" i="3"/>
  <c r="L534" i="3"/>
  <c r="A534" i="3"/>
  <c r="W533" i="3"/>
  <c r="T533" i="3"/>
  <c r="Q533" i="3"/>
  <c r="O533" i="3"/>
  <c r="M533" i="3"/>
  <c r="L533" i="3"/>
  <c r="A533" i="3"/>
  <c r="W532" i="3"/>
  <c r="T532" i="3"/>
  <c r="Q532" i="3"/>
  <c r="O532" i="3"/>
  <c r="M532" i="3"/>
  <c r="L532" i="3"/>
  <c r="A532" i="3"/>
  <c r="W531" i="3"/>
  <c r="T531" i="3"/>
  <c r="Q531" i="3"/>
  <c r="O531" i="3"/>
  <c r="M531" i="3"/>
  <c r="L531" i="3"/>
  <c r="A531" i="3"/>
  <c r="W530" i="3"/>
  <c r="T530" i="3"/>
  <c r="Q530" i="3"/>
  <c r="O530" i="3"/>
  <c r="M530" i="3"/>
  <c r="L530" i="3"/>
  <c r="A530" i="3"/>
  <c r="W529" i="3"/>
  <c r="T529" i="3"/>
  <c r="Q529" i="3"/>
  <c r="O529" i="3"/>
  <c r="M529" i="3"/>
  <c r="L529" i="3"/>
  <c r="A529" i="3"/>
  <c r="W528" i="3"/>
  <c r="T528" i="3"/>
  <c r="Q528" i="3"/>
  <c r="O528" i="3"/>
  <c r="M528" i="3"/>
  <c r="L528" i="3"/>
  <c r="A528" i="3"/>
  <c r="W527" i="3"/>
  <c r="T527" i="3"/>
  <c r="Q527" i="3"/>
  <c r="O527" i="3"/>
  <c r="M527" i="3"/>
  <c r="L527" i="3"/>
  <c r="A527" i="3"/>
  <c r="W526" i="3"/>
  <c r="T526" i="3"/>
  <c r="Q526" i="3"/>
  <c r="O526" i="3"/>
  <c r="M526" i="3"/>
  <c r="L526" i="3"/>
  <c r="A526" i="3"/>
  <c r="W525" i="3"/>
  <c r="T525" i="3"/>
  <c r="Q525" i="3"/>
  <c r="O525" i="3"/>
  <c r="M525" i="3"/>
  <c r="L525" i="3"/>
  <c r="A525" i="3"/>
  <c r="W524" i="3"/>
  <c r="T524" i="3"/>
  <c r="Q524" i="3"/>
  <c r="O524" i="3"/>
  <c r="M524" i="3"/>
  <c r="L524" i="3"/>
  <c r="A524" i="3"/>
  <c r="W523" i="3"/>
  <c r="T523" i="3"/>
  <c r="Q523" i="3"/>
  <c r="O523" i="3"/>
  <c r="M523" i="3"/>
  <c r="L523" i="3"/>
  <c r="A523" i="3"/>
  <c r="W522" i="3"/>
  <c r="T522" i="3"/>
  <c r="Q522" i="3"/>
  <c r="O522" i="3"/>
  <c r="M522" i="3"/>
  <c r="L522" i="3"/>
  <c r="A522" i="3"/>
  <c r="W521" i="3"/>
  <c r="T521" i="3"/>
  <c r="Q521" i="3"/>
  <c r="O521" i="3"/>
  <c r="M521" i="3"/>
  <c r="L521" i="3"/>
  <c r="A521" i="3"/>
  <c r="W520" i="3"/>
  <c r="T520" i="3"/>
  <c r="Q520" i="3"/>
  <c r="O520" i="3"/>
  <c r="M520" i="3"/>
  <c r="L520" i="3"/>
  <c r="A520" i="3"/>
  <c r="W519" i="3"/>
  <c r="T519" i="3"/>
  <c r="Q519" i="3"/>
  <c r="O519" i="3"/>
  <c r="M519" i="3"/>
  <c r="L519" i="3"/>
  <c r="A519" i="3"/>
  <c r="W518" i="3"/>
  <c r="T518" i="3"/>
  <c r="Q518" i="3"/>
  <c r="O518" i="3"/>
  <c r="N518" i="3"/>
  <c r="M518" i="3"/>
  <c r="L518" i="3"/>
  <c r="A518" i="3"/>
  <c r="W517" i="3"/>
  <c r="T517" i="3"/>
  <c r="Q517" i="3"/>
  <c r="O517" i="3"/>
  <c r="N517" i="3"/>
  <c r="M517" i="3"/>
  <c r="L517" i="3"/>
  <c r="A517" i="3"/>
  <c r="W516" i="3"/>
  <c r="T516" i="3"/>
  <c r="Q516" i="3"/>
  <c r="O516" i="3"/>
  <c r="N516" i="3"/>
  <c r="M516" i="3"/>
  <c r="L516" i="3"/>
  <c r="A516" i="3"/>
  <c r="W515" i="3"/>
  <c r="T515" i="3"/>
  <c r="Q515" i="3"/>
  <c r="O515" i="3"/>
  <c r="N515" i="3"/>
  <c r="M515" i="3"/>
  <c r="L515" i="3"/>
  <c r="A515" i="3"/>
  <c r="W514" i="3"/>
  <c r="T514" i="3"/>
  <c r="Q514" i="3"/>
  <c r="O514" i="3"/>
  <c r="N514" i="3"/>
  <c r="M514" i="3"/>
  <c r="L514" i="3"/>
  <c r="A514" i="3"/>
  <c r="W513" i="3"/>
  <c r="T513" i="3"/>
  <c r="Q513" i="3"/>
  <c r="O513" i="3"/>
  <c r="N513" i="3"/>
  <c r="M513" i="3"/>
  <c r="L513" i="3"/>
  <c r="A513" i="3"/>
  <c r="W512" i="3"/>
  <c r="T512" i="3"/>
  <c r="Q512" i="3"/>
  <c r="O512" i="3"/>
  <c r="N512" i="3"/>
  <c r="M512" i="3"/>
  <c r="L512" i="3"/>
  <c r="A512" i="3"/>
  <c r="W511" i="3"/>
  <c r="T511" i="3"/>
  <c r="Q511" i="3"/>
  <c r="O511" i="3"/>
  <c r="N511" i="3"/>
  <c r="M511" i="3"/>
  <c r="L511" i="3"/>
  <c r="A511" i="3"/>
  <c r="W510" i="3"/>
  <c r="T510" i="3"/>
  <c r="Q510" i="3"/>
  <c r="O510" i="3"/>
  <c r="N510" i="3"/>
  <c r="M510" i="3"/>
  <c r="L510" i="3"/>
  <c r="A510" i="3"/>
  <c r="W509" i="3"/>
  <c r="T509" i="3"/>
  <c r="S509" i="3"/>
  <c r="Q509" i="3"/>
  <c r="O509" i="3"/>
  <c r="N509" i="3"/>
  <c r="M509" i="3"/>
  <c r="L509" i="3"/>
  <c r="A509" i="3"/>
  <c r="W508" i="3"/>
  <c r="T508" i="3"/>
  <c r="S508" i="3"/>
  <c r="Q508" i="3"/>
  <c r="O508" i="3"/>
  <c r="N508" i="3"/>
  <c r="M508" i="3"/>
  <c r="L508" i="3"/>
  <c r="A508" i="3"/>
  <c r="W507" i="3"/>
  <c r="T507" i="3"/>
  <c r="S507" i="3"/>
  <c r="Q507" i="3"/>
  <c r="O507" i="3"/>
  <c r="N507" i="3"/>
  <c r="M507" i="3"/>
  <c r="L507" i="3"/>
  <c r="A507" i="3"/>
  <c r="W506" i="3"/>
  <c r="T506" i="3"/>
  <c r="S506" i="3"/>
  <c r="Q506" i="3"/>
  <c r="O506" i="3"/>
  <c r="N506" i="3"/>
  <c r="M506" i="3"/>
  <c r="L506" i="3"/>
  <c r="A506" i="3"/>
  <c r="W505" i="3"/>
  <c r="T505" i="3"/>
  <c r="S505" i="3"/>
  <c r="Q505" i="3"/>
  <c r="O505" i="3"/>
  <c r="N505" i="3"/>
  <c r="M505" i="3"/>
  <c r="L505" i="3"/>
  <c r="A505" i="3"/>
  <c r="W504" i="3"/>
  <c r="T504" i="3"/>
  <c r="S504" i="3"/>
  <c r="Q504" i="3"/>
  <c r="O504" i="3"/>
  <c r="N504" i="3"/>
  <c r="M504" i="3"/>
  <c r="L504" i="3"/>
  <c r="A504" i="3"/>
  <c r="X503" i="3"/>
  <c r="W503" i="3"/>
  <c r="T503" i="3"/>
  <c r="S503" i="3"/>
  <c r="Q503" i="3"/>
  <c r="O503" i="3"/>
  <c r="N503" i="3"/>
  <c r="M503" i="3"/>
  <c r="L503" i="3"/>
  <c r="A503" i="3"/>
  <c r="X502" i="3"/>
  <c r="W502" i="3"/>
  <c r="T502" i="3"/>
  <c r="S502" i="3"/>
  <c r="Q502" i="3"/>
  <c r="O502" i="3"/>
  <c r="N502" i="3"/>
  <c r="M502" i="3"/>
  <c r="L502" i="3"/>
  <c r="A502" i="3"/>
  <c r="X501" i="3"/>
  <c r="W501" i="3"/>
  <c r="T501" i="3"/>
  <c r="S501" i="3"/>
  <c r="Q501" i="3"/>
  <c r="O501" i="3"/>
  <c r="N501" i="3"/>
  <c r="M501" i="3"/>
  <c r="L501" i="3"/>
  <c r="A501" i="3"/>
  <c r="X500" i="3"/>
  <c r="W500" i="3"/>
  <c r="T500" i="3"/>
  <c r="S500" i="3"/>
  <c r="Q500" i="3"/>
  <c r="O500" i="3"/>
  <c r="N500" i="3"/>
  <c r="M500" i="3"/>
  <c r="L500" i="3"/>
  <c r="A500" i="3"/>
  <c r="X499" i="3"/>
  <c r="W499" i="3"/>
  <c r="T499" i="3"/>
  <c r="S499" i="3"/>
  <c r="Q499" i="3"/>
  <c r="O499" i="3"/>
  <c r="N499" i="3"/>
  <c r="M499" i="3"/>
  <c r="L499" i="3"/>
  <c r="A499" i="3"/>
  <c r="X498" i="3"/>
  <c r="W498" i="3"/>
  <c r="T498" i="3"/>
  <c r="S498" i="3"/>
  <c r="Q498" i="3"/>
  <c r="O498" i="3"/>
  <c r="N498" i="3"/>
  <c r="M498" i="3"/>
  <c r="L498" i="3"/>
  <c r="A498" i="3"/>
  <c r="X497" i="3"/>
  <c r="W497" i="3"/>
  <c r="T497" i="3"/>
  <c r="S497" i="3"/>
  <c r="Q497" i="3"/>
  <c r="O497" i="3"/>
  <c r="N497" i="3"/>
  <c r="M497" i="3"/>
  <c r="L497" i="3"/>
  <c r="A497" i="3"/>
  <c r="X496" i="3"/>
  <c r="W496" i="3"/>
  <c r="T496" i="3"/>
  <c r="S496" i="3"/>
  <c r="Q496" i="3"/>
  <c r="O496" i="3"/>
  <c r="N496" i="3"/>
  <c r="M496" i="3"/>
  <c r="L496" i="3"/>
  <c r="A496" i="3"/>
  <c r="X495" i="3"/>
  <c r="W495" i="3"/>
  <c r="T495" i="3"/>
  <c r="S495" i="3"/>
  <c r="Q495" i="3"/>
  <c r="O495" i="3"/>
  <c r="N495" i="3"/>
  <c r="M495" i="3"/>
  <c r="L495" i="3"/>
  <c r="A495" i="3"/>
  <c r="X494" i="3"/>
  <c r="W494" i="3"/>
  <c r="T494" i="3"/>
  <c r="S494" i="3"/>
  <c r="Q494" i="3"/>
  <c r="O494" i="3"/>
  <c r="N494" i="3"/>
  <c r="M494" i="3"/>
  <c r="L494" i="3"/>
  <c r="A494" i="3"/>
  <c r="X493" i="3"/>
  <c r="W493" i="3"/>
  <c r="T493" i="3"/>
  <c r="S493" i="3"/>
  <c r="Q493" i="3"/>
  <c r="O493" i="3"/>
  <c r="N493" i="3"/>
  <c r="M493" i="3"/>
  <c r="L493" i="3"/>
  <c r="A493" i="3"/>
  <c r="X492" i="3"/>
  <c r="W492" i="3"/>
  <c r="T492" i="3"/>
  <c r="S492" i="3"/>
  <c r="Q492" i="3"/>
  <c r="O492" i="3"/>
  <c r="N492" i="3"/>
  <c r="M492" i="3"/>
  <c r="L492" i="3"/>
  <c r="A492" i="3"/>
  <c r="X491" i="3"/>
  <c r="W491" i="3"/>
  <c r="T491" i="3"/>
  <c r="S491" i="3"/>
  <c r="Q491" i="3"/>
  <c r="O491" i="3"/>
  <c r="N491" i="3"/>
  <c r="M491" i="3"/>
  <c r="L491" i="3"/>
  <c r="A491" i="3"/>
  <c r="X490" i="3"/>
  <c r="W490" i="3"/>
  <c r="T490" i="3"/>
  <c r="S490" i="3"/>
  <c r="Q490" i="3"/>
  <c r="O490" i="3"/>
  <c r="N490" i="3"/>
  <c r="M490" i="3"/>
  <c r="L490" i="3"/>
  <c r="A490" i="3"/>
  <c r="X489" i="3"/>
  <c r="W489" i="3"/>
  <c r="T489" i="3"/>
  <c r="S489" i="3"/>
  <c r="Q489" i="3"/>
  <c r="O489" i="3"/>
  <c r="N489" i="3"/>
  <c r="M489" i="3"/>
  <c r="L489" i="3"/>
  <c r="A489" i="3"/>
  <c r="X488" i="3"/>
  <c r="W488" i="3"/>
  <c r="T488" i="3"/>
  <c r="S488" i="3"/>
  <c r="Q488" i="3"/>
  <c r="O488" i="3"/>
  <c r="N488" i="3"/>
  <c r="M488" i="3"/>
  <c r="L488" i="3"/>
  <c r="A488" i="3"/>
  <c r="X487" i="3"/>
  <c r="W487" i="3"/>
  <c r="T487" i="3"/>
  <c r="S487" i="3"/>
  <c r="Q487" i="3"/>
  <c r="O487" i="3"/>
  <c r="N487" i="3"/>
  <c r="M487" i="3"/>
  <c r="L487" i="3"/>
  <c r="A487" i="3"/>
  <c r="X486" i="3"/>
  <c r="W486" i="3"/>
  <c r="T486" i="3"/>
  <c r="S486" i="3"/>
  <c r="Q486" i="3"/>
  <c r="O486" i="3"/>
  <c r="N486" i="3"/>
  <c r="M486" i="3"/>
  <c r="L486" i="3"/>
  <c r="A486" i="3"/>
  <c r="X485" i="3"/>
  <c r="W485" i="3"/>
  <c r="T485" i="3"/>
  <c r="S485" i="3"/>
  <c r="Q485" i="3"/>
  <c r="O485" i="3"/>
  <c r="N485" i="3"/>
  <c r="M485" i="3"/>
  <c r="L485" i="3"/>
  <c r="A485" i="3"/>
  <c r="X484" i="3"/>
  <c r="W484" i="3"/>
  <c r="T484" i="3"/>
  <c r="S484" i="3"/>
  <c r="Q484" i="3"/>
  <c r="O484" i="3"/>
  <c r="N484" i="3"/>
  <c r="M484" i="3"/>
  <c r="L484" i="3"/>
  <c r="A484" i="3"/>
  <c r="X483" i="3"/>
  <c r="W483" i="3"/>
  <c r="T483" i="3"/>
  <c r="S483" i="3"/>
  <c r="Q483" i="3"/>
  <c r="O483" i="3"/>
  <c r="N483" i="3"/>
  <c r="M483" i="3"/>
  <c r="L483" i="3"/>
  <c r="A483" i="3"/>
  <c r="X482" i="3"/>
  <c r="W482" i="3"/>
  <c r="T482" i="3"/>
  <c r="S482" i="3"/>
  <c r="Q482" i="3"/>
  <c r="O482" i="3"/>
  <c r="N482" i="3"/>
  <c r="M482" i="3"/>
  <c r="L482" i="3"/>
  <c r="A482" i="3"/>
  <c r="X481" i="3"/>
  <c r="W481" i="3"/>
  <c r="T481" i="3"/>
  <c r="S481" i="3"/>
  <c r="Q481" i="3"/>
  <c r="O481" i="3"/>
  <c r="N481" i="3"/>
  <c r="M481" i="3"/>
  <c r="L481" i="3"/>
  <c r="A481" i="3"/>
  <c r="X480" i="3"/>
  <c r="W480" i="3"/>
  <c r="T480" i="3"/>
  <c r="S480" i="3"/>
  <c r="Q480" i="3"/>
  <c r="O480" i="3"/>
  <c r="N480" i="3"/>
  <c r="M480" i="3"/>
  <c r="L480" i="3"/>
  <c r="A480" i="3"/>
  <c r="X479" i="3"/>
  <c r="W479" i="3"/>
  <c r="T479" i="3"/>
  <c r="S479" i="3"/>
  <c r="Q479" i="3"/>
  <c r="O479" i="3"/>
  <c r="N479" i="3"/>
  <c r="M479" i="3"/>
  <c r="L479" i="3"/>
  <c r="A479" i="3"/>
  <c r="X478" i="3"/>
  <c r="W478" i="3"/>
  <c r="T478" i="3"/>
  <c r="S478" i="3"/>
  <c r="Q478" i="3"/>
  <c r="O478" i="3"/>
  <c r="N478" i="3"/>
  <c r="M478" i="3"/>
  <c r="L478" i="3"/>
  <c r="A478" i="3"/>
  <c r="X477" i="3"/>
  <c r="W477" i="3"/>
  <c r="T477" i="3"/>
  <c r="S477" i="3"/>
  <c r="Q477" i="3"/>
  <c r="O477" i="3"/>
  <c r="N477" i="3"/>
  <c r="M477" i="3"/>
  <c r="L477" i="3"/>
  <c r="A477" i="3"/>
  <c r="X476" i="3"/>
  <c r="W476" i="3"/>
  <c r="V476" i="3"/>
  <c r="T476" i="3"/>
  <c r="S476" i="3"/>
  <c r="Q476" i="3"/>
  <c r="O476" i="3"/>
  <c r="N476" i="3"/>
  <c r="M476" i="3"/>
  <c r="L476" i="3"/>
  <c r="A476" i="3"/>
  <c r="X475" i="3"/>
  <c r="W475" i="3"/>
  <c r="V475" i="3"/>
  <c r="T475" i="3"/>
  <c r="S475" i="3"/>
  <c r="Q475" i="3"/>
  <c r="O475" i="3"/>
  <c r="N475" i="3"/>
  <c r="M475" i="3"/>
  <c r="L475" i="3"/>
  <c r="A475" i="3"/>
  <c r="X474" i="3"/>
  <c r="W474" i="3"/>
  <c r="V474" i="3"/>
  <c r="T474" i="3"/>
  <c r="S474" i="3"/>
  <c r="Q474" i="3"/>
  <c r="O474" i="3"/>
  <c r="N474" i="3"/>
  <c r="M474" i="3"/>
  <c r="L474" i="3"/>
  <c r="A474" i="3"/>
  <c r="X473" i="3"/>
  <c r="W473" i="3"/>
  <c r="V473" i="3"/>
  <c r="T473" i="3"/>
  <c r="S473" i="3"/>
  <c r="Q473" i="3"/>
  <c r="O473" i="3"/>
  <c r="N473" i="3"/>
  <c r="M473" i="3"/>
  <c r="L473" i="3"/>
  <c r="A473" i="3"/>
  <c r="X472" i="3"/>
  <c r="W472" i="3"/>
  <c r="V472" i="3"/>
  <c r="T472" i="3"/>
  <c r="S472" i="3"/>
  <c r="Q472" i="3"/>
  <c r="O472" i="3"/>
  <c r="N472" i="3"/>
  <c r="M472" i="3"/>
  <c r="L472" i="3"/>
  <c r="A472" i="3"/>
  <c r="X471" i="3"/>
  <c r="W471" i="3"/>
  <c r="V471" i="3"/>
  <c r="T471" i="3"/>
  <c r="S471" i="3"/>
  <c r="Q471" i="3"/>
  <c r="O471" i="3"/>
  <c r="N471" i="3"/>
  <c r="M471" i="3"/>
  <c r="L471" i="3"/>
  <c r="A471" i="3"/>
  <c r="X470" i="3"/>
  <c r="W470" i="3"/>
  <c r="V470" i="3"/>
  <c r="T470" i="3"/>
  <c r="S470" i="3"/>
  <c r="Q470" i="3"/>
  <c r="O470" i="3"/>
  <c r="N470" i="3"/>
  <c r="M470" i="3"/>
  <c r="L470" i="3"/>
  <c r="A470" i="3"/>
  <c r="X469" i="3"/>
  <c r="W469" i="3"/>
  <c r="V469" i="3"/>
  <c r="T469" i="3"/>
  <c r="S469" i="3"/>
  <c r="Q469" i="3"/>
  <c r="O469" i="3"/>
  <c r="N469" i="3"/>
  <c r="M469" i="3"/>
  <c r="L469" i="3"/>
  <c r="A469" i="3"/>
  <c r="X468" i="3"/>
  <c r="W468" i="3"/>
  <c r="V468" i="3"/>
  <c r="T468" i="3"/>
  <c r="S468" i="3"/>
  <c r="Q468" i="3"/>
  <c r="O468" i="3"/>
  <c r="N468" i="3"/>
  <c r="M468" i="3"/>
  <c r="L468" i="3"/>
  <c r="A468" i="3"/>
  <c r="X467" i="3"/>
  <c r="W467" i="3"/>
  <c r="V467" i="3"/>
  <c r="T467" i="3"/>
  <c r="S467" i="3"/>
  <c r="Q467" i="3"/>
  <c r="O467" i="3"/>
  <c r="N467" i="3"/>
  <c r="M467" i="3"/>
  <c r="L467" i="3"/>
  <c r="A467" i="3"/>
  <c r="X466" i="3"/>
  <c r="W466" i="3"/>
  <c r="V466" i="3"/>
  <c r="T466" i="3"/>
  <c r="S466" i="3"/>
  <c r="Q466" i="3"/>
  <c r="O466" i="3"/>
  <c r="N466" i="3"/>
  <c r="M466" i="3"/>
  <c r="L466" i="3"/>
  <c r="A466" i="3"/>
  <c r="X465" i="3"/>
  <c r="W465" i="3"/>
  <c r="V465" i="3"/>
  <c r="T465" i="3"/>
  <c r="S465" i="3"/>
  <c r="Q465" i="3"/>
  <c r="O465" i="3"/>
  <c r="N465" i="3"/>
  <c r="M465" i="3"/>
  <c r="L465" i="3"/>
  <c r="A465" i="3"/>
  <c r="X464" i="3"/>
  <c r="W464" i="3"/>
  <c r="V464" i="3"/>
  <c r="T464" i="3"/>
  <c r="S464" i="3"/>
  <c r="Q464" i="3"/>
  <c r="O464" i="3"/>
  <c r="N464" i="3"/>
  <c r="M464" i="3"/>
  <c r="L464" i="3"/>
  <c r="A464" i="3"/>
  <c r="X463" i="3"/>
  <c r="W463" i="3"/>
  <c r="V463" i="3"/>
  <c r="T463" i="3"/>
  <c r="S463" i="3"/>
  <c r="Q463" i="3"/>
  <c r="O463" i="3"/>
  <c r="N463" i="3"/>
  <c r="M463" i="3"/>
  <c r="L463" i="3"/>
  <c r="A463" i="3"/>
  <c r="X462" i="3"/>
  <c r="W462" i="3"/>
  <c r="V462" i="3"/>
  <c r="T462" i="3"/>
  <c r="S462" i="3"/>
  <c r="Q462" i="3"/>
  <c r="O462" i="3"/>
  <c r="N462" i="3"/>
  <c r="M462" i="3"/>
  <c r="L462" i="3"/>
  <c r="A462" i="3"/>
  <c r="X461" i="3"/>
  <c r="W461" i="3"/>
  <c r="V461" i="3"/>
  <c r="T461" i="3"/>
  <c r="S461" i="3"/>
  <c r="Q461" i="3"/>
  <c r="O461" i="3"/>
  <c r="N461" i="3"/>
  <c r="M461" i="3"/>
  <c r="L461" i="3"/>
  <c r="A461" i="3"/>
  <c r="X460" i="3"/>
  <c r="W460" i="3"/>
  <c r="V460" i="3"/>
  <c r="T460" i="3"/>
  <c r="S460" i="3"/>
  <c r="Q460" i="3"/>
  <c r="P460" i="3"/>
  <c r="O460" i="3"/>
  <c r="N460" i="3"/>
  <c r="M460" i="3"/>
  <c r="L460" i="3"/>
  <c r="A460" i="3"/>
  <c r="X459" i="3"/>
  <c r="W459" i="3"/>
  <c r="V459" i="3"/>
  <c r="T459" i="3"/>
  <c r="S459" i="3"/>
  <c r="Q459" i="3"/>
  <c r="P459" i="3"/>
  <c r="O459" i="3"/>
  <c r="N459" i="3"/>
  <c r="M459" i="3"/>
  <c r="L459" i="3"/>
  <c r="A459" i="3"/>
  <c r="X458" i="3"/>
  <c r="W458" i="3"/>
  <c r="V458" i="3"/>
  <c r="T458" i="3"/>
  <c r="S458" i="3"/>
  <c r="Q458" i="3"/>
  <c r="P458" i="3"/>
  <c r="O458" i="3"/>
  <c r="N458" i="3"/>
  <c r="M458" i="3"/>
  <c r="L458" i="3"/>
  <c r="A458" i="3"/>
  <c r="X457" i="3"/>
  <c r="W457" i="3"/>
  <c r="V457" i="3"/>
  <c r="T457" i="3"/>
  <c r="S457" i="3"/>
  <c r="Q457" i="3"/>
  <c r="P457" i="3"/>
  <c r="O457" i="3"/>
  <c r="N457" i="3"/>
  <c r="M457" i="3"/>
  <c r="L457" i="3"/>
  <c r="A457" i="3"/>
  <c r="X456" i="3"/>
  <c r="W456" i="3"/>
  <c r="V456" i="3"/>
  <c r="T456" i="3"/>
  <c r="S456" i="3"/>
  <c r="Q456" i="3"/>
  <c r="P456" i="3"/>
  <c r="O456" i="3"/>
  <c r="N456" i="3"/>
  <c r="M456" i="3"/>
  <c r="L456" i="3"/>
  <c r="A456" i="3"/>
  <c r="X455" i="3"/>
  <c r="W455" i="3"/>
  <c r="V455" i="3"/>
  <c r="T455" i="3"/>
  <c r="S455" i="3"/>
  <c r="Q455" i="3"/>
  <c r="P455" i="3"/>
  <c r="O455" i="3"/>
  <c r="N455" i="3"/>
  <c r="M455" i="3"/>
  <c r="L455" i="3"/>
  <c r="A455" i="3"/>
  <c r="X454" i="3"/>
  <c r="W454" i="3"/>
  <c r="V454" i="3"/>
  <c r="T454" i="3"/>
  <c r="S454" i="3"/>
  <c r="Q454" i="3"/>
  <c r="P454" i="3"/>
  <c r="O454" i="3"/>
  <c r="N454" i="3"/>
  <c r="M454" i="3"/>
  <c r="L454" i="3"/>
  <c r="A454" i="3"/>
  <c r="X453" i="3"/>
  <c r="W453" i="3"/>
  <c r="V453" i="3"/>
  <c r="T453" i="3"/>
  <c r="S453" i="3"/>
  <c r="Q453" i="3"/>
  <c r="P453" i="3"/>
  <c r="O453" i="3"/>
  <c r="N453" i="3"/>
  <c r="M453" i="3"/>
  <c r="L453" i="3"/>
  <c r="A453" i="3"/>
  <c r="X452" i="3"/>
  <c r="W452" i="3"/>
  <c r="V452" i="3"/>
  <c r="U452" i="3"/>
  <c r="T452" i="3"/>
  <c r="S452" i="3"/>
  <c r="R452" i="3"/>
  <c r="Q452" i="3"/>
  <c r="P452" i="3"/>
  <c r="O452" i="3"/>
  <c r="N452" i="3"/>
  <c r="M452" i="3"/>
  <c r="L452" i="3"/>
  <c r="A452" i="3"/>
  <c r="X451" i="3"/>
  <c r="W451" i="3"/>
  <c r="V451" i="3"/>
  <c r="U451" i="3"/>
  <c r="T451" i="3"/>
  <c r="S451" i="3"/>
  <c r="R451" i="3"/>
  <c r="Q451" i="3"/>
  <c r="P451" i="3"/>
  <c r="O451" i="3"/>
  <c r="N451" i="3"/>
  <c r="M451" i="3"/>
  <c r="L451" i="3"/>
  <c r="A451" i="3"/>
  <c r="X450" i="3"/>
  <c r="W450" i="3"/>
  <c r="V450" i="3"/>
  <c r="U450" i="3"/>
  <c r="T450" i="3"/>
  <c r="S450" i="3"/>
  <c r="R450" i="3"/>
  <c r="Q450" i="3"/>
  <c r="P450" i="3"/>
  <c r="O450" i="3"/>
  <c r="N450" i="3"/>
  <c r="M450" i="3"/>
  <c r="L450" i="3"/>
  <c r="A450" i="3"/>
  <c r="X449" i="3"/>
  <c r="W449" i="3"/>
  <c r="V449" i="3"/>
  <c r="U449" i="3"/>
  <c r="T449" i="3"/>
  <c r="S449" i="3"/>
  <c r="R449" i="3"/>
  <c r="Q449" i="3"/>
  <c r="P449" i="3"/>
  <c r="O449" i="3"/>
  <c r="N449" i="3"/>
  <c r="M449" i="3"/>
  <c r="L449" i="3"/>
  <c r="A449" i="3"/>
  <c r="X448" i="3"/>
  <c r="W448" i="3"/>
  <c r="V448" i="3"/>
  <c r="U448" i="3"/>
  <c r="T448" i="3"/>
  <c r="S448" i="3"/>
  <c r="R448" i="3"/>
  <c r="Q448" i="3"/>
  <c r="P448" i="3"/>
  <c r="O448" i="3"/>
  <c r="N448" i="3"/>
  <c r="M448" i="3"/>
  <c r="L448" i="3"/>
  <c r="A448" i="3"/>
  <c r="X447" i="3"/>
  <c r="W447" i="3"/>
  <c r="V447" i="3"/>
  <c r="U447" i="3"/>
  <c r="T447" i="3"/>
  <c r="S447" i="3"/>
  <c r="R447" i="3"/>
  <c r="Q447" i="3"/>
  <c r="P447" i="3"/>
  <c r="O447" i="3"/>
  <c r="N447" i="3"/>
  <c r="M447" i="3"/>
  <c r="L447" i="3"/>
  <c r="A447" i="3"/>
  <c r="X446" i="3"/>
  <c r="W446" i="3"/>
  <c r="V446" i="3"/>
  <c r="U446" i="3"/>
  <c r="T446" i="3"/>
  <c r="S446" i="3"/>
  <c r="R446" i="3"/>
  <c r="Q446" i="3"/>
  <c r="P446" i="3"/>
  <c r="O446" i="3"/>
  <c r="N446" i="3"/>
  <c r="M446" i="3"/>
  <c r="L446" i="3"/>
  <c r="A446" i="3"/>
  <c r="X445" i="3"/>
  <c r="W445" i="3"/>
  <c r="V445" i="3"/>
  <c r="U445" i="3"/>
  <c r="T445" i="3"/>
  <c r="S445" i="3"/>
  <c r="R445" i="3"/>
  <c r="Q445" i="3"/>
  <c r="P445" i="3"/>
  <c r="O445" i="3"/>
  <c r="N445" i="3"/>
  <c r="M445" i="3"/>
  <c r="L445" i="3"/>
  <c r="A445" i="3"/>
  <c r="X444" i="3"/>
  <c r="W444" i="3"/>
  <c r="V444" i="3"/>
  <c r="U444" i="3"/>
  <c r="T444" i="3"/>
  <c r="S444" i="3"/>
  <c r="R444" i="3"/>
  <c r="Q444" i="3"/>
  <c r="P444" i="3"/>
  <c r="O444" i="3"/>
  <c r="N444" i="3"/>
  <c r="M444" i="3"/>
  <c r="L444" i="3"/>
  <c r="A444" i="3"/>
  <c r="X443" i="3"/>
  <c r="W443" i="3"/>
  <c r="V443" i="3"/>
  <c r="U443" i="3"/>
  <c r="T443" i="3"/>
  <c r="S443" i="3"/>
  <c r="R443" i="3"/>
  <c r="Q443" i="3"/>
  <c r="P443" i="3"/>
  <c r="O443" i="3"/>
  <c r="N443" i="3"/>
  <c r="M443" i="3"/>
  <c r="L443" i="3"/>
  <c r="A443" i="3"/>
  <c r="X442" i="3"/>
  <c r="W442" i="3"/>
  <c r="V442" i="3"/>
  <c r="U442" i="3"/>
  <c r="T442" i="3"/>
  <c r="S442" i="3"/>
  <c r="R442" i="3"/>
  <c r="Q442" i="3"/>
  <c r="P442" i="3"/>
  <c r="O442" i="3"/>
  <c r="N442" i="3"/>
  <c r="M442" i="3"/>
  <c r="L442" i="3"/>
  <c r="A442" i="3"/>
  <c r="X441" i="3"/>
  <c r="W441" i="3"/>
  <c r="V441" i="3"/>
  <c r="U441" i="3"/>
  <c r="T441" i="3"/>
  <c r="S441" i="3"/>
  <c r="R441" i="3"/>
  <c r="Q441" i="3"/>
  <c r="P441" i="3"/>
  <c r="O441" i="3"/>
  <c r="N441" i="3"/>
  <c r="M441" i="3"/>
  <c r="L441" i="3"/>
  <c r="A441" i="3"/>
  <c r="X440" i="3"/>
  <c r="W440" i="3"/>
  <c r="V440" i="3"/>
  <c r="U440" i="3"/>
  <c r="T440" i="3"/>
  <c r="S440" i="3"/>
  <c r="R440" i="3"/>
  <c r="Q440" i="3"/>
  <c r="P440" i="3"/>
  <c r="O440" i="3"/>
  <c r="N440" i="3"/>
  <c r="M440" i="3"/>
  <c r="L440" i="3"/>
  <c r="A440" i="3"/>
  <c r="X439" i="3"/>
  <c r="W439" i="3"/>
  <c r="V439" i="3"/>
  <c r="U439" i="3"/>
  <c r="T439" i="3"/>
  <c r="S439" i="3"/>
  <c r="R439" i="3"/>
  <c r="Q439" i="3"/>
  <c r="P439" i="3"/>
  <c r="O439" i="3"/>
  <c r="N439" i="3"/>
  <c r="M439" i="3"/>
  <c r="L439" i="3"/>
  <c r="A439" i="3"/>
  <c r="X438" i="3"/>
  <c r="W438" i="3"/>
  <c r="V438" i="3"/>
  <c r="U438" i="3"/>
  <c r="T438" i="3"/>
  <c r="S438" i="3"/>
  <c r="R438" i="3"/>
  <c r="Q438" i="3"/>
  <c r="P438" i="3"/>
  <c r="O438" i="3"/>
  <c r="N438" i="3"/>
  <c r="M438" i="3"/>
  <c r="L438" i="3"/>
  <c r="A438" i="3"/>
  <c r="X437" i="3"/>
  <c r="W437" i="3"/>
  <c r="V437" i="3"/>
  <c r="U437" i="3"/>
  <c r="T437" i="3"/>
  <c r="S437" i="3"/>
  <c r="R437" i="3"/>
  <c r="Q437" i="3"/>
  <c r="P437" i="3"/>
  <c r="O437" i="3"/>
  <c r="N437" i="3"/>
  <c r="M437" i="3"/>
  <c r="L437" i="3"/>
  <c r="A437" i="3"/>
  <c r="X436" i="3"/>
  <c r="W436" i="3"/>
  <c r="V436" i="3"/>
  <c r="U436" i="3"/>
  <c r="T436" i="3"/>
  <c r="S436" i="3"/>
  <c r="R436" i="3"/>
  <c r="Q436" i="3"/>
  <c r="P436" i="3"/>
  <c r="O436" i="3"/>
  <c r="N436" i="3"/>
  <c r="M436" i="3"/>
  <c r="L436" i="3"/>
  <c r="A436" i="3"/>
  <c r="X435" i="3"/>
  <c r="W435" i="3"/>
  <c r="V435" i="3"/>
  <c r="U435" i="3"/>
  <c r="T435" i="3"/>
  <c r="S435" i="3"/>
  <c r="R435" i="3"/>
  <c r="Q435" i="3"/>
  <c r="P435" i="3"/>
  <c r="O435" i="3"/>
  <c r="N435" i="3"/>
  <c r="M435" i="3"/>
  <c r="L435" i="3"/>
  <c r="A435" i="3"/>
  <c r="X434" i="3"/>
  <c r="W434" i="3"/>
  <c r="V434" i="3"/>
  <c r="U434" i="3"/>
  <c r="T434" i="3"/>
  <c r="S434" i="3"/>
  <c r="R434" i="3"/>
  <c r="Q434" i="3"/>
  <c r="P434" i="3"/>
  <c r="O434" i="3"/>
  <c r="N434" i="3"/>
  <c r="M434" i="3"/>
  <c r="L434" i="3"/>
  <c r="A434" i="3"/>
  <c r="X433" i="3"/>
  <c r="W433" i="3"/>
  <c r="V433" i="3"/>
  <c r="U433" i="3"/>
  <c r="T433" i="3"/>
  <c r="S433" i="3"/>
  <c r="R433" i="3"/>
  <c r="Q433" i="3"/>
  <c r="P433" i="3"/>
  <c r="O433" i="3"/>
  <c r="N433" i="3"/>
  <c r="M433" i="3"/>
  <c r="L433" i="3"/>
  <c r="A433" i="3"/>
  <c r="X432" i="3"/>
  <c r="W432" i="3"/>
  <c r="V432" i="3"/>
  <c r="U432" i="3"/>
  <c r="T432" i="3"/>
  <c r="S432" i="3"/>
  <c r="R432" i="3"/>
  <c r="Q432" i="3"/>
  <c r="P432" i="3"/>
  <c r="O432" i="3"/>
  <c r="N432" i="3"/>
  <c r="M432" i="3"/>
  <c r="L432" i="3"/>
  <c r="A432" i="3"/>
  <c r="X431" i="3"/>
  <c r="W431" i="3"/>
  <c r="V431" i="3"/>
  <c r="U431" i="3"/>
  <c r="T431" i="3"/>
  <c r="S431" i="3"/>
  <c r="R431" i="3"/>
  <c r="Q431" i="3"/>
  <c r="P431" i="3"/>
  <c r="O431" i="3"/>
  <c r="N431" i="3"/>
  <c r="M431" i="3"/>
  <c r="L431" i="3"/>
  <c r="A431" i="3"/>
  <c r="X430" i="3"/>
  <c r="W430" i="3"/>
  <c r="V430" i="3"/>
  <c r="U430" i="3"/>
  <c r="T430" i="3"/>
  <c r="S430" i="3"/>
  <c r="R430" i="3"/>
  <c r="Q430" i="3"/>
  <c r="P430" i="3"/>
  <c r="O430" i="3"/>
  <c r="N430" i="3"/>
  <c r="M430" i="3"/>
  <c r="L430" i="3"/>
  <c r="A430" i="3"/>
  <c r="X429" i="3"/>
  <c r="W429" i="3"/>
  <c r="V429" i="3"/>
  <c r="U429" i="3"/>
  <c r="T429" i="3"/>
  <c r="S429" i="3"/>
  <c r="R429" i="3"/>
  <c r="Q429" i="3"/>
  <c r="P429" i="3"/>
  <c r="O429" i="3"/>
  <c r="N429" i="3"/>
  <c r="M429" i="3"/>
  <c r="L429" i="3"/>
  <c r="A429" i="3"/>
  <c r="X428" i="3"/>
  <c r="W428" i="3"/>
  <c r="V428" i="3"/>
  <c r="U428" i="3"/>
  <c r="T428" i="3"/>
  <c r="S428" i="3"/>
  <c r="R428" i="3"/>
  <c r="Q428" i="3"/>
  <c r="P428" i="3"/>
  <c r="O428" i="3"/>
  <c r="N428" i="3"/>
  <c r="M428" i="3"/>
  <c r="L428" i="3"/>
  <c r="A428" i="3"/>
  <c r="X427" i="3"/>
  <c r="W427" i="3"/>
  <c r="V427" i="3"/>
  <c r="U427" i="3"/>
  <c r="T427" i="3"/>
  <c r="S427" i="3"/>
  <c r="R427" i="3"/>
  <c r="Q427" i="3"/>
  <c r="P427" i="3"/>
  <c r="O427" i="3"/>
  <c r="N427" i="3"/>
  <c r="M427" i="3"/>
  <c r="L427" i="3"/>
  <c r="A427" i="3"/>
  <c r="X426" i="3"/>
  <c r="W426" i="3"/>
  <c r="V426" i="3"/>
  <c r="U426" i="3"/>
  <c r="T426" i="3"/>
  <c r="S426" i="3"/>
  <c r="R426" i="3"/>
  <c r="Q426" i="3"/>
  <c r="P426" i="3"/>
  <c r="O426" i="3"/>
  <c r="N426" i="3"/>
  <c r="M426" i="3"/>
  <c r="L426" i="3"/>
  <c r="A426" i="3"/>
  <c r="X425" i="3"/>
  <c r="W425" i="3"/>
  <c r="V425" i="3"/>
  <c r="U425" i="3"/>
  <c r="T425" i="3"/>
  <c r="S425" i="3"/>
  <c r="R425" i="3"/>
  <c r="Q425" i="3"/>
  <c r="P425" i="3"/>
  <c r="O425" i="3"/>
  <c r="N425" i="3"/>
  <c r="M425" i="3"/>
  <c r="L425" i="3"/>
  <c r="A425" i="3"/>
  <c r="X424" i="3"/>
  <c r="W424" i="3"/>
  <c r="V424" i="3"/>
  <c r="U424" i="3"/>
  <c r="T424" i="3"/>
  <c r="S424" i="3"/>
  <c r="R424" i="3"/>
  <c r="Q424" i="3"/>
  <c r="P424" i="3"/>
  <c r="O424" i="3"/>
  <c r="N424" i="3"/>
  <c r="M424" i="3"/>
  <c r="L424" i="3"/>
  <c r="A424" i="3"/>
  <c r="X423" i="3"/>
  <c r="W423" i="3"/>
  <c r="V423" i="3"/>
  <c r="U423" i="3"/>
  <c r="T423" i="3"/>
  <c r="S423" i="3"/>
  <c r="R423" i="3"/>
  <c r="Q423" i="3"/>
  <c r="P423" i="3"/>
  <c r="O423" i="3"/>
  <c r="N423" i="3"/>
  <c r="M423" i="3"/>
  <c r="L423" i="3"/>
  <c r="A423" i="3"/>
  <c r="X422" i="3"/>
  <c r="W422" i="3"/>
  <c r="V422" i="3"/>
  <c r="U422" i="3"/>
  <c r="T422" i="3"/>
  <c r="S422" i="3"/>
  <c r="R422" i="3"/>
  <c r="Q422" i="3"/>
  <c r="P422" i="3"/>
  <c r="O422" i="3"/>
  <c r="N422" i="3"/>
  <c r="M422" i="3"/>
  <c r="L422" i="3"/>
  <c r="A422" i="3"/>
  <c r="X421" i="3"/>
  <c r="W421" i="3"/>
  <c r="V421" i="3"/>
  <c r="U421" i="3"/>
  <c r="T421" i="3"/>
  <c r="S421" i="3"/>
  <c r="R421" i="3"/>
  <c r="Q421" i="3"/>
  <c r="P421" i="3"/>
  <c r="O421" i="3"/>
  <c r="N421" i="3"/>
  <c r="M421" i="3"/>
  <c r="L421" i="3"/>
  <c r="A421" i="3"/>
  <c r="X420" i="3"/>
  <c r="W420" i="3"/>
  <c r="V420" i="3"/>
  <c r="U420" i="3"/>
  <c r="T420" i="3"/>
  <c r="S420" i="3"/>
  <c r="R420" i="3"/>
  <c r="Q420" i="3"/>
  <c r="P420" i="3"/>
  <c r="O420" i="3"/>
  <c r="N420" i="3"/>
  <c r="M420" i="3"/>
  <c r="L420" i="3"/>
  <c r="A420" i="3"/>
  <c r="X419" i="3"/>
  <c r="W419" i="3"/>
  <c r="V419" i="3"/>
  <c r="U419" i="3"/>
  <c r="T419" i="3"/>
  <c r="S419" i="3"/>
  <c r="R419" i="3"/>
  <c r="Q419" i="3"/>
  <c r="P419" i="3"/>
  <c r="O419" i="3"/>
  <c r="N419" i="3"/>
  <c r="M419" i="3"/>
  <c r="L419" i="3"/>
  <c r="A419" i="3"/>
  <c r="X418" i="3"/>
  <c r="W418" i="3"/>
  <c r="V418" i="3"/>
  <c r="U418" i="3"/>
  <c r="T418" i="3"/>
  <c r="S418" i="3"/>
  <c r="R418" i="3"/>
  <c r="Q418" i="3"/>
  <c r="P418" i="3"/>
  <c r="O418" i="3"/>
  <c r="N418" i="3"/>
  <c r="M418" i="3"/>
  <c r="L418" i="3"/>
  <c r="A418" i="3"/>
  <c r="X417" i="3"/>
  <c r="W417" i="3"/>
  <c r="V417" i="3"/>
  <c r="U417" i="3"/>
  <c r="T417" i="3"/>
  <c r="S417" i="3"/>
  <c r="R417" i="3"/>
  <c r="Q417" i="3"/>
  <c r="P417" i="3"/>
  <c r="O417" i="3"/>
  <c r="N417" i="3"/>
  <c r="M417" i="3"/>
  <c r="L417" i="3"/>
  <c r="A417" i="3"/>
  <c r="X416" i="3"/>
  <c r="W416" i="3"/>
  <c r="V416" i="3"/>
  <c r="U416" i="3"/>
  <c r="T416" i="3"/>
  <c r="S416" i="3"/>
  <c r="R416" i="3"/>
  <c r="Q416" i="3"/>
  <c r="P416" i="3"/>
  <c r="O416" i="3"/>
  <c r="N416" i="3"/>
  <c r="M416" i="3"/>
  <c r="L416" i="3"/>
  <c r="A416" i="3"/>
  <c r="X415" i="3"/>
  <c r="W415" i="3"/>
  <c r="V415" i="3"/>
  <c r="U415" i="3"/>
  <c r="T415" i="3"/>
  <c r="S415" i="3"/>
  <c r="R415" i="3"/>
  <c r="Q415" i="3"/>
  <c r="P415" i="3"/>
  <c r="O415" i="3"/>
  <c r="N415" i="3"/>
  <c r="M415" i="3"/>
  <c r="L415" i="3"/>
  <c r="A415" i="3"/>
  <c r="X414" i="3"/>
  <c r="W414" i="3"/>
  <c r="V414" i="3"/>
  <c r="U414" i="3"/>
  <c r="T414" i="3"/>
  <c r="S414" i="3"/>
  <c r="R414" i="3"/>
  <c r="Q414" i="3"/>
  <c r="P414" i="3"/>
  <c r="O414" i="3"/>
  <c r="N414" i="3"/>
  <c r="M414" i="3"/>
  <c r="L414" i="3"/>
  <c r="A414" i="3"/>
  <c r="X413" i="3"/>
  <c r="W413" i="3"/>
  <c r="V413" i="3"/>
  <c r="U413" i="3"/>
  <c r="T413" i="3"/>
  <c r="S413" i="3"/>
  <c r="R413" i="3"/>
  <c r="Q413" i="3"/>
  <c r="P413" i="3"/>
  <c r="O413" i="3"/>
  <c r="N413" i="3"/>
  <c r="M413" i="3"/>
  <c r="L413" i="3"/>
  <c r="A413" i="3"/>
  <c r="X412" i="3"/>
  <c r="W412" i="3"/>
  <c r="V412" i="3"/>
  <c r="U412" i="3"/>
  <c r="T412" i="3"/>
  <c r="S412" i="3"/>
  <c r="R412" i="3"/>
  <c r="Q412" i="3"/>
  <c r="P412" i="3"/>
  <c r="O412" i="3"/>
  <c r="N412" i="3"/>
  <c r="M412" i="3"/>
  <c r="L412" i="3"/>
  <c r="A412" i="3"/>
  <c r="X411" i="3"/>
  <c r="W411" i="3"/>
  <c r="V411" i="3"/>
  <c r="U411" i="3"/>
  <c r="T411" i="3"/>
  <c r="S411" i="3"/>
  <c r="R411" i="3"/>
  <c r="Q411" i="3"/>
  <c r="P411" i="3"/>
  <c r="O411" i="3"/>
  <c r="N411" i="3"/>
  <c r="M411" i="3"/>
  <c r="L411" i="3"/>
  <c r="A411" i="3"/>
  <c r="X410" i="3"/>
  <c r="W410" i="3"/>
  <c r="V410" i="3"/>
  <c r="U410" i="3"/>
  <c r="T410" i="3"/>
  <c r="S410" i="3"/>
  <c r="R410" i="3"/>
  <c r="Q410" i="3"/>
  <c r="P410" i="3"/>
  <c r="O410" i="3"/>
  <c r="N410" i="3"/>
  <c r="M410" i="3"/>
  <c r="L410" i="3"/>
  <c r="A410" i="3"/>
  <c r="X409" i="3"/>
  <c r="W409" i="3"/>
  <c r="V409" i="3"/>
  <c r="U409" i="3"/>
  <c r="T409" i="3"/>
  <c r="S409" i="3"/>
  <c r="R409" i="3"/>
  <c r="Q409" i="3"/>
  <c r="P409" i="3"/>
  <c r="O409" i="3"/>
  <c r="N409" i="3"/>
  <c r="M409" i="3"/>
  <c r="L409" i="3"/>
  <c r="A409" i="3"/>
  <c r="X408" i="3"/>
  <c r="W408" i="3"/>
  <c r="V408" i="3"/>
  <c r="U408" i="3"/>
  <c r="T408" i="3"/>
  <c r="S408" i="3"/>
  <c r="R408" i="3"/>
  <c r="Q408" i="3"/>
  <c r="P408" i="3"/>
  <c r="O408" i="3"/>
  <c r="N408" i="3"/>
  <c r="M408" i="3"/>
  <c r="L408" i="3"/>
  <c r="A408" i="3"/>
  <c r="X407" i="3"/>
  <c r="W407" i="3"/>
  <c r="V407" i="3"/>
  <c r="U407" i="3"/>
  <c r="T407" i="3"/>
  <c r="S407" i="3"/>
  <c r="R407" i="3"/>
  <c r="Q407" i="3"/>
  <c r="P407" i="3"/>
  <c r="O407" i="3"/>
  <c r="N407" i="3"/>
  <c r="M407" i="3"/>
  <c r="L407" i="3"/>
  <c r="A407" i="3"/>
  <c r="X406" i="3"/>
  <c r="W406" i="3"/>
  <c r="V406" i="3"/>
  <c r="U406" i="3"/>
  <c r="T406" i="3"/>
  <c r="S406" i="3"/>
  <c r="R406" i="3"/>
  <c r="Q406" i="3"/>
  <c r="P406" i="3"/>
  <c r="O406" i="3"/>
  <c r="N406" i="3"/>
  <c r="M406" i="3"/>
  <c r="L406" i="3"/>
  <c r="A406" i="3"/>
  <c r="X405" i="3"/>
  <c r="W405" i="3"/>
  <c r="V405" i="3"/>
  <c r="U405" i="3"/>
  <c r="T405" i="3"/>
  <c r="S405" i="3"/>
  <c r="R405" i="3"/>
  <c r="Q405" i="3"/>
  <c r="P405" i="3"/>
  <c r="O405" i="3"/>
  <c r="N405" i="3"/>
  <c r="M405" i="3"/>
  <c r="L405" i="3"/>
  <c r="A405" i="3"/>
  <c r="X404" i="3"/>
  <c r="W404" i="3"/>
  <c r="V404" i="3"/>
  <c r="U404" i="3"/>
  <c r="T404" i="3"/>
  <c r="S404" i="3"/>
  <c r="R404" i="3"/>
  <c r="Q404" i="3"/>
  <c r="P404" i="3"/>
  <c r="O404" i="3"/>
  <c r="N404" i="3"/>
  <c r="M404" i="3"/>
  <c r="L404" i="3"/>
  <c r="A404" i="3"/>
  <c r="X403" i="3"/>
  <c r="W403" i="3"/>
  <c r="V403" i="3"/>
  <c r="U403" i="3"/>
  <c r="T403" i="3"/>
  <c r="S403" i="3"/>
  <c r="R403" i="3"/>
  <c r="Q403" i="3"/>
  <c r="P403" i="3"/>
  <c r="O403" i="3"/>
  <c r="N403" i="3"/>
  <c r="M403" i="3"/>
  <c r="L403" i="3"/>
  <c r="A403" i="3"/>
  <c r="X402" i="3"/>
  <c r="W402" i="3"/>
  <c r="V402" i="3"/>
  <c r="U402" i="3"/>
  <c r="T402" i="3"/>
  <c r="S402" i="3"/>
  <c r="R402" i="3"/>
  <c r="Q402" i="3"/>
  <c r="P402" i="3"/>
  <c r="O402" i="3"/>
  <c r="N402" i="3"/>
  <c r="M402" i="3"/>
  <c r="L402" i="3"/>
  <c r="A402" i="3"/>
  <c r="X401" i="3"/>
  <c r="W401" i="3"/>
  <c r="V401" i="3"/>
  <c r="U401" i="3"/>
  <c r="T401" i="3"/>
  <c r="S401" i="3"/>
  <c r="R401" i="3"/>
  <c r="Q401" i="3"/>
  <c r="P401" i="3"/>
  <c r="O401" i="3"/>
  <c r="N401" i="3"/>
  <c r="M401" i="3"/>
  <c r="L401" i="3"/>
  <c r="A401" i="3"/>
  <c r="X400" i="3"/>
  <c r="W400" i="3"/>
  <c r="V400" i="3"/>
  <c r="U400" i="3"/>
  <c r="T400" i="3"/>
  <c r="S400" i="3"/>
  <c r="R400" i="3"/>
  <c r="Q400" i="3"/>
  <c r="P400" i="3"/>
  <c r="O400" i="3"/>
  <c r="N400" i="3"/>
  <c r="M400" i="3"/>
  <c r="L400" i="3"/>
  <c r="A400" i="3"/>
  <c r="X399" i="3"/>
  <c r="W399" i="3"/>
  <c r="V399" i="3"/>
  <c r="U399" i="3"/>
  <c r="T399" i="3"/>
  <c r="S399" i="3"/>
  <c r="R399" i="3"/>
  <c r="Q399" i="3"/>
  <c r="P399" i="3"/>
  <c r="O399" i="3"/>
  <c r="N399" i="3"/>
  <c r="M399" i="3"/>
  <c r="L399" i="3"/>
  <c r="A399" i="3"/>
  <c r="X398" i="3"/>
  <c r="W398" i="3"/>
  <c r="V398" i="3"/>
  <c r="U398" i="3"/>
  <c r="T398" i="3"/>
  <c r="S398" i="3"/>
  <c r="R398" i="3"/>
  <c r="Q398" i="3"/>
  <c r="P398" i="3"/>
  <c r="O398" i="3"/>
  <c r="N398" i="3"/>
  <c r="M398" i="3"/>
  <c r="L398" i="3"/>
  <c r="A398" i="3"/>
  <c r="X397" i="3"/>
  <c r="W397" i="3"/>
  <c r="V397" i="3"/>
  <c r="U397" i="3"/>
  <c r="T397" i="3"/>
  <c r="S397" i="3"/>
  <c r="R397" i="3"/>
  <c r="Q397" i="3"/>
  <c r="P397" i="3"/>
  <c r="O397" i="3"/>
  <c r="N397" i="3"/>
  <c r="M397" i="3"/>
  <c r="L397" i="3"/>
  <c r="A397" i="3"/>
  <c r="X396" i="3"/>
  <c r="W396" i="3"/>
  <c r="V396" i="3"/>
  <c r="U396" i="3"/>
  <c r="T396" i="3"/>
  <c r="S396" i="3"/>
  <c r="R396" i="3"/>
  <c r="Q396" i="3"/>
  <c r="P396" i="3"/>
  <c r="O396" i="3"/>
  <c r="N396" i="3"/>
  <c r="M396" i="3"/>
  <c r="L396" i="3"/>
  <c r="A396" i="3"/>
  <c r="X395" i="3"/>
  <c r="W395" i="3"/>
  <c r="V395" i="3"/>
  <c r="U395" i="3"/>
  <c r="T395" i="3"/>
  <c r="S395" i="3"/>
  <c r="R395" i="3"/>
  <c r="Q395" i="3"/>
  <c r="P395" i="3"/>
  <c r="O395" i="3"/>
  <c r="N395" i="3"/>
  <c r="M395" i="3"/>
  <c r="L395" i="3"/>
  <c r="A395" i="3"/>
  <c r="X394" i="3"/>
  <c r="W394" i="3"/>
  <c r="V394" i="3"/>
  <c r="U394" i="3"/>
  <c r="T394" i="3"/>
  <c r="S394" i="3"/>
  <c r="R394" i="3"/>
  <c r="Q394" i="3"/>
  <c r="P394" i="3"/>
  <c r="O394" i="3"/>
  <c r="N394" i="3"/>
  <c r="M394" i="3"/>
  <c r="L394" i="3"/>
  <c r="A394" i="3"/>
  <c r="X393" i="3"/>
  <c r="W393" i="3"/>
  <c r="V393" i="3"/>
  <c r="U393" i="3"/>
  <c r="T393" i="3"/>
  <c r="S393" i="3"/>
  <c r="R393" i="3"/>
  <c r="Q393" i="3"/>
  <c r="P393" i="3"/>
  <c r="O393" i="3"/>
  <c r="N393" i="3"/>
  <c r="M393" i="3"/>
  <c r="L393" i="3"/>
  <c r="A393" i="3"/>
  <c r="X392" i="3"/>
  <c r="W392" i="3"/>
  <c r="V392" i="3"/>
  <c r="U392" i="3"/>
  <c r="T392" i="3"/>
  <c r="S392" i="3"/>
  <c r="R392" i="3"/>
  <c r="Q392" i="3"/>
  <c r="P392" i="3"/>
  <c r="O392" i="3"/>
  <c r="N392" i="3"/>
  <c r="M392" i="3"/>
  <c r="L392" i="3"/>
  <c r="A392" i="3"/>
  <c r="X391" i="3"/>
  <c r="W391" i="3"/>
  <c r="V391" i="3"/>
  <c r="U391" i="3"/>
  <c r="T391" i="3"/>
  <c r="S391" i="3"/>
  <c r="R391" i="3"/>
  <c r="Q391" i="3"/>
  <c r="P391" i="3"/>
  <c r="O391" i="3"/>
  <c r="N391" i="3"/>
  <c r="M391" i="3"/>
  <c r="L391" i="3"/>
  <c r="A391" i="3"/>
  <c r="X390" i="3"/>
  <c r="W390" i="3"/>
  <c r="V390" i="3"/>
  <c r="U390" i="3"/>
  <c r="T390" i="3"/>
  <c r="S390" i="3"/>
  <c r="R390" i="3"/>
  <c r="Q390" i="3"/>
  <c r="P390" i="3"/>
  <c r="O390" i="3"/>
  <c r="N390" i="3"/>
  <c r="M390" i="3"/>
  <c r="L390" i="3"/>
  <c r="A390" i="3"/>
  <c r="X389" i="3"/>
  <c r="W389" i="3"/>
  <c r="V389" i="3"/>
  <c r="U389" i="3"/>
  <c r="T389" i="3"/>
  <c r="S389" i="3"/>
  <c r="R389" i="3"/>
  <c r="Q389" i="3"/>
  <c r="P389" i="3"/>
  <c r="O389" i="3"/>
  <c r="N389" i="3"/>
  <c r="M389" i="3"/>
  <c r="L389" i="3"/>
  <c r="A389" i="3"/>
  <c r="X388" i="3"/>
  <c r="W388" i="3"/>
  <c r="V388" i="3"/>
  <c r="U388" i="3"/>
  <c r="T388" i="3"/>
  <c r="S388" i="3"/>
  <c r="R388" i="3"/>
  <c r="Q388" i="3"/>
  <c r="P388" i="3"/>
  <c r="O388" i="3"/>
  <c r="N388" i="3"/>
  <c r="M388" i="3"/>
  <c r="L388" i="3"/>
  <c r="A388" i="3"/>
  <c r="X387" i="3"/>
  <c r="W387" i="3"/>
  <c r="V387" i="3"/>
  <c r="U387" i="3"/>
  <c r="T387" i="3"/>
  <c r="S387" i="3"/>
  <c r="R387" i="3"/>
  <c r="Q387" i="3"/>
  <c r="P387" i="3"/>
  <c r="O387" i="3"/>
  <c r="N387" i="3"/>
  <c r="M387" i="3"/>
  <c r="L387" i="3"/>
  <c r="A387" i="3"/>
  <c r="X386" i="3"/>
  <c r="W386" i="3"/>
  <c r="V386" i="3"/>
  <c r="U386" i="3"/>
  <c r="T386" i="3"/>
  <c r="S386" i="3"/>
  <c r="R386" i="3"/>
  <c r="Q386" i="3"/>
  <c r="P386" i="3"/>
  <c r="O386" i="3"/>
  <c r="N386" i="3"/>
  <c r="M386" i="3"/>
  <c r="L386" i="3"/>
  <c r="A386" i="3"/>
  <c r="X385" i="3"/>
  <c r="W385" i="3"/>
  <c r="V385" i="3"/>
  <c r="U385" i="3"/>
  <c r="T385" i="3"/>
  <c r="S385" i="3"/>
  <c r="R385" i="3"/>
  <c r="Q385" i="3"/>
  <c r="P385" i="3"/>
  <c r="O385" i="3"/>
  <c r="N385" i="3"/>
  <c r="M385" i="3"/>
  <c r="L385" i="3"/>
  <c r="A385" i="3"/>
  <c r="X384" i="3"/>
  <c r="W384" i="3"/>
  <c r="V384" i="3"/>
  <c r="U384" i="3"/>
  <c r="T384" i="3"/>
  <c r="S384" i="3"/>
  <c r="R384" i="3"/>
  <c r="Q384" i="3"/>
  <c r="P384" i="3"/>
  <c r="O384" i="3"/>
  <c r="N384" i="3"/>
  <c r="M384" i="3"/>
  <c r="L384" i="3"/>
  <c r="A384" i="3"/>
  <c r="X383" i="3"/>
  <c r="W383" i="3"/>
  <c r="V383" i="3"/>
  <c r="U383" i="3"/>
  <c r="T383" i="3"/>
  <c r="S383" i="3"/>
  <c r="R383" i="3"/>
  <c r="Q383" i="3"/>
  <c r="P383" i="3"/>
  <c r="O383" i="3"/>
  <c r="N383" i="3"/>
  <c r="M383" i="3"/>
  <c r="L383" i="3"/>
  <c r="A383" i="3"/>
  <c r="X382" i="3"/>
  <c r="W382" i="3"/>
  <c r="V382" i="3"/>
  <c r="U382" i="3"/>
  <c r="T382" i="3"/>
  <c r="S382" i="3"/>
  <c r="R382" i="3"/>
  <c r="Q382" i="3"/>
  <c r="P382" i="3"/>
  <c r="O382" i="3"/>
  <c r="N382" i="3"/>
  <c r="M382" i="3"/>
  <c r="L382" i="3"/>
  <c r="A382" i="3"/>
  <c r="X381" i="3"/>
  <c r="W381" i="3"/>
  <c r="V381" i="3"/>
  <c r="U381" i="3"/>
  <c r="T381" i="3"/>
  <c r="S381" i="3"/>
  <c r="R381" i="3"/>
  <c r="Q381" i="3"/>
  <c r="P381" i="3"/>
  <c r="O381" i="3"/>
  <c r="N381" i="3"/>
  <c r="M381" i="3"/>
  <c r="L381" i="3"/>
  <c r="A381" i="3"/>
  <c r="X380" i="3"/>
  <c r="W380" i="3"/>
  <c r="V380" i="3"/>
  <c r="U380" i="3"/>
  <c r="T380" i="3"/>
  <c r="S380" i="3"/>
  <c r="R380" i="3"/>
  <c r="Q380" i="3"/>
  <c r="P380" i="3"/>
  <c r="O380" i="3"/>
  <c r="N380" i="3"/>
  <c r="M380" i="3"/>
  <c r="L380" i="3"/>
  <c r="A380" i="3"/>
  <c r="X379" i="3"/>
  <c r="W379" i="3"/>
  <c r="V379" i="3"/>
  <c r="U379" i="3"/>
  <c r="T379" i="3"/>
  <c r="S379" i="3"/>
  <c r="R379" i="3"/>
  <c r="Q379" i="3"/>
  <c r="P379" i="3"/>
  <c r="O379" i="3"/>
  <c r="N379" i="3"/>
  <c r="M379" i="3"/>
  <c r="L379" i="3"/>
  <c r="A379" i="3"/>
  <c r="X378" i="3"/>
  <c r="W378" i="3"/>
  <c r="V378" i="3"/>
  <c r="U378" i="3"/>
  <c r="T378" i="3"/>
  <c r="S378" i="3"/>
  <c r="R378" i="3"/>
  <c r="Q378" i="3"/>
  <c r="P378" i="3"/>
  <c r="O378" i="3"/>
  <c r="N378" i="3"/>
  <c r="M378" i="3"/>
  <c r="L378" i="3"/>
  <c r="A378" i="3"/>
  <c r="X377" i="3"/>
  <c r="W377" i="3"/>
  <c r="V377" i="3"/>
  <c r="U377" i="3"/>
  <c r="T377" i="3"/>
  <c r="S377" i="3"/>
  <c r="R377" i="3"/>
  <c r="Q377" i="3"/>
  <c r="P377" i="3"/>
  <c r="O377" i="3"/>
  <c r="N377" i="3"/>
  <c r="M377" i="3"/>
  <c r="L377" i="3"/>
  <c r="A377" i="3"/>
  <c r="X376" i="3"/>
  <c r="W376" i="3"/>
  <c r="V376" i="3"/>
  <c r="U376" i="3"/>
  <c r="T376" i="3"/>
  <c r="S376" i="3"/>
  <c r="R376" i="3"/>
  <c r="Q376" i="3"/>
  <c r="P376" i="3"/>
  <c r="O376" i="3"/>
  <c r="N376" i="3"/>
  <c r="M376" i="3"/>
  <c r="L376" i="3"/>
  <c r="A376" i="3"/>
  <c r="X375" i="3"/>
  <c r="W375" i="3"/>
  <c r="V375" i="3"/>
  <c r="U375" i="3"/>
  <c r="T375" i="3"/>
  <c r="S375" i="3"/>
  <c r="R375" i="3"/>
  <c r="Q375" i="3"/>
  <c r="P375" i="3"/>
  <c r="O375" i="3"/>
  <c r="N375" i="3"/>
  <c r="M375" i="3"/>
  <c r="L375" i="3"/>
  <c r="A375" i="3"/>
  <c r="X374" i="3"/>
  <c r="W374" i="3"/>
  <c r="V374" i="3"/>
  <c r="U374" i="3"/>
  <c r="T374" i="3"/>
  <c r="S374" i="3"/>
  <c r="R374" i="3"/>
  <c r="Q374" i="3"/>
  <c r="P374" i="3"/>
  <c r="O374" i="3"/>
  <c r="N374" i="3"/>
  <c r="M374" i="3"/>
  <c r="L374" i="3"/>
  <c r="A374" i="3"/>
  <c r="X373" i="3"/>
  <c r="W373" i="3"/>
  <c r="V373" i="3"/>
  <c r="U373" i="3"/>
  <c r="T373" i="3"/>
  <c r="S373" i="3"/>
  <c r="R373" i="3"/>
  <c r="Q373" i="3"/>
  <c r="P373" i="3"/>
  <c r="O373" i="3"/>
  <c r="N373" i="3"/>
  <c r="M373" i="3"/>
  <c r="L373" i="3"/>
  <c r="A373" i="3"/>
  <c r="X372" i="3"/>
  <c r="W372" i="3"/>
  <c r="V372" i="3"/>
  <c r="U372" i="3"/>
  <c r="T372" i="3"/>
  <c r="S372" i="3"/>
  <c r="R372" i="3"/>
  <c r="Q372" i="3"/>
  <c r="P372" i="3"/>
  <c r="O372" i="3"/>
  <c r="N372" i="3"/>
  <c r="M372" i="3"/>
  <c r="L372" i="3"/>
  <c r="A372" i="3"/>
  <c r="X371" i="3"/>
  <c r="W371" i="3"/>
  <c r="V371" i="3"/>
  <c r="U371" i="3"/>
  <c r="T371" i="3"/>
  <c r="S371" i="3"/>
  <c r="R371" i="3"/>
  <c r="Q371" i="3"/>
  <c r="P371" i="3"/>
  <c r="O371" i="3"/>
  <c r="N371" i="3"/>
  <c r="M371" i="3"/>
  <c r="L371" i="3"/>
  <c r="A371" i="3"/>
  <c r="X370" i="3"/>
  <c r="W370" i="3"/>
  <c r="V370" i="3"/>
  <c r="U370" i="3"/>
  <c r="T370" i="3"/>
  <c r="S370" i="3"/>
  <c r="R370" i="3"/>
  <c r="Q370" i="3"/>
  <c r="P370" i="3"/>
  <c r="O370" i="3"/>
  <c r="N370" i="3"/>
  <c r="M370" i="3"/>
  <c r="L370" i="3"/>
  <c r="A370" i="3"/>
  <c r="X369" i="3"/>
  <c r="W369" i="3"/>
  <c r="V369" i="3"/>
  <c r="U369" i="3"/>
  <c r="T369" i="3"/>
  <c r="S369" i="3"/>
  <c r="R369" i="3"/>
  <c r="Q369" i="3"/>
  <c r="P369" i="3"/>
  <c r="O369" i="3"/>
  <c r="N369" i="3"/>
  <c r="M369" i="3"/>
  <c r="L369" i="3"/>
  <c r="A369" i="3"/>
  <c r="X368" i="3"/>
  <c r="W368" i="3"/>
  <c r="V368" i="3"/>
  <c r="U368" i="3"/>
  <c r="T368" i="3"/>
  <c r="S368" i="3"/>
  <c r="R368" i="3"/>
  <c r="Q368" i="3"/>
  <c r="P368" i="3"/>
  <c r="O368" i="3"/>
  <c r="N368" i="3"/>
  <c r="M368" i="3"/>
  <c r="L368" i="3"/>
  <c r="A368" i="3"/>
  <c r="X367" i="3"/>
  <c r="W367" i="3"/>
  <c r="V367" i="3"/>
  <c r="U367" i="3"/>
  <c r="T367" i="3"/>
  <c r="S367" i="3"/>
  <c r="R367" i="3"/>
  <c r="Q367" i="3"/>
  <c r="P367" i="3"/>
  <c r="O367" i="3"/>
  <c r="N367" i="3"/>
  <c r="M367" i="3"/>
  <c r="L367" i="3"/>
  <c r="A367" i="3"/>
  <c r="X366" i="3"/>
  <c r="W366" i="3"/>
  <c r="V366" i="3"/>
  <c r="U366" i="3"/>
  <c r="T366" i="3"/>
  <c r="S366" i="3"/>
  <c r="R366" i="3"/>
  <c r="Q366" i="3"/>
  <c r="P366" i="3"/>
  <c r="O366" i="3"/>
  <c r="N366" i="3"/>
  <c r="M366" i="3"/>
  <c r="L366" i="3"/>
  <c r="A366" i="3"/>
  <c r="X365" i="3"/>
  <c r="W365" i="3"/>
  <c r="V365" i="3"/>
  <c r="U365" i="3"/>
  <c r="T365" i="3"/>
  <c r="S365" i="3"/>
  <c r="R365" i="3"/>
  <c r="Q365" i="3"/>
  <c r="P365" i="3"/>
  <c r="O365" i="3"/>
  <c r="N365" i="3"/>
  <c r="M365" i="3"/>
  <c r="L365" i="3"/>
  <c r="A365" i="3"/>
  <c r="X364" i="3"/>
  <c r="W364" i="3"/>
  <c r="V364" i="3"/>
  <c r="U364" i="3"/>
  <c r="T364" i="3"/>
  <c r="S364" i="3"/>
  <c r="R364" i="3"/>
  <c r="Q364" i="3"/>
  <c r="P364" i="3"/>
  <c r="O364" i="3"/>
  <c r="N364" i="3"/>
  <c r="M364" i="3"/>
  <c r="L364" i="3"/>
  <c r="A364" i="3"/>
  <c r="X363" i="3"/>
  <c r="W363" i="3"/>
  <c r="V363" i="3"/>
  <c r="U363" i="3"/>
  <c r="T363" i="3"/>
  <c r="S363" i="3"/>
  <c r="R363" i="3"/>
  <c r="Q363" i="3"/>
  <c r="P363" i="3"/>
  <c r="O363" i="3"/>
  <c r="N363" i="3"/>
  <c r="M363" i="3"/>
  <c r="L363" i="3"/>
  <c r="A363" i="3"/>
  <c r="X362" i="3"/>
  <c r="W362" i="3"/>
  <c r="V362" i="3"/>
  <c r="U362" i="3"/>
  <c r="T362" i="3"/>
  <c r="S362" i="3"/>
  <c r="R362" i="3"/>
  <c r="Q362" i="3"/>
  <c r="P362" i="3"/>
  <c r="O362" i="3"/>
  <c r="N362" i="3"/>
  <c r="M362" i="3"/>
  <c r="L362" i="3"/>
  <c r="A362" i="3"/>
  <c r="X361" i="3"/>
  <c r="W361" i="3"/>
  <c r="V361" i="3"/>
  <c r="U361" i="3"/>
  <c r="T361" i="3"/>
  <c r="S361" i="3"/>
  <c r="R361" i="3"/>
  <c r="Q361" i="3"/>
  <c r="P361" i="3"/>
  <c r="O361" i="3"/>
  <c r="N361" i="3"/>
  <c r="M361" i="3"/>
  <c r="L361" i="3"/>
  <c r="A361" i="3"/>
  <c r="X360" i="3"/>
  <c r="W360" i="3"/>
  <c r="V360" i="3"/>
  <c r="U360" i="3"/>
  <c r="T360" i="3"/>
  <c r="S360" i="3"/>
  <c r="R360" i="3"/>
  <c r="Q360" i="3"/>
  <c r="P360" i="3"/>
  <c r="O360" i="3"/>
  <c r="N360" i="3"/>
  <c r="M360" i="3"/>
  <c r="L360" i="3"/>
  <c r="A360" i="3"/>
  <c r="X359" i="3"/>
  <c r="W359" i="3"/>
  <c r="V359" i="3"/>
  <c r="U359" i="3"/>
  <c r="T359" i="3"/>
  <c r="S359" i="3"/>
  <c r="R359" i="3"/>
  <c r="Q359" i="3"/>
  <c r="P359" i="3"/>
  <c r="O359" i="3"/>
  <c r="N359" i="3"/>
  <c r="M359" i="3"/>
  <c r="L359" i="3"/>
  <c r="A359" i="3"/>
  <c r="X358" i="3"/>
  <c r="W358" i="3"/>
  <c r="V358" i="3"/>
  <c r="U358" i="3"/>
  <c r="T358" i="3"/>
  <c r="S358" i="3"/>
  <c r="R358" i="3"/>
  <c r="Q358" i="3"/>
  <c r="P358" i="3"/>
  <c r="O358" i="3"/>
  <c r="N358" i="3"/>
  <c r="M358" i="3"/>
  <c r="L358" i="3"/>
  <c r="A358" i="3"/>
  <c r="X357" i="3"/>
  <c r="W357" i="3"/>
  <c r="V357" i="3"/>
  <c r="U357" i="3"/>
  <c r="T357" i="3"/>
  <c r="S357" i="3"/>
  <c r="R357" i="3"/>
  <c r="Q357" i="3"/>
  <c r="P357" i="3"/>
  <c r="O357" i="3"/>
  <c r="N357" i="3"/>
  <c r="M357" i="3"/>
  <c r="L357" i="3"/>
  <c r="A357" i="3"/>
  <c r="X356" i="3"/>
  <c r="W356" i="3"/>
  <c r="V356" i="3"/>
  <c r="U356" i="3"/>
  <c r="T356" i="3"/>
  <c r="S356" i="3"/>
  <c r="R356" i="3"/>
  <c r="Q356" i="3"/>
  <c r="P356" i="3"/>
  <c r="O356" i="3"/>
  <c r="N356" i="3"/>
  <c r="M356" i="3"/>
  <c r="L356" i="3"/>
  <c r="A356" i="3"/>
  <c r="X355" i="3"/>
  <c r="W355" i="3"/>
  <c r="V355" i="3"/>
  <c r="U355" i="3"/>
  <c r="T355" i="3"/>
  <c r="S355" i="3"/>
  <c r="R355" i="3"/>
  <c r="Q355" i="3"/>
  <c r="P355" i="3"/>
  <c r="O355" i="3"/>
  <c r="N355" i="3"/>
  <c r="M355" i="3"/>
  <c r="L355" i="3"/>
  <c r="A355" i="3"/>
  <c r="X354" i="3"/>
  <c r="W354" i="3"/>
  <c r="V354" i="3"/>
  <c r="U354" i="3"/>
  <c r="T354" i="3"/>
  <c r="S354" i="3"/>
  <c r="R354" i="3"/>
  <c r="Q354" i="3"/>
  <c r="P354" i="3"/>
  <c r="O354" i="3"/>
  <c r="N354" i="3"/>
  <c r="M354" i="3"/>
  <c r="L354" i="3"/>
  <c r="A354" i="3"/>
  <c r="X353" i="3"/>
  <c r="W353" i="3"/>
  <c r="V353" i="3"/>
  <c r="U353" i="3"/>
  <c r="T353" i="3"/>
  <c r="S353" i="3"/>
  <c r="R353" i="3"/>
  <c r="Q353" i="3"/>
  <c r="P353" i="3"/>
  <c r="O353" i="3"/>
  <c r="N353" i="3"/>
  <c r="M353" i="3"/>
  <c r="L353" i="3"/>
  <c r="A353" i="3"/>
  <c r="X352" i="3"/>
  <c r="W352" i="3"/>
  <c r="V352" i="3"/>
  <c r="U352" i="3"/>
  <c r="T352" i="3"/>
  <c r="S352" i="3"/>
  <c r="R352" i="3"/>
  <c r="Q352" i="3"/>
  <c r="P352" i="3"/>
  <c r="O352" i="3"/>
  <c r="N352" i="3"/>
  <c r="M352" i="3"/>
  <c r="L352" i="3"/>
  <c r="A352" i="3"/>
  <c r="X351" i="3"/>
  <c r="W351" i="3"/>
  <c r="V351" i="3"/>
  <c r="U351" i="3"/>
  <c r="T351" i="3"/>
  <c r="S351" i="3"/>
  <c r="R351" i="3"/>
  <c r="Q351" i="3"/>
  <c r="P351" i="3"/>
  <c r="O351" i="3"/>
  <c r="N351" i="3"/>
  <c r="M351" i="3"/>
  <c r="L351" i="3"/>
  <c r="A351" i="3"/>
  <c r="X350" i="3"/>
  <c r="W350" i="3"/>
  <c r="V350" i="3"/>
  <c r="U350" i="3"/>
  <c r="T350" i="3"/>
  <c r="S350" i="3"/>
  <c r="R350" i="3"/>
  <c r="Q350" i="3"/>
  <c r="P350" i="3"/>
  <c r="O350" i="3"/>
  <c r="N350" i="3"/>
  <c r="M350" i="3"/>
  <c r="L350" i="3"/>
  <c r="A350" i="3"/>
  <c r="X349" i="3"/>
  <c r="W349" i="3"/>
  <c r="V349" i="3"/>
  <c r="U349" i="3"/>
  <c r="T349" i="3"/>
  <c r="S349" i="3"/>
  <c r="R349" i="3"/>
  <c r="Q349" i="3"/>
  <c r="P349" i="3"/>
  <c r="O349" i="3"/>
  <c r="N349" i="3"/>
  <c r="M349" i="3"/>
  <c r="L349" i="3"/>
  <c r="A349" i="3"/>
  <c r="X348" i="3"/>
  <c r="W348" i="3"/>
  <c r="V348" i="3"/>
  <c r="U348" i="3"/>
  <c r="T348" i="3"/>
  <c r="S348" i="3"/>
  <c r="R348" i="3"/>
  <c r="Q348" i="3"/>
  <c r="P348" i="3"/>
  <c r="O348" i="3"/>
  <c r="N348" i="3"/>
  <c r="M348" i="3"/>
  <c r="L348" i="3"/>
  <c r="A348" i="3"/>
  <c r="X347" i="3"/>
  <c r="W347" i="3"/>
  <c r="V347" i="3"/>
  <c r="U347" i="3"/>
  <c r="T347" i="3"/>
  <c r="S347" i="3"/>
  <c r="R347" i="3"/>
  <c r="Q347" i="3"/>
  <c r="P347" i="3"/>
  <c r="O347" i="3"/>
  <c r="N347" i="3"/>
  <c r="M347" i="3"/>
  <c r="L347" i="3"/>
  <c r="A347" i="3"/>
  <c r="X346" i="3"/>
  <c r="W346" i="3"/>
  <c r="V346" i="3"/>
  <c r="U346" i="3"/>
  <c r="T346" i="3"/>
  <c r="S346" i="3"/>
  <c r="R346" i="3"/>
  <c r="Q346" i="3"/>
  <c r="P346" i="3"/>
  <c r="O346" i="3"/>
  <c r="N346" i="3"/>
  <c r="M346" i="3"/>
  <c r="L346" i="3"/>
  <c r="A346" i="3"/>
  <c r="X345" i="3"/>
  <c r="W345" i="3"/>
  <c r="V345" i="3"/>
  <c r="U345" i="3"/>
  <c r="T345" i="3"/>
  <c r="S345" i="3"/>
  <c r="R345" i="3"/>
  <c r="Q345" i="3"/>
  <c r="P345" i="3"/>
  <c r="O345" i="3"/>
  <c r="N345" i="3"/>
  <c r="M345" i="3"/>
  <c r="L345" i="3"/>
  <c r="A345" i="3"/>
  <c r="X344" i="3"/>
  <c r="W344" i="3"/>
  <c r="V344" i="3"/>
  <c r="U344" i="3"/>
  <c r="T344" i="3"/>
  <c r="S344" i="3"/>
  <c r="R344" i="3"/>
  <c r="Q344" i="3"/>
  <c r="P344" i="3"/>
  <c r="O344" i="3"/>
  <c r="N344" i="3"/>
  <c r="M344" i="3"/>
  <c r="L344" i="3"/>
  <c r="A344" i="3"/>
  <c r="X343" i="3"/>
  <c r="W343" i="3"/>
  <c r="V343" i="3"/>
  <c r="U343" i="3"/>
  <c r="T343" i="3"/>
  <c r="S343" i="3"/>
  <c r="R343" i="3"/>
  <c r="Q343" i="3"/>
  <c r="P343" i="3"/>
  <c r="O343" i="3"/>
  <c r="N343" i="3"/>
  <c r="M343" i="3"/>
  <c r="L343" i="3"/>
  <c r="A343" i="3"/>
  <c r="X342" i="3"/>
  <c r="W342" i="3"/>
  <c r="V342" i="3"/>
  <c r="U342" i="3"/>
  <c r="T342" i="3"/>
  <c r="S342" i="3"/>
  <c r="R342" i="3"/>
  <c r="Q342" i="3"/>
  <c r="P342" i="3"/>
  <c r="O342" i="3"/>
  <c r="N342" i="3"/>
  <c r="M342" i="3"/>
  <c r="L342" i="3"/>
  <c r="A342" i="3"/>
  <c r="X341" i="3"/>
  <c r="W341" i="3"/>
  <c r="V341" i="3"/>
  <c r="U341" i="3"/>
  <c r="T341" i="3"/>
  <c r="S341" i="3"/>
  <c r="R341" i="3"/>
  <c r="Q341" i="3"/>
  <c r="P341" i="3"/>
  <c r="O341" i="3"/>
  <c r="N341" i="3"/>
  <c r="M341" i="3"/>
  <c r="L341" i="3"/>
  <c r="A341" i="3"/>
  <c r="X340" i="3"/>
  <c r="W340" i="3"/>
  <c r="V340" i="3"/>
  <c r="U340" i="3"/>
  <c r="T340" i="3"/>
  <c r="S340" i="3"/>
  <c r="R340" i="3"/>
  <c r="Q340" i="3"/>
  <c r="P340" i="3"/>
  <c r="O340" i="3"/>
  <c r="N340" i="3"/>
  <c r="M340" i="3"/>
  <c r="L340" i="3"/>
  <c r="A340" i="3"/>
  <c r="X339" i="3"/>
  <c r="W339" i="3"/>
  <c r="V339" i="3"/>
  <c r="U339" i="3"/>
  <c r="T339" i="3"/>
  <c r="S339" i="3"/>
  <c r="R339" i="3"/>
  <c r="Q339" i="3"/>
  <c r="P339" i="3"/>
  <c r="O339" i="3"/>
  <c r="N339" i="3"/>
  <c r="M339" i="3"/>
  <c r="L339" i="3"/>
  <c r="A339" i="3"/>
  <c r="X338" i="3"/>
  <c r="W338" i="3"/>
  <c r="V338" i="3"/>
  <c r="U338" i="3"/>
  <c r="T338" i="3"/>
  <c r="S338" i="3"/>
  <c r="R338" i="3"/>
  <c r="Q338" i="3"/>
  <c r="P338" i="3"/>
  <c r="O338" i="3"/>
  <c r="N338" i="3"/>
  <c r="M338" i="3"/>
  <c r="L338" i="3"/>
  <c r="A338" i="3"/>
  <c r="X337" i="3"/>
  <c r="W337" i="3"/>
  <c r="V337" i="3"/>
  <c r="U337" i="3"/>
  <c r="T337" i="3"/>
  <c r="S337" i="3"/>
  <c r="R337" i="3"/>
  <c r="Q337" i="3"/>
  <c r="P337" i="3"/>
  <c r="O337" i="3"/>
  <c r="N337" i="3"/>
  <c r="M337" i="3"/>
  <c r="L337" i="3"/>
  <c r="A337" i="3"/>
  <c r="X336" i="3"/>
  <c r="W336" i="3"/>
  <c r="V336" i="3"/>
  <c r="U336" i="3"/>
  <c r="T336" i="3"/>
  <c r="S336" i="3"/>
  <c r="R336" i="3"/>
  <c r="Q336" i="3"/>
  <c r="P336" i="3"/>
  <c r="O336" i="3"/>
  <c r="N336" i="3"/>
  <c r="M336" i="3"/>
  <c r="L336" i="3"/>
  <c r="A336" i="3"/>
  <c r="X335" i="3"/>
  <c r="W335" i="3"/>
  <c r="V335" i="3"/>
  <c r="U335" i="3"/>
  <c r="T335" i="3"/>
  <c r="S335" i="3"/>
  <c r="R335" i="3"/>
  <c r="Q335" i="3"/>
  <c r="P335" i="3"/>
  <c r="O335" i="3"/>
  <c r="N335" i="3"/>
  <c r="M335" i="3"/>
  <c r="L335" i="3"/>
  <c r="A335" i="3"/>
  <c r="X334" i="3"/>
  <c r="W334" i="3"/>
  <c r="V334" i="3"/>
  <c r="U334" i="3"/>
  <c r="T334" i="3"/>
  <c r="S334" i="3"/>
  <c r="R334" i="3"/>
  <c r="Q334" i="3"/>
  <c r="P334" i="3"/>
  <c r="O334" i="3"/>
  <c r="N334" i="3"/>
  <c r="M334" i="3"/>
  <c r="L334" i="3"/>
  <c r="A334" i="3"/>
  <c r="X333" i="3"/>
  <c r="W333" i="3"/>
  <c r="V333" i="3"/>
  <c r="U333" i="3"/>
  <c r="T333" i="3"/>
  <c r="S333" i="3"/>
  <c r="R333" i="3"/>
  <c r="Q333" i="3"/>
  <c r="P333" i="3"/>
  <c r="O333" i="3"/>
  <c r="N333" i="3"/>
  <c r="M333" i="3"/>
  <c r="L333" i="3"/>
  <c r="A333" i="3"/>
  <c r="X332" i="3"/>
  <c r="W332" i="3"/>
  <c r="V332" i="3"/>
  <c r="U332" i="3"/>
  <c r="T332" i="3"/>
  <c r="S332" i="3"/>
  <c r="R332" i="3"/>
  <c r="Q332" i="3"/>
  <c r="P332" i="3"/>
  <c r="O332" i="3"/>
  <c r="N332" i="3"/>
  <c r="M332" i="3"/>
  <c r="L332" i="3"/>
  <c r="A332" i="3"/>
  <c r="X331" i="3"/>
  <c r="W331" i="3"/>
  <c r="V331" i="3"/>
  <c r="U331" i="3"/>
  <c r="T331" i="3"/>
  <c r="S331" i="3"/>
  <c r="R331" i="3"/>
  <c r="Q331" i="3"/>
  <c r="P331" i="3"/>
  <c r="O331" i="3"/>
  <c r="N331" i="3"/>
  <c r="M331" i="3"/>
  <c r="L331" i="3"/>
  <c r="A331" i="3"/>
  <c r="X330" i="3"/>
  <c r="W330" i="3"/>
  <c r="V330" i="3"/>
  <c r="U330" i="3"/>
  <c r="T330" i="3"/>
  <c r="S330" i="3"/>
  <c r="R330" i="3"/>
  <c r="Q330" i="3"/>
  <c r="P330" i="3"/>
  <c r="O330" i="3"/>
  <c r="N330" i="3"/>
  <c r="M330" i="3"/>
  <c r="L330" i="3"/>
  <c r="A330" i="3"/>
  <c r="X329" i="3"/>
  <c r="W329" i="3"/>
  <c r="V329" i="3"/>
  <c r="U329" i="3"/>
  <c r="T329" i="3"/>
  <c r="S329" i="3"/>
  <c r="R329" i="3"/>
  <c r="Q329" i="3"/>
  <c r="P329" i="3"/>
  <c r="O329" i="3"/>
  <c r="N329" i="3"/>
  <c r="M329" i="3"/>
  <c r="L329" i="3"/>
  <c r="A329" i="3"/>
  <c r="X328" i="3"/>
  <c r="W328" i="3"/>
  <c r="V328" i="3"/>
  <c r="U328" i="3"/>
  <c r="T328" i="3"/>
  <c r="S328" i="3"/>
  <c r="R328" i="3"/>
  <c r="Q328" i="3"/>
  <c r="P328" i="3"/>
  <c r="O328" i="3"/>
  <c r="N328" i="3"/>
  <c r="M328" i="3"/>
  <c r="L328" i="3"/>
  <c r="A328" i="3"/>
  <c r="X327" i="3"/>
  <c r="W327" i="3"/>
  <c r="V327" i="3"/>
  <c r="U327" i="3"/>
  <c r="T327" i="3"/>
  <c r="S327" i="3"/>
  <c r="R327" i="3"/>
  <c r="Q327" i="3"/>
  <c r="P327" i="3"/>
  <c r="O327" i="3"/>
  <c r="N327" i="3"/>
  <c r="M327" i="3"/>
  <c r="L327" i="3"/>
  <c r="A327" i="3"/>
  <c r="X326" i="3"/>
  <c r="W326" i="3"/>
  <c r="V326" i="3"/>
  <c r="U326" i="3"/>
  <c r="T326" i="3"/>
  <c r="S326" i="3"/>
  <c r="R326" i="3"/>
  <c r="Q326" i="3"/>
  <c r="P326" i="3"/>
  <c r="O326" i="3"/>
  <c r="N326" i="3"/>
  <c r="M326" i="3"/>
  <c r="L326" i="3"/>
  <c r="A326" i="3"/>
  <c r="X325" i="3"/>
  <c r="W325" i="3"/>
  <c r="V325" i="3"/>
  <c r="U325" i="3"/>
  <c r="T325" i="3"/>
  <c r="S325" i="3"/>
  <c r="R325" i="3"/>
  <c r="Q325" i="3"/>
  <c r="P325" i="3"/>
  <c r="O325" i="3"/>
  <c r="N325" i="3"/>
  <c r="M325" i="3"/>
  <c r="L325" i="3"/>
  <c r="A325" i="3"/>
  <c r="X324" i="3"/>
  <c r="W324" i="3"/>
  <c r="V324" i="3"/>
  <c r="U324" i="3"/>
  <c r="T324" i="3"/>
  <c r="S324" i="3"/>
  <c r="R324" i="3"/>
  <c r="Q324" i="3"/>
  <c r="P324" i="3"/>
  <c r="O324" i="3"/>
  <c r="N324" i="3"/>
  <c r="M324" i="3"/>
  <c r="L324" i="3"/>
  <c r="A324" i="3"/>
  <c r="X323" i="3"/>
  <c r="W323" i="3"/>
  <c r="V323" i="3"/>
  <c r="U323" i="3"/>
  <c r="T323" i="3"/>
  <c r="S323" i="3"/>
  <c r="R323" i="3"/>
  <c r="Q323" i="3"/>
  <c r="P323" i="3"/>
  <c r="O323" i="3"/>
  <c r="N323" i="3"/>
  <c r="M323" i="3"/>
  <c r="L323" i="3"/>
  <c r="A323" i="3"/>
  <c r="X322" i="3"/>
  <c r="W322" i="3"/>
  <c r="V322" i="3"/>
  <c r="U322" i="3"/>
  <c r="T322" i="3"/>
  <c r="S322" i="3"/>
  <c r="R322" i="3"/>
  <c r="Q322" i="3"/>
  <c r="P322" i="3"/>
  <c r="O322" i="3"/>
  <c r="N322" i="3"/>
  <c r="M322" i="3"/>
  <c r="L322" i="3"/>
  <c r="A322" i="3"/>
  <c r="X321" i="3"/>
  <c r="W321" i="3"/>
  <c r="V321" i="3"/>
  <c r="U321" i="3"/>
  <c r="T321" i="3"/>
  <c r="S321" i="3"/>
  <c r="R321" i="3"/>
  <c r="Q321" i="3"/>
  <c r="P321" i="3"/>
  <c r="O321" i="3"/>
  <c r="N321" i="3"/>
  <c r="M321" i="3"/>
  <c r="L321" i="3"/>
  <c r="A321" i="3"/>
  <c r="X320" i="3"/>
  <c r="W320" i="3"/>
  <c r="V320" i="3"/>
  <c r="U320" i="3"/>
  <c r="T320" i="3"/>
  <c r="S320" i="3"/>
  <c r="R320" i="3"/>
  <c r="Q320" i="3"/>
  <c r="P320" i="3"/>
  <c r="O320" i="3"/>
  <c r="N320" i="3"/>
  <c r="M320" i="3"/>
  <c r="L320" i="3"/>
  <c r="A320" i="3"/>
  <c r="X319" i="3"/>
  <c r="W319" i="3"/>
  <c r="V319" i="3"/>
  <c r="U319" i="3"/>
  <c r="T319" i="3"/>
  <c r="S319" i="3"/>
  <c r="R319" i="3"/>
  <c r="Q319" i="3"/>
  <c r="P319" i="3"/>
  <c r="O319" i="3"/>
  <c r="N319" i="3"/>
  <c r="M319" i="3"/>
  <c r="L319" i="3"/>
  <c r="A319" i="3"/>
  <c r="X318" i="3"/>
  <c r="W318" i="3"/>
  <c r="V318" i="3"/>
  <c r="U318" i="3"/>
  <c r="T318" i="3"/>
  <c r="S318" i="3"/>
  <c r="R318" i="3"/>
  <c r="Q318" i="3"/>
  <c r="P318" i="3"/>
  <c r="O318" i="3"/>
  <c r="N318" i="3"/>
  <c r="M318" i="3"/>
  <c r="L318" i="3"/>
  <c r="A318" i="3"/>
  <c r="X317" i="3"/>
  <c r="W317" i="3"/>
  <c r="V317" i="3"/>
  <c r="U317" i="3"/>
  <c r="T317" i="3"/>
  <c r="S317" i="3"/>
  <c r="R317" i="3"/>
  <c r="Q317" i="3"/>
  <c r="P317" i="3"/>
  <c r="O317" i="3"/>
  <c r="N317" i="3"/>
  <c r="M317" i="3"/>
  <c r="L317" i="3"/>
  <c r="A317" i="3"/>
  <c r="X316" i="3"/>
  <c r="W316" i="3"/>
  <c r="V316" i="3"/>
  <c r="U316" i="3"/>
  <c r="T316" i="3"/>
  <c r="S316" i="3"/>
  <c r="R316" i="3"/>
  <c r="Q316" i="3"/>
  <c r="P316" i="3"/>
  <c r="O316" i="3"/>
  <c r="N316" i="3"/>
  <c r="M316" i="3"/>
  <c r="L316" i="3"/>
  <c r="A316" i="3"/>
  <c r="X315" i="3"/>
  <c r="W315" i="3"/>
  <c r="V315" i="3"/>
  <c r="U315" i="3"/>
  <c r="T315" i="3"/>
  <c r="S315" i="3"/>
  <c r="R315" i="3"/>
  <c r="Q315" i="3"/>
  <c r="P315" i="3"/>
  <c r="O315" i="3"/>
  <c r="N315" i="3"/>
  <c r="M315" i="3"/>
  <c r="L315" i="3"/>
  <c r="A315" i="3"/>
  <c r="X314" i="3"/>
  <c r="W314" i="3"/>
  <c r="V314" i="3"/>
  <c r="U314" i="3"/>
  <c r="T314" i="3"/>
  <c r="S314" i="3"/>
  <c r="R314" i="3"/>
  <c r="Q314" i="3"/>
  <c r="P314" i="3"/>
  <c r="O314" i="3"/>
  <c r="N314" i="3"/>
  <c r="M314" i="3"/>
  <c r="L314" i="3"/>
  <c r="A314" i="3"/>
  <c r="X313" i="3"/>
  <c r="W313" i="3"/>
  <c r="V313" i="3"/>
  <c r="U313" i="3"/>
  <c r="T313" i="3"/>
  <c r="S313" i="3"/>
  <c r="R313" i="3"/>
  <c r="Q313" i="3"/>
  <c r="P313" i="3"/>
  <c r="O313" i="3"/>
  <c r="N313" i="3"/>
  <c r="M313" i="3"/>
  <c r="L313" i="3"/>
  <c r="A313" i="3"/>
  <c r="X312" i="3"/>
  <c r="W312" i="3"/>
  <c r="V312" i="3"/>
  <c r="U312" i="3"/>
  <c r="T312" i="3"/>
  <c r="S312" i="3"/>
  <c r="R312" i="3"/>
  <c r="Q312" i="3"/>
  <c r="P312" i="3"/>
  <c r="O312" i="3"/>
  <c r="N312" i="3"/>
  <c r="M312" i="3"/>
  <c r="L312" i="3"/>
  <c r="A312" i="3"/>
  <c r="X311" i="3"/>
  <c r="W311" i="3"/>
  <c r="V311" i="3"/>
  <c r="U311" i="3"/>
  <c r="T311" i="3"/>
  <c r="S311" i="3"/>
  <c r="R311" i="3"/>
  <c r="Q311" i="3"/>
  <c r="P311" i="3"/>
  <c r="O311" i="3"/>
  <c r="N311" i="3"/>
  <c r="M311" i="3"/>
  <c r="L311" i="3"/>
  <c r="A311" i="3"/>
  <c r="X310" i="3"/>
  <c r="W310" i="3"/>
  <c r="V310" i="3"/>
  <c r="U310" i="3"/>
  <c r="T310" i="3"/>
  <c r="S310" i="3"/>
  <c r="R310" i="3"/>
  <c r="Q310" i="3"/>
  <c r="P310" i="3"/>
  <c r="O310" i="3"/>
  <c r="N310" i="3"/>
  <c r="M310" i="3"/>
  <c r="L310" i="3"/>
  <c r="A310" i="3"/>
  <c r="X309" i="3"/>
  <c r="W309" i="3"/>
  <c r="V309" i="3"/>
  <c r="U309" i="3"/>
  <c r="T309" i="3"/>
  <c r="S309" i="3"/>
  <c r="R309" i="3"/>
  <c r="Q309" i="3"/>
  <c r="P309" i="3"/>
  <c r="O309" i="3"/>
  <c r="N309" i="3"/>
  <c r="M309" i="3"/>
  <c r="L309" i="3"/>
  <c r="A309" i="3"/>
  <c r="X308" i="3"/>
  <c r="W308" i="3"/>
  <c r="V308" i="3"/>
  <c r="U308" i="3"/>
  <c r="T308" i="3"/>
  <c r="S308" i="3"/>
  <c r="R308" i="3"/>
  <c r="Q308" i="3"/>
  <c r="P308" i="3"/>
  <c r="O308" i="3"/>
  <c r="N308" i="3"/>
  <c r="M308" i="3"/>
  <c r="L308" i="3"/>
  <c r="A308" i="3"/>
  <c r="X307" i="3"/>
  <c r="W307" i="3"/>
  <c r="V307" i="3"/>
  <c r="U307" i="3"/>
  <c r="T307" i="3"/>
  <c r="S307" i="3"/>
  <c r="R307" i="3"/>
  <c r="Q307" i="3"/>
  <c r="P307" i="3"/>
  <c r="O307" i="3"/>
  <c r="N307" i="3"/>
  <c r="M307" i="3"/>
  <c r="L307" i="3"/>
  <c r="A307" i="3"/>
  <c r="X306" i="3"/>
  <c r="W306" i="3"/>
  <c r="V306" i="3"/>
  <c r="U306" i="3"/>
  <c r="T306" i="3"/>
  <c r="S306" i="3"/>
  <c r="R306" i="3"/>
  <c r="Q306" i="3"/>
  <c r="P306" i="3"/>
  <c r="O306" i="3"/>
  <c r="N306" i="3"/>
  <c r="M306" i="3"/>
  <c r="L306" i="3"/>
  <c r="A306" i="3"/>
  <c r="X305" i="3"/>
  <c r="W305" i="3"/>
  <c r="V305" i="3"/>
  <c r="U305" i="3"/>
  <c r="T305" i="3"/>
  <c r="S305" i="3"/>
  <c r="R305" i="3"/>
  <c r="Q305" i="3"/>
  <c r="P305" i="3"/>
  <c r="O305" i="3"/>
  <c r="N305" i="3"/>
  <c r="M305" i="3"/>
  <c r="L305" i="3"/>
  <c r="A305" i="3"/>
  <c r="X304" i="3"/>
  <c r="W304" i="3"/>
  <c r="V304" i="3"/>
  <c r="U304" i="3"/>
  <c r="T304" i="3"/>
  <c r="S304" i="3"/>
  <c r="R304" i="3"/>
  <c r="Q304" i="3"/>
  <c r="P304" i="3"/>
  <c r="O304" i="3"/>
  <c r="N304" i="3"/>
  <c r="M304" i="3"/>
  <c r="L304" i="3"/>
  <c r="A304" i="3"/>
  <c r="X303" i="3"/>
  <c r="W303" i="3"/>
  <c r="V303" i="3"/>
  <c r="U303" i="3"/>
  <c r="T303" i="3"/>
  <c r="S303" i="3"/>
  <c r="R303" i="3"/>
  <c r="Q303" i="3"/>
  <c r="P303" i="3"/>
  <c r="O303" i="3"/>
  <c r="N303" i="3"/>
  <c r="M303" i="3"/>
  <c r="L303" i="3"/>
  <c r="A303" i="3"/>
  <c r="X302" i="3"/>
  <c r="W302" i="3"/>
  <c r="V302" i="3"/>
  <c r="U302" i="3"/>
  <c r="T302" i="3"/>
  <c r="S302" i="3"/>
  <c r="R302" i="3"/>
  <c r="Q302" i="3"/>
  <c r="P302" i="3"/>
  <c r="O302" i="3"/>
  <c r="N302" i="3"/>
  <c r="M302" i="3"/>
  <c r="L302" i="3"/>
  <c r="A302" i="3"/>
  <c r="X301" i="3"/>
  <c r="W301" i="3"/>
  <c r="V301" i="3"/>
  <c r="U301" i="3"/>
  <c r="T301" i="3"/>
  <c r="S301" i="3"/>
  <c r="R301" i="3"/>
  <c r="Q301" i="3"/>
  <c r="P301" i="3"/>
  <c r="O301" i="3"/>
  <c r="N301" i="3"/>
  <c r="M301" i="3"/>
  <c r="L301" i="3"/>
  <c r="A301" i="3"/>
  <c r="X300" i="3"/>
  <c r="W300" i="3"/>
  <c r="V300" i="3"/>
  <c r="U300" i="3"/>
  <c r="T300" i="3"/>
  <c r="S300" i="3"/>
  <c r="R300" i="3"/>
  <c r="Q300" i="3"/>
  <c r="P300" i="3"/>
  <c r="O300" i="3"/>
  <c r="N300" i="3"/>
  <c r="M300" i="3"/>
  <c r="L300" i="3"/>
  <c r="A300" i="3"/>
  <c r="X299" i="3"/>
  <c r="W299" i="3"/>
  <c r="V299" i="3"/>
  <c r="U299" i="3"/>
  <c r="T299" i="3"/>
  <c r="S299" i="3"/>
  <c r="R299" i="3"/>
  <c r="Q299" i="3"/>
  <c r="P299" i="3"/>
  <c r="O299" i="3"/>
  <c r="N299" i="3"/>
  <c r="M299" i="3"/>
  <c r="L299" i="3"/>
  <c r="A299" i="3"/>
  <c r="X298" i="3"/>
  <c r="W298" i="3"/>
  <c r="V298" i="3"/>
  <c r="U298" i="3"/>
  <c r="T298" i="3"/>
  <c r="S298" i="3"/>
  <c r="R298" i="3"/>
  <c r="Q298" i="3"/>
  <c r="P298" i="3"/>
  <c r="O298" i="3"/>
  <c r="N298" i="3"/>
  <c r="M298" i="3"/>
  <c r="L298" i="3"/>
  <c r="A298" i="3"/>
  <c r="X297" i="3"/>
  <c r="W297" i="3"/>
  <c r="V297" i="3"/>
  <c r="U297" i="3"/>
  <c r="T297" i="3"/>
  <c r="S297" i="3"/>
  <c r="R297" i="3"/>
  <c r="Q297" i="3"/>
  <c r="P297" i="3"/>
  <c r="O297" i="3"/>
  <c r="N297" i="3"/>
  <c r="M297" i="3"/>
  <c r="L297" i="3"/>
  <c r="A297" i="3"/>
  <c r="X296" i="3"/>
  <c r="W296" i="3"/>
  <c r="V296" i="3"/>
  <c r="U296" i="3"/>
  <c r="T296" i="3"/>
  <c r="S296" i="3"/>
  <c r="R296" i="3"/>
  <c r="Q296" i="3"/>
  <c r="P296" i="3"/>
  <c r="O296" i="3"/>
  <c r="N296" i="3"/>
  <c r="M296" i="3"/>
  <c r="L296" i="3"/>
  <c r="A296" i="3"/>
  <c r="X295" i="3"/>
  <c r="W295" i="3"/>
  <c r="V295" i="3"/>
  <c r="U295" i="3"/>
  <c r="T295" i="3"/>
  <c r="S295" i="3"/>
  <c r="R295" i="3"/>
  <c r="Q295" i="3"/>
  <c r="P295" i="3"/>
  <c r="O295" i="3"/>
  <c r="N295" i="3"/>
  <c r="M295" i="3"/>
  <c r="L295" i="3"/>
  <c r="A295" i="3"/>
  <c r="X294" i="3"/>
  <c r="W294" i="3"/>
  <c r="V294" i="3"/>
  <c r="U294" i="3"/>
  <c r="T294" i="3"/>
  <c r="S294" i="3"/>
  <c r="R294" i="3"/>
  <c r="Q294" i="3"/>
  <c r="P294" i="3"/>
  <c r="O294" i="3"/>
  <c r="N294" i="3"/>
  <c r="M294" i="3"/>
  <c r="L294" i="3"/>
  <c r="A294" i="3"/>
  <c r="X293" i="3"/>
  <c r="W293" i="3"/>
  <c r="V293" i="3"/>
  <c r="U293" i="3"/>
  <c r="T293" i="3"/>
  <c r="S293" i="3"/>
  <c r="R293" i="3"/>
  <c r="Q293" i="3"/>
  <c r="P293" i="3"/>
  <c r="O293" i="3"/>
  <c r="N293" i="3"/>
  <c r="M293" i="3"/>
  <c r="L293" i="3"/>
  <c r="A293" i="3"/>
  <c r="X292" i="3"/>
  <c r="W292" i="3"/>
  <c r="V292" i="3"/>
  <c r="U292" i="3"/>
  <c r="T292" i="3"/>
  <c r="S292" i="3"/>
  <c r="R292" i="3"/>
  <c r="Q292" i="3"/>
  <c r="P292" i="3"/>
  <c r="O292" i="3"/>
  <c r="N292" i="3"/>
  <c r="M292" i="3"/>
  <c r="L292" i="3"/>
  <c r="A292" i="3"/>
  <c r="X291" i="3"/>
  <c r="W291" i="3"/>
  <c r="V291" i="3"/>
  <c r="U291" i="3"/>
  <c r="T291" i="3"/>
  <c r="S291" i="3"/>
  <c r="R291" i="3"/>
  <c r="Q291" i="3"/>
  <c r="P291" i="3"/>
  <c r="O291" i="3"/>
  <c r="N291" i="3"/>
  <c r="M291" i="3"/>
  <c r="L291" i="3"/>
  <c r="A291" i="3"/>
  <c r="X290" i="3"/>
  <c r="W290" i="3"/>
  <c r="V290" i="3"/>
  <c r="U290" i="3"/>
  <c r="T290" i="3"/>
  <c r="S290" i="3"/>
  <c r="R290" i="3"/>
  <c r="Q290" i="3"/>
  <c r="P290" i="3"/>
  <c r="O290" i="3"/>
  <c r="N290" i="3"/>
  <c r="M290" i="3"/>
  <c r="L290" i="3"/>
  <c r="A290" i="3"/>
  <c r="X289" i="3"/>
  <c r="W289" i="3"/>
  <c r="V289" i="3"/>
  <c r="U289" i="3"/>
  <c r="T289" i="3"/>
  <c r="S289" i="3"/>
  <c r="R289" i="3"/>
  <c r="Q289" i="3"/>
  <c r="P289" i="3"/>
  <c r="O289" i="3"/>
  <c r="N289" i="3"/>
  <c r="M289" i="3"/>
  <c r="L289" i="3"/>
  <c r="A289" i="3"/>
  <c r="X288" i="3"/>
  <c r="W288" i="3"/>
  <c r="V288" i="3"/>
  <c r="U288" i="3"/>
  <c r="T288" i="3"/>
  <c r="S288" i="3"/>
  <c r="R288" i="3"/>
  <c r="Q288" i="3"/>
  <c r="P288" i="3"/>
  <c r="O288" i="3"/>
  <c r="N288" i="3"/>
  <c r="M288" i="3"/>
  <c r="L288" i="3"/>
  <c r="A288" i="3"/>
  <c r="X287" i="3"/>
  <c r="W287" i="3"/>
  <c r="V287" i="3"/>
  <c r="U287" i="3"/>
  <c r="T287" i="3"/>
  <c r="S287" i="3"/>
  <c r="R287" i="3"/>
  <c r="Q287" i="3"/>
  <c r="P287" i="3"/>
  <c r="O287" i="3"/>
  <c r="N287" i="3"/>
  <c r="M287" i="3"/>
  <c r="L287" i="3"/>
  <c r="A287" i="3"/>
  <c r="X286" i="3"/>
  <c r="W286" i="3"/>
  <c r="V286" i="3"/>
  <c r="U286" i="3"/>
  <c r="T286" i="3"/>
  <c r="S286" i="3"/>
  <c r="R286" i="3"/>
  <c r="Q286" i="3"/>
  <c r="P286" i="3"/>
  <c r="O286" i="3"/>
  <c r="N286" i="3"/>
  <c r="M286" i="3"/>
  <c r="L286" i="3"/>
  <c r="A286" i="3"/>
  <c r="X285" i="3"/>
  <c r="W285" i="3"/>
  <c r="V285" i="3"/>
  <c r="U285" i="3"/>
  <c r="T285" i="3"/>
  <c r="S285" i="3"/>
  <c r="R285" i="3"/>
  <c r="Q285" i="3"/>
  <c r="P285" i="3"/>
  <c r="O285" i="3"/>
  <c r="N285" i="3"/>
  <c r="M285" i="3"/>
  <c r="L285" i="3"/>
  <c r="A285" i="3"/>
  <c r="X284" i="3"/>
  <c r="W284" i="3"/>
  <c r="V284" i="3"/>
  <c r="U284" i="3"/>
  <c r="T284" i="3"/>
  <c r="S284" i="3"/>
  <c r="R284" i="3"/>
  <c r="Q284" i="3"/>
  <c r="P284" i="3"/>
  <c r="O284" i="3"/>
  <c r="N284" i="3"/>
  <c r="M284" i="3"/>
  <c r="L284" i="3"/>
  <c r="A284" i="3"/>
  <c r="X283" i="3"/>
  <c r="W283" i="3"/>
  <c r="V283" i="3"/>
  <c r="U283" i="3"/>
  <c r="T283" i="3"/>
  <c r="S283" i="3"/>
  <c r="R283" i="3"/>
  <c r="Q283" i="3"/>
  <c r="P283" i="3"/>
  <c r="O283" i="3"/>
  <c r="N283" i="3"/>
  <c r="M283" i="3"/>
  <c r="L283" i="3"/>
  <c r="A283" i="3"/>
  <c r="X282" i="3"/>
  <c r="W282" i="3"/>
  <c r="V282" i="3"/>
  <c r="U282" i="3"/>
  <c r="T282" i="3"/>
  <c r="S282" i="3"/>
  <c r="R282" i="3"/>
  <c r="Q282" i="3"/>
  <c r="P282" i="3"/>
  <c r="O282" i="3"/>
  <c r="N282" i="3"/>
  <c r="M282" i="3"/>
  <c r="L282" i="3"/>
  <c r="A282" i="3"/>
  <c r="X281" i="3"/>
  <c r="W281" i="3"/>
  <c r="V281" i="3"/>
  <c r="U281" i="3"/>
  <c r="T281" i="3"/>
  <c r="S281" i="3"/>
  <c r="R281" i="3"/>
  <c r="Q281" i="3"/>
  <c r="P281" i="3"/>
  <c r="O281" i="3"/>
  <c r="N281" i="3"/>
  <c r="M281" i="3"/>
  <c r="L281" i="3"/>
  <c r="A281" i="3"/>
  <c r="X280" i="3"/>
  <c r="W280" i="3"/>
  <c r="V280" i="3"/>
  <c r="U280" i="3"/>
  <c r="T280" i="3"/>
  <c r="S280" i="3"/>
  <c r="R280" i="3"/>
  <c r="Q280" i="3"/>
  <c r="P280" i="3"/>
  <c r="O280" i="3"/>
  <c r="N280" i="3"/>
  <c r="M280" i="3"/>
  <c r="L280" i="3"/>
  <c r="A280" i="3"/>
  <c r="X279" i="3"/>
  <c r="W279" i="3"/>
  <c r="V279" i="3"/>
  <c r="U279" i="3"/>
  <c r="T279" i="3"/>
  <c r="S279" i="3"/>
  <c r="R279" i="3"/>
  <c r="Q279" i="3"/>
  <c r="P279" i="3"/>
  <c r="O279" i="3"/>
  <c r="N279" i="3"/>
  <c r="M279" i="3"/>
  <c r="L279" i="3"/>
  <c r="A279" i="3"/>
  <c r="X278" i="3"/>
  <c r="W278" i="3"/>
  <c r="V278" i="3"/>
  <c r="U278" i="3"/>
  <c r="T278" i="3"/>
  <c r="S278" i="3"/>
  <c r="R278" i="3"/>
  <c r="Q278" i="3"/>
  <c r="P278" i="3"/>
  <c r="O278" i="3"/>
  <c r="N278" i="3"/>
  <c r="M278" i="3"/>
  <c r="L278" i="3"/>
  <c r="A278" i="3"/>
  <c r="X277" i="3"/>
  <c r="W277" i="3"/>
  <c r="V277" i="3"/>
  <c r="U277" i="3"/>
  <c r="T277" i="3"/>
  <c r="S277" i="3"/>
  <c r="R277" i="3"/>
  <c r="Q277" i="3"/>
  <c r="P277" i="3"/>
  <c r="O277" i="3"/>
  <c r="N277" i="3"/>
  <c r="M277" i="3"/>
  <c r="L277" i="3"/>
  <c r="A277" i="3"/>
  <c r="X276" i="3"/>
  <c r="W276" i="3"/>
  <c r="V276" i="3"/>
  <c r="U276" i="3"/>
  <c r="T276" i="3"/>
  <c r="S276" i="3"/>
  <c r="R276" i="3"/>
  <c r="Q276" i="3"/>
  <c r="P276" i="3"/>
  <c r="O276" i="3"/>
  <c r="N276" i="3"/>
  <c r="M276" i="3"/>
  <c r="L276" i="3"/>
  <c r="A276" i="3"/>
  <c r="X275" i="3"/>
  <c r="W275" i="3"/>
  <c r="V275" i="3"/>
  <c r="U275" i="3"/>
  <c r="T275" i="3"/>
  <c r="S275" i="3"/>
  <c r="R275" i="3"/>
  <c r="Q275" i="3"/>
  <c r="P275" i="3"/>
  <c r="O275" i="3"/>
  <c r="N275" i="3"/>
  <c r="M275" i="3"/>
  <c r="L275" i="3"/>
  <c r="A275" i="3"/>
  <c r="X274" i="3"/>
  <c r="W274" i="3"/>
  <c r="V274" i="3"/>
  <c r="U274" i="3"/>
  <c r="T274" i="3"/>
  <c r="S274" i="3"/>
  <c r="R274" i="3"/>
  <c r="Q274" i="3"/>
  <c r="P274" i="3"/>
  <c r="O274" i="3"/>
  <c r="N274" i="3"/>
  <c r="M274" i="3"/>
  <c r="L274" i="3"/>
  <c r="A274" i="3"/>
  <c r="X273" i="3"/>
  <c r="W273" i="3"/>
  <c r="V273" i="3"/>
  <c r="U273" i="3"/>
  <c r="T273" i="3"/>
  <c r="S273" i="3"/>
  <c r="R273" i="3"/>
  <c r="Q273" i="3"/>
  <c r="P273" i="3"/>
  <c r="O273" i="3"/>
  <c r="N273" i="3"/>
  <c r="M273" i="3"/>
  <c r="L273" i="3"/>
  <c r="A273" i="3"/>
  <c r="X272" i="3"/>
  <c r="W272" i="3"/>
  <c r="V272" i="3"/>
  <c r="U272" i="3"/>
  <c r="T272" i="3"/>
  <c r="S272" i="3"/>
  <c r="R272" i="3"/>
  <c r="Q272" i="3"/>
  <c r="P272" i="3"/>
  <c r="O272" i="3"/>
  <c r="N272" i="3"/>
  <c r="M272" i="3"/>
  <c r="L272" i="3"/>
  <c r="A272" i="3"/>
  <c r="X271" i="3"/>
  <c r="W271" i="3"/>
  <c r="V271" i="3"/>
  <c r="U271" i="3"/>
  <c r="T271" i="3"/>
  <c r="S271" i="3"/>
  <c r="R271" i="3"/>
  <c r="Q271" i="3"/>
  <c r="P271" i="3"/>
  <c r="O271" i="3"/>
  <c r="N271" i="3"/>
  <c r="M271" i="3"/>
  <c r="L271" i="3"/>
  <c r="A271" i="3"/>
  <c r="X270" i="3"/>
  <c r="W270" i="3"/>
  <c r="V270" i="3"/>
  <c r="U270" i="3"/>
  <c r="T270" i="3"/>
  <c r="S270" i="3"/>
  <c r="R270" i="3"/>
  <c r="Q270" i="3"/>
  <c r="P270" i="3"/>
  <c r="O270" i="3"/>
  <c r="N270" i="3"/>
  <c r="M270" i="3"/>
  <c r="L270" i="3"/>
  <c r="A270" i="3"/>
  <c r="X269" i="3"/>
  <c r="W269" i="3"/>
  <c r="V269" i="3"/>
  <c r="U269" i="3"/>
  <c r="T269" i="3"/>
  <c r="S269" i="3"/>
  <c r="R269" i="3"/>
  <c r="Q269" i="3"/>
  <c r="P269" i="3"/>
  <c r="O269" i="3"/>
  <c r="N269" i="3"/>
  <c r="M269" i="3"/>
  <c r="L269" i="3"/>
  <c r="A269" i="3"/>
  <c r="X268" i="3"/>
  <c r="W268" i="3"/>
  <c r="V268" i="3"/>
  <c r="U268" i="3"/>
  <c r="T268" i="3"/>
  <c r="S268" i="3"/>
  <c r="R268" i="3"/>
  <c r="Q268" i="3"/>
  <c r="P268" i="3"/>
  <c r="O268" i="3"/>
  <c r="N268" i="3"/>
  <c r="M268" i="3"/>
  <c r="L268" i="3"/>
  <c r="A268" i="3"/>
  <c r="X267" i="3"/>
  <c r="W267" i="3"/>
  <c r="V267" i="3"/>
  <c r="U267" i="3"/>
  <c r="T267" i="3"/>
  <c r="S267" i="3"/>
  <c r="R267" i="3"/>
  <c r="Q267" i="3"/>
  <c r="P267" i="3"/>
  <c r="O267" i="3"/>
  <c r="N267" i="3"/>
  <c r="M267" i="3"/>
  <c r="L267" i="3"/>
  <c r="A267" i="3"/>
  <c r="X266" i="3"/>
  <c r="W266" i="3"/>
  <c r="V266" i="3"/>
  <c r="U266" i="3"/>
  <c r="T266" i="3"/>
  <c r="S266" i="3"/>
  <c r="R266" i="3"/>
  <c r="Q266" i="3"/>
  <c r="P266" i="3"/>
  <c r="O266" i="3"/>
  <c r="N266" i="3"/>
  <c r="M266" i="3"/>
  <c r="L266" i="3"/>
  <c r="A266" i="3"/>
  <c r="X265" i="3"/>
  <c r="W265" i="3"/>
  <c r="V265" i="3"/>
  <c r="U265" i="3"/>
  <c r="T265" i="3"/>
  <c r="S265" i="3"/>
  <c r="R265" i="3"/>
  <c r="Q265" i="3"/>
  <c r="P265" i="3"/>
  <c r="O265" i="3"/>
  <c r="N265" i="3"/>
  <c r="M265" i="3"/>
  <c r="L265" i="3"/>
  <c r="A265" i="3"/>
  <c r="X264" i="3"/>
  <c r="W264" i="3"/>
  <c r="V264" i="3"/>
  <c r="U264" i="3"/>
  <c r="T264" i="3"/>
  <c r="S264" i="3"/>
  <c r="R264" i="3"/>
  <c r="Q264" i="3"/>
  <c r="P264" i="3"/>
  <c r="O264" i="3"/>
  <c r="N264" i="3"/>
  <c r="M264" i="3"/>
  <c r="L264" i="3"/>
  <c r="A264" i="3"/>
  <c r="X263" i="3"/>
  <c r="W263" i="3"/>
  <c r="V263" i="3"/>
  <c r="U263" i="3"/>
  <c r="T263" i="3"/>
  <c r="S263" i="3"/>
  <c r="R263" i="3"/>
  <c r="Q263" i="3"/>
  <c r="P263" i="3"/>
  <c r="O263" i="3"/>
  <c r="N263" i="3"/>
  <c r="M263" i="3"/>
  <c r="L263" i="3"/>
  <c r="A263" i="3"/>
  <c r="X262" i="3"/>
  <c r="W262" i="3"/>
  <c r="V262" i="3"/>
  <c r="U262" i="3"/>
  <c r="T262" i="3"/>
  <c r="S262" i="3"/>
  <c r="R262" i="3"/>
  <c r="Q262" i="3"/>
  <c r="P262" i="3"/>
  <c r="O262" i="3"/>
  <c r="N262" i="3"/>
  <c r="M262" i="3"/>
  <c r="L262" i="3"/>
  <c r="A262" i="3"/>
  <c r="X261" i="3"/>
  <c r="W261" i="3"/>
  <c r="V261" i="3"/>
  <c r="U261" i="3"/>
  <c r="T261" i="3"/>
  <c r="S261" i="3"/>
  <c r="R261" i="3"/>
  <c r="Q261" i="3"/>
  <c r="P261" i="3"/>
  <c r="O261" i="3"/>
  <c r="N261" i="3"/>
  <c r="M261" i="3"/>
  <c r="L261" i="3"/>
  <c r="A261" i="3"/>
  <c r="X260" i="3"/>
  <c r="W260" i="3"/>
  <c r="V260" i="3"/>
  <c r="U260" i="3"/>
  <c r="T260" i="3"/>
  <c r="S260" i="3"/>
  <c r="R260" i="3"/>
  <c r="Q260" i="3"/>
  <c r="P260" i="3"/>
  <c r="O260" i="3"/>
  <c r="N260" i="3"/>
  <c r="M260" i="3"/>
  <c r="L260" i="3"/>
  <c r="A260" i="3"/>
  <c r="X259" i="3"/>
  <c r="W259" i="3"/>
  <c r="V259" i="3"/>
  <c r="U259" i="3"/>
  <c r="T259" i="3"/>
  <c r="S259" i="3"/>
  <c r="R259" i="3"/>
  <c r="Q259" i="3"/>
  <c r="P259" i="3"/>
  <c r="O259" i="3"/>
  <c r="N259" i="3"/>
  <c r="M259" i="3"/>
  <c r="L259" i="3"/>
  <c r="A259" i="3"/>
  <c r="X258" i="3"/>
  <c r="W258" i="3"/>
  <c r="V258" i="3"/>
  <c r="U258" i="3"/>
  <c r="T258" i="3"/>
  <c r="S258" i="3"/>
  <c r="R258" i="3"/>
  <c r="Q258" i="3"/>
  <c r="P258" i="3"/>
  <c r="O258" i="3"/>
  <c r="N258" i="3"/>
  <c r="M258" i="3"/>
  <c r="L258" i="3"/>
  <c r="A258" i="3"/>
  <c r="X257" i="3"/>
  <c r="W257" i="3"/>
  <c r="V257" i="3"/>
  <c r="U257" i="3"/>
  <c r="T257" i="3"/>
  <c r="S257" i="3"/>
  <c r="R257" i="3"/>
  <c r="Q257" i="3"/>
  <c r="P257" i="3"/>
  <c r="O257" i="3"/>
  <c r="N257" i="3"/>
  <c r="M257" i="3"/>
  <c r="L257" i="3"/>
  <c r="A257" i="3"/>
  <c r="X256" i="3"/>
  <c r="W256" i="3"/>
  <c r="V256" i="3"/>
  <c r="U256" i="3"/>
  <c r="T256" i="3"/>
  <c r="S256" i="3"/>
  <c r="R256" i="3"/>
  <c r="Q256" i="3"/>
  <c r="P256" i="3"/>
  <c r="O256" i="3"/>
  <c r="N256" i="3"/>
  <c r="M256" i="3"/>
  <c r="L256" i="3"/>
  <c r="A256" i="3"/>
  <c r="X255" i="3"/>
  <c r="W255" i="3"/>
  <c r="V255" i="3"/>
  <c r="U255" i="3"/>
  <c r="T255" i="3"/>
  <c r="S255" i="3"/>
  <c r="R255" i="3"/>
  <c r="Q255" i="3"/>
  <c r="P255" i="3"/>
  <c r="O255" i="3"/>
  <c r="N255" i="3"/>
  <c r="M255" i="3"/>
  <c r="L255" i="3"/>
  <c r="A255" i="3"/>
  <c r="X254" i="3"/>
  <c r="W254" i="3"/>
  <c r="V254" i="3"/>
  <c r="U254" i="3"/>
  <c r="T254" i="3"/>
  <c r="S254" i="3"/>
  <c r="R254" i="3"/>
  <c r="Q254" i="3"/>
  <c r="P254" i="3"/>
  <c r="O254" i="3"/>
  <c r="N254" i="3"/>
  <c r="M254" i="3"/>
  <c r="L254" i="3"/>
  <c r="A254" i="3"/>
  <c r="X253" i="3"/>
  <c r="W253" i="3"/>
  <c r="V253" i="3"/>
  <c r="U253" i="3"/>
  <c r="T253" i="3"/>
  <c r="S253" i="3"/>
  <c r="R253" i="3"/>
  <c r="Q253" i="3"/>
  <c r="P253" i="3"/>
  <c r="O253" i="3"/>
  <c r="N253" i="3"/>
  <c r="M253" i="3"/>
  <c r="L253" i="3"/>
  <c r="A253" i="3"/>
  <c r="X252" i="3"/>
  <c r="W252" i="3"/>
  <c r="V252" i="3"/>
  <c r="U252" i="3"/>
  <c r="T252" i="3"/>
  <c r="S252" i="3"/>
  <c r="R252" i="3"/>
  <c r="Q252" i="3"/>
  <c r="P252" i="3"/>
  <c r="O252" i="3"/>
  <c r="N252" i="3"/>
  <c r="M252" i="3"/>
  <c r="L252" i="3"/>
  <c r="A252" i="3"/>
  <c r="X251" i="3"/>
  <c r="W251" i="3"/>
  <c r="V251" i="3"/>
  <c r="U251" i="3"/>
  <c r="T251" i="3"/>
  <c r="S251" i="3"/>
  <c r="R251" i="3"/>
  <c r="Q251" i="3"/>
  <c r="P251" i="3"/>
  <c r="O251" i="3"/>
  <c r="N251" i="3"/>
  <c r="M251" i="3"/>
  <c r="L251" i="3"/>
  <c r="A251" i="3"/>
  <c r="X250" i="3"/>
  <c r="W250" i="3"/>
  <c r="V250" i="3"/>
  <c r="U250" i="3"/>
  <c r="T250" i="3"/>
  <c r="S250" i="3"/>
  <c r="R250" i="3"/>
  <c r="Q250" i="3"/>
  <c r="P250" i="3"/>
  <c r="O250" i="3"/>
  <c r="N250" i="3"/>
  <c r="M250" i="3"/>
  <c r="L250" i="3"/>
  <c r="A250" i="3"/>
  <c r="X249" i="3"/>
  <c r="W249" i="3"/>
  <c r="V249" i="3"/>
  <c r="U249" i="3"/>
  <c r="T249" i="3"/>
  <c r="S249" i="3"/>
  <c r="R249" i="3"/>
  <c r="Q249" i="3"/>
  <c r="P249" i="3"/>
  <c r="O249" i="3"/>
  <c r="N249" i="3"/>
  <c r="M249" i="3"/>
  <c r="L249" i="3"/>
  <c r="A249" i="3"/>
  <c r="X248" i="3"/>
  <c r="W248" i="3"/>
  <c r="V248" i="3"/>
  <c r="U248" i="3"/>
  <c r="T248" i="3"/>
  <c r="S248" i="3"/>
  <c r="R248" i="3"/>
  <c r="Q248" i="3"/>
  <c r="P248" i="3"/>
  <c r="O248" i="3"/>
  <c r="N248" i="3"/>
  <c r="M248" i="3"/>
  <c r="L248" i="3"/>
  <c r="A248" i="3"/>
  <c r="X247" i="3"/>
  <c r="W247" i="3"/>
  <c r="V247" i="3"/>
  <c r="U247" i="3"/>
  <c r="T247" i="3"/>
  <c r="S247" i="3"/>
  <c r="R247" i="3"/>
  <c r="Q247" i="3"/>
  <c r="P247" i="3"/>
  <c r="O247" i="3"/>
  <c r="N247" i="3"/>
  <c r="M247" i="3"/>
  <c r="L247" i="3"/>
  <c r="A247" i="3"/>
  <c r="X246" i="3"/>
  <c r="W246" i="3"/>
  <c r="V246" i="3"/>
  <c r="U246" i="3"/>
  <c r="T246" i="3"/>
  <c r="S246" i="3"/>
  <c r="R246" i="3"/>
  <c r="Q246" i="3"/>
  <c r="P246" i="3"/>
  <c r="O246" i="3"/>
  <c r="N246" i="3"/>
  <c r="M246" i="3"/>
  <c r="L246" i="3"/>
  <c r="A246" i="3"/>
  <c r="X245" i="3"/>
  <c r="W245" i="3"/>
  <c r="V245" i="3"/>
  <c r="U245" i="3"/>
  <c r="T245" i="3"/>
  <c r="S245" i="3"/>
  <c r="R245" i="3"/>
  <c r="Q245" i="3"/>
  <c r="P245" i="3"/>
  <c r="O245" i="3"/>
  <c r="N245" i="3"/>
  <c r="M245" i="3"/>
  <c r="L245" i="3"/>
  <c r="A245" i="3"/>
  <c r="X244" i="3"/>
  <c r="W244" i="3"/>
  <c r="V244" i="3"/>
  <c r="U244" i="3"/>
  <c r="T244" i="3"/>
  <c r="S244" i="3"/>
  <c r="R244" i="3"/>
  <c r="Q244" i="3"/>
  <c r="P244" i="3"/>
  <c r="O244" i="3"/>
  <c r="N244" i="3"/>
  <c r="M244" i="3"/>
  <c r="L244" i="3"/>
  <c r="A244" i="3"/>
  <c r="X243" i="3"/>
  <c r="W243" i="3"/>
  <c r="V243" i="3"/>
  <c r="U243" i="3"/>
  <c r="T243" i="3"/>
  <c r="S243" i="3"/>
  <c r="R243" i="3"/>
  <c r="Q243" i="3"/>
  <c r="P243" i="3"/>
  <c r="O243" i="3"/>
  <c r="N243" i="3"/>
  <c r="M243" i="3"/>
  <c r="L243" i="3"/>
  <c r="A243" i="3"/>
  <c r="X242" i="3"/>
  <c r="W242" i="3"/>
  <c r="V242" i="3"/>
  <c r="U242" i="3"/>
  <c r="T242" i="3"/>
  <c r="S242" i="3"/>
  <c r="R242" i="3"/>
  <c r="Q242" i="3"/>
  <c r="P242" i="3"/>
  <c r="O242" i="3"/>
  <c r="N242" i="3"/>
  <c r="M242" i="3"/>
  <c r="L242" i="3"/>
  <c r="A242" i="3"/>
  <c r="X241" i="3"/>
  <c r="W241" i="3"/>
  <c r="V241" i="3"/>
  <c r="U241" i="3"/>
  <c r="T241" i="3"/>
  <c r="S241" i="3"/>
  <c r="R241" i="3"/>
  <c r="Q241" i="3"/>
  <c r="P241" i="3"/>
  <c r="O241" i="3"/>
  <c r="N241" i="3"/>
  <c r="M241" i="3"/>
  <c r="L241" i="3"/>
  <c r="A241" i="3"/>
  <c r="X240" i="3"/>
  <c r="W240" i="3"/>
  <c r="V240" i="3"/>
  <c r="U240" i="3"/>
  <c r="T240" i="3"/>
  <c r="S240" i="3"/>
  <c r="R240" i="3"/>
  <c r="Q240" i="3"/>
  <c r="P240" i="3"/>
  <c r="O240" i="3"/>
  <c r="N240" i="3"/>
  <c r="M240" i="3"/>
  <c r="L240" i="3"/>
  <c r="A240" i="3"/>
  <c r="X239" i="3"/>
  <c r="W239" i="3"/>
  <c r="V239" i="3"/>
  <c r="U239" i="3"/>
  <c r="T239" i="3"/>
  <c r="S239" i="3"/>
  <c r="R239" i="3"/>
  <c r="Q239" i="3"/>
  <c r="P239" i="3"/>
  <c r="O239" i="3"/>
  <c r="N239" i="3"/>
  <c r="M239" i="3"/>
  <c r="L239" i="3"/>
  <c r="A239" i="3"/>
  <c r="X238" i="3"/>
  <c r="W238" i="3"/>
  <c r="V238" i="3"/>
  <c r="U238" i="3"/>
  <c r="T238" i="3"/>
  <c r="S238" i="3"/>
  <c r="R238" i="3"/>
  <c r="Q238" i="3"/>
  <c r="P238" i="3"/>
  <c r="O238" i="3"/>
  <c r="N238" i="3"/>
  <c r="M238" i="3"/>
  <c r="L238" i="3"/>
  <c r="A238" i="3"/>
  <c r="X237" i="3"/>
  <c r="W237" i="3"/>
  <c r="V237" i="3"/>
  <c r="U237" i="3"/>
  <c r="T237" i="3"/>
  <c r="S237" i="3"/>
  <c r="R237" i="3"/>
  <c r="Q237" i="3"/>
  <c r="P237" i="3"/>
  <c r="O237" i="3"/>
  <c r="N237" i="3"/>
  <c r="M237" i="3"/>
  <c r="L237" i="3"/>
  <c r="A237" i="3"/>
  <c r="X236" i="3"/>
  <c r="W236" i="3"/>
  <c r="V236" i="3"/>
  <c r="U236" i="3"/>
  <c r="T236" i="3"/>
  <c r="S236" i="3"/>
  <c r="R236" i="3"/>
  <c r="Q236" i="3"/>
  <c r="P236" i="3"/>
  <c r="O236" i="3"/>
  <c r="N236" i="3"/>
  <c r="M236" i="3"/>
  <c r="L236" i="3"/>
  <c r="A236" i="3"/>
  <c r="X235" i="3"/>
  <c r="W235" i="3"/>
  <c r="V235" i="3"/>
  <c r="U235" i="3"/>
  <c r="T235" i="3"/>
  <c r="S235" i="3"/>
  <c r="R235" i="3"/>
  <c r="Q235" i="3"/>
  <c r="P235" i="3"/>
  <c r="O235" i="3"/>
  <c r="N235" i="3"/>
  <c r="M235" i="3"/>
  <c r="L235" i="3"/>
  <c r="A235" i="3"/>
  <c r="X234" i="3"/>
  <c r="W234" i="3"/>
  <c r="V234" i="3"/>
  <c r="U234" i="3"/>
  <c r="T234" i="3"/>
  <c r="S234" i="3"/>
  <c r="R234" i="3"/>
  <c r="Q234" i="3"/>
  <c r="P234" i="3"/>
  <c r="O234" i="3"/>
  <c r="N234" i="3"/>
  <c r="M234" i="3"/>
  <c r="L234" i="3"/>
  <c r="A234" i="3"/>
  <c r="X233" i="3"/>
  <c r="W233" i="3"/>
  <c r="V233" i="3"/>
  <c r="U233" i="3"/>
  <c r="T233" i="3"/>
  <c r="S233" i="3"/>
  <c r="R233" i="3"/>
  <c r="Q233" i="3"/>
  <c r="P233" i="3"/>
  <c r="O233" i="3"/>
  <c r="N233" i="3"/>
  <c r="M233" i="3"/>
  <c r="L233" i="3"/>
  <c r="A233" i="3"/>
  <c r="X232" i="3"/>
  <c r="W232" i="3"/>
  <c r="V232" i="3"/>
  <c r="U232" i="3"/>
  <c r="T232" i="3"/>
  <c r="S232" i="3"/>
  <c r="R232" i="3"/>
  <c r="Q232" i="3"/>
  <c r="P232" i="3"/>
  <c r="O232" i="3"/>
  <c r="N232" i="3"/>
  <c r="M232" i="3"/>
  <c r="L232" i="3"/>
  <c r="A232" i="3"/>
  <c r="X231" i="3"/>
  <c r="W231" i="3"/>
  <c r="V231" i="3"/>
  <c r="U231" i="3"/>
  <c r="T231" i="3"/>
  <c r="S231" i="3"/>
  <c r="R231" i="3"/>
  <c r="Q231" i="3"/>
  <c r="P231" i="3"/>
  <c r="O231" i="3"/>
  <c r="N231" i="3"/>
  <c r="M231" i="3"/>
  <c r="L231" i="3"/>
  <c r="A231" i="3"/>
  <c r="X230" i="3"/>
  <c r="W230" i="3"/>
  <c r="V230" i="3"/>
  <c r="U230" i="3"/>
  <c r="T230" i="3"/>
  <c r="S230" i="3"/>
  <c r="R230" i="3"/>
  <c r="Q230" i="3"/>
  <c r="P230" i="3"/>
  <c r="O230" i="3"/>
  <c r="N230" i="3"/>
  <c r="M230" i="3"/>
  <c r="L230" i="3"/>
  <c r="A230" i="3"/>
  <c r="X229" i="3"/>
  <c r="W229" i="3"/>
  <c r="V229" i="3"/>
  <c r="U229" i="3"/>
  <c r="T229" i="3"/>
  <c r="S229" i="3"/>
  <c r="R229" i="3"/>
  <c r="Q229" i="3"/>
  <c r="P229" i="3"/>
  <c r="O229" i="3"/>
  <c r="N229" i="3"/>
  <c r="M229" i="3"/>
  <c r="L229" i="3"/>
  <c r="A229" i="3"/>
  <c r="X228" i="3"/>
  <c r="W228" i="3"/>
  <c r="V228" i="3"/>
  <c r="U228" i="3"/>
  <c r="T228" i="3"/>
  <c r="S228" i="3"/>
  <c r="R228" i="3"/>
  <c r="Q228" i="3"/>
  <c r="P228" i="3"/>
  <c r="O228" i="3"/>
  <c r="N228" i="3"/>
  <c r="M228" i="3"/>
  <c r="L228" i="3"/>
  <c r="A228" i="3"/>
  <c r="X227" i="3"/>
  <c r="W227" i="3"/>
  <c r="V227" i="3"/>
  <c r="U227" i="3"/>
  <c r="T227" i="3"/>
  <c r="S227" i="3"/>
  <c r="R227" i="3"/>
  <c r="Q227" i="3"/>
  <c r="P227" i="3"/>
  <c r="O227" i="3"/>
  <c r="N227" i="3"/>
  <c r="M227" i="3"/>
  <c r="L227" i="3"/>
  <c r="A227" i="3"/>
  <c r="X226" i="3"/>
  <c r="W226" i="3"/>
  <c r="V226" i="3"/>
  <c r="U226" i="3"/>
  <c r="T226" i="3"/>
  <c r="S226" i="3"/>
  <c r="R226" i="3"/>
  <c r="Q226" i="3"/>
  <c r="P226" i="3"/>
  <c r="O226" i="3"/>
  <c r="N226" i="3"/>
  <c r="M226" i="3"/>
  <c r="L226" i="3"/>
  <c r="A226" i="3"/>
  <c r="X225" i="3"/>
  <c r="W225" i="3"/>
  <c r="V225" i="3"/>
  <c r="U225" i="3"/>
  <c r="T225" i="3"/>
  <c r="S225" i="3"/>
  <c r="R225" i="3"/>
  <c r="Q225" i="3"/>
  <c r="P225" i="3"/>
  <c r="O225" i="3"/>
  <c r="N225" i="3"/>
  <c r="M225" i="3"/>
  <c r="L225" i="3"/>
  <c r="A225" i="3"/>
  <c r="X224" i="3"/>
  <c r="W224" i="3"/>
  <c r="V224" i="3"/>
  <c r="U224" i="3"/>
  <c r="T224" i="3"/>
  <c r="S224" i="3"/>
  <c r="R224" i="3"/>
  <c r="Q224" i="3"/>
  <c r="P224" i="3"/>
  <c r="O224" i="3"/>
  <c r="N224" i="3"/>
  <c r="M224" i="3"/>
  <c r="L224" i="3"/>
  <c r="A224" i="3"/>
  <c r="X222" i="3"/>
  <c r="W222" i="3"/>
  <c r="V222" i="3"/>
  <c r="U222" i="3"/>
  <c r="T222" i="3"/>
  <c r="S222" i="3"/>
  <c r="R222" i="3"/>
  <c r="Q222" i="3"/>
  <c r="P222" i="3"/>
  <c r="O222" i="3"/>
  <c r="N222" i="3"/>
  <c r="M222" i="3"/>
  <c r="L222" i="3"/>
  <c r="A222" i="3"/>
  <c r="X221" i="3"/>
  <c r="W221" i="3"/>
  <c r="V221" i="3"/>
  <c r="U221" i="3"/>
  <c r="T221" i="3"/>
  <c r="S221" i="3"/>
  <c r="R221" i="3"/>
  <c r="Q221" i="3"/>
  <c r="P221" i="3"/>
  <c r="O221" i="3"/>
  <c r="N221" i="3"/>
  <c r="M221" i="3"/>
  <c r="L221" i="3"/>
  <c r="A221" i="3"/>
  <c r="X220" i="3"/>
  <c r="W220" i="3"/>
  <c r="V220" i="3"/>
  <c r="U220" i="3"/>
  <c r="T220" i="3"/>
  <c r="S220" i="3"/>
  <c r="R220" i="3"/>
  <c r="Q220" i="3"/>
  <c r="P220" i="3"/>
  <c r="O220" i="3"/>
  <c r="N220" i="3"/>
  <c r="M220" i="3"/>
  <c r="L220" i="3"/>
  <c r="A220" i="3"/>
  <c r="X219" i="3"/>
  <c r="W219" i="3"/>
  <c r="V219" i="3"/>
  <c r="U219" i="3"/>
  <c r="T219" i="3"/>
  <c r="S219" i="3"/>
  <c r="R219" i="3"/>
  <c r="Q219" i="3"/>
  <c r="P219" i="3"/>
  <c r="O219" i="3"/>
  <c r="N219" i="3"/>
  <c r="M219" i="3"/>
  <c r="L219" i="3"/>
  <c r="A219" i="3"/>
  <c r="X218" i="3"/>
  <c r="W218" i="3"/>
  <c r="V218" i="3"/>
  <c r="U218" i="3"/>
  <c r="T218" i="3"/>
  <c r="S218" i="3"/>
  <c r="R218" i="3"/>
  <c r="Q218" i="3"/>
  <c r="P218" i="3"/>
  <c r="O218" i="3"/>
  <c r="N218" i="3"/>
  <c r="M218" i="3"/>
  <c r="L218" i="3"/>
  <c r="A218" i="3"/>
  <c r="X217" i="3"/>
  <c r="W217" i="3"/>
  <c r="V217" i="3"/>
  <c r="U217" i="3"/>
  <c r="T217" i="3"/>
  <c r="S217" i="3"/>
  <c r="R217" i="3"/>
  <c r="Q217" i="3"/>
  <c r="P217" i="3"/>
  <c r="O217" i="3"/>
  <c r="N217" i="3"/>
  <c r="M217" i="3"/>
  <c r="L217" i="3"/>
  <c r="A217" i="3"/>
  <c r="X216" i="3"/>
  <c r="W216" i="3"/>
  <c r="V216" i="3"/>
  <c r="U216" i="3"/>
  <c r="T216" i="3"/>
  <c r="S216" i="3"/>
  <c r="R216" i="3"/>
  <c r="Q216" i="3"/>
  <c r="P216" i="3"/>
  <c r="O216" i="3"/>
  <c r="N216" i="3"/>
  <c r="M216" i="3"/>
  <c r="L216" i="3"/>
  <c r="A216" i="3"/>
  <c r="X215" i="3"/>
  <c r="W215" i="3"/>
  <c r="V215" i="3"/>
  <c r="U215" i="3"/>
  <c r="T215" i="3"/>
  <c r="S215" i="3"/>
  <c r="R215" i="3"/>
  <c r="Q215" i="3"/>
  <c r="P215" i="3"/>
  <c r="O215" i="3"/>
  <c r="N215" i="3"/>
  <c r="M215" i="3"/>
  <c r="L215" i="3"/>
  <c r="A215" i="3"/>
  <c r="X214" i="3"/>
  <c r="W214" i="3"/>
  <c r="V214" i="3"/>
  <c r="U214" i="3"/>
  <c r="T214" i="3"/>
  <c r="S214" i="3"/>
  <c r="R214" i="3"/>
  <c r="Q214" i="3"/>
  <c r="P214" i="3"/>
  <c r="O214" i="3"/>
  <c r="N214" i="3"/>
  <c r="M214" i="3"/>
  <c r="L214" i="3"/>
  <c r="A214" i="3"/>
  <c r="X213" i="3"/>
  <c r="W213" i="3"/>
  <c r="V213" i="3"/>
  <c r="U213" i="3"/>
  <c r="T213" i="3"/>
  <c r="S213" i="3"/>
  <c r="R213" i="3"/>
  <c r="Q213" i="3"/>
  <c r="P213" i="3"/>
  <c r="O213" i="3"/>
  <c r="N213" i="3"/>
  <c r="M213" i="3"/>
  <c r="L213" i="3"/>
  <c r="A213" i="3"/>
  <c r="X212" i="3"/>
  <c r="W212" i="3"/>
  <c r="V212" i="3"/>
  <c r="U212" i="3"/>
  <c r="T212" i="3"/>
  <c r="S212" i="3"/>
  <c r="R212" i="3"/>
  <c r="Q212" i="3"/>
  <c r="P212" i="3"/>
  <c r="O212" i="3"/>
  <c r="N212" i="3"/>
  <c r="M212" i="3"/>
  <c r="L212" i="3"/>
  <c r="A212" i="3"/>
  <c r="X211" i="3"/>
  <c r="W211" i="3"/>
  <c r="V211" i="3"/>
  <c r="U211" i="3"/>
  <c r="T211" i="3"/>
  <c r="S211" i="3"/>
  <c r="R211" i="3"/>
  <c r="Q211" i="3"/>
  <c r="P211" i="3"/>
  <c r="O211" i="3"/>
  <c r="N211" i="3"/>
  <c r="M211" i="3"/>
  <c r="L211" i="3"/>
  <c r="A211" i="3"/>
  <c r="X210" i="3"/>
  <c r="W210" i="3"/>
  <c r="V210" i="3"/>
  <c r="U210" i="3"/>
  <c r="T210" i="3"/>
  <c r="S210" i="3"/>
  <c r="R210" i="3"/>
  <c r="Q210" i="3"/>
  <c r="P210" i="3"/>
  <c r="O210" i="3"/>
  <c r="N210" i="3"/>
  <c r="M210" i="3"/>
  <c r="L210" i="3"/>
  <c r="A210" i="3"/>
  <c r="X209" i="3"/>
  <c r="W209" i="3"/>
  <c r="V209" i="3"/>
  <c r="U209" i="3"/>
  <c r="T209" i="3"/>
  <c r="S209" i="3"/>
  <c r="R209" i="3"/>
  <c r="Q209" i="3"/>
  <c r="P209" i="3"/>
  <c r="O209" i="3"/>
  <c r="N209" i="3"/>
  <c r="M209" i="3"/>
  <c r="L209" i="3"/>
  <c r="A209" i="3"/>
  <c r="X208" i="3"/>
  <c r="W208" i="3"/>
  <c r="V208" i="3"/>
  <c r="U208" i="3"/>
  <c r="T208" i="3"/>
  <c r="S208" i="3"/>
  <c r="R208" i="3"/>
  <c r="Q208" i="3"/>
  <c r="P208" i="3"/>
  <c r="O208" i="3"/>
  <c r="N208" i="3"/>
  <c r="M208" i="3"/>
  <c r="L208" i="3"/>
  <c r="A208" i="3"/>
  <c r="X207" i="3"/>
  <c r="W207" i="3"/>
  <c r="V207" i="3"/>
  <c r="U207" i="3"/>
  <c r="T207" i="3"/>
  <c r="S207" i="3"/>
  <c r="R207" i="3"/>
  <c r="Q207" i="3"/>
  <c r="P207" i="3"/>
  <c r="O207" i="3"/>
  <c r="N207" i="3"/>
  <c r="M207" i="3"/>
  <c r="L207" i="3"/>
  <c r="A207" i="3"/>
  <c r="X206" i="3"/>
  <c r="W206" i="3"/>
  <c r="V206" i="3"/>
  <c r="U206" i="3"/>
  <c r="T206" i="3"/>
  <c r="S206" i="3"/>
  <c r="R206" i="3"/>
  <c r="Q206" i="3"/>
  <c r="P206" i="3"/>
  <c r="O206" i="3"/>
  <c r="N206" i="3"/>
  <c r="M206" i="3"/>
  <c r="L206" i="3"/>
  <c r="A206" i="3"/>
  <c r="X205" i="3"/>
  <c r="W205" i="3"/>
  <c r="V205" i="3"/>
  <c r="U205" i="3"/>
  <c r="T205" i="3"/>
  <c r="S205" i="3"/>
  <c r="R205" i="3"/>
  <c r="Q205" i="3"/>
  <c r="P205" i="3"/>
  <c r="O205" i="3"/>
  <c r="N205" i="3"/>
  <c r="M205" i="3"/>
  <c r="L205" i="3"/>
  <c r="A205" i="3"/>
  <c r="X204" i="3"/>
  <c r="W204" i="3"/>
  <c r="V204" i="3"/>
  <c r="U204" i="3"/>
  <c r="T204" i="3"/>
  <c r="S204" i="3"/>
  <c r="R204" i="3"/>
  <c r="Q204" i="3"/>
  <c r="P204" i="3"/>
  <c r="O204" i="3"/>
  <c r="N204" i="3"/>
  <c r="M204" i="3"/>
  <c r="L204" i="3"/>
  <c r="A204" i="3"/>
  <c r="X203" i="3"/>
  <c r="W203" i="3"/>
  <c r="V203" i="3"/>
  <c r="U203" i="3"/>
  <c r="T203" i="3"/>
  <c r="S203" i="3"/>
  <c r="R203" i="3"/>
  <c r="Q203" i="3"/>
  <c r="P203" i="3"/>
  <c r="O203" i="3"/>
  <c r="N203" i="3"/>
  <c r="M203" i="3"/>
  <c r="L203" i="3"/>
  <c r="A203" i="3"/>
  <c r="X202" i="3"/>
  <c r="W202" i="3"/>
  <c r="V202" i="3"/>
  <c r="U202" i="3"/>
  <c r="T202" i="3"/>
  <c r="S202" i="3"/>
  <c r="R202" i="3"/>
  <c r="Q202" i="3"/>
  <c r="P202" i="3"/>
  <c r="O202" i="3"/>
  <c r="N202" i="3"/>
  <c r="M202" i="3"/>
  <c r="L202" i="3"/>
  <c r="A202" i="3"/>
  <c r="X201" i="3"/>
  <c r="W201" i="3"/>
  <c r="V201" i="3"/>
  <c r="U201" i="3"/>
  <c r="T201" i="3"/>
  <c r="S201" i="3"/>
  <c r="R201" i="3"/>
  <c r="Q201" i="3"/>
  <c r="P201" i="3"/>
  <c r="O201" i="3"/>
  <c r="N201" i="3"/>
  <c r="M201" i="3"/>
  <c r="L201" i="3"/>
  <c r="A201" i="3"/>
  <c r="X200" i="3"/>
  <c r="W200" i="3"/>
  <c r="V200" i="3"/>
  <c r="U200" i="3"/>
  <c r="T200" i="3"/>
  <c r="S200" i="3"/>
  <c r="R200" i="3"/>
  <c r="Q200" i="3"/>
  <c r="P200" i="3"/>
  <c r="O200" i="3"/>
  <c r="N200" i="3"/>
  <c r="M200" i="3"/>
  <c r="L200" i="3"/>
  <c r="A200" i="3"/>
  <c r="X199" i="3"/>
  <c r="W199" i="3"/>
  <c r="V199" i="3"/>
  <c r="U199" i="3"/>
  <c r="T199" i="3"/>
  <c r="S199" i="3"/>
  <c r="R199" i="3"/>
  <c r="Q199" i="3"/>
  <c r="P199" i="3"/>
  <c r="O199" i="3"/>
  <c r="N199" i="3"/>
  <c r="M199" i="3"/>
  <c r="L199" i="3"/>
  <c r="A199" i="3"/>
  <c r="X198" i="3"/>
  <c r="W198" i="3"/>
  <c r="V198" i="3"/>
  <c r="U198" i="3"/>
  <c r="T198" i="3"/>
  <c r="S198" i="3"/>
  <c r="R198" i="3"/>
  <c r="Q198" i="3"/>
  <c r="P198" i="3"/>
  <c r="O198" i="3"/>
  <c r="N198" i="3"/>
  <c r="M198" i="3"/>
  <c r="L198" i="3"/>
  <c r="A198" i="3"/>
  <c r="X197" i="3"/>
  <c r="W197" i="3"/>
  <c r="V197" i="3"/>
  <c r="U197" i="3"/>
  <c r="T197" i="3"/>
  <c r="S197" i="3"/>
  <c r="R197" i="3"/>
  <c r="Q197" i="3"/>
  <c r="P197" i="3"/>
  <c r="O197" i="3"/>
  <c r="N197" i="3"/>
  <c r="M197" i="3"/>
  <c r="L197" i="3"/>
  <c r="A197" i="3"/>
  <c r="X196" i="3"/>
  <c r="W196" i="3"/>
  <c r="V196" i="3"/>
  <c r="U196" i="3"/>
  <c r="T196" i="3"/>
  <c r="S196" i="3"/>
  <c r="R196" i="3"/>
  <c r="Q196" i="3"/>
  <c r="P196" i="3"/>
  <c r="O196" i="3"/>
  <c r="N196" i="3"/>
  <c r="M196" i="3"/>
  <c r="L196" i="3"/>
  <c r="A196" i="3"/>
  <c r="X195" i="3"/>
  <c r="W195" i="3"/>
  <c r="V195" i="3"/>
  <c r="U195" i="3"/>
  <c r="T195" i="3"/>
  <c r="S195" i="3"/>
  <c r="R195" i="3"/>
  <c r="Q195" i="3"/>
  <c r="P195" i="3"/>
  <c r="O195" i="3"/>
  <c r="N195" i="3"/>
  <c r="M195" i="3"/>
  <c r="L195" i="3"/>
  <c r="A195" i="3"/>
  <c r="X194" i="3"/>
  <c r="W194" i="3"/>
  <c r="V194" i="3"/>
  <c r="U194" i="3"/>
  <c r="T194" i="3"/>
  <c r="S194" i="3"/>
  <c r="R194" i="3"/>
  <c r="Q194" i="3"/>
  <c r="P194" i="3"/>
  <c r="O194" i="3"/>
  <c r="N194" i="3"/>
  <c r="M194" i="3"/>
  <c r="L194" i="3"/>
  <c r="A194" i="3"/>
  <c r="X193" i="3"/>
  <c r="W193" i="3"/>
  <c r="V193" i="3"/>
  <c r="U193" i="3"/>
  <c r="T193" i="3"/>
  <c r="S193" i="3"/>
  <c r="R193" i="3"/>
  <c r="Q193" i="3"/>
  <c r="P193" i="3"/>
  <c r="O193" i="3"/>
  <c r="N193" i="3"/>
  <c r="M193" i="3"/>
  <c r="L193" i="3"/>
  <c r="A193" i="3"/>
  <c r="X192" i="3"/>
  <c r="W192" i="3"/>
  <c r="V192" i="3"/>
  <c r="U192" i="3"/>
  <c r="T192" i="3"/>
  <c r="S192" i="3"/>
  <c r="R192" i="3"/>
  <c r="Q192" i="3"/>
  <c r="P192" i="3"/>
  <c r="O192" i="3"/>
  <c r="N192" i="3"/>
  <c r="M192" i="3"/>
  <c r="L192" i="3"/>
  <c r="A192" i="3"/>
  <c r="X191" i="3"/>
  <c r="W191" i="3"/>
  <c r="V191" i="3"/>
  <c r="U191" i="3"/>
  <c r="T191" i="3"/>
  <c r="S191" i="3"/>
  <c r="R191" i="3"/>
  <c r="Q191" i="3"/>
  <c r="P191" i="3"/>
  <c r="O191" i="3"/>
  <c r="N191" i="3"/>
  <c r="M191" i="3"/>
  <c r="L191" i="3"/>
  <c r="A191" i="3"/>
  <c r="X190" i="3"/>
  <c r="W190" i="3"/>
  <c r="V190" i="3"/>
  <c r="U190" i="3"/>
  <c r="T190" i="3"/>
  <c r="S190" i="3"/>
  <c r="R190" i="3"/>
  <c r="Q190" i="3"/>
  <c r="P190" i="3"/>
  <c r="O190" i="3"/>
  <c r="N190" i="3"/>
  <c r="M190" i="3"/>
  <c r="L190" i="3"/>
  <c r="A190" i="3"/>
  <c r="X189" i="3"/>
  <c r="W189" i="3"/>
  <c r="V189" i="3"/>
  <c r="U189" i="3"/>
  <c r="T189" i="3"/>
  <c r="S189" i="3"/>
  <c r="R189" i="3"/>
  <c r="Q189" i="3"/>
  <c r="P189" i="3"/>
  <c r="O189" i="3"/>
  <c r="N189" i="3"/>
  <c r="M189" i="3"/>
  <c r="L189" i="3"/>
  <c r="A189" i="3"/>
  <c r="X188" i="3"/>
  <c r="W188" i="3"/>
  <c r="V188" i="3"/>
  <c r="U188" i="3"/>
  <c r="T188" i="3"/>
  <c r="S188" i="3"/>
  <c r="R188" i="3"/>
  <c r="Q188" i="3"/>
  <c r="P188" i="3"/>
  <c r="O188" i="3"/>
  <c r="N188" i="3"/>
  <c r="M188" i="3"/>
  <c r="L188" i="3"/>
  <c r="A188" i="3"/>
  <c r="X187" i="3"/>
  <c r="W187" i="3"/>
  <c r="V187" i="3"/>
  <c r="U187" i="3"/>
  <c r="T187" i="3"/>
  <c r="S187" i="3"/>
  <c r="R187" i="3"/>
  <c r="Q187" i="3"/>
  <c r="P187" i="3"/>
  <c r="O187" i="3"/>
  <c r="N187" i="3"/>
  <c r="M187" i="3"/>
  <c r="L187" i="3"/>
  <c r="A187" i="3"/>
  <c r="X186" i="3"/>
  <c r="W186" i="3"/>
  <c r="V186" i="3"/>
  <c r="U186" i="3"/>
  <c r="T186" i="3"/>
  <c r="S186" i="3"/>
  <c r="R186" i="3"/>
  <c r="Q186" i="3"/>
  <c r="P186" i="3"/>
  <c r="O186" i="3"/>
  <c r="N186" i="3"/>
  <c r="M186" i="3"/>
  <c r="L186" i="3"/>
  <c r="A186" i="3"/>
  <c r="X185" i="3"/>
  <c r="W185" i="3"/>
  <c r="V185" i="3"/>
  <c r="U185" i="3"/>
  <c r="T185" i="3"/>
  <c r="S185" i="3"/>
  <c r="R185" i="3"/>
  <c r="Q185" i="3"/>
  <c r="P185" i="3"/>
  <c r="O185" i="3"/>
  <c r="N185" i="3"/>
  <c r="M185" i="3"/>
  <c r="L185" i="3"/>
  <c r="A185" i="3"/>
  <c r="X184" i="3"/>
  <c r="W184" i="3"/>
  <c r="V184" i="3"/>
  <c r="U184" i="3"/>
  <c r="T184" i="3"/>
  <c r="S184" i="3"/>
  <c r="R184" i="3"/>
  <c r="Q184" i="3"/>
  <c r="P184" i="3"/>
  <c r="O184" i="3"/>
  <c r="N184" i="3"/>
  <c r="M184" i="3"/>
  <c r="L184" i="3"/>
  <c r="A184" i="3"/>
  <c r="X183" i="3"/>
  <c r="W183" i="3"/>
  <c r="V183" i="3"/>
  <c r="U183" i="3"/>
  <c r="T183" i="3"/>
  <c r="S183" i="3"/>
  <c r="R183" i="3"/>
  <c r="Q183" i="3"/>
  <c r="P183" i="3"/>
  <c r="O183" i="3"/>
  <c r="N183" i="3"/>
  <c r="M183" i="3"/>
  <c r="L183" i="3"/>
  <c r="A183" i="3"/>
  <c r="X182" i="3"/>
  <c r="W182" i="3"/>
  <c r="V182" i="3"/>
  <c r="U182" i="3"/>
  <c r="T182" i="3"/>
  <c r="S182" i="3"/>
  <c r="R182" i="3"/>
  <c r="Q182" i="3"/>
  <c r="P182" i="3"/>
  <c r="O182" i="3"/>
  <c r="N182" i="3"/>
  <c r="M182" i="3"/>
  <c r="L182" i="3"/>
  <c r="A182" i="3"/>
  <c r="X181" i="3"/>
  <c r="W181" i="3"/>
  <c r="V181" i="3"/>
  <c r="U181" i="3"/>
  <c r="T181" i="3"/>
  <c r="S181" i="3"/>
  <c r="R181" i="3"/>
  <c r="Q181" i="3"/>
  <c r="P181" i="3"/>
  <c r="O181" i="3"/>
  <c r="N181" i="3"/>
  <c r="M181" i="3"/>
  <c r="L181" i="3"/>
  <c r="A181" i="3"/>
  <c r="X180" i="3"/>
  <c r="W180" i="3"/>
  <c r="V180" i="3"/>
  <c r="U180" i="3"/>
  <c r="T180" i="3"/>
  <c r="S180" i="3"/>
  <c r="R180" i="3"/>
  <c r="Q180" i="3"/>
  <c r="P180" i="3"/>
  <c r="O180" i="3"/>
  <c r="N180" i="3"/>
  <c r="M180" i="3"/>
  <c r="L180" i="3"/>
  <c r="A180" i="3"/>
  <c r="X179" i="3"/>
  <c r="W179" i="3"/>
  <c r="V179" i="3"/>
  <c r="U179" i="3"/>
  <c r="T179" i="3"/>
  <c r="S179" i="3"/>
  <c r="R179" i="3"/>
  <c r="Q179" i="3"/>
  <c r="P179" i="3"/>
  <c r="O179" i="3"/>
  <c r="N179" i="3"/>
  <c r="M179" i="3"/>
  <c r="L179" i="3"/>
  <c r="A179" i="3"/>
  <c r="X178" i="3"/>
  <c r="W178" i="3"/>
  <c r="V178" i="3"/>
  <c r="U178" i="3"/>
  <c r="T178" i="3"/>
  <c r="S178" i="3"/>
  <c r="R178" i="3"/>
  <c r="Q178" i="3"/>
  <c r="P178" i="3"/>
  <c r="O178" i="3"/>
  <c r="N178" i="3"/>
  <c r="M178" i="3"/>
  <c r="L178" i="3"/>
  <c r="A178" i="3"/>
  <c r="X177" i="3"/>
  <c r="W177" i="3"/>
  <c r="V177" i="3"/>
  <c r="U177" i="3"/>
  <c r="T177" i="3"/>
  <c r="S177" i="3"/>
  <c r="R177" i="3"/>
  <c r="Q177" i="3"/>
  <c r="P177" i="3"/>
  <c r="O177" i="3"/>
  <c r="N177" i="3"/>
  <c r="M177" i="3"/>
  <c r="L177" i="3"/>
  <c r="A177" i="3"/>
  <c r="X176" i="3"/>
  <c r="W176" i="3"/>
  <c r="V176" i="3"/>
  <c r="U176" i="3"/>
  <c r="T176" i="3"/>
  <c r="S176" i="3"/>
  <c r="R176" i="3"/>
  <c r="Q176" i="3"/>
  <c r="P176" i="3"/>
  <c r="O176" i="3"/>
  <c r="N176" i="3"/>
  <c r="M176" i="3"/>
  <c r="L176" i="3"/>
  <c r="A176" i="3"/>
  <c r="X175" i="3"/>
  <c r="W175" i="3"/>
  <c r="V175" i="3"/>
  <c r="U175" i="3"/>
  <c r="T175" i="3"/>
  <c r="S175" i="3"/>
  <c r="R175" i="3"/>
  <c r="Q175" i="3"/>
  <c r="P175" i="3"/>
  <c r="O175" i="3"/>
  <c r="N175" i="3"/>
  <c r="M175" i="3"/>
  <c r="L175" i="3"/>
  <c r="A175" i="3"/>
  <c r="X174" i="3"/>
  <c r="W174" i="3"/>
  <c r="V174" i="3"/>
  <c r="U174" i="3"/>
  <c r="T174" i="3"/>
  <c r="S174" i="3"/>
  <c r="R174" i="3"/>
  <c r="Q174" i="3"/>
  <c r="P174" i="3"/>
  <c r="O174" i="3"/>
  <c r="N174" i="3"/>
  <c r="M174" i="3"/>
  <c r="L174" i="3"/>
  <c r="A174" i="3"/>
  <c r="X173" i="3"/>
  <c r="W173" i="3"/>
  <c r="V173" i="3"/>
  <c r="U173" i="3"/>
  <c r="T173" i="3"/>
  <c r="S173" i="3"/>
  <c r="R173" i="3"/>
  <c r="Q173" i="3"/>
  <c r="P173" i="3"/>
  <c r="O173" i="3"/>
  <c r="N173" i="3"/>
  <c r="M173" i="3"/>
  <c r="L173" i="3"/>
  <c r="A173" i="3"/>
  <c r="X172" i="3"/>
  <c r="W172" i="3"/>
  <c r="V172" i="3"/>
  <c r="U172" i="3"/>
  <c r="T172" i="3"/>
  <c r="S172" i="3"/>
  <c r="R172" i="3"/>
  <c r="Q172" i="3"/>
  <c r="P172" i="3"/>
  <c r="O172" i="3"/>
  <c r="N172" i="3"/>
  <c r="M172" i="3"/>
  <c r="L172" i="3"/>
  <c r="A172" i="3"/>
  <c r="X171" i="3"/>
  <c r="W171" i="3"/>
  <c r="V171" i="3"/>
  <c r="U171" i="3"/>
  <c r="T171" i="3"/>
  <c r="S171" i="3"/>
  <c r="R171" i="3"/>
  <c r="Q171" i="3"/>
  <c r="P171" i="3"/>
  <c r="O171" i="3"/>
  <c r="N171" i="3"/>
  <c r="M171" i="3"/>
  <c r="L171" i="3"/>
  <c r="A171" i="3"/>
  <c r="X170" i="3"/>
  <c r="W170" i="3"/>
  <c r="V170" i="3"/>
  <c r="U170" i="3"/>
  <c r="T170" i="3"/>
  <c r="S170" i="3"/>
  <c r="R170" i="3"/>
  <c r="Q170" i="3"/>
  <c r="P170" i="3"/>
  <c r="O170" i="3"/>
  <c r="N170" i="3"/>
  <c r="M170" i="3"/>
  <c r="L170" i="3"/>
  <c r="A170" i="3"/>
  <c r="X169" i="3"/>
  <c r="W169" i="3"/>
  <c r="V169" i="3"/>
  <c r="U169" i="3"/>
  <c r="T169" i="3"/>
  <c r="S169" i="3"/>
  <c r="R169" i="3"/>
  <c r="Q169" i="3"/>
  <c r="P169" i="3"/>
  <c r="O169" i="3"/>
  <c r="N169" i="3"/>
  <c r="M169" i="3"/>
  <c r="L169" i="3"/>
  <c r="A169" i="3"/>
  <c r="X168" i="3"/>
  <c r="W168" i="3"/>
  <c r="V168" i="3"/>
  <c r="U168" i="3"/>
  <c r="T168" i="3"/>
  <c r="S168" i="3"/>
  <c r="R168" i="3"/>
  <c r="Q168" i="3"/>
  <c r="P168" i="3"/>
  <c r="O168" i="3"/>
  <c r="N168" i="3"/>
  <c r="M168" i="3"/>
  <c r="L168" i="3"/>
  <c r="A168" i="3"/>
  <c r="X167" i="3"/>
  <c r="W167" i="3"/>
  <c r="V167" i="3"/>
  <c r="U167" i="3"/>
  <c r="T167" i="3"/>
  <c r="S167" i="3"/>
  <c r="R167" i="3"/>
  <c r="Q167" i="3"/>
  <c r="P167" i="3"/>
  <c r="O167" i="3"/>
  <c r="N167" i="3"/>
  <c r="M167" i="3"/>
  <c r="L167" i="3"/>
  <c r="A167" i="3"/>
  <c r="X166" i="3"/>
  <c r="W166" i="3"/>
  <c r="V166" i="3"/>
  <c r="U166" i="3"/>
  <c r="T166" i="3"/>
  <c r="S166" i="3"/>
  <c r="R166" i="3"/>
  <c r="Q166" i="3"/>
  <c r="P166" i="3"/>
  <c r="O166" i="3"/>
  <c r="N166" i="3"/>
  <c r="M166" i="3"/>
  <c r="L166" i="3"/>
  <c r="A166" i="3"/>
  <c r="X165" i="3"/>
  <c r="W165" i="3"/>
  <c r="V165" i="3"/>
  <c r="U165" i="3"/>
  <c r="T165" i="3"/>
  <c r="S165" i="3"/>
  <c r="R165" i="3"/>
  <c r="Q165" i="3"/>
  <c r="P165" i="3"/>
  <c r="O165" i="3"/>
  <c r="N165" i="3"/>
  <c r="M165" i="3"/>
  <c r="L165" i="3"/>
  <c r="A165" i="3"/>
  <c r="X164" i="3"/>
  <c r="W164" i="3"/>
  <c r="V164" i="3"/>
  <c r="U164" i="3"/>
  <c r="T164" i="3"/>
  <c r="S164" i="3"/>
  <c r="R164" i="3"/>
  <c r="Q164" i="3"/>
  <c r="P164" i="3"/>
  <c r="O164" i="3"/>
  <c r="N164" i="3"/>
  <c r="M164" i="3"/>
  <c r="L164" i="3"/>
  <c r="A164" i="3"/>
  <c r="X163" i="3"/>
  <c r="W163" i="3"/>
  <c r="V163" i="3"/>
  <c r="U163" i="3"/>
  <c r="T163" i="3"/>
  <c r="S163" i="3"/>
  <c r="R163" i="3"/>
  <c r="Q163" i="3"/>
  <c r="P163" i="3"/>
  <c r="O163" i="3"/>
  <c r="N163" i="3"/>
  <c r="M163" i="3"/>
  <c r="L163" i="3"/>
  <c r="A163" i="3"/>
  <c r="X162" i="3"/>
  <c r="W162" i="3"/>
  <c r="V162" i="3"/>
  <c r="U162" i="3"/>
  <c r="T162" i="3"/>
  <c r="S162" i="3"/>
  <c r="R162" i="3"/>
  <c r="Q162" i="3"/>
  <c r="P162" i="3"/>
  <c r="O162" i="3"/>
  <c r="N162" i="3"/>
  <c r="M162" i="3"/>
  <c r="L162" i="3"/>
  <c r="A162" i="3"/>
  <c r="X161" i="3"/>
  <c r="W161" i="3"/>
  <c r="V161" i="3"/>
  <c r="U161" i="3"/>
  <c r="T161" i="3"/>
  <c r="S161" i="3"/>
  <c r="R161" i="3"/>
  <c r="Q161" i="3"/>
  <c r="P161" i="3"/>
  <c r="O161" i="3"/>
  <c r="N161" i="3"/>
  <c r="M161" i="3"/>
  <c r="L161" i="3"/>
  <c r="A161" i="3"/>
  <c r="X160" i="3"/>
  <c r="W160" i="3"/>
  <c r="V160" i="3"/>
  <c r="U160" i="3"/>
  <c r="T160" i="3"/>
  <c r="S160" i="3"/>
  <c r="R160" i="3"/>
  <c r="Q160" i="3"/>
  <c r="P160" i="3"/>
  <c r="O160" i="3"/>
  <c r="N160" i="3"/>
  <c r="M160" i="3"/>
  <c r="L160" i="3"/>
  <c r="A160" i="3"/>
  <c r="X159" i="3"/>
  <c r="W159" i="3"/>
  <c r="V159" i="3"/>
  <c r="U159" i="3"/>
  <c r="T159" i="3"/>
  <c r="S159" i="3"/>
  <c r="R159" i="3"/>
  <c r="Q159" i="3"/>
  <c r="P159" i="3"/>
  <c r="O159" i="3"/>
  <c r="N159" i="3"/>
  <c r="M159" i="3"/>
  <c r="L159" i="3"/>
  <c r="A159" i="3"/>
  <c r="X158" i="3"/>
  <c r="W158" i="3"/>
  <c r="V158" i="3"/>
  <c r="U158" i="3"/>
  <c r="T158" i="3"/>
  <c r="S158" i="3"/>
  <c r="R158" i="3"/>
  <c r="Q158" i="3"/>
  <c r="P158" i="3"/>
  <c r="O158" i="3"/>
  <c r="N158" i="3"/>
  <c r="M158" i="3"/>
  <c r="L158" i="3"/>
  <c r="A158" i="3"/>
  <c r="X157" i="3"/>
  <c r="W157" i="3"/>
  <c r="V157" i="3"/>
  <c r="U157" i="3"/>
  <c r="T157" i="3"/>
  <c r="S157" i="3"/>
  <c r="R157" i="3"/>
  <c r="Q157" i="3"/>
  <c r="P157" i="3"/>
  <c r="O157" i="3"/>
  <c r="N157" i="3"/>
  <c r="M157" i="3"/>
  <c r="L157" i="3"/>
  <c r="A157" i="3"/>
  <c r="X156" i="3"/>
  <c r="W156" i="3"/>
  <c r="V156" i="3"/>
  <c r="U156" i="3"/>
  <c r="T156" i="3"/>
  <c r="S156" i="3"/>
  <c r="R156" i="3"/>
  <c r="Q156" i="3"/>
  <c r="P156" i="3"/>
  <c r="O156" i="3"/>
  <c r="N156" i="3"/>
  <c r="M156" i="3"/>
  <c r="L156" i="3"/>
  <c r="A156" i="3"/>
  <c r="X155" i="3"/>
  <c r="W155" i="3"/>
  <c r="V155" i="3"/>
  <c r="U155" i="3"/>
  <c r="T155" i="3"/>
  <c r="S155" i="3"/>
  <c r="R155" i="3"/>
  <c r="Q155" i="3"/>
  <c r="P155" i="3"/>
  <c r="O155" i="3"/>
  <c r="N155" i="3"/>
  <c r="M155" i="3"/>
  <c r="L155" i="3"/>
  <c r="A155" i="3"/>
  <c r="X154" i="3"/>
  <c r="W154" i="3"/>
  <c r="V154" i="3"/>
  <c r="U154" i="3"/>
  <c r="T154" i="3"/>
  <c r="S154" i="3"/>
  <c r="R154" i="3"/>
  <c r="Q154" i="3"/>
  <c r="P154" i="3"/>
  <c r="O154" i="3"/>
  <c r="N154" i="3"/>
  <c r="M154" i="3"/>
  <c r="L154" i="3"/>
  <c r="A154" i="3"/>
  <c r="X153" i="3"/>
  <c r="W153" i="3"/>
  <c r="V153" i="3"/>
  <c r="U153" i="3"/>
  <c r="T153" i="3"/>
  <c r="S153" i="3"/>
  <c r="R153" i="3"/>
  <c r="Q153" i="3"/>
  <c r="P153" i="3"/>
  <c r="O153" i="3"/>
  <c r="N153" i="3"/>
  <c r="M153" i="3"/>
  <c r="L153" i="3"/>
  <c r="A153" i="3"/>
  <c r="X152" i="3"/>
  <c r="W152" i="3"/>
  <c r="V152" i="3"/>
  <c r="U152" i="3"/>
  <c r="T152" i="3"/>
  <c r="S152" i="3"/>
  <c r="R152" i="3"/>
  <c r="Q152" i="3"/>
  <c r="P152" i="3"/>
  <c r="O152" i="3"/>
  <c r="N152" i="3"/>
  <c r="M152" i="3"/>
  <c r="L152" i="3"/>
  <c r="A152" i="3"/>
  <c r="X151" i="3"/>
  <c r="W151" i="3"/>
  <c r="V151" i="3"/>
  <c r="U151" i="3"/>
  <c r="T151" i="3"/>
  <c r="S151" i="3"/>
  <c r="R151" i="3"/>
  <c r="Q151" i="3"/>
  <c r="P151" i="3"/>
  <c r="O151" i="3"/>
  <c r="N151" i="3"/>
  <c r="M151" i="3"/>
  <c r="L151" i="3"/>
  <c r="A151" i="3"/>
  <c r="X150" i="3"/>
  <c r="W150" i="3"/>
  <c r="V150" i="3"/>
  <c r="U150" i="3"/>
  <c r="T150" i="3"/>
  <c r="S150" i="3"/>
  <c r="R150" i="3"/>
  <c r="Q150" i="3"/>
  <c r="P150" i="3"/>
  <c r="O150" i="3"/>
  <c r="N150" i="3"/>
  <c r="M150" i="3"/>
  <c r="L150" i="3"/>
  <c r="A150" i="3"/>
  <c r="X149" i="3"/>
  <c r="W149" i="3"/>
  <c r="V149" i="3"/>
  <c r="U149" i="3"/>
  <c r="T149" i="3"/>
  <c r="S149" i="3"/>
  <c r="R149" i="3"/>
  <c r="Q149" i="3"/>
  <c r="P149" i="3"/>
  <c r="O149" i="3"/>
  <c r="N149" i="3"/>
  <c r="M149" i="3"/>
  <c r="L149" i="3"/>
  <c r="A149" i="3"/>
  <c r="X148" i="3"/>
  <c r="W148" i="3"/>
  <c r="V148" i="3"/>
  <c r="U148" i="3"/>
  <c r="T148" i="3"/>
  <c r="S148" i="3"/>
  <c r="R148" i="3"/>
  <c r="Q148" i="3"/>
  <c r="P148" i="3"/>
  <c r="O148" i="3"/>
  <c r="N148" i="3"/>
  <c r="M148" i="3"/>
  <c r="L148" i="3"/>
  <c r="A148" i="3"/>
  <c r="X147" i="3"/>
  <c r="W147" i="3"/>
  <c r="V147" i="3"/>
  <c r="U147" i="3"/>
  <c r="T147" i="3"/>
  <c r="S147" i="3"/>
  <c r="R147" i="3"/>
  <c r="Q147" i="3"/>
  <c r="P147" i="3"/>
  <c r="O147" i="3"/>
  <c r="N147" i="3"/>
  <c r="M147" i="3"/>
  <c r="L147" i="3"/>
  <c r="A147" i="3"/>
  <c r="X146" i="3"/>
  <c r="W146" i="3"/>
  <c r="V146" i="3"/>
  <c r="U146" i="3"/>
  <c r="T146" i="3"/>
  <c r="S146" i="3"/>
  <c r="R146" i="3"/>
  <c r="Q146" i="3"/>
  <c r="P146" i="3"/>
  <c r="O146" i="3"/>
  <c r="N146" i="3"/>
  <c r="M146" i="3"/>
  <c r="L146" i="3"/>
  <c r="A146" i="3"/>
  <c r="X145" i="3"/>
  <c r="W145" i="3"/>
  <c r="V145" i="3"/>
  <c r="U145" i="3"/>
  <c r="T145" i="3"/>
  <c r="S145" i="3"/>
  <c r="R145" i="3"/>
  <c r="Q145" i="3"/>
  <c r="P145" i="3"/>
  <c r="O145" i="3"/>
  <c r="N145" i="3"/>
  <c r="M145" i="3"/>
  <c r="L145" i="3"/>
  <c r="A145" i="3"/>
  <c r="X144" i="3"/>
  <c r="W144" i="3"/>
  <c r="V144" i="3"/>
  <c r="U144" i="3"/>
  <c r="T144" i="3"/>
  <c r="S144" i="3"/>
  <c r="R144" i="3"/>
  <c r="Q144" i="3"/>
  <c r="P144" i="3"/>
  <c r="O144" i="3"/>
  <c r="N144" i="3"/>
  <c r="M144" i="3"/>
  <c r="L144" i="3"/>
  <c r="A144" i="3"/>
  <c r="X143" i="3"/>
  <c r="W143" i="3"/>
  <c r="V143" i="3"/>
  <c r="U143" i="3"/>
  <c r="T143" i="3"/>
  <c r="S143" i="3"/>
  <c r="R143" i="3"/>
  <c r="Q143" i="3"/>
  <c r="P143" i="3"/>
  <c r="O143" i="3"/>
  <c r="N143" i="3"/>
  <c r="M143" i="3"/>
  <c r="L143" i="3"/>
  <c r="A143" i="3"/>
  <c r="X142" i="3"/>
  <c r="W142" i="3"/>
  <c r="V142" i="3"/>
  <c r="U142" i="3"/>
  <c r="T142" i="3"/>
  <c r="S142" i="3"/>
  <c r="R142" i="3"/>
  <c r="Q142" i="3"/>
  <c r="P142" i="3"/>
  <c r="O142" i="3"/>
  <c r="N142" i="3"/>
  <c r="M142" i="3"/>
  <c r="L142" i="3"/>
  <c r="A142" i="3"/>
  <c r="X141" i="3"/>
  <c r="W141" i="3"/>
  <c r="V141" i="3"/>
  <c r="U141" i="3"/>
  <c r="T141" i="3"/>
  <c r="S141" i="3"/>
  <c r="R141" i="3"/>
  <c r="Q141" i="3"/>
  <c r="P141" i="3"/>
  <c r="O141" i="3"/>
  <c r="N141" i="3"/>
  <c r="M141" i="3"/>
  <c r="L141" i="3"/>
  <c r="A141" i="3"/>
  <c r="X140" i="3"/>
  <c r="W140" i="3"/>
  <c r="V140" i="3"/>
  <c r="U140" i="3"/>
  <c r="T140" i="3"/>
  <c r="S140" i="3"/>
  <c r="R140" i="3"/>
  <c r="Q140" i="3"/>
  <c r="P140" i="3"/>
  <c r="O140" i="3"/>
  <c r="N140" i="3"/>
  <c r="M140" i="3"/>
  <c r="L140" i="3"/>
  <c r="A140" i="3"/>
  <c r="X139" i="3"/>
  <c r="W139" i="3"/>
  <c r="V139" i="3"/>
  <c r="U139" i="3"/>
  <c r="T139" i="3"/>
  <c r="S139" i="3"/>
  <c r="R139" i="3"/>
  <c r="Q139" i="3"/>
  <c r="P139" i="3"/>
  <c r="O139" i="3"/>
  <c r="N139" i="3"/>
  <c r="M139" i="3"/>
  <c r="L139" i="3"/>
  <c r="A139" i="3"/>
  <c r="X138" i="3"/>
  <c r="W138" i="3"/>
  <c r="V138" i="3"/>
  <c r="U138" i="3"/>
  <c r="T138" i="3"/>
  <c r="S138" i="3"/>
  <c r="R138" i="3"/>
  <c r="Q138" i="3"/>
  <c r="P138" i="3"/>
  <c r="O138" i="3"/>
  <c r="N138" i="3"/>
  <c r="M138" i="3"/>
  <c r="L138" i="3"/>
  <c r="A138" i="3"/>
  <c r="X137" i="3"/>
  <c r="W137" i="3"/>
  <c r="V137" i="3"/>
  <c r="U137" i="3"/>
  <c r="T137" i="3"/>
  <c r="S137" i="3"/>
  <c r="R137" i="3"/>
  <c r="Q137" i="3"/>
  <c r="P137" i="3"/>
  <c r="O137" i="3"/>
  <c r="N137" i="3"/>
  <c r="M137" i="3"/>
  <c r="L137" i="3"/>
  <c r="A137" i="3"/>
  <c r="X136" i="3"/>
  <c r="W136" i="3"/>
  <c r="V136" i="3"/>
  <c r="U136" i="3"/>
  <c r="T136" i="3"/>
  <c r="S136" i="3"/>
  <c r="R136" i="3"/>
  <c r="Q136" i="3"/>
  <c r="P136" i="3"/>
  <c r="O136" i="3"/>
  <c r="N136" i="3"/>
  <c r="M136" i="3"/>
  <c r="L136" i="3"/>
  <c r="A136" i="3"/>
  <c r="X135" i="3"/>
  <c r="W135" i="3"/>
  <c r="V135" i="3"/>
  <c r="U135" i="3"/>
  <c r="T135" i="3"/>
  <c r="S135" i="3"/>
  <c r="R135" i="3"/>
  <c r="Q135" i="3"/>
  <c r="P135" i="3"/>
  <c r="O135" i="3"/>
  <c r="N135" i="3"/>
  <c r="M135" i="3"/>
  <c r="L135" i="3"/>
  <c r="A135" i="3"/>
  <c r="X134" i="3"/>
  <c r="W134" i="3"/>
  <c r="V134" i="3"/>
  <c r="U134" i="3"/>
  <c r="T134" i="3"/>
  <c r="S134" i="3"/>
  <c r="R134" i="3"/>
  <c r="Q134" i="3"/>
  <c r="P134" i="3"/>
  <c r="O134" i="3"/>
  <c r="N134" i="3"/>
  <c r="M134" i="3"/>
  <c r="L134" i="3"/>
  <c r="A134" i="3"/>
  <c r="X133" i="3"/>
  <c r="W133" i="3"/>
  <c r="V133" i="3"/>
  <c r="U133" i="3"/>
  <c r="T133" i="3"/>
  <c r="S133" i="3"/>
  <c r="R133" i="3"/>
  <c r="Q133" i="3"/>
  <c r="P133" i="3"/>
  <c r="O133" i="3"/>
  <c r="N133" i="3"/>
  <c r="M133" i="3"/>
  <c r="L133" i="3"/>
  <c r="A133" i="3"/>
  <c r="X132" i="3"/>
  <c r="W132" i="3"/>
  <c r="V132" i="3"/>
  <c r="U132" i="3"/>
  <c r="T132" i="3"/>
  <c r="S132" i="3"/>
  <c r="R132" i="3"/>
  <c r="Q132" i="3"/>
  <c r="P132" i="3"/>
  <c r="O132" i="3"/>
  <c r="N132" i="3"/>
  <c r="M132" i="3"/>
  <c r="L132" i="3"/>
  <c r="A132" i="3"/>
  <c r="X131" i="3"/>
  <c r="W131" i="3"/>
  <c r="V131" i="3"/>
  <c r="U131" i="3"/>
  <c r="T131" i="3"/>
  <c r="S131" i="3"/>
  <c r="R131" i="3"/>
  <c r="Q131" i="3"/>
  <c r="P131" i="3"/>
  <c r="O131" i="3"/>
  <c r="N131" i="3"/>
  <c r="M131" i="3"/>
  <c r="L131" i="3"/>
  <c r="A131" i="3"/>
  <c r="X130" i="3"/>
  <c r="W130" i="3"/>
  <c r="V130" i="3"/>
  <c r="U130" i="3"/>
  <c r="T130" i="3"/>
  <c r="S130" i="3"/>
  <c r="R130" i="3"/>
  <c r="Q130" i="3"/>
  <c r="P130" i="3"/>
  <c r="O130" i="3"/>
  <c r="N130" i="3"/>
  <c r="M130" i="3"/>
  <c r="L130" i="3"/>
  <c r="A130" i="3"/>
  <c r="X129" i="3"/>
  <c r="W129" i="3"/>
  <c r="V129" i="3"/>
  <c r="U129" i="3"/>
  <c r="T129" i="3"/>
  <c r="S129" i="3"/>
  <c r="R129" i="3"/>
  <c r="Q129" i="3"/>
  <c r="P129" i="3"/>
  <c r="O129" i="3"/>
  <c r="N129" i="3"/>
  <c r="M129" i="3"/>
  <c r="L129" i="3"/>
  <c r="A129" i="3"/>
  <c r="X128" i="3"/>
  <c r="W128" i="3"/>
  <c r="V128" i="3"/>
  <c r="U128" i="3"/>
  <c r="T128" i="3"/>
  <c r="S128" i="3"/>
  <c r="R128" i="3"/>
  <c r="Q128" i="3"/>
  <c r="P128" i="3"/>
  <c r="O128" i="3"/>
  <c r="N128" i="3"/>
  <c r="M128" i="3"/>
  <c r="L128" i="3"/>
  <c r="A128" i="3"/>
  <c r="X127" i="3"/>
  <c r="W127" i="3"/>
  <c r="V127" i="3"/>
  <c r="U127" i="3"/>
  <c r="T127" i="3"/>
  <c r="S127" i="3"/>
  <c r="R127" i="3"/>
  <c r="Q127" i="3"/>
  <c r="P127" i="3"/>
  <c r="O127" i="3"/>
  <c r="N127" i="3"/>
  <c r="M127" i="3"/>
  <c r="L127" i="3"/>
  <c r="A127" i="3"/>
  <c r="X126" i="3"/>
  <c r="W126" i="3"/>
  <c r="V126" i="3"/>
  <c r="U126" i="3"/>
  <c r="T126" i="3"/>
  <c r="S126" i="3"/>
  <c r="R126" i="3"/>
  <c r="Q126" i="3"/>
  <c r="P126" i="3"/>
  <c r="O126" i="3"/>
  <c r="N126" i="3"/>
  <c r="M126" i="3"/>
  <c r="L126" i="3"/>
  <c r="A126" i="3"/>
  <c r="X125" i="3"/>
  <c r="W125" i="3"/>
  <c r="V125" i="3"/>
  <c r="U125" i="3"/>
  <c r="T125" i="3"/>
  <c r="S125" i="3"/>
  <c r="R125" i="3"/>
  <c r="Q125" i="3"/>
  <c r="P125" i="3"/>
  <c r="O125" i="3"/>
  <c r="N125" i="3"/>
  <c r="M125" i="3"/>
  <c r="L125" i="3"/>
  <c r="A125" i="3"/>
  <c r="X124" i="3"/>
  <c r="W124" i="3"/>
  <c r="V124" i="3"/>
  <c r="U124" i="3"/>
  <c r="T124" i="3"/>
  <c r="S124" i="3"/>
  <c r="R124" i="3"/>
  <c r="Q124" i="3"/>
  <c r="P124" i="3"/>
  <c r="O124" i="3"/>
  <c r="N124" i="3"/>
  <c r="M124" i="3"/>
  <c r="L124" i="3"/>
  <c r="A124" i="3"/>
  <c r="X123" i="3"/>
  <c r="W123" i="3"/>
  <c r="V123" i="3"/>
  <c r="U123" i="3"/>
  <c r="T123" i="3"/>
  <c r="S123" i="3"/>
  <c r="R123" i="3"/>
  <c r="Q123" i="3"/>
  <c r="P123" i="3"/>
  <c r="O123" i="3"/>
  <c r="N123" i="3"/>
  <c r="M123" i="3"/>
  <c r="L123" i="3"/>
  <c r="A123" i="3"/>
  <c r="X122" i="3"/>
  <c r="W122" i="3"/>
  <c r="V122" i="3"/>
  <c r="U122" i="3"/>
  <c r="T122" i="3"/>
  <c r="S122" i="3"/>
  <c r="R122" i="3"/>
  <c r="Q122" i="3"/>
  <c r="P122" i="3"/>
  <c r="O122" i="3"/>
  <c r="N122" i="3"/>
  <c r="M122" i="3"/>
  <c r="L122" i="3"/>
  <c r="A122" i="3"/>
  <c r="X121" i="3"/>
  <c r="W121" i="3"/>
  <c r="V121" i="3"/>
  <c r="U121" i="3"/>
  <c r="T121" i="3"/>
  <c r="S121" i="3"/>
  <c r="R121" i="3"/>
  <c r="Q121" i="3"/>
  <c r="P121" i="3"/>
  <c r="O121" i="3"/>
  <c r="N121" i="3"/>
  <c r="M121" i="3"/>
  <c r="L121" i="3"/>
  <c r="A121" i="3"/>
  <c r="X120" i="3"/>
  <c r="W120" i="3"/>
  <c r="V120" i="3"/>
  <c r="U120" i="3"/>
  <c r="T120" i="3"/>
  <c r="S120" i="3"/>
  <c r="R120" i="3"/>
  <c r="Q120" i="3"/>
  <c r="P120" i="3"/>
  <c r="O120" i="3"/>
  <c r="N120" i="3"/>
  <c r="M120" i="3"/>
  <c r="L120" i="3"/>
  <c r="A120" i="3"/>
  <c r="X119" i="3"/>
  <c r="W119" i="3"/>
  <c r="V119" i="3"/>
  <c r="U119" i="3"/>
  <c r="T119" i="3"/>
  <c r="S119" i="3"/>
  <c r="R119" i="3"/>
  <c r="Q119" i="3"/>
  <c r="P119" i="3"/>
  <c r="O119" i="3"/>
  <c r="N119" i="3"/>
  <c r="M119" i="3"/>
  <c r="L119" i="3"/>
  <c r="A119" i="3"/>
  <c r="X118" i="3"/>
  <c r="W118" i="3"/>
  <c r="V118" i="3"/>
  <c r="U118" i="3"/>
  <c r="T118" i="3"/>
  <c r="S118" i="3"/>
  <c r="R118" i="3"/>
  <c r="Q118" i="3"/>
  <c r="P118" i="3"/>
  <c r="O118" i="3"/>
  <c r="N118" i="3"/>
  <c r="M118" i="3"/>
  <c r="L118" i="3"/>
  <c r="A118" i="3"/>
  <c r="X117" i="3"/>
  <c r="W117" i="3"/>
  <c r="V117" i="3"/>
  <c r="U117" i="3"/>
  <c r="T117" i="3"/>
  <c r="S117" i="3"/>
  <c r="R117" i="3"/>
  <c r="Q117" i="3"/>
  <c r="P117" i="3"/>
  <c r="O117" i="3"/>
  <c r="N117" i="3"/>
  <c r="M117" i="3"/>
  <c r="L117" i="3"/>
  <c r="A117" i="3"/>
  <c r="X116" i="3"/>
  <c r="W116" i="3"/>
  <c r="V116" i="3"/>
  <c r="U116" i="3"/>
  <c r="T116" i="3"/>
  <c r="S116" i="3"/>
  <c r="R116" i="3"/>
  <c r="Q116" i="3"/>
  <c r="P116" i="3"/>
  <c r="O116" i="3"/>
  <c r="N116" i="3"/>
  <c r="M116" i="3"/>
  <c r="L116" i="3"/>
  <c r="A116" i="3"/>
  <c r="X115" i="3"/>
  <c r="W115" i="3"/>
  <c r="V115" i="3"/>
  <c r="U115" i="3"/>
  <c r="T115" i="3"/>
  <c r="S115" i="3"/>
  <c r="R115" i="3"/>
  <c r="Q115" i="3"/>
  <c r="P115" i="3"/>
  <c r="O115" i="3"/>
  <c r="N115" i="3"/>
  <c r="M115" i="3"/>
  <c r="L115" i="3"/>
  <c r="A115" i="3"/>
  <c r="X114" i="3"/>
  <c r="W114" i="3"/>
  <c r="V114" i="3"/>
  <c r="U114" i="3"/>
  <c r="T114" i="3"/>
  <c r="S114" i="3"/>
  <c r="R114" i="3"/>
  <c r="Q114" i="3"/>
  <c r="P114" i="3"/>
  <c r="O114" i="3"/>
  <c r="N114" i="3"/>
  <c r="M114" i="3"/>
  <c r="L114" i="3"/>
  <c r="A114" i="3"/>
  <c r="X113" i="3"/>
  <c r="W113" i="3"/>
  <c r="V113" i="3"/>
  <c r="U113" i="3"/>
  <c r="T113" i="3"/>
  <c r="S113" i="3"/>
  <c r="R113" i="3"/>
  <c r="Q113" i="3"/>
  <c r="P113" i="3"/>
  <c r="O113" i="3"/>
  <c r="N113" i="3"/>
  <c r="M113" i="3"/>
  <c r="L113" i="3"/>
  <c r="A113" i="3"/>
  <c r="X112" i="3"/>
  <c r="W112" i="3"/>
  <c r="V112" i="3"/>
  <c r="U112" i="3"/>
  <c r="T112" i="3"/>
  <c r="S112" i="3"/>
  <c r="R112" i="3"/>
  <c r="Q112" i="3"/>
  <c r="P112" i="3"/>
  <c r="O112" i="3"/>
  <c r="N112" i="3"/>
  <c r="M112" i="3"/>
  <c r="L112" i="3"/>
  <c r="A112" i="3"/>
  <c r="X111" i="3"/>
  <c r="W111" i="3"/>
  <c r="V111" i="3"/>
  <c r="U111" i="3"/>
  <c r="T111" i="3"/>
  <c r="S111" i="3"/>
  <c r="R111" i="3"/>
  <c r="Q111" i="3"/>
  <c r="P111" i="3"/>
  <c r="O111" i="3"/>
  <c r="N111" i="3"/>
  <c r="M111" i="3"/>
  <c r="L111" i="3"/>
  <c r="A111" i="3"/>
  <c r="X110" i="3"/>
  <c r="W110" i="3"/>
  <c r="V110" i="3"/>
  <c r="U110" i="3"/>
  <c r="T110" i="3"/>
  <c r="S110" i="3"/>
  <c r="R110" i="3"/>
  <c r="Q110" i="3"/>
  <c r="P110" i="3"/>
  <c r="O110" i="3"/>
  <c r="N110" i="3"/>
  <c r="M110" i="3"/>
  <c r="L110" i="3"/>
  <c r="A110" i="3"/>
  <c r="X109" i="3"/>
  <c r="W109" i="3"/>
  <c r="V109" i="3"/>
  <c r="U109" i="3"/>
  <c r="T109" i="3"/>
  <c r="S109" i="3"/>
  <c r="R109" i="3"/>
  <c r="Q109" i="3"/>
  <c r="P109" i="3"/>
  <c r="O109" i="3"/>
  <c r="N109" i="3"/>
  <c r="M109" i="3"/>
  <c r="L109" i="3"/>
  <c r="A109" i="3"/>
  <c r="X108" i="3"/>
  <c r="W108" i="3"/>
  <c r="V108" i="3"/>
  <c r="U108" i="3"/>
  <c r="T108" i="3"/>
  <c r="S108" i="3"/>
  <c r="R108" i="3"/>
  <c r="Q108" i="3"/>
  <c r="P108" i="3"/>
  <c r="O108" i="3"/>
  <c r="N108" i="3"/>
  <c r="M108" i="3"/>
  <c r="L108" i="3"/>
  <c r="A108" i="3"/>
  <c r="X107" i="3"/>
  <c r="W107" i="3"/>
  <c r="V107" i="3"/>
  <c r="U107" i="3"/>
  <c r="T107" i="3"/>
  <c r="S107" i="3"/>
  <c r="R107" i="3"/>
  <c r="Q107" i="3"/>
  <c r="P107" i="3"/>
  <c r="O107" i="3"/>
  <c r="N107" i="3"/>
  <c r="M107" i="3"/>
  <c r="L107" i="3"/>
  <c r="A107" i="3"/>
  <c r="X106" i="3"/>
  <c r="W106" i="3"/>
  <c r="V106" i="3"/>
  <c r="U106" i="3"/>
  <c r="T106" i="3"/>
  <c r="S106" i="3"/>
  <c r="R106" i="3"/>
  <c r="Q106" i="3"/>
  <c r="P106" i="3"/>
  <c r="O106" i="3"/>
  <c r="N106" i="3"/>
  <c r="M106" i="3"/>
  <c r="L106" i="3"/>
  <c r="A106" i="3"/>
  <c r="X105" i="3"/>
  <c r="W105" i="3"/>
  <c r="V105" i="3"/>
  <c r="U105" i="3"/>
  <c r="T105" i="3"/>
  <c r="S105" i="3"/>
  <c r="R105" i="3"/>
  <c r="Q105" i="3"/>
  <c r="P105" i="3"/>
  <c r="O105" i="3"/>
  <c r="N105" i="3"/>
  <c r="M105" i="3"/>
  <c r="L105" i="3"/>
  <c r="A105" i="3"/>
  <c r="X104" i="3"/>
  <c r="W104" i="3"/>
  <c r="V104" i="3"/>
  <c r="U104" i="3"/>
  <c r="T104" i="3"/>
  <c r="S104" i="3"/>
  <c r="R104" i="3"/>
  <c r="Q104" i="3"/>
  <c r="P104" i="3"/>
  <c r="O104" i="3"/>
  <c r="N104" i="3"/>
  <c r="M104" i="3"/>
  <c r="L104" i="3"/>
  <c r="A104" i="3"/>
  <c r="X103" i="3"/>
  <c r="W103" i="3"/>
  <c r="V103" i="3"/>
  <c r="U103" i="3"/>
  <c r="T103" i="3"/>
  <c r="S103" i="3"/>
  <c r="R103" i="3"/>
  <c r="Q103" i="3"/>
  <c r="P103" i="3"/>
  <c r="O103" i="3"/>
  <c r="N103" i="3"/>
  <c r="M103" i="3"/>
  <c r="L103" i="3"/>
  <c r="A103" i="3"/>
  <c r="X102" i="3"/>
  <c r="W102" i="3"/>
  <c r="V102" i="3"/>
  <c r="U102" i="3"/>
  <c r="T102" i="3"/>
  <c r="S102" i="3"/>
  <c r="R102" i="3"/>
  <c r="Q102" i="3"/>
  <c r="P102" i="3"/>
  <c r="O102" i="3"/>
  <c r="N102" i="3"/>
  <c r="M102" i="3"/>
  <c r="L102" i="3"/>
  <c r="A102" i="3"/>
  <c r="X101" i="3"/>
  <c r="W101" i="3"/>
  <c r="V101" i="3"/>
  <c r="U101" i="3"/>
  <c r="T101" i="3"/>
  <c r="S101" i="3"/>
  <c r="R101" i="3"/>
  <c r="Q101" i="3"/>
  <c r="P101" i="3"/>
  <c r="O101" i="3"/>
  <c r="N101" i="3"/>
  <c r="M101" i="3"/>
  <c r="L101" i="3"/>
  <c r="A101" i="3"/>
  <c r="X100" i="3"/>
  <c r="W100" i="3"/>
  <c r="V100" i="3"/>
  <c r="U100" i="3"/>
  <c r="T100" i="3"/>
  <c r="S100" i="3"/>
  <c r="R100" i="3"/>
  <c r="Q100" i="3"/>
  <c r="P100" i="3"/>
  <c r="O100" i="3"/>
  <c r="N100" i="3"/>
  <c r="M100" i="3"/>
  <c r="L100" i="3"/>
  <c r="A100" i="3"/>
  <c r="X99" i="3"/>
  <c r="W99" i="3"/>
  <c r="V99" i="3"/>
  <c r="U99" i="3"/>
  <c r="T99" i="3"/>
  <c r="S99" i="3"/>
  <c r="R99" i="3"/>
  <c r="Q99" i="3"/>
  <c r="P99" i="3"/>
  <c r="O99" i="3"/>
  <c r="N99" i="3"/>
  <c r="M99" i="3"/>
  <c r="L99" i="3"/>
  <c r="A99" i="3"/>
  <c r="X98" i="3"/>
  <c r="W98" i="3"/>
  <c r="V98" i="3"/>
  <c r="U98" i="3"/>
  <c r="T98" i="3"/>
  <c r="S98" i="3"/>
  <c r="R98" i="3"/>
  <c r="Q98" i="3"/>
  <c r="P98" i="3"/>
  <c r="O98" i="3"/>
  <c r="N98" i="3"/>
  <c r="M98" i="3"/>
  <c r="L98" i="3"/>
  <c r="A98" i="3"/>
  <c r="X97" i="3"/>
  <c r="W97" i="3"/>
  <c r="V97" i="3"/>
  <c r="U97" i="3"/>
  <c r="T97" i="3"/>
  <c r="S97" i="3"/>
  <c r="R97" i="3"/>
  <c r="Q97" i="3"/>
  <c r="P97" i="3"/>
  <c r="O97" i="3"/>
  <c r="N97" i="3"/>
  <c r="M97" i="3"/>
  <c r="L97" i="3"/>
  <c r="A97" i="3"/>
  <c r="X96" i="3"/>
  <c r="W96" i="3"/>
  <c r="V96" i="3"/>
  <c r="U96" i="3"/>
  <c r="T96" i="3"/>
  <c r="S96" i="3"/>
  <c r="R96" i="3"/>
  <c r="Q96" i="3"/>
  <c r="P96" i="3"/>
  <c r="O96" i="3"/>
  <c r="N96" i="3"/>
  <c r="M96" i="3"/>
  <c r="L96" i="3"/>
  <c r="A96" i="3"/>
  <c r="X95" i="3"/>
  <c r="W95" i="3"/>
  <c r="V95" i="3"/>
  <c r="U95" i="3"/>
  <c r="T95" i="3"/>
  <c r="S95" i="3"/>
  <c r="R95" i="3"/>
  <c r="Q95" i="3"/>
  <c r="P95" i="3"/>
  <c r="O95" i="3"/>
  <c r="N95" i="3"/>
  <c r="M95" i="3"/>
  <c r="L95" i="3"/>
  <c r="A95" i="3"/>
  <c r="X94" i="3"/>
  <c r="W94" i="3"/>
  <c r="V94" i="3"/>
  <c r="U94" i="3"/>
  <c r="T94" i="3"/>
  <c r="S94" i="3"/>
  <c r="R94" i="3"/>
  <c r="Q94" i="3"/>
  <c r="P94" i="3"/>
  <c r="N94" i="3"/>
  <c r="M94" i="3"/>
  <c r="L94" i="3"/>
  <c r="A94" i="3"/>
  <c r="X93" i="3"/>
  <c r="W93" i="3"/>
  <c r="V93" i="3"/>
  <c r="U93" i="3"/>
  <c r="T93" i="3"/>
  <c r="S93" i="3"/>
  <c r="R93" i="3"/>
  <c r="Q93" i="3"/>
  <c r="P93" i="3"/>
  <c r="N93" i="3"/>
  <c r="M93" i="3"/>
  <c r="L93" i="3"/>
  <c r="A93" i="3"/>
  <c r="X92" i="3"/>
  <c r="W92" i="3"/>
  <c r="V92" i="3"/>
  <c r="U92" i="3"/>
  <c r="T92" i="3"/>
  <c r="S92" i="3"/>
  <c r="R92" i="3"/>
  <c r="Q92" i="3"/>
  <c r="P92" i="3"/>
  <c r="O92" i="3"/>
  <c r="N92" i="3"/>
  <c r="M92" i="3"/>
  <c r="L92" i="3"/>
  <c r="A92" i="3"/>
  <c r="X91" i="3"/>
  <c r="W91" i="3"/>
  <c r="V91" i="3"/>
  <c r="U91" i="3"/>
  <c r="T91" i="3"/>
  <c r="S91" i="3"/>
  <c r="R91" i="3"/>
  <c r="Q91" i="3"/>
  <c r="P91" i="3"/>
  <c r="O91" i="3"/>
  <c r="N91" i="3"/>
  <c r="M91" i="3"/>
  <c r="L91" i="3"/>
  <c r="A91" i="3"/>
  <c r="X90" i="3"/>
  <c r="W90" i="3"/>
  <c r="V90" i="3"/>
  <c r="U90" i="3"/>
  <c r="T90" i="3"/>
  <c r="S90" i="3"/>
  <c r="R90" i="3"/>
  <c r="Q90" i="3"/>
  <c r="P90" i="3"/>
  <c r="O90" i="3"/>
  <c r="N90" i="3"/>
  <c r="M90" i="3"/>
  <c r="L90" i="3"/>
  <c r="A90" i="3"/>
  <c r="X89" i="3"/>
  <c r="W89" i="3"/>
  <c r="V89" i="3"/>
  <c r="U89" i="3"/>
  <c r="T89" i="3"/>
  <c r="S89" i="3"/>
  <c r="R89" i="3"/>
  <c r="Q89" i="3"/>
  <c r="P89" i="3"/>
  <c r="O89" i="3"/>
  <c r="N89" i="3"/>
  <c r="M89" i="3"/>
  <c r="L89" i="3"/>
  <c r="A89" i="3"/>
  <c r="X88" i="3"/>
  <c r="W88" i="3"/>
  <c r="V88" i="3"/>
  <c r="U88" i="3"/>
  <c r="T88" i="3"/>
  <c r="S88" i="3"/>
  <c r="R88" i="3"/>
  <c r="Q88" i="3"/>
  <c r="P88" i="3"/>
  <c r="O88" i="3"/>
  <c r="N88" i="3"/>
  <c r="M88" i="3"/>
  <c r="L88" i="3"/>
  <c r="A88" i="3"/>
  <c r="X87" i="3"/>
  <c r="W87" i="3"/>
  <c r="V87" i="3"/>
  <c r="U87" i="3"/>
  <c r="T87" i="3"/>
  <c r="S87" i="3"/>
  <c r="R87" i="3"/>
  <c r="Q87" i="3"/>
  <c r="P87" i="3"/>
  <c r="O87" i="3"/>
  <c r="N87" i="3"/>
  <c r="M87" i="3"/>
  <c r="L87" i="3"/>
  <c r="A87" i="3"/>
  <c r="X86" i="3"/>
  <c r="W86" i="3"/>
  <c r="V86" i="3"/>
  <c r="U86" i="3"/>
  <c r="T86" i="3"/>
  <c r="S86" i="3"/>
  <c r="R86" i="3"/>
  <c r="Q86" i="3"/>
  <c r="P86" i="3"/>
  <c r="O86" i="3"/>
  <c r="N86" i="3"/>
  <c r="M86" i="3"/>
  <c r="L86" i="3"/>
  <c r="A86" i="3"/>
  <c r="X85" i="3"/>
  <c r="W85" i="3"/>
  <c r="V85" i="3"/>
  <c r="U85" i="3"/>
  <c r="T85" i="3"/>
  <c r="S85" i="3"/>
  <c r="R85" i="3"/>
  <c r="Q85" i="3"/>
  <c r="P85" i="3"/>
  <c r="O85" i="3"/>
  <c r="N85" i="3"/>
  <c r="M85" i="3"/>
  <c r="L85" i="3"/>
  <c r="A85" i="3"/>
  <c r="X84" i="3"/>
  <c r="W84" i="3"/>
  <c r="V84" i="3"/>
  <c r="U84" i="3"/>
  <c r="T84" i="3"/>
  <c r="S84" i="3"/>
  <c r="R84" i="3"/>
  <c r="Q84" i="3"/>
  <c r="P84" i="3"/>
  <c r="O84" i="3"/>
  <c r="N84" i="3"/>
  <c r="M84" i="3"/>
  <c r="L84" i="3"/>
  <c r="A84" i="3"/>
  <c r="X83" i="3"/>
  <c r="W83" i="3"/>
  <c r="V83" i="3"/>
  <c r="U83" i="3"/>
  <c r="T83" i="3"/>
  <c r="S83" i="3"/>
  <c r="R83" i="3"/>
  <c r="Q83" i="3"/>
  <c r="P83" i="3"/>
  <c r="O83" i="3"/>
  <c r="N83" i="3"/>
  <c r="M83" i="3"/>
  <c r="L83" i="3"/>
  <c r="A83" i="3"/>
  <c r="X82" i="3"/>
  <c r="W82" i="3"/>
  <c r="V82" i="3"/>
  <c r="U82" i="3"/>
  <c r="T82" i="3"/>
  <c r="S82" i="3"/>
  <c r="R82" i="3"/>
  <c r="Q82" i="3"/>
  <c r="P82" i="3"/>
  <c r="O82" i="3"/>
  <c r="N82" i="3"/>
  <c r="M82" i="3"/>
  <c r="L82" i="3"/>
  <c r="A82" i="3"/>
  <c r="X81" i="3"/>
  <c r="W81" i="3"/>
  <c r="V81" i="3"/>
  <c r="U81" i="3"/>
  <c r="T81" i="3"/>
  <c r="S81" i="3"/>
  <c r="R81" i="3"/>
  <c r="Q81" i="3"/>
  <c r="P81" i="3"/>
  <c r="O81" i="3"/>
  <c r="N81" i="3"/>
  <c r="M81" i="3"/>
  <c r="L81" i="3"/>
  <c r="A81" i="3"/>
  <c r="X80" i="3"/>
  <c r="W80" i="3"/>
  <c r="V80" i="3"/>
  <c r="U80" i="3"/>
  <c r="T80" i="3"/>
  <c r="S80" i="3"/>
  <c r="R80" i="3"/>
  <c r="Q80" i="3"/>
  <c r="P80" i="3"/>
  <c r="O80" i="3"/>
  <c r="N80" i="3"/>
  <c r="M80" i="3"/>
  <c r="L80" i="3"/>
  <c r="A80" i="3"/>
  <c r="X79" i="3"/>
  <c r="W79" i="3"/>
  <c r="V79" i="3"/>
  <c r="U79" i="3"/>
  <c r="T79" i="3"/>
  <c r="S79" i="3"/>
  <c r="R79" i="3"/>
  <c r="Q79" i="3"/>
  <c r="P79" i="3"/>
  <c r="O79" i="3"/>
  <c r="N79" i="3"/>
  <c r="M79" i="3"/>
  <c r="L79" i="3"/>
  <c r="A79" i="3"/>
  <c r="X78" i="3"/>
  <c r="W78" i="3"/>
  <c r="V78" i="3"/>
  <c r="U78" i="3"/>
  <c r="T78" i="3"/>
  <c r="S78" i="3"/>
  <c r="R78" i="3"/>
  <c r="Q78" i="3"/>
  <c r="P78" i="3"/>
  <c r="O78" i="3"/>
  <c r="N78" i="3"/>
  <c r="M78" i="3"/>
  <c r="L78" i="3"/>
  <c r="A78" i="3"/>
  <c r="X77" i="3"/>
  <c r="W77" i="3"/>
  <c r="V77" i="3"/>
  <c r="U77" i="3"/>
  <c r="T77" i="3"/>
  <c r="S77" i="3"/>
  <c r="R77" i="3"/>
  <c r="Q77" i="3"/>
  <c r="P77" i="3"/>
  <c r="O77" i="3"/>
  <c r="N77" i="3"/>
  <c r="M77" i="3"/>
  <c r="L77" i="3"/>
  <c r="A77" i="3"/>
  <c r="X76" i="3"/>
  <c r="W76" i="3"/>
  <c r="V76" i="3"/>
  <c r="U76" i="3"/>
  <c r="T76" i="3"/>
  <c r="S76" i="3"/>
  <c r="R76" i="3"/>
  <c r="Q76" i="3"/>
  <c r="P76" i="3"/>
  <c r="O76" i="3"/>
  <c r="N76" i="3"/>
  <c r="M76" i="3"/>
  <c r="L76" i="3"/>
  <c r="A76" i="3"/>
  <c r="X75" i="3"/>
  <c r="W75" i="3"/>
  <c r="V75" i="3"/>
  <c r="U75" i="3"/>
  <c r="T75" i="3"/>
  <c r="S75" i="3"/>
  <c r="R75" i="3"/>
  <c r="Q75" i="3"/>
  <c r="P75" i="3"/>
  <c r="O75" i="3"/>
  <c r="N75" i="3"/>
  <c r="M75" i="3"/>
  <c r="L75" i="3"/>
  <c r="A75" i="3"/>
  <c r="X74" i="3"/>
  <c r="W74" i="3"/>
  <c r="V74" i="3"/>
  <c r="U74" i="3"/>
  <c r="T74" i="3"/>
  <c r="S74" i="3"/>
  <c r="R74" i="3"/>
  <c r="Q74" i="3"/>
  <c r="P74" i="3"/>
  <c r="O74" i="3"/>
  <c r="N74" i="3"/>
  <c r="M74" i="3"/>
  <c r="L74" i="3"/>
  <c r="A74" i="3"/>
  <c r="X73" i="3"/>
  <c r="W73" i="3"/>
  <c r="V73" i="3"/>
  <c r="U73" i="3"/>
  <c r="T73" i="3"/>
  <c r="S73" i="3"/>
  <c r="R73" i="3"/>
  <c r="Q73" i="3"/>
  <c r="P73" i="3"/>
  <c r="O73" i="3"/>
  <c r="N73" i="3"/>
  <c r="M73" i="3"/>
  <c r="L73" i="3"/>
  <c r="A73" i="3"/>
  <c r="X72" i="3"/>
  <c r="W72" i="3"/>
  <c r="V72" i="3"/>
  <c r="U72" i="3"/>
  <c r="T72" i="3"/>
  <c r="S72" i="3"/>
  <c r="R72" i="3"/>
  <c r="Q72" i="3"/>
  <c r="P72" i="3"/>
  <c r="O72" i="3"/>
  <c r="N72" i="3"/>
  <c r="M72" i="3"/>
  <c r="L72" i="3"/>
  <c r="A72" i="3"/>
  <c r="X71" i="3"/>
  <c r="W71" i="3"/>
  <c r="V71" i="3"/>
  <c r="U71" i="3"/>
  <c r="T71" i="3"/>
  <c r="S71" i="3"/>
  <c r="R71" i="3"/>
  <c r="Q71" i="3"/>
  <c r="P71" i="3"/>
  <c r="O71" i="3"/>
  <c r="N71" i="3"/>
  <c r="M71" i="3"/>
  <c r="L71" i="3"/>
  <c r="A71" i="3"/>
  <c r="X70" i="3"/>
  <c r="W70" i="3"/>
  <c r="V70" i="3"/>
  <c r="U70" i="3"/>
  <c r="T70" i="3"/>
  <c r="S70" i="3"/>
  <c r="R70" i="3"/>
  <c r="Q70" i="3"/>
  <c r="P70" i="3"/>
  <c r="O70" i="3"/>
  <c r="N70" i="3"/>
  <c r="M70" i="3"/>
  <c r="L70" i="3"/>
  <c r="A70" i="3"/>
  <c r="X69" i="3"/>
  <c r="W69" i="3"/>
  <c r="V69" i="3"/>
  <c r="U69" i="3"/>
  <c r="T69" i="3"/>
  <c r="S69" i="3"/>
  <c r="R69" i="3"/>
  <c r="Q69" i="3"/>
  <c r="P69" i="3"/>
  <c r="O69" i="3"/>
  <c r="N69" i="3"/>
  <c r="M69" i="3"/>
  <c r="L69" i="3"/>
  <c r="A69" i="3"/>
  <c r="X68" i="3"/>
  <c r="W68" i="3"/>
  <c r="V68" i="3"/>
  <c r="U68" i="3"/>
  <c r="T68" i="3"/>
  <c r="S68" i="3"/>
  <c r="R68" i="3"/>
  <c r="Q68" i="3"/>
  <c r="P68" i="3"/>
  <c r="O68" i="3"/>
  <c r="N68" i="3"/>
  <c r="M68" i="3"/>
  <c r="L68" i="3"/>
  <c r="A68" i="3"/>
  <c r="X67" i="3"/>
  <c r="W67" i="3"/>
  <c r="V67" i="3"/>
  <c r="U67" i="3"/>
  <c r="T67" i="3"/>
  <c r="S67" i="3"/>
  <c r="R67" i="3"/>
  <c r="Q67" i="3"/>
  <c r="P67" i="3"/>
  <c r="O67" i="3"/>
  <c r="N67" i="3"/>
  <c r="M67" i="3"/>
  <c r="L67" i="3"/>
  <c r="A67" i="3"/>
  <c r="X66" i="3"/>
  <c r="W66" i="3"/>
  <c r="V66" i="3"/>
  <c r="U66" i="3"/>
  <c r="T66" i="3"/>
  <c r="S66" i="3"/>
  <c r="R66" i="3"/>
  <c r="Q66" i="3"/>
  <c r="P66" i="3"/>
  <c r="O66" i="3"/>
  <c r="N66" i="3"/>
  <c r="M66" i="3"/>
  <c r="L66" i="3"/>
  <c r="A66" i="3"/>
  <c r="X65" i="3"/>
  <c r="W65" i="3"/>
  <c r="V65" i="3"/>
  <c r="U65" i="3"/>
  <c r="T65" i="3"/>
  <c r="S65" i="3"/>
  <c r="R65" i="3"/>
  <c r="Q65" i="3"/>
  <c r="P65" i="3"/>
  <c r="O65" i="3"/>
  <c r="N65" i="3"/>
  <c r="M65" i="3"/>
  <c r="L65" i="3"/>
  <c r="A65" i="3"/>
  <c r="X64" i="3"/>
  <c r="W64" i="3"/>
  <c r="V64" i="3"/>
  <c r="U64" i="3"/>
  <c r="T64" i="3"/>
  <c r="S64" i="3"/>
  <c r="R64" i="3"/>
  <c r="Q64" i="3"/>
  <c r="P64" i="3"/>
  <c r="O64" i="3"/>
  <c r="N64" i="3"/>
  <c r="M64" i="3"/>
  <c r="L64" i="3"/>
  <c r="A64" i="3"/>
  <c r="X63" i="3"/>
  <c r="W63" i="3"/>
  <c r="V63" i="3"/>
  <c r="U63" i="3"/>
  <c r="T63" i="3"/>
  <c r="S63" i="3"/>
  <c r="R63" i="3"/>
  <c r="Q63" i="3"/>
  <c r="P63" i="3"/>
  <c r="O63" i="3"/>
  <c r="N63" i="3"/>
  <c r="M63" i="3"/>
  <c r="L63" i="3"/>
  <c r="A63" i="3"/>
  <c r="X62" i="3"/>
  <c r="W62" i="3"/>
  <c r="V62" i="3"/>
  <c r="U62" i="3"/>
  <c r="T62" i="3"/>
  <c r="S62" i="3"/>
  <c r="R62" i="3"/>
  <c r="Q62" i="3"/>
  <c r="P62" i="3"/>
  <c r="O62" i="3"/>
  <c r="N62" i="3"/>
  <c r="M62" i="3"/>
  <c r="L62" i="3"/>
  <c r="A62" i="3"/>
  <c r="X61" i="3"/>
  <c r="W61" i="3"/>
  <c r="V61" i="3"/>
  <c r="U61" i="3"/>
  <c r="T61" i="3"/>
  <c r="S61" i="3"/>
  <c r="R61" i="3"/>
  <c r="Q61" i="3"/>
  <c r="P61" i="3"/>
  <c r="O61" i="3"/>
  <c r="N61" i="3"/>
  <c r="M61" i="3"/>
  <c r="L61" i="3"/>
  <c r="A61" i="3"/>
  <c r="X60" i="3"/>
  <c r="W60" i="3"/>
  <c r="V60" i="3"/>
  <c r="U60" i="3"/>
  <c r="T60" i="3"/>
  <c r="S60" i="3"/>
  <c r="R60" i="3"/>
  <c r="Q60" i="3"/>
  <c r="P60" i="3"/>
  <c r="O60" i="3"/>
  <c r="N60" i="3"/>
  <c r="M60" i="3"/>
  <c r="L60" i="3"/>
  <c r="A60" i="3"/>
  <c r="X59" i="3"/>
  <c r="W59" i="3"/>
  <c r="V59" i="3"/>
  <c r="U59" i="3"/>
  <c r="T59" i="3"/>
  <c r="S59" i="3"/>
  <c r="R59" i="3"/>
  <c r="Q59" i="3"/>
  <c r="P59" i="3"/>
  <c r="O59" i="3"/>
  <c r="N59" i="3"/>
  <c r="M59" i="3"/>
  <c r="L59" i="3"/>
  <c r="A59" i="3"/>
  <c r="X58" i="3"/>
  <c r="W58" i="3"/>
  <c r="V58" i="3"/>
  <c r="U58" i="3"/>
  <c r="T58" i="3"/>
  <c r="S58" i="3"/>
  <c r="R58" i="3"/>
  <c r="Q58" i="3"/>
  <c r="P58" i="3"/>
  <c r="O58" i="3"/>
  <c r="N58" i="3"/>
  <c r="M58" i="3"/>
  <c r="L58" i="3"/>
  <c r="A58" i="3"/>
  <c r="X57" i="3"/>
  <c r="W57" i="3"/>
  <c r="V57" i="3"/>
  <c r="U57" i="3"/>
  <c r="T57" i="3"/>
  <c r="S57" i="3"/>
  <c r="R57" i="3"/>
  <c r="Q57" i="3"/>
  <c r="P57" i="3"/>
  <c r="O57" i="3"/>
  <c r="N57" i="3"/>
  <c r="M57" i="3"/>
  <c r="L57" i="3"/>
  <c r="A57" i="3"/>
  <c r="X56" i="3"/>
  <c r="W56" i="3"/>
  <c r="V56" i="3"/>
  <c r="U56" i="3"/>
  <c r="T56" i="3"/>
  <c r="S56" i="3"/>
  <c r="R56" i="3"/>
  <c r="Q56" i="3"/>
  <c r="P56" i="3"/>
  <c r="O56" i="3"/>
  <c r="N56" i="3"/>
  <c r="M56" i="3"/>
  <c r="L56" i="3"/>
  <c r="A56" i="3"/>
  <c r="X55" i="3"/>
  <c r="W55" i="3"/>
  <c r="V55" i="3"/>
  <c r="U55" i="3"/>
  <c r="T55" i="3"/>
  <c r="S55" i="3"/>
  <c r="R55" i="3"/>
  <c r="Q55" i="3"/>
  <c r="P55" i="3"/>
  <c r="O55" i="3"/>
  <c r="N55" i="3"/>
  <c r="M55" i="3"/>
  <c r="L55" i="3"/>
  <c r="A55" i="3"/>
  <c r="X54" i="3"/>
  <c r="W54" i="3"/>
  <c r="V54" i="3"/>
  <c r="U54" i="3"/>
  <c r="T54" i="3"/>
  <c r="S54" i="3"/>
  <c r="R54" i="3"/>
  <c r="Q54" i="3"/>
  <c r="P54" i="3"/>
  <c r="O54" i="3"/>
  <c r="N54" i="3"/>
  <c r="M54" i="3"/>
  <c r="L54" i="3"/>
  <c r="A54" i="3"/>
  <c r="X53" i="3"/>
  <c r="W53" i="3"/>
  <c r="V53" i="3"/>
  <c r="U53" i="3"/>
  <c r="T53" i="3"/>
  <c r="S53" i="3"/>
  <c r="R53" i="3"/>
  <c r="Q53" i="3"/>
  <c r="P53" i="3"/>
  <c r="O53" i="3"/>
  <c r="N53" i="3"/>
  <c r="M53" i="3"/>
  <c r="L53" i="3"/>
  <c r="A53" i="3"/>
  <c r="X52" i="3"/>
  <c r="W52" i="3"/>
  <c r="V52" i="3"/>
  <c r="U52" i="3"/>
  <c r="T52" i="3"/>
  <c r="S52" i="3"/>
  <c r="R52" i="3"/>
  <c r="Q52" i="3"/>
  <c r="P52" i="3"/>
  <c r="O52" i="3"/>
  <c r="N52" i="3"/>
  <c r="M52" i="3"/>
  <c r="L52" i="3"/>
  <c r="A52" i="3"/>
  <c r="X51" i="3"/>
  <c r="W51" i="3"/>
  <c r="V51" i="3"/>
  <c r="U51" i="3"/>
  <c r="T51" i="3"/>
  <c r="S51" i="3"/>
  <c r="R51" i="3"/>
  <c r="Q51" i="3"/>
  <c r="P51" i="3"/>
  <c r="O51" i="3"/>
  <c r="N51" i="3"/>
  <c r="M51" i="3"/>
  <c r="L51" i="3"/>
  <c r="A51" i="3"/>
  <c r="X50" i="3"/>
  <c r="W50" i="3"/>
  <c r="V50" i="3"/>
  <c r="U50" i="3"/>
  <c r="T50" i="3"/>
  <c r="S50" i="3"/>
  <c r="R50" i="3"/>
  <c r="Q50" i="3"/>
  <c r="P50" i="3"/>
  <c r="O50" i="3"/>
  <c r="N50" i="3"/>
  <c r="M50" i="3"/>
  <c r="L50" i="3"/>
  <c r="A50" i="3"/>
  <c r="X49" i="3"/>
  <c r="W49" i="3"/>
  <c r="V49" i="3"/>
  <c r="U49" i="3"/>
  <c r="T49" i="3"/>
  <c r="S49" i="3"/>
  <c r="R49" i="3"/>
  <c r="Q49" i="3"/>
  <c r="P49" i="3"/>
  <c r="O49" i="3"/>
  <c r="N49" i="3"/>
  <c r="M49" i="3"/>
  <c r="L49" i="3"/>
  <c r="A49" i="3"/>
  <c r="X48" i="3"/>
  <c r="W48" i="3"/>
  <c r="V48" i="3"/>
  <c r="U48" i="3"/>
  <c r="T48" i="3"/>
  <c r="S48" i="3"/>
  <c r="R48" i="3"/>
  <c r="Q48" i="3"/>
  <c r="P48" i="3"/>
  <c r="O48" i="3"/>
  <c r="N48" i="3"/>
  <c r="M48" i="3"/>
  <c r="L48" i="3"/>
  <c r="A48" i="3"/>
  <c r="X47" i="3"/>
  <c r="W47" i="3"/>
  <c r="V47" i="3"/>
  <c r="U47" i="3"/>
  <c r="T47" i="3"/>
  <c r="S47" i="3"/>
  <c r="R47" i="3"/>
  <c r="Q47" i="3"/>
  <c r="P47" i="3"/>
  <c r="O47" i="3"/>
  <c r="N47" i="3"/>
  <c r="M47" i="3"/>
  <c r="L47" i="3"/>
  <c r="A47" i="3"/>
  <c r="X46" i="3"/>
  <c r="W46" i="3"/>
  <c r="V46" i="3"/>
  <c r="U46" i="3"/>
  <c r="T46" i="3"/>
  <c r="S46" i="3"/>
  <c r="R46" i="3"/>
  <c r="Q46" i="3"/>
  <c r="P46" i="3"/>
  <c r="O46" i="3"/>
  <c r="N46" i="3"/>
  <c r="M46" i="3"/>
  <c r="L46" i="3"/>
  <c r="A46" i="3"/>
  <c r="X45" i="3"/>
  <c r="W45" i="3"/>
  <c r="V45" i="3"/>
  <c r="U45" i="3"/>
  <c r="T45" i="3"/>
  <c r="S45" i="3"/>
  <c r="R45" i="3"/>
  <c r="Q45" i="3"/>
  <c r="P45" i="3"/>
  <c r="O45" i="3"/>
  <c r="N45" i="3"/>
  <c r="M45" i="3"/>
  <c r="L45" i="3"/>
  <c r="A45" i="3"/>
  <c r="X44" i="3"/>
  <c r="W44" i="3"/>
  <c r="V44" i="3"/>
  <c r="U44" i="3"/>
  <c r="T44" i="3"/>
  <c r="S44" i="3"/>
  <c r="R44" i="3"/>
  <c r="Q44" i="3"/>
  <c r="P44" i="3"/>
  <c r="O44" i="3"/>
  <c r="N44" i="3"/>
  <c r="M44" i="3"/>
  <c r="L44" i="3"/>
  <c r="A44" i="3"/>
  <c r="X43" i="3"/>
  <c r="W43" i="3"/>
  <c r="V43" i="3"/>
  <c r="U43" i="3"/>
  <c r="T43" i="3"/>
  <c r="S43" i="3"/>
  <c r="R43" i="3"/>
  <c r="Q43" i="3"/>
  <c r="P43" i="3"/>
  <c r="O43" i="3"/>
  <c r="N43" i="3"/>
  <c r="M43" i="3"/>
  <c r="L43" i="3"/>
  <c r="A43" i="3"/>
  <c r="X42" i="3"/>
  <c r="W42" i="3"/>
  <c r="V42" i="3"/>
  <c r="U42" i="3"/>
  <c r="T42" i="3"/>
  <c r="S42" i="3"/>
  <c r="R42" i="3"/>
  <c r="Q42" i="3"/>
  <c r="P42" i="3"/>
  <c r="O42" i="3"/>
  <c r="N42" i="3"/>
  <c r="M42" i="3"/>
  <c r="L42" i="3"/>
  <c r="A42" i="3"/>
  <c r="X41" i="3"/>
  <c r="W41" i="3"/>
  <c r="V41" i="3"/>
  <c r="U41" i="3"/>
  <c r="T41" i="3"/>
  <c r="S41" i="3"/>
  <c r="R41" i="3"/>
  <c r="Q41" i="3"/>
  <c r="P41" i="3"/>
  <c r="N41" i="3"/>
  <c r="M41" i="3"/>
  <c r="L41" i="3"/>
  <c r="A41" i="3"/>
  <c r="X40" i="3"/>
  <c r="W40" i="3"/>
  <c r="V40" i="3"/>
  <c r="U40" i="3"/>
  <c r="T40" i="3"/>
  <c r="S40" i="3"/>
  <c r="R40" i="3"/>
  <c r="Q40" i="3"/>
  <c r="P40" i="3"/>
  <c r="O40" i="3"/>
  <c r="N40" i="3"/>
  <c r="M40" i="3"/>
  <c r="L40" i="3"/>
  <c r="A40" i="3"/>
  <c r="X39" i="3"/>
  <c r="W39" i="3"/>
  <c r="V39" i="3"/>
  <c r="U39" i="3"/>
  <c r="T39" i="3"/>
  <c r="S39" i="3"/>
  <c r="R39" i="3"/>
  <c r="Q39" i="3"/>
  <c r="P39" i="3"/>
  <c r="O39" i="3"/>
  <c r="N39" i="3"/>
  <c r="M39" i="3"/>
  <c r="L39" i="3"/>
  <c r="A39" i="3"/>
  <c r="X38" i="3"/>
  <c r="W38" i="3"/>
  <c r="V38" i="3"/>
  <c r="U38" i="3"/>
  <c r="T38" i="3"/>
  <c r="S38" i="3"/>
  <c r="R38" i="3"/>
  <c r="Q38" i="3"/>
  <c r="P38" i="3"/>
  <c r="O38" i="3"/>
  <c r="N38" i="3"/>
  <c r="M38" i="3"/>
  <c r="L38" i="3"/>
  <c r="A38" i="3"/>
  <c r="X37" i="3"/>
  <c r="W37" i="3"/>
  <c r="V37" i="3"/>
  <c r="U37" i="3"/>
  <c r="T37" i="3"/>
  <c r="S37" i="3"/>
  <c r="R37" i="3"/>
  <c r="Q37" i="3"/>
  <c r="P37" i="3"/>
  <c r="O37" i="3"/>
  <c r="N37" i="3"/>
  <c r="M37" i="3"/>
  <c r="L37" i="3"/>
  <c r="A37" i="3"/>
  <c r="X36" i="3"/>
  <c r="W36" i="3"/>
  <c r="V36" i="3"/>
  <c r="U36" i="3"/>
  <c r="T36" i="3"/>
  <c r="S36" i="3"/>
  <c r="R36" i="3"/>
  <c r="Q36" i="3"/>
  <c r="P36" i="3"/>
  <c r="O36" i="3"/>
  <c r="N36" i="3"/>
  <c r="M36" i="3"/>
  <c r="L36" i="3"/>
  <c r="A36" i="3"/>
  <c r="X35" i="3"/>
  <c r="W35" i="3"/>
  <c r="V35" i="3"/>
  <c r="U35" i="3"/>
  <c r="T35" i="3"/>
  <c r="S35" i="3"/>
  <c r="R35" i="3"/>
  <c r="Q35" i="3"/>
  <c r="P35" i="3"/>
  <c r="O35" i="3"/>
  <c r="N35" i="3"/>
  <c r="M35" i="3"/>
  <c r="L35" i="3"/>
  <c r="A35" i="3"/>
  <c r="X34" i="3"/>
  <c r="W34" i="3"/>
  <c r="V34" i="3"/>
  <c r="U34" i="3"/>
  <c r="T34" i="3"/>
  <c r="S34" i="3"/>
  <c r="R34" i="3"/>
  <c r="Q34" i="3"/>
  <c r="P34" i="3"/>
  <c r="O34" i="3"/>
  <c r="N34" i="3"/>
  <c r="M34" i="3"/>
  <c r="L34" i="3"/>
  <c r="A34" i="3"/>
  <c r="X33" i="3"/>
  <c r="W33" i="3"/>
  <c r="V33" i="3"/>
  <c r="U33" i="3"/>
  <c r="T33" i="3"/>
  <c r="S33" i="3"/>
  <c r="R33" i="3"/>
  <c r="Q33" i="3"/>
  <c r="P33" i="3"/>
  <c r="O33" i="3"/>
  <c r="N33" i="3"/>
  <c r="M33" i="3"/>
  <c r="L33" i="3"/>
  <c r="A33" i="3"/>
  <c r="X32" i="3"/>
  <c r="W32" i="3"/>
  <c r="V32" i="3"/>
  <c r="U32" i="3"/>
  <c r="T32" i="3"/>
  <c r="S32" i="3"/>
  <c r="R32" i="3"/>
  <c r="Q32" i="3"/>
  <c r="P32" i="3"/>
  <c r="O32" i="3"/>
  <c r="N32" i="3"/>
  <c r="M32" i="3"/>
  <c r="L32" i="3"/>
  <c r="A32" i="3"/>
  <c r="X31" i="3"/>
  <c r="W31" i="3"/>
  <c r="V31" i="3"/>
  <c r="U31" i="3"/>
  <c r="T31" i="3"/>
  <c r="S31" i="3"/>
  <c r="R31" i="3"/>
  <c r="Q31" i="3"/>
  <c r="P31" i="3"/>
  <c r="O31" i="3"/>
  <c r="N31" i="3"/>
  <c r="M31" i="3"/>
  <c r="L31" i="3"/>
  <c r="A31" i="3"/>
  <c r="X30" i="3"/>
  <c r="W30" i="3"/>
  <c r="V30" i="3"/>
  <c r="U30" i="3"/>
  <c r="T30" i="3"/>
  <c r="S30" i="3"/>
  <c r="R30" i="3"/>
  <c r="Q30" i="3"/>
  <c r="P30" i="3"/>
  <c r="O30" i="3"/>
  <c r="N30" i="3"/>
  <c r="M30" i="3"/>
  <c r="L30" i="3"/>
  <c r="A30" i="3"/>
  <c r="X29" i="3"/>
  <c r="W29" i="3"/>
  <c r="V29" i="3"/>
  <c r="U29" i="3"/>
  <c r="T29" i="3"/>
  <c r="S29" i="3"/>
  <c r="R29" i="3"/>
  <c r="Q29" i="3"/>
  <c r="P29" i="3"/>
  <c r="O29" i="3"/>
  <c r="N29" i="3"/>
  <c r="M29" i="3"/>
  <c r="L29" i="3"/>
  <c r="A29" i="3"/>
  <c r="X28" i="3"/>
  <c r="W28" i="3"/>
  <c r="V28" i="3"/>
  <c r="U28" i="3"/>
  <c r="T28" i="3"/>
  <c r="S28" i="3"/>
  <c r="R28" i="3"/>
  <c r="Q28" i="3"/>
  <c r="P28" i="3"/>
  <c r="O28" i="3"/>
  <c r="N28" i="3"/>
  <c r="M28" i="3"/>
  <c r="L28" i="3"/>
  <c r="A28" i="3"/>
  <c r="X27" i="3"/>
  <c r="W27" i="3"/>
  <c r="V27" i="3"/>
  <c r="U27" i="3"/>
  <c r="T27" i="3"/>
  <c r="S27" i="3"/>
  <c r="R27" i="3"/>
  <c r="Q27" i="3"/>
  <c r="P27" i="3"/>
  <c r="O27" i="3"/>
  <c r="N27" i="3"/>
  <c r="M27" i="3"/>
  <c r="L27" i="3"/>
  <c r="A27" i="3"/>
  <c r="X26" i="3"/>
  <c r="W26" i="3"/>
  <c r="V26" i="3"/>
  <c r="U26" i="3"/>
  <c r="T26" i="3"/>
  <c r="S26" i="3"/>
  <c r="R26" i="3"/>
  <c r="Q26" i="3"/>
  <c r="P26" i="3"/>
  <c r="O26" i="3"/>
  <c r="N26" i="3"/>
  <c r="M26" i="3"/>
  <c r="L26" i="3"/>
  <c r="A26" i="3"/>
  <c r="X25" i="3"/>
  <c r="W25" i="3"/>
  <c r="V25" i="3"/>
  <c r="U25" i="3"/>
  <c r="T25" i="3"/>
  <c r="S25" i="3"/>
  <c r="R25" i="3"/>
  <c r="Q25" i="3"/>
  <c r="P25" i="3"/>
  <c r="O25" i="3"/>
  <c r="N25" i="3"/>
  <c r="M25" i="3"/>
  <c r="L25" i="3"/>
  <c r="A25" i="3"/>
  <c r="X24" i="3"/>
  <c r="W24" i="3"/>
  <c r="V24" i="3"/>
  <c r="U24" i="3"/>
  <c r="T24" i="3"/>
  <c r="S24" i="3"/>
  <c r="R24" i="3"/>
  <c r="Q24" i="3"/>
  <c r="P24" i="3"/>
  <c r="O24" i="3"/>
  <c r="N24" i="3"/>
  <c r="M24" i="3"/>
  <c r="L24" i="3"/>
  <c r="A24" i="3"/>
  <c r="X23" i="3"/>
  <c r="W23" i="3"/>
  <c r="V23" i="3"/>
  <c r="U23" i="3"/>
  <c r="T23" i="3"/>
  <c r="S23" i="3"/>
  <c r="R23" i="3"/>
  <c r="Q23" i="3"/>
  <c r="P23" i="3"/>
  <c r="O23" i="3"/>
  <c r="N23" i="3"/>
  <c r="M23" i="3"/>
  <c r="L23" i="3"/>
  <c r="A23" i="3"/>
  <c r="X22" i="3"/>
  <c r="W22" i="3"/>
  <c r="V22" i="3"/>
  <c r="U22" i="3"/>
  <c r="T22" i="3"/>
  <c r="S22" i="3"/>
  <c r="R22" i="3"/>
  <c r="Q22" i="3"/>
  <c r="P22" i="3"/>
  <c r="O22" i="3"/>
  <c r="N22" i="3"/>
  <c r="M22" i="3"/>
  <c r="L22" i="3"/>
  <c r="A22" i="3"/>
  <c r="X21" i="3"/>
  <c r="W21" i="3"/>
  <c r="V21" i="3"/>
  <c r="U21" i="3"/>
  <c r="T21" i="3"/>
  <c r="S21" i="3"/>
  <c r="R21" i="3"/>
  <c r="Q21" i="3"/>
  <c r="P21" i="3"/>
  <c r="O21" i="3"/>
  <c r="N21" i="3"/>
  <c r="M21" i="3"/>
  <c r="L21" i="3"/>
  <c r="A21" i="3"/>
  <c r="X20" i="3"/>
  <c r="W20" i="3"/>
  <c r="V20" i="3"/>
  <c r="U20" i="3"/>
  <c r="T20" i="3"/>
  <c r="S20" i="3"/>
  <c r="R20" i="3"/>
  <c r="Q20" i="3"/>
  <c r="P20" i="3"/>
  <c r="O20" i="3"/>
  <c r="N20" i="3"/>
  <c r="M20" i="3"/>
  <c r="L20" i="3"/>
  <c r="A20" i="3"/>
  <c r="X19" i="3"/>
  <c r="W19" i="3"/>
  <c r="V19" i="3"/>
  <c r="U19" i="3"/>
  <c r="T19" i="3"/>
  <c r="S19" i="3"/>
  <c r="R19" i="3"/>
  <c r="Q19" i="3"/>
  <c r="P19" i="3"/>
  <c r="O19" i="3"/>
  <c r="N19" i="3"/>
  <c r="M19" i="3"/>
  <c r="L19" i="3"/>
  <c r="A19" i="3"/>
  <c r="X18" i="3"/>
  <c r="W18" i="3"/>
  <c r="V18" i="3"/>
  <c r="U18" i="3"/>
  <c r="T18" i="3"/>
  <c r="S18" i="3"/>
  <c r="R18" i="3"/>
  <c r="Q18" i="3"/>
  <c r="P18" i="3"/>
  <c r="O18" i="3"/>
  <c r="N18" i="3"/>
  <c r="M18" i="3"/>
  <c r="L18" i="3"/>
  <c r="A18" i="3"/>
  <c r="X17" i="3"/>
  <c r="W17" i="3"/>
  <c r="V17" i="3"/>
  <c r="U17" i="3"/>
  <c r="T17" i="3"/>
  <c r="S17" i="3"/>
  <c r="R17" i="3"/>
  <c r="Q17" i="3"/>
  <c r="P17" i="3"/>
  <c r="O17" i="3"/>
  <c r="N17" i="3"/>
  <c r="M17" i="3"/>
  <c r="L17" i="3"/>
  <c r="A17" i="3"/>
  <c r="X16" i="3"/>
  <c r="W16" i="3"/>
  <c r="V16" i="3"/>
  <c r="U16" i="3"/>
  <c r="T16" i="3"/>
  <c r="S16" i="3"/>
  <c r="R16" i="3"/>
  <c r="Q16" i="3"/>
  <c r="P16" i="3"/>
  <c r="O16" i="3"/>
  <c r="N16" i="3"/>
  <c r="M16" i="3"/>
  <c r="L16" i="3"/>
  <c r="A16" i="3"/>
  <c r="X15" i="3"/>
  <c r="W15" i="3"/>
  <c r="V15" i="3"/>
  <c r="U15" i="3"/>
  <c r="T15" i="3"/>
  <c r="S15" i="3"/>
  <c r="R15" i="3"/>
  <c r="Q15" i="3"/>
  <c r="P15" i="3"/>
  <c r="O15" i="3"/>
  <c r="N15" i="3"/>
  <c r="M15" i="3"/>
  <c r="L15" i="3"/>
  <c r="A15" i="3"/>
  <c r="X14" i="3"/>
  <c r="W14" i="3"/>
  <c r="V14" i="3"/>
  <c r="U14" i="3"/>
  <c r="T14" i="3"/>
  <c r="S14" i="3"/>
  <c r="R14" i="3"/>
  <c r="O14" i="3"/>
  <c r="N14" i="3"/>
  <c r="M14" i="3"/>
  <c r="L14" i="3"/>
  <c r="A14" i="3"/>
  <c r="X13" i="3"/>
  <c r="W13" i="3"/>
  <c r="V13" i="3"/>
  <c r="U13" i="3"/>
  <c r="T13" i="3"/>
  <c r="S13" i="3"/>
  <c r="R13" i="3"/>
  <c r="Q13" i="3"/>
  <c r="P13" i="3"/>
  <c r="O13" i="3"/>
  <c r="N13" i="3"/>
  <c r="M13" i="3"/>
  <c r="L13" i="3"/>
  <c r="A13" i="3"/>
  <c r="X12" i="3"/>
  <c r="W12" i="3"/>
  <c r="V12" i="3"/>
  <c r="U12" i="3"/>
  <c r="T12" i="3"/>
  <c r="S12" i="3"/>
  <c r="R12" i="3"/>
  <c r="Q12" i="3"/>
  <c r="P12" i="3"/>
  <c r="O12" i="3"/>
  <c r="N12" i="3"/>
  <c r="M12" i="3"/>
  <c r="L12" i="3"/>
  <c r="A12" i="3"/>
  <c r="X11" i="3"/>
  <c r="W11" i="3"/>
  <c r="V11" i="3"/>
  <c r="U11" i="3"/>
  <c r="T11" i="3"/>
  <c r="S11" i="3"/>
  <c r="R11" i="3"/>
  <c r="Q11" i="3"/>
  <c r="P11" i="3"/>
  <c r="O11" i="3"/>
  <c r="N11" i="3"/>
  <c r="M11" i="3"/>
  <c r="L11" i="3"/>
  <c r="A11" i="3"/>
  <c r="X10" i="3"/>
  <c r="W10" i="3"/>
  <c r="V10" i="3"/>
  <c r="U10" i="3"/>
  <c r="T10" i="3"/>
  <c r="S10" i="3"/>
  <c r="R10" i="3"/>
  <c r="Q10" i="3"/>
  <c r="P10" i="3"/>
  <c r="O10" i="3"/>
  <c r="N10" i="3"/>
  <c r="M10" i="3"/>
  <c r="L10" i="3"/>
  <c r="A10" i="3"/>
  <c r="X9" i="3"/>
  <c r="W9" i="3"/>
  <c r="V9" i="3"/>
  <c r="U9" i="3"/>
  <c r="T9" i="3"/>
  <c r="S9" i="3"/>
  <c r="R9" i="3"/>
  <c r="Q9" i="3"/>
  <c r="P9" i="3"/>
  <c r="O9" i="3"/>
  <c r="N9" i="3"/>
  <c r="M9" i="3"/>
  <c r="L9" i="3"/>
  <c r="A9" i="3"/>
  <c r="X8" i="3"/>
  <c r="W8" i="3"/>
  <c r="V8" i="3"/>
  <c r="U8" i="3"/>
  <c r="T8" i="3"/>
  <c r="S8" i="3"/>
  <c r="R8" i="3"/>
  <c r="Q8" i="3"/>
  <c r="P8" i="3"/>
  <c r="O8" i="3"/>
  <c r="N8" i="3"/>
  <c r="M8" i="3"/>
  <c r="L8" i="3"/>
  <c r="A8" i="3"/>
  <c r="X7" i="3"/>
  <c r="W7" i="3"/>
  <c r="V7" i="3"/>
  <c r="U7" i="3"/>
  <c r="T7" i="3"/>
  <c r="S7" i="3"/>
  <c r="R7" i="3"/>
  <c r="Q7" i="3"/>
  <c r="P7" i="3"/>
  <c r="O7" i="3"/>
  <c r="N7" i="3"/>
  <c r="M7" i="3"/>
  <c r="L7" i="3"/>
  <c r="A7" i="3"/>
  <c r="X6" i="3"/>
  <c r="W6" i="3"/>
  <c r="V6" i="3"/>
  <c r="U6" i="3"/>
  <c r="T6" i="3"/>
  <c r="S6" i="3"/>
  <c r="R6" i="3"/>
  <c r="Q6" i="3"/>
  <c r="P6" i="3"/>
  <c r="O6" i="3"/>
  <c r="N6" i="3"/>
  <c r="M6" i="3"/>
  <c r="L6" i="3"/>
  <c r="A6" i="3"/>
  <c r="X5" i="3"/>
  <c r="W5" i="3"/>
  <c r="V5" i="3"/>
  <c r="U5" i="3"/>
  <c r="T5" i="3"/>
  <c r="S5" i="3"/>
  <c r="R5" i="3"/>
  <c r="Q5" i="3"/>
  <c r="P5" i="3"/>
  <c r="O5" i="3"/>
  <c r="N5" i="3"/>
  <c r="M5" i="3"/>
  <c r="L5" i="3"/>
  <c r="A5" i="3"/>
  <c r="X4" i="3"/>
  <c r="W4" i="3"/>
  <c r="V4" i="3"/>
  <c r="U4" i="3"/>
  <c r="T4" i="3"/>
  <c r="S4" i="3"/>
  <c r="R4" i="3"/>
  <c r="Q4" i="3"/>
  <c r="P4" i="3"/>
  <c r="O4" i="3"/>
  <c r="N4" i="3"/>
  <c r="M4" i="3"/>
  <c r="L4" i="3"/>
  <c r="A4" i="3"/>
  <c r="X3" i="3"/>
  <c r="W3" i="3"/>
  <c r="V3" i="3"/>
  <c r="U3" i="3"/>
  <c r="T3" i="3"/>
  <c r="S3" i="3"/>
  <c r="R3" i="3"/>
  <c r="Q3" i="3"/>
  <c r="P3" i="3"/>
  <c r="O3" i="3"/>
  <c r="N3" i="3"/>
  <c r="M3" i="3"/>
  <c r="L3" i="3"/>
  <c r="A3" i="3"/>
</calcChain>
</file>

<file path=xl/sharedStrings.xml><?xml version="1.0" encoding="utf-8"?>
<sst xmlns="http://schemas.openxmlformats.org/spreadsheetml/2006/main" count="12826" uniqueCount="3150">
  <si>
    <t xml:space="preserve">Status </t>
  </si>
  <si>
    <t>Date group began accepting</t>
  </si>
  <si>
    <t>Status Changes (Dates, can add multiple)</t>
  </si>
  <si>
    <t>WG/EP Name</t>
  </si>
  <si>
    <t xml:space="preserve">Curation Effort </t>
  </si>
  <si>
    <t xml:space="preserve">CDWG </t>
  </si>
  <si>
    <t>Coordinator</t>
  </si>
  <si>
    <t>Volunteer status</t>
  </si>
  <si>
    <t>Grant</t>
  </si>
  <si>
    <t>Co-chair(s)</t>
  </si>
  <si>
    <t>VolunteerType</t>
  </si>
  <si>
    <t xml:space="preserve">day &amp; time of regular calls </t>
  </si>
  <si>
    <t>Request and requirements</t>
  </si>
  <si>
    <t>Currently Accepting Volunteers</t>
  </si>
  <si>
    <t>Currently Not Accepting Volunteers</t>
  </si>
  <si>
    <t>Initial group</t>
  </si>
  <si>
    <t>TP53 VCEP</t>
  </si>
  <si>
    <t>Actionability WG</t>
  </si>
  <si>
    <t>Variant</t>
  </si>
  <si>
    <t>Actionability</t>
  </si>
  <si>
    <t>Hereditary Cancer</t>
  </si>
  <si>
    <t>Christine Pak</t>
  </si>
  <si>
    <t>ECEI</t>
  </si>
  <si>
    <t>Katrina Goddard, Bradford Powell, Adam Buchanan</t>
  </si>
  <si>
    <t>Deb Ritter</t>
  </si>
  <si>
    <t>Stanford/Baylor</t>
  </si>
  <si>
    <t xml:space="preserve">Sharon Savage </t>
  </si>
  <si>
    <t>baseline or comprehensive</t>
  </si>
  <si>
    <t xml:space="preserve">comprehensive </t>
  </si>
  <si>
    <t>This group will need curators for TP53 variants, to curate a set of variants with the EP rules.</t>
  </si>
  <si>
    <t>Currently Accepting with Conditions</t>
  </si>
  <si>
    <t>Dosage Sensitivity WG</t>
  </si>
  <si>
    <t>Follow- Up Survey Date</t>
  </si>
  <si>
    <t>Dosage</t>
  </si>
  <si>
    <t>N/A</t>
  </si>
  <si>
    <t>Erin Riggs/Kelly Toner</t>
  </si>
  <si>
    <t>Harvard/Geisinger</t>
  </si>
  <si>
    <t>Erica Anderson, Erik Thorland</t>
  </si>
  <si>
    <t>Volunteer Information</t>
  </si>
  <si>
    <t>2nd Thurs @ 2pm</t>
  </si>
  <si>
    <t>background in cytogenetics</t>
  </si>
  <si>
    <t>Preferred C3 effort and/or biocurator type</t>
  </si>
  <si>
    <t>Preferred ClinGen curation effort</t>
  </si>
  <si>
    <t>Currently NOT Accepting Volunteers</t>
  </si>
  <si>
    <t>Not accepting as of 8-30-19 (CT)</t>
  </si>
  <si>
    <t>Aminoacidopathy (AA)</t>
  </si>
  <si>
    <t>Gene</t>
  </si>
  <si>
    <t>IEM</t>
  </si>
  <si>
    <t>Meredith Weaver</t>
  </si>
  <si>
    <t>Bill Craigen</t>
  </si>
  <si>
    <t xml:space="preserve">baseline or comprehensive  </t>
  </si>
  <si>
    <t>Accepting volunteers (10/9/19), No longer accepting volunteers (8/28/19)</t>
  </si>
  <si>
    <t>Autism/ID GCEP</t>
  </si>
  <si>
    <t>Neurodevelopmental</t>
  </si>
  <si>
    <t>David Miller, Christian Schaaf</t>
  </si>
  <si>
    <t>Expert Panels / Working Groups requested</t>
  </si>
  <si>
    <t>1st &amp; 3rd Wed. @ 2 pm</t>
  </si>
  <si>
    <t>any</t>
  </si>
  <si>
    <t>Timestamp</t>
  </si>
  <si>
    <t>Brain Malformations GCEP</t>
  </si>
  <si>
    <t>Catherine Shain/Abbe Lai</t>
  </si>
  <si>
    <t>NICHD U25</t>
  </si>
  <si>
    <t>Ann Poduri, Tim Yu</t>
  </si>
  <si>
    <t>Comprehensive</t>
  </si>
  <si>
    <t>Experienced curators preferred or experience with brain malformation and/or somatic variants</t>
  </si>
  <si>
    <t>Newly forming (May 9 2019)</t>
  </si>
  <si>
    <t>Charcot Marie Tooth (CMT)</t>
  </si>
  <si>
    <t>Neuromuscular</t>
  </si>
  <si>
    <t>Dana Bis-Brewer, Chandler Douglas, Lisa Kurtz</t>
  </si>
  <si>
    <t>Stefan Zuchner</t>
  </si>
  <si>
    <t>TBD</t>
  </si>
  <si>
    <t>a familiarity with the different forms of inherited neuropathies either at the clinical or molecular genetic level</t>
  </si>
  <si>
    <t xml:space="preserve">Date Assigned </t>
  </si>
  <si>
    <t xml:space="preserve">Training Date </t>
  </si>
  <si>
    <t>Training Attended</t>
  </si>
  <si>
    <t>Attestation signed</t>
  </si>
  <si>
    <t>Curation Effort</t>
  </si>
  <si>
    <t>WG /EP</t>
  </si>
  <si>
    <t>Number of Curation Activities Participating</t>
  </si>
  <si>
    <t>Three Month Survey</t>
  </si>
  <si>
    <t>Six Month Survey</t>
  </si>
  <si>
    <t>Name</t>
  </si>
  <si>
    <t>Email address</t>
  </si>
  <si>
    <t>Role</t>
  </si>
  <si>
    <t>Volunteer Type</t>
  </si>
  <si>
    <t xml:space="preserve">First Choice </t>
  </si>
  <si>
    <t>Newly forming (May 8 2019)</t>
  </si>
  <si>
    <t>Second Choice</t>
  </si>
  <si>
    <t>Congenital Myopathies GCEP</t>
  </si>
  <si>
    <t>Third Choice</t>
  </si>
  <si>
    <t xml:space="preserve">Fourth Choice </t>
  </si>
  <si>
    <t xml:space="preserve">Fifth Choice </t>
  </si>
  <si>
    <t>Experience</t>
  </si>
  <si>
    <t>more than 1?</t>
  </si>
  <si>
    <t>Liz Kearns</t>
  </si>
  <si>
    <t>Ozge Birsoy, Carsten Bonnemann</t>
  </si>
  <si>
    <t>2nd and 4th Monday @ 9 am</t>
  </si>
  <si>
    <t>some prior experience in human genetics would be important and some experience related to variant review/interpretation in research or clinical setting would be desired. Prior knowledge of NMD would be beneficial but not required</t>
  </si>
  <si>
    <t>Other WGs/EPs if preference not available</t>
  </si>
  <si>
    <t>No longer accepting volunteers (8-28-19)</t>
  </si>
  <si>
    <t>Dilated Cardiomyopathy (DCM) GCEP</t>
  </si>
  <si>
    <t>Cardiovascular</t>
  </si>
  <si>
    <t>Notes</t>
  </si>
  <si>
    <t>Ray Hershberger</t>
  </si>
  <si>
    <t>Epilepsy GCEP</t>
  </si>
  <si>
    <t>Erin Riggs</t>
  </si>
  <si>
    <t>Ingo Helbig, Heather Mefford</t>
  </si>
  <si>
    <t>1st &amp; 3rd Tues. @ 12 pm</t>
  </si>
  <si>
    <t>Contacted</t>
  </si>
  <si>
    <t>Hemostasis/Thrombosis GCEP</t>
  </si>
  <si>
    <t>Hemostasis/Thrombosis</t>
  </si>
  <si>
    <t>Kristy Lee</t>
  </si>
  <si>
    <t>Kathleen Freson/Michele Lambert</t>
  </si>
  <si>
    <t>comprehensive</t>
  </si>
  <si>
    <t>Added conditions (May 9 2019)</t>
  </si>
  <si>
    <t>Hereditary Cancer GCEP</t>
  </si>
  <si>
    <t>Xi Luo</t>
  </si>
  <si>
    <t>Yes</t>
  </si>
  <si>
    <t>Sharon Plon</t>
  </si>
  <si>
    <t>Prior curation experience preferable and a PhD</t>
  </si>
  <si>
    <t>Newly forming (May 2019)</t>
  </si>
  <si>
    <t>Limb Girdle Muscular Dystrophy (LGMD) GCEP</t>
  </si>
  <si>
    <t>Gene Disease Validity</t>
  </si>
  <si>
    <t>Epilepsy</t>
  </si>
  <si>
    <t>C. Chris Weihl</t>
  </si>
  <si>
    <t>Declined</t>
  </si>
  <si>
    <t>Monogenic Diabetes GCEP</t>
  </si>
  <si>
    <t>Rhea Cosentino</t>
  </si>
  <si>
    <t>Toni Pollin</t>
  </si>
  <si>
    <t>Gene curation experience is preferred</t>
  </si>
  <si>
    <t>No</t>
  </si>
  <si>
    <t>Took survey to indicate no longer accepting volunteers</t>
  </si>
  <si>
    <t xml:space="preserve">Mitochondrial Diseases GCEP </t>
  </si>
  <si>
    <t xml:space="preserve">Gene </t>
  </si>
  <si>
    <t>Elizabeth McCormick</t>
  </si>
  <si>
    <t>NICHD U24</t>
  </si>
  <si>
    <t>Somatic Cancer</t>
  </si>
  <si>
    <t>Marni Falk, Xiaowu Gai</t>
  </si>
  <si>
    <t>Pediatric cancer</t>
  </si>
  <si>
    <t>Only</t>
  </si>
  <si>
    <t>Newly forming (May 9, 2019)</t>
  </si>
  <si>
    <t>Genitourinary tract cancers</t>
  </si>
  <si>
    <t>Somatic</t>
  </si>
  <si>
    <t>ID Autism</t>
  </si>
  <si>
    <t>Shruti Rao</t>
  </si>
  <si>
    <t>ECEI, Baylor/Stanford</t>
  </si>
  <si>
    <t>Removed newly forming (May 9 2019)</t>
  </si>
  <si>
    <t>Pancreatic Cancer WG - Somatic</t>
  </si>
  <si>
    <t>Matthew McCoy, Gagandeep Brar</t>
  </si>
  <si>
    <t>Curators with any level of expertise will be accepted to curate in CIViC. Experienced curators prefered to create Assertions in CIViC</t>
  </si>
  <si>
    <t>Pediatric Cancer WG</t>
  </si>
  <si>
    <t>Deb Ritter / Shruti Rao</t>
  </si>
  <si>
    <t>ECEI, Stanford/Baylor</t>
  </si>
  <si>
    <t>Gordana Raca, Angshumoy Roy</t>
  </si>
  <si>
    <t>baseline or comprehensive (has different meaning for somatic cancer, see description in request/requirements)</t>
  </si>
  <si>
    <t>This is somatic cancer. We will be using CIViC to curate. Volunteers can be either baseline or comprehensive. For somatic, baseline would be adding Evidence items to CIViC occasionally, while comprehensive would be participating in creating Assertions within CIViC.</t>
  </si>
  <si>
    <t>Subha Madhavan, Shashi Kulkarni</t>
  </si>
  <si>
    <t>3rd Mon. @ 3</t>
  </si>
  <si>
    <t>Initial group (newly forming/accepting)</t>
  </si>
  <si>
    <t>NOT Accepting (March 2019 due to reorganization)</t>
  </si>
  <si>
    <t>Assigned</t>
  </si>
  <si>
    <t>Somatic Nonsmall cell lung cancer</t>
  </si>
  <si>
    <t>Shruti Rao, Deb ritter</t>
  </si>
  <si>
    <t>Dosage Sensitivity</t>
  </si>
  <si>
    <t>Recurrent CNVs</t>
  </si>
  <si>
    <t>Initial Group (accepting)</t>
  </si>
  <si>
    <t>Somatic TP53</t>
  </si>
  <si>
    <t>Update May 2019: Changed name from FAO VCEP to ACADVL VCEP, added hyperlink to page. Update 8-30-19:  Requires variant curation experience</t>
  </si>
  <si>
    <t>Unresponsive</t>
  </si>
  <si>
    <t>ACADVL</t>
  </si>
  <si>
    <t>Rong Mao, Heather Beaudet</t>
  </si>
  <si>
    <t>Requires variant curation experience as of 8-30-19</t>
  </si>
  <si>
    <t>Brain Malformations VCEP</t>
  </si>
  <si>
    <t>Dilated Cardiomyopathy</t>
  </si>
  <si>
    <r>
      <t xml:space="preserve">Added conditions (May 9 2019), </t>
    </r>
    <r>
      <rPr>
        <b/>
        <sz val="10"/>
        <rFont val="Arial"/>
      </rPr>
      <t>Update 8-26-19:</t>
    </r>
    <r>
      <rPr>
        <sz val="10"/>
        <color rgb="FF000000"/>
        <rFont val="Arial"/>
      </rPr>
      <t xml:space="preserve"> Only accpeting "high level candidate" presumed to require priori knowledge with CDH1 curation and variant curation</t>
    </r>
  </si>
  <si>
    <t>CDH1</t>
  </si>
  <si>
    <t>Rachid Karam/Intan Schrader</t>
  </si>
  <si>
    <t>3rd Mon. @ 4 pm</t>
  </si>
  <si>
    <t>Prior variant curationi experience and PhD</t>
  </si>
  <si>
    <t>Somatic WG</t>
  </si>
  <si>
    <t>Update 8-10-19: Requires variant curation experience</t>
  </si>
  <si>
    <t>Cerebral Creatine Deficiency Syndrome</t>
  </si>
  <si>
    <t>Baseline and Comprehensive</t>
  </si>
  <si>
    <t>variant curation experience and need to attend calls</t>
  </si>
  <si>
    <t>Update 8-21-19: Can accept 2-3 more volunteers</t>
  </si>
  <si>
    <t>Coagulation Factor Deficiency VCEP</t>
  </si>
  <si>
    <t>variant curation experience and some background or interest in disease</t>
  </si>
  <si>
    <t>Colorectal Cancer VCEP</t>
  </si>
  <si>
    <t xml:space="preserve">Deb Ritter </t>
  </si>
  <si>
    <t>Marc Greenblat, Matt Ferber</t>
  </si>
  <si>
    <t xml:space="preserve">this group is still in the very early stages of transition to Expert Panel from gene curation. </t>
  </si>
  <si>
    <t>Newly forming August 2019</t>
  </si>
  <si>
    <t>Update 8-21-19: Accepting volunteers</t>
  </si>
  <si>
    <t>Congenital Myopathies VCEP</t>
  </si>
  <si>
    <t>Neurouscular</t>
  </si>
  <si>
    <t>2nd &amp; 4th Monday @ 9 am</t>
  </si>
  <si>
    <t>some prior experience in human genetics would be important and some experience related to variant review/interpretation in research or clinical setting would be desired.Prior knowledge of NMD would be beneficial but not required</t>
  </si>
  <si>
    <t>ID/Autism</t>
  </si>
  <si>
    <t>Familial Hypercholesterolemia (FH) VCEP</t>
  </si>
  <si>
    <t>Hannah Wand</t>
  </si>
  <si>
    <t>Malfalda Bourbon and Joshua Knowles</t>
  </si>
  <si>
    <t>FBN1 VCEP</t>
  </si>
  <si>
    <t>Baseline</t>
  </si>
  <si>
    <t>Julie De Backer</t>
  </si>
  <si>
    <t>Hearing Loss VCEP</t>
  </si>
  <si>
    <t>Hearing Loss CDWG</t>
  </si>
  <si>
    <t>Andrea Oza</t>
  </si>
  <si>
    <t>Ahmad Abou Tayoun, Sami Amr, Heidi Rehm</t>
  </si>
  <si>
    <t>2nd &amp; 4th Wed. @ 8 am</t>
  </si>
  <si>
    <t>need variant curation experience</t>
  </si>
  <si>
    <t>confirmed not accepting (3-28-19/ CT)</t>
  </si>
  <si>
    <t>Hereditary Breast/Ovarian/Pancreatic VCEP</t>
  </si>
  <si>
    <t>Marcy Richardson</t>
  </si>
  <si>
    <t>Fergus Couch</t>
  </si>
  <si>
    <t>Inherited Cardiomyopathy VCEP</t>
  </si>
  <si>
    <t>Lisa Kurtz</t>
  </si>
  <si>
    <t>Birgit Funke</t>
  </si>
  <si>
    <t>experience with variant analysis required; mol dx lab directors preferred</t>
  </si>
  <si>
    <t>Updated 10/24/19 to not accepting volunteers - LK</t>
  </si>
  <si>
    <t>Mitochondrial Diseases VCEP</t>
  </si>
  <si>
    <t>Hemo/Thrombo</t>
  </si>
  <si>
    <t>Monogenic Diabetes VCEP</t>
  </si>
  <si>
    <t>Variant curation experience is preferred</t>
  </si>
  <si>
    <r>
      <t xml:space="preserve">Added conditions (May 9 2019), </t>
    </r>
    <r>
      <rPr>
        <b/>
        <sz val="10"/>
        <rFont val="Arial"/>
      </rPr>
      <t>Update 8-26-19:</t>
    </r>
    <r>
      <rPr>
        <sz val="10"/>
        <color rgb="FF000000"/>
        <rFont val="Arial"/>
      </rPr>
      <t xml:space="preserve"> Only accepting "high level canddiates" presuming they need priori variant curation experinece as well as knowledge of myeloid malignancies. </t>
    </r>
    <r>
      <rPr>
        <b/>
        <sz val="10"/>
        <rFont val="Arial"/>
      </rPr>
      <t>Update 11-11-19:</t>
    </r>
    <r>
      <rPr>
        <sz val="10"/>
        <color rgb="FF000000"/>
        <rFont val="Arial"/>
      </rPr>
      <t xml:space="preserve"> No longer accepting volunteers</t>
    </r>
  </si>
  <si>
    <t>Myeloid Malignancy VCEP</t>
  </si>
  <si>
    <t>Stanford/Baylor (ASH)</t>
  </si>
  <si>
    <t>Lucy Godley, David Wu</t>
  </si>
  <si>
    <t xml:space="preserve">2nd Wed. @ 4 pm and 4th Wed @ 12 pm </t>
  </si>
  <si>
    <t>Prior variant curation experience and a PhD</t>
  </si>
  <si>
    <t>Newly forming (May 14, 2019)</t>
  </si>
  <si>
    <t>Peroxisomal Disorders</t>
  </si>
  <si>
    <t>Variant curation experience preferred</t>
  </si>
  <si>
    <t>Update 8-21-19: Can accept 2-3 more volunteers</t>
  </si>
  <si>
    <t>Platelet Disorders VCEP</t>
  </si>
  <si>
    <t>Jorge DiPaola, Wolfgang Bergmeier</t>
  </si>
  <si>
    <t>Experienced curators or experience in Glanzmann disease</t>
  </si>
  <si>
    <t>PTEN VCEP</t>
  </si>
  <si>
    <t>Jessi Mester</t>
  </si>
  <si>
    <t>Charis Eng, Madhuri Hegde</t>
  </si>
  <si>
    <t>For now, only experienced clinical laboratory curators considered. After training process up and running, glad to have others who complete the training process.</t>
  </si>
  <si>
    <t>Update 8-22-19: Accepting 1-2 volunteers with experience in RASopathy</t>
  </si>
  <si>
    <t>RASopathy VCEP</t>
  </si>
  <si>
    <t>RASopathy</t>
  </si>
  <si>
    <t>Danielle Azzariti</t>
  </si>
  <si>
    <t>Bruce Gelb, Lisa Vincent</t>
  </si>
  <si>
    <t>Experienced curators preferred or experiences with RASopathies</t>
  </si>
  <si>
    <t xml:space="preserve">Somatic/Germline VCEP </t>
  </si>
  <si>
    <t>Sharon Plon, Mike Walsh</t>
  </si>
  <si>
    <t>Storage Disease</t>
  </si>
  <si>
    <t>Catherine Rehder, Jenny Goldstein</t>
  </si>
  <si>
    <t>2nd &amp; 4th Tues @ 2 pm</t>
  </si>
  <si>
    <t>Variant Pathogenicity</t>
  </si>
  <si>
    <t>Hearing Loss</t>
  </si>
  <si>
    <r>
      <t xml:space="preserve">Solicited KL for info on 3-28-19(CT), leaving as accepting for now. Update: Accepting volunteers that have expertise in TP53. </t>
    </r>
    <r>
      <rPr>
        <b/>
        <sz val="10"/>
        <rFont val="Arial"/>
      </rPr>
      <t>Update:</t>
    </r>
    <r>
      <rPr>
        <sz val="10"/>
        <color rgb="FF000000"/>
        <rFont val="Arial"/>
      </rPr>
      <t xml:space="preserve"> As of 1-27-20 this group has suspend accepting volunteers (CT).</t>
    </r>
  </si>
  <si>
    <t>this group will need curators for TP53 variants, to curate a set of variants with the EP rules</t>
  </si>
  <si>
    <t>VHL VCEP</t>
  </si>
  <si>
    <t>Raymond Kim</t>
  </si>
  <si>
    <t>1st Tues. @ 12 pm EST</t>
  </si>
  <si>
    <t xml:space="preserve">particularly interested in expertise for functional analysis of VHL </t>
  </si>
  <si>
    <t>Forming Group as of 8-30-19</t>
  </si>
  <si>
    <t>DICER1 VCEP</t>
  </si>
  <si>
    <t>Megan Frone</t>
  </si>
  <si>
    <r>
      <t xml:space="preserve">Priori knowledge or interest in the DICER1 gene and or syndrome preferred. Review of </t>
    </r>
    <r>
      <rPr>
        <b/>
        <sz val="10"/>
        <rFont val="Arial"/>
      </rPr>
      <t>CV required</t>
    </r>
    <r>
      <rPr>
        <sz val="10"/>
        <color rgb="FF000000"/>
        <rFont val="Arial"/>
      </rPr>
      <t xml:space="preserve"> before entry</t>
    </r>
  </si>
  <si>
    <t>Phenyketonuria (PAH)</t>
  </si>
  <si>
    <t>Metabolism</t>
  </si>
  <si>
    <t>UNC/ Baylor</t>
  </si>
  <si>
    <t>Bill Craigen, Rong Mao</t>
  </si>
  <si>
    <t>n/a</t>
  </si>
  <si>
    <t>OTC VCEP</t>
  </si>
  <si>
    <t>requires variant curation experience only.</t>
  </si>
  <si>
    <t>Accepted 1 curator in June 2019</t>
  </si>
  <si>
    <t>Update: not accepting as of 8-21-19</t>
  </si>
  <si>
    <t>Maliginant hyperthermia susceptibility- RYR1VCEP</t>
  </si>
  <si>
    <t>Jennifer Johnston</t>
  </si>
  <si>
    <t>Broad/Geisinger</t>
  </si>
  <si>
    <t>Newly forming in May 9 2019</t>
  </si>
  <si>
    <t>Update 8-21-19: Accpeting 1-2 volunteers</t>
  </si>
  <si>
    <t>Newly forming in August 2019</t>
  </si>
  <si>
    <t>Limb Girdle Muscular dystrophy (LGMD) GCEP</t>
  </si>
  <si>
    <t>Chris Weihl</t>
  </si>
  <si>
    <t>2nd &amp; 4th Tuesdays @2-3pm</t>
  </si>
  <si>
    <t>Newly forming in December 2019</t>
  </si>
  <si>
    <t>von Willebrand Disease VCEP</t>
  </si>
  <si>
    <t>David Lillicrap, Jill Johnsen, and Dan Hampshire</t>
  </si>
  <si>
    <t>Inherited Retinal Diseases GCEP</t>
  </si>
  <si>
    <t>Ocular</t>
  </si>
  <si>
    <t>Glaucoma/Neuro Ocular GCEP</t>
  </si>
  <si>
    <t>Mitochondrial GCEP</t>
  </si>
  <si>
    <t>Newly Forming in January 2020</t>
  </si>
  <si>
    <t>Pulmonary Hypertension (PH) GCEP</t>
  </si>
  <si>
    <t>Carrie Welch</t>
  </si>
  <si>
    <t>Trained before C3</t>
  </si>
  <si>
    <t>On original volunteer doc, assigned in the first draft, Reported to be no longer part of the group on the coordinator 6-month survey</t>
  </si>
  <si>
    <t xml:space="preserve">Epilepsy </t>
  </si>
  <si>
    <t>Aminoacidopathy</t>
  </si>
  <si>
    <t>On original volunteer doc, assigned in the first draft. Reported to no longer be part of the group on the 6 month coordinator survey</t>
  </si>
  <si>
    <t>pancreatic cancer taskforce</t>
  </si>
  <si>
    <t>pediatric cancer taskforce</t>
  </si>
  <si>
    <t>pediatric and pancreatic cancer taskforces</t>
  </si>
  <si>
    <t>First</t>
  </si>
  <si>
    <t>-</t>
  </si>
  <si>
    <t>On original volunteer doc, assigned in the first draft</t>
  </si>
  <si>
    <t>Brain Malformations</t>
  </si>
  <si>
    <t>Mito</t>
  </si>
  <si>
    <t>Coagulation Factor Deficiency</t>
  </si>
  <si>
    <t>TP53</t>
  </si>
  <si>
    <t>Pancreatic cancer taskforce</t>
  </si>
  <si>
    <t>In contact with ID autism group, Liz took the survey</t>
  </si>
  <si>
    <t>Pediatric cancer taskforce</t>
  </si>
  <si>
    <t>PAH</t>
  </si>
  <si>
    <t>Cardiomyopathy</t>
  </si>
  <si>
    <t>Monogenic Diabetes</t>
  </si>
  <si>
    <t>Platelet Disorders</t>
  </si>
  <si>
    <t>NA</t>
  </si>
  <si>
    <t>RYR1</t>
  </si>
  <si>
    <t>unknown</t>
  </si>
  <si>
    <t>Switched from Baseline to Comprehensive once contacted by Gene</t>
  </si>
  <si>
    <t>hematological cancer taskforce</t>
  </si>
  <si>
    <t>Reported to no longer be part of the group on the 6 month coordinator survey</t>
  </si>
  <si>
    <t>Pediatric cancer and Hematological cancer taskforce</t>
  </si>
  <si>
    <t>Genitourinary cancer taskforce</t>
  </si>
  <si>
    <t>Hematological Cancer taskforce</t>
  </si>
  <si>
    <t>Unassigned</t>
  </si>
  <si>
    <t>assigned to Epilepsy but never completed training</t>
  </si>
  <si>
    <r>
      <t xml:space="preserve">11/07/18
</t>
    </r>
    <r>
      <rPr>
        <b/>
        <sz val="10"/>
        <rFont val="Arial"/>
      </rPr>
      <t>REcontacted June 2019 and responsive, changed status</t>
    </r>
  </si>
  <si>
    <t>Was assigned to Gene on 11/26 then became unresponsive. Reached out in March 2019 and was sent the follow up email</t>
  </si>
  <si>
    <t>Reported to be no longer part of the group on the 6 month coordinator survey</t>
  </si>
  <si>
    <t xml:space="preserve">WG </t>
  </si>
  <si>
    <t>Reported to have become unresponsive after joining a group on the 6 month coordinator survey</t>
  </si>
  <si>
    <t>Out on maternity leave - will contact once back at work</t>
  </si>
  <si>
    <r>
      <t xml:space="preserve">01/09/18
</t>
    </r>
    <r>
      <rPr>
        <b/>
        <sz val="10"/>
        <rFont val="Arial"/>
      </rPr>
      <t>Unresponsive as of 7-7-19</t>
    </r>
  </si>
  <si>
    <t>Note:  email address given was exu@fulgentgenetics.com, however as of July 9, 2019, this is no longer a contact email and no forwarding email provided.</t>
  </si>
  <si>
    <t>Actively curating for the acitonability WG</t>
  </si>
  <si>
    <t>Attestation Signed</t>
  </si>
  <si>
    <t>Curation Effort Assigned To</t>
  </si>
  <si>
    <t xml:space="preserve">Name </t>
  </si>
  <si>
    <t xml:space="preserve">e-mail </t>
  </si>
  <si>
    <t xml:space="preserve">Baseline v. Comprehensive </t>
  </si>
  <si>
    <t>WG/EP Preference</t>
  </si>
  <si>
    <t>October 2019: Seemed interested, but never finished the training</t>
  </si>
  <si>
    <t>11/22/2019: Actively curating for the actionability WG</t>
  </si>
  <si>
    <t>Completed AWG training and assigned first topics to curate in March 2019, but she never finished the first curations</t>
  </si>
  <si>
    <t>Reported to have become unresponsive after joining a group on the 6 month coordinator survey; 11/22/2019: Actively curating on AWG</t>
  </si>
  <si>
    <t>Follow up email</t>
  </si>
  <si>
    <t>12/18/18 (assigned)
declined(5-2-19)
Renewed interest 8/12/19</t>
  </si>
  <si>
    <t>Attended training, but never completed the other training activities or the attestation</t>
  </si>
  <si>
    <t>Originally chose Baseline, changed to comprehensive after trained for Somatic</t>
  </si>
  <si>
    <t>Notes specifc to this page</t>
  </si>
  <si>
    <t>Trained before C3 started</t>
  </si>
  <si>
    <t xml:space="preserve">              </t>
  </si>
  <si>
    <t>8/12/19, 12/20/19</t>
  </si>
  <si>
    <t>7-9-19 (status changed to unresponsive)</t>
  </si>
  <si>
    <t>Originally choose Comprehensive curation, however they are an undergraduate and it is unclear the level of genetics knowledge. Moved to Baseline on April 16, 2019 (intialled by: CLT)</t>
  </si>
  <si>
    <t>Originally choose  Baseline curation, however they state they are interested in the RUR1 group and are part of Les Biesecker's lab. Moved to Comprehensive 4-29-19 CT</t>
  </si>
  <si>
    <t>Note: email address returned a change to runquist@alumni.bcm.edu as of 7-9-19 CLT. Updated.</t>
  </si>
  <si>
    <t>Switched from Baseline to Comprehensive (prior to any Baseline training) on 10/08/19</t>
  </si>
  <si>
    <t>Second</t>
  </si>
  <si>
    <t>Already in a GCEP, duplicate volunteer</t>
  </si>
  <si>
    <t xml:space="preserve">She attended the Variant training on 05/23/19 but decided that she wanted to do Baseline. </t>
  </si>
  <si>
    <t>Training for VCEP, would like to add GCEP, duplicate volunteer</t>
  </si>
  <si>
    <t>Already a member of the Aminoacidopathy GCEP</t>
  </si>
  <si>
    <t>Recontact Later</t>
  </si>
  <si>
    <t>ORiginally choose Comprehensive, however they are a high school student, so we will start with Baseline, per CLT 6-17-19. Was trained by Somatic on 9/11/19 then decided on 10/17/19 to switch to Baseline Curation -LK</t>
  </si>
  <si>
    <t>Email</t>
  </si>
  <si>
    <t>Status</t>
  </si>
  <si>
    <t>Training Date</t>
  </si>
  <si>
    <t>WG/EP</t>
  </si>
  <si>
    <t>3 months post training</t>
  </si>
  <si>
    <t>3 Month Survey Sent</t>
  </si>
  <si>
    <t>6 Months Post Training</t>
  </si>
  <si>
    <t>6 Month Survey Sent</t>
  </si>
  <si>
    <r>
      <t xml:space="preserve">Originally choose Comprehensive, however they may be best suited for Baseline with a focus on genes/variants in which they are suspected to have (patient) </t>
    </r>
    <r>
      <rPr>
        <b/>
        <sz val="10"/>
        <rFont val="Arial"/>
      </rPr>
      <t>CLT 7-2-19</t>
    </r>
  </si>
  <si>
    <t>Name (First and Last)</t>
  </si>
  <si>
    <t xml:space="preserve">Institution </t>
  </si>
  <si>
    <t>Address</t>
  </si>
  <si>
    <t>E-mail Address</t>
  </si>
  <si>
    <t>I am a... (choose one that most accurately describes yourself)</t>
  </si>
  <si>
    <t>How did you find out about the ClinGen volunteer efforts?</t>
  </si>
  <si>
    <t>How would you describe the amount of time you are able to commit to ClinGen curation activities?</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</si>
  <si>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[First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</si>
  <si>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[Second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</si>
  <si>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[Third Choice]</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</si>
  <si>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[Fourth Choice ]</t>
  </si>
  <si>
    <t>If you are interested in becoming an active member of a curation group, which of the following ClinGen curation activities are you interested in? Please only put checks next to the  the curation efforts that you are willing to participate in. Leave all others blank. Note that each activity will have its own training session(s).  Learn more about each activity here: https://www.clinicalgenome.org/curation-activities/ A description of Somatic Cancer curation can be found here: https://www.clinicalgenome.org/working-groups/somatic/   [Fifth Choice]</t>
  </si>
  <si>
    <t>Do you have any previous experience with the type of curation activity you selected for the previous question?  If yes, please describe briefly.</t>
  </si>
  <si>
    <t>Are you interested/able to work on more than one curation activity? Please note that this would likely increase your time commitment.</t>
  </si>
  <si>
    <t xml:space="preserve">Are you interested in a particular ClinGen Expert Panel/Working Group?  A current list of Expert Panels/Working Groups can be found here: https://clinicalgenome.org/working-groups/community-curation-committee-c3/. Note that we will take your request into consideration, however, groups' status on accepting volunteers may change . </t>
  </si>
  <si>
    <t/>
  </si>
  <si>
    <t>If you indicated a preference for a certain expert panel, or to work within a certain disease area (e.g. cancer, neurodevelopmental disorders, cardiovascular diseases, etc.), would you still be willing to volunteer if there were no available opportunities in this area?</t>
  </si>
  <si>
    <t>What would you like to accomplish by volunteering with ClinGen?</t>
  </si>
  <si>
    <t>Are there any genes and/or disease areas you are particularly interested in?</t>
  </si>
  <si>
    <t>What motivated you to volunteer in ClinGen curation efforts?</t>
  </si>
  <si>
    <t>What is your highest level of education?</t>
  </si>
  <si>
    <t>If you have an advanced genetic certification or fellowship (i.e. CGC or FACMG), please indicate:</t>
  </si>
  <si>
    <t>What timezone are you in? Please refer to this link for options: https://www.timeanddate.com/</t>
  </si>
  <si>
    <t>Suneeta Mandava</t>
  </si>
  <si>
    <t>Personalis</t>
  </si>
  <si>
    <t>suneeta.mandava@gmail.com</t>
  </si>
  <si>
    <t>Variant Analyst/Scientist</t>
  </si>
  <si>
    <t>Interested to curate genes for somatic cancer; would like to start slow and expand over time</t>
  </si>
  <si>
    <t>Gene-Disease Validity</t>
  </si>
  <si>
    <t>Clinical Actionability</t>
  </si>
  <si>
    <t>I am clinical genomics variant scientist in somatic cancers for the last almost 5 years</t>
  </si>
  <si>
    <t>Possibly</t>
  </si>
  <si>
    <t>somatic cancer TP53</t>
  </si>
  <si>
    <t>Maybe -- please contact me with other options, and I will decide based on what is available</t>
  </si>
  <si>
    <t>Edwin Kim</t>
  </si>
  <si>
    <t>University of Pennsylvania</t>
  </si>
  <si>
    <t>20701 N Scottsdale Rd #107 Scottsdale AZ 85255</t>
  </si>
  <si>
    <t>Edwinkimmd@gmail.com</t>
  </si>
  <si>
    <t>Physician (Non-geneticist)</t>
  </si>
  <si>
    <t>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t>
  </si>
  <si>
    <t>Working with Bioinformaticians and microbial researchers at the Lawrence Berkeley/Livermore DOE Joint Genome Institute and curating in-house data for output to public research databases.</t>
  </si>
  <si>
    <t>Possibly after gaining some more exposure and increasing experience.</t>
  </si>
  <si>
    <t>Julyann Pérez Mayoral</t>
  </si>
  <si>
    <t>University of Puerto Rico Comprehensive Cancer Center</t>
  </si>
  <si>
    <t>Centro Medico Rio Piedras Lab #9 San Juan, P.R. 00936</t>
  </si>
  <si>
    <t>julyann.perez@upr.edu</t>
  </si>
  <si>
    <t>Post Doc/Resident/Fellow (MD and/or PhD)</t>
  </si>
  <si>
    <t>I am interested in Variant Classification, especially for cancers such as Colorectal and Breast Cancer, as well as, hereditary cancers.</t>
  </si>
  <si>
    <t>Variant Curation Panel</t>
  </si>
  <si>
    <t>Xiaodong Wang</t>
  </si>
  <si>
    <t>Cipher Gene, Ltd</t>
  </si>
  <si>
    <t>xdwang@ciphergene.com</t>
  </si>
  <si>
    <t>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t>
  </si>
  <si>
    <t xml:space="preserve">I am familiar with ACMG for variant classification, which I do daily. </t>
  </si>
  <si>
    <t>Epilepsy group</t>
  </si>
  <si>
    <t>Jun Shen</t>
  </si>
  <si>
    <t>BWH</t>
  </si>
  <si>
    <t>221 Longwood Ave., Boston, MA 02115</t>
  </si>
  <si>
    <t>jshen5@bwh.harvard.edu</t>
  </si>
  <si>
    <t>Clinical laboratory geneticist</t>
  </si>
  <si>
    <t>I am a member of the hearing loss working group.</t>
  </si>
  <si>
    <t>I work on the HL-EP</t>
  </si>
  <si>
    <t>I'm already on the HL-EP</t>
  </si>
  <si>
    <t>Jennifer Howe</t>
  </si>
  <si>
    <t>The Hospital for Sick Children</t>
  </si>
  <si>
    <t>Toronto, Canada</t>
  </si>
  <si>
    <t>jhowe@sickkids.ca</t>
  </si>
  <si>
    <t>Senior Project Manager</t>
  </si>
  <si>
    <t>From the ASD Gene list meeting held in Toronto in Sept 2018 - I would like to assist in curating genes for ASD</t>
  </si>
  <si>
    <t>Autism and Intellectual Disability</t>
  </si>
  <si>
    <t>No - I am only interested in the group(s) I previously indicated</t>
  </si>
  <si>
    <t>Kalpana Panneerselvam</t>
  </si>
  <si>
    <t xml:space="preserve">Excelra knowledge solutions </t>
  </si>
  <si>
    <t>India</t>
  </si>
  <si>
    <t>kalpanarpanneerselvam@gmail.com</t>
  </si>
  <si>
    <t>Biocurator</t>
  </si>
  <si>
    <t>While browsing about institutions that are involved in curating genetic variants, I got to know about ClinGen. I would like to explore how I can work towards bringing more clarity on gene-disease and gene-drug relationship; I am open to work with any disease or gene</t>
  </si>
  <si>
    <t xml:space="preserve">I have worked as curator for Ingenuity Variant Analysis product by Qiagen </t>
  </si>
  <si>
    <t xml:space="preserve">Mitochondrial diseases </t>
  </si>
  <si>
    <t>Yes- I am willing to volunteer with any available ClinGen group</t>
  </si>
  <si>
    <t>Justin Schleede Phd</t>
  </si>
  <si>
    <t>LabCorp</t>
  </si>
  <si>
    <t>schleej@labcorp.com</t>
  </si>
  <si>
    <t>I have access to a huge database and feel my input would be of value to the group.</t>
  </si>
  <si>
    <t>Yes, I review literature and classify genes as part of my daily workflow</t>
  </si>
  <si>
    <t xml:space="preserve">Juan Carlos Diaz </t>
  </si>
  <si>
    <t xml:space="preserve">looking for a postdoc </t>
  </si>
  <si>
    <t>80 Behr apt 301 San Francisco, CA. Zip 94131</t>
  </si>
  <si>
    <t xml:space="preserve">cuallijuan@hotmail.com </t>
  </si>
  <si>
    <t>Scientific Researcher</t>
  </si>
  <si>
    <t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t>
  </si>
  <si>
    <t xml:space="preserve">No </t>
  </si>
  <si>
    <t>Gene Curation Expert Panels</t>
  </si>
  <si>
    <t>Indu Raja</t>
  </si>
  <si>
    <t>Sidra Medicine</t>
  </si>
  <si>
    <t>indudraja@gmail.com</t>
  </si>
  <si>
    <t>laboratory technologist</t>
  </si>
  <si>
    <t>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t>
  </si>
  <si>
    <t>Tomohiko Ai</t>
  </si>
  <si>
    <t>Ohio State University</t>
  </si>
  <si>
    <t>336 BRT W. 12 Ave. Columbus, Ohio 43210</t>
  </si>
  <si>
    <t>Tomohiko.Ai@osumc.edu</t>
  </si>
  <si>
    <t>I have been adjudicating variants of DCM at Ohio State University. I have been performing translational research in cardiovascular medicine. I am interested in underling molecular mechanisms of cardiomayopathy and arrhythmias.</t>
  </si>
  <si>
    <t>I have experiences with variant pathogenicity.</t>
  </si>
  <si>
    <t>Rajavarman Kittu</t>
  </si>
  <si>
    <t>kokilaben dhirubhai ambani hospital and medical research centre</t>
  </si>
  <si>
    <t>Four Bungalows, Andheri West, Mumbai, Maharashtra, India 400053</t>
  </si>
  <si>
    <t>rajavarman21@gmail.com</t>
  </si>
  <si>
    <t>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t>
  </si>
  <si>
    <t>Yea being variant analyst I'm doing curation in and out before reporting any patient observed in patient</t>
  </si>
  <si>
    <t>As mentioned above in the table( ranking) i prefer to contribute. if that is not possible i would like to be any ClinGen Expert Panel/Working Group where there is need for help.</t>
  </si>
  <si>
    <t>Rhea Vallente</t>
  </si>
  <si>
    <t>Fulgent Genetics</t>
  </si>
  <si>
    <t>rvallente@fulgentgenetics.com</t>
  </si>
  <si>
    <t>I would like to help out in curating variants related to hearing loss because I managed a next-gen hearing loss panel when I worked as a Human Molecular Geneticist at PreventionGenetics. I am now working as a Genomic Curation Scientist at FulgentGenetics.</t>
  </si>
  <si>
    <t>Yes. I have been curating variants for five years, starting at PreventionGenetics, then I moved to EGL Genetics, and now I'm working for Fulgent Genetics.</t>
  </si>
  <si>
    <t>Hearing loss</t>
  </si>
  <si>
    <t>Caitlin Hale</t>
  </si>
  <si>
    <t>Lucile Packard Children's Hospital Stanford</t>
  </si>
  <si>
    <t>CHale@stanfordchildrens.org</t>
  </si>
  <si>
    <t>Genetic counselor</t>
  </si>
  <si>
    <t>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t>
  </si>
  <si>
    <t>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t>
  </si>
  <si>
    <t>I would be most interested in areas related to pediatric medical genetics (autism, ID, neurodevelopmental disorders), but I am open to  any group that is accepting volunteers.</t>
  </si>
  <si>
    <t>Melissa Murfin</t>
  </si>
  <si>
    <t>Elon University</t>
  </si>
  <si>
    <t>Department of Physician Assistant Studies
2087 Campus Box</t>
  </si>
  <si>
    <t>mmurfin@elon.edu</t>
  </si>
  <si>
    <t>Pharmacist/PA-C, PA program director</t>
  </si>
  <si>
    <t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t>
  </si>
  <si>
    <t>I am open to any opportunity</t>
  </si>
  <si>
    <t>Ana León</t>
  </si>
  <si>
    <t>Universidad Politécnica de Valencia</t>
  </si>
  <si>
    <t>aleon@pros.upv.es</t>
  </si>
  <si>
    <t>PhD Student</t>
  </si>
  <si>
    <t>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t>
  </si>
  <si>
    <t>During my research I worked in the identification of variants and genes associated with the studied diseases.</t>
  </si>
  <si>
    <t>Catalina Betancur</t>
  </si>
  <si>
    <t>France</t>
  </si>
  <si>
    <t>Catalina.Betancur@inserm.fr</t>
  </si>
  <si>
    <t>Casey Brew</t>
  </si>
  <si>
    <t>Ann &amp; Robert H. Lurie Children's Hospital</t>
  </si>
  <si>
    <t>426 W. Belmont Ave Apt 1408, Chicago, IL, 60657</t>
  </si>
  <si>
    <t>cbrew@luriechildrens.org</t>
  </si>
  <si>
    <t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t>
  </si>
  <si>
    <t xml:space="preserve">I have experience in sequence variant interpretation and report writing for clinical cases through our in-house molecular diagnostics lab. </t>
  </si>
  <si>
    <t>I would be most interested in the Inherited Cardiomyopathy Variant Curation Expert Panel, but I am open to just about anything.</t>
  </si>
  <si>
    <t>Shulin Zhang</t>
  </si>
  <si>
    <t>University of Kentucky, UKHealthCare</t>
  </si>
  <si>
    <t>800 Rose Street, MS117, Lexington KY, 40536</t>
  </si>
  <si>
    <t>shulin.zhang@uky.edu</t>
  </si>
  <si>
    <t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t>
  </si>
  <si>
    <t>1) Dosage sensitivity working group expert panel (inherited cancers) 2) Colorectal cancer 3) mitochondrial diseases</t>
  </si>
  <si>
    <t>Marwan Shinawi</t>
  </si>
  <si>
    <t>Washington University School of Medicine</t>
  </si>
  <si>
    <t>One Childrens Place, Northwest Tower, 9132</t>
  </si>
  <si>
    <t>mshinawi@wustl.edu</t>
  </si>
  <si>
    <t>Clinical Medical Geneticist</t>
  </si>
  <si>
    <t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t>
  </si>
  <si>
    <t>To some extent</t>
  </si>
  <si>
    <t>Autism and Intellectual Disability Gene Curation Expert Panel</t>
  </si>
  <si>
    <t>Adam Coovadia</t>
  </si>
  <si>
    <t>Saint Petersburg College</t>
  </si>
  <si>
    <t>1201 Fairway Ave South</t>
  </si>
  <si>
    <t>coovadiaa@gmail.com</t>
  </si>
  <si>
    <t>Former Lab Operations Director/Molecular Genetics Lab Supervisor and College Professor of Bioinformatics, Genetics, Cell Biology, Biotechnology</t>
  </si>
  <si>
    <t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t>
  </si>
  <si>
    <t>Volkan Okur</t>
  </si>
  <si>
    <t>Baylor college of Medicine</t>
  </si>
  <si>
    <t>Houston, Texas</t>
  </si>
  <si>
    <t>vokur@bcm.edu</t>
  </si>
  <si>
    <t>Clinical medical geneticist/Clinical laboratory geneticist/Post Doc/Resident/Fellow (MD and/or Phd)/Scientific Researcher/Variant Analyst/Scientist</t>
  </si>
  <si>
    <t>any expert panel of hereditary cancer and/or inborn errors of metabolism domains. ClinVar experts can decide where I would be of the most help.</t>
  </si>
  <si>
    <t>NOTE: Changed address and email. Originally from Columbia University NY CLT 7-8-19</t>
  </si>
  <si>
    <t>Mythily Ganapathi</t>
  </si>
  <si>
    <t>Columbia University Medical Center</t>
  </si>
  <si>
    <t>New York CIty</t>
  </si>
  <si>
    <t>mg3560@cumc.columbia.edu</t>
  </si>
  <si>
    <t>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t>
  </si>
  <si>
    <t>Leslie Oldfield</t>
  </si>
  <si>
    <t>UHN</t>
  </si>
  <si>
    <t>leslie.oldfield@gmail.com</t>
  </si>
  <si>
    <t>Research Associate</t>
  </si>
  <si>
    <t>Breast and Ovarian Cancer Gene Curation Expert Panel, Colon Cancer and Polyposis Gene Curation Expert Panel, and the Hereditary Cancer Gene Curation Expert Panel</t>
  </si>
  <si>
    <t>Breast and Ovarian Cancer Gene Curation Expert Panel, Colon Cancer and Polyposis Gene Curation Expert Panel, and the Hereditary Cancer Gene Curation Expert Pane</t>
  </si>
  <si>
    <t>John Shoffner</t>
  </si>
  <si>
    <t>Georgia</t>
  </si>
  <si>
    <t>jmsiv9903@icloud.com</t>
  </si>
  <si>
    <t>Clinical medical geneticist/Clinical laboratory geneticist and Neurology, Biochemical and Molecular Genetics</t>
  </si>
  <si>
    <t>Mitochondrial disease gene and variant expert curation panel; Dilated cardiomyopathy; Fatty acid oxidation; Neuromuscular disease</t>
  </si>
  <si>
    <t>Isabelle Thiffault</t>
  </si>
  <si>
    <t>Children's Mercy Hospital</t>
  </si>
  <si>
    <t>Kansas CIty, MO</t>
  </si>
  <si>
    <t>ithiffault@cmh.edu</t>
  </si>
  <si>
    <t>Undergraduate</t>
  </si>
  <si>
    <t>Mitochondrial or ASD/ID</t>
  </si>
  <si>
    <t>Ye Cao</t>
  </si>
  <si>
    <t>ye.cao@bcm.edu</t>
  </si>
  <si>
    <t>Clinical laboratory geneticist and Post Doc/Resident/Fellow (MD and/or PhD)</t>
  </si>
  <si>
    <t>Hereditary Cancer Gene Curation Expert Panel</t>
  </si>
  <si>
    <t>Samar Khalefa</t>
  </si>
  <si>
    <t>Egypt</t>
  </si>
  <si>
    <t>samarkhalifa@hotmail.com</t>
  </si>
  <si>
    <t>High School Student</t>
  </si>
  <si>
    <t>Autism and Intellectual Disability Gene Curation Expert Panel. I hope to involve in all Expert Panels/Working Groups related to brain genome.</t>
  </si>
  <si>
    <t>Colin Ellis</t>
  </si>
  <si>
    <t>PA</t>
  </si>
  <si>
    <t>colin.ellis@uphs.upenn.edu</t>
  </si>
  <si>
    <t>Epilepsy WG</t>
  </si>
  <si>
    <t>Mansour Zamanpoor</t>
  </si>
  <si>
    <t>WRGL</t>
  </si>
  <si>
    <t>New Zealand</t>
  </si>
  <si>
    <t>mansour.zamanpoor@ccdhb.org.nz</t>
  </si>
  <si>
    <t>Clinical laboratory genetist, PhD candidate</t>
  </si>
  <si>
    <t>Hereditary cancer and neuro-developmental disorders</t>
  </si>
  <si>
    <t>Benjamin Kang</t>
  </si>
  <si>
    <t>EGL Genetics/Emory University SOM</t>
  </si>
  <si>
    <t>GA</t>
  </si>
  <si>
    <t>bekang@emory.edu</t>
  </si>
  <si>
    <t>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t>
  </si>
  <si>
    <t>Ljubica Caldovic</t>
  </si>
  <si>
    <t>Children's National Medical Center</t>
  </si>
  <si>
    <t>Washington, DC</t>
  </si>
  <si>
    <t>lcaldovic@childrensnational.org</t>
  </si>
  <si>
    <t>Scientific Researcher, Variant Analyst/Scientist</t>
  </si>
  <si>
    <t>Aminoacidopathy working group/expert panel; Metabolism expert panel</t>
  </si>
  <si>
    <t>John Millichap</t>
  </si>
  <si>
    <t>Ann &amp; Robert H. Lurie Children's Hospital of Chicago</t>
  </si>
  <si>
    <t>Chicago, IL</t>
  </si>
  <si>
    <t>jmillichap@luriechildrens.org</t>
  </si>
  <si>
    <t>Epilepsy WG/EP</t>
  </si>
  <si>
    <t>Vladimir Lialine</t>
  </si>
  <si>
    <t>Twixsoft LLC</t>
  </si>
  <si>
    <t>Connecticut</t>
  </si>
  <si>
    <t>vlad@twixsoft.com</t>
  </si>
  <si>
    <t>Scientific Researcher, Graduate Student, Citizen Scientist/Patient Advocate</t>
  </si>
  <si>
    <t>Declined in an email on 10/7/19 - will reach back out in December 2020 to curate when she has a less busy schedule. Change to Comprehensive curation on 12/4/19</t>
  </si>
  <si>
    <t>Excelra Knowledge Solutions</t>
  </si>
  <si>
    <t>Biocurator, Variant Analyst/Scientist</t>
  </si>
  <si>
    <t>Somatic/Germline Variant Curation Group; Hereditary Cancer Gene Curation Expert Panel</t>
  </si>
  <si>
    <t>Vaidehi Jobanputra</t>
  </si>
  <si>
    <t>New York Genome Center</t>
  </si>
  <si>
    <t xml:space="preserve">New York  </t>
  </si>
  <si>
    <t>vjobanputra@nygenome.org</t>
  </si>
  <si>
    <t>Khushnooda Ramzan</t>
  </si>
  <si>
    <t>King Faisal Specialist Hospital and Research Centre</t>
  </si>
  <si>
    <t>Saudi Arabia</t>
  </si>
  <si>
    <t>khushnooda@gmail.com</t>
  </si>
  <si>
    <t>Scientific Research/ Variant Analyst</t>
  </si>
  <si>
    <t>Experience with Mendelian disorders, not noted for curation. Hearing Loss (most experience with pubs), Cardiovascular KCNQ1 Variant
Storage Diseases Variant Curation Expert Panel</t>
  </si>
  <si>
    <t>Erik Thorland</t>
  </si>
  <si>
    <t xml:space="preserve">Mayo Clinic </t>
  </si>
  <si>
    <t>MN</t>
  </si>
  <si>
    <t>thorland.erik@mayo.edu</t>
  </si>
  <si>
    <t>I'm specifically interested in the epilespy gene curation group.  I'm already involved in the dosage sensitivity working group.</t>
  </si>
  <si>
    <t>Olivia Rennie</t>
  </si>
  <si>
    <t>olivia.rennie@sickkids.ca</t>
  </si>
  <si>
    <t>ID/Autism Gene Curation Expert Panel</t>
  </si>
  <si>
    <t>Kira Dies</t>
  </si>
  <si>
    <t>Boston Children's Hospital</t>
  </si>
  <si>
    <t>Boston, MA</t>
  </si>
  <si>
    <t>Kira.Dies@childrens.harvard.edu</t>
  </si>
  <si>
    <t>ASD/NDD</t>
  </si>
  <si>
    <t>ID/Autism Expert Panel</t>
  </si>
  <si>
    <t>Ny Hoang</t>
  </si>
  <si>
    <t>ny.hoang@sickkids.ca</t>
  </si>
  <si>
    <t>Autism and ID working group</t>
  </si>
  <si>
    <t>Jacob Vorstman</t>
  </si>
  <si>
    <t>jacob.vorstman@sickkids.ca</t>
  </si>
  <si>
    <t>Post Doc/Resident/Fellow (MD and/or Phd), Scientific Researcher, Physician (non-geneticist)</t>
  </si>
  <si>
    <t>Autism Spectrum Disorder - see previous and ongoing discussions following the Toronto ASD gene list meeting this fall</t>
  </si>
  <si>
    <t>Sainan Wei</t>
  </si>
  <si>
    <t>University of Kentucky</t>
  </si>
  <si>
    <t>Kentucky</t>
  </si>
  <si>
    <t xml:space="preserve">sainan.wei@uky.edu </t>
  </si>
  <si>
    <t>Hereditary cancer gene Acinoacidopathy gene fatty acid oxidation gene</t>
  </si>
  <si>
    <t>Hereditary cancer gene Aminoacidopathy gene fatty acid oxidation gene</t>
  </si>
  <si>
    <t>Preti Jain</t>
  </si>
  <si>
    <t>Yale University</t>
  </si>
  <si>
    <t>preti.jain@yale.edu</t>
  </si>
  <si>
    <t>cardiomyopathy, Somatic/Germline Variant Curation, Hereditary Cancer</t>
  </si>
  <si>
    <t>Andrea Vaags</t>
  </si>
  <si>
    <t>Trillium Health Partners - Credit Valley Hospital</t>
  </si>
  <si>
    <t>Canada</t>
  </si>
  <si>
    <t>andrea.vaags@thp.ca</t>
  </si>
  <si>
    <t>Somatic/Germline Variant Curation Group (In progress); Breast and Ovarian Cancer Gene Curation Expert Panel; Hereditary Cancer Gene Curation Expert Panel (In progress); Somatic/Germline Variant Curation Group (In progress)</t>
  </si>
  <si>
    <t>George Burghel</t>
  </si>
  <si>
    <t>Manchester Centre for Genomic Medicine</t>
  </si>
  <si>
    <t>Manchester, UK</t>
  </si>
  <si>
    <t>george.burghel@mft.nhs.uk</t>
  </si>
  <si>
    <t xml:space="preserve">Experience with Dosage sensitivity but not curation. </t>
  </si>
  <si>
    <t xml:space="preserve">Experience with Dosage sensistivy but not curation. </t>
  </si>
  <si>
    <t>Coumarane Mani</t>
  </si>
  <si>
    <t>ARUP Laboratories</t>
  </si>
  <si>
    <t>SLC, Utah</t>
  </si>
  <si>
    <t>coumarane.mani@aruplab.com</t>
  </si>
  <si>
    <t>1. Somatic/Germline Variant Curation Group 2. Myeloid Malignancy Variant Curation Expert Panel</t>
  </si>
  <si>
    <t>Mahesh Iddawela</t>
  </si>
  <si>
    <t>Monash University</t>
  </si>
  <si>
    <t>Victoria, Australia</t>
  </si>
  <si>
    <t>mahesh.iddawela@monash.edu</t>
  </si>
  <si>
    <t>Clinician Scientist Medical Oncology</t>
  </si>
  <si>
    <t>Somatic Cancer (TP53), Breast/Ovarian cancer</t>
  </si>
  <si>
    <t>Diogo Ventura Lovato</t>
  </si>
  <si>
    <t>Tismoo Biotech</t>
  </si>
  <si>
    <t>Brazil</t>
  </si>
  <si>
    <t>diogo.v.lovato@gmail.com</t>
  </si>
  <si>
    <t>Clinical laboratory geneticist, Scientific Researcher, Biocurator, Variant Analyst/Scientist</t>
  </si>
  <si>
    <t>Autism and Intellectual Disability, Epilepsy</t>
  </si>
  <si>
    <t>Rhonda N.T. Lassiter, PhD</t>
  </si>
  <si>
    <t>Ambry Genetics</t>
  </si>
  <si>
    <t>15 Argonaut, CA</t>
  </si>
  <si>
    <t>rlassiter@ambrygen.com</t>
  </si>
  <si>
    <t>I currently use ClinGen as a significant resource and would like to contribute to the progress of gene and variant curation. I am interested in Neurogenetics.</t>
  </si>
  <si>
    <t xml:space="preserve">Yes, I am employed as a Variant Scientist. I work on variant and gene curation for neurology panels and exome. </t>
  </si>
  <si>
    <t>Autism and ID, Epilepsy, RASopathy, Pediatric, Neurodevelopmental</t>
  </si>
  <si>
    <t>Sameeha Shirwadkar</t>
  </si>
  <si>
    <t>sameeha9@gmail.com</t>
  </si>
  <si>
    <t>Biocurator and Variant Analyst Scientist</t>
  </si>
  <si>
    <t>yes</t>
  </si>
  <si>
    <t>Somatic/Germline Variant Curation Group and TP53 Variant Curation Expert Panel</t>
  </si>
  <si>
    <t>Heather Williams</t>
  </si>
  <si>
    <t>King's College Hospital</t>
  </si>
  <si>
    <t>London, UK</t>
  </si>
  <si>
    <t>heather.williams30@nhs.net</t>
  </si>
  <si>
    <t>Myeloid Malignancy Variant Curation Expert Panel Somatic/Germline Variant Curation Group</t>
  </si>
  <si>
    <t>Laura Richards</t>
  </si>
  <si>
    <t>University of Toronto / Princess Margaret Cancer Centre</t>
  </si>
  <si>
    <t>lauram.richards@mail.utoronto.ca</t>
  </si>
  <si>
    <t>Graduate Student</t>
  </si>
  <si>
    <t>All expert panels in Hereditary Cancer CDWG</t>
  </si>
  <si>
    <t>Aysegul Ozanturk</t>
  </si>
  <si>
    <t>Invitae</t>
  </si>
  <si>
    <t>MA</t>
  </si>
  <si>
    <t>aozanturk@gmail.com</t>
  </si>
  <si>
    <t>I would say mostly rare disorders. I have an expertise on ciliary disorders/ Syndromic IDs/ inborn error of metabolic disorders. Happy to share my resume.</t>
  </si>
  <si>
    <t>Kaylee Barber</t>
  </si>
  <si>
    <t>GenPath/BioReference</t>
  </si>
  <si>
    <t>NJ</t>
  </si>
  <si>
    <t>kbarber@bioreference.com</t>
  </si>
  <si>
    <t>Somatic Cancer Working Group, Somatic/Germline Variant Curation Group</t>
  </si>
  <si>
    <t>Wan-Hsin Lin</t>
  </si>
  <si>
    <t>Mayo Clinic</t>
  </si>
  <si>
    <t>Jacksonville, FL</t>
  </si>
  <si>
    <t>lin.wanhsin@mayo.edu</t>
  </si>
  <si>
    <t>no</t>
  </si>
  <si>
    <t>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t>
  </si>
  <si>
    <t>Stefan Rentas</t>
  </si>
  <si>
    <t>The Children's Hospital of Philadelphia</t>
  </si>
  <si>
    <t>rentass@email.chop.edu</t>
  </si>
  <si>
    <t>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t>
  </si>
  <si>
    <t>Willonie Mendonca</t>
  </si>
  <si>
    <t>Genedx/BioReference Labs</t>
  </si>
  <si>
    <t>Seattle, WA</t>
  </si>
  <si>
    <t>willonie@gmail.com</t>
  </si>
  <si>
    <t>Somatic cancer working groupHereditary cancer working group</t>
  </si>
  <si>
    <t>Iman Haroun</t>
  </si>
  <si>
    <t>Reading Hospital</t>
  </si>
  <si>
    <t>iman.haroun@readinghealth.org</t>
  </si>
  <si>
    <t>Somatic Cancer, Pancreatic</t>
  </si>
  <si>
    <t>Daniel Bellissimo</t>
  </si>
  <si>
    <t xml:space="preserve">University of Pittsburgh  </t>
  </si>
  <si>
    <t>BELLISSIMOD@MAIL.MAGEE.EDU</t>
  </si>
  <si>
    <t>I was told work groups were being formed for Platelet/Bleeding Disorders and VWD. I would be interested in those work groups.</t>
  </si>
  <si>
    <t xml:space="preserve">Alexa Dickson </t>
  </si>
  <si>
    <t>MO</t>
  </si>
  <si>
    <t>alexa.dickson@aruplab.com</t>
  </si>
  <si>
    <t>retinal disease working group</t>
  </si>
  <si>
    <t>Luke Drury</t>
  </si>
  <si>
    <t>Prevention Genetics</t>
  </si>
  <si>
    <t>WI</t>
  </si>
  <si>
    <t>luke.drury@preventiongenetics.com</t>
  </si>
  <si>
    <t>any WG</t>
  </si>
  <si>
    <t>Lynne Rosenblum</t>
  </si>
  <si>
    <t>Integrated Genetics/LabCorp</t>
  </si>
  <si>
    <t>lynne.rosenblum@integratedgenetics.com</t>
  </si>
  <si>
    <t>storage disease and somatic/germline working groups, but am open to other opportunities.</t>
  </si>
  <si>
    <t>Yang Wang</t>
  </si>
  <si>
    <t>PerkinElmer Genomics</t>
  </si>
  <si>
    <t>yangwangcmg@gmail.com</t>
  </si>
  <si>
    <t>hereditary cancer panel and inborn error of metabolism, if not a Baseline Biocurator</t>
  </si>
  <si>
    <t xml:space="preserve">Elaine Spector </t>
  </si>
  <si>
    <t>Univ of Colorado, Children's Hospital</t>
  </si>
  <si>
    <t>CO</t>
  </si>
  <si>
    <t>elaine.spector@childrenscolorado.org</t>
  </si>
  <si>
    <t>Inborn Errors of Metabolism Clinical Domain Working Group . Amino Acid and Fatty Acid Working Groups.</t>
  </si>
  <si>
    <t>Samya Chakravorty</t>
  </si>
  <si>
    <t>Emory University School of Medicine, Department of Human Genetics</t>
  </si>
  <si>
    <t>samya.chakravorty@emory.edu</t>
  </si>
  <si>
    <t>1. Storage Diseases Variant Curation Expert Panel 2. Epilepsy Gene Curation Expert Panel 3. Cardiovascular Dilated Cardiomyopathy Gene Curation Expert Panel</t>
  </si>
  <si>
    <t>Marco Leung</t>
  </si>
  <si>
    <t>Center for Applied Genomics - Children's Hospital of Philadelphia</t>
  </si>
  <si>
    <t>leungm@email.chop.edu</t>
  </si>
  <si>
    <t>Hereditary cancers; neurodevelopmental disorders; polivy making</t>
  </si>
  <si>
    <t>Emily Groopman</t>
  </si>
  <si>
    <t>NY</t>
  </si>
  <si>
    <t>ee.groopman@gmail.com</t>
  </si>
  <si>
    <t>Aminoacidopathy Gene Curation Expert Panel, Storage Diseases Variant Curation Expert Panel, and Hereditary Cancer Gene Curation Expert Pane</t>
  </si>
  <si>
    <t xml:space="preserve">Rhonda Lassiter </t>
  </si>
  <si>
    <t>CA</t>
  </si>
  <si>
    <t>I am interested in any of the Neurodevelopmental Disorders CDWG's. I am happy to help wherever there is a need.</t>
  </si>
  <si>
    <t xml:space="preserve">Emma Reble </t>
  </si>
  <si>
    <t>St. Michael's Hospital</t>
  </si>
  <si>
    <t>reblee@smh.ca</t>
  </si>
  <si>
    <t>I am interest in the neurodevelopmental disorder CDWG, particularly the Autism and ID group.</t>
  </si>
  <si>
    <t>Bryony Thompson</t>
  </si>
  <si>
    <t>Department of Pathology, Royal Melbourne Hospital</t>
  </si>
  <si>
    <t>Bryony.Thompson@mh.org.au</t>
  </si>
  <si>
    <t>CDH1 Variant Curation Expert Panel</t>
  </si>
  <si>
    <t>Qiliang Ding</t>
  </si>
  <si>
    <t xml:space="preserve">Cornell University </t>
  </si>
  <si>
    <t>qd29@cornell.edu</t>
  </si>
  <si>
    <t>I am interested in all working groups.</t>
  </si>
  <si>
    <t>Amy Donahue</t>
  </si>
  <si>
    <t>Froedtert &amp; The Medical College of Wisconsin</t>
  </si>
  <si>
    <t>adonahue@mcw.edu</t>
  </si>
  <si>
    <t>Any of the cardiac or neuro as well as the mitochondrial and monogenetic diabetes groups would fit within my clinical specialties. If there is the potential to start an ophthalmology/eye disorders group, I would love to be involved there. Thank you for the opportunity!</t>
  </si>
  <si>
    <t>Dave Ferguson</t>
  </si>
  <si>
    <t>UCI</t>
  </si>
  <si>
    <t>Irvine, CA</t>
  </si>
  <si>
    <t>dferguso@uci.edu</t>
  </si>
  <si>
    <t>Mitochondrial Disease Variant Curation Expert Panel (In progress) Autism and Intellectual Disability Gene Curation Expert Panel</t>
  </si>
  <si>
    <t>Santhi Ramachandran</t>
  </si>
  <si>
    <t>Kerala, India</t>
  </si>
  <si>
    <t>santhialways4u@gmail.com</t>
  </si>
  <si>
    <t>I would like to work with variant curation expert panel or gene curation expert panel</t>
  </si>
  <si>
    <t>Megan Nathan</t>
  </si>
  <si>
    <t>Providence Alaska Medical Center</t>
  </si>
  <si>
    <t>Anchorage, AK</t>
  </si>
  <si>
    <t>mlnathan.genetics@gmail.com</t>
  </si>
  <si>
    <t>I would be most interested in the following groups (1 = top choice; 5 = last choice) 1. Breast/Ovarian Cancer (newly forming) 2. Colorectal Cancer (newly forming) 3. PTEN* 4. CDH1 5. VHL (Von Hippel-Lindau)*</t>
  </si>
  <si>
    <t>Ellen Xu</t>
  </si>
  <si>
    <t xml:space="preserve">CA </t>
  </si>
  <si>
    <t>Dosage sensitivity, hereditary cancer</t>
  </si>
  <si>
    <t>Note:  email address given was exu@fulgentgenetics.com, however as of July 9, 2019, this is no longer a contact email and no forwarding email provided.</t>
  </si>
  <si>
    <t>Alisdair Philp</t>
  </si>
  <si>
    <t>University of Kansas Hospitals System</t>
  </si>
  <si>
    <t>Kansas City, MO</t>
  </si>
  <si>
    <t>arphilp@gmail.com</t>
  </si>
  <si>
    <t>Cnv</t>
  </si>
  <si>
    <t>Jenna Guiltinan</t>
  </si>
  <si>
    <t>jenna.guiltinan@invitae.com</t>
  </si>
  <si>
    <t>Dosage- Hereditary Cancer sounds the most interesting to me, but any of the dosage sensitivity working groups would be great!</t>
  </si>
  <si>
    <t>Ron Agatep</t>
  </si>
  <si>
    <t>Shared Health Manitoba</t>
  </si>
  <si>
    <t xml:space="preserve">820 Sherbrook St.  </t>
  </si>
  <si>
    <t>ragatep@sharedhealthmb.ca</t>
  </si>
  <si>
    <t>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t>
  </si>
  <si>
    <t>Gene-Disease Validity, Somatic Cancer</t>
  </si>
  <si>
    <t>Hereditary Breast and Ovarian Cancer</t>
  </si>
  <si>
    <t>Danielle Croucher</t>
  </si>
  <si>
    <t>University of Toronto</t>
  </si>
  <si>
    <t>d.croucher@mail.utoronto.ca</t>
  </si>
  <si>
    <t>Myeloid Malignancy Variant Curation Expert Panel, Somatic/Germline Variant Curation Group, TP53 Variant Curation Expert Panel, Hereditary Cancer Gene Curation Expert Panel, Breast and Ovarian Cancer Gene Curation Expert Panel</t>
  </si>
  <si>
    <t>Fadel Alyaquob</t>
  </si>
  <si>
    <t>falyaqoub1@yahoo.com</t>
  </si>
  <si>
    <t>Hilary Racher</t>
  </si>
  <si>
    <t>Impact Genetics</t>
  </si>
  <si>
    <t>racherh@dynacare.ca</t>
  </si>
  <si>
    <t>Somatic/Germline Variant Curation Group Hereditary Cancer Gene Curation Expert Panel Sequence Variant Interpretation</t>
  </si>
  <si>
    <t>Juan Dong</t>
  </si>
  <si>
    <t>juan.dong@preventiongenetics.com</t>
  </si>
  <si>
    <t>Familial Thoracic Aortic Aneurysm and Dissection Gene Curation Expert Pane</t>
  </si>
  <si>
    <t>Julie Kaylor</t>
  </si>
  <si>
    <t>InformedDNA</t>
  </si>
  <si>
    <t>Arkansas</t>
  </si>
  <si>
    <t>jkaylor@informeddna.com</t>
  </si>
  <si>
    <t>David Ng</t>
  </si>
  <si>
    <t>NIH</t>
  </si>
  <si>
    <t>MD</t>
  </si>
  <si>
    <t>davidng@mail.nih.gov</t>
  </si>
  <si>
    <t>Clinical medical geneticist/Variant Analyst/Scientist</t>
  </si>
  <si>
    <t>Cardiology.</t>
  </si>
  <si>
    <t>Nan Jiang</t>
  </si>
  <si>
    <t>University of California, San Diego</t>
  </si>
  <si>
    <t>naj018@ucsd.edu</t>
  </si>
  <si>
    <t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t>
  </si>
  <si>
    <t xml:space="preserve">Yes. I work in a clinical genetics research lab identifying disease genes in pediatric neurological disorders using whole exome and whole genome sequencing. I do variants pathogenicity curation in daily bases. </t>
  </si>
  <si>
    <t xml:space="preserve">I am particularly interested in the variant and gene curation expert panels under dosage sensitivity working group. </t>
  </si>
  <si>
    <t>Michelle Green</t>
  </si>
  <si>
    <t>NC</t>
  </si>
  <si>
    <t>Michelle.green@n-of-one.com</t>
  </si>
  <si>
    <t>Mahsa</t>
  </si>
  <si>
    <t>New Mexico State University</t>
  </si>
  <si>
    <t>New Mexico</t>
  </si>
  <si>
    <t>mahsash@nmsu.edu</t>
  </si>
  <si>
    <t>mfgreen14@gmail.com</t>
  </si>
  <si>
    <t>Xinkun "Sequen" Wang</t>
  </si>
  <si>
    <t>Northwestern University</t>
  </si>
  <si>
    <t>xinkun.wang@northwestern.edu</t>
  </si>
  <si>
    <t>Epilepsy Gene Curation Expert Panel Autism and Intellectual Disability Gene Curation Expert Panel</t>
  </si>
  <si>
    <t>Siddharth Banka</t>
  </si>
  <si>
    <t>Siddharth.Banka@manchester.ac.uk</t>
  </si>
  <si>
    <t>Neurodevelopmental Disorders, experience with curating CNVs (potentially Dosage)</t>
  </si>
  <si>
    <t>Anna Tanska</t>
  </si>
  <si>
    <t>Peter mac</t>
  </si>
  <si>
    <t>"anna.tanska@petermac.org "</t>
  </si>
  <si>
    <t>Somatic cancer WG</t>
  </si>
  <si>
    <t>Amanda Fortier</t>
  </si>
  <si>
    <t>ACL Laboratories</t>
  </si>
  <si>
    <t>IL</t>
  </si>
  <si>
    <t>amanda.fortier@advocatehealth.com</t>
  </si>
  <si>
    <t>Yes, if needed. I am open to considering this type of activity.</t>
  </si>
  <si>
    <t>Qiuxiang Ou</t>
  </si>
  <si>
    <t>University of Alberta</t>
  </si>
  <si>
    <t>dorothy.ou@gmail.com</t>
  </si>
  <si>
    <t xml:space="preserve">My academic background is oncology. I learnt this opportunity from the website of ClinGen when I was searching for resources I needed. </t>
  </si>
  <si>
    <t>Somatic Cancer Working Group</t>
  </si>
  <si>
    <t>Kylin Boehler</t>
  </si>
  <si>
    <t>Quest Diagnostics</t>
  </si>
  <si>
    <t>OH</t>
  </si>
  <si>
    <t>kylin.y.boehler@questdiagnostics.com</t>
  </si>
  <si>
    <t>I am mainly interested in the Hereditary Cancer Gene Dosage Sensitivity Curation group.</t>
  </si>
  <si>
    <t>Lisa Diller</t>
  </si>
  <si>
    <t>Dana-Farber Cancer Institute</t>
  </si>
  <si>
    <t>lisa_diller@dfci.harvard.edu</t>
  </si>
  <si>
    <t>Nharimann Azima</t>
  </si>
  <si>
    <t>naa3f@gwu.edu</t>
  </si>
  <si>
    <t>Analyst</t>
  </si>
  <si>
    <t>I am flexible</t>
  </si>
  <si>
    <t>Krzysztof Szczaluba</t>
  </si>
  <si>
    <t>Dept of Medical Genetics. Warsaw Medical University</t>
  </si>
  <si>
    <t>Warsaw, Poland</t>
  </si>
  <si>
    <t>krzysztof.szczaluba@gmail.com</t>
  </si>
  <si>
    <t>autism/ID, epi, brovca</t>
  </si>
  <si>
    <t>Robin Bennett</t>
  </si>
  <si>
    <t>University of Washington</t>
  </si>
  <si>
    <t>robinb@uw.edu</t>
  </si>
  <si>
    <t>Variant curation expert panels: PTEN, VHL, CDH1, Colorectal cancer, breast-ovarian</t>
  </si>
  <si>
    <t>Fiona Curtis</t>
  </si>
  <si>
    <t>Eastern Health/Memorial University of NL</t>
  </si>
  <si>
    <t>NL, Canada</t>
  </si>
  <si>
    <t>fionakatherinecurtis@yahoo.ca</t>
  </si>
  <si>
    <t>inherited cardiomyopathy or other CV diseases</t>
  </si>
  <si>
    <t>Jennifer Marie Lee</t>
  </si>
  <si>
    <t>National Cancer Institute</t>
  </si>
  <si>
    <t>Jennifer.Lee2@nih.gov</t>
  </si>
  <si>
    <t>Laura Fuqua</t>
  </si>
  <si>
    <t>laura.fuqua@gmail.com</t>
  </si>
  <si>
    <t>Morgan Similuk</t>
  </si>
  <si>
    <t>NIAID/NIH</t>
  </si>
  <si>
    <t>Bethesda, MD</t>
  </si>
  <si>
    <t>Morgan.similuk@nih.gov</t>
  </si>
  <si>
    <t>Sandra P Smieszek</t>
  </si>
  <si>
    <t>DC</t>
  </si>
  <si>
    <t>sps92@case.edu</t>
  </si>
  <si>
    <t>Autism</t>
  </si>
  <si>
    <t>Can Ding</t>
  </si>
  <si>
    <t>Institut für Humangenetik</t>
  </si>
  <si>
    <t>Langenbeckstr. 1, 55131 Mainz, Germany</t>
  </si>
  <si>
    <t>can.ding@unimedizin-mainz.de</t>
  </si>
  <si>
    <t xml:space="preserve">I am a medical clinical genetist in training. Previously I was a neurologist in training and during my PhD I conducted reaserch in muscular disorders. Thus, neurogenetist is my special interest. </t>
  </si>
  <si>
    <t>I have over two years experiences in variant classification.</t>
  </si>
  <si>
    <t>I would be interested in a muscular disorder group.</t>
  </si>
  <si>
    <t>Milda Auglyte</t>
  </si>
  <si>
    <t>Hospital Universitario Puerta de Hierro Majadahonda</t>
  </si>
  <si>
    <t>Spain</t>
  </si>
  <si>
    <t>mildaaug@gmail.com</t>
  </si>
  <si>
    <t>I found Clinical Genome website by an accident by searching genetic variants for my work. This curation community intrigue me by variety of different working groups and at the same time by theirs topics.</t>
  </si>
  <si>
    <t>During my master's I performed NSCLC solid and liquid biopsies testing by target NGS. Nowadays, I'm still continuing this path, but additionally I am working with hereditary breast and ovarian cancer clinical testing.</t>
  </si>
  <si>
    <t>I would be interested in newly forming groups: Breast/Ovarian Cancer, Nonsmall cell lung cancer and Somatic TP53.</t>
  </si>
  <si>
    <t>I would like to get more knowledge of how to work in the international scientific community and also I would like to know how big genetic data is curated. At the same time, how to get the best of it and how to improve clinical testing.</t>
  </si>
  <si>
    <t>Particulary I am interest in opportunities of somatic and hereditary cancers testing in clinical laboratories. At the same time, I am interest in pathogenesis of NSCLC, breast and ovarian cancer at molecular level. Furthermore, interested in TP53 gene mutations and pathogenesis.</t>
  </si>
  <si>
    <t>Andres Ressia</t>
  </si>
  <si>
    <t>TRIO Oncology</t>
  </si>
  <si>
    <t>Dr. Emilio Frugoni 906 apto 301</t>
  </si>
  <si>
    <t>andresressiacolino@gmail.com</t>
  </si>
  <si>
    <t>Post-Bachelors</t>
  </si>
  <si>
    <t>I knew about ClinGen for my work in a national program on Familial Hypercholesterolaemia  in Uruguay. My interest comes from the interest in linking clinic and genetics.</t>
  </si>
  <si>
    <t>Breast/Ovarian Cancer (newly forming)</t>
  </si>
  <si>
    <t>I'd like to be updated and somehow related to the development of precision medicine.</t>
  </si>
  <si>
    <t>Breast Cancer, as I work in an organization now that deals with this disease.</t>
  </si>
  <si>
    <t>Parisa Lotfi</t>
  </si>
  <si>
    <t>TX</t>
  </si>
  <si>
    <t>Parisa_Lotfi@yahoo.com</t>
  </si>
  <si>
    <t>Post Doc/Resident/Fellow (MD and/or Phd), Scientific Researcher</t>
  </si>
  <si>
    <t>intellectual disability/autism group</t>
  </si>
  <si>
    <t>Huei San Leong</t>
  </si>
  <si>
    <t>PETER MACCALLUM CANCER CENTRE</t>
  </si>
  <si>
    <t>hueisan.leong@petermac.org</t>
  </si>
  <si>
    <t>1) Breast/Ovarian Cancer 2) Colorectal Cancer 3) CDH1</t>
  </si>
  <si>
    <t>Pandurang Kolekar</t>
  </si>
  <si>
    <t>Thermo Fisher Scientific</t>
  </si>
  <si>
    <t>pandurang.kolekar@gmail.com</t>
  </si>
  <si>
    <t>"Scientific Researcher, Biocurator, Variant Analyst/Scientist, Other (please specify): Bioinformatics Engineer"</t>
  </si>
  <si>
    <t>Samata Singhi</t>
  </si>
  <si>
    <t>Kennedy Krieger Institute/ Johns Hopkins Hospital</t>
  </si>
  <si>
    <t>1204 Linden Green, Baltimore, MD 21217</t>
  </si>
  <si>
    <t>samata.singhi@gmail.com</t>
  </si>
  <si>
    <t>I am interested in epilepsy genetics and heard about ClinGen from Ann Poduri</t>
  </si>
  <si>
    <t>Learn about epilepsy genetics and use that knowledge to help my patients</t>
  </si>
  <si>
    <t>Szabolcs Szelinger</t>
  </si>
  <si>
    <t>Translational Genomics Research Institute</t>
  </si>
  <si>
    <t>445 N. 5th St Phoenix AZ 85004</t>
  </si>
  <si>
    <t>sszelinger@tgen.org</t>
  </si>
  <si>
    <t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t>
  </si>
  <si>
    <t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t>
  </si>
  <si>
    <t>There are many interesting groups such as the mitochondrial disease, inherited cardiomyopathy, Epilepsy and Somatic TP53 group.</t>
  </si>
  <si>
    <t>I would like to learn best practices for variant/gene assessment and contribute to better understanding of gene/variant-phenotype association. In addition, would like to interface with other scientists/clinicians.</t>
  </si>
  <si>
    <t>Congenital Myasthenic Syndrome and GFPT1 gene. Beta-propeller Protein-Associated Neurodegeneration (BPAN) and WDR45 gene. Also interested in hereditary cancer predisposition syndromes.</t>
  </si>
  <si>
    <t>Jianhong Zhou</t>
  </si>
  <si>
    <t>jhzhou2008@hotmail.com</t>
  </si>
  <si>
    <t>Post Doc/Resident/Fellow (MD and/or Phd), Scientific Researcher, Focus on bioinformatics and computational biology</t>
  </si>
  <si>
    <t>Somatic Cancer WG</t>
  </si>
  <si>
    <t>Ramesh Vaidyanathan</t>
  </si>
  <si>
    <t>Not Applicable</t>
  </si>
  <si>
    <t>2 Windhaven Circle</t>
  </si>
  <si>
    <t>vaid@rocketmail.com</t>
  </si>
  <si>
    <t>Biotech Professional with Biochemistry and Genomics background and a Citizen Scientist</t>
  </si>
  <si>
    <t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t>
  </si>
  <si>
    <t>I am learning open source programing tools (Python) to handle genomics data and want to use this knowledge to help with ClinGen  curation.</t>
  </si>
  <si>
    <t>While I have a very broad interest, I am intrigued by reports that highlight  the role that microbiomes in health.</t>
  </si>
  <si>
    <t>Ranjit Shetty</t>
  </si>
  <si>
    <t>Novartis</t>
  </si>
  <si>
    <t>Cambridge MA</t>
  </si>
  <si>
    <t>ranjit.shetty@novartis.com</t>
  </si>
  <si>
    <t>I work in a Precision Medicine group at Novartis. I have previously used various sources (COSMIC etc) for evaluating my NGS data</t>
  </si>
  <si>
    <t>Evaluating TP53 and NF2 variants from NGS data</t>
  </si>
  <si>
    <t>Further my understanding and help in the curation</t>
  </si>
  <si>
    <t>TP53/Breast Cancer</t>
  </si>
  <si>
    <t>Brooke H. Miller</t>
  </si>
  <si>
    <t>Self/University of Florida</t>
  </si>
  <si>
    <t>4171 San Marino Blvd, Apt. 208, West Palm Beach, FL 33409</t>
  </si>
  <si>
    <t>brooke.h.miller@gmail.com</t>
  </si>
  <si>
    <t>Helped a friend interpret a Genomind report, got sucked down rabbit hole of PGX, eventually came across ClinGen via the FDA website</t>
  </si>
  <si>
    <t>Yes--used inbred strain haplotype mapping, gene expression analysis, and re-sequencing to identify SNPs associated with behavioral despair and antidepressant efficacy in mice. Research profile available: https://www.researchgate.net/profile/Brooke_Miller3</t>
  </si>
  <si>
    <t>Not at the moment, but wouldn't rule out future involvement</t>
  </si>
  <si>
    <t>Stay current with data and best practices of PGX</t>
  </si>
  <si>
    <t>Psychiatry (main), circadian rhythms, sleep, general neuroscience</t>
  </si>
  <si>
    <t>Elizabeth Spiteri</t>
  </si>
  <si>
    <t>Stanford Medicine</t>
  </si>
  <si>
    <t>901 Varian Way</t>
  </si>
  <si>
    <t>espiteri@gmail.com</t>
  </si>
  <si>
    <t>I utilize the ClinGen Dosage Map and noticed there were additional groups being formed</t>
  </si>
  <si>
    <t>I have participated in a Clinical Genomics Consortium for Copy Number Variants</t>
  </si>
  <si>
    <t xml:space="preserve">In addition to the somatic panel curation I would also be interested in Breast/Ovarian or Colon Cancer Expert panels </t>
  </si>
  <si>
    <t xml:space="preserve">I would like to provide my input and experience and learn from others. </t>
  </si>
  <si>
    <t>Inherited and somatic cancer as well as copy number variants</t>
  </si>
  <si>
    <t>Yasser Sullcahuaman</t>
  </si>
  <si>
    <t>Instituto Nacional de Enfermedades Neoplasicas</t>
  </si>
  <si>
    <t>Av. Angamos Este  F- 53, Urb. Juan XXII, Distrito de San Borja, LIMA- Peru</t>
  </si>
  <si>
    <t>ysullcahuaman@gmail.com</t>
  </si>
  <si>
    <t>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t>
  </si>
  <si>
    <t>improve my abilities to classify genetic variants and establish the relationship with hereditary cancer</t>
  </si>
  <si>
    <t>Hereditary Cancer, Breast cancer</t>
  </si>
  <si>
    <t>HUILING XU</t>
  </si>
  <si>
    <t>Peter MacCallum Cancer Centre</t>
  </si>
  <si>
    <t>305 Grattan Street
Melbourne VIC 3000
Australia</t>
  </si>
  <si>
    <t>huiling.xu@petermac.org</t>
  </si>
  <si>
    <t>Variant Analyst/Scientist - Academic</t>
  </si>
  <si>
    <t>The clinicalgenome.org website</t>
  </si>
  <si>
    <t>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t>
  </si>
  <si>
    <t>Somatic cancer working groups</t>
  </si>
  <si>
    <t>Contribute to this global effort to maintain standards for interpreting variants and to help resolve differences in interpretation and combine evidence to clarify the significance of variants</t>
  </si>
  <si>
    <t>Solid tumours</t>
  </si>
  <si>
    <t>I want to contribute as a measure to promote precision medicine standards.</t>
  </si>
  <si>
    <t>Ph.D.</t>
  </si>
  <si>
    <t>Nilufar Inamdar</t>
  </si>
  <si>
    <t>Cairo Diagnostics (Part time project)</t>
  </si>
  <si>
    <t>43-23 Colden St, Flushing, NY 11355</t>
  </si>
  <si>
    <t>inamdar555@yahoo.com</t>
  </si>
  <si>
    <t>Mitochondrial or Aminoaciopathy</t>
  </si>
  <si>
    <t>Work towards ClinGen's goals</t>
  </si>
  <si>
    <t>Open</t>
  </si>
  <si>
    <t>I want to be involved with ClinGen.</t>
  </si>
  <si>
    <t>Not yet. Will take ABMGG Cert Exam 2019</t>
  </si>
  <si>
    <t>Michael McLachlan</t>
  </si>
  <si>
    <t>Fujifilm Cellular Dynamics, Inc</t>
  </si>
  <si>
    <t>1102 Feather Edge Dr</t>
  </si>
  <si>
    <t>mikejmclachlan@gmail.com</t>
  </si>
  <si>
    <t>No curation experience but professional experience with genome analysis and disease models</t>
  </si>
  <si>
    <t>Switched from Baseline to Comprehensive on 10/09/19</t>
  </si>
  <si>
    <t>Contribute to better analysis of genomic information</t>
  </si>
  <si>
    <t>Cardiovascular, neurodegeneration</t>
  </si>
  <si>
    <t>Anand Narayanan</t>
  </si>
  <si>
    <t>100 YORK ST
3B</t>
  </si>
  <si>
    <t>anandnpillai@gmail.com</t>
  </si>
  <si>
    <t>Networking</t>
  </si>
  <si>
    <t xml:space="preserve">I have served as a liaison of groups comprising clinicians, genetic counselors, researchers and bioinformatic staff. I am involved in the novel gene discovery and characterization </t>
  </si>
  <si>
    <t>Would like to volunteer and get familiar with the Clinical and Molecular lab techniques</t>
  </si>
  <si>
    <t>Genes involved in cardiovascular and metabolic diseases</t>
  </si>
  <si>
    <t>I was encouraged by a mentor.</t>
  </si>
  <si>
    <t>None</t>
  </si>
  <si>
    <t>Rebekah Waikel</t>
  </si>
  <si>
    <t xml:space="preserve">University of Kentucky </t>
  </si>
  <si>
    <t>rebekah.waikel@uky.edu</t>
  </si>
  <si>
    <t>ClinGen conference advertisements (i.e. booth, workshop, presentation)</t>
  </si>
  <si>
    <t>Inherited cardiopathy</t>
  </si>
  <si>
    <t>Learn and contribute</t>
  </si>
  <si>
    <t>BAG3 or cardiovascular disease</t>
  </si>
  <si>
    <t>I want to contribute to promote enhanced patient care.</t>
  </si>
  <si>
    <t>Soon to be GC (June 2019)</t>
  </si>
  <si>
    <t>Urjit Patel</t>
  </si>
  <si>
    <t>Quest Diagnostics, Marlborough</t>
  </si>
  <si>
    <t>177 Crescent St Apt 21</t>
  </si>
  <si>
    <t>urjit.x.patel@questdiagnostics.com</t>
  </si>
  <si>
    <t>Variant Analyst/Scientist - Industry</t>
  </si>
  <si>
    <t>Networking, The clinicalgenome.org website, Dr. Marina DiStefano</t>
  </si>
  <si>
    <t>Gene curation and experience with dosage sensitivity of genes.</t>
  </si>
  <si>
    <t>Epilepsy, neurodevelopmental disorders.</t>
  </si>
  <si>
    <t>Almost done with my Master's degree in Biotechnology.</t>
  </si>
  <si>
    <t>Lesley Northrop</t>
  </si>
  <si>
    <t>Celmatix</t>
  </si>
  <si>
    <t>165 E66th Street
Apt. 12H</t>
  </si>
  <si>
    <t>lesleyenorthrop@gmail.com</t>
  </si>
  <si>
    <t>ClinGen affiliated emails and/or newsletters</t>
  </si>
  <si>
    <t>within my own institution designing a panel following ClinGen guidelines</t>
  </si>
  <si>
    <t>Gene Curation - Epilepsy or Autism &amp; ID</t>
  </si>
  <si>
    <t>gaining knowledge and keeping up-to-date with the guidelines</t>
  </si>
  <si>
    <t>FACMG</t>
  </si>
  <si>
    <t>Hafsa Amtul</t>
  </si>
  <si>
    <t>Rush University</t>
  </si>
  <si>
    <t>9029 federal ct apt 1h</t>
  </si>
  <si>
    <t>hafsa.amtul2502@gmail.com</t>
  </si>
  <si>
    <t>ClinGen website</t>
  </si>
  <si>
    <t>drug toxicity associated with tpmt genetic variants *1, *2, *3A, *3B</t>
  </si>
  <si>
    <t xml:space="preserve">Dosage- Neurodevelopemental, Pediatric, Nonsmall cell lung cancer, 
Somatic TP53 </t>
  </si>
  <si>
    <t>Deeper understanding of the advancement in clinical genomics</t>
  </si>
  <si>
    <t xml:space="preserve">CYP450 enzyme coding genes, TPMT gene, VKORC </t>
  </si>
  <si>
    <t>Master’s degree</t>
  </si>
  <si>
    <t>Manya Warrier</t>
  </si>
  <si>
    <t>769 Franklin Tree Drive, Concord, NC 28027</t>
  </si>
  <si>
    <t>manyawarrier@gmail.com</t>
  </si>
  <si>
    <t xml:space="preserve">I would like to get experience in this area as it will be a good addition to my career as a Variant Scientist. </t>
  </si>
  <si>
    <t>Fatty Acid Oxidation/Breast/Ovarian Cancer/Inherited Cardiomyopathy/Mitochondrial diseases</t>
  </si>
  <si>
    <t>I want to gain curation experience/improve my resume.</t>
  </si>
  <si>
    <t>Angela Pickart</t>
  </si>
  <si>
    <t>Rochester, MN</t>
  </si>
  <si>
    <t>pickart.angela@mayo.edu</t>
  </si>
  <si>
    <t>Colleagues</t>
  </si>
  <si>
    <t>I work for a clinical laboratory and both assess gene-disease validity and provide variant annotation for a variety of molecular tests, including large epilepsy panels</t>
  </si>
  <si>
    <t>Both contribute to the efforts of ClinGen and learn from experts in the field</t>
  </si>
  <si>
    <t>CGC</t>
  </si>
  <si>
    <t>Jing Xie</t>
  </si>
  <si>
    <t>jingxiegene@gmail.com</t>
  </si>
  <si>
    <t xml:space="preserve">Yes, as a clinical laboratory director, I have been heavily involved in variant pathogenicity evaluation myself and variant analyst training. Meanwhile, I also worked on gene-disease curation periodically for our interpretation pipeline. </t>
  </si>
  <si>
    <t>Gene Curation Panel: Hereditary Cancer; Storage Diseases. Variant Curation Panel: Breast/Ovarian Cancer; Colorectal Cancer; Fatty Acid Oxidation; Cerebral Creatine Deficiency Syndrome</t>
  </si>
  <si>
    <t>Contribute my personal experience with molecular laboratory genetics to establish gene and variants curation standards for our community.</t>
  </si>
  <si>
    <t>Hereditary cancer; Muscular dystrophy; Metabolic disease.</t>
  </si>
  <si>
    <t>Jianli Dong</t>
  </si>
  <si>
    <t>The University of Texas Medical Branch</t>
  </si>
  <si>
    <t>301 University Blvd, Galveston, TX 77555</t>
  </si>
  <si>
    <t>jidong@utmb.edu</t>
  </si>
  <si>
    <t>Breast/Ovarian Cancer (newly forming), Dosage- Hereditary Cancer (newly forming)*, Colorectal Cancer (newly forming), Somatic Cancer</t>
  </si>
  <si>
    <t>Support and participate in ClinGen efforts</t>
  </si>
  <si>
    <t>cancer related genes</t>
  </si>
  <si>
    <t>Kathryn Kronquist</t>
  </si>
  <si>
    <t>University of Colorado Department of Pediatrics</t>
  </si>
  <si>
    <t>13123East 16th Avenue, B120, Aurora CO 80045</t>
  </si>
  <si>
    <t>Kathryn.Kronquist@childrenscolorado.org</t>
  </si>
  <si>
    <t>applying ACMG Guidelines for variant curation in daily work</t>
  </si>
  <si>
    <t>epilepsy, RASopathy</t>
  </si>
  <si>
    <t>challenging work with colleagues</t>
  </si>
  <si>
    <t>Germline genetics in general</t>
  </si>
  <si>
    <t>Kristen L Deak</t>
  </si>
  <si>
    <t>Duke University</t>
  </si>
  <si>
    <t xml:space="preserve">2531 Erwin Road, Wadsworth Building 0213c, Durham, NC 27705 </t>
  </si>
  <si>
    <t>kristen.deak@duke.edu</t>
  </si>
  <si>
    <t>Not other than evaluation and signout of patient reports</t>
  </si>
  <si>
    <t xml:space="preserve">Help the community, advance variant knowledge, connect with colleagues </t>
  </si>
  <si>
    <t>ALPL, any glycogen storage disorder, somatic (solid and myeloid)</t>
  </si>
  <si>
    <t>I want to help out the community.</t>
  </si>
  <si>
    <t>FACMG , Cytogenetics, Molecular</t>
  </si>
  <si>
    <t>Venkataswamy Eswarachari</t>
  </si>
  <si>
    <t>MedGenome Labs Limited</t>
  </si>
  <si>
    <t>3rd Floor, Narayana Netralaya Building, Narayana Health City, 258/A Hosur Road, Bommasandra, Bangalore, Karnataka, India - 560099</t>
  </si>
  <si>
    <t>venkataswamy@medgenome.com</t>
  </si>
  <si>
    <t xml:space="preserve">Not professionally but for clinical reporting I have done some curation. </t>
  </si>
  <si>
    <t xml:space="preserve">I have a great passion for genetics and its application in clinical diagnosis. I strongly believe in genetic databases curated from the publications as potential source for correct diagnosis in a clinical setup. So volunteering with ClinGen, I think I can contribute to the society indirectly.  </t>
  </si>
  <si>
    <t xml:space="preserve">I am interested in all. </t>
  </si>
  <si>
    <t>I do not have these certifications</t>
  </si>
  <si>
    <t>Tyler Parris</t>
  </si>
  <si>
    <t>Massachusetts General Hospital</t>
  </si>
  <si>
    <t>25 Morrissey Blvd, Apt 1236, Boston MA 02125</t>
  </si>
  <si>
    <t>tylerchristianparrismd@gmail.com</t>
  </si>
  <si>
    <t>GeneDx testing results packet of a patient</t>
  </si>
  <si>
    <t>Learn more and help solidify renal genetics.</t>
  </si>
  <si>
    <t>Renal</t>
  </si>
  <si>
    <t>M.D.</t>
  </si>
  <si>
    <t>Edward Shadiack</t>
  </si>
  <si>
    <t>VA</t>
  </si>
  <si>
    <t>1200 NE Central Ave, Seaside Park, NJ 08752</t>
  </si>
  <si>
    <t>shadiaec@gmail.com</t>
  </si>
  <si>
    <t>No experience whatsoever</t>
  </si>
  <si>
    <t>Mitochondrial Diseases</t>
  </si>
  <si>
    <t>Improve my understanding of genetics and contribute something</t>
  </si>
  <si>
    <t>Areas of interest include adult neurologic and rheumatic disorders</t>
  </si>
  <si>
    <t>D.O.</t>
  </si>
  <si>
    <t>Barbara Vona</t>
  </si>
  <si>
    <t>University of Tuebingen, Dept. of Otolaryngology, Hearing Research Centre</t>
  </si>
  <si>
    <t>Elfriede-Aulhorn-Str. 5</t>
  </si>
  <si>
    <t>barbara.vona@uni-tuebingen.de</t>
  </si>
  <si>
    <t>Half variant analyst, half scientific researcher</t>
  </si>
  <si>
    <t>Networking, Colleagues, Twitter</t>
  </si>
  <si>
    <t>LOVD3 variant curation for several hearing loss genes (STRC, GRHL2, CEACAM16, S1PR2)</t>
  </si>
  <si>
    <t>Hearing Loss Variant and Gene Curation Expert Panels</t>
  </si>
  <si>
    <t>Contributing to the massive efforts for variant and gene annotation and curation, dynamic networking and pooling of variants and clinical info for improved variant prioritization and gene-disease validation</t>
  </si>
  <si>
    <t>Viridiana Murillo</t>
  </si>
  <si>
    <t>Keck Graduate Institute</t>
  </si>
  <si>
    <t>725 N. Mountain Ave</t>
  </si>
  <si>
    <t>vmurillo18@students.kgi.edu</t>
  </si>
  <si>
    <t>Diane Zastrow</t>
  </si>
  <si>
    <t xml:space="preserve">We have had some introduction to variant curation using the ACMG guidelines in my Human Genomics course and a training we attended on variant curation. </t>
  </si>
  <si>
    <t>Metabolism (PAH) workgroup and/or  Epilepsy work group</t>
  </si>
  <si>
    <t xml:space="preserve">I would like to complement my education and prepare for a potential career 
 relating to variant interpretation or as a variant curator. I believe this would be an excellent opportunity. </t>
  </si>
  <si>
    <t xml:space="preserve">Metabolism (PAH) and Epilepsy </t>
  </si>
  <si>
    <t>I want to gain curation experience and help the community</t>
  </si>
  <si>
    <t>Current M.S. Human Genetics and Genomic Data Analytics student</t>
  </si>
  <si>
    <t>Sharon Suchy</t>
  </si>
  <si>
    <t xml:space="preserve">GeneDx </t>
  </si>
  <si>
    <t>207 Perry Parkway, Gaithersburg, MD</t>
  </si>
  <si>
    <t>ssuchy@genedx.com</t>
  </si>
  <si>
    <t>yes, assessing variant pathogenicity /clinical actionability issues</t>
  </si>
  <si>
    <t>lysosomal storage, inborn errors of metabolism</t>
  </si>
  <si>
    <t>Help in the effort to standardize the classification of variants</t>
  </si>
  <si>
    <t>Lysosomal storage disorders, fatty acid oxidation, newborn screen inborn errors of metabolism, creatine def., congen disorders of glycosylation</t>
  </si>
  <si>
    <t>GIFTY BHAT</t>
  </si>
  <si>
    <t>University of Illinois at Chicago</t>
  </si>
  <si>
    <t>41 E 8th st apt 3202 chicago IL 60605</t>
  </si>
  <si>
    <t>drgiftybhat@gmail.com</t>
  </si>
  <si>
    <t>ACMG Conference 2019, ClinGen conference advertisements (i.e. booth, workshop, presentation)</t>
  </si>
  <si>
    <t>Research activity for 6 months for neurodevelopmental disorders in consanguineous population</t>
  </si>
  <si>
    <t>Neurodevelopmental/intellectual disability, Rett-Angelman syndrome, PTEN related disorders</t>
  </si>
  <si>
    <t>Improve phentyping of patients with neurogenetic disorders</t>
  </si>
  <si>
    <t>Neurogenetic disorder; intellectual disability, Rett-Angelman syndrome</t>
  </si>
  <si>
    <t>Theodore E. Wilson</t>
  </si>
  <si>
    <t>Indiana University / Riley Children’s Hospital</t>
  </si>
  <si>
    <t>974 West Walnut, Indianapolis, IN 46202</t>
  </si>
  <si>
    <t>theowils@iu.edu</t>
  </si>
  <si>
    <t>ACMG Conference 2019, Colleagues, Suggestion from mentor</t>
  </si>
  <si>
    <t>During my fellowship I worked closely with ARUP Molecular geneticists to call variant pathogenicity based on the 2015 criteria.</t>
  </si>
  <si>
    <t>cardiomyopathy</t>
  </si>
  <si>
    <t xml:space="preserve">Be involved in the process that directly affects my patients. </t>
  </si>
  <si>
    <t xml:space="preserve">Pediatrics </t>
  </si>
  <si>
    <t>FAAP &amp; FACMGG</t>
  </si>
  <si>
    <t>Christina Y Hung</t>
  </si>
  <si>
    <t>3 Blackfan Circle, Boston, MA 02115</t>
  </si>
  <si>
    <t>christina.hung@childrens.harvard.edu</t>
  </si>
  <si>
    <t>ACMG Conference 2019, Colleagues</t>
  </si>
  <si>
    <t>ABMGG training/fellowships</t>
  </si>
  <si>
    <t>Inborn error of Metabolism, Lysosomal Storage Disorders, Aminoacidopathy; have talked to Meredith Weaver regarding options of joining Metabolism Workgroup</t>
  </si>
  <si>
    <t>contribute and stay up to date with classification standards in the field and the evolving disease knowledge</t>
  </si>
  <si>
    <t>Inborn errors of metabolism (e.g. lysosomal), Kabuki Syndrome, CENPT</t>
  </si>
  <si>
    <t>FACMG (Clinical Molecular and Clinical Biochem)</t>
  </si>
  <si>
    <t>Alka Chaubey</t>
  </si>
  <si>
    <t xml:space="preserve">Perkin Elmer Genomics </t>
  </si>
  <si>
    <t>103 Lauren circle , Greenwood 29649</t>
  </si>
  <si>
    <t>ACMG Conference 2019</t>
  </si>
  <si>
    <t>Participated in pilot dosage sensitivity effort of analyzing and curating CNVs</t>
  </si>
  <si>
    <t xml:space="preserve">Dosage sensitivity and somatic cancer </t>
  </si>
  <si>
    <t xml:space="preserve">Contribute to dosage sensitivity workgroup </t>
  </si>
  <si>
    <t>Dosage sensitive genes</t>
  </si>
  <si>
    <t>Note: on 7-9-19 the email of alka.chaubey@perkinelmer.con returned undeliverable. No update to email given.</t>
  </si>
  <si>
    <t>Junyu Zhang</t>
  </si>
  <si>
    <t>IPMCH, Shanghai Jiao Tong University</t>
  </si>
  <si>
    <t>junyuzhang@hotmail.com</t>
  </si>
  <si>
    <t xml:space="preserve">Curate more than 1000 variants in Chinese patients </t>
  </si>
  <si>
    <t>Third</t>
  </si>
  <si>
    <t>Yes. Brain Malformations</t>
  </si>
  <si>
    <t>Gain experience and promote enhanced patient care in China</t>
  </si>
  <si>
    <t>reproductive diseases/ brain malformations/ F8 and F9/ Actionability WG/ hearing loss</t>
  </si>
  <si>
    <t>Chinese Genetic Counselor</t>
  </si>
  <si>
    <t>Jing Zhang</t>
  </si>
  <si>
    <t>WuXi NextCODE</t>
  </si>
  <si>
    <t>jzhang@wuxinextcode.com</t>
  </si>
  <si>
    <t>ACMG Conference 2019, ClinGen affiliated emails and/or newsletters, The clinicalgenome.org website</t>
  </si>
  <si>
    <t xml:space="preserve">As the director of clinical genomic interpretation division of WuXi NextCODE, I do gene/variant curation on daily basis. </t>
  </si>
  <si>
    <t>Contribute to high standard gene/variant curation effort</t>
  </si>
  <si>
    <t>Neurological disorders related genes/variants</t>
  </si>
  <si>
    <t>Mary-Alice Abbott</t>
  </si>
  <si>
    <t>Baystate Medical Center</t>
  </si>
  <si>
    <t>50 Wason Ave Springfield, MA</t>
  </si>
  <si>
    <t>Maryalice.abbott@baystatehealth.org</t>
  </si>
  <si>
    <t xml:space="preserve">As clinical geneticist I regularly interpret clinical significance of gene variants for my patients but do not have formal variant interpretation experience </t>
  </si>
  <si>
    <t>LSD, ID, actionability</t>
  </si>
  <si>
    <t>Contribute to improvement of the clinical value and utility of genetic testing results, collaborate with peers, experts</t>
  </si>
  <si>
    <t>ID, LSD esp pompe, newborn screening, Anomalies and dysmorphisms, general clinical genetics adult and pedi</t>
  </si>
  <si>
    <t>MD PhD</t>
  </si>
  <si>
    <t>Emily Higgs</t>
  </si>
  <si>
    <t>Stanford University</t>
  </si>
  <si>
    <t>ehiggs@stanford.edu</t>
  </si>
  <si>
    <t xml:space="preserve">For the past year I have been doing variant interpretation for 'healthy exomes' in the research setting and supervising Master of Genetic Counseling students' variant interpretation rotations.  </t>
  </si>
  <si>
    <t xml:space="preserve">Dosage- Neurodevelopemental; Gene curation - Intellectual Disability and Autism,
Epilepsy, Hereditary Cancer, Mitochondrial Diseases, Brain Malformations, Monogenic Diabetes; Variant curation - VHL, CDH1, Brain Malformations, Monogenic Diabetes, Colorectal Cancer </t>
  </si>
  <si>
    <t xml:space="preserve">ClinGen is an invaluable resource that I use often in my role as a variant curator. I appreciate how collaboration and resources like ClinGen can continue to improve the variant curation process for everyone in the field of genomics and I would love to contribute to this. </t>
  </si>
  <si>
    <t xml:space="preserve">I previously worked in clinical neurology and hereditary cancer, now I work in genomics research analyzing 'healthy exomes'. I am passionate about all of these areas. </t>
  </si>
  <si>
    <t xml:space="preserve">Fellow of the Human Genetics Society of Australasia (certified Genetic Counselor in Australia, now working in USA) </t>
  </si>
  <si>
    <t>Matt Wright</t>
  </si>
  <si>
    <t xml:space="preserve">Stanford University </t>
  </si>
  <si>
    <t>wrightmw@stanford.edu</t>
  </si>
  <si>
    <t>I’m already a part of ClinGen</t>
  </si>
  <si>
    <t>Most of my experience is gene-level curation but I’m especially interested in the variant curator’s experience</t>
  </si>
  <si>
    <t xml:space="preserve">Hearing Loss or Brain Malformations or Cardiomyopathy </t>
  </si>
  <si>
    <t>Getting to know the travails of a ClinGen curator from a first-hand perspective.</t>
  </si>
  <si>
    <t>Opsin genes, but I know color blindness is not even remotely on your radar right now :-)</t>
  </si>
  <si>
    <t>Samantha Chill</t>
  </si>
  <si>
    <t>George Mason University</t>
  </si>
  <si>
    <t>4923 Americana Dr, Annandale VA 22003</t>
  </si>
  <si>
    <t>slsevilla@gmail.com</t>
  </si>
  <si>
    <t>I would like to continue to explore various aspects of genetics by contributing my expertise to the field, and to learn additional skills.</t>
  </si>
  <si>
    <t>Kristin Maloney</t>
  </si>
  <si>
    <t>University of Maryland School of Medicine</t>
  </si>
  <si>
    <t>685 W. Baltimore St, MSTF 3-14H, Baltimore, MD  21201</t>
  </si>
  <si>
    <t>kmaloney1@som.umaryland.edu</t>
  </si>
  <si>
    <t>I don't have much experience with somatic variant interpretation, but am a biocurator on the monogenic diabetes expert panel.</t>
  </si>
  <si>
    <t>Somatic cancer (am already on the monogenic diabetes expert panel)</t>
  </si>
  <si>
    <t>I would like to learn more about somatic variant interpretation</t>
  </si>
  <si>
    <t>Somatic cancer</t>
  </si>
  <si>
    <t>HECTOR RODRIGO MENDEZ</t>
  </si>
  <si>
    <t>National Medical Genetics Centre</t>
  </si>
  <si>
    <t>Las Heras 2670</t>
  </si>
  <si>
    <t>rodrigomendezh@gmail.com</t>
  </si>
  <si>
    <t>My Master´s thesis project was about the utility of whole Exome sequencing in some patient in the NICU.</t>
  </si>
  <si>
    <t>Intellectual Disability and Autism, RASopathy</t>
  </si>
  <si>
    <t>I would like to get a deep insight into clinical bioinformatics and clinical genetics fields in order to understand the genotype-phenotype correlation.</t>
  </si>
  <si>
    <t>Mendelian disorders in general. I would like to know more about rasopathies.</t>
  </si>
  <si>
    <t>M.I. anwar</t>
  </si>
  <si>
    <t>lahore leads university</t>
  </si>
  <si>
    <t>pakistan</t>
  </si>
  <si>
    <t>mimtiazanwar@gmail.com</t>
  </si>
  <si>
    <t>YES I AM</t>
  </si>
  <si>
    <t>I want to contribute due to personal experience with genetic disorders.</t>
  </si>
  <si>
    <t>Bachelor’s degree</t>
  </si>
  <si>
    <t>Karen Hanson</t>
  </si>
  <si>
    <t xml:space="preserve">ICF international, </t>
  </si>
  <si>
    <t>12256 CARROLL MILL RD</t>
  </si>
  <si>
    <t>krhms3@gmail.com</t>
  </si>
  <si>
    <t>brain malformations, cancer</t>
  </si>
  <si>
    <t>better understanding of variant curation, contribute to the effort to better understand genetic variation</t>
  </si>
  <si>
    <t>not in particular</t>
  </si>
  <si>
    <t>MS, MBA</t>
  </si>
  <si>
    <t>Daniel Reich</t>
  </si>
  <si>
    <t>500 Chipeta Way, Salt Lake City, UT 84108</t>
  </si>
  <si>
    <t>daniel.reich@aruplab.com</t>
  </si>
  <si>
    <t>As a variant scientist, I have been doing variant classification for clinical genetics tests for ~10 months. I have been involved in discussing gene-disease validity, though only for the last 1-2 months.</t>
  </si>
  <si>
    <t>Cerebral Creatine Deficiency Syndromes</t>
  </si>
  <si>
    <t>Contribute to the clinical genetics field and meet others in this community.</t>
  </si>
  <si>
    <t>Carnitine deficiencies, cardiomyopathy, epilepsy</t>
  </si>
  <si>
    <t>Christine Preston</t>
  </si>
  <si>
    <t>Stanford</t>
  </si>
  <si>
    <t>christip@stanford.edu</t>
  </si>
  <si>
    <t>Dosage Sensitivity Working Group</t>
  </si>
  <si>
    <t>Learn more about the biocuration process and contribute to the ClinGen curation efforts</t>
  </si>
  <si>
    <t>Gene Dosage Curation</t>
  </si>
  <si>
    <t>Julie Hathaway</t>
  </si>
  <si>
    <t>Blueprint Genetics</t>
  </si>
  <si>
    <t>1623 East 2nd Avenue
Apt. 403</t>
  </si>
  <si>
    <t>julie.hathaway@blueprintgenetics.com</t>
  </si>
  <si>
    <t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t>
  </si>
  <si>
    <t xml:space="preserve">Cardiomyopathy (or arrhythmias if available- I tried to be involved in the KCNQ1 variant curation group but I understand their group is now full) </t>
  </si>
  <si>
    <t xml:space="preserve">I have worked in cardiac genetics (arrhythmias and cardiomyopathies) for the last 8 years- I saw and experienced how the lack of variant interpretation standards AND the inclusion of genes with limited evidence led to reclassification of variants and "back-peddling" with patients and families. I would hope to contribute to educating the genetics and non-genetics community about gene-disease associations, ensuring industry is providing the most clinically relevant tests, improving the community's ability to interpret genetic test results by providing evidence based standards. </t>
  </si>
  <si>
    <t xml:space="preserve">Cardiomyopathies and arrhythmias. I would be happy to work on any gene in this area. </t>
  </si>
  <si>
    <t>Jose Maria Urbano</t>
  </si>
  <si>
    <t>University of Cambridge</t>
  </si>
  <si>
    <t>jmu22@cam.ac.uk</t>
  </si>
  <si>
    <t>Biocuration conference 2019</t>
  </si>
  <si>
    <t>I am a Drosophila biocurator. I've been working for FlyBase for 4 years</t>
  </si>
  <si>
    <t>Alexander Ing</t>
  </si>
  <si>
    <t>225 E. Chicago Ave Box 82 Chicago IL 60611</t>
  </si>
  <si>
    <t>aing@luriechildrens.org</t>
  </si>
  <si>
    <t>ACMG Conference 2019, ClinGen conference advertisements (i.e. booth, workshop, presentation), Colleagues, Suggestion from mentor</t>
  </si>
  <si>
    <t>I am a laboratory genetic counselor and my responsibilities are centered around variant interpretation and test reporting. I have served in this role for 4 years. I have some gene curation experience.</t>
  </si>
  <si>
    <t>epilepsy</t>
  </si>
  <si>
    <t xml:space="preserve">Increase knowledge of disease area and curation, collaboration on projects </t>
  </si>
  <si>
    <t>Primary Ciliary Dyskinesia, Epilepsy, Primary Immunodeficiency</t>
  </si>
  <si>
    <t>Jun Liao</t>
  </si>
  <si>
    <t>3959 Broadway, CHC-Room 406C, New York, NY 10032</t>
  </si>
  <si>
    <t>jl5098@cumc.columbia.edu</t>
  </si>
  <si>
    <t>As a laboratory director, I sign out WES, NGS panel, and microarray cases daily. So I am very familiar with curation activities for variant pathogenicity, gene-disease validity, and dosage sensitivity.</t>
  </si>
  <si>
    <t>1. Lysosomal Storage Disorders VCEP; 2. ID/Autism GCEP</t>
  </si>
  <si>
    <t>contribute to the community and learn from other experts</t>
  </si>
  <si>
    <t>HEXA, HEXB, GBA</t>
  </si>
  <si>
    <t>Maki Kaneko</t>
  </si>
  <si>
    <t>Children's Hospital Los Angeles</t>
  </si>
  <si>
    <t>4650 Sunset Blvd, #173, Los Angeles, CA 90027</t>
  </si>
  <si>
    <t>mkaneko@chla.usc.edu</t>
  </si>
  <si>
    <t>Gene-Disease Validity Curation for epilepsy</t>
  </si>
  <si>
    <t>Emma Leach</t>
  </si>
  <si>
    <t>BC Inherited Arrhythmia Program</t>
  </si>
  <si>
    <t>211-1033 Davie St., Vancouver, BC V6E 1M7</t>
  </si>
  <si>
    <t>eleach@providencehealth.bc.ca</t>
  </si>
  <si>
    <t>ClinGen conference advertisements (i.e. booth, workshop, presentation), Colleagues, The clinicalgenome.org website</t>
  </si>
  <si>
    <t>previously published systematic literature review</t>
  </si>
  <si>
    <t>Cardiovascular, particular inherited arrhythmias and arrhythmogenic cardiomyopathies. I'm currently interested in TTN</t>
  </si>
  <si>
    <t>Megan Lynch</t>
  </si>
  <si>
    <t>University of Maryland Baltimore</t>
  </si>
  <si>
    <t>807 West Barre St. Baltimore, MD 21230</t>
  </si>
  <si>
    <t>megan.lynch@umaryland.edu</t>
  </si>
  <si>
    <t>any of the cardiovascular working groups</t>
  </si>
  <si>
    <t>background and knowledge surrounding the rules of annotation in cardio variants</t>
  </si>
  <si>
    <t>Suvina To</t>
  </si>
  <si>
    <t>ActX, Inc.</t>
  </si>
  <si>
    <t>suvina@gmail.com</t>
  </si>
  <si>
    <t>ACMG Conference 2019, Monogenic Diabetes Group</t>
  </si>
  <si>
    <t>I am a variant curation specialist in my company</t>
  </si>
  <si>
    <t>monogenic diabetes</t>
  </si>
  <si>
    <t>Keep up and refine my skills while helping to improve public resources</t>
  </si>
  <si>
    <t>Lemuel Racacho</t>
  </si>
  <si>
    <t>Newborn Screening Ontario</t>
  </si>
  <si>
    <t>lracacho@cheo.on.ca</t>
  </si>
  <si>
    <t>ClinGen conference advertisements (i.e. booth, workshop, presentation), Networking, Colleagues, ClinGen affiliated emails and/or newsletters, The clinicalgenome.org website</t>
  </si>
  <si>
    <t>Yes, I currently interpret variants for mitochondrial based disorders</t>
  </si>
  <si>
    <t>Inborn errors of metabolism; Low penetrance/risk allele</t>
  </si>
  <si>
    <t>Bo Yuan</t>
  </si>
  <si>
    <t>Baylor College of Medicine</t>
  </si>
  <si>
    <t>2450 Holcombe Blvd, Suite 200F, Houston, TX 77021</t>
  </si>
  <si>
    <t>by2@bcm.edu</t>
  </si>
  <si>
    <t>I have been involved in some gene curation using ClinGen format. Variant curation is part of my routine practice.</t>
  </si>
  <si>
    <t>Improve the understanding of gene-disease relationship.</t>
  </si>
  <si>
    <t>I volunteered in the gene/variant curation for the MTOR-PI3K-AKT pathway.</t>
  </si>
  <si>
    <t>Dual board eligible Clinical Molecular Genetics, Clinical Cytogenetics</t>
  </si>
  <si>
    <t>Avinash Dharmadhikari</t>
  </si>
  <si>
    <t>Columbia University</t>
  </si>
  <si>
    <t>630 W. 168th St., New York, NY 10032</t>
  </si>
  <si>
    <t>avd2129@cumc.columbia.edu</t>
  </si>
  <si>
    <t>Previously variant analyst/curator at Baylor Genetics and Natera; currently LGG fellow at Columbia University</t>
  </si>
  <si>
    <t>Hearing Loss VCEP &amp; GCEP or Dosage Sensitivity WG or ID/Autism GCEP</t>
  </si>
  <si>
    <t>Get involved in improving gene/variant curation efforts; networking</t>
  </si>
  <si>
    <t>Currently 1st year LGG fellow</t>
  </si>
  <si>
    <t>Sara Fitzgerald-Butt</t>
  </si>
  <si>
    <t>Indiana University School of Medicine</t>
  </si>
  <si>
    <t>975 W. Walnut IB-130 Indianapolis IN 46202</t>
  </si>
  <si>
    <t>sfitzge@iu.edu</t>
  </si>
  <si>
    <t>I was part of a research team that reinterpreted the variants seen in our pediatric arrhythmia patients following the release of the 2015 ACMG/AMP guidelines.  Also, as a genetic counselor, I an evaluating the interpretation of the clinical laboratory.</t>
  </si>
  <si>
    <t>Cardiovascular, cardiomyopathy, Long QT syndrome, FBN1</t>
  </si>
  <si>
    <t>cardiomyopathy, congenital heart disease</t>
  </si>
  <si>
    <t>Emory University</t>
  </si>
  <si>
    <t>615 Michael Street NE
Whitehead Building Level 3, Suite 301</t>
  </si>
  <si>
    <t>ACMG Conference 2019, ClinGen conference advertisements (i.e. booth, workshop, presentation), Networking, Colleagues</t>
  </si>
  <si>
    <t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t>
  </si>
  <si>
    <t>Lysosomal Storage Disorders, Epilepsy</t>
  </si>
  <si>
    <t xml:space="preserve">Being working on clinical genetics in a research lab setting and reporting back research reports to patients/physicians, I want to use my knowledge and be part of the effort of the community for gene/variant curation with so much large scale sequencing efforts worldwide in both disease and health. This will make the diagnostic journey efficient for patients. Also, as everyday we keep learning new cases, some of which challenges the common paradigm, I want to learn and enhance my expertise in careful assessment of gene/variant annotation going forward which will help in my clinical research as well. </t>
  </si>
  <si>
    <t xml:space="preserve">I work on neuromuscular disease area broadly, focusing on limb girdle muscular dystrophy (including DMD/BMD, GNE myopathy), and Pompe disease mostly and also started collaborative project in epilepsy. I work regularly for molecular diagnostics (clinical part), and do clinical research (research part) on mapping pheno-genotype correlation using functional genomic tools related to genes associated with muscular dystrophy and epilepsy. </t>
  </si>
  <si>
    <t>Not yet, but my research is based on clinical genetics</t>
  </si>
  <si>
    <t>Fareed Al Qusous</t>
  </si>
  <si>
    <t>Mr</t>
  </si>
  <si>
    <t>2 Garstand road canterbury halls</t>
  </si>
  <si>
    <t>Fareedh.al.qusous@hotmail.com</t>
  </si>
  <si>
    <t>Undergraduate Student</t>
  </si>
  <si>
    <t>google</t>
  </si>
  <si>
    <t>I'd like to contribute to research by uploading my genome and hopefully be able to verify that I have made a contribution to genetic research</t>
  </si>
  <si>
    <t>Baldness, androgenic alopecia</t>
  </si>
  <si>
    <t xml:space="preserve">currently a 2nd year medical student </t>
  </si>
  <si>
    <t>Mi-Ae Jang</t>
  </si>
  <si>
    <t>Soonchunhyang University Hospital</t>
  </si>
  <si>
    <t>170 Jomaru-ro, Wonmi-gu, Bucheon, Gyenggido, South Korea</t>
  </si>
  <si>
    <t>miaeyaho@gmail.com</t>
  </si>
  <si>
    <t>Variant curation expert panel for myeloid malignancy and brain malformation</t>
  </si>
  <si>
    <t>I'd like to expand my experience for gene and/or variant curation of various genetic diseases.</t>
  </si>
  <si>
    <t>I'm particularly interested in genes associated with epilepsy and/or hematologic malignancy.</t>
  </si>
  <si>
    <t>Alison Bright</t>
  </si>
  <si>
    <t>200 Forest St, Marlborough, MA</t>
  </si>
  <si>
    <t>alison.r.bright@questdiagnostics.com</t>
  </si>
  <si>
    <t>Networking, Heard abt it from Marina DiStefano (Clinical Molecular Genetics Fellow)</t>
  </si>
  <si>
    <t>6 years as a variant scientist: past 2 years focused on CNVs identified by microarray. Prior to that was focused on SNVs identified by single gene and panel tests.</t>
  </si>
  <si>
    <t>My goals are 2-fold: increase the coverage of the ClinGen Dosage Sensitivity Map (a tool I am constantly using/benefiting from) and learn more abt the field.</t>
  </si>
  <si>
    <t>Dosage sensitivity of any gene covered by constitutional chromosomal microarray analysis</t>
  </si>
  <si>
    <t>Chloe Whitten</t>
  </si>
  <si>
    <t>cwhitten@ambrygen.com</t>
  </si>
  <si>
    <t>Recent graduate, can help with more admin tasks</t>
  </si>
  <si>
    <t>I don’t have experience with curation but I am eager to learn and have experience with more administrative/tedious tasks. I’d love to be involved but I understand that I do not have an clinical degrees</t>
  </si>
  <si>
    <t>FBN1, PKU or LSD</t>
  </si>
  <si>
    <t xml:space="preserve">I’d like to diversify my experience. As a current clinical assistant in the industry side, I’d love to get more involved in research efforts to progress the field. </t>
  </si>
  <si>
    <t>I’m interested in neurology as a field, but I’m open to any field</t>
  </si>
  <si>
    <t>Jaclyn Murry</t>
  </si>
  <si>
    <t>UCLA</t>
  </si>
  <si>
    <t>1400 Kelton ave, apt 111</t>
  </si>
  <si>
    <t>jmurry@mednet.ucla.edu</t>
  </si>
  <si>
    <t>Colleagues, ClinGen affiliated emails and/or newsletters</t>
  </si>
  <si>
    <t>Currently review CMA cases on service</t>
  </si>
  <si>
    <t>Interest in CNVs</t>
  </si>
  <si>
    <t xml:space="preserve">Be current with emerging CNV resources. </t>
  </si>
  <si>
    <t>Current LGG fellow</t>
  </si>
  <si>
    <t>Ying Zou</t>
  </si>
  <si>
    <t>University of Maryland</t>
  </si>
  <si>
    <t>655 W. Baltimore st., BRB-7-025, Baltimore, MD 21201</t>
  </si>
  <si>
    <t xml:space="preserve"> yzou19@jhmi.edu</t>
  </si>
  <si>
    <t>somatic cancer</t>
  </si>
  <si>
    <t>variant curation and help train others</t>
  </si>
  <si>
    <t>cancer mutations</t>
  </si>
  <si>
    <t>MD., PHD</t>
  </si>
  <si>
    <t>JIXIA LIU</t>
  </si>
  <si>
    <t>Sema4 Genomics</t>
  </si>
  <si>
    <t>72 E 97th st
Unit 13</t>
  </si>
  <si>
    <t>jixialiu@gmail.com</t>
  </si>
  <si>
    <t>Clinical Variant Curator</t>
  </si>
  <si>
    <t>I have had one year working experience with variant pathogenicity  in carrier testing. I have some knowledge about Gene-Disease Validity and Somatic Cancer curation by attending seminars and working on research project.</t>
  </si>
  <si>
    <t>I am in Variant Curation for Lysosomal Storage Disorders now, and would be interested in any gene curation group as well.</t>
  </si>
  <si>
    <t xml:space="preserve">Familiar myself with ACMG guideline and specific gene curation guideline for certain disease, gain experiences in gene curation and somatic cancer </t>
  </si>
  <si>
    <t>GAA, PAH ... metabolic diseases; somatic cancer</t>
  </si>
  <si>
    <t>Catherine Driscoll</t>
  </si>
  <si>
    <t>NHGRI, NIH</t>
  </si>
  <si>
    <t>50 South Dr., room 5142, Bethesda, MD 20814</t>
  </si>
  <si>
    <t>kate.driscoll@nih.gov</t>
  </si>
  <si>
    <t>Suggestion from mentor</t>
  </si>
  <si>
    <t>Yes, my main task at work is annotation of variants in Dr. Biesecker's lab</t>
  </si>
  <si>
    <t>Yes, RYR1 MHS</t>
  </si>
  <si>
    <t>Contribute to the RYR1 working group</t>
  </si>
  <si>
    <t>ABMGG Clinical Molecular Genetics Fellow</t>
  </si>
  <si>
    <t>Sara King</t>
  </si>
  <si>
    <t>UMUC</t>
  </si>
  <si>
    <t>sking127@student.umuc.edu</t>
  </si>
  <si>
    <t>Gifty Bhat</t>
  </si>
  <si>
    <t>Intellectual disability and autism</t>
  </si>
  <si>
    <t>Ashley Marsh</t>
  </si>
  <si>
    <t>9500 Gilman Dr, La Jolla, CA 92093</t>
  </si>
  <si>
    <t>amarsh@ucsd.edu</t>
  </si>
  <si>
    <t>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t>
  </si>
  <si>
    <t>•	Brain Malformations Variant Curation Expert Panel
•	Brain Malformations Gene Curation Expert Panel</t>
  </si>
  <si>
    <t xml:space="preserve">I would like to improve my ability to evaluate and assess the clinical validity of gene-disease associations as well as the pathogenicity of DNA sequence variants following ACMG/AMP and custom guidelines. In addition, I would like to participate in the development of classification guidelines, including specific guidelines for genes associated with neurodevelopmental disorders, as well as tools and databases for variant assessment. Overall, I want to improve my human genetics knowledge and skills as a clinical geneticist so I can make a greater impact towards improving patient health in my future career. </t>
  </si>
  <si>
    <t>•	Neurodevelopmental disorders
•	Disorders of axon guidance
•	Inherited cardiomyopathies</t>
  </si>
  <si>
    <t>Kevin Colclough</t>
  </si>
  <si>
    <t>Royal Devon &amp; Exeter NHS Trust</t>
  </si>
  <si>
    <t>Barrack Road, Exeter, Devon, UK EX2 5DW</t>
  </si>
  <si>
    <t>kevin.colclough@nhs.net</t>
  </si>
  <si>
    <t>I routinely perform variant pathogenicity classification and gene-disease validity as part of my routine diagnostic laboratory work.</t>
  </si>
  <si>
    <t>I am a member of the variant curation and gene curation expert panels for monogenic diabetes.</t>
  </si>
  <si>
    <t>Improve quality of genetic testing and reporting for monogenic diabetes</t>
  </si>
  <si>
    <t>All genes associated with monogenic diabetes</t>
  </si>
  <si>
    <t>I want to improve the quality of genetic testing and reporting for monogenic diabetes in laboratories across the world.</t>
  </si>
  <si>
    <t>Erin Sybouts</t>
  </si>
  <si>
    <t>UT Health San Antonio</t>
  </si>
  <si>
    <t>sybouts@livemail.uthscsa.edu</t>
  </si>
  <si>
    <t>ACMG Conference 2019, The clinicalgenome.org website</t>
  </si>
  <si>
    <t>Gain more experience with clinical variant curation and classification.</t>
  </si>
  <si>
    <t>I have experience analyzing variants related to DNA repair and replication in cancer, but I would be willing to participate in other areas too.</t>
  </si>
  <si>
    <t>Jimena Murguia</t>
  </si>
  <si>
    <t>Laboratoire National de Santé</t>
  </si>
  <si>
    <t>jimena887@yahoo.es</t>
  </si>
  <si>
    <t>Robert Lewis</t>
  </si>
  <si>
    <t>University of California, Irvine School of Medicine</t>
  </si>
  <si>
    <t>350 Sprague Hall Irvine CA 92617</t>
  </si>
  <si>
    <t>rglewis@uci.edu</t>
  </si>
  <si>
    <t>Networking, Suggestion from mentor</t>
  </si>
  <si>
    <t>Learn how it is determined that particular genes are associated with diseases</t>
  </si>
  <si>
    <t>Dopamine and acetylcholine receptors  / Neurological and Psychiatry Diseases</t>
  </si>
  <si>
    <t>FEN GUO</t>
  </si>
  <si>
    <t>Wisconsin State Laboratory of Hygiene</t>
  </si>
  <si>
    <t xml:space="preserve">	465 Henry Mall   Madison, WI 53706</t>
  </si>
  <si>
    <t>fguo34@wisc.edu</t>
  </si>
  <si>
    <t>ACMG Conference 2019, Networking, Colleagues</t>
  </si>
  <si>
    <t>Gene Curation Expert Panels-Hereditary Cancer</t>
  </si>
  <si>
    <t>help to contribute the curation of gene/variants</t>
  </si>
  <si>
    <t>Hereditary cancer, no matter which genes</t>
  </si>
  <si>
    <t>LGG fellow</t>
  </si>
  <si>
    <t>Elizabeth Palmer</t>
  </si>
  <si>
    <t>Genetics of Learning Disability</t>
  </si>
  <si>
    <t>Sydney, Australia</t>
  </si>
  <si>
    <t>elizabeth.palmer1@health.nsw.gov.au</t>
  </si>
  <si>
    <t xml:space="preserve">member of AUSTRALIAN FUNCTIONAL GENOMICS CLINICAL REVIEW PANEL. Variant curation as part of my PhD and clinical research practice. </t>
  </si>
  <si>
    <t>epilepsy / ID and autism</t>
  </si>
  <si>
    <t xml:space="preserve">participate in international effort to bring up standards of care for variant curation and thus improve patient care. </t>
  </si>
  <si>
    <t>epilepsy/ intellectual disability and autism</t>
  </si>
  <si>
    <t>FRACP (HGSA)</t>
  </si>
  <si>
    <t>Vira Lamtieva</t>
  </si>
  <si>
    <t>Clinic of Reproductive Medicine "Nadiya"</t>
  </si>
  <si>
    <t>Kyiv, Ukraine</t>
  </si>
  <si>
    <t>lamteva.vera@gmail.com</t>
  </si>
  <si>
    <t xml:space="preserve">I don't have curation experience but I have been learning variant analysis and interpretation since 2016. Our lab has been offering WES interpretation for some time, and it is currently my working responsibility. Yet I have analysed up to 10 cases so far. </t>
  </si>
  <si>
    <t>Brain malformations, Lysosomal storage diseases, Mitochondrial diseases, Intellectual Disability/Autism</t>
  </si>
  <si>
    <t>I'm willing to further expand my expertise in variant interpretation and, armed with genetic knowledge, make a contribution to genomic medicine</t>
  </si>
  <si>
    <t>Neurodevelopmental disorders</t>
  </si>
  <si>
    <t>Lisa Dyer</t>
  </si>
  <si>
    <t>Lisa.Dyer@cchmc.org</t>
  </si>
  <si>
    <t>Andrea Hallberg</t>
  </si>
  <si>
    <t>University of Iowa</t>
  </si>
  <si>
    <t>1422 Aber Ave, Iowa City, IA</t>
  </si>
  <si>
    <t>hallberg.andrea@gmail.com</t>
  </si>
  <si>
    <t xml:space="preserve">I would like to gain experience in variant curation to be able to pursue a career in variant curation. </t>
  </si>
  <si>
    <t>Bianca Tesi</t>
  </si>
  <si>
    <t>Karolinska University Hospital</t>
  </si>
  <si>
    <t>Department of Clinical Genetics L3:04 Karolinska University Hospital 17176 Stockholm</t>
  </si>
  <si>
    <t>bianca.tesi@sll.se</t>
  </si>
  <si>
    <t>ClinGen conference advertisements (i.e. booth, workshop, presentation), The clinicalgenome.org website</t>
  </si>
  <si>
    <t>Experienced with reading literature, evaluating results in the clinical setting.</t>
  </si>
  <si>
    <t>myeloid neoplasm, hereditary cancer</t>
  </si>
  <si>
    <t>I would like to learn more about ClinGen policies for curation of gene/variants for clinical use</t>
  </si>
  <si>
    <t>hereditary cancer, myeloid neoplasm</t>
  </si>
  <si>
    <t>Lisa Chen</t>
  </si>
  <si>
    <t>BGI</t>
  </si>
  <si>
    <t>lisa498484901@gmail.com</t>
  </si>
  <si>
    <t>I have been doing variant classification for 4 years.</t>
  </si>
  <si>
    <t>Congenital Myopathies</t>
  </si>
  <si>
    <t>I want to gain curation experience.</t>
  </si>
  <si>
    <t>Ingrid Paine</t>
  </si>
  <si>
    <t>1 Baylor plaza, Houston, Tx 77030 USA</t>
  </si>
  <si>
    <t>runquist@alumni.bcm.edu</t>
  </si>
  <si>
    <t>I heard about the working groups at a lecture by Heidi Rehm at the Jackson Lab Short Course</t>
  </si>
  <si>
    <t>Epilepsy genes and neurodevelopmental</t>
  </si>
  <si>
    <t>I’d like to contribute and learn from my colleagues in the field to variant curation</t>
  </si>
  <si>
    <t>MD or PhD (Not sure - Liz)</t>
  </si>
  <si>
    <t>Note: updated email address due to return of email 7-9-19 CLT</t>
  </si>
  <si>
    <t>Michelle Paczosa</t>
  </si>
  <si>
    <t>Michelle.K.Paczosa@questdiagnostics.com</t>
  </si>
  <si>
    <t>1. Recurrent 2. Neurodevelopmental 3. Cancer 4. Mitochondrial 5.Hereditary Cancer 6. Monogenic Diabetes</t>
  </si>
  <si>
    <t>555 University Ave., Toronto, Ontario, M5G 1X8</t>
  </si>
  <si>
    <t>Networking, Colleagues, Suggestion from mentor, Educational coursework, ClinGen affiliated emails and/or newsletters, The clinicalgenome.org website</t>
  </si>
  <si>
    <t>As noted above, I am currently a gene-disease curator with the ID &amp; ASD EP.</t>
  </si>
  <si>
    <t xml:space="preserve">I am open to any variant curation EPs that are currently looking for volunteers. </t>
  </si>
  <si>
    <t>I am currently a gene curator with the ID &amp; ASD EP, and am interested in becoming involved with variant curation, as well as explore another disease area (in addition to continue volunteering as a gene curator with the ID &amp; ASD EP). It has been a fantastic experience to see how ClinGen's work is building a more solid understanding of genetics for various disease entities, and I would love to contribute in a greater capacity to its curation efforts.</t>
  </si>
  <si>
    <t>I am quite open and interested in exploring any of the disease areas ClinGen is currently investigating.</t>
  </si>
  <si>
    <t>Aleš Maver</t>
  </si>
  <si>
    <t>Clinical institute od Medical Genetics, Ljubljana, Slovenia</t>
  </si>
  <si>
    <t>Slajmerjeva 3</t>
  </si>
  <si>
    <t>ales.maver@kclj.si</t>
  </si>
  <si>
    <t>ClinGen conference advertisements (i.e. booth, workshop, presentation), Networking, Colleagues, ClinGen affiliated emails and/or newsletters, The clinicalgenome.org website, Collaborating in the variant discrepancy resolution project</t>
  </si>
  <si>
    <t xml:space="preserve">Not extensive, but I am the responsible person for ClinVar deposits and data sharing at our institution. I also participate in the Variant discrepancy resolution project led by Steven Harrison. </t>
  </si>
  <si>
    <t>Variant Curation Expert Panels and Gene Curation Expert Panels</t>
  </si>
  <si>
    <t xml:space="preserve">Annually, I participate in interpretation of exome/genome sequencing in about 1000 patients. In the process, I commonly perform extensive research on a variety of variant-gene-phenotype associations and would like to contribute and share some of this effort to improve genome data interpretation for others. </t>
  </si>
  <si>
    <t xml:space="preserve">Rare genetic syndromes, intellectual disability, neuromuscular disorders (paticularly myopathies), cardiomyopathy, hearing loss and eye disorders. </t>
  </si>
  <si>
    <t>Léon Tshilolo</t>
  </si>
  <si>
    <t>Centre Hospitalier Monkole/CEFA  (Centre de Formation et d'Appui Sanitaire</t>
  </si>
  <si>
    <t>Avenue Ngafani; 4804, Mont Ngafula. Kinshasa</t>
  </si>
  <si>
    <t>leon.tshilolo2012@gmail.com</t>
  </si>
  <si>
    <t>hematologist, expert of SCD</t>
  </si>
  <si>
    <t>hemoglobinopathies</t>
  </si>
  <si>
    <t>To know more on the hemoglobinopathies and to share our experience</t>
  </si>
  <si>
    <t>Sickle cell disease</t>
  </si>
  <si>
    <t>Non</t>
  </si>
  <si>
    <t>Danielle Mouhlas</t>
  </si>
  <si>
    <t xml:space="preserve">Nationwide Children's Hospital </t>
  </si>
  <si>
    <t>700 Children's Dr. Columbus Ohio 43205</t>
  </si>
  <si>
    <t>danielle.mouhlas@nationwidechildrens.org</t>
  </si>
  <si>
    <t xml:space="preserve">I have performed some variant interpretation for clinical report writing. </t>
  </si>
  <si>
    <t xml:space="preserve">I would like become more proficient in variant interpretation, broaden my skills, and help contribute to the curation database to contribute to patient case. </t>
  </si>
  <si>
    <t xml:space="preserve">Most of my experience has been with RASopathies but I am open to any area. </t>
  </si>
  <si>
    <t>Emma Reble</t>
  </si>
  <si>
    <t xml:space="preserve">This is my second time filing out this survey. I am doing the variant curation training and have re-filled out this survey to participate in the gene curation training in the future. </t>
  </si>
  <si>
    <t xml:space="preserve">I would like to contribute to the genetics/research community and gain more knowledge from genetics experts. </t>
  </si>
  <si>
    <t>Robert Butler</t>
  </si>
  <si>
    <t>NorthShore University HealthSystem</t>
  </si>
  <si>
    <t>1001 University Place, Evanston, IL, 60201</t>
  </si>
  <si>
    <t>rbutler@northshore.org</t>
  </si>
  <si>
    <t>ClinVar Website</t>
  </si>
  <si>
    <t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t>
  </si>
  <si>
    <t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t>
  </si>
  <si>
    <t>I would like to participate in interesting research and gain expertise in clinical variant interpretation.</t>
  </si>
  <si>
    <t>I am primarily interested in computational challenges surrounding variant interpretation.</t>
  </si>
  <si>
    <t>111 Michigan AVe NW; Washington DC 20010</t>
  </si>
  <si>
    <t>Networking, Colleagues</t>
  </si>
  <si>
    <t>I am currently a member of the aminoacidopathy expert panel and curator for the NAGS gene. Because of my expertise in molecular biology, biochemistry, genetics and genomics I am really interested in variant curation</t>
  </si>
  <si>
    <t>I am a member of the aminoacidopathy expert panel</t>
  </si>
  <si>
    <t>Become familiar with criteria for evaluating gene-disease associations and variant pathogenicity</t>
  </si>
  <si>
    <t>All urea cycle disorders</t>
  </si>
  <si>
    <t>Joy Goffena</t>
  </si>
  <si>
    <t>Roundup Memorial Healthcare</t>
  </si>
  <si>
    <t>324 3rd St W Roundup, MT 59072</t>
  </si>
  <si>
    <t>joy.goffena@gmail.com</t>
  </si>
  <si>
    <t xml:space="preserve">I would like gain genetic curation experience while contributing to the goals of ClinGen. </t>
  </si>
  <si>
    <t>Hereditary cancer, hearing loss, dementia, autism</t>
  </si>
  <si>
    <t>Amruta Phatak</t>
  </si>
  <si>
    <t>Indiana University</t>
  </si>
  <si>
    <t>arphatak@iu.edu</t>
  </si>
  <si>
    <t>This is an excellent way to support an important cause and also an invaluable learning opportunity.</t>
  </si>
  <si>
    <t>Cardiomyopathies</t>
  </si>
  <si>
    <t>Marcela Dias Hanna</t>
  </si>
  <si>
    <t>SQNW 107 Bloco D apt 407</t>
  </si>
  <si>
    <t>marcelahanna8@gmail.com</t>
  </si>
  <si>
    <t>2018 NSGC</t>
  </si>
  <si>
    <t>No.</t>
  </si>
  <si>
    <t>In order of preference: Gene curations: brain malformations; Variant: platelet disorder, TP53, VHL, brain malformations; Somatic: prediatric</t>
  </si>
  <si>
    <t>Gain experience with curation and improve my resume for my applications to the genetic counseling programs.</t>
  </si>
  <si>
    <t>Cath Tyner</t>
  </si>
  <si>
    <t>1127 N BRANCIFORTE AVE, SANTA CRUZ CA 95062</t>
  </si>
  <si>
    <t>cathtyner@gmail.com</t>
  </si>
  <si>
    <t>Software QA Engineer at Invitae</t>
  </si>
  <si>
    <t>Youtube</t>
  </si>
  <si>
    <t>QA software which is used in gene curation for Invitae</t>
  </si>
  <si>
    <t>Community contribution and professional experience</t>
  </si>
  <si>
    <t>Myalgic encephalomyelitis/chronic fatigue syndrome (ME/CFS)</t>
  </si>
  <si>
    <t xml:space="preserve">Abdelazeem Elhabyan </t>
  </si>
  <si>
    <t>Tanta university Faculty of Medicine</t>
  </si>
  <si>
    <t>Tanta , Ali Dawood street from Kafr Essam street Dr.Abdelhameed Elhabyan house</t>
  </si>
  <si>
    <t>Abdelazeem_abdelhameed2015505@yahoo.com</t>
  </si>
  <si>
    <t>Twitter</t>
  </si>
  <si>
    <t xml:space="preserve">I have received training In mapping,  variant calling using galaxy project and received many online courses in genomics </t>
  </si>
  <si>
    <t xml:space="preserve">Hereditary cancer </t>
  </si>
  <si>
    <t xml:space="preserve">Gian more insights into clinical genomics ,networking with other specialists, join research groups </t>
  </si>
  <si>
    <t xml:space="preserve">Cancer Genomics and hereditary disorders </t>
  </si>
  <si>
    <t xml:space="preserve">International leaders in Genomic medicine program by NHS England /Trainer @galaxyproject.org for middle east / more than 30 online courses </t>
  </si>
  <si>
    <t>Claudia Gonzaga-Jauregui</t>
  </si>
  <si>
    <t>Regeneron Genetics Center</t>
  </si>
  <si>
    <t>777 Old Saw Mill River Road</t>
  </si>
  <si>
    <t>cgonzagaj@gmail.com</t>
  </si>
  <si>
    <t>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t>
  </si>
  <si>
    <t>Intellectual Disability and Autism, Brain Malformations, Charcot-Marie-Tooth Disease</t>
  </si>
  <si>
    <t>Contribute to the curation of genomic variants of clinical significance that can aid in accurate patient diagnosis.</t>
  </si>
  <si>
    <t>Neurodevelopmental disorders are of great interest but have worked in a variaty of rare and Mendelian genetic disorders</t>
  </si>
  <si>
    <t>Altovise Ewing</t>
  </si>
  <si>
    <t>23andMe</t>
  </si>
  <si>
    <t>1520 Southwest Expressway</t>
  </si>
  <si>
    <t>altovisee@gmail.com</t>
  </si>
  <si>
    <t>Genetic counselor and health equity scientist</t>
  </si>
  <si>
    <t>CCG 2019</t>
  </si>
  <si>
    <t>Hereditary cancer</t>
  </si>
  <si>
    <t>Ensure that the topics of health equity and representation of underserved populations are seriously considered in the variant interpretation process.</t>
  </si>
  <si>
    <t>I want to ensure to genomic health equity.</t>
  </si>
  <si>
    <t xml:space="preserve">Postdoctoral fellowship </t>
  </si>
  <si>
    <t>CGC/ LCGC</t>
  </si>
  <si>
    <t>Laura Sack</t>
  </si>
  <si>
    <t>GeneDx</t>
  </si>
  <si>
    <t>laura@sack.io</t>
  </si>
  <si>
    <t>Yes, in interpreting CNVs in clinical cases, I assess dosage sensitivity and gene-disease associations in order to determine variant pathogenicity</t>
  </si>
  <si>
    <t>Dosage-Recurrent Regions, Dosage- Neurodevelopemental, Hereditary Cancer, Intellectual Disability and Autism, Epilepsy</t>
  </si>
  <si>
    <t>Enhance our collective understanding of the clinical genome to provide better information to patients, and gain further experience working on gene/disease curation</t>
  </si>
  <si>
    <t>CNVs, cancer, neurodevelopmental</t>
  </si>
  <si>
    <t>EST</t>
  </si>
  <si>
    <t>Janel Case</t>
  </si>
  <si>
    <t>Scripps Health</t>
  </si>
  <si>
    <t>janelcase@live.com</t>
  </si>
  <si>
    <t>NSGC</t>
  </si>
  <si>
    <t xml:space="preserve">Variant curation internship at Illumina </t>
  </si>
  <si>
    <t xml:space="preserve">Any hereditary cancer related groups </t>
  </si>
  <si>
    <t xml:space="preserve">Build skills, networking </t>
  </si>
  <si>
    <t>Cancer related genes</t>
  </si>
  <si>
    <t>LCGC</t>
  </si>
  <si>
    <t>PST</t>
  </si>
  <si>
    <t>Carolina Bustamante</t>
  </si>
  <si>
    <t>Richet</t>
  </si>
  <si>
    <t>Av. das Américas, 13331. Recreio, Rio de Janeiro, Brazil</t>
  </si>
  <si>
    <t>carolina.bustamante@gmail.com</t>
  </si>
  <si>
    <t>Yes, I worked as bioinformatician performing NGS analyses and variant interpretation in a genetic diagnostic lab that sequenced cerca 600 samples a month.</t>
  </si>
  <si>
    <t xml:space="preserve">Cancer, Hereditary Cancer, Colorectal Cancer, Genitourinary Tract Cancers, TP53, PTEN, CDH1, FBN1. </t>
  </si>
  <si>
    <t>More expertise</t>
  </si>
  <si>
    <t>Hereditary Breast and Ovarian Cancer, Lung Cancer, Colorectal Cancer</t>
  </si>
  <si>
    <t xml:space="preserve">BRT (UTC -3) </t>
  </si>
  <si>
    <t>Natalie Hollister</t>
  </si>
  <si>
    <t>UNC Chapel Hill</t>
  </si>
  <si>
    <t>nsh10@alumni.duke.edu</t>
  </si>
  <si>
    <t>I want to further my own scientific knowledge to enhance my career in research</t>
  </si>
  <si>
    <t>Autism/ASD</t>
  </si>
  <si>
    <t>Jean Davidson</t>
  </si>
  <si>
    <t>Cal Poly, San Luis Obispo</t>
  </si>
  <si>
    <t>1180 Vista del Lago</t>
  </si>
  <si>
    <t>jdavid06@calpoly.edu</t>
  </si>
  <si>
    <t xml:space="preserve">I was a member of the Undiagnosed Disease Network at Stanford University as a genomics coordinator, as well as a member of the ENCODE coordination center at Stanford.  </t>
  </si>
  <si>
    <t xml:space="preserve">mitochondrial diseases, dilated cardiomyopathy, </t>
  </si>
  <si>
    <t xml:space="preserve">Improving outreach, community engagement, incorporating variant curation into my genetics/bioinformatics college courses. </t>
  </si>
  <si>
    <t>mutations in regulatory regions, non-coding variants</t>
  </si>
  <si>
    <t>PDT</t>
  </si>
  <si>
    <t>Timo Dereani</t>
  </si>
  <si>
    <t>bio.logis Center for Human Genetics</t>
  </si>
  <si>
    <t>Altenhöferallee 3, 60438 Frankfurt am Main</t>
  </si>
  <si>
    <t>dereani@biologis.diagnosticum.eu</t>
  </si>
  <si>
    <t>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t>
  </si>
  <si>
    <t>Monogenic Diabetes, Hereditary Cancer</t>
  </si>
  <si>
    <t>enhance genetic diagnostics</t>
  </si>
  <si>
    <t>MODY, CFTR, Hereditary Cancer Syndromes in general</t>
  </si>
  <si>
    <t>CET</t>
  </si>
  <si>
    <t>Konstantinos Varvagiannis</t>
  </si>
  <si>
    <t>Currently working in private practice (will possibly move to academic hospital again)</t>
  </si>
  <si>
    <t>Athens - Greece</t>
  </si>
  <si>
    <t>knsvarv@ath.forthnet.gr</t>
  </si>
  <si>
    <t>ClinGen conference advertisements (i.e. booth, workshop, presentation), The clinicalgenome.org website, Twitter</t>
  </si>
  <si>
    <t>Genomics England PanelApp - ID/epilepsy panels - (reviews available after filtering the respective panels' activity / : https://panelapp.genomicsengland.co.uk/panels/activity/?panel=285  -  https://panelapp.genomicsengland.co.uk/panels/activity/?panel=402 )</t>
  </si>
  <si>
    <t>Intellectual Disability and Autism / Epilepsy</t>
  </si>
  <si>
    <t>Contribute to the development of evidence-based reference panels</t>
  </si>
  <si>
    <t>Intellectual disability and autism / epilepsy</t>
  </si>
  <si>
    <t>Most of the above (get involved, network, help the community, improve my resume). Arbitrary selection of genes in current gene panels (usually 1000 up to 2500 genes tested for ID).</t>
  </si>
  <si>
    <t>FMH - Swiss Board Certification in Clinical Genetics</t>
  </si>
  <si>
    <t>GMT+3</t>
  </si>
  <si>
    <t>Jennifer Bullard</t>
  </si>
  <si>
    <t>University of South Alabama</t>
  </si>
  <si>
    <t>jenniferluja@gmail.com</t>
  </si>
  <si>
    <t>Contribute to the molecular genetic community and gain more knowledge in the process.</t>
  </si>
  <si>
    <t>I am interested in mitochrondrial diseases</t>
  </si>
  <si>
    <t>Currently working on DrPH</t>
  </si>
  <si>
    <t>CDT CENTRAL TIME ZONE</t>
  </si>
  <si>
    <t>Greg Lennon</t>
  </si>
  <si>
    <t>SNPedia</t>
  </si>
  <si>
    <t>9812 Falls Rd #114-237, Potomac MD 20854</t>
  </si>
  <si>
    <t>greg.lennon@gmail.com</t>
  </si>
  <si>
    <t>Curation of SNPedia (since 2006)</t>
  </si>
  <si>
    <t>Actionability Working Group</t>
  </si>
  <si>
    <t>Increase amount of publicly accessible curated information</t>
  </si>
  <si>
    <t>Actionable genes/disease areas</t>
  </si>
  <si>
    <t>11/19/2019: Prefers gene or variant curation instead of actionability. AWG coordinator forwarded email to Courtney for follow up</t>
  </si>
  <si>
    <t>EDT (UTC/GMT -4 hours)</t>
  </si>
  <si>
    <t>Pamela</t>
  </si>
  <si>
    <t>Versiti Blood Research Institute</t>
  </si>
  <si>
    <t>8727 Watertown Plank Rd.</t>
  </si>
  <si>
    <t>pchristopherson@versiti.org</t>
  </si>
  <si>
    <t>Submission of variants to LOVD</t>
  </si>
  <si>
    <t>Already on VWD working group</t>
  </si>
  <si>
    <t>Curate variants</t>
  </si>
  <si>
    <t>VWD</t>
  </si>
  <si>
    <t>CDT</t>
  </si>
  <si>
    <t>Ernie Hobbs</t>
  </si>
  <si>
    <t>Congenica</t>
  </si>
  <si>
    <t>4452 Lochurst Drive, Pfafftown, NC 27040</t>
  </si>
  <si>
    <t>ernie.hobbs@congenica.com</t>
  </si>
  <si>
    <t>Citizen Scientist/Patient Advocate</t>
  </si>
  <si>
    <t>No (but have worked for several companies that offered genomic analysis software)</t>
  </si>
  <si>
    <t>to learn more about variant curation, and to eventually be proficient in interpreting results</t>
  </si>
  <si>
    <t>whole genome or exome. No particular region, but focus on rare disease</t>
  </si>
  <si>
    <t>I was encouraged by someone affiliated with ClinGen.</t>
  </si>
  <si>
    <t>Sandy Au</t>
  </si>
  <si>
    <t>The University of Hong Kong</t>
  </si>
  <si>
    <t>30 Hospital Road, Sai Ying Pun</t>
  </si>
  <si>
    <t>alkuen@hku.hk</t>
  </si>
  <si>
    <t xml:space="preserve">I am working in a prenatal diagnostic laboratory and perform WES for prenatal cases. We have experience in variant classification and clinical reporting. </t>
  </si>
  <si>
    <t>Variant Curation Expert Panels</t>
  </si>
  <si>
    <t xml:space="preserve">Broaden my knowledge in variant classification, explore my career interest in clinical genetics, able to interact with diversify group of medical and scientific experts who contribute to better patient care through precision medicine </t>
  </si>
  <si>
    <t>Prenatal diagnostics</t>
  </si>
  <si>
    <t>nil</t>
  </si>
  <si>
    <t>HKT</t>
  </si>
  <si>
    <t>Generoso</t>
  </si>
  <si>
    <t>Dante Labs</t>
  </si>
  <si>
    <t xml:space="preserve">Corso Federico II 72 B </t>
  </si>
  <si>
    <t>generoso@dantelabs.com</t>
  </si>
  <si>
    <t>Yes, I have curated few variants for people who receive WES data.</t>
  </si>
  <si>
    <t>I would like to partecipate in the standardization efforts to validate clinical variants</t>
  </si>
  <si>
    <t>Not a gene in particular. Mostly interested in drug effect genes</t>
  </si>
  <si>
    <t>I do not have a certification but I am going to get the italian license to provide counseling</t>
  </si>
  <si>
    <t xml:space="preserve">Hemantkumar Nemade </t>
  </si>
  <si>
    <t>Basavatarakam Indo American Cancer Hospital and Research Institute Hyderabad India</t>
  </si>
  <si>
    <t>Department of Surgical Oncology, Basavatarakam Indo American Cancer Hospital and Research Institute, Road number 10, Banjara Hills Hyderabad India 500034</t>
  </si>
  <si>
    <t>drhemantnemade@gmail.com</t>
  </si>
  <si>
    <t>Educational coursework, Youtube</t>
  </si>
  <si>
    <t xml:space="preserve">Not genetic but I have collected and analyzed cancer database. Trained in statistics </t>
  </si>
  <si>
    <t>To further my knowledge, hone statistical skills,  learn analysis of genomic data</t>
  </si>
  <si>
    <t>Head neck cancer, p53 NOTCH, RET and RAS, Rb</t>
  </si>
  <si>
    <t>IST UTC/ GMT +5.30</t>
  </si>
  <si>
    <t>Christina Bridges</t>
  </si>
  <si>
    <t>Fullerton Genetics &amp; UNC</t>
  </si>
  <si>
    <t>9 Vanderbilt Park Dr, Asheville NC 28801</t>
  </si>
  <si>
    <t>c.bridges@med.unc.edu</t>
  </si>
  <si>
    <t>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t>
  </si>
  <si>
    <t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t>
  </si>
  <si>
    <t xml:space="preserve">Contribution toward knowledgebase that empowers better patient diagnoses and care, plus fuels medical research and therapeutic advances--while also learning from leading experts in the field and improving my own skills.  </t>
  </si>
  <si>
    <t>Interest in all areas but most particularly cancers.</t>
  </si>
  <si>
    <t>All of the above except having been encouraged by a mentor or someone affiliated with ClinGen!</t>
  </si>
  <si>
    <t>EDT (UTC-5)</t>
  </si>
  <si>
    <t>Laetitia Meyrueix</t>
  </si>
  <si>
    <t>University of North Carolina at Chapel Hill</t>
  </si>
  <si>
    <t>509 Stonehill Road Chapel Hill NC 27516</t>
  </si>
  <si>
    <t>lmeyruei@email.unc.edu</t>
  </si>
  <si>
    <t>Networking, Co-director of UNC Clinical Fellowship</t>
  </si>
  <si>
    <t>I do not per se have experience. I am familiar with the topics.</t>
  </si>
  <si>
    <t xml:space="preserve">Learn more about the clinical implications of genetic research and promote precision medicine. </t>
  </si>
  <si>
    <t>Previous work with NPC1 and Cav1. Particularly interested in epigenetics and diseases relating to inborn errors in metabolism -- I am a Nutrition PhD student.</t>
  </si>
  <si>
    <t>Eastern Standard Time</t>
  </si>
  <si>
    <t>Malak Ashraf</t>
  </si>
  <si>
    <t>El Qalyubia STEM School.</t>
  </si>
  <si>
    <t xml:space="preserve">10 Ali el shazly st. Dar el salaam, Cairo, Egypt. </t>
  </si>
  <si>
    <t>malak.2118144@stemkalubya.moe.edu.eg</t>
  </si>
  <si>
    <t>I did not have the opportunity to have a sufficient experiences, but i think passion will make me do it. i am a reader in pathology and virology, so, i think am a good candidate to be a member in one of these great working groups.</t>
  </si>
  <si>
    <t>yes, i am interested in joining Somatic Cancer working group!</t>
  </si>
  <si>
    <t xml:space="preserve">By being a volunteer in such a great community of biologists, curators, and experts like ClinGen definitely is a great opportunity for any person. But for me, it will not be just a volunteering work experience. i am willing with all passion and pleasure for being a curator, find solutions for those great challenges named with "Diseases", and discover cures for them. 
And for being an inspired person, who is only inspires by her passion, i will accomplish what i have always needed to accomplish by being a volunteer in ClinGen's curation groups.  </t>
  </si>
  <si>
    <t>I am interested in Cancer diseases and Virologist infections.</t>
  </si>
  <si>
    <t>Some high school education</t>
  </si>
  <si>
    <t>No, I do not have.</t>
  </si>
  <si>
    <t>GMT+2</t>
  </si>
  <si>
    <r>
      <t xml:space="preserve">originally choose Comprehensive, howeve rchanged to Baseline based on skill level. </t>
    </r>
    <r>
      <rPr>
        <b/>
        <sz val="10"/>
        <rFont val="Arial"/>
      </rPr>
      <t>CLT 6-17-19</t>
    </r>
  </si>
  <si>
    <t>Abul Kalam Azad</t>
  </si>
  <si>
    <t>Montefiore Medical Center</t>
  </si>
  <si>
    <t>1641 Metropolitan Ave
Apt 3A</t>
  </si>
  <si>
    <t>azadak@gmail.com</t>
  </si>
  <si>
    <t>Gaining in-depth knowledge of variant curation and disease phenotype</t>
  </si>
  <si>
    <t>1044 West Walnut Street
R4-W204
IUPUI, Indianapolis</t>
  </si>
  <si>
    <t>Learning opportunities</t>
  </si>
  <si>
    <t>Cardiovascular/Cardiomyopathy</t>
  </si>
  <si>
    <t>EDT</t>
  </si>
  <si>
    <t>Priyabrata Panigrahi</t>
  </si>
  <si>
    <t>Innoplexus Pvt Ltd</t>
  </si>
  <si>
    <t>Midas Tower, Phase1, Hinjawadi</t>
  </si>
  <si>
    <t>pb.panigrahi86@gmail.com</t>
  </si>
  <si>
    <t>I have experience of performing somatic cancer variant detection NGS based pipelines, downstream variant annotation methods and have good exposure to databases like dbsnp etc.</t>
  </si>
  <si>
    <t>Dont know</t>
  </si>
  <si>
    <t>It is a good platform for me to learn how "how quality clingen data is curated" and also through this volunteer activity, I may get chance to interact with many other volunteers, peers, PIs. Overall a fruitful experience.</t>
  </si>
  <si>
    <t>IST</t>
  </si>
  <si>
    <t>José Patricio Miranda Marín</t>
  </si>
  <si>
    <t>Pontificia Universidad Católica de Chile</t>
  </si>
  <si>
    <t>Avda. Libertador Bernardo O'Higgins 340</t>
  </si>
  <si>
    <t>jose.miranda@uc.cl</t>
  </si>
  <si>
    <t>yes, I am the Lab Director of the Medical Genomic Unit at the Pontificia Universidad Católica de Chile, and we regularly send submissions to ClinVar (https://www.ncbi.nlm.nih.gov/clinvar/submitters/506969/)</t>
  </si>
  <si>
    <t>Monogenic Diabetes Variant Curation Expert Panel or Mitochondrial Disease Variant Curation Expert Panel</t>
  </si>
  <si>
    <t>As a ClinGen volunteer, I would like to collaborate in strengthening this database for clinical use, thus collaborating in an advance in the implementation of genomic medicine.</t>
  </si>
  <si>
    <t>Genes related to monogenic diabetes and those related to mitochondrial diabetes/diseases</t>
  </si>
  <si>
    <t>Chile Standard Time UTC-4</t>
  </si>
  <si>
    <t>Helen O'Shea</t>
  </si>
  <si>
    <t>Department of Clinical Genetics, Children's Health Ireland</t>
  </si>
  <si>
    <t>Children's Health Ireland at Crumlin D12 N512</t>
  </si>
  <si>
    <t>helen.oshea@olchc.ie</t>
  </si>
  <si>
    <t>I am involved in neurodevelopmental disorders research using exome sequencing and variant assessment.</t>
  </si>
  <si>
    <t>Neurodevelopmental disorders, cardiovascular diseases and cancer</t>
  </si>
  <si>
    <t>To further expand my variant assessment skills and contribute to curated data</t>
  </si>
  <si>
    <t>I am involved in variant assessment and wish to expand this skill</t>
  </si>
  <si>
    <t>IST (Irish Standard Time)</t>
  </si>
  <si>
    <t>Panos Sergouniotis</t>
  </si>
  <si>
    <t>University of Manchester, UK</t>
  </si>
  <si>
    <t>Manchester Centre for Genomic Medicine, St Mary's Hospital, Oxford Road, Manchester M13 9WL, UK</t>
  </si>
  <si>
    <t>panagiotis.sergouniotis@manchester.ac.uk</t>
  </si>
  <si>
    <t>I am a qualified Ophthalmologist (FEBO, FRCOphth) with an interest in Ophtalmic Genetics</t>
  </si>
  <si>
    <t>Yes. I have worked as a curator for PanelApp (https://panelapp.genomicsengland.co.uk/) and I have significantly contributed to HPO and Orphanet (e.g. https://www.ncbi.nlm.nih.gov/pubmed/30626441)</t>
  </si>
  <si>
    <t>Dosage Sensitivity Curation</t>
  </si>
  <si>
    <t>To improve the quality of curation of the genes realted to inherited ophthalmic disorders</t>
  </si>
  <si>
    <t>Monogenic ophthalmic disorders, both syndromic and nonsyndromic (e.g. retinitis pigmentosa)</t>
  </si>
  <si>
    <t>(M.D., Ph.D.)</t>
  </si>
  <si>
    <t>My PhD was on Ophthalmic Genetics</t>
  </si>
  <si>
    <t>BST (London)</t>
  </si>
  <si>
    <t>Marc Lataillade</t>
  </si>
  <si>
    <t>Rutgers University</t>
  </si>
  <si>
    <t>23 William Street</t>
  </si>
  <si>
    <t>marclataillade258@gmail.com</t>
  </si>
  <si>
    <t>I isolated genes with PCR and screened exons for a local variant of ebidermolysis bullosa.</t>
  </si>
  <si>
    <t>Of the panels listed I am interested in the aminoacidopathy and VHL group.</t>
  </si>
  <si>
    <t>Gain experience analyzing genetic variants</t>
  </si>
  <si>
    <t>Skin or hair diseases, hypertrichosis</t>
  </si>
  <si>
    <t xml:space="preserve">Sarah Payne </t>
  </si>
  <si>
    <t xml:space="preserve">12228 SW 7th Circle </t>
  </si>
  <si>
    <t>sarahhale79@gmail.com</t>
  </si>
  <si>
    <t xml:space="preserve">Female family with unknown genetic disorder </t>
  </si>
  <si>
    <t>Facebook</t>
  </si>
  <si>
    <t xml:space="preserve">I've been in medical trials </t>
  </si>
  <si>
    <t xml:space="preserve">Myself &amp; two daughters have an unknown genetic disorder it's affecting our daily lives. No one in our state does genetic testing </t>
  </si>
  <si>
    <t xml:space="preserve">We've been told we may have ehlers danlos, marfans, or loeys Dietz </t>
  </si>
  <si>
    <t>Central</t>
  </si>
  <si>
    <r>
      <t xml:space="preserve">Originally choose Comprehensive, however Baseline may best suit them, and we can direct it towards Loeys-Dietz, marfan, of EDS genes/variants. </t>
    </r>
    <r>
      <rPr>
        <b/>
        <sz val="10"/>
        <rFont val="Arial"/>
      </rPr>
      <t>CLT 7-2-19</t>
    </r>
  </si>
  <si>
    <t>Lori Millner</t>
  </si>
  <si>
    <t>Bluewater Diagnostic Lab</t>
  </si>
  <si>
    <t>3410 Hardwood Forest Dr.</t>
  </si>
  <si>
    <t>lorimillner77@gmail.com</t>
  </si>
  <si>
    <t>Clinical Lab Director</t>
  </si>
  <si>
    <t>Yes, I performed NGS somatic mutation panels on single cells.</t>
  </si>
  <si>
    <t xml:space="preserve">Experience and to help the field of precision medicine. </t>
  </si>
  <si>
    <t>Oncology</t>
  </si>
  <si>
    <t>Agnes Sebastian</t>
  </si>
  <si>
    <t>agnes.sebastian@mail.utoronto.ca</t>
  </si>
  <si>
    <t>Someone's profile on LinkedIn</t>
  </si>
  <si>
    <t>No - any group related to cancer or hearing loss is preferable</t>
  </si>
  <si>
    <t>Contribute to a world-renowned resource for genotype-phenotype associations, and learn about the process for curating genes</t>
  </si>
  <si>
    <t>Cancer including hereditary cancer, hearing loss, TP53</t>
  </si>
  <si>
    <t>I do variant analysis adjacent to my laboratory work and would like to contribute to enhancing the databases used for variant analysis, which will ultimately improve precision medicine and enhance patient care</t>
  </si>
  <si>
    <t>Eastern Standard Time (EST)</t>
  </si>
  <si>
    <t>Xiangqiang Shao</t>
  </si>
  <si>
    <t>University of Wisconsin-Madison</t>
  </si>
  <si>
    <t>465 Henry Mall, Room 345, Madison, WI, 53706</t>
  </si>
  <si>
    <t>xshao5@wisc.edu</t>
  </si>
  <si>
    <t>Switched from Baseline to Comprehensive on 10/8/19</t>
  </si>
  <si>
    <t>I currently do microarray analysis for clinical samples at Wisconsin State Lab of Hygiene to determine the pathogenicity of the CNVs we detected, and I am working on a project to develop a NGS panel for Familial Hypercholesterolemia.</t>
  </si>
  <si>
    <t>Epilepsy, and Intellectual Disability and Autism</t>
  </si>
  <si>
    <t xml:space="preserve">I would love to get more training on dosage and variant curation, and I would also like to contribute more to clinical genetics field by joining a curation group. </t>
  </si>
  <si>
    <t xml:space="preserve">Familial Hypercholesterolemia, but I am happy to be matched to any group that need help. </t>
  </si>
  <si>
    <t>Central Time Zone.</t>
  </si>
  <si>
    <t>Pradeep Varathan</t>
  </si>
  <si>
    <t>IUPUI-Indianapolis</t>
  </si>
  <si>
    <t>725W,11th Street Apt 28, Indianapolis, IN 46202</t>
  </si>
  <si>
    <t>pradluzog@gmail.com</t>
  </si>
  <si>
    <t>Youtube, edx courses</t>
  </si>
  <si>
    <t>I would like to learn the techniques and help in curation process, as to accelerate the research process.</t>
  </si>
  <si>
    <t>Yes. I would love to work with the neurodegenerative disorder related genes as I have tremendous interest in that topic.</t>
  </si>
  <si>
    <t>Terri McVeigh</t>
  </si>
  <si>
    <t xml:space="preserve">Royal Marsden NHS Foundation Trust </t>
  </si>
  <si>
    <t>Cancer Genetics Unit, The Royal Marsden, Fulham Road, London SW3 6JJ</t>
  </si>
  <si>
    <t>terri.mcveigh@rmh.nhs.uk</t>
  </si>
  <si>
    <t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t>
  </si>
  <si>
    <t>I would like to gain experience in curation, as well as getting more involved with the international Clinical Genetics community</t>
  </si>
  <si>
    <t xml:space="preserve">Hereditary Cancer </t>
  </si>
  <si>
    <t>MB BAO BCh, Dip (Medical Science), MSc, PhD</t>
  </si>
  <si>
    <t xml:space="preserve">Certificate in Medical Genetics (Royal College of Pathologists), Certificate of Satisfactory Completion of Specialist Training in Clinical Genetics (Royal College of Physicians of Ireland) </t>
  </si>
  <si>
    <t xml:space="preserve">BST (GMT+1) </t>
  </si>
  <si>
    <t>Gretchen Cote</t>
  </si>
  <si>
    <t>Virginia Division of Consolidated Laboratory Services</t>
  </si>
  <si>
    <t>gretchen.cote@dgs.virginia.gov</t>
  </si>
  <si>
    <t>Bioinformatician focusing on Variant Interpretation</t>
  </si>
  <si>
    <t>I participate and weekly variant interpretation meetings for variant based newborn screening for Pompe and MPS1</t>
  </si>
  <si>
    <t>Lysosomal Storage Disorders</t>
  </si>
  <si>
    <t>Expand curation of IDUA and GAA variants and improve interpretation skills</t>
  </si>
  <si>
    <t>GAA, IDUA</t>
  </si>
  <si>
    <t>Mayher Patel</t>
  </si>
  <si>
    <t>Broad Institute</t>
  </si>
  <si>
    <t>mayher@broadinstitute.org</t>
  </si>
  <si>
    <t>Bryan Gall</t>
  </si>
  <si>
    <t>Center for Genomic Interpretation</t>
  </si>
  <si>
    <t>bgall005@gmail.com</t>
  </si>
  <si>
    <t>Manual variant interpretation using ClinGen resources</t>
  </si>
  <si>
    <t>Colorectal Cancer, Familial Hypercholesterolemia, and Myeloid Malignancy</t>
  </si>
  <si>
    <t>Gain experience in the field while working to improve the ClinGen database</t>
  </si>
  <si>
    <t>I want to network.</t>
  </si>
  <si>
    <t>Hwaida Hannoush</t>
  </si>
  <si>
    <t>ACMG</t>
  </si>
  <si>
    <t>8816 Bells Mill Road Potomac , MD 20854</t>
  </si>
  <si>
    <t>hhannoush@acmg.net</t>
  </si>
  <si>
    <t xml:space="preserve">ACMG training </t>
  </si>
  <si>
    <t>Cardiomyopathy, Familial Hypercholesterolemia</t>
  </si>
  <si>
    <t xml:space="preserve">I would like to be able to curate and discover  new  genes related to diseases. </t>
  </si>
  <si>
    <t xml:space="preserve">As my specialty is cardiology, I  interested in  cardiovascular diseases  and prevention. </t>
  </si>
  <si>
    <t>Rawan Awwad</t>
  </si>
  <si>
    <t>GeneMatters</t>
  </si>
  <si>
    <t>Michigan</t>
  </si>
  <si>
    <t>rawan.awwad@gmail.com</t>
  </si>
  <si>
    <t xml:space="preserve">No but I know I can pick it up </t>
  </si>
  <si>
    <t xml:space="preserve">Clinical actionability for Peds </t>
  </si>
  <si>
    <t xml:space="preserve">More hands on experience with curation and variant classification, applying my clinical expertise to assist in interpretation, and network with like-minded CGC/scientists </t>
  </si>
  <si>
    <t xml:space="preserve">Pediatrics, General Genetics, Neuro, Cardio </t>
  </si>
  <si>
    <t>Yanhui Li</t>
  </si>
  <si>
    <t>University of Texas Southwestern Medical Center</t>
  </si>
  <si>
    <t>yxl280@gmail.com</t>
  </si>
  <si>
    <t>Gain Variant curation experiences.</t>
  </si>
  <si>
    <t>I am interested in Pediatric Disease and cancer areas.</t>
  </si>
  <si>
    <t>Central Time Zone</t>
  </si>
  <si>
    <t>Leila Jamal</t>
  </si>
  <si>
    <t>900 Rockville Pike, Bethesda, MD 20892</t>
  </si>
  <si>
    <t>leila.jamal@nih.gov</t>
  </si>
  <si>
    <t xml:space="preserve">I have PhD training in public health and have also written clinical test reports for study participants enrolled in a large sequencing research protocol at NIAID (on which I am a co-investigator).   </t>
  </si>
  <si>
    <t xml:space="preserve">I am most interested in the Pediatric Actionability Working Group and/or the Charcot-Marie-Tooth Gene Curation Group.  I would consider joining other gene or variant curation working groups as well.   </t>
  </si>
  <si>
    <t>I would like to learn more about evaluating actionability and/or the gene and variant curation process, and I'd also like to contribute to the development of a better evidence base for genomic medicine</t>
  </si>
  <si>
    <t>I am a certified genetic counselor (CGC)</t>
  </si>
  <si>
    <t>Eastern</t>
  </si>
  <si>
    <t>Shahad Rahawi</t>
  </si>
  <si>
    <t>2113 Lime Rock Court, El Cajon, CA 92019</t>
  </si>
  <si>
    <t>shahadrahawi@gmail.com</t>
  </si>
  <si>
    <t>brief variant interpretation activities in "analyze your genome" class in grad school</t>
  </si>
  <si>
    <t>Learn variant interpretation and contribute to the scientific field</t>
  </si>
  <si>
    <t>John Beilby</t>
  </si>
  <si>
    <t>PathWest</t>
  </si>
  <si>
    <t>Diagnostic Genomics, Level 2 PP Block, Queen Elizabeth II Medical Centre, Nedlands, WA. 6009</t>
  </si>
  <si>
    <t>John.Beilby@health.wa.gov.au</t>
  </si>
  <si>
    <t>Regular classification of variants to incorporate into patient reports.</t>
  </si>
  <si>
    <t>Cancer and cardiovascular diseases.</t>
  </si>
  <si>
    <t>To get a better understanding of variant classification.</t>
  </si>
  <si>
    <t>FFSc(RCPA)</t>
  </si>
  <si>
    <t>AWST</t>
  </si>
  <si>
    <t>Parham Habibzadeh</t>
  </si>
  <si>
    <t>Persian Bayangene Research and Training Center, Shiraz University of Medical Sciences</t>
  </si>
  <si>
    <t>parham.habibzadeh@yahoo.com</t>
  </si>
  <si>
    <t>Cardiomyopathy, Brain Malformations</t>
  </si>
  <si>
    <t>UTC +4:30</t>
  </si>
  <si>
    <t>Xiaolin Hu</t>
  </si>
  <si>
    <t>Cincinnati Children's hospital</t>
  </si>
  <si>
    <t>3333 Burnet ave, Cincinnati, OH, 45219</t>
  </si>
  <si>
    <t>xiaolin.hu@cchmc.org</t>
  </si>
  <si>
    <t>Yes, as part of our fellow's training</t>
  </si>
  <si>
    <t>hereditary cancer, somatic cancer, Mitochondrial Diseases</t>
  </si>
  <si>
    <t>gain experience and understand the current standards</t>
  </si>
  <si>
    <t>cancer</t>
  </si>
  <si>
    <t>NO</t>
  </si>
  <si>
    <t>Leighton Telling</t>
  </si>
  <si>
    <t>Formerly UNC</t>
  </si>
  <si>
    <t>lptellin@ncsu.edu</t>
  </si>
  <si>
    <t>Former UNC ClinGen Research Assistant</t>
  </si>
  <si>
    <t>I would like to broaden my experience within ClinGen and gain experience in gene curation.</t>
  </si>
  <si>
    <t>Panieh Terraf</t>
  </si>
  <si>
    <t>Harvard Medical School - Brigham and Women's Hospital</t>
  </si>
  <si>
    <t xml:space="preserve">75 Francis St. Boston MA 02115 - Dept. of Pathology </t>
  </si>
  <si>
    <t>pterraf@bwh.harvard.edu</t>
  </si>
  <si>
    <t>Variant Pathogenicity, Dosage Sensitivity</t>
  </si>
  <si>
    <t xml:space="preserve">Yes, in somatic cancer variant curation through my clinical training at the Brigham and Women's Hospital. </t>
  </si>
  <si>
    <t xml:space="preserve">Variant curation: myeloid malignancy, colorectal cancer, cardiomyopathy 
Somatic cancer working group: All, particularly pediatrics.
Dosage sensitivity: hereditary cancers, neurodevelopmental </t>
  </si>
  <si>
    <t xml:space="preserve">Gain experience and contribute to the community </t>
  </si>
  <si>
    <t xml:space="preserve">Currently a clinical laboratory genetics and genomics (LGG) fellow in training </t>
  </si>
  <si>
    <t>Jennifer Hull</t>
  </si>
  <si>
    <t>Keck Graduate Institute (KGI)</t>
  </si>
  <si>
    <t>4720 Coronado lane La Verne, CA 91750</t>
  </si>
  <si>
    <t>jhull86@gmail.com</t>
  </si>
  <si>
    <t>Phenylketonuria Variant Curation Expert Panel, epilepsy, CMT, hypercholesterolemia, colorectal cancer</t>
  </si>
  <si>
    <t xml:space="preserve">I hope to contribute to the information available on variants. </t>
  </si>
  <si>
    <t>Eric Kil</t>
  </si>
  <si>
    <t>535 Watson Dr, Claremont, CA 91711</t>
  </si>
  <si>
    <t>ekil18@students.kgi.edu</t>
  </si>
  <si>
    <t>I am interested in neuro-related conditions and cancer.</t>
  </si>
  <si>
    <t>Improve the accuracy of clinical genetic data to support researchers/clinicians make better, more informed decisions</t>
  </si>
  <si>
    <t>Oncology, Neurodegeneration, Neuroinflammation, Aging, Metabolism</t>
  </si>
  <si>
    <t>Joseph Steward</t>
  </si>
  <si>
    <t>Moore’s cancer center</t>
  </si>
  <si>
    <t>4360 Alabama St. San Diego CA</t>
  </si>
  <si>
    <t>jsteward2930@gmail.com</t>
  </si>
  <si>
    <t xml:space="preserve">Pancreatic </t>
  </si>
  <si>
    <t>Gain experience in cancer genomic biomarker curation</t>
  </si>
  <si>
    <t xml:space="preserve">Oncology Therapeutic Biomarkers </t>
  </si>
  <si>
    <t>NANDITA MULLAPUDI</t>
  </si>
  <si>
    <t>Hong Kong University of Science and Technology</t>
  </si>
  <si>
    <t>19-21 TIN HAU TEMPLE ROAD, NORTH POINT, HONG KONG.</t>
  </si>
  <si>
    <t>mnandita@gmail.com</t>
  </si>
  <si>
    <t>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t>
  </si>
  <si>
    <t>Intellectual disability and autism, Mitochondrial diseases, Hearing loss, Familial hypercholesterolemia</t>
  </si>
  <si>
    <t>I would like to contribute to building an accurate and actionable knowledgebase. And I would like to keep in touch with my skills and training in variant analysis.</t>
  </si>
  <si>
    <t>GMT + 8</t>
  </si>
  <si>
    <t>Hari Subramanian</t>
  </si>
  <si>
    <t>The University of Chicago</t>
  </si>
  <si>
    <t>hsubramanian@bsd.uchicago.edu</t>
  </si>
  <si>
    <t>Bioinformatician, Clinical Diagnostics Lab</t>
  </si>
  <si>
    <t>ClinGen conference advertisements (i.e. booth, workshop, presentation), Colleagues, ClinGen affiliated emails and/or newsletters, The clinicalgenome.org website</t>
  </si>
  <si>
    <t>CDT, Central</t>
  </si>
  <si>
    <t>Georgios Tsaousis</t>
  </si>
  <si>
    <t>Genekor Medical SA</t>
  </si>
  <si>
    <t>52 Spaton Ave, Athens, Greece</t>
  </si>
  <si>
    <t>gtsaousis@genekor.com</t>
  </si>
  <si>
    <t>ClinGen affiliated emails and/or newsletters, The clinicalgenome.org website, Twitter</t>
  </si>
  <si>
    <t>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t>
  </si>
  <si>
    <t>Hereditary Cancer, Somatic/Germline Variant Curation, Colorectal Cancer, PTEN, TP53, CDH1</t>
  </si>
  <si>
    <t>Contribute to global curation processes for the interpretation of the clinical significance of variants and aid in making clinical data publicly available.</t>
  </si>
  <si>
    <t>Hereditary Cancer and the related genes</t>
  </si>
  <si>
    <t>EEST (Eastern European Summer Time) UTC/GMT +3 hours</t>
  </si>
  <si>
    <t>Jessica Hatton</t>
  </si>
  <si>
    <t>9609 Medical Center Drive</t>
  </si>
  <si>
    <t>jessica.hatton@nih.gov</t>
  </si>
  <si>
    <t>Further ClinGen curation efforts and gain expertise in variant biocuration</t>
  </si>
  <si>
    <t>TP53, Li-Fraumeni syndrome</t>
  </si>
  <si>
    <t>ABGC Board Eligible</t>
  </si>
  <si>
    <t>Xia Tian</t>
  </si>
  <si>
    <t>Wuxi Nextcode</t>
  </si>
  <si>
    <t>xtian@wuxinextcode.com</t>
  </si>
  <si>
    <t>eight years' experience of gene/variant curation and clinical case review</t>
  </si>
  <si>
    <t>Mitochondrial Diseases(gene/variant) and Somatic Cancer</t>
  </si>
  <si>
    <t>Make contributions to clinical diagnosis and get training to better serve the society</t>
  </si>
  <si>
    <t xml:space="preserve">mitochondrial disease and somatic cancer </t>
  </si>
  <si>
    <t>MEGHA DANI</t>
  </si>
  <si>
    <t>Mind Speed Foundation</t>
  </si>
  <si>
    <t>136 Vivekanand Nagar, Nagpur 440015  India</t>
  </si>
  <si>
    <t>meghamdani@gmail.com</t>
  </si>
  <si>
    <t>I owned and worked for my clinical biochemistry/diagnostics laboratory but I have not done Genetics for lack for facilities.  I want to learn Genetics, its use in identification of various genetic disorders, learning new genetic techniques</t>
  </si>
  <si>
    <t>Educational coursework</t>
  </si>
  <si>
    <t>India Standard Time</t>
  </si>
  <si>
    <t>SAILATHA RAVI</t>
  </si>
  <si>
    <t>Medlish Communications</t>
  </si>
  <si>
    <t>New no. 7, 5th cross street, Indranagar, Adyar</t>
  </si>
  <si>
    <t>sailatha.ravi@gmail.com</t>
  </si>
  <si>
    <t>I would like to learn and apply the whole process of curating a clinical genome</t>
  </si>
  <si>
    <t>No. I am more interested in the process of how it is done.</t>
  </si>
  <si>
    <t>IST(Indian Standard time) UTC/GMT+5.30 hours</t>
  </si>
  <si>
    <t>Pamela Ajuyah</t>
  </si>
  <si>
    <t>GenomeOne</t>
  </si>
  <si>
    <t>pamela.a.ajuyah@gmail.com</t>
  </si>
  <si>
    <t>Increased understanding of genetics</t>
  </si>
  <si>
    <t>Cardiomyopathies, Cancer, Developmental disorders</t>
  </si>
  <si>
    <t>Australian Eastern Standard Time</t>
  </si>
  <si>
    <t>Yasser Sullcahuaman Allende</t>
  </si>
  <si>
    <t>IGENOMICA</t>
  </si>
  <si>
    <t>F 53  Urb. Juan XXIII, San Borja
lima peru</t>
  </si>
  <si>
    <t>ysullcahuaman@hotmail.com</t>
  </si>
  <si>
    <t>Yasser</t>
  </si>
  <si>
    <t>I would like to contribute to the knowledge of hereditary cancer and improve my skills as a geneticist doctor dedicated to cancer</t>
  </si>
  <si>
    <t>medical geneticist</t>
  </si>
  <si>
    <t>Lima</t>
  </si>
  <si>
    <t>Ellie Jhun</t>
  </si>
  <si>
    <t>Base10 Genetics</t>
  </si>
  <si>
    <t>ejhun@base10genetics.com</t>
  </si>
  <si>
    <t>Pharmacogenomics fellowship program at the University of Chicago</t>
  </si>
  <si>
    <t>Accelerate clinical actionability of pharmacogenomics</t>
  </si>
  <si>
    <t>Pharmacogenomics</t>
  </si>
  <si>
    <t>PharmD/PhD</t>
  </si>
  <si>
    <t>ABCP</t>
  </si>
  <si>
    <t>Venkatesan Sengoda Gounder</t>
  </si>
  <si>
    <t>USDA-ARS</t>
  </si>
  <si>
    <t>3 Bannock Glen Pl, Sacramento CA 95835</t>
  </si>
  <si>
    <t>agrivenkat@gmail.com</t>
  </si>
  <si>
    <t xml:space="preserve">I want to be Clinical Variant Curator/or Scientist based on experiences in molecular biology </t>
  </si>
  <si>
    <t>I can work any area of interest</t>
  </si>
  <si>
    <t>Ronaldo da Silva Francisco Junior</t>
  </si>
  <si>
    <t>Bioinformatics Laboratory-LABINFO - National Laboratory of Scientific Computation LNCC/MCTIC</t>
  </si>
  <si>
    <t>Av. Getulio Vargas, 333, Quitandinha CEP: 25651-075 - Petrópolis - Rio de Janeiro - Brazil</t>
  </si>
  <si>
    <t>ronaldoj@lncc.br</t>
  </si>
  <si>
    <t>Yes. I am currently working as a bioinformatician using WES data to perform the diagnosis and filtering of genetic variants in patients with Primary Immudeficiency Disorders</t>
  </si>
  <si>
    <t>Yes. RASopathy, Cardiomyopathy, Congenital Myopathies (newly forming), Mitochondrial diseases, Dosage-Recurrent Regions</t>
  </si>
  <si>
    <t>I would like to improve my expertise in analyzing genetic variants associated with human genetic diseases.</t>
  </si>
  <si>
    <t>Primary Immudeficiency Disorders / Intellectual Disability and Autism</t>
  </si>
  <si>
    <t>BRT UTC-3h</t>
  </si>
  <si>
    <t>Krista Bluske</t>
  </si>
  <si>
    <t>Illumina</t>
  </si>
  <si>
    <t>kbluske@illumina.com</t>
  </si>
  <si>
    <t xml:space="preserve">Yes, our group at Illumina is already contributing RUGD gene curations to ClinGen and we are active collaborators. I am trained in the ClinGen gene curation protocol. </t>
  </si>
  <si>
    <t>Mitochondrial Diseases expert panel (already participating), the soon-to-be-formed RUGD expert panel</t>
  </si>
  <si>
    <t>contribute to the scientific community by submitting gene curations from our RUGD cWGS test</t>
  </si>
  <si>
    <t>Rare and Undignosed genetic disease (RUGD), mitochondrial diseases</t>
  </si>
  <si>
    <t>Central (CDT)</t>
  </si>
  <si>
    <t>Raman Bansal</t>
  </si>
  <si>
    <t>ARS</t>
  </si>
  <si>
    <t>rbansal.osu@gmail.com</t>
  </si>
  <si>
    <t>MB (ASCP), DABCC (MD)</t>
  </si>
  <si>
    <t>FENGLI ZHANG</t>
  </si>
  <si>
    <t>UW Madison</t>
  </si>
  <si>
    <t>fengli.zhang@slh.wisc.edu</t>
  </si>
  <si>
    <t>Cancer</t>
  </si>
  <si>
    <t>CG, MB</t>
  </si>
  <si>
    <t>Amanda Clause</t>
  </si>
  <si>
    <t>1501 Tyler Ct.</t>
  </si>
  <si>
    <t>aclause@illumina.com</t>
  </si>
  <si>
    <t>Yes; currently curate variants and GDAs for a clinical whole genome sequencing test</t>
  </si>
  <si>
    <t>mitochondrial diseases, rare disease</t>
  </si>
  <si>
    <t>sharing gene curation data, contributing to development of well-curated clinical genome</t>
  </si>
  <si>
    <t>rare disease</t>
  </si>
  <si>
    <t>Sara Spencer</t>
  </si>
  <si>
    <t>Northwestern Medicine/Northwestern University</t>
  </si>
  <si>
    <t>675 N. St. Clair Ste 14-200</t>
  </si>
  <si>
    <t>saspence@nm.org</t>
  </si>
  <si>
    <t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t>
  </si>
  <si>
    <t>Gene Curation Expert Panels - Epilepsy 
Variant Curation Expert Panels - Brain Malformations</t>
  </si>
  <si>
    <t>I would like to gain formal exposure to variant interpretation and gene-disease validity curation. I would also like to add to the ClinGen goal of building a genomic knowledge base to improve patient care.</t>
  </si>
  <si>
    <t>I am open to helping with all genes and diseases.</t>
  </si>
  <si>
    <t>Niroshi Senaratne</t>
  </si>
  <si>
    <t>University of California, Los Angeles</t>
  </si>
  <si>
    <t>niroshi.senaratne@gmail.com</t>
  </si>
  <si>
    <t>Yes, having worked on constitutional chromosomal microarrays during my fellowship (referred for a variety of indications including autism and other neurodevelopmental disorders) I have often had to research novel CNVs for evidence of dosage pathogenicity.</t>
  </si>
  <si>
    <t>Dosage sensitivity (neurodevelopmental genes subgroup)</t>
  </si>
  <si>
    <t>I would like to contribute to genetic resources for our community (including myself!)</t>
  </si>
  <si>
    <t>I am particularly interested in interpretation of constitutional CNVs</t>
  </si>
  <si>
    <t>Completed ABMGG fellowship; boards pending</t>
  </si>
  <si>
    <t>Pacific time</t>
  </si>
  <si>
    <t>UNIVERSITY OF WISCONSIN</t>
  </si>
  <si>
    <t xml:space="preserve">YES. </t>
  </si>
  <si>
    <t>CG,MB</t>
  </si>
  <si>
    <t>Madhu Ouseph</t>
  </si>
  <si>
    <t>3377 Hillview Avenue, Palo Alto, CA</t>
  </si>
  <si>
    <t>mouseph@stanford.edu</t>
  </si>
  <si>
    <t>Currently involved in annotation of variants identified in NGS assays</t>
  </si>
  <si>
    <t>Myeloid Malignancy</t>
  </si>
  <si>
    <t xml:space="preserve">Contribute to better understanding of genotype-phenotype correlations </t>
  </si>
  <si>
    <t xml:space="preserve">Myeloid neoplasia related genes (I am a trained hematopathologist) </t>
  </si>
  <si>
    <t>M.D., Ph.D.</t>
  </si>
  <si>
    <t>Currently doing molecular genetic pathology fellowship</t>
  </si>
  <si>
    <t xml:space="preserve">Pacific Daylight Time (PDT) </t>
  </si>
  <si>
    <t>Janey Youngblom</t>
  </si>
  <si>
    <t>California State University, Stanislaus</t>
  </si>
  <si>
    <t>1083 El Paseo St., Turlock, CA 95380</t>
  </si>
  <si>
    <t>jyoungblom1@csustan.edu</t>
  </si>
  <si>
    <t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t>
  </si>
  <si>
    <t>Familial Hypercholesterolemia</t>
  </si>
  <si>
    <t>Gain more knowledge about the variant curation process and be able to integrate that knowledge into the undergraduate and graduate level curriculum.  These students can then contribute to the variant curation endeavor.</t>
  </si>
  <si>
    <t>cancer and cardiovascular diseases</t>
  </si>
  <si>
    <t>I want to learn more specific details about the variant curation process and staying updated on any of the latest developments in order to train undergraduate/graduate students to participate in the variant curation process.</t>
  </si>
  <si>
    <t xml:space="preserve">PST </t>
  </si>
  <si>
    <t>Andrew Stergachis</t>
  </si>
  <si>
    <t>Brigham and Women's Hospital</t>
  </si>
  <si>
    <t>75 Francis St, Boston MA 02445</t>
  </si>
  <si>
    <t>astergachis@bwh.harvard.edu</t>
  </si>
  <si>
    <t>Involved in the Partners BioBank return of results committee where we discuss the actionability of different genes.</t>
  </si>
  <si>
    <t xml:space="preserve">Possibly </t>
  </si>
  <si>
    <t>I would like to become an active member of the curation group.</t>
  </si>
  <si>
    <t>Adult onset metabolic disorders.</t>
  </si>
  <si>
    <t>Finishing a clinical genetics fellowship this year at the Harvard Combined Residency Program</t>
  </si>
  <si>
    <t>Lalitha Venkateswaran</t>
  </si>
  <si>
    <t>Self-employed (Genomics and LifeSciences)</t>
  </si>
  <si>
    <t>Pune, India</t>
  </si>
  <si>
    <t>lalithapv19@gmail.com</t>
  </si>
  <si>
    <t>Yes! I have led a team of curators in several Genomic projects. I have worked with Blueprint Genetics and Sema4. I have conducted training and workshops on the basics of curation and scientific writing.</t>
  </si>
  <si>
    <t>I would like to learn and understand the nuances of variant classification and analysis.</t>
  </si>
  <si>
    <t>Oncogenes</t>
  </si>
  <si>
    <t>Caterina Clementi</t>
  </si>
  <si>
    <t>Celmatix, Inc.</t>
  </si>
  <si>
    <t>14 wall street</t>
  </si>
  <si>
    <t>caterina.clementi@gmail.com</t>
  </si>
  <si>
    <t>Yes, I applied the ClinGen framework to score the clinical validity of gene-condition associations in the context of reproductive conditions</t>
  </si>
  <si>
    <t>Metabolic conditions</t>
  </si>
  <si>
    <t>Gain experience</t>
  </si>
  <si>
    <t>I am interested in conditions affecting reproductive health</t>
  </si>
  <si>
    <t>EDT UTC -4</t>
  </si>
  <si>
    <t>Catherine Spellicy</t>
  </si>
  <si>
    <t>Myriad Women's Health</t>
  </si>
  <si>
    <t>233 School Rd Asheville NC 28806</t>
  </si>
  <si>
    <t>cspellic@counsyl.com</t>
  </si>
  <si>
    <t>Many hours experience with variant analysis and classification.</t>
  </si>
  <si>
    <t>Sequence Variant Interpretation</t>
  </si>
  <si>
    <t>To contribute to the effort to standardize and expand knowledge among and across laboratories/institutions.</t>
  </si>
  <si>
    <t>Sequencing Variant Interpretation or Neurodevelopmental diseases</t>
  </si>
  <si>
    <t>Julie P Taylor</t>
  </si>
  <si>
    <t xml:space="preserve">Illumina </t>
  </si>
  <si>
    <t>jtaylor1@illumina.com</t>
  </si>
  <si>
    <t>ClinGen Gene Curation is part of my role as a curation scientist at Illumina.</t>
  </si>
  <si>
    <t>Eastern European (summertime)</t>
  </si>
  <si>
    <t>Charlene Preys</t>
  </si>
  <si>
    <t>Endicott College/Genomes2People</t>
  </si>
  <si>
    <t>41 Avenue Louis Pasture Boston, MA 02115</t>
  </si>
  <si>
    <t>clpreys@bwh.harvard.edu</t>
  </si>
  <si>
    <t>TP53 or Mitochondrial (will gladly help any panel/working group) - Hereditary cancer, Hemostasis or Congenital Myopathy</t>
  </si>
  <si>
    <t xml:space="preserve">As a personal goal, I want to learn about specific diseases that people are concerned about. Larger scale, I do want to help push the scientific community forward. </t>
  </si>
  <si>
    <t>Cancers and PGx</t>
  </si>
  <si>
    <t>HS diploma; Anticipated undergraduate graduation May 2020</t>
  </si>
  <si>
    <t>ET</t>
  </si>
  <si>
    <t>Edgar Ramirez</t>
  </si>
  <si>
    <t>Imagine Biotechnologies</t>
  </si>
  <si>
    <t>Paseo de la Rosita 507-A. Campestre La Rosita. Torreón, Coahuila, México. CP 27250</t>
  </si>
  <si>
    <t>e.ramirezr@hotmail.com</t>
  </si>
  <si>
    <t>I was lead scientist for variant interpretation at a clinical laboratory</t>
  </si>
  <si>
    <t>Learn more about variant interpretation</t>
  </si>
  <si>
    <t>Laura Roht</t>
  </si>
  <si>
    <t>Tartu University Hospital, Department of Clinical Genetics</t>
  </si>
  <si>
    <t>Puusepa Street 2, Tartu/Hariduse Street 6, Tallinn, Estonia</t>
  </si>
  <si>
    <t>laura.roht@kliinikum.ee</t>
  </si>
  <si>
    <t>Learn and get more experience, use this in my Phd studies and hopefully in my clinical work aswell</t>
  </si>
  <si>
    <t>Lynch syndrome as this is the subject of my PhD Studies</t>
  </si>
  <si>
    <t>UTC+3h, UTC+2h</t>
  </si>
  <si>
    <t xml:space="preserve">Donia Hany Mostafa </t>
  </si>
  <si>
    <t>Kalubya STEM School</t>
  </si>
  <si>
    <t>29 Obyda Ebn El Graah ST. Imbabah-Giza-Cairo-Egypt</t>
  </si>
  <si>
    <t>donia.1518105@stemkalubya.moe.edu.eg</t>
  </si>
  <si>
    <t xml:space="preserve">Yes, I am very interested about being in group that will help me to do many researches and will help me to be through a new experience. </t>
  </si>
  <si>
    <t>It will learn how to be accurate while doing any research. Continuous discussion on prominent topics in gene therapy and alternative therapy explored for them will be a great additional for me. And I hope it will help me to collect and interpret biological information.</t>
  </si>
  <si>
    <t>"I have a form of Parkinson disease which i do not like. My legs do not move when my brain tell them to. It is very frustrating" this sentence was said by George H.W.Bush. That inspired me and make me very interested and passionate about finding a therapy to the Parkinson disease and I am sure that ClinGen will help me to find it.</t>
  </si>
  <si>
    <t>Xin Chen</t>
  </si>
  <si>
    <t>2205 Tech Drive, Evanston, IL 60208</t>
  </si>
  <si>
    <t>chenx30nju@gmail.com</t>
  </si>
  <si>
    <t xml:space="preserve">During my PhD study, I summarized all the reported mutations of the gene SETX that were reported to cause neurodegenerative disease AOA2, generated the mutations in the budding yeast model, and experimentally verified the defects caused by the mutations. </t>
  </si>
  <si>
    <t>I am open to any opportunity.</t>
  </si>
  <si>
    <t>I would like to gain knowledge about diseases and working as a curator, apply my expertise to help the community, explore useful findings from data currently available, and make good connection between basic and translational research for my studies.</t>
  </si>
  <si>
    <t>I have broad interests. In particular, as working in a skin stem cell lab, I'm more familiar and interested in skin diseases, such as squamous cell carcinoma, and key regulators of skin, such as TP63 and chromatin remodelers.</t>
  </si>
  <si>
    <t>CDT, USA</t>
  </si>
  <si>
    <t>Survey retaken by Liz - question not originally answered.</t>
  </si>
  <si>
    <t>Survey retaken by Liz - question not originally answered</t>
  </si>
  <si>
    <t>Elaine Spector</t>
  </si>
  <si>
    <t>Kelly McGoldrick</t>
  </si>
  <si>
    <t>kmcgoldrick@ambrygenetics.com</t>
  </si>
  <si>
    <t>I am a variant curation scientist at Ambry Genetics</t>
  </si>
  <si>
    <t>Already a member of TP53 and VHL groups</t>
  </si>
  <si>
    <t>TP53, VHL</t>
  </si>
  <si>
    <t>Patricia Harper</t>
  </si>
  <si>
    <t>CHEO, Ottawa Ontario, Canada</t>
  </si>
  <si>
    <t>pharper@cheo.on.ca</t>
  </si>
  <si>
    <t>Yes, currently a member of the ClinGen Cardiomyopathy VCC</t>
  </si>
  <si>
    <t>Hereditary cancer (and/or associated genes such as TP53)</t>
  </si>
  <si>
    <t>Contributing to scientific literature of genetic variants to improve patient care</t>
  </si>
  <si>
    <t>Hereditary cancer syndrome genes</t>
  </si>
  <si>
    <t xml:space="preserve">Rasha hekal </t>
  </si>
  <si>
    <t xml:space="preserve">STEM GHARBIYA </t>
  </si>
  <si>
    <t xml:space="preserve">Kom Hamada El behira </t>
  </si>
  <si>
    <t>rasha.hekal.152003@gmail.com</t>
  </si>
  <si>
    <t>ClinGen conference advertisements (i.e. booth, workshop, presentation), The clinicalgenome.org website, Facebook</t>
  </si>
  <si>
    <t>No I didn't have but I have a lot of information.</t>
  </si>
  <si>
    <t xml:space="preserve">Yes I am very interested to join this group. </t>
  </si>
  <si>
    <t>I would like to gain experience and a something can help me in my CV.</t>
  </si>
  <si>
    <t xml:space="preserve">No .there are not. </t>
  </si>
  <si>
    <t>Nathaniel Jue</t>
  </si>
  <si>
    <t>California State University, Monterey Bay</t>
  </si>
  <si>
    <t>100 Campus Ctr., Seaside, CA 93955</t>
  </si>
  <si>
    <t>njue@csumb.edu</t>
  </si>
  <si>
    <t>De novo genome annotation</t>
  </si>
  <si>
    <t>Develop course-based research experience for undergraduates on contributing to ClinGen</t>
  </si>
  <si>
    <t>GACI</t>
  </si>
  <si>
    <t>I want to improve my ability to educate students</t>
  </si>
  <si>
    <t>Pacific</t>
  </si>
  <si>
    <t xml:space="preserve">Nihal Ahmed </t>
  </si>
  <si>
    <t>Stem gharbiya</t>
  </si>
  <si>
    <t>3 El-shafey Ahmed st. From El-madina El-monawara Ard El-lwa, Giza, Egypt.</t>
  </si>
  <si>
    <t>nihalahmed087@gmail.com</t>
  </si>
  <si>
    <t>No, this is the first time for me to join something like this</t>
  </si>
  <si>
    <t xml:space="preserve">Not so interested </t>
  </si>
  <si>
    <t xml:space="preserve">To gain more experience and this is good for my CV </t>
  </si>
  <si>
    <t xml:space="preserve">Heart diseases </t>
  </si>
  <si>
    <t>Xiaoting Ma</t>
  </si>
  <si>
    <t>Boston Children's Hospital_Genetics&amp;Genomics Department</t>
  </si>
  <si>
    <t>Center for Life Science 15030.9, 3 Blackfan Circle, Boston, MA, 02115</t>
  </si>
  <si>
    <t>Xiaoting.Ma@childrens.harvard.edu</t>
  </si>
  <si>
    <t>I am open to any opportunities</t>
  </si>
  <si>
    <t>To learn the method and to practice the gene curation process, and to gain a more comprehensive understanding of clinical genetics as well as to make a contribution to the community.</t>
  </si>
  <si>
    <t>endocrinological diseases, cancer, craniofacial anomalies</t>
  </si>
  <si>
    <t>Saja El Yaacoub</t>
  </si>
  <si>
    <t>Arizona State University</t>
  </si>
  <si>
    <t>saja.alyaacoub@live.com</t>
  </si>
  <si>
    <t>I would like to get involved more in Genetic researches and to enrich my knowledge so that I can further continue to my PhD.</t>
  </si>
  <si>
    <t>G6PD</t>
  </si>
  <si>
    <t>+3h EEST</t>
  </si>
  <si>
    <t>Andrew Langlois</t>
  </si>
  <si>
    <t>Lenoir Rhyne University School of Public Health</t>
  </si>
  <si>
    <t>447 Hidden Lake Parkway, Nebo, NC 28761</t>
  </si>
  <si>
    <t>andrewlanglois001@gmail.com</t>
  </si>
  <si>
    <t>Online search</t>
  </si>
  <si>
    <t>Learn more about your work.</t>
  </si>
  <si>
    <t>All</t>
  </si>
  <si>
    <t>Brandon Chalazan</t>
  </si>
  <si>
    <t>University of British Columbia</t>
  </si>
  <si>
    <t>Apartment 3009
939 Homer Street
Vancouver, BC, CAN
V6B2W6</t>
  </si>
  <si>
    <t>brandon.chalazan@cw.bc.ca</t>
  </si>
  <si>
    <t>Yes - I have designed candidate SNP and gene panels, designed specific variant filtering criteria and commonly use ACMG / AMP / ACGS criteria.</t>
  </si>
  <si>
    <t>All inherited cardiovascular genetic conditions.  However, I want to form a Atrial Fibrillation working expert panel.</t>
  </si>
  <si>
    <t>Devising gene specific criteria for cardiovascular genetic conditions.</t>
  </si>
  <si>
    <t>I have a large interest / expertise working with most cardiovascular genes from a basic science / computational / clinical perspective.  This knowledge came by working with atrial fibrillation genes, which have multiple genes that overlap with other cardiac phenotypes.</t>
  </si>
  <si>
    <t>Resident - Medical Genetics (FRCPC)</t>
  </si>
  <si>
    <t>PDT - GMT-7</t>
  </si>
  <si>
    <t>jean-leon chong</t>
  </si>
  <si>
    <t>Apt 408, 108 Ephesus Church Rd. Chapel Hill, NC</t>
  </si>
  <si>
    <t>leon0044@gmail.com</t>
  </si>
  <si>
    <t>biochemical genetics lab director</t>
  </si>
  <si>
    <t xml:space="preserve">some experience during fellowship training </t>
  </si>
  <si>
    <t>improve patient care</t>
  </si>
  <si>
    <t>lysosomal storage disorders (or other metabolic disorders)</t>
  </si>
  <si>
    <t>biochemical genetics fellow (2016-2018) at ARUP lab</t>
  </si>
  <si>
    <t>eastern</t>
  </si>
  <si>
    <t>Terra Brannan</t>
  </si>
  <si>
    <t>15 Argonaut, Aliso Viejo, CA 92656</t>
  </si>
  <si>
    <t>tbrannan@ambrygen.com</t>
  </si>
  <si>
    <t>Yes, I have been performing variant assessment since December 2018</t>
  </si>
  <si>
    <t xml:space="preserve">Gain more expertise </t>
  </si>
  <si>
    <t>Ankita Patel</t>
  </si>
  <si>
    <t>Independent</t>
  </si>
  <si>
    <t>2222 Long Cove Ct</t>
  </si>
  <si>
    <t>aspatel1@yahoo.com</t>
  </si>
  <si>
    <t>Independent cytogenetic consultant</t>
  </si>
  <si>
    <t xml:space="preserve">Part of the CLinGen CNV </t>
  </si>
  <si>
    <t>no- can owrk on where there is need</t>
  </si>
  <si>
    <t>Keep up to date with genetics literature and contribute to the Clingen effort</t>
  </si>
  <si>
    <t>FACMG- Clinical cytogenetics</t>
  </si>
  <si>
    <t>central</t>
  </si>
  <si>
    <t>Jordan Stern</t>
  </si>
  <si>
    <t>Michigan State University</t>
  </si>
  <si>
    <t>2838 Crestscene Trl</t>
  </si>
  <si>
    <t>jordanjnstern@gmail.com</t>
  </si>
  <si>
    <t>Colleagues, The clinicalgenome.org website</t>
  </si>
  <si>
    <t xml:space="preserve">I want to understand more about how/why these genetic changes happen and be able to collaborate with other scientists </t>
  </si>
  <si>
    <t>MTHFR</t>
  </si>
  <si>
    <t>Chris Darnell</t>
  </si>
  <si>
    <t>Bluewater Diagnostic Laboratory</t>
  </si>
  <si>
    <t>221 S. Bardstown Road, Mount Washington, KY 40047</t>
  </si>
  <si>
    <t>chris.darnell@bluewaterdxlab.com</t>
  </si>
  <si>
    <t>Laboratory Technical Supervisor</t>
  </si>
  <si>
    <t>Colleagues, Suggestion from mentor</t>
  </si>
  <si>
    <t>I would like to enhance my curation skills through experience with curation of Gene-Disease Associations.</t>
  </si>
  <si>
    <t xml:space="preserve">Sally Pea </t>
  </si>
  <si>
    <t xml:space="preserve">No affiliation </t>
  </si>
  <si>
    <t xml:space="preserve">8111 Knollview Court </t>
  </si>
  <si>
    <t>spea@live.com</t>
  </si>
  <si>
    <t>Received an email</t>
  </si>
  <si>
    <t>Congenital Myopathies or Limb Girdle Dystrophies or anywhere needed</t>
  </si>
  <si>
    <t xml:space="preserve">As someone with a rare genetic disease I would like to support the cause in a meaningful way. I’m no longer able to work full time in my chosen profession so I have the time available in my schedule to help. </t>
  </si>
  <si>
    <t xml:space="preserve">Congenital Myopathies </t>
  </si>
  <si>
    <t>Sali Farhan</t>
  </si>
  <si>
    <t>Massachusetts General Hospital/Broad Institute</t>
  </si>
  <si>
    <t>sfarhan@broadinstitute.org</t>
  </si>
  <si>
    <t>Networking, Heidi Rehm</t>
  </si>
  <si>
    <t>Contributing expertise</t>
  </si>
  <si>
    <t>Neurodegenerative disease</t>
  </si>
  <si>
    <t>CCMG - in training</t>
  </si>
  <si>
    <t xml:space="preserve">Julie Kim </t>
  </si>
  <si>
    <t>NHGRI</t>
  </si>
  <si>
    <t>6700B Rockledge Dr. Bethesda, MD 20817</t>
  </si>
  <si>
    <t>serin.kim@nih.gov</t>
  </si>
  <si>
    <t>Scientific Program Analyst at NHGRI</t>
  </si>
  <si>
    <t>working as a ClinGen program analyst</t>
  </si>
  <si>
    <t>Cardiomyopathy, Brain Malformations, hearing loss</t>
  </si>
  <si>
    <t xml:space="preserve">As a program analyst for ClinGen, I would love to learn more about the specifics of curation. </t>
  </si>
  <si>
    <t xml:space="preserve">I am particularly interested in the Hereditary Cancer and Neurodevelopmental disorders. I am also open to other areas.  </t>
  </si>
  <si>
    <t xml:space="preserve">eastern timezone </t>
  </si>
  <si>
    <t>Jamie Maciaszek</t>
  </si>
  <si>
    <t>St. Jude Children's Research Hospital</t>
  </si>
  <si>
    <t>262 Danny Thomas Place, Mail Stop 1170, Memphis, TN 38105</t>
  </si>
  <si>
    <t>jamie.maciaszek@stjude.org</t>
  </si>
  <si>
    <t>Suggestion from mentor, ClinGen affiliated emails and/or newsletters</t>
  </si>
  <si>
    <t>working on SJFAMILY study to curate variants in suspected cases of hereditary cancer</t>
  </si>
  <si>
    <t>Myeloid Malignancy, Hereditary Cancer</t>
  </si>
  <si>
    <t>I currently curate variants as part of research studies. I would like to use mu current skills to aid the community and learn from more experienced experts.</t>
  </si>
  <si>
    <t>pediatric cancer</t>
  </si>
  <si>
    <t>CST</t>
  </si>
  <si>
    <t>Olivier Bluteau</t>
  </si>
  <si>
    <t>APHP</t>
  </si>
  <si>
    <t>Hôpital Universitaire Pitié Salpêtrière - CGMC. 
Bâtiment de Pharmacie. 
47/83 Bd de L'Hôpital. 
75651 PARIS Cedex 13
FRANCE</t>
  </si>
  <si>
    <t>olivier.bluteau@aphp.fr</t>
  </si>
  <si>
    <t>Familial Hypercholesterolemia Variant Curation Expert Panel</t>
  </si>
  <si>
    <t>Genes related to Familial Hypercholesterolemia</t>
  </si>
  <si>
    <t>Paris, France CEST</t>
  </si>
  <si>
    <t>Alexandra Miller</t>
  </si>
  <si>
    <t>miller.alexandra@mayo.edu</t>
  </si>
  <si>
    <t>FH VCEP</t>
  </si>
  <si>
    <t>Improving my variant curation skills</t>
  </si>
  <si>
    <t>Familial Hypercholesterolemia (LDLR, APOB,  PCSK9)</t>
  </si>
  <si>
    <t>Zonggao Shi</t>
  </si>
  <si>
    <t>St Jude Children's Research Hospital</t>
  </si>
  <si>
    <t>262 Danny Thomas Place, Memphis, TN 38105</t>
  </si>
  <si>
    <t>zshi1@stjude.org</t>
  </si>
  <si>
    <t>Networking, Colleagues, The clinicalgenome.org website</t>
  </si>
  <si>
    <t xml:space="preserve">Yes, currently working as an analyst for the manual review of variants and a member of our somatic cancer variant pathogenicity committee in St Jude Children's Clinical Genomics Team. </t>
  </si>
  <si>
    <t>Yes, Somatic Cancer Pediatric Taskforce would be a good match</t>
  </si>
  <si>
    <t>To better the variant analysis community and precision medicine in general</t>
  </si>
  <si>
    <t>Genes related to brain tumors and soft tissue tumors</t>
  </si>
  <si>
    <t>Linlin Zhang</t>
  </si>
  <si>
    <t>The Third Affiliated Hospital of Zhengzhou University</t>
  </si>
  <si>
    <t>7 Kangfu Qian Street, Zhengzhou, Henan, China</t>
  </si>
  <si>
    <t>linlinzhang277@gmail.com</t>
  </si>
  <si>
    <t>ClinGen conference advertisements (i.e. booth, workshop, presentation), Networking, Colleagues</t>
  </si>
  <si>
    <t>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t>
  </si>
  <si>
    <t>Dosage Sensitivity Working Group  or Variant Curation Expert Panels in Phenylketonuria</t>
  </si>
  <si>
    <t>I want to do dosage sensitivity and variant pathogenicity curation work.</t>
  </si>
  <si>
    <t>Dosage Sensitivity and Phenylketonuria(PAH gene)</t>
  </si>
  <si>
    <t>Beijing</t>
  </si>
  <si>
    <t>Marco Montes de Oca</t>
  </si>
  <si>
    <t>The University of Melbourne</t>
  </si>
  <si>
    <t>40 Koornang Rd, Carnegie, Melbourne, VIC, Australia</t>
  </si>
  <si>
    <t>montesm@student.unimelb.edu.au</t>
  </si>
  <si>
    <t>I am interested in the following working groups:
- Brain Malformations Variant Curation Expert Panel
- Mitochondrial Diseases Gene Curation Expert Panel</t>
  </si>
  <si>
    <t>I am currently studying a Master of Science (Bioinformatics) and I am interested in becoming a Biocurator in the long-term. Volunteering with ClinGen could be a good opportunity to gain curation experience.</t>
  </si>
  <si>
    <t>+10</t>
  </si>
  <si>
    <t>Indegene</t>
  </si>
  <si>
    <t xml:space="preserve">Av. Rio Branco, 148. </t>
  </si>
  <si>
    <t xml:space="preserve">Yes, I work in a clinical laboratory with NGS panels </t>
  </si>
  <si>
    <t>Cancer, lung cancer, Hereditary cancer, cardiomyopathy, TP53, colorectal cancer, genitourinary tract cancer</t>
  </si>
  <si>
    <t>Increase curation skills</t>
  </si>
  <si>
    <t>Lung cancer</t>
  </si>
  <si>
    <t>UTC/GMT -3 hours</t>
  </si>
  <si>
    <t>Alex Gout</t>
  </si>
  <si>
    <t>alex.gout@stjude.org</t>
  </si>
  <si>
    <t>somatic cancer working group - pediatric</t>
  </si>
  <si>
    <t>Enhance my understanding as to the effects of germline and somatic variants on pediatric cancer patients</t>
  </si>
  <si>
    <t>American CDT</t>
  </si>
  <si>
    <t>Kim Phuong Tong</t>
  </si>
  <si>
    <t>Former Research Supervisor, University of MD</t>
  </si>
  <si>
    <t>1930 Stomeleaf Dr Tyler, TX 75703</t>
  </si>
  <si>
    <t>ktongpotter@yahoo.com</t>
  </si>
  <si>
    <t>Toni Pollin, PhD</t>
  </si>
  <si>
    <t>Return to science.  Giving back.</t>
  </si>
  <si>
    <t>Food allergy</t>
  </si>
  <si>
    <t>Heather Harris</t>
  </si>
  <si>
    <t>Ancestry</t>
  </si>
  <si>
    <t>3133 Texas St Oakland, CA, 94602</t>
  </si>
  <si>
    <t>heatherkharris1@gmail.com</t>
  </si>
  <si>
    <t>Conference</t>
  </si>
  <si>
    <t xml:space="preserve">Limited experience with creating variant descriptions for lab report writing. </t>
  </si>
  <si>
    <t xml:space="preserve">Contribute to the genetics community and play a role in publicly available knowledge/resources that may lead to better patient care. I’d also like to learn and grow professionally. </t>
  </si>
  <si>
    <t>Certified genetic counselor</t>
  </si>
  <si>
    <t>Pacific standard time</t>
  </si>
  <si>
    <t>C. Anwar A. Chahal</t>
  </si>
  <si>
    <t>3400 Spruce Street, Philadelphia, PA 19104</t>
  </si>
  <si>
    <t>anwar.chahal@uphs.upenn.edu</t>
  </si>
  <si>
    <t>Clinician Scientist, EP and Inherited CV Diseases, in final year clinical EP Fellowship</t>
  </si>
  <si>
    <t>ASHG 2019, Colleagues, Suggestion from mentor</t>
  </si>
  <si>
    <t>Not curation, experience in geneomics (PhD, American Heart Association)</t>
  </si>
  <si>
    <t>Congenital myopathies, Cardiomyopathy* (these are my areas of expertise/interest)</t>
  </si>
  <si>
    <t>Contribute to the field, become a better clinican academic</t>
  </si>
  <si>
    <t>Cardiomyopathies, channelopathies, sudden death syndromes (including SCD, SUDS, SIDS, SUDEP)</t>
  </si>
  <si>
    <t>Fellowship in Inherited CV Diseases from Barts/University College London</t>
  </si>
  <si>
    <t>Eastern Daylight Time</t>
  </si>
  <si>
    <t>Kaitlin Lenhart</t>
  </si>
  <si>
    <t>University of Wisconsin - Madison</t>
  </si>
  <si>
    <t>465 Henry Mall, HMS-411, Madison WI, 53706</t>
  </si>
  <si>
    <t>kaitlin.lenhart@slh.wisc.edu</t>
  </si>
  <si>
    <t>Contribute my background expertise to the ClinGen community</t>
  </si>
  <si>
    <t>Congenital myopathies, neuromuscular disorders</t>
  </si>
  <si>
    <t>ABMGG Board-Eligible</t>
  </si>
  <si>
    <t>YANYI YAO</t>
  </si>
  <si>
    <t>Brigham and Women's hospital</t>
  </si>
  <si>
    <t>259 kent street</t>
  </si>
  <si>
    <t>yaoyanyi@hotmail.com</t>
  </si>
  <si>
    <t>I attended Interpreting Genomes for Rare Disease 2019.</t>
  </si>
  <si>
    <t xml:space="preserve">Limb Girdle Muscular Dystrophy </t>
  </si>
  <si>
    <t>Learn how to curate a gene as well as how to interpretate variants.</t>
  </si>
  <si>
    <t>EDT UTC -4 hours</t>
  </si>
  <si>
    <t>Ikeoluwa Osei-Owusu</t>
  </si>
  <si>
    <t>Johns Hopkins University School of Medicine</t>
  </si>
  <si>
    <t>733 N Broadway, MRB 515, Baltimore MD 21205</t>
  </si>
  <si>
    <t>ikeoluwa@jhmi.edu</t>
  </si>
  <si>
    <t>ASHG 2018</t>
  </si>
  <si>
    <t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t>
  </si>
  <si>
    <t>Neurodevelopmental Dosage Sensitivity Working Group; Brain Malformations Gene Curation Expert Panel; Brain Malformations Variant Curation Expert Panel; Pediatric Actionability Working Group</t>
  </si>
  <si>
    <t xml:space="preserve">I would like to strengthen my knowledge of the process of determining variant/gene association with disease. </t>
  </si>
  <si>
    <t>Developmental and psychiatric disorders in children and adults</t>
  </si>
  <si>
    <t>Daniela Martiniuc</t>
  </si>
  <si>
    <t>UC Davis Comprehensive Cancer Center</t>
  </si>
  <si>
    <t>2501 X street, building 30, Sacramento, CA 95817</t>
  </si>
  <si>
    <t>dmartiniuc@ucdavis.edu</t>
  </si>
  <si>
    <t xml:space="preserve">presented at NorCal GC conference </t>
  </si>
  <si>
    <t>I have no experience with curation</t>
  </si>
  <si>
    <t xml:space="preserve">1) Learn about variant curation 2) Contribute to this very important field </t>
  </si>
  <si>
    <t>In general, hereditary cancer (my sub-specialty) but am interested in any hereditary cancer risk genes</t>
  </si>
  <si>
    <t>bullet points 1, 2, 3, and lastly, 8</t>
  </si>
  <si>
    <t xml:space="preserve">LCGC </t>
  </si>
  <si>
    <t xml:space="preserve">pacific </t>
  </si>
  <si>
    <t>Emilie Lalonde</t>
  </si>
  <si>
    <t>Children's Hospital of Philadelphia</t>
  </si>
  <si>
    <t>3500 Civic Center Blvd</t>
  </si>
  <si>
    <t>lalondee@email.chop.edu</t>
  </si>
  <si>
    <t>Yes within CHOP/Penn labs for new test design and/or standard variant interpretation</t>
  </si>
  <si>
    <t>Somatic cancer WG, hereditary cancer EP, RASopathy EP, Myeloid Malignancy EP, dosage hereditary cancer WG, others as needed</t>
  </si>
  <si>
    <t>Help curate genes and/or variants for the broader community; network with other genetic professionals</t>
  </si>
  <si>
    <t xml:space="preserve">Somatic and/or hereditary cancer; primary immunodeficiency; </t>
  </si>
  <si>
    <t>ABMGG LGG board eligible (results pending)</t>
  </si>
  <si>
    <t>Elizabeth Ewen</t>
  </si>
  <si>
    <t>Agilent</t>
  </si>
  <si>
    <t>403 Prudden Lane Orange, CT 06477</t>
  </si>
  <si>
    <t>elizabeth.ewen@agilent.com</t>
  </si>
  <si>
    <t>ASHG 2019, Networking, Colleagues</t>
  </si>
  <si>
    <t>Helping customers find clinically relevant/pathogenic variants</t>
  </si>
  <si>
    <t>Help improve the quality of data in the database</t>
  </si>
  <si>
    <t>EST- NYC</t>
  </si>
  <si>
    <t>Brigette Brown-Kipphut</t>
  </si>
  <si>
    <t>Agilent - previously CHOP</t>
  </si>
  <si>
    <t>brigette.kipphut@agilent.com</t>
  </si>
  <si>
    <t>ASHG 2019, Colleagues</t>
  </si>
  <si>
    <t>Yes - performed variant analysis for NGS at CHOP and internally at Agilent</t>
  </si>
  <si>
    <t xml:space="preserve">assist with variant analysis to help make a difference in a patient’s life </t>
  </si>
  <si>
    <t xml:space="preserve">Pediatric </t>
  </si>
  <si>
    <t>KC Vavra</t>
  </si>
  <si>
    <t>Agilent Technologies</t>
  </si>
  <si>
    <t>kc.vavra@agilent.com</t>
  </si>
  <si>
    <t>Variant curation in tumor/normal matched samples in ovarian cancer for a private database. Currently assisting customers or Agilent with various curation databases and understanding of curated variants.</t>
  </si>
  <si>
    <t>Chisato Yamasaki</t>
  </si>
  <si>
    <t>Osaka Univ., Japan</t>
  </si>
  <si>
    <t>cyamasak@eth.med.osaka-u.ac.jp</t>
  </si>
  <si>
    <t>ASHG 2019</t>
  </si>
  <si>
    <t>H-inv</t>
  </si>
  <si>
    <t>Beth Stronach</t>
  </si>
  <si>
    <t>University of Pittsburgh</t>
  </si>
  <si>
    <t>6016 Bryant St</t>
  </si>
  <si>
    <t>stronach@pitt.edu</t>
  </si>
  <si>
    <t>Not formally, but as a practicing basic research scientist for over a decade, and a molecular biologist and developmental geneticist by training, I could be useful.</t>
  </si>
  <si>
    <t>RASopathy, neurodevelopmental, or myopathy groups</t>
  </si>
  <si>
    <t xml:space="preserve">educate myself and contribute to knowledge base </t>
  </si>
  <si>
    <t>-4 EDT USA</t>
  </si>
  <si>
    <t>Eileen Chen</t>
  </si>
  <si>
    <t>Singapore General Hospital</t>
  </si>
  <si>
    <t>Academia, 20 College Road, Singapore 169856</t>
  </si>
  <si>
    <t>eileen.chen.x.q@sgh.com.sg</t>
  </si>
  <si>
    <t xml:space="preserve">No, only minimal training. </t>
  </si>
  <si>
    <t>Yes. Somatic Cancer Working Group as the first choice.</t>
  </si>
  <si>
    <t>Upgrade my skills in variant curation and keep updated in the field</t>
  </si>
  <si>
    <t>CRC, Lung caner, melanoma, GIST</t>
  </si>
  <si>
    <t>Jennifer Sloan</t>
  </si>
  <si>
    <t>10 Center Dr. Bldg 10 Room 7N248B</t>
  </si>
  <si>
    <t>jsloan@mail.nih.gov</t>
  </si>
  <si>
    <t>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t>
  </si>
  <si>
    <t>OTC</t>
  </si>
  <si>
    <t>To help the genetics community with variant interpretation</t>
  </si>
  <si>
    <t>methylmalonic acidemia and cobalamin disorders, propionic acidemia</t>
  </si>
  <si>
    <t>CGC and took Clinical Molecular boards 8/19</t>
  </si>
  <si>
    <t>Vasiliki Rahimzadeh</t>
  </si>
  <si>
    <t>1215 Welch rd modular A, Stanford CA 95305</t>
  </si>
  <si>
    <t>vrahim@stanford.edu</t>
  </si>
  <si>
    <t xml:space="preserve">Postdoctoral fellow </t>
  </si>
  <si>
    <t xml:space="preserve">No, but have a basic theoretical background of genomic/genetic science </t>
  </si>
  <si>
    <t xml:space="preserve">Yes, pediatric cancer or rare genetic disease </t>
  </si>
  <si>
    <t>Learn the processes of accurate variant  curation, classification and interpretation for pathogenicity</t>
  </si>
  <si>
    <t xml:space="preserve">Pediatric cancer and rare genetic disease </t>
  </si>
  <si>
    <t>Guadalupe Carvajal</t>
  </si>
  <si>
    <t>KGI</t>
  </si>
  <si>
    <t>716 Valencia Avenue</t>
  </si>
  <si>
    <t>gcarvajal18@students.kgi.edu</t>
  </si>
  <si>
    <t>Very basic work done in class</t>
  </si>
  <si>
    <t xml:space="preserve">Learn how to do variant interpretation and how to use in silico models and population databases. </t>
  </si>
  <si>
    <t>I am interested in cancer.</t>
  </si>
  <si>
    <t>Is part of my graduate coursework.</t>
  </si>
  <si>
    <t xml:space="preserve">Pacific Daylight Time </t>
  </si>
  <si>
    <t>Liang Guo</t>
  </si>
  <si>
    <t>CVPath Institute</t>
  </si>
  <si>
    <t>19 Firstfield Road, Gaithersburg, MD 20878</t>
  </si>
  <si>
    <t>lguo@cvpath.org</t>
  </si>
  <si>
    <t>Yes, curation of hypertrophic cardiomyopathy</t>
  </si>
  <si>
    <t>Cardiovascular working group</t>
  </si>
  <si>
    <t>Contribute to Cardiovascular work group</t>
  </si>
  <si>
    <t>Familial Hypercholesterolemia Variants and Cardiomyopathy variants</t>
  </si>
  <si>
    <t>Sha Tang</t>
  </si>
  <si>
    <t>Wuxi NextCode</t>
  </si>
  <si>
    <t>stang@wuxinextcode.cm</t>
  </si>
  <si>
    <t>Yes, my previous work at Ambry Genetics involved development clinical validity scheme and I am experienced in variant classifications.</t>
  </si>
  <si>
    <t>Intellectual Disability and Autism, Mitochondrial Diseases</t>
  </si>
  <si>
    <t>Learning and contributing.</t>
  </si>
  <si>
    <t>Mitochondrial disease, neurodevelopmental disorders, esp. autism</t>
  </si>
  <si>
    <t>Patrick Forny</t>
  </si>
  <si>
    <t>University Children's Hospital Zurich</t>
  </si>
  <si>
    <t>patrick.forny@kispi.uzh.ch</t>
  </si>
  <si>
    <t>Gene-Disease Validity, Variant Pathogenicity</t>
  </si>
  <si>
    <t>methylmalonic aciduria or inborn errors of metabolism in general</t>
  </si>
  <si>
    <t>Central European Time</t>
  </si>
  <si>
    <t>Ximena Bonilla</t>
  </si>
  <si>
    <t>ETHZ</t>
  </si>
  <si>
    <t>Biomedical informatics, department of computer sciences.CAB building F52.2
Universitätstrasse, 6
8006 Zurich, Switzerland</t>
  </si>
  <si>
    <t>ximena.bonilla@inf.ethz.ch</t>
  </si>
  <si>
    <t>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t>
  </si>
  <si>
    <t>Understanding the effect of as many genetic variants as possible to inform research efforts in treatments and understanding of pathomolecular mechanisms. To increase the quality of genetic counselling as well.</t>
  </si>
  <si>
    <t xml:space="preserve">metabolic Mendelian disorders, somatic mosaicism </t>
  </si>
  <si>
    <t>UTC +1</t>
  </si>
  <si>
    <t>Steve Waring</t>
  </si>
  <si>
    <t>Essentia Institute of Rural Health</t>
  </si>
  <si>
    <t>502 E 2nd St, 6AV-2, Duluth MN 55805</t>
  </si>
  <si>
    <t>stephen.waring@essentiahealth.org</t>
  </si>
  <si>
    <t>Colleagues, ClinGen affiliated emails and/or newsletters, The clinicalgenome.org website</t>
  </si>
  <si>
    <t>Genetic epidemiology research involving gene-gene and gene-env interactions; PGx</t>
  </si>
  <si>
    <t>Open to assignment based on greatest need</t>
  </si>
  <si>
    <t>Contribute to the future of medicine and transform clinical practice.</t>
  </si>
  <si>
    <t>Alzheimer’s and Non-Alzheimer’s Dementia</t>
  </si>
  <si>
    <t>1641 Metropolitan Ave Apt 3A</t>
  </si>
  <si>
    <t>Lise Graversen</t>
  </si>
  <si>
    <t xml:space="preserve">The Royal Melbourne Hospital </t>
  </si>
  <si>
    <t>lisega@rm.dk</t>
  </si>
  <si>
    <t>Insight mismatch repair</t>
  </si>
  <si>
    <t xml:space="preserve">I would like to use the software to curate variants for the Insight database </t>
  </si>
  <si>
    <t xml:space="preserve">Lynch syndrome </t>
  </si>
  <si>
    <t>+11</t>
  </si>
  <si>
    <t>Ke Yu</t>
  </si>
  <si>
    <t>zhejiang Biosan Biochemical Technologies Co.,Ltd</t>
  </si>
  <si>
    <t>yukefg@163.com</t>
  </si>
  <si>
    <t>CST (UTC +8)</t>
  </si>
  <si>
    <t>JELENA BREZO</t>
  </si>
  <si>
    <t>1447 E KRISTIANNA CIR, SALT LAKE CITY, UT</t>
  </si>
  <si>
    <t>dnalphabet@gmail.com</t>
  </si>
  <si>
    <t>As a lab director, I reviewed interpretations for  a number of phenotypes</t>
  </si>
  <si>
    <t>No specific interest</t>
  </si>
  <si>
    <t>Help community</t>
  </si>
  <si>
    <t>PHarmacogenomics, cancers, neurodevelopmental, carrier/recessive</t>
  </si>
  <si>
    <t>MDT</t>
  </si>
  <si>
    <t>Qing Zhang</t>
  </si>
  <si>
    <t>Fred Hutchinson Cancer Research Center</t>
  </si>
  <si>
    <t>qz1seattle@yahoo.com</t>
  </si>
  <si>
    <t>to gain deeper experience</t>
  </si>
  <si>
    <t>cancer related</t>
  </si>
  <si>
    <t>Cassandra Barrett</t>
  </si>
  <si>
    <t>University of Utah</t>
  </si>
  <si>
    <t>564 Hollywood Ave, Salt Lake City UT 84105</t>
  </si>
  <si>
    <t>cas9bar@gmail.com</t>
  </si>
  <si>
    <t>PhD in genetic engineering; currently in a genetic counseling graduate program</t>
  </si>
  <si>
    <t>NSGC Conference 2019</t>
  </si>
  <si>
    <t>I've done literature research before related to the effects of specific epigenetic modifiers on phenotype, but that's about it.</t>
  </si>
  <si>
    <t>I'd like to keep my research and analytical skills from my PhD fresh while applying them to medical genetics, which is a new context for me. I'm interested in possibly working in variant curation after finishing my GCMS and would like to see what it's like. I'm also just interested in contributing to the field! I really value professional service and think it's important to contribute to the quality of our shared resources.</t>
  </si>
  <si>
    <t xml:space="preserve">My PhD work was on chromatin remodelers and histone modifiers. I'm particularly interested in neurological and psychiatric disorders as well as genes encoding epigenetic regulators. </t>
  </si>
  <si>
    <t>Mountain</t>
  </si>
  <si>
    <t>Punithavathi Sundaramurthy</t>
  </si>
  <si>
    <t>San Jose State University</t>
  </si>
  <si>
    <t>PunitSundar95@gmail.com</t>
  </si>
  <si>
    <t>I read an article which mentioned ClinGen</t>
  </si>
  <si>
    <t>I would like to expand my knowledge in scientific literature by curating information related to genetics. I'm a Bioinformatics graduate student, so I want to help in any way I can.</t>
  </si>
  <si>
    <t>Pacific Standard Time</t>
  </si>
  <si>
    <t>Madhulatha Pantrangi</t>
  </si>
  <si>
    <t>PrevntionGenetics</t>
  </si>
  <si>
    <t>3800 S. Business Park Avenue</t>
  </si>
  <si>
    <t>madhu.pantrangi@preventiongenetics.com</t>
  </si>
  <si>
    <t>ASHG Conference 2019, ACMG Conference 2019, ClinGen conference advertisements (i.e. booth, workshop, presentation), Networking, Colleagues, The clinicalgenome.org website</t>
  </si>
  <si>
    <t xml:space="preserve">Peroxisomal Disorders </t>
  </si>
  <si>
    <t xml:space="preserve">Help interpret genes and variants that impacts human health care and gain knowledge about the clinical relevance of the genes and variants  </t>
  </si>
  <si>
    <t>I am flexible but I have diagnostic specialization in human ocular genetics</t>
  </si>
  <si>
    <t>Celeste Bento</t>
  </si>
  <si>
    <t>Centro Hospitalar e Universitário de Coimbra, Portugal</t>
  </si>
  <si>
    <t>Hospital Pediátrico</t>
  </si>
  <si>
    <t>celeste.bento@chuc.min-saude.pt</t>
  </si>
  <si>
    <t xml:space="preserve">I need to apply the ACMG rules in my everyday work </t>
  </si>
  <si>
    <t>I'm in the Core Task Team of ClinGen Haemoglobinopathy EP</t>
  </si>
  <si>
    <t>Learn what I need as part of the Core Task Team of ClinGen Haemoglobinopathy EP</t>
  </si>
  <si>
    <t>Haemoglobinopathies, Congenital Erythrocytosis</t>
  </si>
  <si>
    <t>ErCLG</t>
  </si>
  <si>
    <t>Lisbon, Portugal</t>
  </si>
  <si>
    <t>Gokce Toruner</t>
  </si>
  <si>
    <t>UT MD Anderson Cancer Center</t>
  </si>
  <si>
    <t>1515 Holcombe Avenue
Unit 350</t>
  </si>
  <si>
    <t>gatoruner@mdanderson.org</t>
  </si>
  <si>
    <t>ASHG Conference 2019</t>
  </si>
  <si>
    <t>Adult Solid Tumors</t>
  </si>
  <si>
    <t>MD, PhD</t>
  </si>
  <si>
    <t>Cental Standard Time, Houston TX</t>
  </si>
  <si>
    <t>rekha aaron</t>
  </si>
  <si>
    <t>christian medical college</t>
  </si>
  <si>
    <t>ot block, 5 th floor,cmc velllore</t>
  </si>
  <si>
    <t>rekha.a@cmcvellore.ac.in</t>
  </si>
  <si>
    <t xml:space="preserve">My work regularly involved in variant analysis, interpretation &amp; reporting </t>
  </si>
  <si>
    <t>mitochondrial ,neurodevelopmental disorders,myopathies</t>
  </si>
  <si>
    <t>Be a part of this consortium to contribute as well as learn about variant interpretation and its relevance which would be used for patient care and service.</t>
  </si>
  <si>
    <t>Neurological/neuromuscular diseases,Mitochondrial,inborn errors of metabolism</t>
  </si>
  <si>
    <t>none</t>
  </si>
  <si>
    <t>IST UTC+5.30h</t>
  </si>
  <si>
    <t>Larissa Waldman</t>
  </si>
  <si>
    <t xml:space="preserve">1504-386 Yonge St. </t>
  </si>
  <si>
    <t>larissa.waldman@gmail.com</t>
  </si>
  <si>
    <t>Hereditary cancer, myeloid malignancy, pediatric somatic</t>
  </si>
  <si>
    <t>Contribute to variant curation efforts, maintain this skill set (not currently working in a lab role)</t>
  </si>
  <si>
    <t xml:space="preserve">Pediatric oncology </t>
  </si>
  <si>
    <t>Prasad Rao Kopparapu</t>
  </si>
  <si>
    <t>Vanderbilt University Medical Center</t>
  </si>
  <si>
    <t>2140 Acklen Ave Apt 16</t>
  </si>
  <si>
    <t>prasaad82@gmail.com</t>
  </si>
  <si>
    <t>Variant Curation Expert Panels-TP53*, Somatic Cancer Working Group-Pediatric,</t>
  </si>
  <si>
    <t>be well versed with variant interpretation</t>
  </si>
  <si>
    <t>not really</t>
  </si>
  <si>
    <t>CST (UTC-6)</t>
  </si>
  <si>
    <t>Wellington Regional Genetics Laboratory</t>
  </si>
  <si>
    <t>Wellington Hospital</t>
  </si>
  <si>
    <t>ClinGen affiliated emails and/or newsletters, The clinicalgenome.org website</t>
  </si>
  <si>
    <t xml:space="preserve">I am actively involved in variant curation in a diagnostic genomic laboratory </t>
  </si>
  <si>
    <t>I am a diagnostic genomics scientist and would like to be involved with ClinGen and contribute to promoting enhanced patient care. I am also motivated due to personal experience with genetic disorders.</t>
  </si>
  <si>
    <t>Intellectual Disability and Autism, Mitochondrial Diseases and/or Cardiomyopathy</t>
  </si>
  <si>
    <t>MHGSA in Diagnostic Genomics</t>
  </si>
  <si>
    <t>NZDT</t>
  </si>
  <si>
    <t>Mark Shlapobersky</t>
  </si>
  <si>
    <t>Barzilai Medical Center</t>
  </si>
  <si>
    <t>marks@bmc.gov.il</t>
  </si>
  <si>
    <t>Director of Pathology lab</t>
  </si>
  <si>
    <t>AMP Conference 2019</t>
  </si>
  <si>
    <t>I was a curator for Pathway Genomics and Human Longevity</t>
  </si>
  <si>
    <t>To contribute to ClinGen and experience</t>
  </si>
  <si>
    <t>IDT</t>
  </si>
  <si>
    <t>Marie-Luise Brennan</t>
  </si>
  <si>
    <t>ACMG / NHGRI</t>
  </si>
  <si>
    <t>7101 Wisconsin Ave, #1101, Bethesda, MD 20814</t>
  </si>
  <si>
    <t>mbrennan@acmg.net</t>
  </si>
  <si>
    <t>Colleagues, Educational coursework</t>
  </si>
  <si>
    <t xml:space="preserve">No prior experience with curation. </t>
  </si>
  <si>
    <t>Low penetrance/risk alleles; gene curation (monogenic diabetes; any); dosage sens (neurodev or recurrent regions). Preferences listed, happy to join where needed.</t>
  </si>
  <si>
    <t>Understand the process better; and contribute to curation</t>
  </si>
  <si>
    <t xml:space="preserve">Epigenetics/modifiers/adult care. </t>
  </si>
  <si>
    <t>Shawn Gessay</t>
  </si>
  <si>
    <t xml:space="preserve">UT Health San Antonio </t>
  </si>
  <si>
    <t>326 Madison St Apt 8 San Antonio TX 78204</t>
  </si>
  <si>
    <t>gessays75@gmail.com</t>
  </si>
  <si>
    <t xml:space="preserve">I'm interested in learning more about variant curation processes. </t>
  </si>
  <si>
    <t xml:space="preserve">Pediatric hematology/oncology or adult neurology </t>
  </si>
  <si>
    <t>Angela Hoang</t>
  </si>
  <si>
    <t>ahoang18@students.kgi.edu</t>
  </si>
  <si>
    <t>Networking, Suggestion from mentor, Educational coursework</t>
  </si>
  <si>
    <t xml:space="preserve">Yes, I have educational experience with variant classification and gene-disease association. </t>
  </si>
  <si>
    <t xml:space="preserve">I would like to gain more curation experience outside of my education and contribute to advancing scientific knowledge </t>
  </si>
  <si>
    <t>Poornima Vijayan</t>
  </si>
  <si>
    <t xml:space="preserve">University of Toronto </t>
  </si>
  <si>
    <t xml:space="preserve">38 Grenville Street,  Toronto , Ontario </t>
  </si>
  <si>
    <t>poornima2785@gmail.com</t>
  </si>
  <si>
    <t>I am a student of medical genomics</t>
  </si>
  <si>
    <t>Gain some experience in variant curating</t>
  </si>
  <si>
    <t>Adriana Bastos Carvalho</t>
  </si>
  <si>
    <t>Federal University of Rio de Janeiro</t>
  </si>
  <si>
    <t>Av Carlos Chagas Filho 373
Bloco G, Sala G2-053, Rio de Janeiro, RJ, Brazil, 21941-902</t>
  </si>
  <si>
    <t>carvalhoab@biof.ufrj.br</t>
  </si>
  <si>
    <t>No. Although I have never worked in curation activities, I work with in vitro models to investigate variant pathogenicity.</t>
  </si>
  <si>
    <t>Cardiomyopathy Variant Curation Expert Panel</t>
  </si>
  <si>
    <t>To contribute to the advancement of clinical genomics</t>
  </si>
  <si>
    <t>Cardiovascular diseases</t>
  </si>
  <si>
    <t>UTC -3</t>
  </si>
  <si>
    <t>Megan Puckelwartz</t>
  </si>
  <si>
    <t>303 E. Superior SQ 5-511 Chicago, Il 60611</t>
  </si>
  <si>
    <t>m.puckelwartz@northwestern.edu</t>
  </si>
  <si>
    <t>I perform molecular autopsy using whole genome sequencing on sudden death subjects.  I also curate variants for cardiomyopathy subjects for research purposes.</t>
  </si>
  <si>
    <t>Aid in cardiac disease variant adjudication</t>
  </si>
  <si>
    <t>Sudden death, arrhythmia, cardiomyopathy</t>
  </si>
  <si>
    <t>Nicole Hinceman</t>
  </si>
  <si>
    <t>207 Perry Parkway, Gaithersburg, MD 20877</t>
  </si>
  <si>
    <t>nhinceman@genedx.com</t>
  </si>
  <si>
    <t>Prospective Genetic Counseling Student &amp; Variant Analyst (currently a Genetic Counseling Assistant)</t>
  </si>
  <si>
    <t>PhD in Molecular Biology, specifically developing mouse models of cancer, working in cancer clinical trials at the Institute of Cancer Research in London, UK</t>
  </si>
  <si>
    <t>Pediatric Somatic Cancer Working Group</t>
  </si>
  <si>
    <t>After a career hiatus to raise children, I would like to use my PhD in Molecular Biology to learn more about (and contribute to) to the current curation process and ACMG/AMP guidelines now that I have entered the working world of clinical genetics again</t>
  </si>
  <si>
    <t>Interested in most genes and/or diseases, but particularly interested in cancer</t>
  </si>
  <si>
    <t>Ekaterini Iordanou</t>
  </si>
  <si>
    <t>Dayton Children's Hospital</t>
  </si>
  <si>
    <t>iordanoue@childrensdayton.org</t>
  </si>
  <si>
    <t>I would like to gain curation experience and enhance patient care</t>
  </si>
  <si>
    <t>Laurie Connors</t>
  </si>
  <si>
    <t>Vanderbilt University</t>
  </si>
  <si>
    <t>Nashville, TN</t>
  </si>
  <si>
    <t>laurie.m.connors@vanderbilt.edu</t>
  </si>
  <si>
    <t>Clinical geneticist, Genetic Nurse Practitioner</t>
  </si>
  <si>
    <t>Hereditary Cancer, PTEN, VHL</t>
  </si>
  <si>
    <t>Improve access and outcomes in hereditary cancer</t>
  </si>
  <si>
    <t>PALB2, ATM, and PTEN</t>
  </si>
  <si>
    <t>Doctorate in Nursing Practice</t>
  </si>
  <si>
    <t>APNG (Advanced Practice Nurse in Genetics) AGN-BC (Advanced Genetics Nurse- Board Certified)</t>
  </si>
  <si>
    <t>central time</t>
  </si>
  <si>
    <t>Jian Zhao</t>
  </si>
  <si>
    <t>jian.zhao@aruplab.com</t>
  </si>
  <si>
    <t>I was a variant analyst at EGL Genetics before joining ARUP for LGG fellowship</t>
  </si>
  <si>
    <t>Neurodevelopmental Genes</t>
  </si>
  <si>
    <t>I am a LGG fellow at ARUP</t>
  </si>
  <si>
    <t>Tess Levy</t>
  </si>
  <si>
    <t>Mount Sinai - Seaver Autism Center</t>
  </si>
  <si>
    <t xml:space="preserve">1300 Hudson St. Hoboken NJ </t>
  </si>
  <si>
    <t>tess.levy@mssm.edu</t>
  </si>
  <si>
    <t xml:space="preserve">Interpretation of whole genome sequences for individuals with undiagnosed neurodevelopment disorders </t>
  </si>
  <si>
    <t>ASD/ID</t>
  </si>
  <si>
    <t>Be involved with gene curation</t>
  </si>
  <si>
    <t xml:space="preserve">Autism/ID : specifically - FOXP1, ADNP, SHANK3, DDX3X </t>
  </si>
  <si>
    <t xml:space="preserve">Xiaoyan Guo </t>
  </si>
  <si>
    <t>Department of Reproductive Endocrinology, Zhejiang Provincial People’s Hospital, People’s Hospital of Hangzhou Medical College</t>
  </si>
  <si>
    <t>540842557@qq.com</t>
  </si>
  <si>
    <t>Infertility</t>
  </si>
  <si>
    <t>Benjamin Clyde</t>
  </si>
  <si>
    <t>500 Chipeta Way</t>
  </si>
  <si>
    <t>benjamin.clyde@aruplab.com</t>
  </si>
  <si>
    <t>Hereditary Cancer Dosage Sensitivity Subgroup</t>
  </si>
  <si>
    <t xml:space="preserve">I would like to gain curation experience and help the medical community by providing accurate information that would help both patients and physicians. </t>
  </si>
  <si>
    <t>Hematologic malignancies and imprinting disorders!</t>
  </si>
  <si>
    <t>Mountain Time</t>
  </si>
  <si>
    <t>cynthia chow</t>
  </si>
  <si>
    <t>BC Cancer Agency</t>
  </si>
  <si>
    <t>600 west 10th ave</t>
  </si>
  <si>
    <t>cchow3@bccancer.bc.ca</t>
  </si>
  <si>
    <t>Variant Analyst for an In-house Oncopanel and Myeloid Panels</t>
  </si>
  <si>
    <t>I have 3 years experience in variant assesment/interpretation for myeloid and oncopanels.  I currently prepare and interpret for the medical staff to use to correlate with other clinical findings.</t>
  </si>
  <si>
    <t>Very excited to be a part of an external curation community to learn and share knowledge which can also be applied to the local communities</t>
  </si>
  <si>
    <t>Myeloid neoplasms and Solid tumours</t>
  </si>
  <si>
    <t>2542 Webb St, Philadelphia, PA 19125</t>
  </si>
  <si>
    <t>marcoleung@me.com</t>
  </si>
  <si>
    <t>Determining gene-disease validity and variant pathogenicity is my everyday job</t>
  </si>
  <si>
    <t>I want to help to curate some of the cancer genes that are still lacking concrete evidence.</t>
  </si>
  <si>
    <t>FACMG - Clinical Molecular Genetics</t>
  </si>
  <si>
    <t>Alaa Koleilat</t>
  </si>
  <si>
    <t>200 1st St. SW Rochester, MN 55905</t>
  </si>
  <si>
    <t>koleilat.alaa@mayo.edu</t>
  </si>
  <si>
    <t>mitochondrial disease, pediatric somatic cancer</t>
  </si>
  <si>
    <t>I would like to go through the process of curating a variant</t>
  </si>
  <si>
    <t>Thanuja Selvanayagam</t>
  </si>
  <si>
    <t xml:space="preserve">Children's Hospital of Eastern Ontario </t>
  </si>
  <si>
    <t>401 Smyth Rd, Ottawa, ON K1H 8L1</t>
  </si>
  <si>
    <t>tselvanayagam@cheo.on.ca</t>
  </si>
  <si>
    <t xml:space="preserve">Cardiomyopathy </t>
  </si>
  <si>
    <t xml:space="preserve">I am hoping to get involved in ClinGen to gain experience with gene curation particularly for dilated cardiomyopathy. </t>
  </si>
  <si>
    <t>DCM</t>
  </si>
  <si>
    <t>Shrutika Jadhav</t>
  </si>
  <si>
    <t>525 Penn Avenue, Pittsburgh, Pennsylvania</t>
  </si>
  <si>
    <t>shrutikajadhav18@gmail.com</t>
  </si>
  <si>
    <t xml:space="preserve">Brain Malformations, Intellectual Disability and Autism, Pediatric </t>
  </si>
  <si>
    <t>Gain experience, learn new skills</t>
  </si>
  <si>
    <t>Alzheimer disease, autoimmune diseases</t>
  </si>
  <si>
    <t>B.Tech in genetic engineering</t>
  </si>
  <si>
    <t>JACQUELINE BATANIAN</t>
  </si>
  <si>
    <t>SAINT LOUIS UNIVERSITY</t>
  </si>
  <si>
    <t>1465 SOUTH GRAND BLVD</t>
  </si>
  <si>
    <t>JACQUELINE.BATANIAN@HEALTH.SLU.EDU</t>
  </si>
  <si>
    <t>I used to navigate literature to determine the nature of copy number variants identified by Oligo/SNP Agilent microarray.</t>
  </si>
  <si>
    <t>Cardiovascular diseases and Pediatric cancer</t>
  </si>
  <si>
    <t>Expanding my knowledge in genes</t>
  </si>
  <si>
    <t>Constitutional and Cancer</t>
  </si>
  <si>
    <t>ACMG C</t>
  </si>
  <si>
    <t>Central time</t>
  </si>
  <si>
    <t>nj2421@cumc.columbia.edu</t>
  </si>
  <si>
    <t xml:space="preserve">Yes. I am currently a LGG fellow at Columbia. I do SOMA analysis, WES variant curation on daily bases. </t>
  </si>
  <si>
    <t>Hereditary Cancer, Brain Malformations , Somatic Cancer Pediatric</t>
  </si>
  <si>
    <t>I would like to be involved with ClinGen, gain more curation experiences and know more people in this field</t>
  </si>
  <si>
    <t>Cancer, Neurological diseases</t>
  </si>
  <si>
    <t>currently a LGG fellow</t>
  </si>
  <si>
    <t>Jaime Nagy</t>
  </si>
  <si>
    <t>200 Hawkins Dr, Iowa City, IA, 52242</t>
  </si>
  <si>
    <t>jaime-nagy@uiowa.edu</t>
  </si>
  <si>
    <t>Review and interpretation of clinical CMA cases</t>
  </si>
  <si>
    <t>Dosage Sensitivity working group</t>
  </si>
  <si>
    <t>I would like to contribute to the effort of promoting consistency of CNV interpretation across clinical laboratories. I think the ClinGen Dosage Sensitivity Map is a valuable resource when evaluating copy number changes.</t>
  </si>
  <si>
    <t>ABMGG, Clinical Cytogenetics</t>
  </si>
  <si>
    <t>Laboratory Technologist</t>
  </si>
  <si>
    <t>Gene curation (Intellectual disability &amp; Autism), Dosage Sensitivity &amp; Clinical Actionability</t>
  </si>
  <si>
    <t>As part of my efforts in ClinGen curation, I hope to help patients have an earlier and accurate diagnosis. In the process, I hope to increase my working knowledge in data analysis and variant reporting.</t>
  </si>
  <si>
    <t>ASD, Neurological disorders.</t>
  </si>
  <si>
    <t>MB (ASCP)</t>
  </si>
  <si>
    <t>UTC +3	AST Arabia Standard Time</t>
  </si>
  <si>
    <t>Kendrah Kidd</t>
  </si>
  <si>
    <t xml:space="preserve">I have attended the live Webex session training for the Gene Curation Interface (GCI). </t>
  </si>
  <si>
    <t>Wake Forest School of Medicine</t>
  </si>
  <si>
    <t xml:space="preserve">I have watched the Gene curation classifications video and understand the ClinGen Gene-Disease Validity classification system.  </t>
  </si>
  <si>
    <t>Internal Medicine - Section on Nephrology
Gray G120 Nephrology Research
Medical Center Blvd
Winston-Salem, NC 27157</t>
  </si>
  <si>
    <t xml:space="preserve">I have watched the gene curation scoring overview video and understand the basics of this framework. </t>
  </si>
  <si>
    <t>kkidd@wakehealth.edu</t>
  </si>
  <si>
    <t xml:space="preserve">I have watched the lumping and splitting tutorial and understand the process of defining the most appropriate disease entity. </t>
  </si>
  <si>
    <t xml:space="preserve">I have reviewed the interactive example powerpoints and understand the process that goes into curating different inheritance patterns. </t>
  </si>
  <si>
    <t xml:space="preserve">I have reviewed the Gene Curation Standard Operating Procedures and understand this curation process.  </t>
  </si>
  <si>
    <t>McKusick Genetics Course, Jackson Laboratory 2019</t>
  </si>
  <si>
    <t>I, (your name below), attest that I have completed all the elements of the Gene Disease Validity Training.                                            *Please sign your name below.   e.g. John Doe</t>
  </si>
  <si>
    <t>Put the date below</t>
  </si>
  <si>
    <t xml:space="preserve">Yes, I manage our Autosomal Dominant Tubulointerstitial Kidney Disease  pathogenic variant registry and have a database of variants found in families that have segregation and clinical data, as well as any literature associated with the variant.  </t>
  </si>
  <si>
    <t xml:space="preserve">I would be interested in forming one for inherited kidney diseases </t>
  </si>
  <si>
    <t>I came to look over variants in UMOD for a paper and noticed this gene had not been curated yet.  I would like to volunteer to curate mutations in UMOD and gain knowledge in curation of variants.</t>
  </si>
  <si>
    <t xml:space="preserve">Autosomal Dominant Tubulointerstitial Kidney Disease - currently known mutations in UMOD, MUC1, REN </t>
  </si>
  <si>
    <t>Joanne Adelberg</t>
  </si>
  <si>
    <t>NIH/CC</t>
  </si>
  <si>
    <t>1805 Midlothian Court</t>
  </si>
  <si>
    <t>joanneadelberg@gmail.com</t>
  </si>
  <si>
    <t>Olivia Rennie; Dec. 12, 2018</t>
  </si>
  <si>
    <t>Will work on groups with the most need-excited for the learning opportunity</t>
  </si>
  <si>
    <t>Learn more about curation and data in Newborn Screening Disorders</t>
  </si>
  <si>
    <t>Newborn Screening</t>
  </si>
  <si>
    <t>Volkan Okur, 12/12/2018</t>
  </si>
  <si>
    <t>Genetic Counselor, no CGC</t>
  </si>
  <si>
    <t>Erika Meaddough</t>
  </si>
  <si>
    <t>Clemson University</t>
  </si>
  <si>
    <t>meaddough@yahoo.com</t>
  </si>
  <si>
    <t>Mansour Zamanpoor 13/12/2018</t>
  </si>
  <si>
    <t>drug metabolizing enzymes</t>
  </si>
  <si>
    <t>Colin Ellis 12/12/18</t>
  </si>
  <si>
    <t>Vijay Ganesh</t>
  </si>
  <si>
    <t>Broad Institute; Brigham and Women's Hospital</t>
  </si>
  <si>
    <t>60 Fenwood Road, Boston, MA 02115</t>
  </si>
  <si>
    <t>vganesh@bwh.harvard.edu</t>
  </si>
  <si>
    <t>John M Shoffner MD</t>
  </si>
  <si>
    <t>Limb Girdle Muscular Dystrophy; Congenital Myopathies; Charcot-Marie Tooth</t>
  </si>
  <si>
    <t>Ny Hoang Dec12/18</t>
  </si>
  <si>
    <t>Contribute to gene curation and variant curation to improve clinical care.</t>
  </si>
  <si>
    <t>Muscular dystrophy; Congenital myopathy</t>
  </si>
  <si>
    <t>Benjamin Kang 12/12/2018</t>
  </si>
  <si>
    <t xml:space="preserve">Blueprint Genetics </t>
  </si>
  <si>
    <t xml:space="preserve">2505 3rd Ave, Suite 204
Seattle WA 98121
</t>
  </si>
  <si>
    <t>Mythily Ganapathi ; 12-12-2018</t>
  </si>
  <si>
    <t xml:space="preserve">Gain experience with variant interpretation, gene validity curation- gain a better understanding of gene-disease relationships. </t>
  </si>
  <si>
    <t xml:space="preserve">Cardiomyopathy, arrhythmias is area that I have worked in. </t>
  </si>
  <si>
    <t>Kira Dies 12/13/18</t>
  </si>
  <si>
    <t>Devon Thrush</t>
  </si>
  <si>
    <t>Ambry</t>
  </si>
  <si>
    <t>1416 Florence Ave</t>
  </si>
  <si>
    <t>dthrush@ambrygen.com</t>
  </si>
  <si>
    <t xml:space="preserve">I currently perform this type of work in my job. </t>
  </si>
  <si>
    <t>I want to contribute to these community efforts and the work is important to the field</t>
  </si>
  <si>
    <t xml:space="preserve">I currently evaluate rare disease genes, as well as hereditary cancer genes, cardio genes.  In a previous job I worked with muscular dystrophy genes.  </t>
  </si>
  <si>
    <t xml:space="preserve">Kalpana Panneerselvam </t>
  </si>
  <si>
    <t>Shiloh Martin</t>
  </si>
  <si>
    <t>1400 16th Street</t>
  </si>
  <si>
    <t>shiloh.martin@invitae.com</t>
  </si>
  <si>
    <t>I currently do gene-disease curations and variant interpretation at Invitae</t>
  </si>
  <si>
    <t>I am interested in working with an Immunology GCEP.  I don't think such a GCEP exists at this time, but I have been told that one is possibly forming, so I would be interested in joining that group once formed.</t>
  </si>
  <si>
    <t>Expand my knowledge about gene-disease curation frameworks and variant interpretation frameworks</t>
  </si>
  <si>
    <t>Immunology</t>
  </si>
  <si>
    <t>Jennifer Holle</t>
  </si>
  <si>
    <t>jennifer.holle@invitae.com</t>
  </si>
  <si>
    <t>Yes, I do variant pathogenicity curation in my job, as well as gene-disease validity curation (though I do less of this).</t>
  </si>
  <si>
    <t>Samantha Sevilla Chill</t>
  </si>
  <si>
    <t>The primary immunodeficiency group - didn't see it on the list, but I know it's upcoming</t>
  </si>
  <si>
    <t xml:space="preserve">Help with the Clinical Immunology Societies curation of primary immunodeficiency genes, network, volunteer. </t>
  </si>
  <si>
    <t>N. Inamdar</t>
  </si>
  <si>
    <t>George Jour</t>
  </si>
  <si>
    <t>NYU Langone Health</t>
  </si>
  <si>
    <t>240 east 38th street 22nd floor</t>
  </si>
  <si>
    <t>george.jour@nyulangone.org</t>
  </si>
  <si>
    <t>I did help curate an internal database during my fellowship for an inherited cancer NGS panel</t>
  </si>
  <si>
    <t>Rasopathies; hearing Loss; inherited cancers</t>
  </si>
  <si>
    <t>I would like to help curate more variants and provide a better understanding of the phenotype genotype correlations</t>
  </si>
  <si>
    <t>NF1; PTPN11</t>
  </si>
  <si>
    <t>MGP</t>
  </si>
  <si>
    <t>Emily Hansen-Kiss</t>
  </si>
  <si>
    <t>University of Texas Health Science Center at Houston, School of Dentistry</t>
  </si>
  <si>
    <t>7500 Cambridge St., Suite 4410, Houston, TX 77054</t>
  </si>
  <si>
    <t>Rodrigo Méndez</t>
  </si>
  <si>
    <t>Emily.HansenKiss@uth.tmc.edu</t>
  </si>
  <si>
    <t>No official training or experience, but clinical experience working with patients with mutations within the PTEN gene and identifying when phenotype is a good match for genotype.</t>
  </si>
  <si>
    <t>PTEN</t>
  </si>
  <si>
    <t>Gain experience with variant curation and share my experience/interest with one of my favorite genes.</t>
  </si>
  <si>
    <t>Chitra Chandrasekaran</t>
  </si>
  <si>
    <t>Texas Wesleyan University</t>
  </si>
  <si>
    <t>1201 Wesleyan, Fort Worth Texas 76105</t>
  </si>
  <si>
    <t>cchandrasekaran@txwes.edu</t>
  </si>
  <si>
    <t>Biology Professor</t>
  </si>
  <si>
    <t>Web search</t>
  </si>
  <si>
    <t>I do not have any previous experience with the activities mentioned above.</t>
  </si>
  <si>
    <t>I am interested in helping support research initiatives into the genomic basis of disease.</t>
  </si>
  <si>
    <t>My background is in the molecular and cell biology of cancer (colon cancer), with a focus on the role of tumor suppressor genes (p53, pRB, etc) in the role of intestinal cancer development; I remain very interested in the underlying genetic bases of cancer development, with a particular interest in both intestinal cancer and breast cancer.  I also have an interest in looking at the genetic causes of type II diabetes, and currently work on modeling aspects of insulin resistance in the model organism Drosophila melanogaster.</t>
  </si>
  <si>
    <t>Central Time (Central Daylight Time starting in March)</t>
  </si>
  <si>
    <t>Silke Waap</t>
  </si>
  <si>
    <t>Cardiff School of Biosciences, UK</t>
  </si>
  <si>
    <t>silkewaap@gmail.com</t>
  </si>
  <si>
    <t xml:space="preserve">My scientific research expertise has been on evolutionary processes, involving gene variation (SNPs) and laboratory next generation sequencing techniques and bioinformatic analyses of genetic barcodes. </t>
  </si>
  <si>
    <t xml:space="preserve">I would like to enhance my scientific skills and experience to potentially become a scientific curator </t>
  </si>
  <si>
    <t>Western European Time</t>
  </si>
  <si>
    <t>Emilie Hulse</t>
  </si>
  <si>
    <t>Germantown, MD</t>
  </si>
  <si>
    <t>ehulse@genedx.com</t>
  </si>
  <si>
    <t>Genetic Counseling Assistant</t>
  </si>
  <si>
    <t>I am more interested in becoming an active member of a curation group. I am willing to attend conference calls, as well as spend time outside of calls performing curation and entering information into ClinGen interfaces (estimated 8-10 hours of participation per month)</t>
  </si>
  <si>
    <t>no preference</t>
  </si>
  <si>
    <t>I want to help impact patient care by helping identify gene-disease relationships and recognizing areas in which clinical decisions could positively affect a patient's life.</t>
  </si>
  <si>
    <t>TTR, Pediatrics, Complex Diseases</t>
  </si>
  <si>
    <t>Emma Wilcox</t>
  </si>
  <si>
    <t xml:space="preserve">Stephen Wicks </t>
  </si>
  <si>
    <t>University of Colorado</t>
  </si>
  <si>
    <t>13001 E. 17th Place, MS F563 Building 500, Aurora, CO. 80045</t>
  </si>
  <si>
    <t>stephenwicks1@gmail.com</t>
  </si>
  <si>
    <t>Have been signing out both hematological and solid tumor cancer clinical cases from adult and pediatric populations.</t>
  </si>
  <si>
    <t>Somatic Cancer WG / Hereditary Cancer Panel</t>
  </si>
  <si>
    <t>Better resources in dealing with difficult interpretations of cases.</t>
  </si>
  <si>
    <t>Fen Guo</t>
  </si>
  <si>
    <t xml:space="preserve">Pediatric cancers, ALL, Trisomy 21, CFTR, ARID1A &amp; B </t>
  </si>
  <si>
    <t>ABMGG Fellowship</t>
  </si>
  <si>
    <t>Board eligible ABMGG</t>
  </si>
  <si>
    <t>Mountain Standard Time UTC/GMT -7 hours</t>
  </si>
  <si>
    <t>Saurav Guha</t>
  </si>
  <si>
    <t>101 6th Ave, New York, NY 10013</t>
  </si>
  <si>
    <t>sauravguha@gmail.com</t>
  </si>
  <si>
    <t>ACMG Conference 2019, ClinGen conference advertisements (i.e. booth, workshop, presentation), Networking, Colleagues, ClinGen affiliated emails and/or newsletters, The clinicalgenome.org website, The Community Curation Committee webpage</t>
  </si>
  <si>
    <t>I am more interested in participating as time allows. I am willing to read scientific articles and identify evidence that may be useful for ClinGen curation activities at my own pace</t>
  </si>
  <si>
    <t>Revathi Rajkumar</t>
  </si>
  <si>
    <t xml:space="preserve">Yes, I do regularly classify and report genetic variants. </t>
  </si>
  <si>
    <t>Neurodevelopmental Disorders CDWG</t>
  </si>
  <si>
    <t xml:space="preserve">Neurodevelopmental Disorders </t>
  </si>
  <si>
    <t>New York</t>
  </si>
  <si>
    <t>Hannah Lilligren</t>
  </si>
  <si>
    <t>305 Pueblo Road, Corona, CA 92882</t>
  </si>
  <si>
    <t>hannah.lilligren@gmail.com</t>
  </si>
  <si>
    <t>Rajiv Machado</t>
  </si>
  <si>
    <t>Develop grace and speed in curation as well as more confidence in my ability</t>
  </si>
  <si>
    <t>HBOP EP</t>
  </si>
  <si>
    <t>DICER1, Colorectal Cancer, or inhereted retinal diseases</t>
  </si>
  <si>
    <t>gaining research experience and learning for the best</t>
  </si>
  <si>
    <t>GMT +2</t>
  </si>
  <si>
    <t>Raiana Barbosa</t>
  </si>
  <si>
    <t>Av. Carlos Chagas Filho 373 Bloco G - Sala G2-053</t>
  </si>
  <si>
    <t>rapa_andrade@hotmail.com</t>
  </si>
  <si>
    <t>Laura Southgate</t>
  </si>
  <si>
    <t>No, I don't.</t>
  </si>
  <si>
    <t>Yes, I am interested in Familial Hypercholesterolemia and FBN1 panels.</t>
  </si>
  <si>
    <t>I'd like to getting more experience and expertise.</t>
  </si>
  <si>
    <t>Familial Hypercholesterolemia and arrhythmias.</t>
  </si>
  <si>
    <t>UTC-3h</t>
  </si>
  <si>
    <t>Xiaoyan Guo</t>
  </si>
  <si>
    <t>Sarada Gandhi Kolli</t>
  </si>
  <si>
    <t>Mater Misericordiae University Hospital</t>
  </si>
  <si>
    <t>Next generation Sequencing Lab, Mater Misericordiae University Hospital, Mater Misericordiae Wing Level 0, Mortuary entrance, North Circular Road, Dublin 7, D07 R2WY</t>
  </si>
  <si>
    <t>saradagandhikolli@mater.ie</t>
  </si>
  <si>
    <t>Micheala Aldred</t>
  </si>
  <si>
    <t>Our lab is currently working on classification of pathogenic variants. We are focusing on cardiac variants for now but plan on expanding the departments in the future.</t>
  </si>
  <si>
    <t>To get a better understanding of how to curate variants, get to know experiences at different levels from various scientists of how to deal with complex variants.</t>
  </si>
  <si>
    <t>Our lab is currently focusing on cardiology and we are in our initial stages of variant classification</t>
  </si>
  <si>
    <t>Britt Johnson</t>
  </si>
  <si>
    <t xml:space="preserve">Dublin, Ireland GMT </t>
  </si>
  <si>
    <t>Eah Keomanee</t>
  </si>
  <si>
    <t>101 Bucknell Ave #228-1</t>
  </si>
  <si>
    <t>ekeomanee19@students.kgi.edu</t>
  </si>
  <si>
    <t xml:space="preserve">To gain more exposure to the field, get an insight on the community and to gain experience before I graduate. </t>
  </si>
  <si>
    <t>Jair Tenorio</t>
  </si>
  <si>
    <t>Tiago Fernando Chaves</t>
  </si>
  <si>
    <t>Universidade Federal de Santa Catarina</t>
  </si>
  <si>
    <t>tiagochavo@msn.com</t>
  </si>
  <si>
    <t>Julie Kim</t>
  </si>
  <si>
    <t>No curatorial experience</t>
  </si>
  <si>
    <t>Dosage-Recurrent Regions and Dosage- Neurodevelopmental</t>
  </si>
  <si>
    <t>Divya Pandya</t>
  </si>
  <si>
    <t>neurodevelopmental disorders</t>
  </si>
  <si>
    <t>BRT	- Brasília Time</t>
  </si>
  <si>
    <t>Emilia Swietlik</t>
  </si>
  <si>
    <t>Christina A. Eichstaedt</t>
  </si>
  <si>
    <t xml:space="preserve">I have attended the live Zoom session training for Dosage Sensitivity Curation. </t>
  </si>
  <si>
    <t>I have read the original publication outlining the dosage evaluation process (Riggs et al., 2012).</t>
  </si>
  <si>
    <t>I, (your name below), attest that I have completed all the elements of the Dosage Sensitivity Curation training. *Please sign your name below (e.g. John Doe)</t>
  </si>
  <si>
    <t>Today's date (write the date below)</t>
  </si>
  <si>
    <t>20/12/2018</t>
  </si>
  <si>
    <t>12/24/2018</t>
  </si>
  <si>
    <t>02/01/2019</t>
  </si>
  <si>
    <t>1/8/2019</t>
  </si>
  <si>
    <t>Madeline Hughes</t>
  </si>
  <si>
    <t>Justin Schleede</t>
  </si>
  <si>
    <t>02/08/2019</t>
  </si>
  <si>
    <t>April 29, 2019</t>
  </si>
  <si>
    <t>shulin zhang</t>
  </si>
  <si>
    <t>4/30/2019</t>
  </si>
  <si>
    <t>05/08/2019</t>
  </si>
  <si>
    <t>9/10/19</t>
  </si>
  <si>
    <t>September 10, 2019</t>
  </si>
  <si>
    <t>9/11/19</t>
  </si>
  <si>
    <t>2019/09/23</t>
  </si>
  <si>
    <t>I have attended the live Zoom training session on Somatic Variant Curation</t>
  </si>
  <si>
    <t>I have reviewed the publication titled 'Somatic cancer variant curation and harmonization through consensus minimum variant level data' https://www.ncbi.nlm.nih.gov/pubmed/27814769</t>
  </si>
  <si>
    <t>I, (your name below), attest that I have completed all the elements of the Somatic Cancer Training. *Please sign your name below. e.g. John Doe</t>
  </si>
  <si>
    <t>I have created an account in CIViC: https://civicdb.org/home</t>
  </si>
  <si>
    <t>I have signed up for a practice curation assignment in CIViC: https://docs.google.com/spreadsheets/d/1vBDR3xVaKgkOSW_7VTO8Mxe2wo1WCJV1mbT3nO1lCM4/edit#gid=0</t>
  </si>
  <si>
    <t>I have chosen a curation activity/disease task force. (Please list your choice below)</t>
  </si>
  <si>
    <t>Email Contact</t>
  </si>
  <si>
    <t>Spreadsheet Changes</t>
  </si>
  <si>
    <t>Post-Survey Contact</t>
  </si>
  <si>
    <t>automated email</t>
  </si>
  <si>
    <t>Initial Contact</t>
  </si>
  <si>
    <t>Change Status to "Contacted"</t>
  </si>
  <si>
    <t>Liz</t>
  </si>
  <si>
    <t>Assigning and Scheduling Training</t>
  </si>
  <si>
    <t>Change Status to "Assigned", add the date assigned, the training date and Curation Effort</t>
  </si>
  <si>
    <t>Post-training email with Attestation</t>
  </si>
  <si>
    <t>Indicate that training was attended and the attestation was signed</t>
  </si>
  <si>
    <t>Contacting Volunteer about WG/EP assignment</t>
  </si>
  <si>
    <t>Change Status to "Assigned" and add the WG/EP the volunteer was assigned to</t>
  </si>
  <si>
    <t>Contact Cordinator about volunteers assigned to their WG/EP</t>
  </si>
  <si>
    <t>Name:</t>
  </si>
  <si>
    <t>Curation Activity:</t>
  </si>
  <si>
    <t>Expert Panel or Working Group:</t>
  </si>
  <si>
    <t>Change Status to:</t>
  </si>
  <si>
    <t>What are the conditions that you are accepting volunteers under?</t>
  </si>
  <si>
    <t>How much work does a volunteer need to do to get acknowledgement for their contribution? (ex. attend 50% of the calls and perform 5 curations)</t>
  </si>
  <si>
    <t>How much work does a volunteer need to do to get authorship on a paper? (ex. attend 75% of the calls and perform 8 curations)</t>
  </si>
  <si>
    <t>Please note any other comments you have on volunteer acknowledgement and authorship:</t>
  </si>
  <si>
    <t>Approximately how many volunteers is your EP/WG willing to accept?</t>
  </si>
  <si>
    <t>What are the conditions that a volunteer could get acknowledgement for their contribution?</t>
  </si>
  <si>
    <t>What are the conditions that a volunteer could get authorship on a paper?</t>
  </si>
  <si>
    <t>VWD VCEP</t>
  </si>
  <si>
    <t>Accepting Volunteers</t>
  </si>
  <si>
    <t>not determined yet</t>
  </si>
  <si>
    <t>Mito GCEP</t>
  </si>
  <si>
    <t>Not Accepting Volunteers</t>
  </si>
  <si>
    <t>Inherited Retinal Disease GCEP (in development))</t>
  </si>
  <si>
    <t>undecided</t>
  </si>
  <si>
    <t>expect authorship</t>
  </si>
  <si>
    <t>4-5</t>
  </si>
  <si>
    <t>Glaucoma/Neuro Ocular GCEP (in development)</t>
  </si>
  <si>
    <t>undecuded</t>
  </si>
  <si>
    <t>authorship expected</t>
  </si>
  <si>
    <t xml:space="preserve">attend monthly VCEP calls, help input and curate variants for VHL </t>
  </si>
  <si>
    <t>1-3</t>
  </si>
  <si>
    <t>Jessica Mester</t>
  </si>
  <si>
    <t>Accepting Volunteers with Conditions</t>
  </si>
  <si>
    <t>1 named Emily Hansen-Kiss who has just signed up for training, and I'll take one more who's interested in our group after review of their CV</t>
  </si>
  <si>
    <t>Attend biocurator calls, attend most VCEP calls, curate at least 2 variants per quarter once training complete</t>
  </si>
  <si>
    <t>Biocurator calls are scheduled based on group availability, so will not be a challenge to attend.  VCEP calls are scheduled based primarily on expert panel members' availability, biocurators are expected to present the variants they've worked on and should attend all calls for which they're available.</t>
  </si>
  <si>
    <t>2 new ones</t>
  </si>
  <si>
    <t>RASopathy GCEP</t>
  </si>
  <si>
    <t>duplicate record</t>
  </si>
  <si>
    <r>
      <t xml:space="preserve">11/07/18
</t>
    </r>
    <r>
      <rPr>
        <b/>
        <sz val="10"/>
        <rFont val="Arial"/>
      </rPr>
      <t>REcontacted June 2019 and responsive, changed status</t>
    </r>
  </si>
  <si>
    <r>
      <t xml:space="preserve">01/09/18
</t>
    </r>
    <r>
      <rPr>
        <b/>
        <sz val="10"/>
        <rFont val="Arial"/>
      </rPr>
      <t>Unresponsive as of 7-7-19</t>
    </r>
  </si>
  <si>
    <t>Note:  email address given was exu@fulgentgenetics.com, however as of July 9, 2019, this is no longer a contact email and no forwarding email provided.</t>
  </si>
  <si>
    <t>Note: email address returned a change to runquist@alumni.bcm.edu as of 7-9-19 CLT. Updated.</t>
  </si>
  <si>
    <r>
      <t xml:space="preserve">Originally choose Comprehensive, however they may be best suited for Baseline with a focus on genes/variants in which they are suspected to have (patient) </t>
    </r>
    <r>
      <rPr>
        <b/>
        <sz val="10"/>
        <rFont val="Arial"/>
      </rPr>
      <t>CLT 7-2-19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</si>
</sst>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mmmm\ yyyy"/>
    <numFmt numFmtId="165" formatCode="mm/dd/yyyy"/>
    <numFmt numFmtId="166" formatCode="m/d/yyyy\ h:mm:ss"/>
    <numFmt numFmtId="167" formatCode="m/d/yyyy"/>
    <numFmt numFmtId="168" formatCode="mmmm\ d\ yyyy"/>
    <numFmt numFmtId="169" formatCode="mm/dd/yy"/>
    <numFmt numFmtId="170" formatCode="m\-d\-yy"/>
  </numFmts>
  <fonts count="25">
    <font>
      <sz val="10"/>
      <color rgb="FF000000"/>
      <name val="Arial"/>
    </font>
    <font>
      <b/>
      <sz val="10"/>
      <color rgb="FF000000"/>
      <name val="Arial"/>
    </font>
    <font>
      <sz val="10"/>
      <name val="Arial"/>
    </font>
    <font>
      <sz val="10"/>
      <name val="Arial"/>
    </font>
    <font>
      <sz val="10"/>
      <name val="Arial"/>
    </font>
    <font>
      <b/>
      <sz val="11"/>
      <color rgb="FF000000"/>
      <name val="Arial"/>
    </font>
    <font>
      <sz val="10"/>
      <name val="Arial"/>
    </font>
    <font>
      <sz val="11"/>
      <name val="Arial"/>
    </font>
    <font>
      <b/>
      <sz val="10"/>
      <name val="Arial"/>
    </font>
    <font>
      <b/>
      <sz val="10"/>
      <color rgb="FF000000"/>
      <name val="Arial"/>
    </font>
    <font>
      <sz val="10"/>
      <name val="Calibri"/>
    </font>
    <font>
      <sz val="11"/>
      <name val="Inconsolata"/>
    </font>
    <font>
      <sz val="11"/>
      <color rgb="FF000000"/>
      <name val="Inconsolata"/>
    </font>
    <font>
      <sz val="10"/>
      <color rgb="FF000000"/>
      <name val="Arial"/>
    </font>
    <font>
      <b/>
      <sz val="10"/>
      <name val="Arial"/>
    </font>
    <font>
      <sz val="10"/>
      <color rgb="FF000000"/>
      <name val="Roboto"/>
    </font>
    <font>
      <b/>
      <sz val="10"/>
      <name val="Arial"/>
    </font>
    <font>
      <b/>
      <sz val="11"/>
      <name val="Arial"/>
    </font>
    <font>
      <b/>
      <sz val="12"/>
      <color rgb="FF000000"/>
      <name val="Arial"/>
    </font>
    <font>
      <b/>
      <sz val="12"/>
      <name val="Arial"/>
    </font>
    <font>
      <sz val="12"/>
      <name val="Arial"/>
    </font>
    <font>
      <sz val="11"/>
      <color rgb="FF000000"/>
      <name val="Arial"/>
    </font>
    <font>
      <sz val="11"/>
      <color rgb="FF000000"/>
      <name val="Arial"/>
    </font>
    <font>
      <sz val="10"/>
      <color rgb="FF333E48"/>
      <name val="National2"/>
    </font>
    <font>
      <u/>
      <sz val="11"/>
      <color rgb="FF0000FF"/>
      <name val="Calibri"/>
    </font>
  </fonts>
  <fills count="8">
    <fill>
      <patternFill patternType="none"/>
    </fill>
    <fill>
      <patternFill patternType="gray125"/>
    </fill>
    <fill>
      <patternFill patternType="solid">
        <fgColor rgb="FFFFFFFF"/>
        <bgColor rgb="FFFFFFFF"/>
      </patternFill>
    </fill>
    <fill>
      <patternFill patternType="solid">
        <fgColor rgb="FFFFF2CC"/>
        <bgColor rgb="FFFFF2CC"/>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EAD1DC"/>
        <bgColor rgb="FFEAD1DC"/>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85">
    <xf numFmtId="0" fontId="0" fillId="0" borderId="0" xfId="0" applyFont="1" applyAlignment="1"/>
    <xf numFmtId="0" fontId="1" fillId="0" borderId="0" xfId="0" applyFont="1" applyAlignment="1">
      <alignment horizontal="center"/>
    </xf>
    <xf numFmtId="0" fontId="2" fillId="2" borderId="1" xfId="0" applyFont="1" applyFill="1" applyBorder="1" applyAlignment="1">
      <alignment horizontal="center"/>
    </xf>
    <xf numFmtId="0" fontId="1" fillId="0" borderId="0" xfId="0" applyFont="1" applyAlignment="1">
      <alignment horizontal="center"/>
    </xf>
    <xf numFmtId="0" fontId="1" fillId="0" borderId="0" xfId="0" applyFont="1" applyAlignment="1">
      <alignment horizontal="center" wrapText="1"/>
    </xf>
    <xf numFmtId="0" fontId="1" fillId="0" borderId="0" xfId="0" applyFont="1" applyAlignment="1">
      <alignment horizontal="center" wrapText="1"/>
    </xf>
    <xf numFmtId="0" fontId="3" fillId="0" borderId="0" xfId="0" applyFont="1" applyAlignment="1">
      <alignment horizontal="center"/>
    </xf>
    <xf numFmtId="0" fontId="4"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wrapText="1"/>
    </xf>
    <xf numFmtId="0" fontId="7" fillId="3" borderId="0" xfId="0" applyFont="1" applyFill="1" applyAlignment="1">
      <alignment horizontal="center"/>
    </xf>
    <xf numFmtId="0" fontId="3" fillId="3" borderId="0" xfId="0" applyFont="1" applyFill="1" applyAlignment="1">
      <alignment horizontal="center" wrapText="1"/>
    </xf>
    <xf numFmtId="0" fontId="7" fillId="0" borderId="0" xfId="0" applyFont="1" applyAlignment="1">
      <alignment horizontal="center"/>
    </xf>
    <xf numFmtId="0" fontId="3" fillId="0" borderId="0" xfId="0" applyFont="1" applyAlignment="1">
      <alignment horizontal="center"/>
    </xf>
    <xf numFmtId="0" fontId="7" fillId="0" borderId="0" xfId="0" applyFont="1" applyAlignment="1">
      <alignment horizontal="center"/>
    </xf>
    <xf numFmtId="0" fontId="3" fillId="0" borderId="0" xfId="0" applyFont="1" applyAlignment="1">
      <alignment horizontal="center" wrapText="1"/>
    </xf>
    <xf numFmtId="0" fontId="7" fillId="0" borderId="0" xfId="0" applyFont="1" applyAlignment="1">
      <alignment horizontal="center" wrapText="1"/>
    </xf>
    <xf numFmtId="0" fontId="3" fillId="0" borderId="0" xfId="0" applyFont="1" applyAlignment="1">
      <alignment horizontal="center" wrapText="1"/>
    </xf>
    <xf numFmtId="0" fontId="7" fillId="0" borderId="0" xfId="0" applyFont="1" applyAlignment="1">
      <alignment horizontal="center" wrapText="1"/>
    </xf>
    <xf numFmtId="0" fontId="2" fillId="0" borderId="0" xfId="0" applyFont="1" applyAlignment="1"/>
    <xf numFmtId="0" fontId="3" fillId="0" borderId="0" xfId="0" applyFont="1" applyAlignment="1">
      <alignment horizontal="center"/>
    </xf>
    <xf numFmtId="0" fontId="5" fillId="2" borderId="1" xfId="0" applyFont="1" applyFill="1" applyBorder="1" applyAlignment="1">
      <alignment horizontal="center"/>
    </xf>
    <xf numFmtId="0" fontId="3" fillId="3" borderId="0" xfId="0" applyFont="1" applyFill="1" applyAlignment="1">
      <alignment horizontal="center" wrapText="1"/>
    </xf>
    <xf numFmtId="0" fontId="3" fillId="0" borderId="0" xfId="0" applyFont="1" applyAlignment="1">
      <alignment horizontal="center" wrapText="1"/>
    </xf>
    <xf numFmtId="0" fontId="5" fillId="2" borderId="5" xfId="0" applyFont="1" applyFill="1" applyBorder="1" applyAlignment="1">
      <alignment horizontal="center" wrapText="1"/>
    </xf>
    <xf numFmtId="0" fontId="3" fillId="3" borderId="0" xfId="0" applyFont="1" applyFill="1" applyAlignment="1">
      <alignment horizontal="center" wrapText="1"/>
    </xf>
    <xf numFmtId="0" fontId="8" fillId="2" borderId="1" xfId="0" applyFont="1" applyFill="1" applyBorder="1" applyAlignment="1">
      <alignment horizontal="center"/>
    </xf>
    <xf numFmtId="0" fontId="8" fillId="2" borderId="1" xfId="0" applyFont="1" applyFill="1" applyBorder="1" applyAlignment="1">
      <alignment horizontal="center"/>
    </xf>
    <xf numFmtId="0" fontId="0" fillId="2" borderId="0" xfId="0" applyFont="1" applyFill="1" applyAlignment="1">
      <alignment horizontal="center"/>
    </xf>
    <xf numFmtId="0" fontId="0" fillId="2" borderId="0" xfId="0" applyFont="1" applyFill="1" applyAlignment="1">
      <alignment horizontal="center"/>
    </xf>
    <xf numFmtId="0" fontId="2" fillId="2" borderId="0" xfId="0" applyFont="1" applyFill="1" applyAlignment="1">
      <alignment horizontal="center"/>
    </xf>
    <xf numFmtId="0" fontId="3" fillId="0" borderId="6" xfId="0" applyFont="1" applyBorder="1" applyAlignment="1">
      <alignment horizontal="center" wrapText="1"/>
    </xf>
    <xf numFmtId="0" fontId="2" fillId="2" borderId="0" xfId="0" applyFont="1" applyFill="1" applyAlignment="1">
      <alignment horizontal="center" wrapText="1"/>
    </xf>
    <xf numFmtId="164" fontId="3" fillId="0" borderId="0" xfId="0" applyNumberFormat="1" applyFont="1" applyAlignment="1">
      <alignment horizontal="center"/>
    </xf>
    <xf numFmtId="0" fontId="4" fillId="0" borderId="0" xfId="0" applyFont="1"/>
    <xf numFmtId="0" fontId="8" fillId="2" borderId="1" xfId="0" applyFont="1" applyFill="1" applyBorder="1" applyAlignment="1">
      <alignment horizontal="center" wrapText="1"/>
    </xf>
    <xf numFmtId="0" fontId="5" fillId="2" borderId="1" xfId="0" applyFont="1" applyFill="1" applyBorder="1" applyAlignment="1">
      <alignment horizontal="center" wrapText="1"/>
    </xf>
    <xf numFmtId="0" fontId="3" fillId="0" borderId="6" xfId="0" applyFont="1" applyBorder="1" applyAlignment="1">
      <alignment horizontal="center" wrapText="1"/>
    </xf>
    <xf numFmtId="0" fontId="5" fillId="2" borderId="1" xfId="0" applyFont="1" applyFill="1" applyBorder="1" applyAlignment="1">
      <alignment horizontal="center" wrapText="1"/>
    </xf>
    <xf numFmtId="0" fontId="3" fillId="0" borderId="6" xfId="0" applyFont="1" applyBorder="1" applyAlignment="1">
      <alignment horizontal="center"/>
    </xf>
    <xf numFmtId="0" fontId="9" fillId="2" borderId="0" xfId="0" applyFont="1" applyFill="1" applyAlignment="1">
      <alignment horizontal="center" wrapText="1"/>
    </xf>
    <xf numFmtId="0" fontId="8" fillId="2" borderId="0" xfId="0" applyFont="1" applyFill="1" applyAlignment="1">
      <alignment horizontal="center" wrapText="1"/>
    </xf>
    <xf numFmtId="0" fontId="6" fillId="0" borderId="0" xfId="0" applyFont="1" applyAlignment="1">
      <alignment horizontal="center"/>
    </xf>
    <xf numFmtId="165" fontId="6" fillId="0" borderId="0" xfId="0" applyNumberFormat="1" applyFont="1" applyAlignment="1">
      <alignment horizontal="center"/>
    </xf>
    <xf numFmtId="166" fontId="6" fillId="0" borderId="0" xfId="0" applyNumberFormat="1" applyFont="1" applyAlignment="1">
      <alignment horizontal="center"/>
    </xf>
    <xf numFmtId="0" fontId="6" fillId="0" borderId="0" xfId="0" applyFont="1" applyAlignment="1">
      <alignment horizontal="center" wrapText="1"/>
    </xf>
    <xf numFmtId="164" fontId="3" fillId="0" borderId="0" xfId="0" applyNumberFormat="1" applyFont="1" applyAlignment="1">
      <alignment horizontal="center" wrapText="1"/>
    </xf>
    <xf numFmtId="0" fontId="6" fillId="0" borderId="0" xfId="0" applyFont="1" applyAlignment="1">
      <alignment horizontal="center" wrapText="1"/>
    </xf>
    <xf numFmtId="0" fontId="3" fillId="4" borderId="0" xfId="0" applyFont="1" applyFill="1" applyAlignment="1">
      <alignment horizontal="center" wrapText="1"/>
    </xf>
    <xf numFmtId="0" fontId="6" fillId="0" borderId="0" xfId="0" applyFont="1" applyAlignment="1">
      <alignment horizontal="center"/>
    </xf>
    <xf numFmtId="14" fontId="6" fillId="0" borderId="0" xfId="0" applyNumberFormat="1" applyFont="1" applyAlignment="1">
      <alignment horizontal="center"/>
    </xf>
    <xf numFmtId="0" fontId="10" fillId="0" borderId="0" xfId="0" applyFont="1" applyAlignment="1">
      <alignment horizontal="center" wrapText="1"/>
    </xf>
    <xf numFmtId="0" fontId="10" fillId="0" borderId="0" xfId="0" applyFont="1" applyAlignment="1">
      <alignment horizontal="center"/>
    </xf>
    <xf numFmtId="0" fontId="10" fillId="0" borderId="0" xfId="0" applyFont="1" applyAlignment="1">
      <alignment horizontal="center"/>
    </xf>
    <xf numFmtId="0" fontId="11" fillId="2" borderId="0" xfId="0" applyFont="1" applyFill="1" applyAlignment="1">
      <alignment horizontal="center"/>
    </xf>
    <xf numFmtId="0" fontId="10" fillId="0" borderId="0" xfId="0" applyFont="1" applyAlignment="1">
      <alignment horizontal="center" wrapText="1"/>
    </xf>
    <xf numFmtId="0" fontId="3" fillId="3" borderId="0" xfId="0" applyFont="1" applyFill="1" applyAlignment="1">
      <alignment horizontal="center"/>
    </xf>
    <xf numFmtId="0" fontId="10" fillId="0" borderId="6" xfId="0" applyFont="1" applyBorder="1" applyAlignment="1">
      <alignment horizontal="center" wrapText="1"/>
    </xf>
    <xf numFmtId="0" fontId="6" fillId="0" borderId="0" xfId="0" applyFont="1" applyAlignment="1">
      <alignment horizontal="center"/>
    </xf>
    <xf numFmtId="167" fontId="6" fillId="0" borderId="0" xfId="0" applyNumberFormat="1" applyFont="1" applyAlignment="1">
      <alignment horizontal="center"/>
    </xf>
    <xf numFmtId="0" fontId="11" fillId="2" borderId="0" xfId="0" applyFont="1" applyFill="1" applyAlignment="1">
      <alignment horizontal="center"/>
    </xf>
    <xf numFmtId="0" fontId="3" fillId="0" borderId="6" xfId="0" applyFont="1" applyBorder="1" applyAlignment="1">
      <alignment horizontal="center" wrapText="1"/>
    </xf>
    <xf numFmtId="0" fontId="12" fillId="2" borderId="0" xfId="0" applyFont="1" applyFill="1" applyAlignment="1">
      <alignment horizontal="center"/>
    </xf>
    <xf numFmtId="0" fontId="13" fillId="2" borderId="0" xfId="0" applyFont="1" applyFill="1" applyAlignment="1">
      <alignment horizontal="center"/>
    </xf>
    <xf numFmtId="0" fontId="14" fillId="0" borderId="0" xfId="0" applyFont="1" applyAlignment="1">
      <alignment horizontal="center" wrapText="1"/>
    </xf>
    <xf numFmtId="0" fontId="10" fillId="3" borderId="0" xfId="0" applyFont="1" applyFill="1" applyAlignment="1">
      <alignment horizontal="center" wrapText="1"/>
    </xf>
    <xf numFmtId="168" fontId="3" fillId="0" borderId="0" xfId="0" applyNumberFormat="1" applyFont="1" applyAlignment="1">
      <alignment horizontal="center"/>
    </xf>
    <xf numFmtId="169" fontId="6" fillId="0" borderId="0" xfId="0" applyNumberFormat="1" applyFont="1" applyAlignment="1">
      <alignment horizontal="center"/>
    </xf>
    <xf numFmtId="0" fontId="0" fillId="0" borderId="0" xfId="0" applyFont="1" applyAlignment="1">
      <alignment horizontal="center"/>
    </xf>
    <xf numFmtId="0" fontId="3" fillId="3" borderId="0" xfId="0" applyFont="1" applyFill="1" applyAlignment="1">
      <alignment horizontal="center"/>
    </xf>
    <xf numFmtId="0" fontId="10" fillId="3" borderId="0" xfId="0" applyFont="1" applyFill="1" applyAlignment="1">
      <alignment horizontal="center" wrapText="1"/>
    </xf>
    <xf numFmtId="0" fontId="0" fillId="2" borderId="0" xfId="0" applyFont="1" applyFill="1" applyAlignment="1">
      <alignment horizontal="center" wrapText="1"/>
    </xf>
    <xf numFmtId="170" fontId="3" fillId="0" borderId="0" xfId="0" applyNumberFormat="1" applyFont="1" applyAlignment="1">
      <alignment horizontal="center"/>
    </xf>
    <xf numFmtId="14" fontId="6" fillId="0" borderId="0" xfId="0" applyNumberFormat="1" applyFont="1" applyAlignment="1">
      <alignment horizontal="center" wrapText="1"/>
    </xf>
    <xf numFmtId="0" fontId="15" fillId="2" borderId="0" xfId="0" applyFont="1" applyFill="1" applyAlignment="1">
      <alignment horizontal="center" wrapText="1"/>
    </xf>
    <xf numFmtId="0" fontId="7" fillId="2" borderId="0" xfId="0" applyFont="1" applyFill="1" applyAlignment="1">
      <alignment horizontal="center"/>
    </xf>
    <xf numFmtId="0" fontId="6" fillId="5" borderId="0" xfId="0" applyFont="1" applyFill="1" applyAlignment="1">
      <alignment horizontal="center"/>
    </xf>
    <xf numFmtId="14" fontId="6" fillId="5" borderId="0" xfId="0" applyNumberFormat="1" applyFont="1" applyFill="1" applyAlignment="1">
      <alignment horizontal="center"/>
    </xf>
    <xf numFmtId="0" fontId="6" fillId="5" borderId="0" xfId="0" applyFont="1" applyFill="1" applyAlignment="1">
      <alignment horizontal="center" wrapText="1"/>
    </xf>
    <xf numFmtId="0" fontId="6" fillId="5" borderId="0" xfId="0" applyFont="1" applyFill="1" applyAlignment="1">
      <alignment horizontal="center"/>
    </xf>
    <xf numFmtId="166" fontId="6" fillId="0" borderId="0" xfId="0" applyNumberFormat="1" applyFont="1" applyAlignment="1">
      <alignment horizontal="center"/>
    </xf>
    <xf numFmtId="169" fontId="6" fillId="0" borderId="0" xfId="0" applyNumberFormat="1" applyFont="1" applyAlignment="1">
      <alignment horizontal="center" wrapText="1"/>
    </xf>
    <xf numFmtId="0" fontId="15" fillId="2" borderId="0" xfId="0" applyFont="1" applyFill="1" applyAlignment="1">
      <alignment horizontal="center"/>
    </xf>
    <xf numFmtId="14" fontId="15" fillId="2" borderId="0" xfId="0" applyNumberFormat="1" applyFont="1" applyFill="1" applyAlignment="1">
      <alignment horizontal="center"/>
    </xf>
    <xf numFmtId="167" fontId="6" fillId="0" borderId="0" xfId="0" applyNumberFormat="1" applyFont="1" applyAlignment="1">
      <alignment horizontal="center" wrapText="1"/>
    </xf>
    <xf numFmtId="0" fontId="5" fillId="2" borderId="1" xfId="0" applyFont="1" applyFill="1" applyBorder="1" applyAlignment="1">
      <alignment horizontal="center"/>
    </xf>
    <xf numFmtId="0" fontId="15" fillId="2" borderId="0" xfId="0" applyFont="1" applyFill="1" applyAlignment="1"/>
    <xf numFmtId="167" fontId="6" fillId="0" borderId="0" xfId="0" applyNumberFormat="1" applyFont="1" applyAlignment="1">
      <alignment horizontal="center"/>
    </xf>
    <xf numFmtId="14" fontId="6" fillId="0" borderId="0" xfId="0" applyNumberFormat="1" applyFont="1" applyAlignment="1">
      <alignment horizontal="center"/>
    </xf>
    <xf numFmtId="166" fontId="6" fillId="5" borderId="0" xfId="0" applyNumberFormat="1" applyFont="1" applyFill="1" applyAlignment="1">
      <alignment horizontal="center"/>
    </xf>
    <xf numFmtId="169" fontId="6" fillId="5" borderId="0" xfId="0" applyNumberFormat="1" applyFont="1" applyFill="1" applyAlignment="1">
      <alignment horizontal="center" wrapText="1"/>
    </xf>
    <xf numFmtId="0" fontId="11" fillId="5" borderId="0" xfId="0" applyFont="1" applyFill="1" applyAlignment="1">
      <alignment horizontal="center"/>
    </xf>
    <xf numFmtId="0" fontId="6" fillId="5" borderId="0" xfId="0" applyFont="1" applyFill="1" applyAlignment="1">
      <alignment horizontal="center"/>
    </xf>
    <xf numFmtId="0" fontId="11" fillId="5" borderId="0" xfId="0" applyFont="1" applyFill="1" applyAlignment="1">
      <alignment horizontal="center"/>
    </xf>
    <xf numFmtId="0" fontId="6" fillId="5" borderId="0" xfId="0" applyFont="1" applyFill="1" applyAlignment="1">
      <alignment horizontal="center" wrapText="1"/>
    </xf>
    <xf numFmtId="0" fontId="11" fillId="0" borderId="0" xfId="0" applyFont="1" applyAlignment="1">
      <alignment horizontal="center"/>
    </xf>
    <xf numFmtId="0" fontId="11" fillId="0" borderId="0" xfId="0" applyFont="1" applyAlignment="1">
      <alignment horizontal="center"/>
    </xf>
    <xf numFmtId="0" fontId="16" fillId="0" borderId="0" xfId="0" applyFont="1" applyAlignment="1">
      <alignment horizontal="center" wrapText="1"/>
    </xf>
    <xf numFmtId="165" fontId="6" fillId="0" borderId="0" xfId="0" applyNumberFormat="1" applyFont="1" applyAlignment="1">
      <alignment horizontal="center"/>
    </xf>
    <xf numFmtId="169" fontId="6" fillId="0" borderId="0" xfId="0" applyNumberFormat="1" applyFont="1" applyAlignment="1">
      <alignment horizontal="center"/>
    </xf>
    <xf numFmtId="0" fontId="5" fillId="2" borderId="7" xfId="0" applyFont="1" applyFill="1" applyBorder="1" applyAlignment="1">
      <alignment horizontal="center"/>
    </xf>
    <xf numFmtId="0" fontId="5" fillId="2" borderId="8" xfId="0" applyFont="1" applyFill="1" applyBorder="1" applyAlignment="1">
      <alignment horizontal="center"/>
    </xf>
    <xf numFmtId="0" fontId="5" fillId="2" borderId="8" xfId="0" applyFont="1" applyFill="1" applyBorder="1" applyAlignment="1">
      <alignment horizontal="center"/>
    </xf>
    <xf numFmtId="0" fontId="17" fillId="0" borderId="1" xfId="0" applyFont="1" applyBorder="1" applyAlignment="1">
      <alignment horizontal="center"/>
    </xf>
    <xf numFmtId="0" fontId="17" fillId="0" borderId="1" xfId="0" applyFont="1" applyBorder="1" applyAlignment="1">
      <alignment horizontal="center"/>
    </xf>
    <xf numFmtId="0" fontId="16" fillId="0" borderId="1" xfId="0" applyFont="1" applyBorder="1" applyAlignment="1"/>
    <xf numFmtId="167" fontId="6" fillId="0" borderId="0" xfId="0" applyNumberFormat="1" applyFont="1"/>
    <xf numFmtId="169" fontId="6" fillId="0" borderId="0" xfId="0" applyNumberFormat="1" applyFont="1"/>
    <xf numFmtId="14" fontId="6" fillId="0" borderId="0" xfId="0" applyNumberFormat="1" applyFont="1"/>
    <xf numFmtId="0" fontId="6" fillId="0" borderId="0" xfId="0" applyFont="1" applyAlignment="1"/>
    <xf numFmtId="165" fontId="12" fillId="2" borderId="0" xfId="0" applyNumberFormat="1" applyFont="1" applyFill="1"/>
    <xf numFmtId="165" fontId="6" fillId="0" borderId="0" xfId="0" applyNumberFormat="1" applyFont="1"/>
    <xf numFmtId="14" fontId="6" fillId="0" borderId="0" xfId="0" applyNumberFormat="1" applyFont="1" applyAlignment="1"/>
    <xf numFmtId="0" fontId="17" fillId="0" borderId="7" xfId="0" applyFont="1" applyBorder="1" applyAlignment="1">
      <alignment horizontal="center"/>
    </xf>
    <xf numFmtId="0" fontId="17" fillId="0" borderId="8" xfId="0" applyFont="1" applyBorder="1" applyAlignment="1">
      <alignment horizontal="center"/>
    </xf>
    <xf numFmtId="0" fontId="17" fillId="0" borderId="8" xfId="0" applyFont="1" applyBorder="1" applyAlignment="1">
      <alignment horizontal="center"/>
    </xf>
    <xf numFmtId="0" fontId="16" fillId="0" borderId="1" xfId="0" applyFont="1" applyBorder="1" applyAlignment="1">
      <alignment wrapText="1"/>
    </xf>
    <xf numFmtId="0" fontId="6" fillId="0" borderId="1" xfId="0" applyFont="1" applyBorder="1" applyAlignment="1"/>
    <xf numFmtId="0" fontId="6" fillId="0" borderId="0" xfId="0" applyFont="1" applyAlignment="1">
      <alignment wrapText="1"/>
    </xf>
    <xf numFmtId="0" fontId="12" fillId="2" borderId="0" xfId="0" applyFont="1" applyFill="1"/>
    <xf numFmtId="0" fontId="6" fillId="2" borderId="0" xfId="0" applyFont="1" applyFill="1"/>
    <xf numFmtId="169" fontId="6" fillId="2" borderId="0" xfId="0" applyNumberFormat="1" applyFont="1" applyFill="1"/>
    <xf numFmtId="167" fontId="6" fillId="2" borderId="0" xfId="0" applyNumberFormat="1" applyFont="1" applyFill="1"/>
    <xf numFmtId="0" fontId="6" fillId="2" borderId="0" xfId="0" applyFont="1" applyFill="1" applyAlignment="1">
      <alignment horizontal="center"/>
    </xf>
    <xf numFmtId="0" fontId="6" fillId="2" borderId="0" xfId="0" applyFont="1" applyFill="1" applyAlignment="1">
      <alignment wrapText="1"/>
    </xf>
    <xf numFmtId="0" fontId="6" fillId="3" borderId="0" xfId="0" applyFont="1" applyFill="1"/>
    <xf numFmtId="14" fontId="6" fillId="2" borderId="0" xfId="0" applyNumberFormat="1" applyFont="1" applyFill="1"/>
    <xf numFmtId="167" fontId="12" fillId="2" borderId="0" xfId="0" applyNumberFormat="1" applyFont="1" applyFill="1"/>
    <xf numFmtId="0" fontId="18" fillId="2" borderId="0" xfId="0" applyFont="1" applyFill="1" applyAlignment="1">
      <alignment horizontal="center"/>
    </xf>
    <xf numFmtId="0" fontId="19" fillId="0" borderId="0" xfId="0" applyFont="1" applyAlignment="1">
      <alignment horizontal="center" wrapText="1"/>
    </xf>
    <xf numFmtId="0" fontId="19" fillId="0" borderId="0" xfId="0" applyFont="1" applyAlignment="1">
      <alignment horizontal="center"/>
    </xf>
    <xf numFmtId="0" fontId="20" fillId="0" borderId="0" xfId="0" applyFont="1" applyAlignment="1">
      <alignment horizontal="center"/>
    </xf>
    <xf numFmtId="0" fontId="20" fillId="0" borderId="0" xfId="0" applyFont="1" applyAlignment="1">
      <alignment horizontal="center"/>
    </xf>
    <xf numFmtId="166" fontId="0" fillId="2" borderId="0" xfId="0" applyNumberFormat="1" applyFont="1" applyFill="1" applyAlignment="1">
      <alignment horizontal="center"/>
    </xf>
    <xf numFmtId="0" fontId="0" fillId="2" borderId="0" xfId="0" applyFont="1" applyFill="1" applyAlignment="1">
      <alignment horizontal="center"/>
    </xf>
    <xf numFmtId="165" fontId="12" fillId="2" borderId="0" xfId="0" applyNumberFormat="1" applyFont="1" applyFill="1" applyAlignment="1">
      <alignment horizontal="center"/>
    </xf>
    <xf numFmtId="0" fontId="4" fillId="0" borderId="0" xfId="0" applyFont="1" applyAlignment="1">
      <alignment horizontal="center"/>
    </xf>
    <xf numFmtId="14" fontId="6" fillId="2" borderId="0" xfId="0" applyNumberFormat="1" applyFont="1" applyFill="1" applyAlignment="1">
      <alignment horizontal="center"/>
    </xf>
    <xf numFmtId="14" fontId="12" fillId="2" borderId="0" xfId="0" applyNumberFormat="1" applyFont="1" applyFill="1" applyAlignment="1">
      <alignment horizontal="center"/>
    </xf>
    <xf numFmtId="14" fontId="12" fillId="0" borderId="0" xfId="0" applyNumberFormat="1" applyFont="1" applyAlignment="1">
      <alignment horizontal="center"/>
    </xf>
    <xf numFmtId="166" fontId="3" fillId="0" borderId="0" xfId="0" applyNumberFormat="1" applyFont="1" applyAlignment="1">
      <alignment horizontal="center"/>
    </xf>
    <xf numFmtId="0" fontId="3" fillId="0" borderId="0" xfId="0" applyFont="1" applyAlignment="1">
      <alignment horizontal="center"/>
    </xf>
    <xf numFmtId="14" fontId="6" fillId="0" borderId="0" xfId="0" applyNumberFormat="1" applyFont="1" applyAlignment="1">
      <alignment horizontal="center"/>
    </xf>
    <xf numFmtId="166" fontId="3" fillId="0" borderId="0" xfId="0" applyNumberFormat="1" applyFont="1" applyAlignment="1">
      <alignment horizontal="center"/>
    </xf>
    <xf numFmtId="0" fontId="16" fillId="0" borderId="0" xfId="0" applyFont="1" applyAlignment="1">
      <alignment wrapText="1"/>
    </xf>
    <xf numFmtId="0" fontId="16" fillId="0" borderId="0" xfId="0" applyFont="1" applyAlignment="1">
      <alignment wrapText="1"/>
    </xf>
    <xf numFmtId="166" fontId="6" fillId="0" borderId="0" xfId="0" applyNumberFormat="1" applyFont="1" applyAlignment="1"/>
    <xf numFmtId="0" fontId="6" fillId="0" borderId="0" xfId="0" applyFont="1" applyAlignment="1"/>
    <xf numFmtId="0" fontId="21" fillId="2" borderId="0" xfId="0" applyFont="1" applyFill="1" applyAlignment="1">
      <alignment horizontal="left"/>
    </xf>
    <xf numFmtId="0" fontId="16" fillId="0" borderId="0" xfId="0" applyFont="1" applyAlignment="1"/>
    <xf numFmtId="166" fontId="6" fillId="0" borderId="0" xfId="0" applyNumberFormat="1" applyFont="1" applyAlignment="1"/>
    <xf numFmtId="0" fontId="22" fillId="2" borderId="0" xfId="0" applyFont="1" applyFill="1" applyAlignment="1"/>
    <xf numFmtId="0" fontId="21" fillId="2" borderId="0" xfId="0" applyFont="1" applyFill="1" applyAlignment="1"/>
    <xf numFmtId="0" fontId="23" fillId="2" borderId="0" xfId="0" applyFont="1" applyFill="1" applyAlignment="1">
      <alignment horizontal="left"/>
    </xf>
    <xf numFmtId="0" fontId="22" fillId="0" borderId="0" xfId="0" applyFont="1" applyAlignment="1"/>
    <xf numFmtId="0" fontId="24" fillId="2" borderId="0" xfId="0" applyFont="1" applyFill="1" applyAlignment="1"/>
    <xf numFmtId="0" fontId="6" fillId="0" borderId="0" xfId="0" applyFont="1" applyAlignment="1">
      <alignment horizontal="center"/>
    </xf>
    <xf numFmtId="166" fontId="3" fillId="0" borderId="0" xfId="0" applyNumberFormat="1" applyFont="1" applyAlignment="1">
      <alignment horizontal="center"/>
    </xf>
    <xf numFmtId="0" fontId="3" fillId="0" borderId="0" xfId="0" applyFont="1" applyAlignment="1">
      <alignment horizontal="center"/>
    </xf>
    <xf numFmtId="166" fontId="6" fillId="6" borderId="0" xfId="0" applyNumberFormat="1" applyFont="1" applyFill="1" applyAlignment="1"/>
    <xf numFmtId="0" fontId="6" fillId="6" borderId="0" xfId="0" applyFont="1" applyFill="1" applyAlignment="1"/>
    <xf numFmtId="0" fontId="6" fillId="6" borderId="0" xfId="0" applyFont="1" applyFill="1"/>
    <xf numFmtId="0" fontId="6" fillId="6" borderId="0" xfId="0" applyFont="1" applyFill="1" applyAlignment="1">
      <alignment wrapText="1"/>
    </xf>
    <xf numFmtId="0" fontId="6" fillId="6" borderId="0" xfId="0" applyFont="1" applyFill="1" applyAlignment="1"/>
    <xf numFmtId="0" fontId="6" fillId="0" borderId="0" xfId="0" applyFont="1" applyAlignment="1">
      <alignment wrapText="1"/>
    </xf>
    <xf numFmtId="0" fontId="6" fillId="0" borderId="0" xfId="0" quotePrefix="1" applyFont="1" applyAlignment="1"/>
    <xf numFmtId="0" fontId="19" fillId="0" borderId="1" xfId="0" applyFont="1" applyBorder="1" applyAlignment="1">
      <alignment horizontal="center" wrapText="1"/>
    </xf>
    <xf numFmtId="0" fontId="19" fillId="7" borderId="1" xfId="0" applyFont="1" applyFill="1" applyBorder="1" applyAlignment="1">
      <alignment horizontal="center"/>
    </xf>
    <xf numFmtId="0" fontId="19" fillId="7" borderId="1" xfId="0" applyFont="1" applyFill="1" applyBorder="1" applyAlignment="1">
      <alignment horizontal="center" vertical="center"/>
    </xf>
    <xf numFmtId="0" fontId="4" fillId="0" borderId="1" xfId="0" applyFont="1" applyBorder="1" applyAlignment="1">
      <alignment horizontal="center" wrapText="1"/>
    </xf>
    <xf numFmtId="0" fontId="6" fillId="0" borderId="1" xfId="0" applyFont="1" applyBorder="1" applyAlignment="1">
      <alignment horizontal="center"/>
    </xf>
    <xf numFmtId="0" fontId="6" fillId="0" borderId="1" xfId="0" applyFont="1" applyBorder="1" applyAlignment="1">
      <alignment horizontal="center" vertical="center"/>
    </xf>
    <xf numFmtId="0" fontId="4" fillId="0" borderId="1" xfId="0" applyFont="1" applyBorder="1" applyAlignment="1">
      <alignment horizontal="center" wrapText="1"/>
    </xf>
    <xf numFmtId="0" fontId="6" fillId="0" borderId="0" xfId="0" applyFont="1" applyAlignment="1">
      <alignment horizontal="center" vertical="center"/>
    </xf>
    <xf numFmtId="166" fontId="12" fillId="2" borderId="0" xfId="0" applyNumberFormat="1" applyFont="1" applyFill="1"/>
    <xf numFmtId="0" fontId="12" fillId="2" borderId="0" xfId="0" applyFont="1" applyFill="1"/>
    <xf numFmtId="166" fontId="12" fillId="2" borderId="0" xfId="0" applyNumberFormat="1" applyFont="1" applyFill="1"/>
    <xf numFmtId="0" fontId="5" fillId="2" borderId="2" xfId="0" applyFont="1" applyFill="1" applyBorder="1" applyAlignment="1">
      <alignment horizontal="center"/>
    </xf>
    <xf numFmtId="0" fontId="6" fillId="0" borderId="3" xfId="0" applyFont="1" applyBorder="1"/>
    <xf numFmtId="0" fontId="6" fillId="0" borderId="4" xfId="0" applyFont="1" applyBorder="1"/>
    <xf numFmtId="0" fontId="8" fillId="2" borderId="5" xfId="0" applyFont="1" applyFill="1" applyBorder="1" applyAlignment="1">
      <alignment horizontal="center"/>
    </xf>
    <xf numFmtId="0" fontId="6" fillId="0" borderId="7" xfId="0" applyFont="1" applyBorder="1"/>
    <xf numFmtId="0" fontId="16" fillId="0" borderId="0" xfId="0" applyFont="1" applyAlignment="1">
      <alignment horizontal="center"/>
    </xf>
    <xf numFmtId="0" fontId="0" fillId="0" borderId="0" xfId="0" applyFont="1" applyAlignment="1"/>
    <xf numFmtId="0" fontId="17" fillId="0" borderId="2" xfId="0" applyFont="1" applyBorder="1" applyAlignment="1">
      <alignment horizontal="center"/>
    </xf>
  </cellXfs>
  <cellStyles count="1">
    <cellStyle name="Normal" xfId="0" builtinId="0"/>
  </cellStyles>
  <dxfs count="13">
    <dxf>
      <fill>
        <patternFill patternType="solid">
          <fgColor rgb="FFF4C7C3"/>
          <bgColor rgb="FFF4C7C3"/>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
      <fill>
        <patternFill patternType="solid">
          <fgColor rgb="FFF4C7C3"/>
          <bgColor rgb="FFF4C7C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3.xml.rels><?xml version="1.0" encoding="UTF-8" standalone="yes"?>
<Relationships xmlns="http://schemas.openxmlformats.org/package/2006/relationships"><Relationship Id="rId1" Type="http://schemas.openxmlformats.org/officeDocument/2006/relationships/hyperlink" Target="mailto:mlnathan.genetics@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1007"/>
  <sheetViews>
    <sheetView workbookViewId="0">
      <pane ySplit="1" topLeftCell="A2" activePane="bottomLeft" state="frozen"/>
      <selection pane="bottomLeft" activeCell="B3" sqref="B3"/>
    </sheetView>
  </sheetViews>
  <sheetFormatPr baseColWidth="10" defaultColWidth="14.5" defaultRowHeight="15.75" customHeight="1"/>
  <cols>
    <col min="1" max="2" width="36" customWidth="1"/>
    <col min="3" max="3" width="37.5" customWidth="1"/>
    <col min="4" max="5" width="38.6640625" customWidth="1"/>
    <col min="6" max="6" width="22.1640625" customWidth="1"/>
    <col min="7" max="7" width="28.6640625" customWidth="1"/>
    <col min="8" max="8" width="22.5" customWidth="1"/>
    <col min="9" max="9" width="33.83203125" customWidth="1"/>
    <col min="10" max="10" width="27.33203125" customWidth="1"/>
    <col min="11" max="11" width="31.5" customWidth="1"/>
    <col min="12" max="12" width="49" customWidth="1"/>
  </cols>
  <sheetData>
    <row r="1" spans="1:30" ht="29.25" customHeight="1">
      <c r="A1" s="1" t="s">
        <v>0</v>
      </c>
      <c r="B1" s="3" t="s">
        <v>1</v>
      </c>
      <c r="C1" s="4" t="s">
        <v>2</v>
      </c>
      <c r="D1" s="5" t="s">
        <v>3</v>
      </c>
      <c r="E1" s="3" t="s">
        <v>4</v>
      </c>
      <c r="F1" s="1" t="s">
        <v>5</v>
      </c>
      <c r="G1" s="1" t="s">
        <v>6</v>
      </c>
      <c r="H1" s="1" t="s">
        <v>8</v>
      </c>
      <c r="I1" s="5" t="s">
        <v>9</v>
      </c>
      <c r="J1" s="1" t="s">
        <v>10</v>
      </c>
      <c r="K1" s="3" t="s">
        <v>11</v>
      </c>
      <c r="L1" s="5" t="s">
        <v>12</v>
      </c>
      <c r="M1" s="6"/>
      <c r="N1" s="6"/>
      <c r="O1" s="6"/>
      <c r="P1" s="6"/>
      <c r="Q1" s="6"/>
      <c r="R1" s="6"/>
      <c r="S1" s="6"/>
      <c r="T1" s="6"/>
      <c r="U1" s="6"/>
      <c r="V1" s="6"/>
      <c r="W1" s="6"/>
      <c r="X1" s="6"/>
      <c r="Y1" s="6"/>
      <c r="Z1" s="6"/>
      <c r="AA1" s="6"/>
      <c r="AB1" s="6"/>
      <c r="AC1" s="6"/>
      <c r="AD1" s="7"/>
    </row>
    <row r="2" spans="1:30" ht="18.75" customHeight="1">
      <c r="A2" s="8" t="s">
        <v>13</v>
      </c>
      <c r="B2" s="8" t="s">
        <v>15</v>
      </c>
      <c r="C2" s="9"/>
      <c r="D2" s="11" t="s">
        <v>17</v>
      </c>
      <c r="E2" s="13" t="s">
        <v>19</v>
      </c>
      <c r="F2" s="13" t="s">
        <v>19</v>
      </c>
      <c r="G2" s="13" t="s">
        <v>21</v>
      </c>
      <c r="H2" s="13" t="s">
        <v>22</v>
      </c>
      <c r="I2" s="15" t="s">
        <v>23</v>
      </c>
      <c r="J2" s="13" t="s">
        <v>27</v>
      </c>
      <c r="K2" s="6"/>
      <c r="L2" s="17"/>
      <c r="M2" s="6"/>
      <c r="N2" s="6"/>
      <c r="O2" s="6"/>
      <c r="P2" s="6"/>
      <c r="Q2" s="6"/>
      <c r="R2" s="6"/>
      <c r="S2" s="6"/>
      <c r="T2" s="6"/>
      <c r="U2" s="6"/>
      <c r="V2" s="6"/>
      <c r="W2" s="6"/>
      <c r="X2" s="6"/>
      <c r="Y2" s="6"/>
      <c r="Z2" s="6"/>
      <c r="AA2" s="6"/>
      <c r="AB2" s="6"/>
      <c r="AC2" s="6"/>
      <c r="AD2" s="7"/>
    </row>
    <row r="3" spans="1:30" ht="15.75" customHeight="1">
      <c r="A3" s="20" t="s">
        <v>30</v>
      </c>
      <c r="B3" s="8" t="s">
        <v>15</v>
      </c>
      <c r="C3" s="9"/>
      <c r="D3" s="22" t="s">
        <v>31</v>
      </c>
      <c r="E3" s="8" t="s">
        <v>33</v>
      </c>
      <c r="F3" s="20" t="s">
        <v>34</v>
      </c>
      <c r="G3" s="20" t="s">
        <v>35</v>
      </c>
      <c r="H3" s="20" t="s">
        <v>36</v>
      </c>
      <c r="I3" s="23" t="s">
        <v>37</v>
      </c>
      <c r="J3" s="20" t="s">
        <v>27</v>
      </c>
      <c r="K3" s="8" t="s">
        <v>39</v>
      </c>
      <c r="L3" s="23" t="s">
        <v>40</v>
      </c>
      <c r="M3" s="6"/>
      <c r="N3" s="6"/>
      <c r="O3" s="6"/>
      <c r="P3" s="6"/>
      <c r="Q3" s="6"/>
      <c r="R3" s="6"/>
      <c r="S3" s="6"/>
      <c r="T3" s="6"/>
      <c r="U3" s="6"/>
      <c r="V3" s="6"/>
      <c r="W3" s="6"/>
      <c r="X3" s="6"/>
      <c r="Y3" s="6"/>
      <c r="Z3" s="6"/>
      <c r="AA3" s="6"/>
      <c r="AB3" s="6"/>
      <c r="AC3" s="6"/>
      <c r="AD3" s="7"/>
    </row>
    <row r="4" spans="1:30" ht="14">
      <c r="A4" s="8" t="s">
        <v>43</v>
      </c>
      <c r="B4" s="8" t="s">
        <v>15</v>
      </c>
      <c r="C4" s="9" t="s">
        <v>44</v>
      </c>
      <c r="D4" s="25" t="s">
        <v>45</v>
      </c>
      <c r="E4" s="8" t="s">
        <v>46</v>
      </c>
      <c r="F4" s="20" t="s">
        <v>47</v>
      </c>
      <c r="G4" s="20" t="s">
        <v>48</v>
      </c>
      <c r="H4" s="20" t="s">
        <v>22</v>
      </c>
      <c r="I4" s="23" t="s">
        <v>49</v>
      </c>
      <c r="J4" s="20" t="s">
        <v>50</v>
      </c>
      <c r="K4" s="20"/>
      <c r="L4" s="17"/>
      <c r="M4" s="6"/>
      <c r="N4" s="6"/>
      <c r="O4" s="6"/>
      <c r="P4" s="6"/>
      <c r="Q4" s="6"/>
      <c r="R4" s="6"/>
      <c r="S4" s="6"/>
      <c r="T4" s="6"/>
      <c r="U4" s="6"/>
      <c r="V4" s="6"/>
      <c r="W4" s="6"/>
      <c r="X4" s="6"/>
      <c r="Y4" s="6"/>
      <c r="Z4" s="6"/>
      <c r="AA4" s="6"/>
      <c r="AB4" s="6"/>
      <c r="AC4" s="6"/>
      <c r="AD4" s="7"/>
    </row>
    <row r="5" spans="1:30" ht="16.5" customHeight="1">
      <c r="A5" s="8" t="s">
        <v>13</v>
      </c>
      <c r="B5" s="8" t="s">
        <v>15</v>
      </c>
      <c r="C5" s="9" t="s">
        <v>51</v>
      </c>
      <c r="D5" s="25" t="s">
        <v>52</v>
      </c>
      <c r="E5" s="8" t="s">
        <v>46</v>
      </c>
      <c r="F5" s="20" t="s">
        <v>53</v>
      </c>
      <c r="G5" s="20" t="s">
        <v>35</v>
      </c>
      <c r="H5" s="20" t="s">
        <v>36</v>
      </c>
      <c r="I5" s="23" t="s">
        <v>54</v>
      </c>
      <c r="J5" s="28" t="s">
        <v>27</v>
      </c>
      <c r="K5" s="29" t="s">
        <v>56</v>
      </c>
      <c r="L5" s="31" t="s">
        <v>57</v>
      </c>
      <c r="M5" s="6"/>
      <c r="N5" s="6"/>
      <c r="O5" s="6"/>
      <c r="P5" s="6"/>
      <c r="Q5" s="6"/>
      <c r="R5" s="6"/>
      <c r="S5" s="6"/>
      <c r="T5" s="6"/>
      <c r="U5" s="6"/>
      <c r="V5" s="6"/>
      <c r="W5" s="6"/>
      <c r="X5" s="6"/>
      <c r="Y5" s="6"/>
      <c r="Z5" s="6"/>
      <c r="AA5" s="6"/>
      <c r="AB5" s="6"/>
      <c r="AC5" s="6"/>
      <c r="AD5" s="7"/>
    </row>
    <row r="6" spans="1:30" ht="28">
      <c r="A6" s="20" t="s">
        <v>30</v>
      </c>
      <c r="B6" s="33">
        <v>43525</v>
      </c>
      <c r="C6" s="34"/>
      <c r="D6" s="25" t="s">
        <v>59</v>
      </c>
      <c r="E6" s="8" t="s">
        <v>46</v>
      </c>
      <c r="F6" s="20" t="s">
        <v>53</v>
      </c>
      <c r="G6" s="20" t="s">
        <v>60</v>
      </c>
      <c r="H6" s="20" t="s">
        <v>61</v>
      </c>
      <c r="I6" s="23" t="s">
        <v>62</v>
      </c>
      <c r="J6" s="13" t="s">
        <v>63</v>
      </c>
      <c r="K6" s="6"/>
      <c r="L6" s="31" t="s">
        <v>64</v>
      </c>
      <c r="M6" s="6"/>
      <c r="N6" s="6"/>
      <c r="O6" s="6"/>
      <c r="P6" s="6"/>
      <c r="Q6" s="6"/>
      <c r="R6" s="6"/>
      <c r="S6" s="6"/>
      <c r="T6" s="6"/>
      <c r="U6" s="6"/>
      <c r="V6" s="6"/>
      <c r="W6" s="6"/>
      <c r="X6" s="6"/>
      <c r="Y6" s="6"/>
      <c r="Z6" s="6"/>
      <c r="AA6" s="6"/>
      <c r="AB6" s="6"/>
      <c r="AC6" s="6"/>
      <c r="AD6" s="7"/>
    </row>
    <row r="7" spans="1:30" ht="28">
      <c r="A7" s="8" t="s">
        <v>30</v>
      </c>
      <c r="B7" s="8" t="s">
        <v>65</v>
      </c>
      <c r="C7" s="23"/>
      <c r="D7" s="15" t="s">
        <v>66</v>
      </c>
      <c r="E7" s="13" t="s">
        <v>46</v>
      </c>
      <c r="F7" s="13" t="s">
        <v>67</v>
      </c>
      <c r="G7" s="15" t="s">
        <v>68</v>
      </c>
      <c r="H7" s="13" t="s">
        <v>22</v>
      </c>
      <c r="I7" s="15" t="s">
        <v>69</v>
      </c>
      <c r="J7" s="13" t="s">
        <v>63</v>
      </c>
      <c r="K7" s="13" t="s">
        <v>70</v>
      </c>
      <c r="L7" s="37" t="s">
        <v>71</v>
      </c>
      <c r="M7" s="39"/>
      <c r="N7" s="39"/>
      <c r="O7" s="39"/>
      <c r="P7" s="39"/>
      <c r="Q7" s="39"/>
      <c r="R7" s="39"/>
      <c r="S7" s="6"/>
      <c r="T7" s="6"/>
      <c r="U7" s="6"/>
      <c r="V7" s="6"/>
      <c r="W7" s="6"/>
      <c r="X7" s="6"/>
      <c r="Y7" s="6"/>
      <c r="Z7" s="6"/>
      <c r="AA7" s="6"/>
      <c r="AB7" s="6"/>
      <c r="AC7" s="6"/>
      <c r="AD7" s="7"/>
    </row>
    <row r="8" spans="1:30" ht="70">
      <c r="A8" s="8" t="s">
        <v>13</v>
      </c>
      <c r="B8" s="8" t="s">
        <v>86</v>
      </c>
      <c r="C8" s="23"/>
      <c r="D8" s="15" t="s">
        <v>88</v>
      </c>
      <c r="E8" s="13" t="s">
        <v>46</v>
      </c>
      <c r="F8" s="13" t="s">
        <v>67</v>
      </c>
      <c r="G8" s="13" t="s">
        <v>94</v>
      </c>
      <c r="H8" s="13" t="s">
        <v>22</v>
      </c>
      <c r="I8" s="15" t="s">
        <v>95</v>
      </c>
      <c r="J8" s="13" t="s">
        <v>63</v>
      </c>
      <c r="K8" s="13" t="s">
        <v>96</v>
      </c>
      <c r="L8" s="15" t="s">
        <v>97</v>
      </c>
      <c r="M8" s="6"/>
      <c r="N8" s="6"/>
      <c r="O8" s="6"/>
      <c r="P8" s="6"/>
      <c r="Q8" s="6"/>
      <c r="R8" s="6"/>
      <c r="S8" s="6"/>
      <c r="T8" s="6"/>
      <c r="U8" s="6"/>
      <c r="V8" s="6"/>
      <c r="W8" s="6"/>
      <c r="X8" s="6"/>
      <c r="Y8" s="6"/>
      <c r="Z8" s="6"/>
      <c r="AA8" s="6"/>
      <c r="AB8" s="6"/>
      <c r="AC8" s="6"/>
      <c r="AD8" s="7"/>
    </row>
    <row r="9" spans="1:30" ht="18.75" customHeight="1">
      <c r="A9" s="8" t="s">
        <v>43</v>
      </c>
      <c r="B9" s="8" t="s">
        <v>65</v>
      </c>
      <c r="C9" s="9" t="s">
        <v>99</v>
      </c>
      <c r="D9" s="15" t="s">
        <v>100</v>
      </c>
      <c r="E9" s="13" t="s">
        <v>46</v>
      </c>
      <c r="F9" s="13" t="s">
        <v>101</v>
      </c>
      <c r="G9" s="13" t="s">
        <v>94</v>
      </c>
      <c r="H9" s="13" t="s">
        <v>22</v>
      </c>
      <c r="I9" s="15" t="s">
        <v>103</v>
      </c>
      <c r="J9" s="13" t="s">
        <v>63</v>
      </c>
      <c r="K9" s="13" t="s">
        <v>70</v>
      </c>
      <c r="L9" s="15" t="s">
        <v>70</v>
      </c>
      <c r="M9" s="6"/>
      <c r="N9" s="6"/>
      <c r="O9" s="6"/>
      <c r="P9" s="6"/>
      <c r="Q9" s="6"/>
      <c r="R9" s="6"/>
      <c r="S9" s="6"/>
      <c r="T9" s="6"/>
      <c r="U9" s="6"/>
      <c r="V9" s="6"/>
      <c r="W9" s="6"/>
      <c r="X9" s="6"/>
      <c r="Y9" s="6"/>
      <c r="Z9" s="6"/>
      <c r="AA9" s="6"/>
      <c r="AB9" s="6"/>
      <c r="AC9" s="6"/>
      <c r="AD9" s="7"/>
    </row>
    <row r="10" spans="1:30" ht="14">
      <c r="A10" s="8" t="s">
        <v>43</v>
      </c>
      <c r="B10" s="8" t="s">
        <v>15</v>
      </c>
      <c r="C10" s="9" t="s">
        <v>99</v>
      </c>
      <c r="D10" s="22" t="s">
        <v>104</v>
      </c>
      <c r="E10" s="8" t="s">
        <v>46</v>
      </c>
      <c r="F10" s="20" t="s">
        <v>53</v>
      </c>
      <c r="G10" s="8" t="s">
        <v>105</v>
      </c>
      <c r="H10" s="20" t="s">
        <v>36</v>
      </c>
      <c r="I10" s="23" t="s">
        <v>106</v>
      </c>
      <c r="J10" s="28" t="s">
        <v>27</v>
      </c>
      <c r="K10" s="29" t="s">
        <v>107</v>
      </c>
      <c r="L10" s="23" t="s">
        <v>57</v>
      </c>
      <c r="M10" s="6"/>
      <c r="N10" s="6"/>
      <c r="O10" s="6"/>
      <c r="P10" s="6"/>
      <c r="Q10" s="6"/>
      <c r="R10" s="6"/>
      <c r="S10" s="6"/>
      <c r="T10" s="6"/>
      <c r="U10" s="6"/>
      <c r="V10" s="6"/>
      <c r="W10" s="6"/>
      <c r="X10" s="6"/>
      <c r="Y10" s="6"/>
      <c r="Z10" s="6"/>
      <c r="AA10" s="6"/>
      <c r="AB10" s="6"/>
      <c r="AC10" s="6"/>
      <c r="AD10" s="7"/>
    </row>
    <row r="11" spans="1:30" ht="14">
      <c r="A11" s="20" t="s">
        <v>30</v>
      </c>
      <c r="B11" s="8" t="s">
        <v>15</v>
      </c>
      <c r="C11" s="9"/>
      <c r="D11" s="23" t="s">
        <v>109</v>
      </c>
      <c r="E11" s="8" t="s">
        <v>46</v>
      </c>
      <c r="F11" s="20" t="s">
        <v>110</v>
      </c>
      <c r="G11" s="20" t="s">
        <v>111</v>
      </c>
      <c r="H11" s="20" t="s">
        <v>22</v>
      </c>
      <c r="I11" s="23" t="s">
        <v>112</v>
      </c>
      <c r="J11" s="20" t="s">
        <v>113</v>
      </c>
      <c r="K11" s="20"/>
      <c r="L11" s="17"/>
      <c r="M11" s="6"/>
      <c r="N11" s="6"/>
      <c r="O11" s="6"/>
      <c r="P11" s="6"/>
      <c r="Q11" s="6"/>
      <c r="R11" s="6"/>
      <c r="S11" s="6"/>
      <c r="T11" s="6"/>
      <c r="U11" s="6"/>
      <c r="V11" s="6"/>
      <c r="W11" s="6"/>
      <c r="X11" s="6"/>
      <c r="Y11" s="6"/>
      <c r="Z11" s="6"/>
      <c r="AA11" s="6"/>
      <c r="AB11" s="6"/>
      <c r="AC11" s="6"/>
      <c r="AD11" s="7"/>
    </row>
    <row r="12" spans="1:30" ht="14">
      <c r="A12" s="20" t="s">
        <v>13</v>
      </c>
      <c r="B12" s="8" t="s">
        <v>15</v>
      </c>
      <c r="C12" s="9" t="s">
        <v>114</v>
      </c>
      <c r="D12" s="23" t="s">
        <v>115</v>
      </c>
      <c r="E12" s="8" t="s">
        <v>46</v>
      </c>
      <c r="F12" s="20" t="s">
        <v>20</v>
      </c>
      <c r="G12" s="20" t="s">
        <v>116</v>
      </c>
      <c r="H12" s="20" t="s">
        <v>25</v>
      </c>
      <c r="I12" s="23" t="s">
        <v>118</v>
      </c>
      <c r="J12" s="20" t="s">
        <v>113</v>
      </c>
      <c r="K12" s="20"/>
      <c r="L12" s="37" t="s">
        <v>119</v>
      </c>
      <c r="M12" s="6"/>
      <c r="N12" s="6"/>
      <c r="O12" s="6"/>
      <c r="P12" s="6"/>
      <c r="Q12" s="6"/>
      <c r="R12" s="6"/>
      <c r="S12" s="6"/>
      <c r="T12" s="6"/>
      <c r="U12" s="6"/>
      <c r="V12" s="6"/>
      <c r="W12" s="6"/>
      <c r="X12" s="6"/>
      <c r="Y12" s="6"/>
      <c r="Z12" s="6"/>
      <c r="AA12" s="6"/>
      <c r="AB12" s="6"/>
      <c r="AC12" s="6"/>
      <c r="AD12" s="7"/>
    </row>
    <row r="13" spans="1:30" ht="14">
      <c r="A13" s="8" t="s">
        <v>13</v>
      </c>
      <c r="B13" s="8" t="s">
        <v>120</v>
      </c>
      <c r="C13" s="23"/>
      <c r="D13" s="15" t="s">
        <v>121</v>
      </c>
      <c r="E13" s="13" t="s">
        <v>46</v>
      </c>
      <c r="F13" s="13" t="s">
        <v>67</v>
      </c>
      <c r="G13" s="13" t="s">
        <v>94</v>
      </c>
      <c r="H13" s="13" t="s">
        <v>22</v>
      </c>
      <c r="I13" s="15" t="s">
        <v>124</v>
      </c>
      <c r="J13" s="13" t="s">
        <v>63</v>
      </c>
      <c r="K13" s="13" t="s">
        <v>70</v>
      </c>
      <c r="L13" s="37" t="s">
        <v>70</v>
      </c>
      <c r="M13" s="39"/>
      <c r="N13" s="39"/>
      <c r="O13" s="39"/>
      <c r="P13" s="39"/>
      <c r="Q13" s="39"/>
      <c r="R13" s="39"/>
      <c r="S13" s="39"/>
      <c r="T13" s="39"/>
      <c r="U13" s="39"/>
      <c r="V13" s="39"/>
      <c r="W13" s="39"/>
      <c r="X13" s="39"/>
      <c r="Y13" s="39"/>
      <c r="Z13" s="6"/>
      <c r="AA13" s="6"/>
      <c r="AB13" s="6"/>
      <c r="AC13" s="6"/>
      <c r="AD13" s="7"/>
    </row>
    <row r="14" spans="1:30" ht="14">
      <c r="A14" s="8" t="s">
        <v>13</v>
      </c>
      <c r="B14" s="33">
        <v>43525</v>
      </c>
      <c r="C14" s="46"/>
      <c r="D14" s="48" t="s">
        <v>126</v>
      </c>
      <c r="E14" s="13" t="s">
        <v>46</v>
      </c>
      <c r="F14" s="13" t="s">
        <v>47</v>
      </c>
      <c r="G14" s="13" t="s">
        <v>127</v>
      </c>
      <c r="H14" s="13" t="s">
        <v>61</v>
      </c>
      <c r="I14" s="15" t="s">
        <v>128</v>
      </c>
      <c r="J14" s="13" t="s">
        <v>63</v>
      </c>
      <c r="K14" s="6"/>
      <c r="L14" s="37" t="s">
        <v>129</v>
      </c>
      <c r="M14" s="39"/>
      <c r="N14" s="39"/>
      <c r="O14" s="6"/>
      <c r="P14" s="6"/>
      <c r="Q14" s="6"/>
      <c r="R14" s="6"/>
      <c r="S14" s="6"/>
      <c r="T14" s="6"/>
      <c r="U14" s="6"/>
      <c r="V14" s="6"/>
      <c r="W14" s="6"/>
      <c r="X14" s="6"/>
      <c r="Y14" s="6"/>
      <c r="Z14" s="6"/>
      <c r="AA14" s="6"/>
      <c r="AB14" s="6"/>
      <c r="AC14" s="6"/>
      <c r="AD14" s="7"/>
    </row>
    <row r="15" spans="1:30" ht="28">
      <c r="A15" s="8" t="s">
        <v>43</v>
      </c>
      <c r="B15" s="8" t="s">
        <v>15</v>
      </c>
      <c r="C15" s="9" t="s">
        <v>131</v>
      </c>
      <c r="D15" s="9" t="s">
        <v>132</v>
      </c>
      <c r="E15" s="8" t="s">
        <v>133</v>
      </c>
      <c r="F15" s="20" t="s">
        <v>47</v>
      </c>
      <c r="G15" s="20" t="s">
        <v>134</v>
      </c>
      <c r="H15" s="20" t="s">
        <v>135</v>
      </c>
      <c r="I15" s="23" t="s">
        <v>137</v>
      </c>
      <c r="J15" s="20" t="s">
        <v>27</v>
      </c>
      <c r="K15" s="20"/>
      <c r="L15" s="31" t="s">
        <v>57</v>
      </c>
      <c r="M15" s="39"/>
      <c r="N15" s="39"/>
      <c r="O15" s="6"/>
      <c r="P15" s="6"/>
      <c r="Q15" s="6"/>
      <c r="R15" s="6"/>
      <c r="S15" s="6"/>
      <c r="T15" s="6"/>
      <c r="U15" s="6"/>
      <c r="V15" s="6"/>
      <c r="W15" s="6"/>
      <c r="X15" s="6"/>
      <c r="Y15" s="6"/>
      <c r="Z15" s="6"/>
      <c r="AA15" s="6"/>
      <c r="AB15" s="6"/>
      <c r="AC15" s="6"/>
      <c r="AD15" s="7"/>
    </row>
    <row r="16" spans="1:30" ht="14">
      <c r="A16" s="8" t="s">
        <v>13</v>
      </c>
      <c r="B16" s="8" t="s">
        <v>140</v>
      </c>
      <c r="C16" s="23"/>
      <c r="D16" s="15" t="s">
        <v>141</v>
      </c>
      <c r="E16" s="13" t="s">
        <v>142</v>
      </c>
      <c r="F16" s="13" t="s">
        <v>136</v>
      </c>
      <c r="G16" s="13" t="s">
        <v>144</v>
      </c>
      <c r="H16" s="13" t="s">
        <v>145</v>
      </c>
      <c r="I16" s="17"/>
      <c r="J16" s="13" t="s">
        <v>63</v>
      </c>
      <c r="K16" s="13" t="s">
        <v>70</v>
      </c>
      <c r="L16" s="37" t="s">
        <v>70</v>
      </c>
      <c r="M16" s="39"/>
      <c r="N16" s="39"/>
      <c r="O16" s="6"/>
      <c r="P16" s="6"/>
      <c r="Q16" s="6"/>
      <c r="R16" s="6"/>
      <c r="S16" s="6"/>
      <c r="T16" s="6"/>
      <c r="U16" s="6"/>
      <c r="V16" s="6"/>
      <c r="W16" s="6"/>
      <c r="X16" s="6"/>
      <c r="Y16" s="6"/>
      <c r="Z16" s="6"/>
      <c r="AA16" s="6"/>
      <c r="AB16" s="6"/>
      <c r="AC16" s="6"/>
      <c r="AD16" s="7"/>
    </row>
    <row r="17" spans="1:30" ht="30">
      <c r="A17" s="20" t="s">
        <v>30</v>
      </c>
      <c r="B17" s="8" t="s">
        <v>15</v>
      </c>
      <c r="C17" s="9" t="s">
        <v>146</v>
      </c>
      <c r="D17" s="51" t="s">
        <v>147</v>
      </c>
      <c r="E17" s="52" t="s">
        <v>142</v>
      </c>
      <c r="F17" s="53" t="s">
        <v>136</v>
      </c>
      <c r="G17" s="53" t="s">
        <v>144</v>
      </c>
      <c r="H17" s="20" t="s">
        <v>22</v>
      </c>
      <c r="I17" s="55" t="s">
        <v>148</v>
      </c>
      <c r="J17" s="56"/>
      <c r="K17" s="6"/>
      <c r="L17" s="57" t="s">
        <v>149</v>
      </c>
      <c r="M17" s="39"/>
      <c r="N17" s="39"/>
      <c r="O17" s="6"/>
      <c r="P17" s="6"/>
      <c r="Q17" s="6"/>
      <c r="R17" s="6"/>
      <c r="S17" s="6"/>
      <c r="T17" s="6"/>
      <c r="U17" s="6"/>
      <c r="V17" s="6"/>
      <c r="W17" s="6"/>
      <c r="X17" s="6"/>
      <c r="Y17" s="6"/>
      <c r="Z17" s="6"/>
      <c r="AA17" s="6"/>
      <c r="AB17" s="6"/>
      <c r="AC17" s="6"/>
      <c r="AD17" s="7"/>
    </row>
    <row r="18" spans="1:30" ht="70">
      <c r="A18" s="20" t="s">
        <v>13</v>
      </c>
      <c r="B18" s="8" t="s">
        <v>15</v>
      </c>
      <c r="C18" s="9"/>
      <c r="D18" s="22" t="s">
        <v>150</v>
      </c>
      <c r="E18" s="8" t="s">
        <v>142</v>
      </c>
      <c r="F18" s="20" t="s">
        <v>136</v>
      </c>
      <c r="G18" s="20" t="s">
        <v>151</v>
      </c>
      <c r="H18" s="20" t="s">
        <v>152</v>
      </c>
      <c r="I18" s="23" t="s">
        <v>153</v>
      </c>
      <c r="J18" s="23" t="s">
        <v>154</v>
      </c>
      <c r="K18" s="20"/>
      <c r="L18" s="23" t="s">
        <v>155</v>
      </c>
      <c r="M18" s="6"/>
      <c r="N18" s="6"/>
      <c r="O18" s="6"/>
      <c r="P18" s="6"/>
      <c r="Q18" s="6"/>
      <c r="R18" s="6"/>
      <c r="S18" s="6"/>
      <c r="T18" s="6"/>
      <c r="U18" s="6"/>
      <c r="V18" s="6"/>
      <c r="W18" s="6"/>
      <c r="X18" s="6"/>
      <c r="Y18" s="6"/>
      <c r="Z18" s="6"/>
      <c r="AA18" s="6"/>
      <c r="AB18" s="6"/>
      <c r="AC18" s="6"/>
      <c r="AD18" s="7"/>
    </row>
    <row r="19" spans="1:30" ht="14">
      <c r="A19" s="8" t="s">
        <v>13</v>
      </c>
      <c r="B19" s="8" t="s">
        <v>15</v>
      </c>
      <c r="C19" s="9"/>
      <c r="D19" s="22" t="s">
        <v>136</v>
      </c>
      <c r="E19" s="8" t="s">
        <v>142</v>
      </c>
      <c r="F19" s="20" t="s">
        <v>136</v>
      </c>
      <c r="G19" s="20" t="s">
        <v>144</v>
      </c>
      <c r="H19" s="20" t="s">
        <v>22</v>
      </c>
      <c r="I19" s="23" t="s">
        <v>156</v>
      </c>
      <c r="J19" s="56"/>
      <c r="K19" s="13" t="s">
        <v>157</v>
      </c>
      <c r="L19" s="17"/>
      <c r="M19" s="6"/>
      <c r="N19" s="6"/>
      <c r="O19" s="6"/>
      <c r="P19" s="6"/>
      <c r="Q19" s="6"/>
      <c r="R19" s="6"/>
      <c r="S19" s="6"/>
      <c r="T19" s="6"/>
      <c r="U19" s="6"/>
      <c r="V19" s="6"/>
      <c r="W19" s="6"/>
      <c r="X19" s="6"/>
      <c r="Y19" s="6"/>
      <c r="Z19" s="6"/>
      <c r="AA19" s="6"/>
      <c r="AB19" s="6"/>
      <c r="AC19" s="6"/>
      <c r="AD19" s="7"/>
    </row>
    <row r="20" spans="1:30" ht="28">
      <c r="A20" s="8" t="s">
        <v>43</v>
      </c>
      <c r="B20" s="8" t="s">
        <v>158</v>
      </c>
      <c r="C20" s="9" t="s">
        <v>159</v>
      </c>
      <c r="D20" s="15" t="s">
        <v>161</v>
      </c>
      <c r="E20" s="13" t="s">
        <v>142</v>
      </c>
      <c r="F20" s="13" t="s">
        <v>136</v>
      </c>
      <c r="G20" s="13" t="s">
        <v>162</v>
      </c>
      <c r="H20" s="13" t="s">
        <v>25</v>
      </c>
      <c r="I20" s="17"/>
      <c r="J20" s="6"/>
      <c r="K20" s="6"/>
      <c r="L20" s="61"/>
      <c r="M20" s="6"/>
      <c r="N20" s="6"/>
      <c r="O20" s="6"/>
      <c r="P20" s="6"/>
      <c r="Q20" s="6"/>
      <c r="R20" s="6"/>
      <c r="S20" s="6"/>
      <c r="T20" s="6"/>
      <c r="U20" s="6"/>
      <c r="V20" s="6"/>
      <c r="W20" s="6"/>
      <c r="X20" s="6"/>
      <c r="Y20" s="6"/>
      <c r="Z20" s="6"/>
      <c r="AA20" s="6"/>
      <c r="AB20" s="6"/>
      <c r="AC20" s="6"/>
      <c r="AD20" s="7"/>
    </row>
    <row r="21" spans="1:30" ht="28">
      <c r="A21" s="8" t="s">
        <v>43</v>
      </c>
      <c r="B21" s="8" t="s">
        <v>165</v>
      </c>
      <c r="C21" s="9" t="s">
        <v>159</v>
      </c>
      <c r="D21" s="15" t="s">
        <v>166</v>
      </c>
      <c r="E21" s="13" t="s">
        <v>142</v>
      </c>
      <c r="F21" s="13" t="s">
        <v>136</v>
      </c>
      <c r="G21" s="13" t="s">
        <v>162</v>
      </c>
      <c r="H21" s="13" t="s">
        <v>25</v>
      </c>
      <c r="I21" s="17"/>
      <c r="J21" s="6"/>
      <c r="K21" s="6"/>
      <c r="L21" s="17"/>
      <c r="M21" s="6"/>
      <c r="N21" s="6"/>
      <c r="O21" s="6"/>
      <c r="P21" s="6"/>
      <c r="Q21" s="6"/>
      <c r="R21" s="6"/>
      <c r="S21" s="6"/>
      <c r="T21" s="6"/>
      <c r="U21" s="6"/>
      <c r="V21" s="6"/>
      <c r="W21" s="6"/>
      <c r="X21" s="6"/>
      <c r="Y21" s="6"/>
      <c r="Z21" s="6"/>
      <c r="AA21" s="6"/>
      <c r="AB21" s="6"/>
      <c r="AC21" s="6"/>
      <c r="AD21" s="7"/>
    </row>
    <row r="22" spans="1:30" ht="56">
      <c r="A22" s="8" t="s">
        <v>30</v>
      </c>
      <c r="B22" s="8" t="s">
        <v>15</v>
      </c>
      <c r="C22" s="64" t="s">
        <v>167</v>
      </c>
      <c r="D22" s="25" t="s">
        <v>169</v>
      </c>
      <c r="E22" s="8" t="s">
        <v>18</v>
      </c>
      <c r="F22" s="20" t="s">
        <v>47</v>
      </c>
      <c r="G22" s="20" t="s">
        <v>48</v>
      </c>
      <c r="H22" s="20" t="s">
        <v>22</v>
      </c>
      <c r="I22" s="23" t="s">
        <v>170</v>
      </c>
      <c r="J22" s="20" t="s">
        <v>50</v>
      </c>
      <c r="K22" s="20"/>
      <c r="L22" s="15" t="s">
        <v>171</v>
      </c>
      <c r="M22" s="6"/>
      <c r="N22" s="6"/>
      <c r="O22" s="6"/>
      <c r="P22" s="6"/>
      <c r="Q22" s="6"/>
      <c r="R22" s="6"/>
      <c r="S22" s="6"/>
      <c r="T22" s="6"/>
      <c r="U22" s="6"/>
      <c r="V22" s="6"/>
      <c r="W22" s="6"/>
      <c r="X22" s="6"/>
      <c r="Y22" s="6"/>
      <c r="Z22" s="6"/>
      <c r="AA22" s="6"/>
      <c r="AB22" s="6"/>
      <c r="AC22" s="6"/>
      <c r="AD22" s="7"/>
    </row>
    <row r="23" spans="1:30" ht="28">
      <c r="A23" s="20" t="s">
        <v>30</v>
      </c>
      <c r="B23" s="8" t="s">
        <v>15</v>
      </c>
      <c r="C23" s="9"/>
      <c r="D23" s="25" t="s">
        <v>172</v>
      </c>
      <c r="E23" s="8" t="s">
        <v>18</v>
      </c>
      <c r="F23" s="20" t="s">
        <v>53</v>
      </c>
      <c r="G23" s="20" t="s">
        <v>60</v>
      </c>
      <c r="H23" s="20" t="s">
        <v>135</v>
      </c>
      <c r="I23" s="23" t="s">
        <v>62</v>
      </c>
      <c r="J23" s="13" t="s">
        <v>63</v>
      </c>
      <c r="K23" s="6"/>
      <c r="L23" s="23" t="s">
        <v>64</v>
      </c>
      <c r="M23" s="6"/>
      <c r="N23" s="6"/>
      <c r="O23" s="6"/>
      <c r="P23" s="6"/>
      <c r="Q23" s="6"/>
      <c r="R23" s="6"/>
      <c r="S23" s="6"/>
      <c r="T23" s="6"/>
      <c r="U23" s="6"/>
      <c r="V23" s="6"/>
      <c r="W23" s="6"/>
      <c r="X23" s="6"/>
      <c r="Y23" s="6"/>
      <c r="Z23" s="6"/>
      <c r="AA23" s="6"/>
      <c r="AB23" s="6"/>
      <c r="AC23" s="6"/>
      <c r="AD23" s="7"/>
    </row>
    <row r="24" spans="1:30" ht="57">
      <c r="A24" s="8" t="s">
        <v>30</v>
      </c>
      <c r="B24" s="8" t="s">
        <v>15</v>
      </c>
      <c r="C24" s="9" t="s">
        <v>174</v>
      </c>
      <c r="D24" s="65" t="s">
        <v>175</v>
      </c>
      <c r="E24" s="52" t="s">
        <v>18</v>
      </c>
      <c r="F24" s="20" t="s">
        <v>20</v>
      </c>
      <c r="G24" s="20" t="s">
        <v>116</v>
      </c>
      <c r="H24" s="20" t="s">
        <v>25</v>
      </c>
      <c r="I24" s="51" t="s">
        <v>176</v>
      </c>
      <c r="J24" s="20" t="s">
        <v>113</v>
      </c>
      <c r="K24" s="8" t="s">
        <v>177</v>
      </c>
      <c r="L24" s="15" t="s">
        <v>178</v>
      </c>
      <c r="M24" s="6"/>
      <c r="N24" s="6"/>
      <c r="O24" s="6"/>
      <c r="P24" s="6"/>
      <c r="Q24" s="6"/>
      <c r="R24" s="6"/>
      <c r="S24" s="6"/>
      <c r="T24" s="6"/>
      <c r="U24" s="6"/>
      <c r="V24" s="6"/>
      <c r="W24" s="6"/>
      <c r="X24" s="6"/>
      <c r="Y24" s="6"/>
      <c r="Z24" s="6"/>
      <c r="AA24" s="6"/>
      <c r="AB24" s="6"/>
      <c r="AC24" s="6"/>
      <c r="AD24" s="7"/>
    </row>
    <row r="25" spans="1:30" ht="28">
      <c r="A25" s="8" t="s">
        <v>30</v>
      </c>
      <c r="B25" s="33">
        <v>43525</v>
      </c>
      <c r="C25" s="64" t="s">
        <v>180</v>
      </c>
      <c r="D25" s="48" t="s">
        <v>181</v>
      </c>
      <c r="E25" s="13" t="s">
        <v>18</v>
      </c>
      <c r="F25" s="13" t="s">
        <v>47</v>
      </c>
      <c r="G25" s="20" t="s">
        <v>48</v>
      </c>
      <c r="H25" s="13" t="s">
        <v>22</v>
      </c>
      <c r="I25" s="17"/>
      <c r="J25" s="13" t="s">
        <v>182</v>
      </c>
      <c r="K25" s="6"/>
      <c r="L25" s="15" t="s">
        <v>183</v>
      </c>
      <c r="M25" s="6"/>
      <c r="N25" s="6"/>
      <c r="O25" s="6"/>
      <c r="P25" s="6"/>
      <c r="Q25" s="6"/>
      <c r="R25" s="6"/>
      <c r="S25" s="6"/>
      <c r="T25" s="6"/>
      <c r="U25" s="6"/>
      <c r="V25" s="6"/>
      <c r="W25" s="6"/>
      <c r="X25" s="6"/>
      <c r="Y25" s="6"/>
      <c r="Z25" s="6"/>
      <c r="AA25" s="6"/>
      <c r="AB25" s="6"/>
      <c r="AC25" s="6"/>
      <c r="AD25" s="7"/>
    </row>
    <row r="26" spans="1:30" ht="29">
      <c r="A26" s="8" t="s">
        <v>30</v>
      </c>
      <c r="B26" s="33">
        <v>43525</v>
      </c>
      <c r="C26" s="64" t="s">
        <v>184</v>
      </c>
      <c r="D26" s="48" t="s">
        <v>185</v>
      </c>
      <c r="E26" s="52" t="s">
        <v>18</v>
      </c>
      <c r="F26" s="52" t="s">
        <v>110</v>
      </c>
      <c r="G26" s="53" t="s">
        <v>111</v>
      </c>
      <c r="H26" s="20" t="s">
        <v>22</v>
      </c>
      <c r="I26" s="17"/>
      <c r="J26" s="13" t="s">
        <v>63</v>
      </c>
      <c r="K26" s="6"/>
      <c r="L26" s="37" t="s">
        <v>186</v>
      </c>
      <c r="M26" s="39"/>
      <c r="N26" s="39"/>
      <c r="O26" s="6"/>
      <c r="P26" s="6"/>
      <c r="Q26" s="6"/>
      <c r="R26" s="6"/>
      <c r="S26" s="6"/>
      <c r="T26" s="6"/>
      <c r="U26" s="6"/>
      <c r="V26" s="6"/>
      <c r="W26" s="6"/>
      <c r="X26" s="6"/>
      <c r="Y26" s="6"/>
      <c r="Z26" s="6"/>
      <c r="AA26" s="6"/>
      <c r="AB26" s="6"/>
      <c r="AC26" s="6"/>
      <c r="AD26" s="7"/>
    </row>
    <row r="27" spans="1:30" ht="28">
      <c r="A27" s="20"/>
      <c r="B27" s="8" t="s">
        <v>15</v>
      </c>
      <c r="C27" s="9"/>
      <c r="D27" s="23" t="s">
        <v>187</v>
      </c>
      <c r="E27" s="8" t="s">
        <v>18</v>
      </c>
      <c r="F27" s="20" t="s">
        <v>20</v>
      </c>
      <c r="G27" s="20" t="s">
        <v>188</v>
      </c>
      <c r="H27" s="20" t="s">
        <v>25</v>
      </c>
      <c r="I27" s="23" t="s">
        <v>189</v>
      </c>
      <c r="J27" s="20" t="s">
        <v>50</v>
      </c>
      <c r="K27" s="20"/>
      <c r="L27" s="31" t="s">
        <v>190</v>
      </c>
      <c r="M27" s="39"/>
      <c r="N27" s="39"/>
      <c r="O27" s="39"/>
      <c r="P27" s="6"/>
      <c r="Q27" s="6"/>
      <c r="R27" s="6"/>
      <c r="S27" s="6"/>
      <c r="T27" s="6"/>
      <c r="U27" s="6"/>
      <c r="V27" s="6"/>
      <c r="W27" s="6"/>
      <c r="X27" s="6"/>
      <c r="Y27" s="6"/>
      <c r="Z27" s="6"/>
      <c r="AA27" s="6"/>
      <c r="AB27" s="6"/>
      <c r="AC27" s="6"/>
      <c r="AD27" s="7"/>
    </row>
    <row r="28" spans="1:30" ht="70">
      <c r="A28" s="8" t="s">
        <v>30</v>
      </c>
      <c r="B28" s="8" t="s">
        <v>191</v>
      </c>
      <c r="C28" s="64" t="s">
        <v>192</v>
      </c>
      <c r="D28" s="15" t="s">
        <v>193</v>
      </c>
      <c r="E28" s="13" t="s">
        <v>18</v>
      </c>
      <c r="F28" s="13" t="s">
        <v>194</v>
      </c>
      <c r="G28" s="13" t="s">
        <v>94</v>
      </c>
      <c r="H28" s="13" t="s">
        <v>22</v>
      </c>
      <c r="I28" s="15" t="s">
        <v>95</v>
      </c>
      <c r="J28" s="13" t="s">
        <v>63</v>
      </c>
      <c r="K28" s="13" t="s">
        <v>195</v>
      </c>
      <c r="L28" s="15" t="s">
        <v>196</v>
      </c>
      <c r="M28" s="6"/>
      <c r="N28" s="6"/>
      <c r="O28" s="6"/>
      <c r="P28" s="6"/>
      <c r="Q28" s="6"/>
      <c r="R28" s="6"/>
      <c r="S28" s="6"/>
      <c r="T28" s="6"/>
      <c r="U28" s="6"/>
      <c r="V28" s="6"/>
      <c r="W28" s="6"/>
      <c r="X28" s="6"/>
      <c r="Y28" s="6"/>
      <c r="Z28" s="6"/>
      <c r="AA28" s="6"/>
      <c r="AB28" s="6"/>
      <c r="AC28" s="6"/>
      <c r="AD28" s="7"/>
    </row>
    <row r="29" spans="1:30" ht="18" customHeight="1">
      <c r="A29" s="8" t="s">
        <v>13</v>
      </c>
      <c r="B29" s="66">
        <v>43594</v>
      </c>
      <c r="C29" s="23"/>
      <c r="D29" s="15" t="s">
        <v>198</v>
      </c>
      <c r="E29" s="13" t="s">
        <v>18</v>
      </c>
      <c r="F29" s="13" t="s">
        <v>101</v>
      </c>
      <c r="G29" s="13" t="s">
        <v>199</v>
      </c>
      <c r="H29" s="13" t="s">
        <v>22</v>
      </c>
      <c r="I29" s="15" t="s">
        <v>200</v>
      </c>
      <c r="J29" s="13" t="s">
        <v>63</v>
      </c>
      <c r="K29" s="13"/>
      <c r="L29" s="15" t="s">
        <v>70</v>
      </c>
      <c r="M29" s="6"/>
      <c r="N29" s="6"/>
      <c r="O29" s="6"/>
      <c r="P29" s="6"/>
      <c r="Q29" s="6"/>
      <c r="R29" s="6"/>
      <c r="S29" s="6"/>
      <c r="T29" s="6"/>
      <c r="U29" s="6"/>
      <c r="V29" s="6"/>
      <c r="W29" s="6"/>
      <c r="X29" s="6"/>
      <c r="Y29" s="6"/>
      <c r="Z29" s="6"/>
      <c r="AA29" s="6"/>
      <c r="AB29" s="6"/>
      <c r="AC29" s="6"/>
      <c r="AD29" s="7"/>
    </row>
    <row r="30" spans="1:30" ht="14">
      <c r="A30" s="8" t="s">
        <v>13</v>
      </c>
      <c r="B30" s="66">
        <v>43594</v>
      </c>
      <c r="C30" s="23"/>
      <c r="D30" s="15" t="s">
        <v>201</v>
      </c>
      <c r="E30" s="13" t="s">
        <v>18</v>
      </c>
      <c r="F30" s="13" t="s">
        <v>101</v>
      </c>
      <c r="G30" s="13" t="s">
        <v>94</v>
      </c>
      <c r="H30" s="13" t="s">
        <v>22</v>
      </c>
      <c r="I30" s="15" t="s">
        <v>203</v>
      </c>
      <c r="J30" s="13" t="s">
        <v>63</v>
      </c>
      <c r="K30" s="6"/>
      <c r="L30" s="15" t="s">
        <v>70</v>
      </c>
      <c r="M30" s="6"/>
      <c r="N30" s="6"/>
      <c r="O30" s="6"/>
      <c r="P30" s="6"/>
      <c r="Q30" s="6"/>
      <c r="R30" s="6"/>
      <c r="S30" s="6"/>
      <c r="T30" s="6"/>
      <c r="U30" s="6"/>
      <c r="V30" s="6"/>
      <c r="W30" s="6"/>
      <c r="X30" s="6"/>
      <c r="Y30" s="6"/>
      <c r="Z30" s="6"/>
      <c r="AA30" s="6"/>
      <c r="AB30" s="6"/>
      <c r="AC30" s="6"/>
      <c r="AD30" s="7"/>
    </row>
    <row r="31" spans="1:30" ht="28">
      <c r="A31" s="8" t="s">
        <v>30</v>
      </c>
      <c r="B31" s="8" t="s">
        <v>15</v>
      </c>
      <c r="C31" s="9"/>
      <c r="D31" s="11" t="s">
        <v>204</v>
      </c>
      <c r="E31" s="13" t="s">
        <v>18</v>
      </c>
      <c r="F31" s="13" t="s">
        <v>205</v>
      </c>
      <c r="G31" s="13" t="s">
        <v>206</v>
      </c>
      <c r="H31" s="13" t="s">
        <v>36</v>
      </c>
      <c r="I31" s="15" t="s">
        <v>207</v>
      </c>
      <c r="J31" s="13" t="s">
        <v>63</v>
      </c>
      <c r="K31" s="13" t="s">
        <v>208</v>
      </c>
      <c r="L31" s="15" t="s">
        <v>209</v>
      </c>
      <c r="M31" s="6"/>
      <c r="N31" s="6"/>
      <c r="O31" s="6"/>
      <c r="P31" s="6"/>
      <c r="Q31" s="6"/>
      <c r="R31" s="6"/>
      <c r="S31" s="6"/>
      <c r="T31" s="6"/>
      <c r="U31" s="6"/>
      <c r="V31" s="6"/>
      <c r="W31" s="6"/>
      <c r="X31" s="6"/>
      <c r="Y31" s="6"/>
      <c r="Z31" s="6"/>
      <c r="AA31" s="6"/>
      <c r="AB31" s="6"/>
      <c r="AC31" s="6"/>
      <c r="AD31" s="7"/>
    </row>
    <row r="32" spans="1:30" ht="28">
      <c r="A32" s="8" t="s">
        <v>43</v>
      </c>
      <c r="B32" s="8" t="s">
        <v>15</v>
      </c>
      <c r="C32" s="9" t="s">
        <v>210</v>
      </c>
      <c r="D32" s="9" t="s">
        <v>211</v>
      </c>
      <c r="E32" s="8" t="s">
        <v>18</v>
      </c>
      <c r="F32" s="20" t="s">
        <v>20</v>
      </c>
      <c r="G32" s="68" t="s">
        <v>212</v>
      </c>
      <c r="H32" s="20" t="s">
        <v>25</v>
      </c>
      <c r="I32" s="23" t="s">
        <v>213</v>
      </c>
      <c r="J32" s="20" t="s">
        <v>50</v>
      </c>
      <c r="K32" s="20"/>
      <c r="L32" s="23" t="s">
        <v>190</v>
      </c>
      <c r="M32" s="6"/>
      <c r="N32" s="6"/>
      <c r="O32" s="6"/>
      <c r="P32" s="6"/>
      <c r="Q32" s="6"/>
      <c r="R32" s="6"/>
      <c r="S32" s="6"/>
      <c r="T32" s="6"/>
      <c r="U32" s="6"/>
      <c r="V32" s="6"/>
      <c r="W32" s="6"/>
      <c r="X32" s="6"/>
      <c r="Y32" s="6"/>
      <c r="Z32" s="6"/>
      <c r="AA32" s="6"/>
      <c r="AB32" s="6"/>
      <c r="AC32" s="6"/>
      <c r="AD32" s="7"/>
    </row>
    <row r="33" spans="1:30" ht="28">
      <c r="A33" s="20" t="s">
        <v>30</v>
      </c>
      <c r="B33" s="8" t="s">
        <v>15</v>
      </c>
      <c r="C33" s="9"/>
      <c r="D33" s="22" t="s">
        <v>214</v>
      </c>
      <c r="E33" s="8" t="s">
        <v>18</v>
      </c>
      <c r="F33" s="20" t="s">
        <v>101</v>
      </c>
      <c r="G33" s="20" t="s">
        <v>215</v>
      </c>
      <c r="H33" s="20" t="s">
        <v>22</v>
      </c>
      <c r="I33" s="23" t="s">
        <v>216</v>
      </c>
      <c r="J33" s="69"/>
      <c r="K33" s="20"/>
      <c r="L33" s="23" t="s">
        <v>217</v>
      </c>
      <c r="M33" s="6"/>
      <c r="N33" s="6"/>
      <c r="O33" s="6"/>
      <c r="P33" s="6"/>
      <c r="Q33" s="6"/>
      <c r="R33" s="6"/>
      <c r="S33" s="6"/>
      <c r="T33" s="6"/>
      <c r="U33" s="6"/>
      <c r="V33" s="6"/>
      <c r="W33" s="6"/>
      <c r="X33" s="6"/>
      <c r="Y33" s="6"/>
      <c r="Z33" s="6"/>
      <c r="AA33" s="6"/>
      <c r="AB33" s="6"/>
      <c r="AC33" s="6"/>
      <c r="AD33" s="7"/>
    </row>
    <row r="34" spans="1:30" ht="28">
      <c r="A34" s="8" t="s">
        <v>43</v>
      </c>
      <c r="B34" s="8" t="s">
        <v>15</v>
      </c>
      <c r="C34" s="9" t="s">
        <v>218</v>
      </c>
      <c r="D34" s="9" t="s">
        <v>219</v>
      </c>
      <c r="E34" s="8" t="s">
        <v>18</v>
      </c>
      <c r="F34" s="20" t="s">
        <v>47</v>
      </c>
      <c r="G34" s="20" t="s">
        <v>134</v>
      </c>
      <c r="H34" s="20" t="s">
        <v>61</v>
      </c>
      <c r="I34" s="23" t="s">
        <v>137</v>
      </c>
      <c r="J34" s="20" t="s">
        <v>27</v>
      </c>
      <c r="K34" s="20"/>
      <c r="L34" s="23" t="s">
        <v>57</v>
      </c>
      <c r="M34" s="6"/>
      <c r="N34" s="6"/>
      <c r="O34" s="6"/>
      <c r="P34" s="6"/>
      <c r="Q34" s="6"/>
      <c r="R34" s="6"/>
      <c r="S34" s="6"/>
      <c r="T34" s="6"/>
      <c r="U34" s="6"/>
      <c r="V34" s="6"/>
      <c r="W34" s="6"/>
      <c r="X34" s="6"/>
      <c r="Y34" s="6"/>
      <c r="Z34" s="6"/>
      <c r="AA34" s="6"/>
      <c r="AB34" s="6"/>
      <c r="AC34" s="6"/>
      <c r="AD34" s="7"/>
    </row>
    <row r="35" spans="1:30" ht="14">
      <c r="A35" s="8" t="s">
        <v>13</v>
      </c>
      <c r="B35" s="33">
        <v>43525</v>
      </c>
      <c r="C35" s="46"/>
      <c r="D35" s="48" t="s">
        <v>221</v>
      </c>
      <c r="E35" s="13" t="s">
        <v>18</v>
      </c>
      <c r="F35" s="13" t="s">
        <v>47</v>
      </c>
      <c r="G35" s="13" t="s">
        <v>127</v>
      </c>
      <c r="H35" s="13" t="s">
        <v>135</v>
      </c>
      <c r="I35" s="15" t="s">
        <v>128</v>
      </c>
      <c r="J35" s="13" t="s">
        <v>63</v>
      </c>
      <c r="K35" s="6"/>
      <c r="L35" s="15" t="s">
        <v>222</v>
      </c>
      <c r="M35" s="6"/>
      <c r="N35" s="6"/>
      <c r="O35" s="6"/>
      <c r="P35" s="6"/>
      <c r="Q35" s="6"/>
      <c r="R35" s="6"/>
      <c r="S35" s="6"/>
      <c r="T35" s="6"/>
      <c r="U35" s="6"/>
      <c r="V35" s="6"/>
      <c r="W35" s="6"/>
      <c r="X35" s="6"/>
      <c r="Y35" s="6"/>
      <c r="Z35" s="6"/>
      <c r="AA35" s="6"/>
      <c r="AB35" s="6"/>
      <c r="AC35" s="6"/>
      <c r="AD35" s="7"/>
    </row>
    <row r="36" spans="1:30" ht="84">
      <c r="A36" s="8" t="s">
        <v>30</v>
      </c>
      <c r="B36" s="8" t="s">
        <v>15</v>
      </c>
      <c r="C36" s="9" t="s">
        <v>223</v>
      </c>
      <c r="D36" s="22" t="s">
        <v>224</v>
      </c>
      <c r="E36" s="8" t="s">
        <v>18</v>
      </c>
      <c r="F36" s="20" t="s">
        <v>20</v>
      </c>
      <c r="G36" s="20" t="s">
        <v>116</v>
      </c>
      <c r="H36" s="20" t="s">
        <v>225</v>
      </c>
      <c r="I36" s="23" t="s">
        <v>226</v>
      </c>
      <c r="J36" s="20" t="s">
        <v>113</v>
      </c>
      <c r="K36" s="8" t="s">
        <v>227</v>
      </c>
      <c r="L36" s="15" t="s">
        <v>228</v>
      </c>
      <c r="M36" s="6"/>
      <c r="N36" s="6"/>
      <c r="O36" s="6"/>
      <c r="P36" s="6"/>
      <c r="Q36" s="6"/>
      <c r="R36" s="6"/>
      <c r="S36" s="6"/>
      <c r="T36" s="6"/>
      <c r="U36" s="6"/>
      <c r="V36" s="6"/>
      <c r="W36" s="6"/>
      <c r="X36" s="6"/>
      <c r="Y36" s="6"/>
      <c r="Z36" s="6"/>
      <c r="AA36" s="6"/>
      <c r="AB36" s="6"/>
      <c r="AC36" s="6"/>
      <c r="AD36" s="7"/>
    </row>
    <row r="37" spans="1:30" ht="14">
      <c r="A37" s="8" t="s">
        <v>30</v>
      </c>
      <c r="B37" s="8" t="s">
        <v>229</v>
      </c>
      <c r="C37" s="23"/>
      <c r="D37" s="15" t="s">
        <v>230</v>
      </c>
      <c r="E37" s="13" t="s">
        <v>18</v>
      </c>
      <c r="F37" s="13" t="s">
        <v>47</v>
      </c>
      <c r="G37" s="13" t="s">
        <v>48</v>
      </c>
      <c r="H37" s="13" t="s">
        <v>22</v>
      </c>
      <c r="I37" s="17"/>
      <c r="J37" s="13" t="s">
        <v>63</v>
      </c>
      <c r="K37" s="13" t="s">
        <v>70</v>
      </c>
      <c r="L37" s="15" t="s">
        <v>231</v>
      </c>
      <c r="M37" s="6"/>
      <c r="N37" s="6"/>
      <c r="O37" s="6"/>
      <c r="P37" s="6"/>
      <c r="Q37" s="6"/>
      <c r="R37" s="6"/>
      <c r="S37" s="6"/>
      <c r="T37" s="6"/>
      <c r="U37" s="6"/>
      <c r="V37" s="6"/>
      <c r="W37" s="6"/>
      <c r="X37" s="6"/>
      <c r="Y37" s="6"/>
      <c r="Z37" s="6"/>
      <c r="AA37" s="6"/>
      <c r="AB37" s="6"/>
      <c r="AC37" s="6"/>
      <c r="AD37" s="7"/>
    </row>
    <row r="38" spans="1:30" ht="29">
      <c r="A38" s="8" t="s">
        <v>30</v>
      </c>
      <c r="B38" s="8" t="s">
        <v>15</v>
      </c>
      <c r="C38" s="64" t="s">
        <v>232</v>
      </c>
      <c r="D38" s="70" t="s">
        <v>233</v>
      </c>
      <c r="E38" s="52" t="s">
        <v>18</v>
      </c>
      <c r="F38" s="53" t="s">
        <v>110</v>
      </c>
      <c r="G38" s="53" t="s">
        <v>111</v>
      </c>
      <c r="H38" s="20" t="s">
        <v>22</v>
      </c>
      <c r="I38" s="51" t="s">
        <v>234</v>
      </c>
      <c r="J38" s="53" t="s">
        <v>113</v>
      </c>
      <c r="K38" s="53"/>
      <c r="L38" s="71" t="s">
        <v>235</v>
      </c>
      <c r="M38" s="6"/>
      <c r="N38" s="6"/>
      <c r="O38" s="6"/>
      <c r="P38" s="6"/>
      <c r="Q38" s="6"/>
      <c r="R38" s="6"/>
      <c r="S38" s="6"/>
      <c r="T38" s="6"/>
      <c r="U38" s="6"/>
      <c r="V38" s="6"/>
      <c r="W38" s="6"/>
      <c r="X38" s="6"/>
      <c r="Y38" s="6"/>
      <c r="Z38" s="6"/>
      <c r="AA38" s="6"/>
      <c r="AB38" s="6"/>
      <c r="AC38" s="6"/>
      <c r="AD38" s="7"/>
    </row>
    <row r="39" spans="1:30" ht="42">
      <c r="A39" s="20" t="s">
        <v>30</v>
      </c>
      <c r="B39" s="8" t="s">
        <v>15</v>
      </c>
      <c r="C39" s="9"/>
      <c r="D39" s="22" t="s">
        <v>236</v>
      </c>
      <c r="E39" s="8" t="s">
        <v>18</v>
      </c>
      <c r="F39" s="20" t="s">
        <v>20</v>
      </c>
      <c r="G39" s="20" t="s">
        <v>237</v>
      </c>
      <c r="H39" s="20" t="s">
        <v>25</v>
      </c>
      <c r="I39" s="23" t="s">
        <v>238</v>
      </c>
      <c r="J39" s="20" t="s">
        <v>113</v>
      </c>
      <c r="K39" s="20"/>
      <c r="L39" s="23" t="s">
        <v>239</v>
      </c>
      <c r="M39" s="6"/>
      <c r="N39" s="6"/>
      <c r="O39" s="6"/>
      <c r="P39" s="6"/>
      <c r="Q39" s="6"/>
      <c r="R39" s="6"/>
      <c r="S39" s="6"/>
      <c r="T39" s="6"/>
      <c r="U39" s="6"/>
      <c r="V39" s="6"/>
      <c r="W39" s="6"/>
      <c r="X39" s="6"/>
      <c r="Y39" s="6"/>
      <c r="Z39" s="6"/>
      <c r="AA39" s="6"/>
      <c r="AB39" s="6"/>
      <c r="AC39" s="6"/>
      <c r="AD39" s="7"/>
    </row>
    <row r="40" spans="1:30" ht="28">
      <c r="A40" s="20" t="s">
        <v>30</v>
      </c>
      <c r="B40" s="8" t="s">
        <v>15</v>
      </c>
      <c r="C40" s="64" t="s">
        <v>240</v>
      </c>
      <c r="D40" s="23" t="s">
        <v>241</v>
      </c>
      <c r="E40" s="8" t="s">
        <v>18</v>
      </c>
      <c r="F40" s="20" t="s">
        <v>242</v>
      </c>
      <c r="G40" s="20" t="s">
        <v>243</v>
      </c>
      <c r="H40" s="20" t="s">
        <v>36</v>
      </c>
      <c r="I40" s="23" t="s">
        <v>244</v>
      </c>
      <c r="J40" s="28" t="s">
        <v>63</v>
      </c>
      <c r="K40" s="28"/>
      <c r="L40" s="71" t="s">
        <v>245</v>
      </c>
      <c r="M40" s="6"/>
      <c r="N40" s="6"/>
      <c r="O40" s="6"/>
      <c r="P40" s="6"/>
      <c r="Q40" s="6"/>
      <c r="R40" s="6"/>
      <c r="S40" s="6"/>
      <c r="T40" s="6"/>
      <c r="U40" s="6"/>
      <c r="V40" s="6"/>
      <c r="W40" s="6"/>
      <c r="X40" s="6"/>
      <c r="Y40" s="6"/>
      <c r="Z40" s="6"/>
      <c r="AA40" s="6"/>
      <c r="AB40" s="6"/>
      <c r="AC40" s="6"/>
      <c r="AD40" s="7"/>
    </row>
    <row r="41" spans="1:30" ht="14">
      <c r="A41" s="20" t="s">
        <v>30</v>
      </c>
      <c r="B41" s="8" t="s">
        <v>15</v>
      </c>
      <c r="C41" s="9"/>
      <c r="D41" s="23" t="s">
        <v>246</v>
      </c>
      <c r="E41" s="8" t="s">
        <v>18</v>
      </c>
      <c r="F41" s="20" t="s">
        <v>136</v>
      </c>
      <c r="G41" s="20" t="s">
        <v>24</v>
      </c>
      <c r="H41" s="20" t="s">
        <v>152</v>
      </c>
      <c r="I41" s="23" t="s">
        <v>247</v>
      </c>
      <c r="J41" s="20" t="s">
        <v>113</v>
      </c>
      <c r="K41" s="20"/>
      <c r="L41" s="17"/>
      <c r="M41" s="6"/>
      <c r="N41" s="6"/>
      <c r="O41" s="6"/>
      <c r="P41" s="6"/>
      <c r="Q41" s="6"/>
      <c r="R41" s="6"/>
      <c r="S41" s="6"/>
      <c r="T41" s="6"/>
      <c r="U41" s="6"/>
      <c r="V41" s="6"/>
      <c r="W41" s="6"/>
      <c r="X41" s="6"/>
      <c r="Y41" s="6"/>
      <c r="Z41" s="6"/>
      <c r="AA41" s="6"/>
      <c r="AB41" s="6"/>
      <c r="AC41" s="6"/>
      <c r="AD41" s="7"/>
    </row>
    <row r="42" spans="1:30" ht="14">
      <c r="A42" s="20" t="s">
        <v>13</v>
      </c>
      <c r="B42" s="8" t="s">
        <v>15</v>
      </c>
      <c r="C42" s="9"/>
      <c r="D42" s="25" t="s">
        <v>248</v>
      </c>
      <c r="E42" s="8" t="s">
        <v>18</v>
      </c>
      <c r="F42" s="20" t="s">
        <v>47</v>
      </c>
      <c r="G42" s="20" t="s">
        <v>48</v>
      </c>
      <c r="H42" s="20" t="s">
        <v>22</v>
      </c>
      <c r="I42" s="23" t="s">
        <v>249</v>
      </c>
      <c r="J42" s="20" t="s">
        <v>50</v>
      </c>
      <c r="K42" s="8" t="s">
        <v>250</v>
      </c>
      <c r="L42" s="17"/>
      <c r="M42" s="6"/>
      <c r="N42" s="6"/>
      <c r="O42" s="6"/>
      <c r="P42" s="6"/>
      <c r="Q42" s="6"/>
      <c r="R42" s="6"/>
      <c r="S42" s="6"/>
      <c r="T42" s="6"/>
      <c r="U42" s="6"/>
      <c r="V42" s="6"/>
      <c r="W42" s="6"/>
      <c r="X42" s="6"/>
      <c r="Y42" s="6"/>
      <c r="Z42" s="6"/>
      <c r="AA42" s="6"/>
      <c r="AB42" s="6"/>
      <c r="AC42" s="6"/>
      <c r="AD42" s="7"/>
    </row>
    <row r="43" spans="1:30" ht="70">
      <c r="A43" s="8" t="s">
        <v>43</v>
      </c>
      <c r="B43" s="8" t="s">
        <v>15</v>
      </c>
      <c r="C43" s="9" t="s">
        <v>253</v>
      </c>
      <c r="D43" s="22" t="s">
        <v>16</v>
      </c>
      <c r="E43" s="8" t="s">
        <v>18</v>
      </c>
      <c r="F43" s="20" t="s">
        <v>20</v>
      </c>
      <c r="G43" s="8" t="s">
        <v>111</v>
      </c>
      <c r="H43" s="20" t="s">
        <v>25</v>
      </c>
      <c r="I43" s="23" t="s">
        <v>26</v>
      </c>
      <c r="J43" s="20" t="s">
        <v>28</v>
      </c>
      <c r="K43" s="20"/>
      <c r="L43" s="23" t="s">
        <v>254</v>
      </c>
      <c r="M43" s="6"/>
      <c r="N43" s="6"/>
      <c r="O43" s="6"/>
      <c r="P43" s="6"/>
      <c r="Q43" s="6"/>
      <c r="R43" s="6"/>
      <c r="S43" s="6"/>
      <c r="T43" s="6"/>
      <c r="U43" s="6"/>
      <c r="V43" s="6"/>
      <c r="W43" s="6"/>
      <c r="X43" s="6"/>
      <c r="Y43" s="6"/>
      <c r="Z43" s="6"/>
      <c r="AA43" s="6"/>
      <c r="AB43" s="6"/>
      <c r="AC43" s="6"/>
      <c r="AD43" s="7"/>
    </row>
    <row r="44" spans="1:30" ht="28">
      <c r="A44" s="20" t="s">
        <v>30</v>
      </c>
      <c r="B44" s="8" t="s">
        <v>15</v>
      </c>
      <c r="C44" s="9"/>
      <c r="D44" s="22" t="s">
        <v>255</v>
      </c>
      <c r="E44" s="8" t="s">
        <v>18</v>
      </c>
      <c r="F44" s="20" t="s">
        <v>20</v>
      </c>
      <c r="G44" s="20" t="s">
        <v>24</v>
      </c>
      <c r="H44" s="20" t="s">
        <v>25</v>
      </c>
      <c r="I44" s="23" t="s">
        <v>256</v>
      </c>
      <c r="J44" s="20" t="s">
        <v>113</v>
      </c>
      <c r="K44" s="8" t="s">
        <v>257</v>
      </c>
      <c r="L44" s="23" t="s">
        <v>258</v>
      </c>
      <c r="M44" s="6"/>
      <c r="N44" s="6"/>
      <c r="O44" s="6"/>
      <c r="P44" s="6"/>
      <c r="Q44" s="6"/>
      <c r="R44" s="6"/>
      <c r="S44" s="6"/>
      <c r="T44" s="6"/>
      <c r="U44" s="6"/>
      <c r="V44" s="6"/>
      <c r="W44" s="6"/>
      <c r="X44" s="6"/>
      <c r="Y44" s="6"/>
      <c r="Z44" s="6"/>
      <c r="AA44" s="6"/>
      <c r="AB44" s="6"/>
      <c r="AC44" s="6"/>
      <c r="AD44" s="7"/>
    </row>
    <row r="45" spans="1:30" ht="28">
      <c r="A45" s="8" t="s">
        <v>13</v>
      </c>
      <c r="B45" s="8" t="s">
        <v>15</v>
      </c>
      <c r="C45" s="9" t="s">
        <v>259</v>
      </c>
      <c r="D45" s="15" t="s">
        <v>260</v>
      </c>
      <c r="E45" s="13" t="s">
        <v>18</v>
      </c>
      <c r="F45" s="13" t="s">
        <v>20</v>
      </c>
      <c r="G45" s="13" t="s">
        <v>261</v>
      </c>
      <c r="H45" s="20" t="s">
        <v>25</v>
      </c>
      <c r="I45" s="17"/>
      <c r="J45" s="6"/>
      <c r="K45" s="6"/>
      <c r="L45" s="15" t="s">
        <v>262</v>
      </c>
      <c r="M45" s="6"/>
      <c r="N45" s="6"/>
      <c r="O45" s="6"/>
      <c r="P45" s="6"/>
      <c r="Q45" s="6"/>
      <c r="R45" s="6"/>
      <c r="S45" s="6"/>
      <c r="T45" s="6"/>
      <c r="U45" s="6"/>
      <c r="V45" s="6"/>
      <c r="W45" s="6"/>
      <c r="X45" s="6"/>
      <c r="Y45" s="6"/>
      <c r="Z45" s="6"/>
      <c r="AA45" s="6"/>
      <c r="AB45" s="6"/>
      <c r="AC45" s="6"/>
      <c r="AD45" s="7"/>
    </row>
    <row r="46" spans="1:30" ht="14">
      <c r="A46" s="8" t="s">
        <v>13</v>
      </c>
      <c r="B46" s="72">
        <v>43704</v>
      </c>
      <c r="C46" s="9"/>
      <c r="D46" s="15" t="s">
        <v>263</v>
      </c>
      <c r="E46" s="13" t="s">
        <v>18</v>
      </c>
      <c r="F46" s="13" t="s">
        <v>264</v>
      </c>
      <c r="G46" s="13" t="s">
        <v>48</v>
      </c>
      <c r="H46" s="13" t="s">
        <v>265</v>
      </c>
      <c r="I46" s="15" t="s">
        <v>266</v>
      </c>
      <c r="J46" s="13" t="s">
        <v>63</v>
      </c>
      <c r="K46" s="6"/>
      <c r="L46" s="15" t="s">
        <v>267</v>
      </c>
      <c r="M46" s="6"/>
      <c r="N46" s="6"/>
      <c r="O46" s="6"/>
      <c r="P46" s="6"/>
      <c r="Q46" s="6"/>
      <c r="R46" s="6"/>
      <c r="S46" s="6"/>
      <c r="T46" s="6"/>
      <c r="U46" s="6"/>
      <c r="V46" s="6"/>
      <c r="W46" s="6"/>
      <c r="X46" s="6"/>
      <c r="Y46" s="6"/>
      <c r="Z46" s="6"/>
      <c r="AA46" s="6"/>
      <c r="AB46" s="6"/>
      <c r="AC46" s="6"/>
      <c r="AD46" s="7"/>
    </row>
    <row r="47" spans="1:30" ht="14">
      <c r="A47" s="8" t="s">
        <v>30</v>
      </c>
      <c r="B47" s="72">
        <v>43707</v>
      </c>
      <c r="C47" s="9" t="s">
        <v>259</v>
      </c>
      <c r="D47" s="15" t="s">
        <v>268</v>
      </c>
      <c r="E47" s="13" t="s">
        <v>18</v>
      </c>
      <c r="F47" s="13" t="s">
        <v>264</v>
      </c>
      <c r="G47" s="13" t="s">
        <v>48</v>
      </c>
      <c r="H47" s="13" t="s">
        <v>265</v>
      </c>
      <c r="I47" s="15" t="s">
        <v>266</v>
      </c>
      <c r="J47" s="13" t="s">
        <v>63</v>
      </c>
      <c r="K47" s="6"/>
      <c r="L47" s="15" t="s">
        <v>269</v>
      </c>
      <c r="M47" s="6"/>
      <c r="N47" s="6"/>
      <c r="O47" s="6"/>
      <c r="P47" s="6"/>
      <c r="Q47" s="6"/>
      <c r="R47" s="6"/>
      <c r="S47" s="6"/>
      <c r="T47" s="6"/>
      <c r="U47" s="6"/>
      <c r="V47" s="6"/>
      <c r="W47" s="6"/>
      <c r="X47" s="6"/>
      <c r="Y47" s="6"/>
      <c r="Z47" s="6"/>
      <c r="AA47" s="6"/>
      <c r="AB47" s="6"/>
      <c r="AC47" s="6"/>
      <c r="AD47" s="7"/>
    </row>
    <row r="48" spans="1:30" ht="28">
      <c r="A48" s="8" t="s">
        <v>43</v>
      </c>
      <c r="B48" s="8" t="s">
        <v>270</v>
      </c>
      <c r="C48" s="9" t="s">
        <v>271</v>
      </c>
      <c r="D48" s="15" t="s">
        <v>272</v>
      </c>
      <c r="E48" s="13" t="s">
        <v>18</v>
      </c>
      <c r="F48" s="6"/>
      <c r="G48" s="13" t="s">
        <v>273</v>
      </c>
      <c r="H48" s="13" t="s">
        <v>274</v>
      </c>
      <c r="I48" s="17"/>
      <c r="J48" s="13" t="s">
        <v>63</v>
      </c>
      <c r="K48" s="6"/>
      <c r="L48" s="17"/>
      <c r="M48" s="6"/>
      <c r="N48" s="6"/>
      <c r="O48" s="6"/>
      <c r="P48" s="6"/>
      <c r="Q48" s="6"/>
      <c r="R48" s="6"/>
      <c r="S48" s="6"/>
      <c r="T48" s="6"/>
      <c r="U48" s="6"/>
      <c r="V48" s="6"/>
      <c r="W48" s="6"/>
      <c r="X48" s="6"/>
      <c r="Y48" s="6"/>
      <c r="Z48" s="6"/>
      <c r="AA48" s="6"/>
      <c r="AB48" s="6"/>
      <c r="AC48" s="6"/>
      <c r="AD48" s="7"/>
    </row>
    <row r="49" spans="1:30" ht="70">
      <c r="A49" s="8" t="s">
        <v>30</v>
      </c>
      <c r="B49" s="8" t="s">
        <v>275</v>
      </c>
      <c r="C49" s="64" t="s">
        <v>276</v>
      </c>
      <c r="D49" s="15" t="s">
        <v>88</v>
      </c>
      <c r="E49" s="13" t="s">
        <v>46</v>
      </c>
      <c r="F49" s="13" t="s">
        <v>67</v>
      </c>
      <c r="G49" s="13" t="s">
        <v>94</v>
      </c>
      <c r="H49" s="13" t="s">
        <v>22</v>
      </c>
      <c r="I49" s="15" t="s">
        <v>95</v>
      </c>
      <c r="J49" s="13" t="s">
        <v>63</v>
      </c>
      <c r="K49" s="13" t="s">
        <v>195</v>
      </c>
      <c r="L49" s="15" t="s">
        <v>196</v>
      </c>
      <c r="M49" s="6"/>
      <c r="N49" s="6"/>
      <c r="O49" s="6"/>
      <c r="P49" s="6"/>
      <c r="Q49" s="6"/>
      <c r="R49" s="6"/>
      <c r="S49" s="6"/>
      <c r="T49" s="6"/>
      <c r="U49" s="6"/>
      <c r="V49" s="6"/>
      <c r="W49" s="6"/>
      <c r="X49" s="6"/>
      <c r="Y49" s="6"/>
      <c r="Z49" s="6"/>
      <c r="AA49" s="6"/>
      <c r="AB49" s="6"/>
      <c r="AC49" s="6"/>
      <c r="AD49" s="7"/>
    </row>
    <row r="50" spans="1:30" ht="14">
      <c r="A50" s="8" t="s">
        <v>30</v>
      </c>
      <c r="B50" s="8" t="s">
        <v>277</v>
      </c>
      <c r="C50" s="23"/>
      <c r="D50" s="15" t="s">
        <v>278</v>
      </c>
      <c r="E50" s="13" t="s">
        <v>46</v>
      </c>
      <c r="F50" s="13" t="s">
        <v>67</v>
      </c>
      <c r="G50" s="13" t="s">
        <v>94</v>
      </c>
      <c r="H50" s="13" t="s">
        <v>22</v>
      </c>
      <c r="I50" s="15" t="s">
        <v>279</v>
      </c>
      <c r="J50" s="13" t="s">
        <v>63</v>
      </c>
      <c r="K50" s="13" t="s">
        <v>280</v>
      </c>
      <c r="L50" s="17"/>
      <c r="M50" s="6"/>
      <c r="N50" s="6"/>
      <c r="O50" s="6"/>
      <c r="P50" s="6"/>
      <c r="Q50" s="6"/>
      <c r="R50" s="6"/>
      <c r="S50" s="6"/>
      <c r="T50" s="6"/>
      <c r="U50" s="6"/>
      <c r="V50" s="6"/>
      <c r="W50" s="6"/>
      <c r="X50" s="6"/>
      <c r="Y50" s="6"/>
      <c r="Z50" s="6"/>
      <c r="AA50" s="6"/>
      <c r="AB50" s="6"/>
      <c r="AC50" s="6"/>
      <c r="AD50" s="7"/>
    </row>
    <row r="51" spans="1:30" ht="28">
      <c r="A51" s="8" t="s">
        <v>13</v>
      </c>
      <c r="B51" s="8" t="s">
        <v>281</v>
      </c>
      <c r="C51" s="23"/>
      <c r="D51" s="15" t="s">
        <v>282</v>
      </c>
      <c r="E51" s="13" t="s">
        <v>18</v>
      </c>
      <c r="F51" s="6"/>
      <c r="G51" s="13" t="s">
        <v>111</v>
      </c>
      <c r="H51" s="13" t="s">
        <v>22</v>
      </c>
      <c r="I51" s="15" t="s">
        <v>283</v>
      </c>
      <c r="J51" s="13" t="s">
        <v>63</v>
      </c>
      <c r="K51" s="6"/>
      <c r="L51" s="17"/>
      <c r="M51" s="6"/>
      <c r="N51" s="6"/>
      <c r="O51" s="6"/>
      <c r="P51" s="6"/>
      <c r="Q51" s="6"/>
      <c r="R51" s="6"/>
      <c r="S51" s="6"/>
      <c r="T51" s="6"/>
      <c r="U51" s="6"/>
      <c r="V51" s="6"/>
      <c r="W51" s="6"/>
      <c r="X51" s="6"/>
      <c r="Y51" s="6"/>
      <c r="Z51" s="6"/>
      <c r="AA51" s="6"/>
      <c r="AB51" s="6"/>
      <c r="AC51" s="6"/>
      <c r="AD51" s="7"/>
    </row>
    <row r="52" spans="1:30" ht="14">
      <c r="A52" s="8" t="s">
        <v>13</v>
      </c>
      <c r="B52" s="8" t="s">
        <v>281</v>
      </c>
      <c r="C52" s="23"/>
      <c r="D52" s="15" t="s">
        <v>284</v>
      </c>
      <c r="E52" s="13" t="s">
        <v>46</v>
      </c>
      <c r="F52" s="13" t="s">
        <v>285</v>
      </c>
      <c r="G52" s="13" t="s">
        <v>111</v>
      </c>
      <c r="H52" s="13" t="s">
        <v>22</v>
      </c>
      <c r="I52" s="17"/>
      <c r="J52" s="13" t="s">
        <v>63</v>
      </c>
      <c r="K52" s="6"/>
      <c r="L52" s="17"/>
      <c r="M52" s="6"/>
      <c r="N52" s="6"/>
      <c r="O52" s="6"/>
      <c r="P52" s="6"/>
      <c r="Q52" s="6"/>
      <c r="R52" s="6"/>
      <c r="S52" s="6"/>
      <c r="T52" s="6"/>
      <c r="U52" s="6"/>
      <c r="V52" s="6"/>
      <c r="W52" s="6"/>
      <c r="X52" s="6"/>
      <c r="Y52" s="6"/>
      <c r="Z52" s="6"/>
      <c r="AA52" s="6"/>
      <c r="AB52" s="6"/>
      <c r="AC52" s="6"/>
      <c r="AD52" s="7"/>
    </row>
    <row r="53" spans="1:30" ht="14">
      <c r="A53" s="8" t="s">
        <v>13</v>
      </c>
      <c r="B53" s="8" t="s">
        <v>281</v>
      </c>
      <c r="C53" s="23"/>
      <c r="D53" s="15" t="s">
        <v>286</v>
      </c>
      <c r="E53" s="13" t="s">
        <v>46</v>
      </c>
      <c r="F53" s="13" t="s">
        <v>285</v>
      </c>
      <c r="G53" s="13" t="s">
        <v>111</v>
      </c>
      <c r="H53" s="13" t="s">
        <v>22</v>
      </c>
      <c r="I53" s="17"/>
      <c r="J53" s="13" t="s">
        <v>63</v>
      </c>
      <c r="K53" s="6"/>
      <c r="L53" s="17"/>
      <c r="M53" s="6"/>
      <c r="N53" s="6"/>
      <c r="O53" s="6"/>
      <c r="P53" s="6"/>
      <c r="Q53" s="6"/>
      <c r="R53" s="6"/>
      <c r="S53" s="6"/>
      <c r="T53" s="6"/>
      <c r="U53" s="6"/>
      <c r="V53" s="6"/>
      <c r="W53" s="6"/>
      <c r="X53" s="6"/>
      <c r="Y53" s="6"/>
      <c r="Z53" s="6"/>
      <c r="AA53" s="6"/>
      <c r="AB53" s="6"/>
      <c r="AC53" s="6"/>
      <c r="AD53" s="7"/>
    </row>
    <row r="54" spans="1:30" ht="14">
      <c r="A54" s="8" t="s">
        <v>13</v>
      </c>
      <c r="B54" s="8" t="s">
        <v>288</v>
      </c>
      <c r="C54" s="23"/>
      <c r="D54" s="15" t="s">
        <v>289</v>
      </c>
      <c r="E54" s="13" t="s">
        <v>46</v>
      </c>
      <c r="F54" s="6"/>
      <c r="G54" s="13" t="s">
        <v>290</v>
      </c>
      <c r="H54" s="6"/>
      <c r="I54" s="17"/>
      <c r="J54" s="6"/>
      <c r="K54" s="6"/>
      <c r="L54" s="17"/>
      <c r="M54" s="6"/>
      <c r="N54" s="6"/>
      <c r="O54" s="6"/>
      <c r="P54" s="6"/>
      <c r="Q54" s="6"/>
      <c r="R54" s="6"/>
      <c r="S54" s="6"/>
      <c r="T54" s="6"/>
      <c r="U54" s="6"/>
      <c r="V54" s="6"/>
      <c r="W54" s="6"/>
      <c r="X54" s="6"/>
      <c r="Y54" s="6"/>
      <c r="Z54" s="6"/>
      <c r="AA54" s="6"/>
      <c r="AB54" s="6"/>
      <c r="AC54" s="6"/>
      <c r="AD54" s="7"/>
    </row>
    <row r="55" spans="1:30" ht="13">
      <c r="A55" s="20"/>
      <c r="B55" s="20"/>
      <c r="C55" s="23"/>
      <c r="D55" s="17"/>
      <c r="E55" s="6"/>
      <c r="F55" s="6"/>
      <c r="G55" s="6"/>
      <c r="H55" s="6"/>
      <c r="I55" s="17"/>
      <c r="J55" s="6"/>
      <c r="K55" s="6"/>
      <c r="L55" s="17"/>
      <c r="M55" s="6"/>
      <c r="N55" s="6"/>
      <c r="O55" s="6"/>
      <c r="P55" s="6"/>
      <c r="Q55" s="6"/>
      <c r="R55" s="6"/>
      <c r="S55" s="6"/>
      <c r="T55" s="6"/>
      <c r="U55" s="6"/>
      <c r="V55" s="6"/>
      <c r="W55" s="6"/>
      <c r="X55" s="6"/>
      <c r="Y55" s="6"/>
      <c r="Z55" s="6"/>
      <c r="AA55" s="6"/>
      <c r="AB55" s="6"/>
      <c r="AC55" s="6"/>
      <c r="AD55" s="7"/>
    </row>
    <row r="56" spans="1:30" ht="13">
      <c r="A56" s="20"/>
      <c r="B56" s="20"/>
      <c r="C56" s="23"/>
      <c r="D56" s="17"/>
      <c r="E56" s="6"/>
      <c r="F56" s="6"/>
      <c r="G56" s="6"/>
      <c r="H56" s="6"/>
      <c r="I56" s="17"/>
      <c r="J56" s="6"/>
      <c r="K56" s="6"/>
      <c r="L56" s="17"/>
      <c r="M56" s="6"/>
      <c r="N56" s="6"/>
      <c r="O56" s="6"/>
      <c r="P56" s="6"/>
      <c r="Q56" s="6"/>
      <c r="R56" s="6"/>
      <c r="S56" s="6"/>
      <c r="T56" s="6"/>
      <c r="U56" s="6"/>
      <c r="V56" s="6"/>
      <c r="W56" s="6"/>
      <c r="X56" s="6"/>
      <c r="Y56" s="6"/>
      <c r="Z56" s="6"/>
      <c r="AA56" s="6"/>
      <c r="AB56" s="6"/>
      <c r="AC56" s="6"/>
      <c r="AD56" s="7"/>
    </row>
    <row r="57" spans="1:30" ht="13">
      <c r="A57" s="20"/>
      <c r="B57" s="20"/>
      <c r="C57" s="23"/>
      <c r="D57" s="17"/>
      <c r="E57" s="6"/>
      <c r="F57" s="6"/>
      <c r="G57" s="6"/>
      <c r="H57" s="6"/>
      <c r="I57" s="17"/>
      <c r="J57" s="6"/>
      <c r="K57" s="6"/>
      <c r="L57" s="17"/>
      <c r="M57" s="6"/>
      <c r="N57" s="6"/>
      <c r="O57" s="6"/>
      <c r="P57" s="6"/>
      <c r="Q57" s="6"/>
      <c r="R57" s="6"/>
      <c r="S57" s="6"/>
      <c r="T57" s="6"/>
      <c r="U57" s="6"/>
      <c r="V57" s="6"/>
      <c r="W57" s="6"/>
      <c r="X57" s="6"/>
      <c r="Y57" s="6"/>
      <c r="Z57" s="6"/>
      <c r="AA57" s="6"/>
      <c r="AB57" s="6"/>
      <c r="AC57" s="6"/>
      <c r="AD57" s="7"/>
    </row>
    <row r="58" spans="1:30" ht="13">
      <c r="A58" s="20"/>
      <c r="B58" s="20"/>
      <c r="C58" s="23"/>
      <c r="D58" s="17"/>
      <c r="E58" s="6"/>
      <c r="F58" s="6"/>
      <c r="G58" s="6"/>
      <c r="H58" s="6"/>
      <c r="I58" s="17"/>
      <c r="J58" s="6"/>
      <c r="K58" s="6"/>
      <c r="L58" s="17"/>
      <c r="M58" s="6"/>
      <c r="N58" s="6"/>
      <c r="O58" s="6"/>
      <c r="P58" s="6"/>
      <c r="Q58" s="6"/>
      <c r="R58" s="6"/>
      <c r="S58" s="6"/>
      <c r="T58" s="6"/>
      <c r="U58" s="6"/>
      <c r="V58" s="6"/>
      <c r="W58" s="6"/>
      <c r="X58" s="6"/>
      <c r="Y58" s="6"/>
      <c r="Z58" s="6"/>
      <c r="AA58" s="6"/>
      <c r="AB58" s="6"/>
      <c r="AC58" s="6"/>
      <c r="AD58" s="7"/>
    </row>
    <row r="59" spans="1:30" ht="13">
      <c r="A59" s="20"/>
      <c r="B59" s="20"/>
      <c r="C59" s="23"/>
      <c r="D59" s="17"/>
      <c r="E59" s="6"/>
      <c r="F59" s="6"/>
      <c r="G59" s="6"/>
      <c r="H59" s="6"/>
      <c r="I59" s="17"/>
      <c r="J59" s="6"/>
      <c r="K59" s="6"/>
      <c r="L59" s="17"/>
      <c r="M59" s="6"/>
      <c r="N59" s="6"/>
      <c r="O59" s="6"/>
      <c r="P59" s="6"/>
      <c r="Q59" s="6"/>
      <c r="R59" s="6"/>
      <c r="S59" s="6"/>
      <c r="T59" s="6"/>
      <c r="U59" s="6"/>
      <c r="V59" s="6"/>
      <c r="W59" s="6"/>
      <c r="X59" s="6"/>
      <c r="Y59" s="6"/>
      <c r="Z59" s="6"/>
      <c r="AA59" s="6"/>
      <c r="AB59" s="6"/>
      <c r="AC59" s="6"/>
      <c r="AD59" s="7"/>
    </row>
    <row r="60" spans="1:30" ht="13">
      <c r="A60" s="20"/>
      <c r="B60" s="20"/>
      <c r="C60" s="23"/>
      <c r="D60" s="17"/>
      <c r="E60" s="6"/>
      <c r="F60" s="6"/>
      <c r="G60" s="6"/>
      <c r="H60" s="6"/>
      <c r="I60" s="17"/>
      <c r="J60" s="6"/>
      <c r="K60" s="6"/>
      <c r="L60" s="17"/>
      <c r="M60" s="6"/>
      <c r="N60" s="6"/>
      <c r="O60" s="6"/>
      <c r="P60" s="6"/>
      <c r="Q60" s="6"/>
      <c r="R60" s="6"/>
      <c r="S60" s="6"/>
      <c r="T60" s="6"/>
      <c r="U60" s="6"/>
      <c r="V60" s="6"/>
      <c r="W60" s="6"/>
      <c r="X60" s="6"/>
      <c r="Y60" s="6"/>
      <c r="Z60" s="6"/>
      <c r="AA60" s="6"/>
      <c r="AB60" s="6"/>
      <c r="AC60" s="6"/>
      <c r="AD60" s="7"/>
    </row>
    <row r="61" spans="1:30" ht="13">
      <c r="A61" s="20"/>
      <c r="B61" s="20"/>
      <c r="C61" s="23"/>
      <c r="D61" s="17"/>
      <c r="E61" s="6"/>
      <c r="F61" s="6"/>
      <c r="G61" s="6"/>
      <c r="H61" s="6"/>
      <c r="I61" s="17"/>
      <c r="J61" s="6"/>
      <c r="K61" s="6"/>
      <c r="L61" s="17"/>
      <c r="M61" s="6"/>
      <c r="N61" s="6"/>
      <c r="O61" s="6"/>
      <c r="P61" s="6"/>
      <c r="Q61" s="6"/>
      <c r="R61" s="6"/>
      <c r="S61" s="6"/>
      <c r="T61" s="6"/>
      <c r="U61" s="6"/>
      <c r="V61" s="6"/>
      <c r="W61" s="6"/>
      <c r="X61" s="6"/>
      <c r="Y61" s="6"/>
      <c r="Z61" s="6"/>
      <c r="AA61" s="6"/>
      <c r="AB61" s="6"/>
      <c r="AC61" s="6"/>
      <c r="AD61" s="7"/>
    </row>
    <row r="62" spans="1:30" ht="13">
      <c r="A62" s="20"/>
      <c r="B62" s="20"/>
      <c r="C62" s="23"/>
      <c r="D62" s="17"/>
      <c r="E62" s="6"/>
      <c r="F62" s="6"/>
      <c r="G62" s="6"/>
      <c r="H62" s="6"/>
      <c r="I62" s="17"/>
      <c r="J62" s="6"/>
      <c r="K62" s="6"/>
      <c r="L62" s="17"/>
      <c r="M62" s="6"/>
      <c r="N62" s="6"/>
      <c r="O62" s="6"/>
      <c r="P62" s="6"/>
      <c r="Q62" s="6"/>
      <c r="R62" s="6"/>
      <c r="S62" s="6"/>
      <c r="T62" s="6"/>
      <c r="U62" s="6"/>
      <c r="V62" s="6"/>
      <c r="W62" s="6"/>
      <c r="X62" s="6"/>
      <c r="Y62" s="6"/>
      <c r="Z62" s="6"/>
      <c r="AA62" s="6"/>
      <c r="AB62" s="6"/>
      <c r="AC62" s="6"/>
      <c r="AD62" s="7"/>
    </row>
    <row r="63" spans="1:30" ht="13">
      <c r="A63" s="20"/>
      <c r="B63" s="20"/>
      <c r="C63" s="23"/>
      <c r="D63" s="17"/>
      <c r="E63" s="6"/>
      <c r="F63" s="6"/>
      <c r="G63" s="6"/>
      <c r="H63" s="6"/>
      <c r="I63" s="17"/>
      <c r="J63" s="6"/>
      <c r="K63" s="6"/>
      <c r="L63" s="17"/>
      <c r="M63" s="6"/>
      <c r="N63" s="6"/>
      <c r="O63" s="6"/>
      <c r="P63" s="6"/>
      <c r="Q63" s="6"/>
      <c r="R63" s="6"/>
      <c r="S63" s="6"/>
      <c r="T63" s="6"/>
      <c r="U63" s="6"/>
      <c r="V63" s="6"/>
      <c r="W63" s="6"/>
      <c r="X63" s="6"/>
      <c r="Y63" s="6"/>
      <c r="Z63" s="6"/>
      <c r="AA63" s="6"/>
      <c r="AB63" s="6"/>
      <c r="AC63" s="6"/>
      <c r="AD63" s="7"/>
    </row>
    <row r="64" spans="1:30" ht="13">
      <c r="A64" s="20"/>
      <c r="B64" s="20"/>
      <c r="C64" s="23"/>
      <c r="D64" s="17"/>
      <c r="E64" s="6"/>
      <c r="F64" s="6"/>
      <c r="G64" s="6"/>
      <c r="H64" s="6"/>
      <c r="I64" s="17"/>
      <c r="J64" s="6"/>
      <c r="K64" s="6"/>
      <c r="L64" s="17"/>
      <c r="M64" s="6"/>
      <c r="N64" s="6"/>
      <c r="O64" s="6"/>
      <c r="P64" s="6"/>
      <c r="Q64" s="6"/>
      <c r="R64" s="6"/>
      <c r="S64" s="6"/>
      <c r="T64" s="6"/>
      <c r="U64" s="6"/>
      <c r="V64" s="6"/>
      <c r="W64" s="6"/>
      <c r="X64" s="6"/>
      <c r="Y64" s="6"/>
      <c r="Z64" s="6"/>
      <c r="AA64" s="6"/>
      <c r="AB64" s="6"/>
      <c r="AC64" s="6"/>
      <c r="AD64" s="7"/>
    </row>
    <row r="65" spans="1:30" ht="13">
      <c r="A65" s="20"/>
      <c r="B65" s="20"/>
      <c r="C65" s="23"/>
      <c r="D65" s="17"/>
      <c r="E65" s="6"/>
      <c r="F65" s="6"/>
      <c r="G65" s="6"/>
      <c r="H65" s="6"/>
      <c r="I65" s="17"/>
      <c r="J65" s="6"/>
      <c r="K65" s="6"/>
      <c r="L65" s="17"/>
      <c r="M65" s="6"/>
      <c r="N65" s="6"/>
      <c r="O65" s="6"/>
      <c r="P65" s="6"/>
      <c r="Q65" s="6"/>
      <c r="R65" s="6"/>
      <c r="S65" s="6"/>
      <c r="T65" s="6"/>
      <c r="U65" s="6"/>
      <c r="V65" s="6"/>
      <c r="W65" s="6"/>
      <c r="X65" s="6"/>
      <c r="Y65" s="6"/>
      <c r="Z65" s="6"/>
      <c r="AA65" s="6"/>
      <c r="AB65" s="6"/>
      <c r="AC65" s="6"/>
      <c r="AD65" s="7"/>
    </row>
    <row r="66" spans="1:30" ht="13">
      <c r="A66" s="20"/>
      <c r="B66" s="20"/>
      <c r="C66" s="23"/>
      <c r="D66" s="17"/>
      <c r="E66" s="6"/>
      <c r="F66" s="6"/>
      <c r="G66" s="6"/>
      <c r="H66" s="6"/>
      <c r="I66" s="17"/>
      <c r="J66" s="6"/>
      <c r="K66" s="6"/>
      <c r="L66" s="17"/>
      <c r="M66" s="6"/>
      <c r="N66" s="6"/>
      <c r="O66" s="6"/>
      <c r="P66" s="6"/>
      <c r="Q66" s="6"/>
      <c r="R66" s="6"/>
      <c r="S66" s="6"/>
      <c r="T66" s="6"/>
      <c r="U66" s="6"/>
      <c r="V66" s="6"/>
      <c r="W66" s="6"/>
      <c r="X66" s="6"/>
      <c r="Y66" s="6"/>
      <c r="Z66" s="6"/>
      <c r="AA66" s="6"/>
      <c r="AB66" s="6"/>
      <c r="AC66" s="6"/>
      <c r="AD66" s="7"/>
    </row>
    <row r="67" spans="1:30" ht="13">
      <c r="A67" s="20"/>
      <c r="B67" s="20"/>
      <c r="C67" s="23"/>
      <c r="D67" s="17"/>
      <c r="E67" s="6"/>
      <c r="F67" s="6"/>
      <c r="G67" s="6"/>
      <c r="H67" s="6"/>
      <c r="I67" s="17"/>
      <c r="J67" s="6"/>
      <c r="K67" s="6"/>
      <c r="L67" s="17"/>
      <c r="M67" s="6"/>
      <c r="N67" s="6"/>
      <c r="O67" s="6"/>
      <c r="P67" s="6"/>
      <c r="Q67" s="6"/>
      <c r="R67" s="6"/>
      <c r="S67" s="6"/>
      <c r="T67" s="6"/>
      <c r="U67" s="6"/>
      <c r="V67" s="6"/>
      <c r="W67" s="6"/>
      <c r="X67" s="6"/>
      <c r="Y67" s="6"/>
      <c r="Z67" s="6"/>
      <c r="AA67" s="6"/>
      <c r="AB67" s="6"/>
      <c r="AC67" s="6"/>
      <c r="AD67" s="7"/>
    </row>
    <row r="68" spans="1:30" ht="13">
      <c r="A68" s="20"/>
      <c r="B68" s="20"/>
      <c r="C68" s="23"/>
      <c r="D68" s="17"/>
      <c r="E68" s="6"/>
      <c r="F68" s="6"/>
      <c r="G68" s="6"/>
      <c r="H68" s="6"/>
      <c r="I68" s="17"/>
      <c r="J68" s="6"/>
      <c r="K68" s="6"/>
      <c r="L68" s="17"/>
      <c r="M68" s="6"/>
      <c r="N68" s="6"/>
      <c r="O68" s="6"/>
      <c r="P68" s="6"/>
      <c r="Q68" s="6"/>
      <c r="R68" s="6"/>
      <c r="S68" s="6"/>
      <c r="T68" s="6"/>
      <c r="U68" s="6"/>
      <c r="V68" s="6"/>
      <c r="W68" s="6"/>
      <c r="X68" s="6"/>
      <c r="Y68" s="6"/>
      <c r="Z68" s="6"/>
      <c r="AA68" s="6"/>
      <c r="AB68" s="6"/>
      <c r="AC68" s="6"/>
      <c r="AD68" s="7"/>
    </row>
    <row r="69" spans="1:30" ht="13">
      <c r="A69" s="20"/>
      <c r="B69" s="20"/>
      <c r="C69" s="23"/>
      <c r="D69" s="17"/>
      <c r="E69" s="6"/>
      <c r="F69" s="6"/>
      <c r="G69" s="6"/>
      <c r="H69" s="6"/>
      <c r="I69" s="17"/>
      <c r="J69" s="6"/>
      <c r="K69" s="6"/>
      <c r="L69" s="17"/>
      <c r="M69" s="6"/>
      <c r="N69" s="6"/>
      <c r="O69" s="6"/>
      <c r="P69" s="6"/>
      <c r="Q69" s="6"/>
      <c r="R69" s="6"/>
      <c r="S69" s="6"/>
      <c r="T69" s="6"/>
      <c r="U69" s="6"/>
      <c r="V69" s="6"/>
      <c r="W69" s="6"/>
      <c r="X69" s="6"/>
      <c r="Y69" s="6"/>
      <c r="Z69" s="6"/>
      <c r="AA69" s="6"/>
      <c r="AB69" s="6"/>
      <c r="AC69" s="6"/>
      <c r="AD69" s="7"/>
    </row>
    <row r="70" spans="1:30" ht="13">
      <c r="A70" s="20"/>
      <c r="B70" s="20"/>
      <c r="C70" s="23"/>
      <c r="D70" s="17"/>
      <c r="E70" s="6"/>
      <c r="F70" s="6"/>
      <c r="G70" s="6"/>
      <c r="H70" s="6"/>
      <c r="I70" s="17"/>
      <c r="J70" s="6"/>
      <c r="K70" s="6"/>
      <c r="L70" s="17"/>
      <c r="M70" s="6"/>
      <c r="N70" s="6"/>
      <c r="O70" s="6"/>
      <c r="P70" s="6"/>
      <c r="Q70" s="6"/>
      <c r="R70" s="6"/>
      <c r="S70" s="6"/>
      <c r="T70" s="6"/>
      <c r="U70" s="6"/>
      <c r="V70" s="6"/>
      <c r="W70" s="6"/>
      <c r="X70" s="6"/>
      <c r="Y70" s="6"/>
      <c r="Z70" s="6"/>
      <c r="AA70" s="6"/>
      <c r="AB70" s="6"/>
      <c r="AC70" s="6"/>
      <c r="AD70" s="7"/>
    </row>
    <row r="71" spans="1:30" ht="13">
      <c r="A71" s="20"/>
      <c r="B71" s="20"/>
      <c r="C71" s="23"/>
      <c r="D71" s="17"/>
      <c r="E71" s="6"/>
      <c r="F71" s="6"/>
      <c r="G71" s="6"/>
      <c r="H71" s="6"/>
      <c r="I71" s="17"/>
      <c r="J71" s="6"/>
      <c r="K71" s="6"/>
      <c r="L71" s="17"/>
      <c r="M71" s="6"/>
      <c r="N71" s="6"/>
      <c r="O71" s="6"/>
      <c r="P71" s="6"/>
      <c r="Q71" s="6"/>
      <c r="R71" s="6"/>
      <c r="S71" s="6"/>
      <c r="T71" s="6"/>
      <c r="U71" s="6"/>
      <c r="V71" s="6"/>
      <c r="W71" s="6"/>
      <c r="X71" s="6"/>
      <c r="Y71" s="6"/>
      <c r="Z71" s="6"/>
      <c r="AA71" s="6"/>
      <c r="AB71" s="6"/>
      <c r="AC71" s="6"/>
      <c r="AD71" s="7"/>
    </row>
    <row r="72" spans="1:30" ht="13">
      <c r="A72" s="20"/>
      <c r="B72" s="20"/>
      <c r="C72" s="23"/>
      <c r="D72" s="17"/>
      <c r="E72" s="6"/>
      <c r="F72" s="6"/>
      <c r="G72" s="6"/>
      <c r="H72" s="6"/>
      <c r="I72" s="17"/>
      <c r="J72" s="6"/>
      <c r="K72" s="6"/>
      <c r="L72" s="17"/>
      <c r="M72" s="6"/>
      <c r="N72" s="6"/>
      <c r="O72" s="6"/>
      <c r="P72" s="6"/>
      <c r="Q72" s="6"/>
      <c r="R72" s="6"/>
      <c r="S72" s="6"/>
      <c r="T72" s="6"/>
      <c r="U72" s="6"/>
      <c r="V72" s="6"/>
      <c r="W72" s="6"/>
      <c r="X72" s="6"/>
      <c r="Y72" s="6"/>
      <c r="Z72" s="6"/>
      <c r="AA72" s="6"/>
      <c r="AB72" s="6"/>
      <c r="AC72" s="6"/>
      <c r="AD72" s="7"/>
    </row>
    <row r="73" spans="1:30" ht="13">
      <c r="A73" s="20"/>
      <c r="B73" s="20"/>
      <c r="C73" s="23"/>
      <c r="D73" s="17"/>
      <c r="E73" s="6"/>
      <c r="F73" s="6"/>
      <c r="G73" s="6"/>
      <c r="H73" s="6"/>
      <c r="I73" s="17"/>
      <c r="J73" s="6"/>
      <c r="K73" s="6"/>
      <c r="L73" s="17"/>
      <c r="M73" s="6"/>
      <c r="N73" s="6"/>
      <c r="O73" s="6"/>
      <c r="P73" s="6"/>
      <c r="Q73" s="6"/>
      <c r="R73" s="6"/>
      <c r="S73" s="6"/>
      <c r="T73" s="6"/>
      <c r="U73" s="6"/>
      <c r="V73" s="6"/>
      <c r="W73" s="6"/>
      <c r="X73" s="6"/>
      <c r="Y73" s="6"/>
      <c r="Z73" s="6"/>
      <c r="AA73" s="6"/>
      <c r="AB73" s="6"/>
      <c r="AC73" s="6"/>
      <c r="AD73" s="7"/>
    </row>
    <row r="74" spans="1:30" ht="13">
      <c r="A74" s="20"/>
      <c r="B74" s="20"/>
      <c r="C74" s="23"/>
      <c r="D74" s="17"/>
      <c r="E74" s="6"/>
      <c r="F74" s="6"/>
      <c r="G74" s="6"/>
      <c r="H74" s="6"/>
      <c r="I74" s="17"/>
      <c r="J74" s="6"/>
      <c r="K74" s="6"/>
      <c r="L74" s="17"/>
      <c r="M74" s="6"/>
      <c r="N74" s="6"/>
      <c r="O74" s="6"/>
      <c r="P74" s="6"/>
      <c r="Q74" s="6"/>
      <c r="R74" s="6"/>
      <c r="S74" s="6"/>
      <c r="T74" s="6"/>
      <c r="U74" s="6"/>
      <c r="V74" s="6"/>
      <c r="W74" s="6"/>
      <c r="X74" s="6"/>
      <c r="Y74" s="6"/>
      <c r="Z74" s="6"/>
      <c r="AA74" s="6"/>
      <c r="AB74" s="6"/>
      <c r="AC74" s="6"/>
      <c r="AD74" s="7"/>
    </row>
    <row r="75" spans="1:30" ht="13">
      <c r="A75" s="20"/>
      <c r="B75" s="20"/>
      <c r="C75" s="23"/>
      <c r="D75" s="17"/>
      <c r="E75" s="6"/>
      <c r="F75" s="6"/>
      <c r="G75" s="6"/>
      <c r="H75" s="6"/>
      <c r="I75" s="17"/>
      <c r="J75" s="6"/>
      <c r="K75" s="6"/>
      <c r="L75" s="17"/>
      <c r="M75" s="6"/>
      <c r="N75" s="6"/>
      <c r="O75" s="6"/>
      <c r="P75" s="6"/>
      <c r="Q75" s="6"/>
      <c r="R75" s="6"/>
      <c r="S75" s="6"/>
      <c r="T75" s="6"/>
      <c r="U75" s="6"/>
      <c r="V75" s="6"/>
      <c r="W75" s="6"/>
      <c r="X75" s="6"/>
      <c r="Y75" s="6"/>
      <c r="Z75" s="6"/>
      <c r="AA75" s="6"/>
      <c r="AB75" s="6"/>
      <c r="AC75" s="6"/>
      <c r="AD75" s="7"/>
    </row>
    <row r="76" spans="1:30" ht="13">
      <c r="A76" s="20"/>
      <c r="B76" s="20"/>
      <c r="C76" s="23"/>
      <c r="D76" s="17"/>
      <c r="E76" s="6"/>
      <c r="F76" s="6"/>
      <c r="G76" s="6"/>
      <c r="H76" s="6"/>
      <c r="I76" s="17"/>
      <c r="J76" s="6"/>
      <c r="K76" s="6"/>
      <c r="L76" s="17"/>
      <c r="M76" s="6"/>
      <c r="N76" s="6"/>
      <c r="O76" s="6"/>
      <c r="P76" s="6"/>
      <c r="Q76" s="6"/>
      <c r="R76" s="6"/>
      <c r="S76" s="6"/>
      <c r="T76" s="6"/>
      <c r="U76" s="6"/>
      <c r="V76" s="6"/>
      <c r="W76" s="6"/>
      <c r="X76" s="6"/>
      <c r="Y76" s="6"/>
      <c r="Z76" s="6"/>
      <c r="AA76" s="6"/>
      <c r="AB76" s="6"/>
      <c r="AC76" s="6"/>
      <c r="AD76" s="7"/>
    </row>
    <row r="77" spans="1:30" ht="13">
      <c r="A77" s="20"/>
      <c r="B77" s="20"/>
      <c r="C77" s="23"/>
      <c r="D77" s="17"/>
      <c r="E77" s="6"/>
      <c r="F77" s="6"/>
      <c r="G77" s="6"/>
      <c r="H77" s="6"/>
      <c r="I77" s="17"/>
      <c r="J77" s="6"/>
      <c r="K77" s="6"/>
      <c r="L77" s="17"/>
      <c r="M77" s="6"/>
      <c r="N77" s="6"/>
      <c r="O77" s="6"/>
      <c r="P77" s="6"/>
      <c r="Q77" s="6"/>
      <c r="R77" s="6"/>
      <c r="S77" s="6"/>
      <c r="T77" s="6"/>
      <c r="U77" s="6"/>
      <c r="V77" s="6"/>
      <c r="W77" s="6"/>
      <c r="X77" s="6"/>
      <c r="Y77" s="6"/>
      <c r="Z77" s="6"/>
      <c r="AA77" s="6"/>
      <c r="AB77" s="6"/>
      <c r="AC77" s="6"/>
      <c r="AD77" s="7"/>
    </row>
    <row r="78" spans="1:30" ht="13">
      <c r="A78" s="20"/>
      <c r="B78" s="20"/>
      <c r="C78" s="23"/>
      <c r="D78" s="17"/>
      <c r="E78" s="6"/>
      <c r="F78" s="6"/>
      <c r="G78" s="6"/>
      <c r="H78" s="6"/>
      <c r="I78" s="17"/>
      <c r="J78" s="6"/>
      <c r="K78" s="6"/>
      <c r="L78" s="17"/>
      <c r="M78" s="6"/>
      <c r="N78" s="6"/>
      <c r="O78" s="6"/>
      <c r="P78" s="6"/>
      <c r="Q78" s="6"/>
      <c r="R78" s="6"/>
      <c r="S78" s="6"/>
      <c r="T78" s="6"/>
      <c r="U78" s="6"/>
      <c r="V78" s="6"/>
      <c r="W78" s="6"/>
      <c r="X78" s="6"/>
      <c r="Y78" s="6"/>
      <c r="Z78" s="6"/>
      <c r="AA78" s="6"/>
      <c r="AB78" s="6"/>
      <c r="AC78" s="6"/>
      <c r="AD78" s="7"/>
    </row>
    <row r="79" spans="1:30" ht="13">
      <c r="A79" s="20"/>
      <c r="B79" s="20"/>
      <c r="C79" s="23"/>
      <c r="D79" s="17"/>
      <c r="E79" s="6"/>
      <c r="F79" s="6"/>
      <c r="G79" s="6"/>
      <c r="H79" s="6"/>
      <c r="I79" s="17"/>
      <c r="J79" s="6"/>
      <c r="K79" s="6"/>
      <c r="L79" s="17"/>
      <c r="M79" s="6"/>
      <c r="N79" s="6"/>
      <c r="O79" s="6"/>
      <c r="P79" s="6"/>
      <c r="Q79" s="6"/>
      <c r="R79" s="6"/>
      <c r="S79" s="6"/>
      <c r="T79" s="6"/>
      <c r="U79" s="6"/>
      <c r="V79" s="6"/>
      <c r="W79" s="6"/>
      <c r="X79" s="6"/>
      <c r="Y79" s="6"/>
      <c r="Z79" s="6"/>
      <c r="AA79" s="6"/>
      <c r="AB79" s="6"/>
      <c r="AC79" s="6"/>
      <c r="AD79" s="7"/>
    </row>
    <row r="80" spans="1:30" ht="13">
      <c r="A80" s="20"/>
      <c r="B80" s="20"/>
      <c r="C80" s="23"/>
      <c r="D80" s="17"/>
      <c r="E80" s="6"/>
      <c r="F80" s="6"/>
      <c r="G80" s="6"/>
      <c r="H80" s="6"/>
      <c r="I80" s="17"/>
      <c r="J80" s="6"/>
      <c r="K80" s="6"/>
      <c r="L80" s="17"/>
      <c r="M80" s="6"/>
      <c r="N80" s="6"/>
      <c r="O80" s="6"/>
      <c r="P80" s="6"/>
      <c r="Q80" s="6"/>
      <c r="R80" s="6"/>
      <c r="S80" s="6"/>
      <c r="T80" s="6"/>
      <c r="U80" s="6"/>
      <c r="V80" s="6"/>
      <c r="W80" s="6"/>
      <c r="X80" s="6"/>
      <c r="Y80" s="6"/>
      <c r="Z80" s="6"/>
      <c r="AA80" s="6"/>
      <c r="AB80" s="6"/>
      <c r="AC80" s="6"/>
      <c r="AD80" s="7"/>
    </row>
    <row r="81" spans="1:30" ht="13">
      <c r="A81" s="20"/>
      <c r="B81" s="20"/>
      <c r="C81" s="23"/>
      <c r="D81" s="17"/>
      <c r="E81" s="6"/>
      <c r="F81" s="6"/>
      <c r="G81" s="6"/>
      <c r="H81" s="6"/>
      <c r="I81" s="17"/>
      <c r="J81" s="6"/>
      <c r="K81" s="6"/>
      <c r="L81" s="17"/>
      <c r="M81" s="6"/>
      <c r="N81" s="6"/>
      <c r="O81" s="6"/>
      <c r="P81" s="6"/>
      <c r="Q81" s="6"/>
      <c r="R81" s="6"/>
      <c r="S81" s="6"/>
      <c r="T81" s="6"/>
      <c r="U81" s="6"/>
      <c r="V81" s="6"/>
      <c r="W81" s="6"/>
      <c r="X81" s="6"/>
      <c r="Y81" s="6"/>
      <c r="Z81" s="6"/>
      <c r="AA81" s="6"/>
      <c r="AB81" s="6"/>
      <c r="AC81" s="6"/>
      <c r="AD81" s="7"/>
    </row>
    <row r="82" spans="1:30" ht="13">
      <c r="A82" s="20"/>
      <c r="B82" s="20"/>
      <c r="C82" s="23"/>
      <c r="D82" s="17"/>
      <c r="E82" s="6"/>
      <c r="F82" s="6"/>
      <c r="G82" s="6"/>
      <c r="H82" s="6"/>
      <c r="I82" s="17"/>
      <c r="J82" s="6"/>
      <c r="K82" s="6"/>
      <c r="L82" s="17"/>
      <c r="M82" s="6"/>
      <c r="N82" s="6"/>
      <c r="O82" s="6"/>
      <c r="P82" s="6"/>
      <c r="Q82" s="6"/>
      <c r="R82" s="6"/>
      <c r="S82" s="6"/>
      <c r="T82" s="6"/>
      <c r="U82" s="6"/>
      <c r="V82" s="6"/>
      <c r="W82" s="6"/>
      <c r="X82" s="6"/>
      <c r="Y82" s="6"/>
      <c r="Z82" s="6"/>
      <c r="AA82" s="6"/>
      <c r="AB82" s="6"/>
      <c r="AC82" s="6"/>
      <c r="AD82" s="7"/>
    </row>
    <row r="83" spans="1:30" ht="13">
      <c r="A83" s="20"/>
      <c r="B83" s="20"/>
      <c r="C83" s="23"/>
      <c r="D83" s="17"/>
      <c r="E83" s="6"/>
      <c r="F83" s="6"/>
      <c r="G83" s="6"/>
      <c r="H83" s="6"/>
      <c r="I83" s="17"/>
      <c r="J83" s="6"/>
      <c r="K83" s="6"/>
      <c r="L83" s="17"/>
      <c r="M83" s="6"/>
      <c r="N83" s="6"/>
      <c r="O83" s="6"/>
      <c r="P83" s="6"/>
      <c r="Q83" s="6"/>
      <c r="R83" s="6"/>
      <c r="S83" s="6"/>
      <c r="T83" s="6"/>
      <c r="U83" s="6"/>
      <c r="V83" s="6"/>
      <c r="W83" s="6"/>
      <c r="X83" s="6"/>
      <c r="Y83" s="6"/>
      <c r="Z83" s="6"/>
      <c r="AA83" s="6"/>
      <c r="AB83" s="6"/>
      <c r="AC83" s="6"/>
      <c r="AD83" s="7"/>
    </row>
    <row r="84" spans="1:30" ht="13">
      <c r="A84" s="20"/>
      <c r="B84" s="20"/>
      <c r="C84" s="23"/>
      <c r="D84" s="17"/>
      <c r="E84" s="6"/>
      <c r="F84" s="6"/>
      <c r="G84" s="6"/>
      <c r="H84" s="6"/>
      <c r="I84" s="17"/>
      <c r="J84" s="6"/>
      <c r="K84" s="6"/>
      <c r="L84" s="17"/>
      <c r="M84" s="6"/>
      <c r="N84" s="6"/>
      <c r="O84" s="6"/>
      <c r="P84" s="6"/>
      <c r="Q84" s="6"/>
      <c r="R84" s="6"/>
      <c r="S84" s="6"/>
      <c r="T84" s="6"/>
      <c r="U84" s="6"/>
      <c r="V84" s="6"/>
      <c r="W84" s="6"/>
      <c r="X84" s="6"/>
      <c r="Y84" s="6"/>
      <c r="Z84" s="6"/>
      <c r="AA84" s="6"/>
      <c r="AB84" s="6"/>
      <c r="AC84" s="6"/>
      <c r="AD84" s="7"/>
    </row>
    <row r="85" spans="1:30" ht="13">
      <c r="A85" s="20"/>
      <c r="B85" s="20"/>
      <c r="C85" s="23"/>
      <c r="D85" s="17"/>
      <c r="E85" s="6"/>
      <c r="F85" s="6"/>
      <c r="G85" s="6"/>
      <c r="H85" s="6"/>
      <c r="I85" s="17"/>
      <c r="J85" s="6"/>
      <c r="K85" s="6"/>
      <c r="L85" s="17"/>
      <c r="M85" s="6"/>
      <c r="N85" s="6"/>
      <c r="O85" s="6"/>
      <c r="P85" s="6"/>
      <c r="Q85" s="6"/>
      <c r="R85" s="6"/>
      <c r="S85" s="6"/>
      <c r="T85" s="6"/>
      <c r="U85" s="6"/>
      <c r="V85" s="6"/>
      <c r="W85" s="6"/>
      <c r="X85" s="6"/>
      <c r="Y85" s="6"/>
      <c r="Z85" s="6"/>
      <c r="AA85" s="6"/>
      <c r="AB85" s="6"/>
      <c r="AC85" s="6"/>
      <c r="AD85" s="7"/>
    </row>
    <row r="86" spans="1:30" ht="13">
      <c r="A86" s="20"/>
      <c r="B86" s="20"/>
      <c r="C86" s="23"/>
      <c r="D86" s="17"/>
      <c r="E86" s="6"/>
      <c r="F86" s="6"/>
      <c r="G86" s="6"/>
      <c r="H86" s="6"/>
      <c r="I86" s="17"/>
      <c r="J86" s="6"/>
      <c r="K86" s="6"/>
      <c r="L86" s="17"/>
      <c r="M86" s="6"/>
      <c r="N86" s="6"/>
      <c r="O86" s="6"/>
      <c r="P86" s="6"/>
      <c r="Q86" s="6"/>
      <c r="R86" s="6"/>
      <c r="S86" s="6"/>
      <c r="T86" s="6"/>
      <c r="U86" s="6"/>
      <c r="V86" s="6"/>
      <c r="W86" s="6"/>
      <c r="X86" s="6"/>
      <c r="Y86" s="6"/>
      <c r="Z86" s="6"/>
      <c r="AA86" s="6"/>
      <c r="AB86" s="6"/>
      <c r="AC86" s="6"/>
      <c r="AD86" s="7"/>
    </row>
    <row r="87" spans="1:30" ht="13">
      <c r="A87" s="20"/>
      <c r="B87" s="20"/>
      <c r="C87" s="23"/>
      <c r="D87" s="17"/>
      <c r="E87" s="6"/>
      <c r="F87" s="6"/>
      <c r="G87" s="6"/>
      <c r="H87" s="6"/>
      <c r="I87" s="17"/>
      <c r="J87" s="6"/>
      <c r="K87" s="6"/>
      <c r="L87" s="17"/>
      <c r="M87" s="6"/>
      <c r="N87" s="6"/>
      <c r="O87" s="6"/>
      <c r="P87" s="6"/>
      <c r="Q87" s="6"/>
      <c r="R87" s="6"/>
      <c r="S87" s="6"/>
      <c r="T87" s="6"/>
      <c r="U87" s="6"/>
      <c r="V87" s="6"/>
      <c r="W87" s="6"/>
      <c r="X87" s="6"/>
      <c r="Y87" s="6"/>
      <c r="Z87" s="6"/>
      <c r="AA87" s="6"/>
      <c r="AB87" s="6"/>
      <c r="AC87" s="6"/>
      <c r="AD87" s="7"/>
    </row>
    <row r="88" spans="1:30" ht="13">
      <c r="A88" s="20"/>
      <c r="B88" s="20"/>
      <c r="C88" s="23"/>
      <c r="D88" s="17"/>
      <c r="E88" s="6"/>
      <c r="F88" s="6"/>
      <c r="G88" s="6"/>
      <c r="H88" s="6"/>
      <c r="I88" s="17"/>
      <c r="J88" s="6"/>
      <c r="K88" s="6"/>
      <c r="L88" s="17"/>
      <c r="M88" s="6"/>
      <c r="N88" s="6"/>
      <c r="O88" s="6"/>
      <c r="P88" s="6"/>
      <c r="Q88" s="6"/>
      <c r="R88" s="6"/>
      <c r="S88" s="6"/>
      <c r="T88" s="6"/>
      <c r="U88" s="6"/>
      <c r="V88" s="6"/>
      <c r="W88" s="6"/>
      <c r="X88" s="6"/>
      <c r="Y88" s="6"/>
      <c r="Z88" s="6"/>
      <c r="AA88" s="6"/>
      <c r="AB88" s="6"/>
      <c r="AC88" s="6"/>
      <c r="AD88" s="7"/>
    </row>
    <row r="89" spans="1:30" ht="13">
      <c r="A89" s="20"/>
      <c r="B89" s="20"/>
      <c r="C89" s="23"/>
      <c r="D89" s="17"/>
      <c r="E89" s="6"/>
      <c r="F89" s="6"/>
      <c r="G89" s="6"/>
      <c r="H89" s="6"/>
      <c r="I89" s="17"/>
      <c r="J89" s="6"/>
      <c r="K89" s="6"/>
      <c r="L89" s="17"/>
      <c r="M89" s="6"/>
      <c r="N89" s="6"/>
      <c r="O89" s="6"/>
      <c r="P89" s="6"/>
      <c r="Q89" s="6"/>
      <c r="R89" s="6"/>
      <c r="S89" s="6"/>
      <c r="T89" s="6"/>
      <c r="U89" s="6"/>
      <c r="V89" s="6"/>
      <c r="W89" s="6"/>
      <c r="X89" s="6"/>
      <c r="Y89" s="6"/>
      <c r="Z89" s="6"/>
      <c r="AA89" s="6"/>
      <c r="AB89" s="6"/>
      <c r="AC89" s="6"/>
      <c r="AD89" s="7"/>
    </row>
    <row r="90" spans="1:30" ht="13">
      <c r="A90" s="20"/>
      <c r="B90" s="20"/>
      <c r="C90" s="23"/>
      <c r="D90" s="17"/>
      <c r="E90" s="6"/>
      <c r="F90" s="6"/>
      <c r="G90" s="6"/>
      <c r="H90" s="6"/>
      <c r="I90" s="17"/>
      <c r="J90" s="6"/>
      <c r="K90" s="6"/>
      <c r="L90" s="17"/>
      <c r="M90" s="6"/>
      <c r="N90" s="6"/>
      <c r="O90" s="6"/>
      <c r="P90" s="6"/>
      <c r="Q90" s="6"/>
      <c r="R90" s="6"/>
      <c r="S90" s="6"/>
      <c r="T90" s="6"/>
      <c r="U90" s="6"/>
      <c r="V90" s="6"/>
      <c r="W90" s="6"/>
      <c r="X90" s="6"/>
      <c r="Y90" s="6"/>
      <c r="Z90" s="6"/>
      <c r="AA90" s="6"/>
      <c r="AB90" s="6"/>
      <c r="AC90" s="6"/>
      <c r="AD90" s="7"/>
    </row>
    <row r="91" spans="1:30" ht="13">
      <c r="A91" s="20"/>
      <c r="B91" s="20"/>
      <c r="C91" s="23"/>
      <c r="D91" s="17"/>
      <c r="E91" s="6"/>
      <c r="F91" s="6"/>
      <c r="G91" s="6"/>
      <c r="H91" s="6"/>
      <c r="I91" s="17"/>
      <c r="J91" s="6"/>
      <c r="K91" s="6"/>
      <c r="L91" s="17"/>
      <c r="M91" s="6"/>
      <c r="N91" s="6"/>
      <c r="O91" s="6"/>
      <c r="P91" s="6"/>
      <c r="Q91" s="6"/>
      <c r="R91" s="6"/>
      <c r="S91" s="6"/>
      <c r="T91" s="6"/>
      <c r="U91" s="6"/>
      <c r="V91" s="6"/>
      <c r="W91" s="6"/>
      <c r="X91" s="6"/>
      <c r="Y91" s="6"/>
      <c r="Z91" s="6"/>
      <c r="AA91" s="6"/>
      <c r="AB91" s="6"/>
      <c r="AC91" s="6"/>
      <c r="AD91" s="7"/>
    </row>
    <row r="92" spans="1:30" ht="13">
      <c r="A92" s="20"/>
      <c r="B92" s="20"/>
      <c r="C92" s="23"/>
      <c r="D92" s="17"/>
      <c r="E92" s="6"/>
      <c r="F92" s="6"/>
      <c r="G92" s="6"/>
      <c r="H92" s="6"/>
      <c r="I92" s="17"/>
      <c r="J92" s="6"/>
      <c r="K92" s="6"/>
      <c r="L92" s="17"/>
      <c r="M92" s="6"/>
      <c r="N92" s="6"/>
      <c r="O92" s="6"/>
      <c r="P92" s="6"/>
      <c r="Q92" s="6"/>
      <c r="R92" s="6"/>
      <c r="S92" s="6"/>
      <c r="T92" s="6"/>
      <c r="U92" s="6"/>
      <c r="V92" s="6"/>
      <c r="W92" s="6"/>
      <c r="X92" s="6"/>
      <c r="Y92" s="6"/>
      <c r="Z92" s="6"/>
      <c r="AA92" s="6"/>
      <c r="AB92" s="6"/>
      <c r="AC92" s="6"/>
      <c r="AD92" s="7"/>
    </row>
    <row r="93" spans="1:30" ht="13">
      <c r="A93" s="20"/>
      <c r="B93" s="20"/>
      <c r="C93" s="23"/>
      <c r="D93" s="17"/>
      <c r="E93" s="6"/>
      <c r="F93" s="6"/>
      <c r="G93" s="6"/>
      <c r="H93" s="6"/>
      <c r="I93" s="17"/>
      <c r="J93" s="6"/>
      <c r="K93" s="6"/>
      <c r="L93" s="17"/>
      <c r="M93" s="6"/>
      <c r="N93" s="6"/>
      <c r="O93" s="6"/>
      <c r="P93" s="6"/>
      <c r="Q93" s="6"/>
      <c r="R93" s="6"/>
      <c r="S93" s="6"/>
      <c r="T93" s="6"/>
      <c r="U93" s="6"/>
      <c r="V93" s="6"/>
      <c r="W93" s="6"/>
      <c r="X93" s="6"/>
      <c r="Y93" s="6"/>
      <c r="Z93" s="6"/>
      <c r="AA93" s="6"/>
      <c r="AB93" s="6"/>
      <c r="AC93" s="6"/>
      <c r="AD93" s="7"/>
    </row>
    <row r="94" spans="1:30" ht="13">
      <c r="A94" s="20"/>
      <c r="B94" s="20"/>
      <c r="C94" s="23"/>
      <c r="D94" s="17"/>
      <c r="E94" s="6"/>
      <c r="F94" s="6"/>
      <c r="G94" s="6"/>
      <c r="H94" s="6"/>
      <c r="I94" s="17"/>
      <c r="J94" s="6"/>
      <c r="K94" s="6"/>
      <c r="L94" s="17"/>
      <c r="M94" s="6"/>
      <c r="N94" s="6"/>
      <c r="O94" s="6"/>
      <c r="P94" s="6"/>
      <c r="Q94" s="6"/>
      <c r="R94" s="6"/>
      <c r="S94" s="6"/>
      <c r="T94" s="6"/>
      <c r="U94" s="6"/>
      <c r="V94" s="6"/>
      <c r="W94" s="6"/>
      <c r="X94" s="6"/>
      <c r="Y94" s="6"/>
      <c r="Z94" s="6"/>
      <c r="AA94" s="6"/>
      <c r="AB94" s="6"/>
      <c r="AC94" s="6"/>
      <c r="AD94" s="7"/>
    </row>
    <row r="95" spans="1:30" ht="13">
      <c r="A95" s="20"/>
      <c r="B95" s="20"/>
      <c r="C95" s="23"/>
      <c r="D95" s="17"/>
      <c r="E95" s="6"/>
      <c r="F95" s="6"/>
      <c r="G95" s="6"/>
      <c r="H95" s="6"/>
      <c r="I95" s="17"/>
      <c r="J95" s="6"/>
      <c r="K95" s="6"/>
      <c r="L95" s="17"/>
      <c r="M95" s="6"/>
      <c r="N95" s="6"/>
      <c r="O95" s="6"/>
      <c r="P95" s="6"/>
      <c r="Q95" s="6"/>
      <c r="R95" s="6"/>
      <c r="S95" s="6"/>
      <c r="T95" s="6"/>
      <c r="U95" s="6"/>
      <c r="V95" s="6"/>
      <c r="W95" s="6"/>
      <c r="X95" s="6"/>
      <c r="Y95" s="6"/>
      <c r="Z95" s="6"/>
      <c r="AA95" s="6"/>
      <c r="AB95" s="6"/>
      <c r="AC95" s="6"/>
      <c r="AD95" s="7"/>
    </row>
    <row r="96" spans="1:30" ht="13">
      <c r="A96" s="20"/>
      <c r="B96" s="20"/>
      <c r="C96" s="23"/>
      <c r="D96" s="17"/>
      <c r="E96" s="6"/>
      <c r="F96" s="6"/>
      <c r="G96" s="6"/>
      <c r="H96" s="6"/>
      <c r="I96" s="17"/>
      <c r="J96" s="6"/>
      <c r="K96" s="6"/>
      <c r="L96" s="17"/>
      <c r="M96" s="6"/>
      <c r="N96" s="6"/>
      <c r="O96" s="6"/>
      <c r="P96" s="6"/>
      <c r="Q96" s="6"/>
      <c r="R96" s="6"/>
      <c r="S96" s="6"/>
      <c r="T96" s="6"/>
      <c r="U96" s="6"/>
      <c r="V96" s="6"/>
      <c r="W96" s="6"/>
      <c r="X96" s="6"/>
      <c r="Y96" s="6"/>
      <c r="Z96" s="6"/>
      <c r="AA96" s="6"/>
      <c r="AB96" s="6"/>
      <c r="AC96" s="6"/>
      <c r="AD96" s="7"/>
    </row>
    <row r="97" spans="1:30" ht="13">
      <c r="A97" s="20"/>
      <c r="B97" s="20"/>
      <c r="C97" s="23"/>
      <c r="D97" s="17"/>
      <c r="E97" s="6"/>
      <c r="F97" s="6"/>
      <c r="G97" s="6"/>
      <c r="H97" s="6"/>
      <c r="I97" s="17"/>
      <c r="J97" s="6"/>
      <c r="K97" s="6"/>
      <c r="L97" s="17"/>
      <c r="M97" s="6"/>
      <c r="N97" s="6"/>
      <c r="O97" s="6"/>
      <c r="P97" s="6"/>
      <c r="Q97" s="6"/>
      <c r="R97" s="6"/>
      <c r="S97" s="6"/>
      <c r="T97" s="6"/>
      <c r="U97" s="6"/>
      <c r="V97" s="6"/>
      <c r="W97" s="6"/>
      <c r="X97" s="6"/>
      <c r="Y97" s="6"/>
      <c r="Z97" s="6"/>
      <c r="AA97" s="6"/>
      <c r="AB97" s="6"/>
      <c r="AC97" s="6"/>
      <c r="AD97" s="7"/>
    </row>
    <row r="98" spans="1:30" ht="13">
      <c r="A98" s="20"/>
      <c r="B98" s="20"/>
      <c r="C98" s="23"/>
      <c r="D98" s="17"/>
      <c r="E98" s="6"/>
      <c r="F98" s="6"/>
      <c r="G98" s="6"/>
      <c r="H98" s="6"/>
      <c r="I98" s="17"/>
      <c r="J98" s="6"/>
      <c r="K98" s="6"/>
      <c r="L98" s="17"/>
      <c r="M98" s="6"/>
      <c r="N98" s="6"/>
      <c r="O98" s="6"/>
      <c r="P98" s="6"/>
      <c r="Q98" s="6"/>
      <c r="R98" s="6"/>
      <c r="S98" s="6"/>
      <c r="T98" s="6"/>
      <c r="U98" s="6"/>
      <c r="V98" s="6"/>
      <c r="W98" s="6"/>
      <c r="X98" s="6"/>
      <c r="Y98" s="6"/>
      <c r="Z98" s="6"/>
      <c r="AA98" s="6"/>
      <c r="AB98" s="6"/>
      <c r="AC98" s="6"/>
      <c r="AD98" s="7"/>
    </row>
    <row r="99" spans="1:30" ht="13">
      <c r="A99" s="20"/>
      <c r="B99" s="20"/>
      <c r="C99" s="23"/>
      <c r="D99" s="17"/>
      <c r="E99" s="6"/>
      <c r="F99" s="6"/>
      <c r="G99" s="6"/>
      <c r="H99" s="6"/>
      <c r="I99" s="17"/>
      <c r="J99" s="6"/>
      <c r="K99" s="6"/>
      <c r="L99" s="17"/>
      <c r="M99" s="6"/>
      <c r="N99" s="6"/>
      <c r="O99" s="6"/>
      <c r="P99" s="6"/>
      <c r="Q99" s="6"/>
      <c r="R99" s="6"/>
      <c r="S99" s="6"/>
      <c r="T99" s="6"/>
      <c r="U99" s="6"/>
      <c r="V99" s="6"/>
      <c r="W99" s="6"/>
      <c r="X99" s="6"/>
      <c r="Y99" s="6"/>
      <c r="Z99" s="6"/>
      <c r="AA99" s="6"/>
      <c r="AB99" s="6"/>
      <c r="AC99" s="6"/>
      <c r="AD99" s="7"/>
    </row>
    <row r="100" spans="1:30" ht="13">
      <c r="A100" s="20"/>
      <c r="B100" s="20"/>
      <c r="C100" s="23"/>
      <c r="D100" s="17"/>
      <c r="E100" s="6"/>
      <c r="F100" s="6"/>
      <c r="G100" s="6"/>
      <c r="H100" s="6"/>
      <c r="I100" s="17"/>
      <c r="J100" s="6"/>
      <c r="K100" s="6"/>
      <c r="L100" s="17"/>
      <c r="M100" s="6"/>
      <c r="N100" s="6"/>
      <c r="O100" s="6"/>
      <c r="P100" s="6"/>
      <c r="Q100" s="6"/>
      <c r="R100" s="6"/>
      <c r="S100" s="6"/>
      <c r="T100" s="6"/>
      <c r="U100" s="6"/>
      <c r="V100" s="6"/>
      <c r="W100" s="6"/>
      <c r="X100" s="6"/>
      <c r="Y100" s="6"/>
      <c r="Z100" s="6"/>
      <c r="AA100" s="6"/>
      <c r="AB100" s="6"/>
      <c r="AC100" s="6"/>
      <c r="AD100" s="7"/>
    </row>
    <row r="101" spans="1:30" ht="13">
      <c r="A101" s="20"/>
      <c r="B101" s="20"/>
      <c r="C101" s="23"/>
      <c r="D101" s="17"/>
      <c r="E101" s="6"/>
      <c r="F101" s="6"/>
      <c r="G101" s="6"/>
      <c r="H101" s="6"/>
      <c r="I101" s="17"/>
      <c r="J101" s="6"/>
      <c r="K101" s="6"/>
      <c r="L101" s="17"/>
      <c r="M101" s="6"/>
      <c r="N101" s="6"/>
      <c r="O101" s="6"/>
      <c r="P101" s="6"/>
      <c r="Q101" s="6"/>
      <c r="R101" s="6"/>
      <c r="S101" s="6"/>
      <c r="T101" s="6"/>
      <c r="U101" s="6"/>
      <c r="V101" s="6"/>
      <c r="W101" s="6"/>
      <c r="X101" s="6"/>
      <c r="Y101" s="6"/>
      <c r="Z101" s="6"/>
      <c r="AA101" s="6"/>
      <c r="AB101" s="6"/>
      <c r="AC101" s="6"/>
      <c r="AD101" s="7"/>
    </row>
    <row r="102" spans="1:30" ht="13">
      <c r="A102" s="20"/>
      <c r="B102" s="20"/>
      <c r="C102" s="23"/>
      <c r="D102" s="17"/>
      <c r="E102" s="6"/>
      <c r="F102" s="6"/>
      <c r="G102" s="6"/>
      <c r="H102" s="6"/>
      <c r="I102" s="17"/>
      <c r="J102" s="6"/>
      <c r="K102" s="6"/>
      <c r="L102" s="17"/>
      <c r="M102" s="6"/>
      <c r="N102" s="6"/>
      <c r="O102" s="6"/>
      <c r="P102" s="6"/>
      <c r="Q102" s="6"/>
      <c r="R102" s="6"/>
      <c r="S102" s="6"/>
      <c r="T102" s="6"/>
      <c r="U102" s="6"/>
      <c r="V102" s="6"/>
      <c r="W102" s="6"/>
      <c r="X102" s="6"/>
      <c r="Y102" s="6"/>
      <c r="Z102" s="6"/>
      <c r="AA102" s="6"/>
      <c r="AB102" s="6"/>
      <c r="AC102" s="6"/>
      <c r="AD102" s="7"/>
    </row>
    <row r="103" spans="1:30" ht="13">
      <c r="A103" s="20"/>
      <c r="B103" s="20"/>
      <c r="C103" s="23"/>
      <c r="D103" s="17"/>
      <c r="E103" s="6"/>
      <c r="F103" s="6"/>
      <c r="G103" s="6"/>
      <c r="H103" s="6"/>
      <c r="I103" s="17"/>
      <c r="J103" s="6"/>
      <c r="K103" s="6"/>
      <c r="L103" s="17"/>
      <c r="M103" s="6"/>
      <c r="N103" s="6"/>
      <c r="O103" s="6"/>
      <c r="P103" s="6"/>
      <c r="Q103" s="6"/>
      <c r="R103" s="6"/>
      <c r="S103" s="6"/>
      <c r="T103" s="6"/>
      <c r="U103" s="6"/>
      <c r="V103" s="6"/>
      <c r="W103" s="6"/>
      <c r="X103" s="6"/>
      <c r="Y103" s="6"/>
      <c r="Z103" s="6"/>
      <c r="AA103" s="6"/>
      <c r="AB103" s="6"/>
      <c r="AC103" s="6"/>
      <c r="AD103" s="7"/>
    </row>
    <row r="104" spans="1:30" ht="13">
      <c r="A104" s="20"/>
      <c r="B104" s="20"/>
      <c r="C104" s="23"/>
      <c r="D104" s="17"/>
      <c r="E104" s="6"/>
      <c r="F104" s="6"/>
      <c r="G104" s="6"/>
      <c r="H104" s="6"/>
      <c r="I104" s="17"/>
      <c r="J104" s="6"/>
      <c r="K104" s="6"/>
      <c r="L104" s="17"/>
      <c r="M104" s="6"/>
      <c r="N104" s="6"/>
      <c r="O104" s="6"/>
      <c r="P104" s="6"/>
      <c r="Q104" s="6"/>
      <c r="R104" s="6"/>
      <c r="S104" s="6"/>
      <c r="T104" s="6"/>
      <c r="U104" s="6"/>
      <c r="V104" s="6"/>
      <c r="W104" s="6"/>
      <c r="X104" s="6"/>
      <c r="Y104" s="6"/>
      <c r="Z104" s="6"/>
      <c r="AA104" s="6"/>
      <c r="AB104" s="6"/>
      <c r="AC104" s="6"/>
      <c r="AD104" s="7"/>
    </row>
    <row r="105" spans="1:30" ht="13">
      <c r="A105" s="20"/>
      <c r="B105" s="20"/>
      <c r="C105" s="23"/>
      <c r="D105" s="17"/>
      <c r="E105" s="6"/>
      <c r="F105" s="6"/>
      <c r="G105" s="6"/>
      <c r="H105" s="6"/>
      <c r="I105" s="17"/>
      <c r="J105" s="6"/>
      <c r="K105" s="6"/>
      <c r="L105" s="17"/>
      <c r="M105" s="6"/>
      <c r="N105" s="6"/>
      <c r="O105" s="6"/>
      <c r="P105" s="6"/>
      <c r="Q105" s="6"/>
      <c r="R105" s="6"/>
      <c r="S105" s="6"/>
      <c r="T105" s="6"/>
      <c r="U105" s="6"/>
      <c r="V105" s="6"/>
      <c r="W105" s="6"/>
      <c r="X105" s="6"/>
      <c r="Y105" s="6"/>
      <c r="Z105" s="6"/>
      <c r="AA105" s="6"/>
      <c r="AB105" s="6"/>
      <c r="AC105" s="6"/>
      <c r="AD105" s="7"/>
    </row>
    <row r="106" spans="1:30" ht="13">
      <c r="A106" s="20"/>
      <c r="B106" s="20"/>
      <c r="C106" s="23"/>
      <c r="D106" s="17"/>
      <c r="E106" s="6"/>
      <c r="F106" s="6"/>
      <c r="G106" s="6"/>
      <c r="H106" s="6"/>
      <c r="I106" s="17"/>
      <c r="J106" s="6"/>
      <c r="K106" s="6"/>
      <c r="L106" s="17"/>
      <c r="M106" s="6"/>
      <c r="N106" s="6"/>
      <c r="O106" s="6"/>
      <c r="P106" s="6"/>
      <c r="Q106" s="6"/>
      <c r="R106" s="6"/>
      <c r="S106" s="6"/>
      <c r="T106" s="6"/>
      <c r="U106" s="6"/>
      <c r="V106" s="6"/>
      <c r="W106" s="6"/>
      <c r="X106" s="6"/>
      <c r="Y106" s="6"/>
      <c r="Z106" s="6"/>
      <c r="AA106" s="6"/>
      <c r="AB106" s="6"/>
      <c r="AC106" s="6"/>
      <c r="AD106" s="7"/>
    </row>
    <row r="107" spans="1:30" ht="13">
      <c r="A107" s="20"/>
      <c r="B107" s="20"/>
      <c r="C107" s="23"/>
      <c r="D107" s="17"/>
      <c r="E107" s="6"/>
      <c r="F107" s="6"/>
      <c r="G107" s="6"/>
      <c r="H107" s="6"/>
      <c r="I107" s="17"/>
      <c r="J107" s="6"/>
      <c r="K107" s="6"/>
      <c r="L107" s="17"/>
      <c r="M107" s="6"/>
      <c r="N107" s="6"/>
      <c r="O107" s="6"/>
      <c r="P107" s="6"/>
      <c r="Q107" s="6"/>
      <c r="R107" s="6"/>
      <c r="S107" s="6"/>
      <c r="T107" s="6"/>
      <c r="U107" s="6"/>
      <c r="V107" s="6"/>
      <c r="W107" s="6"/>
      <c r="X107" s="6"/>
      <c r="Y107" s="6"/>
      <c r="Z107" s="6"/>
      <c r="AA107" s="6"/>
      <c r="AB107" s="6"/>
      <c r="AC107" s="6"/>
      <c r="AD107" s="7"/>
    </row>
    <row r="108" spans="1:30" ht="13">
      <c r="A108" s="20"/>
      <c r="B108" s="20"/>
      <c r="C108" s="23"/>
      <c r="D108" s="17"/>
      <c r="E108" s="6"/>
      <c r="F108" s="6"/>
      <c r="G108" s="6"/>
      <c r="H108" s="6"/>
      <c r="I108" s="17"/>
      <c r="J108" s="6"/>
      <c r="K108" s="6"/>
      <c r="L108" s="17"/>
      <c r="M108" s="6"/>
      <c r="N108" s="6"/>
      <c r="O108" s="6"/>
      <c r="P108" s="6"/>
      <c r="Q108" s="6"/>
      <c r="R108" s="6"/>
      <c r="S108" s="6"/>
      <c r="T108" s="6"/>
      <c r="U108" s="6"/>
      <c r="V108" s="6"/>
      <c r="W108" s="6"/>
      <c r="X108" s="6"/>
      <c r="Y108" s="6"/>
      <c r="Z108" s="6"/>
      <c r="AA108" s="6"/>
      <c r="AB108" s="6"/>
      <c r="AC108" s="6"/>
      <c r="AD108" s="7"/>
    </row>
    <row r="109" spans="1:30" ht="13">
      <c r="A109" s="20"/>
      <c r="B109" s="20"/>
      <c r="C109" s="23"/>
      <c r="D109" s="17"/>
      <c r="E109" s="6"/>
      <c r="F109" s="6"/>
      <c r="G109" s="6"/>
      <c r="H109" s="6"/>
      <c r="I109" s="17"/>
      <c r="J109" s="6"/>
      <c r="K109" s="6"/>
      <c r="L109" s="17"/>
      <c r="M109" s="6"/>
      <c r="N109" s="6"/>
      <c r="O109" s="6"/>
      <c r="P109" s="6"/>
      <c r="Q109" s="6"/>
      <c r="R109" s="6"/>
      <c r="S109" s="6"/>
      <c r="T109" s="6"/>
      <c r="U109" s="6"/>
      <c r="V109" s="6"/>
      <c r="W109" s="6"/>
      <c r="X109" s="6"/>
      <c r="Y109" s="6"/>
      <c r="Z109" s="6"/>
      <c r="AA109" s="6"/>
      <c r="AB109" s="6"/>
      <c r="AC109" s="6"/>
      <c r="AD109" s="7"/>
    </row>
    <row r="110" spans="1:30" ht="13">
      <c r="A110" s="20"/>
      <c r="B110" s="20"/>
      <c r="C110" s="23"/>
      <c r="D110" s="17"/>
      <c r="E110" s="6"/>
      <c r="F110" s="6"/>
      <c r="G110" s="6"/>
      <c r="H110" s="6"/>
      <c r="I110" s="17"/>
      <c r="J110" s="6"/>
      <c r="K110" s="6"/>
      <c r="L110" s="17"/>
      <c r="M110" s="6"/>
      <c r="N110" s="6"/>
      <c r="O110" s="6"/>
      <c r="P110" s="6"/>
      <c r="Q110" s="6"/>
      <c r="R110" s="6"/>
      <c r="S110" s="6"/>
      <c r="T110" s="6"/>
      <c r="U110" s="6"/>
      <c r="V110" s="6"/>
      <c r="W110" s="6"/>
      <c r="X110" s="6"/>
      <c r="Y110" s="6"/>
      <c r="Z110" s="6"/>
      <c r="AA110" s="6"/>
      <c r="AB110" s="6"/>
      <c r="AC110" s="6"/>
      <c r="AD110" s="7"/>
    </row>
    <row r="111" spans="1:30" ht="13">
      <c r="A111" s="20"/>
      <c r="B111" s="20"/>
      <c r="C111" s="23"/>
      <c r="D111" s="17"/>
      <c r="E111" s="6"/>
      <c r="F111" s="6"/>
      <c r="G111" s="6"/>
      <c r="H111" s="6"/>
      <c r="I111" s="17"/>
      <c r="J111" s="6"/>
      <c r="K111" s="6"/>
      <c r="L111" s="17"/>
      <c r="M111" s="6"/>
      <c r="N111" s="6"/>
      <c r="O111" s="6"/>
      <c r="P111" s="6"/>
      <c r="Q111" s="6"/>
      <c r="R111" s="6"/>
      <c r="S111" s="6"/>
      <c r="T111" s="6"/>
      <c r="U111" s="6"/>
      <c r="V111" s="6"/>
      <c r="W111" s="6"/>
      <c r="X111" s="6"/>
      <c r="Y111" s="6"/>
      <c r="Z111" s="6"/>
      <c r="AA111" s="6"/>
      <c r="AB111" s="6"/>
      <c r="AC111" s="6"/>
      <c r="AD111" s="7"/>
    </row>
    <row r="112" spans="1:30" ht="13">
      <c r="A112" s="20"/>
      <c r="B112" s="20"/>
      <c r="C112" s="23"/>
      <c r="D112" s="17"/>
      <c r="E112" s="6"/>
      <c r="F112" s="6"/>
      <c r="G112" s="6"/>
      <c r="H112" s="6"/>
      <c r="I112" s="17"/>
      <c r="J112" s="6"/>
      <c r="K112" s="6"/>
      <c r="L112" s="17"/>
      <c r="M112" s="6"/>
      <c r="N112" s="6"/>
      <c r="O112" s="6"/>
      <c r="P112" s="6"/>
      <c r="Q112" s="6"/>
      <c r="R112" s="6"/>
      <c r="S112" s="6"/>
      <c r="T112" s="6"/>
      <c r="U112" s="6"/>
      <c r="V112" s="6"/>
      <c r="W112" s="6"/>
      <c r="X112" s="6"/>
      <c r="Y112" s="6"/>
      <c r="Z112" s="6"/>
      <c r="AA112" s="6"/>
      <c r="AB112" s="6"/>
      <c r="AC112" s="6"/>
      <c r="AD112" s="7"/>
    </row>
    <row r="113" spans="1:30" ht="13">
      <c r="A113" s="20"/>
      <c r="B113" s="20"/>
      <c r="C113" s="23"/>
      <c r="D113" s="17"/>
      <c r="E113" s="6"/>
      <c r="F113" s="6"/>
      <c r="G113" s="6"/>
      <c r="H113" s="6"/>
      <c r="I113" s="17"/>
      <c r="J113" s="6"/>
      <c r="K113" s="6"/>
      <c r="L113" s="17"/>
      <c r="M113" s="6"/>
      <c r="N113" s="6"/>
      <c r="O113" s="6"/>
      <c r="P113" s="6"/>
      <c r="Q113" s="6"/>
      <c r="R113" s="6"/>
      <c r="S113" s="6"/>
      <c r="T113" s="6"/>
      <c r="U113" s="6"/>
      <c r="V113" s="6"/>
      <c r="W113" s="6"/>
      <c r="X113" s="6"/>
      <c r="Y113" s="6"/>
      <c r="Z113" s="6"/>
      <c r="AA113" s="6"/>
      <c r="AB113" s="6"/>
      <c r="AC113" s="6"/>
      <c r="AD113" s="7"/>
    </row>
    <row r="114" spans="1:30" ht="13">
      <c r="A114" s="20"/>
      <c r="B114" s="20"/>
      <c r="C114" s="23"/>
      <c r="D114" s="17"/>
      <c r="E114" s="6"/>
      <c r="F114" s="6"/>
      <c r="G114" s="6"/>
      <c r="H114" s="6"/>
      <c r="I114" s="17"/>
      <c r="J114" s="6"/>
      <c r="K114" s="6"/>
      <c r="L114" s="17"/>
      <c r="M114" s="6"/>
      <c r="N114" s="6"/>
      <c r="O114" s="6"/>
      <c r="P114" s="6"/>
      <c r="Q114" s="6"/>
      <c r="R114" s="6"/>
      <c r="S114" s="6"/>
      <c r="T114" s="6"/>
      <c r="U114" s="6"/>
      <c r="V114" s="6"/>
      <c r="W114" s="6"/>
      <c r="X114" s="6"/>
      <c r="Y114" s="6"/>
      <c r="Z114" s="6"/>
      <c r="AA114" s="6"/>
      <c r="AB114" s="6"/>
      <c r="AC114" s="6"/>
      <c r="AD114" s="7"/>
    </row>
    <row r="115" spans="1:30" ht="13">
      <c r="A115" s="20"/>
      <c r="B115" s="20"/>
      <c r="C115" s="23"/>
      <c r="D115" s="17"/>
      <c r="E115" s="6"/>
      <c r="F115" s="6"/>
      <c r="G115" s="6"/>
      <c r="H115" s="6"/>
      <c r="I115" s="17"/>
      <c r="J115" s="6"/>
      <c r="K115" s="6"/>
      <c r="L115" s="17"/>
      <c r="M115" s="6"/>
      <c r="N115" s="6"/>
      <c r="O115" s="6"/>
      <c r="P115" s="6"/>
      <c r="Q115" s="6"/>
      <c r="R115" s="6"/>
      <c r="S115" s="6"/>
      <c r="T115" s="6"/>
      <c r="U115" s="6"/>
      <c r="V115" s="6"/>
      <c r="W115" s="6"/>
      <c r="X115" s="6"/>
      <c r="Y115" s="6"/>
      <c r="Z115" s="6"/>
      <c r="AA115" s="6"/>
      <c r="AB115" s="6"/>
      <c r="AC115" s="6"/>
      <c r="AD115" s="7"/>
    </row>
    <row r="116" spans="1:30" ht="13">
      <c r="A116" s="20"/>
      <c r="B116" s="20"/>
      <c r="C116" s="23"/>
      <c r="D116" s="17"/>
      <c r="E116" s="6"/>
      <c r="F116" s="6"/>
      <c r="G116" s="6"/>
      <c r="H116" s="6"/>
      <c r="I116" s="17"/>
      <c r="J116" s="6"/>
      <c r="K116" s="6"/>
      <c r="L116" s="17"/>
      <c r="M116" s="6"/>
      <c r="N116" s="6"/>
      <c r="O116" s="6"/>
      <c r="P116" s="6"/>
      <c r="Q116" s="6"/>
      <c r="R116" s="6"/>
      <c r="S116" s="6"/>
      <c r="T116" s="6"/>
      <c r="U116" s="6"/>
      <c r="V116" s="6"/>
      <c r="W116" s="6"/>
      <c r="X116" s="6"/>
      <c r="Y116" s="6"/>
      <c r="Z116" s="6"/>
      <c r="AA116" s="6"/>
      <c r="AB116" s="6"/>
      <c r="AC116" s="6"/>
      <c r="AD116" s="7"/>
    </row>
    <row r="117" spans="1:30" ht="13">
      <c r="A117" s="20"/>
      <c r="B117" s="20"/>
      <c r="C117" s="23"/>
      <c r="D117" s="17"/>
      <c r="E117" s="6"/>
      <c r="F117" s="6"/>
      <c r="G117" s="6"/>
      <c r="H117" s="6"/>
      <c r="I117" s="17"/>
      <c r="J117" s="6"/>
      <c r="K117" s="6"/>
      <c r="L117" s="17"/>
      <c r="M117" s="6"/>
      <c r="N117" s="6"/>
      <c r="O117" s="6"/>
      <c r="P117" s="6"/>
      <c r="Q117" s="6"/>
      <c r="R117" s="6"/>
      <c r="S117" s="6"/>
      <c r="T117" s="6"/>
      <c r="U117" s="6"/>
      <c r="V117" s="6"/>
      <c r="W117" s="6"/>
      <c r="X117" s="6"/>
      <c r="Y117" s="6"/>
      <c r="Z117" s="6"/>
      <c r="AA117" s="6"/>
      <c r="AB117" s="6"/>
      <c r="AC117" s="6"/>
      <c r="AD117" s="7"/>
    </row>
    <row r="118" spans="1:30" ht="13">
      <c r="A118" s="20"/>
      <c r="B118" s="20"/>
      <c r="C118" s="23"/>
      <c r="D118" s="17"/>
      <c r="E118" s="6"/>
      <c r="F118" s="6"/>
      <c r="G118" s="6"/>
      <c r="H118" s="6"/>
      <c r="I118" s="17"/>
      <c r="J118" s="6"/>
      <c r="K118" s="6"/>
      <c r="L118" s="17"/>
      <c r="M118" s="6"/>
      <c r="N118" s="6"/>
      <c r="O118" s="6"/>
      <c r="P118" s="6"/>
      <c r="Q118" s="6"/>
      <c r="R118" s="6"/>
      <c r="S118" s="6"/>
      <c r="T118" s="6"/>
      <c r="U118" s="6"/>
      <c r="V118" s="6"/>
      <c r="W118" s="6"/>
      <c r="X118" s="6"/>
      <c r="Y118" s="6"/>
      <c r="Z118" s="6"/>
      <c r="AA118" s="6"/>
      <c r="AB118" s="6"/>
      <c r="AC118" s="6"/>
      <c r="AD118" s="7"/>
    </row>
    <row r="119" spans="1:30" ht="13">
      <c r="A119" s="20"/>
      <c r="B119" s="20"/>
      <c r="C119" s="23"/>
      <c r="D119" s="17"/>
      <c r="E119" s="6"/>
      <c r="F119" s="6"/>
      <c r="G119" s="6"/>
      <c r="H119" s="6"/>
      <c r="I119" s="17"/>
      <c r="J119" s="6"/>
      <c r="K119" s="6"/>
      <c r="L119" s="17"/>
      <c r="M119" s="6"/>
      <c r="N119" s="6"/>
      <c r="O119" s="6"/>
      <c r="P119" s="6"/>
      <c r="Q119" s="6"/>
      <c r="R119" s="6"/>
      <c r="S119" s="6"/>
      <c r="T119" s="6"/>
      <c r="U119" s="6"/>
      <c r="V119" s="6"/>
      <c r="W119" s="6"/>
      <c r="X119" s="6"/>
      <c r="Y119" s="6"/>
      <c r="Z119" s="6"/>
      <c r="AA119" s="6"/>
      <c r="AB119" s="6"/>
      <c r="AC119" s="6"/>
      <c r="AD119" s="7"/>
    </row>
    <row r="120" spans="1:30" ht="13">
      <c r="A120" s="20"/>
      <c r="B120" s="20"/>
      <c r="C120" s="23"/>
      <c r="D120" s="17"/>
      <c r="E120" s="6"/>
      <c r="F120" s="6"/>
      <c r="G120" s="6"/>
      <c r="H120" s="6"/>
      <c r="I120" s="17"/>
      <c r="J120" s="6"/>
      <c r="K120" s="6"/>
      <c r="L120" s="17"/>
      <c r="M120" s="6"/>
      <c r="N120" s="6"/>
      <c r="O120" s="6"/>
      <c r="P120" s="6"/>
      <c r="Q120" s="6"/>
      <c r="R120" s="6"/>
      <c r="S120" s="6"/>
      <c r="T120" s="6"/>
      <c r="U120" s="6"/>
      <c r="V120" s="6"/>
      <c r="W120" s="6"/>
      <c r="X120" s="6"/>
      <c r="Y120" s="6"/>
      <c r="Z120" s="6"/>
      <c r="AA120" s="6"/>
      <c r="AB120" s="6"/>
      <c r="AC120" s="6"/>
      <c r="AD120" s="7"/>
    </row>
    <row r="121" spans="1:30" ht="13">
      <c r="A121" s="20"/>
      <c r="B121" s="20"/>
      <c r="C121" s="23"/>
      <c r="D121" s="17"/>
      <c r="E121" s="6"/>
      <c r="F121" s="6"/>
      <c r="G121" s="6"/>
      <c r="H121" s="6"/>
      <c r="I121" s="17"/>
      <c r="J121" s="6"/>
      <c r="K121" s="6"/>
      <c r="L121" s="17"/>
      <c r="M121" s="6"/>
      <c r="N121" s="6"/>
      <c r="O121" s="6"/>
      <c r="P121" s="6"/>
      <c r="Q121" s="6"/>
      <c r="R121" s="6"/>
      <c r="S121" s="6"/>
      <c r="T121" s="6"/>
      <c r="U121" s="6"/>
      <c r="V121" s="6"/>
      <c r="W121" s="6"/>
      <c r="X121" s="6"/>
      <c r="Y121" s="6"/>
      <c r="Z121" s="6"/>
      <c r="AA121" s="6"/>
      <c r="AB121" s="6"/>
      <c r="AC121" s="6"/>
      <c r="AD121" s="7"/>
    </row>
    <row r="122" spans="1:30" ht="13">
      <c r="A122" s="20"/>
      <c r="B122" s="20"/>
      <c r="C122" s="23"/>
      <c r="D122" s="17"/>
      <c r="E122" s="6"/>
      <c r="F122" s="6"/>
      <c r="G122" s="6"/>
      <c r="H122" s="6"/>
      <c r="I122" s="17"/>
      <c r="J122" s="6"/>
      <c r="K122" s="6"/>
      <c r="L122" s="17"/>
      <c r="M122" s="6"/>
      <c r="N122" s="6"/>
      <c r="O122" s="6"/>
      <c r="P122" s="6"/>
      <c r="Q122" s="6"/>
      <c r="R122" s="6"/>
      <c r="S122" s="6"/>
      <c r="T122" s="6"/>
      <c r="U122" s="6"/>
      <c r="V122" s="6"/>
      <c r="W122" s="6"/>
      <c r="X122" s="6"/>
      <c r="Y122" s="6"/>
      <c r="Z122" s="6"/>
      <c r="AA122" s="6"/>
      <c r="AB122" s="6"/>
      <c r="AC122" s="6"/>
      <c r="AD122" s="7"/>
    </row>
    <row r="123" spans="1:30" ht="13">
      <c r="A123" s="20"/>
      <c r="B123" s="20"/>
      <c r="C123" s="23"/>
      <c r="D123" s="17"/>
      <c r="E123" s="6"/>
      <c r="F123" s="6"/>
      <c r="G123" s="6"/>
      <c r="H123" s="6"/>
      <c r="I123" s="17"/>
      <c r="J123" s="6"/>
      <c r="K123" s="6"/>
      <c r="L123" s="17"/>
      <c r="M123" s="6"/>
      <c r="N123" s="6"/>
      <c r="O123" s="6"/>
      <c r="P123" s="6"/>
      <c r="Q123" s="6"/>
      <c r="R123" s="6"/>
      <c r="S123" s="6"/>
      <c r="T123" s="6"/>
      <c r="U123" s="6"/>
      <c r="V123" s="6"/>
      <c r="W123" s="6"/>
      <c r="X123" s="6"/>
      <c r="Y123" s="6"/>
      <c r="Z123" s="6"/>
      <c r="AA123" s="6"/>
      <c r="AB123" s="6"/>
      <c r="AC123" s="6"/>
      <c r="AD123" s="7"/>
    </row>
    <row r="124" spans="1:30" ht="13">
      <c r="A124" s="20"/>
      <c r="B124" s="20"/>
      <c r="C124" s="23"/>
      <c r="D124" s="17"/>
      <c r="E124" s="6"/>
      <c r="F124" s="6"/>
      <c r="G124" s="6"/>
      <c r="H124" s="6"/>
      <c r="I124" s="17"/>
      <c r="J124" s="6"/>
      <c r="K124" s="6"/>
      <c r="L124" s="17"/>
      <c r="M124" s="6"/>
      <c r="N124" s="6"/>
      <c r="O124" s="6"/>
      <c r="P124" s="6"/>
      <c r="Q124" s="6"/>
      <c r="R124" s="6"/>
      <c r="S124" s="6"/>
      <c r="T124" s="6"/>
      <c r="U124" s="6"/>
      <c r="V124" s="6"/>
      <c r="W124" s="6"/>
      <c r="X124" s="6"/>
      <c r="Y124" s="6"/>
      <c r="Z124" s="6"/>
      <c r="AA124" s="6"/>
      <c r="AB124" s="6"/>
      <c r="AC124" s="6"/>
      <c r="AD124" s="7"/>
    </row>
    <row r="125" spans="1:30" ht="13">
      <c r="A125" s="20"/>
      <c r="B125" s="20"/>
      <c r="C125" s="23"/>
      <c r="D125" s="17"/>
      <c r="E125" s="6"/>
      <c r="F125" s="6"/>
      <c r="G125" s="6"/>
      <c r="H125" s="6"/>
      <c r="I125" s="17"/>
      <c r="J125" s="6"/>
      <c r="K125" s="6"/>
      <c r="L125" s="17"/>
      <c r="M125" s="6"/>
      <c r="N125" s="6"/>
      <c r="O125" s="6"/>
      <c r="P125" s="6"/>
      <c r="Q125" s="6"/>
      <c r="R125" s="6"/>
      <c r="S125" s="6"/>
      <c r="T125" s="6"/>
      <c r="U125" s="6"/>
      <c r="V125" s="6"/>
      <c r="W125" s="6"/>
      <c r="X125" s="6"/>
      <c r="Y125" s="6"/>
      <c r="Z125" s="6"/>
      <c r="AA125" s="6"/>
      <c r="AB125" s="6"/>
      <c r="AC125" s="6"/>
      <c r="AD125" s="7"/>
    </row>
    <row r="126" spans="1:30" ht="13">
      <c r="A126" s="20"/>
      <c r="B126" s="20"/>
      <c r="C126" s="23"/>
      <c r="D126" s="17"/>
      <c r="E126" s="6"/>
      <c r="F126" s="6"/>
      <c r="G126" s="6"/>
      <c r="H126" s="6"/>
      <c r="I126" s="17"/>
      <c r="J126" s="6"/>
      <c r="K126" s="6"/>
      <c r="L126" s="17"/>
      <c r="M126" s="6"/>
      <c r="N126" s="6"/>
      <c r="O126" s="6"/>
      <c r="P126" s="6"/>
      <c r="Q126" s="6"/>
      <c r="R126" s="6"/>
      <c r="S126" s="6"/>
      <c r="T126" s="6"/>
      <c r="U126" s="6"/>
      <c r="V126" s="6"/>
      <c r="W126" s="6"/>
      <c r="X126" s="6"/>
      <c r="Y126" s="6"/>
      <c r="Z126" s="6"/>
      <c r="AA126" s="6"/>
      <c r="AB126" s="6"/>
      <c r="AC126" s="6"/>
      <c r="AD126" s="7"/>
    </row>
    <row r="127" spans="1:30" ht="13">
      <c r="A127" s="20"/>
      <c r="B127" s="20"/>
      <c r="C127" s="23"/>
      <c r="D127" s="17"/>
      <c r="E127" s="6"/>
      <c r="F127" s="6"/>
      <c r="G127" s="6"/>
      <c r="H127" s="6"/>
      <c r="I127" s="17"/>
      <c r="J127" s="6"/>
      <c r="K127" s="6"/>
      <c r="L127" s="17"/>
      <c r="M127" s="6"/>
      <c r="N127" s="6"/>
      <c r="O127" s="6"/>
      <c r="P127" s="6"/>
      <c r="Q127" s="6"/>
      <c r="R127" s="6"/>
      <c r="S127" s="6"/>
      <c r="T127" s="6"/>
      <c r="U127" s="6"/>
      <c r="V127" s="6"/>
      <c r="W127" s="6"/>
      <c r="X127" s="6"/>
      <c r="Y127" s="6"/>
      <c r="Z127" s="6"/>
      <c r="AA127" s="6"/>
      <c r="AB127" s="6"/>
      <c r="AC127" s="6"/>
      <c r="AD127" s="7"/>
    </row>
    <row r="128" spans="1:30" ht="13">
      <c r="A128" s="20"/>
      <c r="B128" s="20"/>
      <c r="C128" s="23"/>
      <c r="D128" s="17"/>
      <c r="E128" s="6"/>
      <c r="F128" s="6"/>
      <c r="G128" s="6"/>
      <c r="H128" s="6"/>
      <c r="I128" s="17"/>
      <c r="J128" s="6"/>
      <c r="K128" s="6"/>
      <c r="L128" s="17"/>
      <c r="M128" s="6"/>
      <c r="N128" s="6"/>
      <c r="O128" s="6"/>
      <c r="P128" s="6"/>
      <c r="Q128" s="6"/>
      <c r="R128" s="6"/>
      <c r="S128" s="6"/>
      <c r="T128" s="6"/>
      <c r="U128" s="6"/>
      <c r="V128" s="6"/>
      <c r="W128" s="6"/>
      <c r="X128" s="6"/>
      <c r="Y128" s="6"/>
      <c r="Z128" s="6"/>
      <c r="AA128" s="6"/>
      <c r="AB128" s="6"/>
      <c r="AC128" s="6"/>
      <c r="AD128" s="7"/>
    </row>
    <row r="129" spans="1:30" ht="13">
      <c r="A129" s="20"/>
      <c r="B129" s="20"/>
      <c r="C129" s="23"/>
      <c r="D129" s="17"/>
      <c r="E129" s="6"/>
      <c r="F129" s="6"/>
      <c r="G129" s="6"/>
      <c r="H129" s="6"/>
      <c r="I129" s="17"/>
      <c r="J129" s="6"/>
      <c r="K129" s="6"/>
      <c r="L129" s="17"/>
      <c r="M129" s="6"/>
      <c r="N129" s="6"/>
      <c r="O129" s="6"/>
      <c r="P129" s="6"/>
      <c r="Q129" s="6"/>
      <c r="R129" s="6"/>
      <c r="S129" s="6"/>
      <c r="T129" s="6"/>
      <c r="U129" s="6"/>
      <c r="V129" s="6"/>
      <c r="W129" s="6"/>
      <c r="X129" s="6"/>
      <c r="Y129" s="6"/>
      <c r="Z129" s="6"/>
      <c r="AA129" s="6"/>
      <c r="AB129" s="6"/>
      <c r="AC129" s="6"/>
      <c r="AD129" s="7"/>
    </row>
    <row r="130" spans="1:30" ht="13">
      <c r="A130" s="20"/>
      <c r="B130" s="20"/>
      <c r="C130" s="23"/>
      <c r="D130" s="17"/>
      <c r="E130" s="6"/>
      <c r="F130" s="6"/>
      <c r="G130" s="6"/>
      <c r="H130" s="6"/>
      <c r="I130" s="17"/>
      <c r="J130" s="6"/>
      <c r="K130" s="6"/>
      <c r="L130" s="17"/>
      <c r="M130" s="6"/>
      <c r="N130" s="6"/>
      <c r="O130" s="6"/>
      <c r="P130" s="6"/>
      <c r="Q130" s="6"/>
      <c r="R130" s="6"/>
      <c r="S130" s="6"/>
      <c r="T130" s="6"/>
      <c r="U130" s="6"/>
      <c r="V130" s="6"/>
      <c r="W130" s="6"/>
      <c r="X130" s="6"/>
      <c r="Y130" s="6"/>
      <c r="Z130" s="6"/>
      <c r="AA130" s="6"/>
      <c r="AB130" s="6"/>
      <c r="AC130" s="6"/>
      <c r="AD130" s="7"/>
    </row>
    <row r="131" spans="1:30" ht="13">
      <c r="A131" s="20"/>
      <c r="B131" s="20"/>
      <c r="C131" s="23"/>
      <c r="D131" s="17"/>
      <c r="E131" s="6"/>
      <c r="F131" s="6"/>
      <c r="G131" s="6"/>
      <c r="H131" s="6"/>
      <c r="I131" s="17"/>
      <c r="J131" s="6"/>
      <c r="K131" s="6"/>
      <c r="L131" s="17"/>
      <c r="M131" s="6"/>
      <c r="N131" s="6"/>
      <c r="O131" s="6"/>
      <c r="P131" s="6"/>
      <c r="Q131" s="6"/>
      <c r="R131" s="6"/>
      <c r="S131" s="6"/>
      <c r="T131" s="6"/>
      <c r="U131" s="6"/>
      <c r="V131" s="6"/>
      <c r="W131" s="6"/>
      <c r="X131" s="6"/>
      <c r="Y131" s="6"/>
      <c r="Z131" s="6"/>
      <c r="AA131" s="6"/>
      <c r="AB131" s="6"/>
      <c r="AC131" s="6"/>
      <c r="AD131" s="7"/>
    </row>
    <row r="132" spans="1:30" ht="13">
      <c r="A132" s="20"/>
      <c r="B132" s="20"/>
      <c r="C132" s="23"/>
      <c r="D132" s="17"/>
      <c r="E132" s="6"/>
      <c r="F132" s="6"/>
      <c r="G132" s="6"/>
      <c r="H132" s="6"/>
      <c r="I132" s="17"/>
      <c r="J132" s="6"/>
      <c r="K132" s="6"/>
      <c r="L132" s="17"/>
      <c r="M132" s="6"/>
      <c r="N132" s="6"/>
      <c r="O132" s="6"/>
      <c r="P132" s="6"/>
      <c r="Q132" s="6"/>
      <c r="R132" s="6"/>
      <c r="S132" s="6"/>
      <c r="T132" s="6"/>
      <c r="U132" s="6"/>
      <c r="V132" s="6"/>
      <c r="W132" s="6"/>
      <c r="X132" s="6"/>
      <c r="Y132" s="6"/>
      <c r="Z132" s="6"/>
      <c r="AA132" s="6"/>
      <c r="AB132" s="6"/>
      <c r="AC132" s="6"/>
      <c r="AD132" s="7"/>
    </row>
    <row r="133" spans="1:30" ht="13">
      <c r="A133" s="20"/>
      <c r="B133" s="20"/>
      <c r="C133" s="23"/>
      <c r="D133" s="17"/>
      <c r="E133" s="6"/>
      <c r="F133" s="6"/>
      <c r="G133" s="6"/>
      <c r="H133" s="6"/>
      <c r="I133" s="17"/>
      <c r="J133" s="6"/>
      <c r="K133" s="6"/>
      <c r="L133" s="17"/>
      <c r="M133" s="6"/>
      <c r="N133" s="6"/>
      <c r="O133" s="6"/>
      <c r="P133" s="6"/>
      <c r="Q133" s="6"/>
      <c r="R133" s="6"/>
      <c r="S133" s="6"/>
      <c r="T133" s="6"/>
      <c r="U133" s="6"/>
      <c r="V133" s="6"/>
      <c r="W133" s="6"/>
      <c r="X133" s="6"/>
      <c r="Y133" s="6"/>
      <c r="Z133" s="6"/>
      <c r="AA133" s="6"/>
      <c r="AB133" s="6"/>
      <c r="AC133" s="6"/>
      <c r="AD133" s="7"/>
    </row>
    <row r="134" spans="1:30" ht="13">
      <c r="A134" s="20"/>
      <c r="B134" s="20"/>
      <c r="C134" s="23"/>
      <c r="D134" s="17"/>
      <c r="E134" s="6"/>
      <c r="F134" s="6"/>
      <c r="G134" s="6"/>
      <c r="H134" s="6"/>
      <c r="I134" s="17"/>
      <c r="J134" s="6"/>
      <c r="K134" s="6"/>
      <c r="L134" s="17"/>
      <c r="M134" s="6"/>
      <c r="N134" s="6"/>
      <c r="O134" s="6"/>
      <c r="P134" s="6"/>
      <c r="Q134" s="6"/>
      <c r="R134" s="6"/>
      <c r="S134" s="6"/>
      <c r="T134" s="6"/>
      <c r="U134" s="6"/>
      <c r="V134" s="6"/>
      <c r="W134" s="6"/>
      <c r="X134" s="6"/>
      <c r="Y134" s="6"/>
      <c r="Z134" s="6"/>
      <c r="AA134" s="6"/>
      <c r="AB134" s="6"/>
      <c r="AC134" s="6"/>
      <c r="AD134" s="7"/>
    </row>
    <row r="135" spans="1:30" ht="13">
      <c r="A135" s="20"/>
      <c r="B135" s="20"/>
      <c r="C135" s="23"/>
      <c r="D135" s="17"/>
      <c r="E135" s="6"/>
      <c r="F135" s="6"/>
      <c r="G135" s="6"/>
      <c r="H135" s="6"/>
      <c r="I135" s="17"/>
      <c r="J135" s="6"/>
      <c r="K135" s="6"/>
      <c r="L135" s="17"/>
      <c r="M135" s="6"/>
      <c r="N135" s="6"/>
      <c r="O135" s="6"/>
      <c r="P135" s="6"/>
      <c r="Q135" s="6"/>
      <c r="R135" s="6"/>
      <c r="S135" s="6"/>
      <c r="T135" s="6"/>
      <c r="U135" s="6"/>
      <c r="V135" s="6"/>
      <c r="W135" s="6"/>
      <c r="X135" s="6"/>
      <c r="Y135" s="6"/>
      <c r="Z135" s="6"/>
      <c r="AA135" s="6"/>
      <c r="AB135" s="6"/>
      <c r="AC135" s="6"/>
      <c r="AD135" s="7"/>
    </row>
    <row r="136" spans="1:30" ht="13">
      <c r="A136" s="20"/>
      <c r="B136" s="20"/>
      <c r="C136" s="23"/>
      <c r="D136" s="17"/>
      <c r="E136" s="6"/>
      <c r="F136" s="6"/>
      <c r="G136" s="6"/>
      <c r="H136" s="6"/>
      <c r="I136" s="17"/>
      <c r="J136" s="6"/>
      <c r="K136" s="6"/>
      <c r="L136" s="17"/>
      <c r="M136" s="6"/>
      <c r="N136" s="6"/>
      <c r="O136" s="6"/>
      <c r="P136" s="6"/>
      <c r="Q136" s="6"/>
      <c r="R136" s="6"/>
      <c r="S136" s="6"/>
      <c r="T136" s="6"/>
      <c r="U136" s="6"/>
      <c r="V136" s="6"/>
      <c r="W136" s="6"/>
      <c r="X136" s="6"/>
      <c r="Y136" s="6"/>
      <c r="Z136" s="6"/>
      <c r="AA136" s="6"/>
      <c r="AB136" s="6"/>
      <c r="AC136" s="6"/>
      <c r="AD136" s="7"/>
    </row>
    <row r="137" spans="1:30" ht="13">
      <c r="A137" s="20"/>
      <c r="B137" s="20"/>
      <c r="C137" s="23"/>
      <c r="D137" s="17"/>
      <c r="E137" s="6"/>
      <c r="F137" s="6"/>
      <c r="G137" s="6"/>
      <c r="H137" s="6"/>
      <c r="I137" s="17"/>
      <c r="J137" s="6"/>
      <c r="K137" s="6"/>
      <c r="L137" s="17"/>
      <c r="M137" s="6"/>
      <c r="N137" s="6"/>
      <c r="O137" s="6"/>
      <c r="P137" s="6"/>
      <c r="Q137" s="6"/>
      <c r="R137" s="6"/>
      <c r="S137" s="6"/>
      <c r="T137" s="6"/>
      <c r="U137" s="6"/>
      <c r="V137" s="6"/>
      <c r="W137" s="6"/>
      <c r="X137" s="6"/>
      <c r="Y137" s="6"/>
      <c r="Z137" s="6"/>
      <c r="AA137" s="6"/>
      <c r="AB137" s="6"/>
      <c r="AC137" s="6"/>
      <c r="AD137" s="7"/>
    </row>
    <row r="138" spans="1:30" ht="13">
      <c r="A138" s="20"/>
      <c r="B138" s="20"/>
      <c r="C138" s="23"/>
      <c r="D138" s="17"/>
      <c r="E138" s="6"/>
      <c r="F138" s="6"/>
      <c r="G138" s="6"/>
      <c r="H138" s="6"/>
      <c r="I138" s="17"/>
      <c r="J138" s="6"/>
      <c r="K138" s="6"/>
      <c r="L138" s="17"/>
      <c r="M138" s="6"/>
      <c r="N138" s="6"/>
      <c r="O138" s="6"/>
      <c r="P138" s="6"/>
      <c r="Q138" s="6"/>
      <c r="R138" s="6"/>
      <c r="S138" s="6"/>
      <c r="T138" s="6"/>
      <c r="U138" s="6"/>
      <c r="V138" s="6"/>
      <c r="W138" s="6"/>
      <c r="X138" s="6"/>
      <c r="Y138" s="6"/>
      <c r="Z138" s="6"/>
      <c r="AA138" s="6"/>
      <c r="AB138" s="6"/>
      <c r="AC138" s="6"/>
      <c r="AD138" s="7"/>
    </row>
    <row r="139" spans="1:30" ht="13">
      <c r="A139" s="20"/>
      <c r="B139" s="20"/>
      <c r="C139" s="23"/>
      <c r="D139" s="17"/>
      <c r="E139" s="6"/>
      <c r="F139" s="6"/>
      <c r="G139" s="6"/>
      <c r="H139" s="6"/>
      <c r="I139" s="17"/>
      <c r="J139" s="6"/>
      <c r="K139" s="6"/>
      <c r="L139" s="17"/>
      <c r="M139" s="6"/>
      <c r="N139" s="6"/>
      <c r="O139" s="6"/>
      <c r="P139" s="6"/>
      <c r="Q139" s="6"/>
      <c r="R139" s="6"/>
      <c r="S139" s="6"/>
      <c r="T139" s="6"/>
      <c r="U139" s="6"/>
      <c r="V139" s="6"/>
      <c r="W139" s="6"/>
      <c r="X139" s="6"/>
      <c r="Y139" s="6"/>
      <c r="Z139" s="6"/>
      <c r="AA139" s="6"/>
      <c r="AB139" s="6"/>
      <c r="AC139" s="6"/>
      <c r="AD139" s="7"/>
    </row>
    <row r="140" spans="1:30" ht="13">
      <c r="A140" s="20"/>
      <c r="B140" s="20"/>
      <c r="C140" s="23"/>
      <c r="D140" s="17"/>
      <c r="E140" s="6"/>
      <c r="F140" s="6"/>
      <c r="G140" s="6"/>
      <c r="H140" s="6"/>
      <c r="I140" s="17"/>
      <c r="J140" s="6"/>
      <c r="K140" s="6"/>
      <c r="L140" s="17"/>
      <c r="M140" s="6"/>
      <c r="N140" s="6"/>
      <c r="O140" s="6"/>
      <c r="P140" s="6"/>
      <c r="Q140" s="6"/>
      <c r="R140" s="6"/>
      <c r="S140" s="6"/>
      <c r="T140" s="6"/>
      <c r="U140" s="6"/>
      <c r="V140" s="6"/>
      <c r="W140" s="6"/>
      <c r="X140" s="6"/>
      <c r="Y140" s="6"/>
      <c r="Z140" s="6"/>
      <c r="AA140" s="6"/>
      <c r="AB140" s="6"/>
      <c r="AC140" s="6"/>
      <c r="AD140" s="7"/>
    </row>
    <row r="141" spans="1:30" ht="13">
      <c r="A141" s="20"/>
      <c r="B141" s="20"/>
      <c r="C141" s="23"/>
      <c r="D141" s="17"/>
      <c r="E141" s="6"/>
      <c r="F141" s="6"/>
      <c r="G141" s="6"/>
      <c r="H141" s="6"/>
      <c r="I141" s="17"/>
      <c r="J141" s="6"/>
      <c r="K141" s="6"/>
      <c r="L141" s="17"/>
      <c r="M141" s="6"/>
      <c r="N141" s="6"/>
      <c r="O141" s="6"/>
      <c r="P141" s="6"/>
      <c r="Q141" s="6"/>
      <c r="R141" s="6"/>
      <c r="S141" s="6"/>
      <c r="T141" s="6"/>
      <c r="U141" s="6"/>
      <c r="V141" s="6"/>
      <c r="W141" s="6"/>
      <c r="X141" s="6"/>
      <c r="Y141" s="6"/>
      <c r="Z141" s="6"/>
      <c r="AA141" s="6"/>
      <c r="AB141" s="6"/>
      <c r="AC141" s="6"/>
      <c r="AD141" s="7"/>
    </row>
    <row r="142" spans="1:30" ht="13">
      <c r="A142" s="20"/>
      <c r="B142" s="20"/>
      <c r="C142" s="23"/>
      <c r="D142" s="17"/>
      <c r="E142" s="6"/>
      <c r="F142" s="6"/>
      <c r="G142" s="6"/>
      <c r="H142" s="6"/>
      <c r="I142" s="17"/>
      <c r="J142" s="6"/>
      <c r="K142" s="6"/>
      <c r="L142" s="17"/>
      <c r="M142" s="6"/>
      <c r="N142" s="6"/>
      <c r="O142" s="6"/>
      <c r="P142" s="6"/>
      <c r="Q142" s="6"/>
      <c r="R142" s="6"/>
      <c r="S142" s="6"/>
      <c r="T142" s="6"/>
      <c r="U142" s="6"/>
      <c r="V142" s="6"/>
      <c r="W142" s="6"/>
      <c r="X142" s="6"/>
      <c r="Y142" s="6"/>
      <c r="Z142" s="6"/>
      <c r="AA142" s="6"/>
      <c r="AB142" s="6"/>
      <c r="AC142" s="6"/>
      <c r="AD142" s="7"/>
    </row>
    <row r="143" spans="1:30" ht="13">
      <c r="A143" s="20"/>
      <c r="B143" s="20"/>
      <c r="C143" s="23"/>
      <c r="D143" s="17"/>
      <c r="E143" s="6"/>
      <c r="F143" s="6"/>
      <c r="G143" s="6"/>
      <c r="H143" s="6"/>
      <c r="I143" s="17"/>
      <c r="J143" s="6"/>
      <c r="K143" s="6"/>
      <c r="L143" s="17"/>
      <c r="M143" s="6"/>
      <c r="N143" s="6"/>
      <c r="O143" s="6"/>
      <c r="P143" s="6"/>
      <c r="Q143" s="6"/>
      <c r="R143" s="6"/>
      <c r="S143" s="6"/>
      <c r="T143" s="6"/>
      <c r="U143" s="6"/>
      <c r="V143" s="6"/>
      <c r="W143" s="6"/>
      <c r="X143" s="6"/>
      <c r="Y143" s="6"/>
      <c r="Z143" s="6"/>
      <c r="AA143" s="6"/>
      <c r="AB143" s="6"/>
      <c r="AC143" s="6"/>
      <c r="AD143" s="7"/>
    </row>
    <row r="144" spans="1:30" ht="13">
      <c r="A144" s="20"/>
      <c r="B144" s="20"/>
      <c r="C144" s="23"/>
      <c r="D144" s="17"/>
      <c r="E144" s="6"/>
      <c r="F144" s="6"/>
      <c r="G144" s="6"/>
      <c r="H144" s="6"/>
      <c r="I144" s="17"/>
      <c r="J144" s="6"/>
      <c r="K144" s="6"/>
      <c r="L144" s="17"/>
      <c r="M144" s="6"/>
      <c r="N144" s="6"/>
      <c r="O144" s="6"/>
      <c r="P144" s="6"/>
      <c r="Q144" s="6"/>
      <c r="R144" s="6"/>
      <c r="S144" s="6"/>
      <c r="T144" s="6"/>
      <c r="U144" s="6"/>
      <c r="V144" s="6"/>
      <c r="W144" s="6"/>
      <c r="X144" s="6"/>
      <c r="Y144" s="6"/>
      <c r="Z144" s="6"/>
      <c r="AA144" s="6"/>
      <c r="AB144" s="6"/>
      <c r="AC144" s="6"/>
      <c r="AD144" s="7"/>
    </row>
    <row r="145" spans="1:30" ht="13">
      <c r="A145" s="20"/>
      <c r="B145" s="20"/>
      <c r="C145" s="23"/>
      <c r="D145" s="17"/>
      <c r="E145" s="6"/>
      <c r="F145" s="6"/>
      <c r="G145" s="6"/>
      <c r="H145" s="6"/>
      <c r="I145" s="17"/>
      <c r="J145" s="6"/>
      <c r="K145" s="6"/>
      <c r="L145" s="17"/>
      <c r="M145" s="6"/>
      <c r="N145" s="6"/>
      <c r="O145" s="6"/>
      <c r="P145" s="6"/>
      <c r="Q145" s="6"/>
      <c r="R145" s="6"/>
      <c r="S145" s="6"/>
      <c r="T145" s="6"/>
      <c r="U145" s="6"/>
      <c r="V145" s="6"/>
      <c r="W145" s="6"/>
      <c r="X145" s="6"/>
      <c r="Y145" s="6"/>
      <c r="Z145" s="6"/>
      <c r="AA145" s="6"/>
      <c r="AB145" s="6"/>
      <c r="AC145" s="6"/>
      <c r="AD145" s="7"/>
    </row>
    <row r="146" spans="1:30" ht="13">
      <c r="A146" s="20"/>
      <c r="B146" s="20"/>
      <c r="C146" s="23"/>
      <c r="D146" s="17"/>
      <c r="E146" s="6"/>
      <c r="F146" s="6"/>
      <c r="G146" s="6"/>
      <c r="H146" s="6"/>
      <c r="I146" s="17"/>
      <c r="J146" s="6"/>
      <c r="K146" s="6"/>
      <c r="L146" s="17"/>
      <c r="M146" s="6"/>
      <c r="N146" s="6"/>
      <c r="O146" s="6"/>
      <c r="P146" s="6"/>
      <c r="Q146" s="6"/>
      <c r="R146" s="6"/>
      <c r="S146" s="6"/>
      <c r="T146" s="6"/>
      <c r="U146" s="6"/>
      <c r="V146" s="6"/>
      <c r="W146" s="6"/>
      <c r="X146" s="6"/>
      <c r="Y146" s="6"/>
      <c r="Z146" s="6"/>
      <c r="AA146" s="6"/>
      <c r="AB146" s="6"/>
      <c r="AC146" s="6"/>
      <c r="AD146" s="7"/>
    </row>
    <row r="147" spans="1:30" ht="13">
      <c r="A147" s="20"/>
      <c r="B147" s="20"/>
      <c r="C147" s="23"/>
      <c r="D147" s="17"/>
      <c r="E147" s="6"/>
      <c r="F147" s="6"/>
      <c r="G147" s="6"/>
      <c r="H147" s="6"/>
      <c r="I147" s="17"/>
      <c r="J147" s="6"/>
      <c r="K147" s="6"/>
      <c r="L147" s="17"/>
      <c r="M147" s="6"/>
      <c r="N147" s="6"/>
      <c r="O147" s="6"/>
      <c r="P147" s="6"/>
      <c r="Q147" s="6"/>
      <c r="R147" s="6"/>
      <c r="S147" s="6"/>
      <c r="T147" s="6"/>
      <c r="U147" s="6"/>
      <c r="V147" s="6"/>
      <c r="W147" s="6"/>
      <c r="X147" s="6"/>
      <c r="Y147" s="6"/>
      <c r="Z147" s="6"/>
      <c r="AA147" s="6"/>
      <c r="AB147" s="6"/>
      <c r="AC147" s="6"/>
      <c r="AD147" s="7"/>
    </row>
    <row r="148" spans="1:30" ht="13">
      <c r="A148" s="20"/>
      <c r="B148" s="20"/>
      <c r="C148" s="23"/>
      <c r="D148" s="17"/>
      <c r="E148" s="6"/>
      <c r="F148" s="6"/>
      <c r="G148" s="6"/>
      <c r="H148" s="6"/>
      <c r="I148" s="17"/>
      <c r="J148" s="6"/>
      <c r="K148" s="6"/>
      <c r="L148" s="17"/>
      <c r="M148" s="6"/>
      <c r="N148" s="6"/>
      <c r="O148" s="6"/>
      <c r="P148" s="6"/>
      <c r="Q148" s="6"/>
      <c r="R148" s="6"/>
      <c r="S148" s="6"/>
      <c r="T148" s="6"/>
      <c r="U148" s="6"/>
      <c r="V148" s="6"/>
      <c r="W148" s="6"/>
      <c r="X148" s="6"/>
      <c r="Y148" s="6"/>
      <c r="Z148" s="6"/>
      <c r="AA148" s="6"/>
      <c r="AB148" s="6"/>
      <c r="AC148" s="6"/>
      <c r="AD148" s="7"/>
    </row>
    <row r="149" spans="1:30" ht="13">
      <c r="A149" s="20"/>
      <c r="B149" s="20"/>
      <c r="C149" s="23"/>
      <c r="D149" s="17"/>
      <c r="E149" s="6"/>
      <c r="F149" s="6"/>
      <c r="G149" s="6"/>
      <c r="H149" s="6"/>
      <c r="I149" s="17"/>
      <c r="J149" s="6"/>
      <c r="K149" s="6"/>
      <c r="L149" s="17"/>
      <c r="M149" s="6"/>
      <c r="N149" s="6"/>
      <c r="O149" s="6"/>
      <c r="P149" s="6"/>
      <c r="Q149" s="6"/>
      <c r="R149" s="6"/>
      <c r="S149" s="6"/>
      <c r="T149" s="6"/>
      <c r="U149" s="6"/>
      <c r="V149" s="6"/>
      <c r="W149" s="6"/>
      <c r="X149" s="6"/>
      <c r="Y149" s="6"/>
      <c r="Z149" s="6"/>
      <c r="AA149" s="6"/>
      <c r="AB149" s="6"/>
      <c r="AC149" s="6"/>
      <c r="AD149" s="7"/>
    </row>
    <row r="150" spans="1:30" ht="13">
      <c r="A150" s="20"/>
      <c r="B150" s="20"/>
      <c r="C150" s="23"/>
      <c r="D150" s="17"/>
      <c r="E150" s="6"/>
      <c r="F150" s="6"/>
      <c r="G150" s="6"/>
      <c r="H150" s="6"/>
      <c r="I150" s="17"/>
      <c r="J150" s="6"/>
      <c r="K150" s="6"/>
      <c r="L150" s="17"/>
      <c r="M150" s="6"/>
      <c r="N150" s="6"/>
      <c r="O150" s="6"/>
      <c r="P150" s="6"/>
      <c r="Q150" s="6"/>
      <c r="R150" s="6"/>
      <c r="S150" s="6"/>
      <c r="T150" s="6"/>
      <c r="U150" s="6"/>
      <c r="V150" s="6"/>
      <c r="W150" s="6"/>
      <c r="X150" s="6"/>
      <c r="Y150" s="6"/>
      <c r="Z150" s="6"/>
      <c r="AA150" s="6"/>
      <c r="AB150" s="6"/>
      <c r="AC150" s="6"/>
      <c r="AD150" s="7"/>
    </row>
    <row r="151" spans="1:30" ht="13">
      <c r="A151" s="20"/>
      <c r="B151" s="20"/>
      <c r="C151" s="23"/>
      <c r="D151" s="17"/>
      <c r="E151" s="6"/>
      <c r="F151" s="6"/>
      <c r="G151" s="6"/>
      <c r="H151" s="6"/>
      <c r="I151" s="17"/>
      <c r="J151" s="6"/>
      <c r="K151" s="6"/>
      <c r="L151" s="17"/>
      <c r="M151" s="6"/>
      <c r="N151" s="6"/>
      <c r="O151" s="6"/>
      <c r="P151" s="6"/>
      <c r="Q151" s="6"/>
      <c r="R151" s="6"/>
      <c r="S151" s="6"/>
      <c r="T151" s="6"/>
      <c r="U151" s="6"/>
      <c r="V151" s="6"/>
      <c r="W151" s="6"/>
      <c r="X151" s="6"/>
      <c r="Y151" s="6"/>
      <c r="Z151" s="6"/>
      <c r="AA151" s="6"/>
      <c r="AB151" s="6"/>
      <c r="AC151" s="6"/>
      <c r="AD151" s="7"/>
    </row>
    <row r="152" spans="1:30" ht="13">
      <c r="A152" s="20"/>
      <c r="B152" s="20"/>
      <c r="C152" s="23"/>
      <c r="D152" s="17"/>
      <c r="E152" s="6"/>
      <c r="F152" s="6"/>
      <c r="G152" s="6"/>
      <c r="H152" s="6"/>
      <c r="I152" s="17"/>
      <c r="J152" s="6"/>
      <c r="K152" s="6"/>
      <c r="L152" s="17"/>
      <c r="M152" s="6"/>
      <c r="N152" s="6"/>
      <c r="O152" s="6"/>
      <c r="P152" s="6"/>
      <c r="Q152" s="6"/>
      <c r="R152" s="6"/>
      <c r="S152" s="6"/>
      <c r="T152" s="6"/>
      <c r="U152" s="6"/>
      <c r="V152" s="6"/>
      <c r="W152" s="6"/>
      <c r="X152" s="6"/>
      <c r="Y152" s="6"/>
      <c r="Z152" s="6"/>
      <c r="AA152" s="6"/>
      <c r="AB152" s="6"/>
      <c r="AC152" s="6"/>
      <c r="AD152" s="7"/>
    </row>
    <row r="153" spans="1:30" ht="13">
      <c r="A153" s="20"/>
      <c r="B153" s="20"/>
      <c r="C153" s="23"/>
      <c r="D153" s="17"/>
      <c r="E153" s="6"/>
      <c r="F153" s="6"/>
      <c r="G153" s="6"/>
      <c r="H153" s="6"/>
      <c r="I153" s="17"/>
      <c r="J153" s="6"/>
      <c r="K153" s="6"/>
      <c r="L153" s="17"/>
      <c r="M153" s="6"/>
      <c r="N153" s="6"/>
      <c r="O153" s="6"/>
      <c r="P153" s="6"/>
      <c r="Q153" s="6"/>
      <c r="R153" s="6"/>
      <c r="S153" s="6"/>
      <c r="T153" s="6"/>
      <c r="U153" s="6"/>
      <c r="V153" s="6"/>
      <c r="W153" s="6"/>
      <c r="X153" s="6"/>
      <c r="Y153" s="6"/>
      <c r="Z153" s="6"/>
      <c r="AA153" s="6"/>
      <c r="AB153" s="6"/>
      <c r="AC153" s="6"/>
      <c r="AD153" s="7"/>
    </row>
    <row r="154" spans="1:30" ht="13">
      <c r="A154" s="20"/>
      <c r="B154" s="20"/>
      <c r="C154" s="23"/>
      <c r="D154" s="17"/>
      <c r="E154" s="6"/>
      <c r="F154" s="6"/>
      <c r="G154" s="6"/>
      <c r="H154" s="6"/>
      <c r="I154" s="17"/>
      <c r="J154" s="6"/>
      <c r="K154" s="6"/>
      <c r="L154" s="17"/>
      <c r="M154" s="6"/>
      <c r="N154" s="6"/>
      <c r="O154" s="6"/>
      <c r="P154" s="6"/>
      <c r="Q154" s="6"/>
      <c r="R154" s="6"/>
      <c r="S154" s="6"/>
      <c r="T154" s="6"/>
      <c r="U154" s="6"/>
      <c r="V154" s="6"/>
      <c r="W154" s="6"/>
      <c r="X154" s="6"/>
      <c r="Y154" s="6"/>
      <c r="Z154" s="6"/>
      <c r="AA154" s="6"/>
      <c r="AB154" s="6"/>
      <c r="AC154" s="6"/>
      <c r="AD154" s="7"/>
    </row>
    <row r="155" spans="1:30" ht="13">
      <c r="A155" s="20"/>
      <c r="B155" s="20"/>
      <c r="C155" s="23"/>
      <c r="D155" s="17"/>
      <c r="E155" s="6"/>
      <c r="F155" s="6"/>
      <c r="G155" s="6"/>
      <c r="H155" s="6"/>
      <c r="I155" s="17"/>
      <c r="J155" s="6"/>
      <c r="K155" s="6"/>
      <c r="L155" s="17"/>
      <c r="M155" s="6"/>
      <c r="N155" s="6"/>
      <c r="O155" s="6"/>
      <c r="P155" s="6"/>
      <c r="Q155" s="6"/>
      <c r="R155" s="6"/>
      <c r="S155" s="6"/>
      <c r="T155" s="6"/>
      <c r="U155" s="6"/>
      <c r="V155" s="6"/>
      <c r="W155" s="6"/>
      <c r="X155" s="6"/>
      <c r="Y155" s="6"/>
      <c r="Z155" s="6"/>
      <c r="AA155" s="6"/>
      <c r="AB155" s="6"/>
      <c r="AC155" s="6"/>
      <c r="AD155" s="7"/>
    </row>
    <row r="156" spans="1:30" ht="13">
      <c r="A156" s="20"/>
      <c r="B156" s="20"/>
      <c r="C156" s="23"/>
      <c r="D156" s="17"/>
      <c r="E156" s="6"/>
      <c r="F156" s="6"/>
      <c r="G156" s="6"/>
      <c r="H156" s="6"/>
      <c r="I156" s="17"/>
      <c r="J156" s="6"/>
      <c r="K156" s="6"/>
      <c r="L156" s="17"/>
      <c r="M156" s="6"/>
      <c r="N156" s="6"/>
      <c r="O156" s="6"/>
      <c r="P156" s="6"/>
      <c r="Q156" s="6"/>
      <c r="R156" s="6"/>
      <c r="S156" s="6"/>
      <c r="T156" s="6"/>
      <c r="U156" s="6"/>
      <c r="V156" s="6"/>
      <c r="W156" s="6"/>
      <c r="X156" s="6"/>
      <c r="Y156" s="6"/>
      <c r="Z156" s="6"/>
      <c r="AA156" s="6"/>
      <c r="AB156" s="6"/>
      <c r="AC156" s="6"/>
      <c r="AD156" s="7"/>
    </row>
    <row r="157" spans="1:30" ht="13">
      <c r="A157" s="20"/>
      <c r="B157" s="20"/>
      <c r="C157" s="23"/>
      <c r="D157" s="17"/>
      <c r="E157" s="6"/>
      <c r="F157" s="6"/>
      <c r="G157" s="6"/>
      <c r="H157" s="6"/>
      <c r="I157" s="17"/>
      <c r="J157" s="6"/>
      <c r="K157" s="6"/>
      <c r="L157" s="17"/>
      <c r="M157" s="6"/>
      <c r="N157" s="6"/>
      <c r="O157" s="6"/>
      <c r="P157" s="6"/>
      <c r="Q157" s="6"/>
      <c r="R157" s="6"/>
      <c r="S157" s="6"/>
      <c r="T157" s="6"/>
      <c r="U157" s="6"/>
      <c r="V157" s="6"/>
      <c r="W157" s="6"/>
      <c r="X157" s="6"/>
      <c r="Y157" s="6"/>
      <c r="Z157" s="6"/>
      <c r="AA157" s="6"/>
      <c r="AB157" s="6"/>
      <c r="AC157" s="6"/>
      <c r="AD157" s="7"/>
    </row>
    <row r="158" spans="1:30" ht="13">
      <c r="A158" s="20"/>
      <c r="B158" s="20"/>
      <c r="C158" s="23"/>
      <c r="D158" s="17"/>
      <c r="E158" s="6"/>
      <c r="F158" s="6"/>
      <c r="G158" s="6"/>
      <c r="H158" s="6"/>
      <c r="I158" s="17"/>
      <c r="J158" s="6"/>
      <c r="K158" s="6"/>
      <c r="L158" s="17"/>
      <c r="M158" s="6"/>
      <c r="N158" s="6"/>
      <c r="O158" s="6"/>
      <c r="P158" s="6"/>
      <c r="Q158" s="6"/>
      <c r="R158" s="6"/>
      <c r="S158" s="6"/>
      <c r="T158" s="6"/>
      <c r="U158" s="6"/>
      <c r="V158" s="6"/>
      <c r="W158" s="6"/>
      <c r="X158" s="6"/>
      <c r="Y158" s="6"/>
      <c r="Z158" s="6"/>
      <c r="AA158" s="6"/>
      <c r="AB158" s="6"/>
      <c r="AC158" s="6"/>
      <c r="AD158" s="7"/>
    </row>
    <row r="159" spans="1:30" ht="13">
      <c r="A159" s="20"/>
      <c r="B159" s="20"/>
      <c r="C159" s="23"/>
      <c r="D159" s="17"/>
      <c r="E159" s="6"/>
      <c r="F159" s="6"/>
      <c r="G159" s="6"/>
      <c r="H159" s="6"/>
      <c r="I159" s="17"/>
      <c r="J159" s="6"/>
      <c r="K159" s="6"/>
      <c r="L159" s="17"/>
      <c r="M159" s="6"/>
      <c r="N159" s="6"/>
      <c r="O159" s="6"/>
      <c r="P159" s="6"/>
      <c r="Q159" s="6"/>
      <c r="R159" s="6"/>
      <c r="S159" s="6"/>
      <c r="T159" s="6"/>
      <c r="U159" s="6"/>
      <c r="V159" s="6"/>
      <c r="W159" s="6"/>
      <c r="X159" s="6"/>
      <c r="Y159" s="6"/>
      <c r="Z159" s="6"/>
      <c r="AA159" s="6"/>
      <c r="AB159" s="6"/>
      <c r="AC159" s="6"/>
      <c r="AD159" s="7"/>
    </row>
    <row r="160" spans="1:30" ht="13">
      <c r="A160" s="20"/>
      <c r="B160" s="20"/>
      <c r="C160" s="23"/>
      <c r="D160" s="17"/>
      <c r="E160" s="6"/>
      <c r="F160" s="6"/>
      <c r="G160" s="6"/>
      <c r="H160" s="6"/>
      <c r="I160" s="17"/>
      <c r="J160" s="6"/>
      <c r="K160" s="6"/>
      <c r="L160" s="17"/>
      <c r="M160" s="6"/>
      <c r="N160" s="6"/>
      <c r="O160" s="6"/>
      <c r="P160" s="6"/>
      <c r="Q160" s="6"/>
      <c r="R160" s="6"/>
      <c r="S160" s="6"/>
      <c r="T160" s="6"/>
      <c r="U160" s="6"/>
      <c r="V160" s="6"/>
      <c r="W160" s="6"/>
      <c r="X160" s="6"/>
      <c r="Y160" s="6"/>
      <c r="Z160" s="6"/>
      <c r="AA160" s="6"/>
      <c r="AB160" s="6"/>
      <c r="AC160" s="6"/>
      <c r="AD160" s="7"/>
    </row>
    <row r="161" spans="1:30" ht="13">
      <c r="A161" s="20"/>
      <c r="B161" s="20"/>
      <c r="C161" s="23"/>
      <c r="D161" s="17"/>
      <c r="E161" s="6"/>
      <c r="F161" s="6"/>
      <c r="G161" s="6"/>
      <c r="H161" s="6"/>
      <c r="I161" s="17"/>
      <c r="J161" s="6"/>
      <c r="K161" s="6"/>
      <c r="L161" s="17"/>
      <c r="M161" s="6"/>
      <c r="N161" s="6"/>
      <c r="O161" s="6"/>
      <c r="P161" s="6"/>
      <c r="Q161" s="6"/>
      <c r="R161" s="6"/>
      <c r="S161" s="6"/>
      <c r="T161" s="6"/>
      <c r="U161" s="6"/>
      <c r="V161" s="6"/>
      <c r="W161" s="6"/>
      <c r="X161" s="6"/>
      <c r="Y161" s="6"/>
      <c r="Z161" s="6"/>
      <c r="AA161" s="6"/>
      <c r="AB161" s="6"/>
      <c r="AC161" s="6"/>
      <c r="AD161" s="7"/>
    </row>
    <row r="162" spans="1:30" ht="13">
      <c r="A162" s="20"/>
      <c r="B162" s="20"/>
      <c r="C162" s="23"/>
      <c r="D162" s="17"/>
      <c r="E162" s="6"/>
      <c r="F162" s="6"/>
      <c r="G162" s="6"/>
      <c r="H162" s="6"/>
      <c r="I162" s="17"/>
      <c r="J162" s="6"/>
      <c r="K162" s="6"/>
      <c r="L162" s="17"/>
      <c r="M162" s="6"/>
      <c r="N162" s="6"/>
      <c r="O162" s="6"/>
      <c r="P162" s="6"/>
      <c r="Q162" s="6"/>
      <c r="R162" s="6"/>
      <c r="S162" s="6"/>
      <c r="T162" s="6"/>
      <c r="U162" s="6"/>
      <c r="V162" s="6"/>
      <c r="W162" s="6"/>
      <c r="X162" s="6"/>
      <c r="Y162" s="6"/>
      <c r="Z162" s="6"/>
      <c r="AA162" s="6"/>
      <c r="AB162" s="6"/>
      <c r="AC162" s="6"/>
      <c r="AD162" s="7"/>
    </row>
    <row r="163" spans="1:30" ht="13">
      <c r="A163" s="20"/>
      <c r="B163" s="20"/>
      <c r="C163" s="23"/>
      <c r="D163" s="17"/>
      <c r="E163" s="6"/>
      <c r="F163" s="6"/>
      <c r="G163" s="6"/>
      <c r="H163" s="6"/>
      <c r="I163" s="17"/>
      <c r="J163" s="6"/>
      <c r="K163" s="6"/>
      <c r="L163" s="17"/>
      <c r="M163" s="6"/>
      <c r="N163" s="6"/>
      <c r="O163" s="6"/>
      <c r="P163" s="6"/>
      <c r="Q163" s="6"/>
      <c r="R163" s="6"/>
      <c r="S163" s="6"/>
      <c r="T163" s="6"/>
      <c r="U163" s="6"/>
      <c r="V163" s="6"/>
      <c r="W163" s="6"/>
      <c r="X163" s="6"/>
      <c r="Y163" s="6"/>
      <c r="Z163" s="6"/>
      <c r="AA163" s="6"/>
      <c r="AB163" s="6"/>
      <c r="AC163" s="6"/>
      <c r="AD163" s="7"/>
    </row>
    <row r="164" spans="1:30" ht="13">
      <c r="A164" s="20"/>
      <c r="B164" s="20"/>
      <c r="C164" s="23"/>
      <c r="D164" s="17"/>
      <c r="E164" s="6"/>
      <c r="F164" s="6"/>
      <c r="G164" s="6"/>
      <c r="H164" s="6"/>
      <c r="I164" s="17"/>
      <c r="J164" s="6"/>
      <c r="K164" s="6"/>
      <c r="L164" s="17"/>
      <c r="M164" s="6"/>
      <c r="N164" s="6"/>
      <c r="O164" s="6"/>
      <c r="P164" s="6"/>
      <c r="Q164" s="6"/>
      <c r="R164" s="6"/>
      <c r="S164" s="6"/>
      <c r="T164" s="6"/>
      <c r="U164" s="6"/>
      <c r="V164" s="6"/>
      <c r="W164" s="6"/>
      <c r="X164" s="6"/>
      <c r="Y164" s="6"/>
      <c r="Z164" s="6"/>
      <c r="AA164" s="6"/>
      <c r="AB164" s="6"/>
      <c r="AC164" s="6"/>
      <c r="AD164" s="7"/>
    </row>
    <row r="165" spans="1:30" ht="13">
      <c r="A165" s="20"/>
      <c r="B165" s="20"/>
      <c r="C165" s="23"/>
      <c r="D165" s="17"/>
      <c r="E165" s="6"/>
      <c r="F165" s="6"/>
      <c r="G165" s="6"/>
      <c r="H165" s="6"/>
      <c r="I165" s="17"/>
      <c r="J165" s="6"/>
      <c r="K165" s="6"/>
      <c r="L165" s="17"/>
      <c r="M165" s="6"/>
      <c r="N165" s="6"/>
      <c r="O165" s="6"/>
      <c r="P165" s="6"/>
      <c r="Q165" s="6"/>
      <c r="R165" s="6"/>
      <c r="S165" s="6"/>
      <c r="T165" s="6"/>
      <c r="U165" s="6"/>
      <c r="V165" s="6"/>
      <c r="W165" s="6"/>
      <c r="X165" s="6"/>
      <c r="Y165" s="6"/>
      <c r="Z165" s="6"/>
      <c r="AA165" s="6"/>
      <c r="AB165" s="6"/>
      <c r="AC165" s="6"/>
      <c r="AD165" s="7"/>
    </row>
    <row r="166" spans="1:30" ht="13">
      <c r="A166" s="20"/>
      <c r="B166" s="20"/>
      <c r="C166" s="23"/>
      <c r="D166" s="17"/>
      <c r="E166" s="6"/>
      <c r="F166" s="6"/>
      <c r="G166" s="6"/>
      <c r="H166" s="6"/>
      <c r="I166" s="17"/>
      <c r="J166" s="6"/>
      <c r="K166" s="6"/>
      <c r="L166" s="17"/>
      <c r="M166" s="6"/>
      <c r="N166" s="6"/>
      <c r="O166" s="6"/>
      <c r="P166" s="6"/>
      <c r="Q166" s="6"/>
      <c r="R166" s="6"/>
      <c r="S166" s="6"/>
      <c r="T166" s="6"/>
      <c r="U166" s="6"/>
      <c r="V166" s="6"/>
      <c r="W166" s="6"/>
      <c r="X166" s="6"/>
      <c r="Y166" s="6"/>
      <c r="Z166" s="6"/>
      <c r="AA166" s="6"/>
      <c r="AB166" s="6"/>
      <c r="AC166" s="6"/>
      <c r="AD166" s="7"/>
    </row>
    <row r="167" spans="1:30" ht="13">
      <c r="A167" s="20"/>
      <c r="B167" s="20"/>
      <c r="C167" s="23"/>
      <c r="D167" s="17"/>
      <c r="E167" s="6"/>
      <c r="F167" s="6"/>
      <c r="G167" s="6"/>
      <c r="H167" s="6"/>
      <c r="I167" s="17"/>
      <c r="J167" s="6"/>
      <c r="K167" s="6"/>
      <c r="L167" s="17"/>
      <c r="M167" s="6"/>
      <c r="N167" s="6"/>
      <c r="O167" s="6"/>
      <c r="P167" s="6"/>
      <c r="Q167" s="6"/>
      <c r="R167" s="6"/>
      <c r="S167" s="6"/>
      <c r="T167" s="6"/>
      <c r="U167" s="6"/>
      <c r="V167" s="6"/>
      <c r="W167" s="6"/>
      <c r="X167" s="6"/>
      <c r="Y167" s="6"/>
      <c r="Z167" s="6"/>
      <c r="AA167" s="6"/>
      <c r="AB167" s="6"/>
      <c r="AC167" s="6"/>
      <c r="AD167" s="7"/>
    </row>
    <row r="168" spans="1:30" ht="13">
      <c r="A168" s="20"/>
      <c r="B168" s="20"/>
      <c r="C168" s="23"/>
      <c r="D168" s="17"/>
      <c r="E168" s="6"/>
      <c r="F168" s="6"/>
      <c r="G168" s="6"/>
      <c r="H168" s="6"/>
      <c r="I168" s="17"/>
      <c r="J168" s="6"/>
      <c r="K168" s="6"/>
      <c r="L168" s="17"/>
      <c r="M168" s="6"/>
      <c r="N168" s="6"/>
      <c r="O168" s="6"/>
      <c r="P168" s="6"/>
      <c r="Q168" s="6"/>
      <c r="R168" s="6"/>
      <c r="S168" s="6"/>
      <c r="T168" s="6"/>
      <c r="U168" s="6"/>
      <c r="V168" s="6"/>
      <c r="W168" s="6"/>
      <c r="X168" s="6"/>
      <c r="Y168" s="6"/>
      <c r="Z168" s="6"/>
      <c r="AA168" s="6"/>
      <c r="AB168" s="6"/>
      <c r="AC168" s="6"/>
      <c r="AD168" s="7"/>
    </row>
    <row r="169" spans="1:30" ht="13">
      <c r="A169" s="20"/>
      <c r="B169" s="20"/>
      <c r="C169" s="23"/>
      <c r="D169" s="17"/>
      <c r="E169" s="6"/>
      <c r="F169" s="6"/>
      <c r="G169" s="6"/>
      <c r="H169" s="6"/>
      <c r="I169" s="17"/>
      <c r="J169" s="6"/>
      <c r="K169" s="6"/>
      <c r="L169" s="17"/>
      <c r="M169" s="6"/>
      <c r="N169" s="6"/>
      <c r="O169" s="6"/>
      <c r="P169" s="6"/>
      <c r="Q169" s="6"/>
      <c r="R169" s="6"/>
      <c r="S169" s="6"/>
      <c r="T169" s="6"/>
      <c r="U169" s="6"/>
      <c r="V169" s="6"/>
      <c r="W169" s="6"/>
      <c r="X169" s="6"/>
      <c r="Y169" s="6"/>
      <c r="Z169" s="6"/>
      <c r="AA169" s="6"/>
      <c r="AB169" s="6"/>
      <c r="AC169" s="6"/>
      <c r="AD169" s="7"/>
    </row>
    <row r="170" spans="1:30" ht="13">
      <c r="A170" s="20"/>
      <c r="B170" s="20"/>
      <c r="C170" s="23"/>
      <c r="D170" s="17"/>
      <c r="E170" s="6"/>
      <c r="F170" s="6"/>
      <c r="G170" s="6"/>
      <c r="H170" s="6"/>
      <c r="I170" s="17"/>
      <c r="J170" s="6"/>
      <c r="K170" s="6"/>
      <c r="L170" s="17"/>
      <c r="M170" s="6"/>
      <c r="N170" s="6"/>
      <c r="O170" s="6"/>
      <c r="P170" s="6"/>
      <c r="Q170" s="6"/>
      <c r="R170" s="6"/>
      <c r="S170" s="6"/>
      <c r="T170" s="6"/>
      <c r="U170" s="6"/>
      <c r="V170" s="6"/>
      <c r="W170" s="6"/>
      <c r="X170" s="6"/>
      <c r="Y170" s="6"/>
      <c r="Z170" s="6"/>
      <c r="AA170" s="6"/>
      <c r="AB170" s="6"/>
      <c r="AC170" s="6"/>
      <c r="AD170" s="7"/>
    </row>
    <row r="171" spans="1:30" ht="13">
      <c r="A171" s="20"/>
      <c r="B171" s="20"/>
      <c r="C171" s="23"/>
      <c r="D171" s="17"/>
      <c r="E171" s="6"/>
      <c r="F171" s="6"/>
      <c r="G171" s="6"/>
      <c r="H171" s="6"/>
      <c r="I171" s="17"/>
      <c r="J171" s="6"/>
      <c r="K171" s="6"/>
      <c r="L171" s="17"/>
      <c r="M171" s="6"/>
      <c r="N171" s="6"/>
      <c r="O171" s="6"/>
      <c r="P171" s="6"/>
      <c r="Q171" s="6"/>
      <c r="R171" s="6"/>
      <c r="S171" s="6"/>
      <c r="T171" s="6"/>
      <c r="U171" s="6"/>
      <c r="V171" s="6"/>
      <c r="W171" s="6"/>
      <c r="X171" s="6"/>
      <c r="Y171" s="6"/>
      <c r="Z171" s="6"/>
      <c r="AA171" s="6"/>
      <c r="AB171" s="6"/>
      <c r="AC171" s="6"/>
      <c r="AD171" s="7"/>
    </row>
    <row r="172" spans="1:30" ht="13">
      <c r="A172" s="20"/>
      <c r="B172" s="20"/>
      <c r="C172" s="23"/>
      <c r="D172" s="17"/>
      <c r="E172" s="6"/>
      <c r="F172" s="6"/>
      <c r="G172" s="6"/>
      <c r="H172" s="6"/>
      <c r="I172" s="17"/>
      <c r="J172" s="6"/>
      <c r="K172" s="6"/>
      <c r="L172" s="17"/>
      <c r="M172" s="6"/>
      <c r="N172" s="6"/>
      <c r="O172" s="6"/>
      <c r="P172" s="6"/>
      <c r="Q172" s="6"/>
      <c r="R172" s="6"/>
      <c r="S172" s="6"/>
      <c r="T172" s="6"/>
      <c r="U172" s="6"/>
      <c r="V172" s="6"/>
      <c r="W172" s="6"/>
      <c r="X172" s="6"/>
      <c r="Y172" s="6"/>
      <c r="Z172" s="6"/>
      <c r="AA172" s="6"/>
      <c r="AB172" s="6"/>
      <c r="AC172" s="6"/>
      <c r="AD172" s="7"/>
    </row>
    <row r="173" spans="1:30" ht="13">
      <c r="A173" s="20"/>
      <c r="B173" s="20"/>
      <c r="C173" s="23"/>
      <c r="D173" s="17"/>
      <c r="E173" s="6"/>
      <c r="F173" s="6"/>
      <c r="G173" s="6"/>
      <c r="H173" s="6"/>
      <c r="I173" s="17"/>
      <c r="J173" s="6"/>
      <c r="K173" s="6"/>
      <c r="L173" s="17"/>
      <c r="M173" s="6"/>
      <c r="N173" s="6"/>
      <c r="O173" s="6"/>
      <c r="P173" s="6"/>
      <c r="Q173" s="6"/>
      <c r="R173" s="6"/>
      <c r="S173" s="6"/>
      <c r="T173" s="6"/>
      <c r="U173" s="6"/>
      <c r="V173" s="6"/>
      <c r="W173" s="6"/>
      <c r="X173" s="6"/>
      <c r="Y173" s="6"/>
      <c r="Z173" s="6"/>
      <c r="AA173" s="6"/>
      <c r="AB173" s="6"/>
      <c r="AC173" s="6"/>
      <c r="AD173" s="7"/>
    </row>
    <row r="174" spans="1:30" ht="13">
      <c r="A174" s="20"/>
      <c r="B174" s="20"/>
      <c r="C174" s="23"/>
      <c r="D174" s="17"/>
      <c r="E174" s="6"/>
      <c r="F174" s="6"/>
      <c r="G174" s="6"/>
      <c r="H174" s="6"/>
      <c r="I174" s="17"/>
      <c r="J174" s="6"/>
      <c r="K174" s="6"/>
      <c r="L174" s="17"/>
      <c r="M174" s="6"/>
      <c r="N174" s="6"/>
      <c r="O174" s="6"/>
      <c r="P174" s="6"/>
      <c r="Q174" s="6"/>
      <c r="R174" s="6"/>
      <c r="S174" s="6"/>
      <c r="T174" s="6"/>
      <c r="U174" s="6"/>
      <c r="V174" s="6"/>
      <c r="W174" s="6"/>
      <c r="X174" s="6"/>
      <c r="Y174" s="6"/>
      <c r="Z174" s="6"/>
      <c r="AA174" s="6"/>
      <c r="AB174" s="6"/>
      <c r="AC174" s="6"/>
      <c r="AD174" s="7"/>
    </row>
    <row r="175" spans="1:30" ht="13">
      <c r="A175" s="20"/>
      <c r="B175" s="20"/>
      <c r="C175" s="23"/>
      <c r="D175" s="17"/>
      <c r="E175" s="6"/>
      <c r="F175" s="6"/>
      <c r="G175" s="6"/>
      <c r="H175" s="6"/>
      <c r="I175" s="17"/>
      <c r="J175" s="6"/>
      <c r="K175" s="6"/>
      <c r="L175" s="17"/>
      <c r="M175" s="6"/>
      <c r="N175" s="6"/>
      <c r="O175" s="6"/>
      <c r="P175" s="6"/>
      <c r="Q175" s="6"/>
      <c r="R175" s="6"/>
      <c r="S175" s="6"/>
      <c r="T175" s="6"/>
      <c r="U175" s="6"/>
      <c r="V175" s="6"/>
      <c r="W175" s="6"/>
      <c r="X175" s="6"/>
      <c r="Y175" s="6"/>
      <c r="Z175" s="6"/>
      <c r="AA175" s="6"/>
      <c r="AB175" s="6"/>
      <c r="AC175" s="6"/>
      <c r="AD175" s="7"/>
    </row>
    <row r="176" spans="1:30" ht="13">
      <c r="A176" s="20"/>
      <c r="B176" s="20"/>
      <c r="C176" s="23"/>
      <c r="D176" s="17"/>
      <c r="E176" s="6"/>
      <c r="F176" s="6"/>
      <c r="G176" s="6"/>
      <c r="H176" s="6"/>
      <c r="I176" s="17"/>
      <c r="J176" s="6"/>
      <c r="K176" s="6"/>
      <c r="L176" s="17"/>
      <c r="M176" s="6"/>
      <c r="N176" s="6"/>
      <c r="O176" s="6"/>
      <c r="P176" s="6"/>
      <c r="Q176" s="6"/>
      <c r="R176" s="6"/>
      <c r="S176" s="6"/>
      <c r="T176" s="6"/>
      <c r="U176" s="6"/>
      <c r="V176" s="6"/>
      <c r="W176" s="6"/>
      <c r="X176" s="6"/>
      <c r="Y176" s="6"/>
      <c r="Z176" s="6"/>
      <c r="AA176" s="6"/>
      <c r="AB176" s="6"/>
      <c r="AC176" s="6"/>
      <c r="AD176" s="7"/>
    </row>
    <row r="177" spans="1:30" ht="13">
      <c r="A177" s="20"/>
      <c r="B177" s="20"/>
      <c r="C177" s="23"/>
      <c r="D177" s="17"/>
      <c r="E177" s="6"/>
      <c r="F177" s="6"/>
      <c r="G177" s="6"/>
      <c r="H177" s="6"/>
      <c r="I177" s="17"/>
      <c r="J177" s="6"/>
      <c r="K177" s="6"/>
      <c r="L177" s="17"/>
      <c r="M177" s="6"/>
      <c r="N177" s="6"/>
      <c r="O177" s="6"/>
      <c r="P177" s="6"/>
      <c r="Q177" s="6"/>
      <c r="R177" s="6"/>
      <c r="S177" s="6"/>
      <c r="T177" s="6"/>
      <c r="U177" s="6"/>
      <c r="V177" s="6"/>
      <c r="W177" s="6"/>
      <c r="X177" s="6"/>
      <c r="Y177" s="6"/>
      <c r="Z177" s="6"/>
      <c r="AA177" s="6"/>
      <c r="AB177" s="6"/>
      <c r="AC177" s="6"/>
      <c r="AD177" s="7"/>
    </row>
    <row r="178" spans="1:30" ht="13">
      <c r="A178" s="20"/>
      <c r="B178" s="20"/>
      <c r="C178" s="23"/>
      <c r="D178" s="17"/>
      <c r="E178" s="6"/>
      <c r="F178" s="6"/>
      <c r="G178" s="6"/>
      <c r="H178" s="6"/>
      <c r="I178" s="17"/>
      <c r="J178" s="6"/>
      <c r="K178" s="6"/>
      <c r="L178" s="17"/>
      <c r="M178" s="6"/>
      <c r="N178" s="6"/>
      <c r="O178" s="6"/>
      <c r="P178" s="6"/>
      <c r="Q178" s="6"/>
      <c r="R178" s="6"/>
      <c r="S178" s="6"/>
      <c r="T178" s="6"/>
      <c r="U178" s="6"/>
      <c r="V178" s="6"/>
      <c r="W178" s="6"/>
      <c r="X178" s="6"/>
      <c r="Y178" s="6"/>
      <c r="Z178" s="6"/>
      <c r="AA178" s="6"/>
      <c r="AB178" s="6"/>
      <c r="AC178" s="6"/>
      <c r="AD178" s="7"/>
    </row>
    <row r="179" spans="1:30" ht="13">
      <c r="A179" s="20"/>
      <c r="B179" s="20"/>
      <c r="C179" s="23"/>
      <c r="D179" s="17"/>
      <c r="E179" s="6"/>
      <c r="F179" s="6"/>
      <c r="G179" s="6"/>
      <c r="H179" s="6"/>
      <c r="I179" s="17"/>
      <c r="J179" s="6"/>
      <c r="K179" s="6"/>
      <c r="L179" s="17"/>
      <c r="M179" s="6"/>
      <c r="N179" s="6"/>
      <c r="O179" s="6"/>
      <c r="P179" s="6"/>
      <c r="Q179" s="6"/>
      <c r="R179" s="6"/>
      <c r="S179" s="6"/>
      <c r="T179" s="6"/>
      <c r="U179" s="6"/>
      <c r="V179" s="6"/>
      <c r="W179" s="6"/>
      <c r="X179" s="6"/>
      <c r="Y179" s="6"/>
      <c r="Z179" s="6"/>
      <c r="AA179" s="6"/>
      <c r="AB179" s="6"/>
      <c r="AC179" s="6"/>
      <c r="AD179" s="7"/>
    </row>
    <row r="180" spans="1:30" ht="13">
      <c r="A180" s="20"/>
      <c r="B180" s="20"/>
      <c r="C180" s="23"/>
      <c r="D180" s="17"/>
      <c r="E180" s="6"/>
      <c r="F180" s="6"/>
      <c r="G180" s="6"/>
      <c r="H180" s="6"/>
      <c r="I180" s="17"/>
      <c r="J180" s="6"/>
      <c r="K180" s="6"/>
      <c r="L180" s="17"/>
      <c r="M180" s="6"/>
      <c r="N180" s="6"/>
      <c r="O180" s="6"/>
      <c r="P180" s="6"/>
      <c r="Q180" s="6"/>
      <c r="R180" s="6"/>
      <c r="S180" s="6"/>
      <c r="T180" s="6"/>
      <c r="U180" s="6"/>
      <c r="V180" s="6"/>
      <c r="W180" s="6"/>
      <c r="X180" s="6"/>
      <c r="Y180" s="6"/>
      <c r="Z180" s="6"/>
      <c r="AA180" s="6"/>
      <c r="AB180" s="6"/>
      <c r="AC180" s="6"/>
      <c r="AD180" s="7"/>
    </row>
    <row r="181" spans="1:30" ht="13">
      <c r="A181" s="20"/>
      <c r="B181" s="20"/>
      <c r="C181" s="23"/>
      <c r="D181" s="17"/>
      <c r="E181" s="6"/>
      <c r="F181" s="6"/>
      <c r="G181" s="6"/>
      <c r="H181" s="6"/>
      <c r="I181" s="17"/>
      <c r="J181" s="6"/>
      <c r="K181" s="6"/>
      <c r="L181" s="17"/>
      <c r="M181" s="6"/>
      <c r="N181" s="6"/>
      <c r="O181" s="6"/>
      <c r="P181" s="6"/>
      <c r="Q181" s="6"/>
      <c r="R181" s="6"/>
      <c r="S181" s="6"/>
      <c r="T181" s="6"/>
      <c r="U181" s="6"/>
      <c r="V181" s="6"/>
      <c r="W181" s="6"/>
      <c r="X181" s="6"/>
      <c r="Y181" s="6"/>
      <c r="Z181" s="6"/>
      <c r="AA181" s="6"/>
      <c r="AB181" s="6"/>
      <c r="AC181" s="6"/>
      <c r="AD181" s="7"/>
    </row>
    <row r="182" spans="1:30" ht="13">
      <c r="A182" s="20"/>
      <c r="B182" s="20"/>
      <c r="C182" s="23"/>
      <c r="D182" s="17"/>
      <c r="E182" s="6"/>
      <c r="F182" s="6"/>
      <c r="G182" s="6"/>
      <c r="H182" s="6"/>
      <c r="I182" s="17"/>
      <c r="J182" s="6"/>
      <c r="K182" s="6"/>
      <c r="L182" s="17"/>
      <c r="M182" s="6"/>
      <c r="N182" s="6"/>
      <c r="O182" s="6"/>
      <c r="P182" s="6"/>
      <c r="Q182" s="6"/>
      <c r="R182" s="6"/>
      <c r="S182" s="6"/>
      <c r="T182" s="6"/>
      <c r="U182" s="6"/>
      <c r="V182" s="6"/>
      <c r="W182" s="6"/>
      <c r="X182" s="6"/>
      <c r="Y182" s="6"/>
      <c r="Z182" s="6"/>
      <c r="AA182" s="6"/>
      <c r="AB182" s="6"/>
      <c r="AC182" s="6"/>
      <c r="AD182" s="7"/>
    </row>
    <row r="183" spans="1:30" ht="13">
      <c r="A183" s="20"/>
      <c r="B183" s="20"/>
      <c r="C183" s="23"/>
      <c r="D183" s="17"/>
      <c r="E183" s="6"/>
      <c r="F183" s="6"/>
      <c r="G183" s="6"/>
      <c r="H183" s="6"/>
      <c r="I183" s="17"/>
      <c r="J183" s="6"/>
      <c r="K183" s="6"/>
      <c r="L183" s="17"/>
      <c r="M183" s="6"/>
      <c r="N183" s="6"/>
      <c r="O183" s="6"/>
      <c r="P183" s="6"/>
      <c r="Q183" s="6"/>
      <c r="R183" s="6"/>
      <c r="S183" s="6"/>
      <c r="T183" s="6"/>
      <c r="U183" s="6"/>
      <c r="V183" s="6"/>
      <c r="W183" s="6"/>
      <c r="X183" s="6"/>
      <c r="Y183" s="6"/>
      <c r="Z183" s="6"/>
      <c r="AA183" s="6"/>
      <c r="AB183" s="6"/>
      <c r="AC183" s="6"/>
      <c r="AD183" s="7"/>
    </row>
    <row r="184" spans="1:30" ht="13">
      <c r="A184" s="20"/>
      <c r="B184" s="20"/>
      <c r="C184" s="23"/>
      <c r="D184" s="17"/>
      <c r="E184" s="6"/>
      <c r="F184" s="6"/>
      <c r="G184" s="6"/>
      <c r="H184" s="6"/>
      <c r="I184" s="17"/>
      <c r="J184" s="6"/>
      <c r="K184" s="6"/>
      <c r="L184" s="17"/>
      <c r="M184" s="6"/>
      <c r="N184" s="6"/>
      <c r="O184" s="6"/>
      <c r="P184" s="6"/>
      <c r="Q184" s="6"/>
      <c r="R184" s="6"/>
      <c r="S184" s="6"/>
      <c r="T184" s="6"/>
      <c r="U184" s="6"/>
      <c r="V184" s="6"/>
      <c r="W184" s="6"/>
      <c r="X184" s="6"/>
      <c r="Y184" s="6"/>
      <c r="Z184" s="6"/>
      <c r="AA184" s="6"/>
      <c r="AB184" s="6"/>
      <c r="AC184" s="6"/>
      <c r="AD184" s="7"/>
    </row>
    <row r="185" spans="1:30" ht="13">
      <c r="A185" s="20"/>
      <c r="B185" s="20"/>
      <c r="C185" s="23"/>
      <c r="D185" s="17"/>
      <c r="E185" s="6"/>
      <c r="F185" s="6"/>
      <c r="G185" s="6"/>
      <c r="H185" s="6"/>
      <c r="I185" s="17"/>
      <c r="J185" s="6"/>
      <c r="K185" s="6"/>
      <c r="L185" s="17"/>
      <c r="M185" s="6"/>
      <c r="N185" s="6"/>
      <c r="O185" s="6"/>
      <c r="P185" s="6"/>
      <c r="Q185" s="6"/>
      <c r="R185" s="6"/>
      <c r="S185" s="6"/>
      <c r="T185" s="6"/>
      <c r="U185" s="6"/>
      <c r="V185" s="6"/>
      <c r="W185" s="6"/>
      <c r="X185" s="6"/>
      <c r="Y185" s="6"/>
      <c r="Z185" s="6"/>
      <c r="AA185" s="6"/>
      <c r="AB185" s="6"/>
      <c r="AC185" s="6"/>
      <c r="AD185" s="7"/>
    </row>
    <row r="186" spans="1:30" ht="13">
      <c r="A186" s="20"/>
      <c r="B186" s="20"/>
      <c r="C186" s="23"/>
      <c r="D186" s="17"/>
      <c r="E186" s="6"/>
      <c r="F186" s="6"/>
      <c r="G186" s="6"/>
      <c r="H186" s="6"/>
      <c r="I186" s="17"/>
      <c r="J186" s="6"/>
      <c r="K186" s="6"/>
      <c r="L186" s="17"/>
      <c r="M186" s="6"/>
      <c r="N186" s="6"/>
      <c r="O186" s="6"/>
      <c r="P186" s="6"/>
      <c r="Q186" s="6"/>
      <c r="R186" s="6"/>
      <c r="S186" s="6"/>
      <c r="T186" s="6"/>
      <c r="U186" s="6"/>
      <c r="V186" s="6"/>
      <c r="W186" s="6"/>
      <c r="X186" s="6"/>
      <c r="Y186" s="6"/>
      <c r="Z186" s="6"/>
      <c r="AA186" s="6"/>
      <c r="AB186" s="6"/>
      <c r="AC186" s="6"/>
      <c r="AD186" s="7"/>
    </row>
    <row r="187" spans="1:30" ht="13">
      <c r="A187" s="20"/>
      <c r="B187" s="20"/>
      <c r="C187" s="23"/>
      <c r="D187" s="17"/>
      <c r="E187" s="6"/>
      <c r="F187" s="6"/>
      <c r="G187" s="6"/>
      <c r="H187" s="6"/>
      <c r="I187" s="17"/>
      <c r="J187" s="6"/>
      <c r="K187" s="6"/>
      <c r="L187" s="17"/>
      <c r="M187" s="6"/>
      <c r="N187" s="6"/>
      <c r="O187" s="6"/>
      <c r="P187" s="6"/>
      <c r="Q187" s="6"/>
      <c r="R187" s="6"/>
      <c r="S187" s="6"/>
      <c r="T187" s="6"/>
      <c r="U187" s="6"/>
      <c r="V187" s="6"/>
      <c r="W187" s="6"/>
      <c r="X187" s="6"/>
      <c r="Y187" s="6"/>
      <c r="Z187" s="6"/>
      <c r="AA187" s="6"/>
      <c r="AB187" s="6"/>
      <c r="AC187" s="6"/>
      <c r="AD187" s="7"/>
    </row>
    <row r="188" spans="1:30" ht="13">
      <c r="A188" s="20"/>
      <c r="B188" s="20"/>
      <c r="C188" s="23"/>
      <c r="D188" s="17"/>
      <c r="E188" s="6"/>
      <c r="F188" s="6"/>
      <c r="G188" s="6"/>
      <c r="H188" s="6"/>
      <c r="I188" s="17"/>
      <c r="J188" s="6"/>
      <c r="K188" s="6"/>
      <c r="L188" s="17"/>
      <c r="M188" s="6"/>
      <c r="N188" s="6"/>
      <c r="O188" s="6"/>
      <c r="P188" s="6"/>
      <c r="Q188" s="6"/>
      <c r="R188" s="6"/>
      <c r="S188" s="6"/>
      <c r="T188" s="6"/>
      <c r="U188" s="6"/>
      <c r="V188" s="6"/>
      <c r="W188" s="6"/>
      <c r="X188" s="6"/>
      <c r="Y188" s="6"/>
      <c r="Z188" s="6"/>
      <c r="AA188" s="6"/>
      <c r="AB188" s="6"/>
      <c r="AC188" s="6"/>
      <c r="AD188" s="7"/>
    </row>
    <row r="189" spans="1:30" ht="13">
      <c r="A189" s="20"/>
      <c r="B189" s="20"/>
      <c r="C189" s="23"/>
      <c r="D189" s="17"/>
      <c r="E189" s="6"/>
      <c r="F189" s="6"/>
      <c r="G189" s="6"/>
      <c r="H189" s="6"/>
      <c r="I189" s="17"/>
      <c r="J189" s="6"/>
      <c r="K189" s="6"/>
      <c r="L189" s="17"/>
      <c r="M189" s="6"/>
      <c r="N189" s="6"/>
      <c r="O189" s="6"/>
      <c r="P189" s="6"/>
      <c r="Q189" s="6"/>
      <c r="R189" s="6"/>
      <c r="S189" s="6"/>
      <c r="T189" s="6"/>
      <c r="U189" s="6"/>
      <c r="V189" s="6"/>
      <c r="W189" s="6"/>
      <c r="X189" s="6"/>
      <c r="Y189" s="6"/>
      <c r="Z189" s="6"/>
      <c r="AA189" s="6"/>
      <c r="AB189" s="6"/>
      <c r="AC189" s="6"/>
      <c r="AD189" s="7"/>
    </row>
    <row r="190" spans="1:30" ht="13">
      <c r="A190" s="20"/>
      <c r="B190" s="20"/>
      <c r="C190" s="23"/>
      <c r="D190" s="17"/>
      <c r="E190" s="6"/>
      <c r="F190" s="6"/>
      <c r="G190" s="6"/>
      <c r="H190" s="6"/>
      <c r="I190" s="17"/>
      <c r="J190" s="6"/>
      <c r="K190" s="6"/>
      <c r="L190" s="17"/>
      <c r="M190" s="6"/>
      <c r="N190" s="6"/>
      <c r="O190" s="6"/>
      <c r="P190" s="6"/>
      <c r="Q190" s="6"/>
      <c r="R190" s="6"/>
      <c r="S190" s="6"/>
      <c r="T190" s="6"/>
      <c r="U190" s="6"/>
      <c r="V190" s="6"/>
      <c r="W190" s="6"/>
      <c r="X190" s="6"/>
      <c r="Y190" s="6"/>
      <c r="Z190" s="6"/>
      <c r="AA190" s="6"/>
      <c r="AB190" s="6"/>
      <c r="AC190" s="6"/>
      <c r="AD190" s="7"/>
    </row>
    <row r="191" spans="1:30" ht="13">
      <c r="A191" s="20"/>
      <c r="B191" s="20"/>
      <c r="C191" s="23"/>
      <c r="D191" s="17"/>
      <c r="E191" s="6"/>
      <c r="F191" s="6"/>
      <c r="G191" s="6"/>
      <c r="H191" s="6"/>
      <c r="I191" s="17"/>
      <c r="J191" s="6"/>
      <c r="K191" s="6"/>
      <c r="L191" s="17"/>
      <c r="M191" s="6"/>
      <c r="N191" s="6"/>
      <c r="O191" s="6"/>
      <c r="P191" s="6"/>
      <c r="Q191" s="6"/>
      <c r="R191" s="6"/>
      <c r="S191" s="6"/>
      <c r="T191" s="6"/>
      <c r="U191" s="6"/>
      <c r="V191" s="6"/>
      <c r="W191" s="6"/>
      <c r="X191" s="6"/>
      <c r="Y191" s="6"/>
      <c r="Z191" s="6"/>
      <c r="AA191" s="6"/>
      <c r="AB191" s="6"/>
      <c r="AC191" s="6"/>
      <c r="AD191" s="7"/>
    </row>
    <row r="192" spans="1:30" ht="13">
      <c r="A192" s="20"/>
      <c r="B192" s="20"/>
      <c r="C192" s="23"/>
      <c r="D192" s="17"/>
      <c r="E192" s="6"/>
      <c r="F192" s="6"/>
      <c r="G192" s="6"/>
      <c r="H192" s="6"/>
      <c r="I192" s="17"/>
      <c r="J192" s="6"/>
      <c r="K192" s="6"/>
      <c r="L192" s="17"/>
      <c r="M192" s="6"/>
      <c r="N192" s="6"/>
      <c r="O192" s="6"/>
      <c r="P192" s="6"/>
      <c r="Q192" s="6"/>
      <c r="R192" s="6"/>
      <c r="S192" s="6"/>
      <c r="T192" s="6"/>
      <c r="U192" s="6"/>
      <c r="V192" s="6"/>
      <c r="W192" s="6"/>
      <c r="X192" s="6"/>
      <c r="Y192" s="6"/>
      <c r="Z192" s="6"/>
      <c r="AA192" s="6"/>
      <c r="AB192" s="6"/>
      <c r="AC192" s="6"/>
      <c r="AD192" s="7"/>
    </row>
    <row r="193" spans="1:30" ht="13">
      <c r="A193" s="20"/>
      <c r="B193" s="20"/>
      <c r="C193" s="23"/>
      <c r="D193" s="17"/>
      <c r="E193" s="6"/>
      <c r="F193" s="6"/>
      <c r="G193" s="6"/>
      <c r="H193" s="6"/>
      <c r="I193" s="17"/>
      <c r="J193" s="6"/>
      <c r="K193" s="6"/>
      <c r="L193" s="17"/>
      <c r="M193" s="6"/>
      <c r="N193" s="6"/>
      <c r="O193" s="6"/>
      <c r="P193" s="6"/>
      <c r="Q193" s="6"/>
      <c r="R193" s="6"/>
      <c r="S193" s="6"/>
      <c r="T193" s="6"/>
      <c r="U193" s="6"/>
      <c r="V193" s="6"/>
      <c r="W193" s="6"/>
      <c r="X193" s="6"/>
      <c r="Y193" s="6"/>
      <c r="Z193" s="6"/>
      <c r="AA193" s="6"/>
      <c r="AB193" s="6"/>
      <c r="AC193" s="6"/>
      <c r="AD193" s="7"/>
    </row>
    <row r="194" spans="1:30" ht="13">
      <c r="A194" s="20"/>
      <c r="B194" s="20"/>
      <c r="C194" s="23"/>
      <c r="D194" s="17"/>
      <c r="E194" s="6"/>
      <c r="F194" s="6"/>
      <c r="G194" s="6"/>
      <c r="H194" s="6"/>
      <c r="I194" s="17"/>
      <c r="J194" s="6"/>
      <c r="K194" s="6"/>
      <c r="L194" s="17"/>
      <c r="M194" s="6"/>
      <c r="N194" s="6"/>
      <c r="O194" s="6"/>
      <c r="P194" s="6"/>
      <c r="Q194" s="6"/>
      <c r="R194" s="6"/>
      <c r="S194" s="6"/>
      <c r="T194" s="6"/>
      <c r="U194" s="6"/>
      <c r="V194" s="6"/>
      <c r="W194" s="6"/>
      <c r="X194" s="6"/>
      <c r="Y194" s="6"/>
      <c r="Z194" s="6"/>
      <c r="AA194" s="6"/>
      <c r="AB194" s="6"/>
      <c r="AC194" s="6"/>
      <c r="AD194" s="7"/>
    </row>
    <row r="195" spans="1:30" ht="13">
      <c r="A195" s="20"/>
      <c r="B195" s="20"/>
      <c r="C195" s="23"/>
      <c r="D195" s="17"/>
      <c r="E195" s="6"/>
      <c r="F195" s="6"/>
      <c r="G195" s="6"/>
      <c r="H195" s="6"/>
      <c r="I195" s="17"/>
      <c r="J195" s="6"/>
      <c r="K195" s="6"/>
      <c r="L195" s="17"/>
      <c r="M195" s="6"/>
      <c r="N195" s="6"/>
      <c r="O195" s="6"/>
      <c r="P195" s="6"/>
      <c r="Q195" s="6"/>
      <c r="R195" s="6"/>
      <c r="S195" s="6"/>
      <c r="T195" s="6"/>
      <c r="U195" s="6"/>
      <c r="V195" s="6"/>
      <c r="W195" s="6"/>
      <c r="X195" s="6"/>
      <c r="Y195" s="6"/>
      <c r="Z195" s="6"/>
      <c r="AA195" s="6"/>
      <c r="AB195" s="6"/>
      <c r="AC195" s="6"/>
      <c r="AD195" s="7"/>
    </row>
    <row r="196" spans="1:30" ht="13">
      <c r="A196" s="20"/>
      <c r="B196" s="20"/>
      <c r="C196" s="23"/>
      <c r="D196" s="17"/>
      <c r="E196" s="6"/>
      <c r="F196" s="6"/>
      <c r="G196" s="6"/>
      <c r="H196" s="6"/>
      <c r="I196" s="17"/>
      <c r="J196" s="6"/>
      <c r="K196" s="6"/>
      <c r="L196" s="17"/>
      <c r="M196" s="6"/>
      <c r="N196" s="6"/>
      <c r="O196" s="6"/>
      <c r="P196" s="6"/>
      <c r="Q196" s="6"/>
      <c r="R196" s="6"/>
      <c r="S196" s="6"/>
      <c r="T196" s="6"/>
      <c r="U196" s="6"/>
      <c r="V196" s="6"/>
      <c r="W196" s="6"/>
      <c r="X196" s="6"/>
      <c r="Y196" s="6"/>
      <c r="Z196" s="6"/>
      <c r="AA196" s="6"/>
      <c r="AB196" s="6"/>
      <c r="AC196" s="6"/>
      <c r="AD196" s="7"/>
    </row>
    <row r="197" spans="1:30" ht="13">
      <c r="A197" s="20"/>
      <c r="B197" s="20"/>
      <c r="C197" s="23"/>
      <c r="D197" s="17"/>
      <c r="E197" s="6"/>
      <c r="F197" s="6"/>
      <c r="G197" s="6"/>
      <c r="H197" s="6"/>
      <c r="I197" s="17"/>
      <c r="J197" s="6"/>
      <c r="K197" s="6"/>
      <c r="L197" s="17"/>
      <c r="M197" s="6"/>
      <c r="N197" s="6"/>
      <c r="O197" s="6"/>
      <c r="P197" s="6"/>
      <c r="Q197" s="6"/>
      <c r="R197" s="6"/>
      <c r="S197" s="6"/>
      <c r="T197" s="6"/>
      <c r="U197" s="6"/>
      <c r="V197" s="6"/>
      <c r="W197" s="6"/>
      <c r="X197" s="6"/>
      <c r="Y197" s="6"/>
      <c r="Z197" s="6"/>
      <c r="AA197" s="6"/>
      <c r="AB197" s="6"/>
      <c r="AC197" s="6"/>
      <c r="AD197" s="7"/>
    </row>
    <row r="198" spans="1:30" ht="13">
      <c r="A198" s="20"/>
      <c r="B198" s="20"/>
      <c r="C198" s="23"/>
      <c r="D198" s="17"/>
      <c r="E198" s="6"/>
      <c r="F198" s="6"/>
      <c r="G198" s="6"/>
      <c r="H198" s="6"/>
      <c r="I198" s="17"/>
      <c r="J198" s="6"/>
      <c r="K198" s="6"/>
      <c r="L198" s="17"/>
      <c r="M198" s="6"/>
      <c r="N198" s="6"/>
      <c r="O198" s="6"/>
      <c r="P198" s="6"/>
      <c r="Q198" s="6"/>
      <c r="R198" s="6"/>
      <c r="S198" s="6"/>
      <c r="T198" s="6"/>
      <c r="U198" s="6"/>
      <c r="V198" s="6"/>
      <c r="W198" s="6"/>
      <c r="X198" s="6"/>
      <c r="Y198" s="6"/>
      <c r="Z198" s="6"/>
      <c r="AA198" s="6"/>
      <c r="AB198" s="6"/>
      <c r="AC198" s="6"/>
      <c r="AD198" s="7"/>
    </row>
    <row r="199" spans="1:30" ht="13">
      <c r="A199" s="20"/>
      <c r="B199" s="20"/>
      <c r="C199" s="23"/>
      <c r="D199" s="17"/>
      <c r="E199" s="6"/>
      <c r="F199" s="6"/>
      <c r="G199" s="6"/>
      <c r="H199" s="6"/>
      <c r="I199" s="17"/>
      <c r="J199" s="6"/>
      <c r="K199" s="6"/>
      <c r="L199" s="17"/>
      <c r="M199" s="6"/>
      <c r="N199" s="6"/>
      <c r="O199" s="6"/>
      <c r="P199" s="6"/>
      <c r="Q199" s="6"/>
      <c r="R199" s="6"/>
      <c r="S199" s="6"/>
      <c r="T199" s="6"/>
      <c r="U199" s="6"/>
      <c r="V199" s="6"/>
      <c r="W199" s="6"/>
      <c r="X199" s="6"/>
      <c r="Y199" s="6"/>
      <c r="Z199" s="6"/>
      <c r="AA199" s="6"/>
      <c r="AB199" s="6"/>
      <c r="AC199" s="6"/>
      <c r="AD199" s="7"/>
    </row>
    <row r="200" spans="1:30" ht="13">
      <c r="A200" s="20"/>
      <c r="B200" s="20"/>
      <c r="C200" s="23"/>
      <c r="D200" s="17"/>
      <c r="E200" s="6"/>
      <c r="F200" s="6"/>
      <c r="G200" s="6"/>
      <c r="H200" s="6"/>
      <c r="I200" s="17"/>
      <c r="J200" s="6"/>
      <c r="K200" s="6"/>
      <c r="L200" s="17"/>
      <c r="M200" s="6"/>
      <c r="N200" s="6"/>
      <c r="O200" s="6"/>
      <c r="P200" s="6"/>
      <c r="Q200" s="6"/>
      <c r="R200" s="6"/>
      <c r="S200" s="6"/>
      <c r="T200" s="6"/>
      <c r="U200" s="6"/>
      <c r="V200" s="6"/>
      <c r="W200" s="6"/>
      <c r="X200" s="6"/>
      <c r="Y200" s="6"/>
      <c r="Z200" s="6"/>
      <c r="AA200" s="6"/>
      <c r="AB200" s="6"/>
      <c r="AC200" s="6"/>
      <c r="AD200" s="7"/>
    </row>
    <row r="201" spans="1:30" ht="13">
      <c r="A201" s="20"/>
      <c r="B201" s="20"/>
      <c r="C201" s="23"/>
      <c r="D201" s="17"/>
      <c r="E201" s="6"/>
      <c r="F201" s="6"/>
      <c r="G201" s="6"/>
      <c r="H201" s="6"/>
      <c r="I201" s="17"/>
      <c r="J201" s="6"/>
      <c r="K201" s="6"/>
      <c r="L201" s="17"/>
      <c r="M201" s="6"/>
      <c r="N201" s="6"/>
      <c r="O201" s="6"/>
      <c r="P201" s="6"/>
      <c r="Q201" s="6"/>
      <c r="R201" s="6"/>
      <c r="S201" s="6"/>
      <c r="T201" s="6"/>
      <c r="U201" s="6"/>
      <c r="V201" s="6"/>
      <c r="W201" s="6"/>
      <c r="X201" s="6"/>
      <c r="Y201" s="6"/>
      <c r="Z201" s="6"/>
      <c r="AA201" s="6"/>
      <c r="AB201" s="6"/>
      <c r="AC201" s="6"/>
      <c r="AD201" s="7"/>
    </row>
    <row r="202" spans="1:30" ht="13">
      <c r="A202" s="20"/>
      <c r="B202" s="20"/>
      <c r="C202" s="23"/>
      <c r="D202" s="17"/>
      <c r="E202" s="6"/>
      <c r="F202" s="6"/>
      <c r="G202" s="6"/>
      <c r="H202" s="6"/>
      <c r="I202" s="17"/>
      <c r="J202" s="6"/>
      <c r="K202" s="6"/>
      <c r="L202" s="17"/>
      <c r="M202" s="6"/>
      <c r="N202" s="6"/>
      <c r="O202" s="6"/>
      <c r="P202" s="6"/>
      <c r="Q202" s="6"/>
      <c r="R202" s="6"/>
      <c r="S202" s="6"/>
      <c r="T202" s="6"/>
      <c r="U202" s="6"/>
      <c r="V202" s="6"/>
      <c r="W202" s="6"/>
      <c r="X202" s="6"/>
      <c r="Y202" s="6"/>
      <c r="Z202" s="6"/>
      <c r="AA202" s="6"/>
      <c r="AB202" s="6"/>
      <c r="AC202" s="6"/>
      <c r="AD202" s="7"/>
    </row>
    <row r="203" spans="1:30" ht="13">
      <c r="A203" s="20"/>
      <c r="B203" s="20"/>
      <c r="C203" s="23"/>
      <c r="D203" s="17"/>
      <c r="E203" s="6"/>
      <c r="F203" s="6"/>
      <c r="G203" s="6"/>
      <c r="H203" s="6"/>
      <c r="I203" s="17"/>
      <c r="J203" s="6"/>
      <c r="K203" s="6"/>
      <c r="L203" s="17"/>
      <c r="M203" s="6"/>
      <c r="N203" s="6"/>
      <c r="O203" s="6"/>
      <c r="P203" s="6"/>
      <c r="Q203" s="6"/>
      <c r="R203" s="6"/>
      <c r="S203" s="6"/>
      <c r="T203" s="6"/>
      <c r="U203" s="6"/>
      <c r="V203" s="6"/>
      <c r="W203" s="6"/>
      <c r="X203" s="6"/>
      <c r="Y203" s="6"/>
      <c r="Z203" s="6"/>
      <c r="AA203" s="6"/>
      <c r="AB203" s="6"/>
      <c r="AC203" s="6"/>
      <c r="AD203" s="7"/>
    </row>
    <row r="204" spans="1:30" ht="13">
      <c r="A204" s="20"/>
      <c r="B204" s="20"/>
      <c r="C204" s="23"/>
      <c r="D204" s="17"/>
      <c r="E204" s="6"/>
      <c r="F204" s="6"/>
      <c r="G204" s="6"/>
      <c r="H204" s="6"/>
      <c r="I204" s="17"/>
      <c r="J204" s="6"/>
      <c r="K204" s="6"/>
      <c r="L204" s="17"/>
      <c r="M204" s="6"/>
      <c r="N204" s="6"/>
      <c r="O204" s="6"/>
      <c r="P204" s="6"/>
      <c r="Q204" s="6"/>
      <c r="R204" s="6"/>
      <c r="S204" s="6"/>
      <c r="T204" s="6"/>
      <c r="U204" s="6"/>
      <c r="V204" s="6"/>
      <c r="W204" s="6"/>
      <c r="X204" s="6"/>
      <c r="Y204" s="6"/>
      <c r="Z204" s="6"/>
      <c r="AA204" s="6"/>
      <c r="AB204" s="6"/>
      <c r="AC204" s="6"/>
      <c r="AD204" s="7"/>
    </row>
    <row r="205" spans="1:30" ht="13">
      <c r="A205" s="20"/>
      <c r="B205" s="20"/>
      <c r="C205" s="23"/>
      <c r="D205" s="17"/>
      <c r="E205" s="6"/>
      <c r="F205" s="6"/>
      <c r="G205" s="6"/>
      <c r="H205" s="6"/>
      <c r="I205" s="17"/>
      <c r="J205" s="6"/>
      <c r="K205" s="6"/>
      <c r="L205" s="17"/>
      <c r="M205" s="6"/>
      <c r="N205" s="6"/>
      <c r="O205" s="6"/>
      <c r="P205" s="6"/>
      <c r="Q205" s="6"/>
      <c r="R205" s="6"/>
      <c r="S205" s="6"/>
      <c r="T205" s="6"/>
      <c r="U205" s="6"/>
      <c r="V205" s="6"/>
      <c r="W205" s="6"/>
      <c r="X205" s="6"/>
      <c r="Y205" s="6"/>
      <c r="Z205" s="6"/>
      <c r="AA205" s="6"/>
      <c r="AB205" s="6"/>
      <c r="AC205" s="6"/>
      <c r="AD205" s="7"/>
    </row>
    <row r="206" spans="1:30" ht="13">
      <c r="A206" s="20"/>
      <c r="B206" s="20"/>
      <c r="C206" s="23"/>
      <c r="D206" s="17"/>
      <c r="E206" s="6"/>
      <c r="F206" s="6"/>
      <c r="G206" s="6"/>
      <c r="H206" s="6"/>
      <c r="I206" s="17"/>
      <c r="J206" s="6"/>
      <c r="K206" s="6"/>
      <c r="L206" s="17"/>
      <c r="M206" s="6"/>
      <c r="N206" s="6"/>
      <c r="O206" s="6"/>
      <c r="P206" s="6"/>
      <c r="Q206" s="6"/>
      <c r="R206" s="6"/>
      <c r="S206" s="6"/>
      <c r="T206" s="6"/>
      <c r="U206" s="6"/>
      <c r="V206" s="6"/>
      <c r="W206" s="6"/>
      <c r="X206" s="6"/>
      <c r="Y206" s="6"/>
      <c r="Z206" s="6"/>
      <c r="AA206" s="6"/>
      <c r="AB206" s="6"/>
      <c r="AC206" s="6"/>
      <c r="AD206" s="7"/>
    </row>
    <row r="207" spans="1:30" ht="13">
      <c r="A207" s="20"/>
      <c r="B207" s="20"/>
      <c r="C207" s="23"/>
      <c r="D207" s="17"/>
      <c r="E207" s="6"/>
      <c r="F207" s="6"/>
      <c r="G207" s="6"/>
      <c r="H207" s="6"/>
      <c r="I207" s="17"/>
      <c r="J207" s="6"/>
      <c r="K207" s="6"/>
      <c r="L207" s="17"/>
      <c r="M207" s="6"/>
      <c r="N207" s="6"/>
      <c r="O207" s="6"/>
      <c r="P207" s="6"/>
      <c r="Q207" s="6"/>
      <c r="R207" s="6"/>
      <c r="S207" s="6"/>
      <c r="T207" s="6"/>
      <c r="U207" s="6"/>
      <c r="V207" s="6"/>
      <c r="W207" s="6"/>
      <c r="X207" s="6"/>
      <c r="Y207" s="6"/>
      <c r="Z207" s="6"/>
      <c r="AA207" s="6"/>
      <c r="AB207" s="6"/>
      <c r="AC207" s="6"/>
      <c r="AD207" s="7"/>
    </row>
    <row r="208" spans="1:30" ht="13">
      <c r="A208" s="20"/>
      <c r="B208" s="20"/>
      <c r="C208" s="23"/>
      <c r="D208" s="17"/>
      <c r="E208" s="6"/>
      <c r="F208" s="6"/>
      <c r="G208" s="6"/>
      <c r="H208" s="6"/>
      <c r="I208" s="17"/>
      <c r="J208" s="6"/>
      <c r="K208" s="6"/>
      <c r="L208" s="17"/>
      <c r="M208" s="6"/>
      <c r="N208" s="6"/>
      <c r="O208" s="6"/>
      <c r="P208" s="6"/>
      <c r="Q208" s="6"/>
      <c r="R208" s="6"/>
      <c r="S208" s="6"/>
      <c r="T208" s="6"/>
      <c r="U208" s="6"/>
      <c r="V208" s="6"/>
      <c r="W208" s="6"/>
      <c r="X208" s="6"/>
      <c r="Y208" s="6"/>
      <c r="Z208" s="6"/>
      <c r="AA208" s="6"/>
      <c r="AB208" s="6"/>
      <c r="AC208" s="6"/>
      <c r="AD208" s="7"/>
    </row>
    <row r="209" spans="1:30" ht="13">
      <c r="A209" s="20"/>
      <c r="B209" s="20"/>
      <c r="C209" s="23"/>
      <c r="D209" s="17"/>
      <c r="E209" s="6"/>
      <c r="F209" s="6"/>
      <c r="G209" s="6"/>
      <c r="H209" s="6"/>
      <c r="I209" s="17"/>
      <c r="J209" s="6"/>
      <c r="K209" s="6"/>
      <c r="L209" s="17"/>
      <c r="M209" s="6"/>
      <c r="N209" s="6"/>
      <c r="O209" s="6"/>
      <c r="P209" s="6"/>
      <c r="Q209" s="6"/>
      <c r="R209" s="6"/>
      <c r="S209" s="6"/>
      <c r="T209" s="6"/>
      <c r="U209" s="6"/>
      <c r="V209" s="6"/>
      <c r="W209" s="6"/>
      <c r="X209" s="6"/>
      <c r="Y209" s="6"/>
      <c r="Z209" s="6"/>
      <c r="AA209" s="6"/>
      <c r="AB209" s="6"/>
      <c r="AC209" s="6"/>
      <c r="AD209" s="7"/>
    </row>
    <row r="210" spans="1:30" ht="13">
      <c r="A210" s="20"/>
      <c r="B210" s="20"/>
      <c r="C210" s="23"/>
      <c r="D210" s="17"/>
      <c r="E210" s="6"/>
      <c r="F210" s="6"/>
      <c r="G210" s="6"/>
      <c r="H210" s="6"/>
      <c r="I210" s="17"/>
      <c r="J210" s="6"/>
      <c r="K210" s="6"/>
      <c r="L210" s="17"/>
      <c r="M210" s="6"/>
      <c r="N210" s="6"/>
      <c r="O210" s="6"/>
      <c r="P210" s="6"/>
      <c r="Q210" s="6"/>
      <c r="R210" s="6"/>
      <c r="S210" s="6"/>
      <c r="T210" s="6"/>
      <c r="U210" s="6"/>
      <c r="V210" s="6"/>
      <c r="W210" s="6"/>
      <c r="X210" s="6"/>
      <c r="Y210" s="6"/>
      <c r="Z210" s="6"/>
      <c r="AA210" s="6"/>
      <c r="AB210" s="6"/>
      <c r="AC210" s="6"/>
      <c r="AD210" s="7"/>
    </row>
    <row r="211" spans="1:30" ht="13">
      <c r="A211" s="20"/>
      <c r="B211" s="20"/>
      <c r="C211" s="23"/>
      <c r="D211" s="17"/>
      <c r="E211" s="6"/>
      <c r="F211" s="6"/>
      <c r="G211" s="6"/>
      <c r="H211" s="6"/>
      <c r="I211" s="17"/>
      <c r="J211" s="6"/>
      <c r="K211" s="6"/>
      <c r="L211" s="17"/>
      <c r="M211" s="6"/>
      <c r="N211" s="6"/>
      <c r="O211" s="6"/>
      <c r="P211" s="6"/>
      <c r="Q211" s="6"/>
      <c r="R211" s="6"/>
      <c r="S211" s="6"/>
      <c r="T211" s="6"/>
      <c r="U211" s="6"/>
      <c r="V211" s="6"/>
      <c r="W211" s="6"/>
      <c r="X211" s="6"/>
      <c r="Y211" s="6"/>
      <c r="Z211" s="6"/>
      <c r="AA211" s="6"/>
      <c r="AB211" s="6"/>
      <c r="AC211" s="6"/>
      <c r="AD211" s="7"/>
    </row>
    <row r="212" spans="1:30" ht="13">
      <c r="A212" s="20"/>
      <c r="B212" s="20"/>
      <c r="C212" s="23"/>
      <c r="D212" s="17"/>
      <c r="E212" s="6"/>
      <c r="F212" s="6"/>
      <c r="G212" s="6"/>
      <c r="H212" s="6"/>
      <c r="I212" s="17"/>
      <c r="J212" s="6"/>
      <c r="K212" s="6"/>
      <c r="L212" s="17"/>
      <c r="M212" s="6"/>
      <c r="N212" s="6"/>
      <c r="O212" s="6"/>
      <c r="P212" s="6"/>
      <c r="Q212" s="6"/>
      <c r="R212" s="6"/>
      <c r="S212" s="6"/>
      <c r="T212" s="6"/>
      <c r="U212" s="6"/>
      <c r="V212" s="6"/>
      <c r="W212" s="6"/>
      <c r="X212" s="6"/>
      <c r="Y212" s="6"/>
      <c r="Z212" s="6"/>
      <c r="AA212" s="6"/>
      <c r="AB212" s="6"/>
      <c r="AC212" s="6"/>
      <c r="AD212" s="7"/>
    </row>
    <row r="213" spans="1:30" ht="13">
      <c r="A213" s="20"/>
      <c r="B213" s="20"/>
      <c r="C213" s="23"/>
      <c r="D213" s="17"/>
      <c r="E213" s="6"/>
      <c r="F213" s="6"/>
      <c r="G213" s="6"/>
      <c r="H213" s="6"/>
      <c r="I213" s="17"/>
      <c r="J213" s="6"/>
      <c r="K213" s="6"/>
      <c r="L213" s="17"/>
      <c r="M213" s="6"/>
      <c r="N213" s="6"/>
      <c r="O213" s="6"/>
      <c r="P213" s="6"/>
      <c r="Q213" s="6"/>
      <c r="R213" s="6"/>
      <c r="S213" s="6"/>
      <c r="T213" s="6"/>
      <c r="U213" s="6"/>
      <c r="V213" s="6"/>
      <c r="W213" s="6"/>
      <c r="X213" s="6"/>
      <c r="Y213" s="6"/>
      <c r="Z213" s="6"/>
      <c r="AA213" s="6"/>
      <c r="AB213" s="6"/>
      <c r="AC213" s="6"/>
      <c r="AD213" s="7"/>
    </row>
    <row r="214" spans="1:30" ht="13">
      <c r="A214" s="20"/>
      <c r="B214" s="20"/>
      <c r="C214" s="23"/>
      <c r="D214" s="17"/>
      <c r="E214" s="6"/>
      <c r="F214" s="6"/>
      <c r="G214" s="6"/>
      <c r="H214" s="6"/>
      <c r="I214" s="17"/>
      <c r="J214" s="6"/>
      <c r="K214" s="6"/>
      <c r="L214" s="17"/>
      <c r="M214" s="6"/>
      <c r="N214" s="6"/>
      <c r="O214" s="6"/>
      <c r="P214" s="6"/>
      <c r="Q214" s="6"/>
      <c r="R214" s="6"/>
      <c r="S214" s="6"/>
      <c r="T214" s="6"/>
      <c r="U214" s="6"/>
      <c r="V214" s="6"/>
      <c r="W214" s="6"/>
      <c r="X214" s="6"/>
      <c r="Y214" s="6"/>
      <c r="Z214" s="6"/>
      <c r="AA214" s="6"/>
      <c r="AB214" s="6"/>
      <c r="AC214" s="6"/>
      <c r="AD214" s="7"/>
    </row>
    <row r="215" spans="1:30" ht="13">
      <c r="A215" s="20"/>
      <c r="B215" s="20"/>
      <c r="C215" s="23"/>
      <c r="D215" s="17"/>
      <c r="E215" s="6"/>
      <c r="F215" s="6"/>
      <c r="G215" s="6"/>
      <c r="H215" s="6"/>
      <c r="I215" s="17"/>
      <c r="J215" s="6"/>
      <c r="K215" s="6"/>
      <c r="L215" s="17"/>
      <c r="M215" s="6"/>
      <c r="N215" s="6"/>
      <c r="O215" s="6"/>
      <c r="P215" s="6"/>
      <c r="Q215" s="6"/>
      <c r="R215" s="6"/>
      <c r="S215" s="6"/>
      <c r="T215" s="6"/>
      <c r="U215" s="6"/>
      <c r="V215" s="6"/>
      <c r="W215" s="6"/>
      <c r="X215" s="6"/>
      <c r="Y215" s="6"/>
      <c r="Z215" s="6"/>
      <c r="AA215" s="6"/>
      <c r="AB215" s="6"/>
      <c r="AC215" s="6"/>
      <c r="AD215" s="7"/>
    </row>
    <row r="216" spans="1:30" ht="13">
      <c r="A216" s="20"/>
      <c r="B216" s="20"/>
      <c r="C216" s="23"/>
      <c r="D216" s="17"/>
      <c r="E216" s="6"/>
      <c r="F216" s="6"/>
      <c r="G216" s="6"/>
      <c r="H216" s="6"/>
      <c r="I216" s="17"/>
      <c r="J216" s="6"/>
      <c r="K216" s="6"/>
      <c r="L216" s="17"/>
      <c r="M216" s="6"/>
      <c r="N216" s="6"/>
      <c r="O216" s="6"/>
      <c r="P216" s="6"/>
      <c r="Q216" s="6"/>
      <c r="R216" s="6"/>
      <c r="S216" s="6"/>
      <c r="T216" s="6"/>
      <c r="U216" s="6"/>
      <c r="V216" s="6"/>
      <c r="W216" s="6"/>
      <c r="X216" s="6"/>
      <c r="Y216" s="6"/>
      <c r="Z216" s="6"/>
      <c r="AA216" s="6"/>
      <c r="AB216" s="6"/>
      <c r="AC216" s="6"/>
      <c r="AD216" s="7"/>
    </row>
    <row r="217" spans="1:30" ht="13">
      <c r="A217" s="20"/>
      <c r="B217" s="20"/>
      <c r="C217" s="23"/>
      <c r="D217" s="17"/>
      <c r="E217" s="6"/>
      <c r="F217" s="6"/>
      <c r="G217" s="6"/>
      <c r="H217" s="6"/>
      <c r="I217" s="17"/>
      <c r="J217" s="6"/>
      <c r="K217" s="6"/>
      <c r="L217" s="17"/>
      <c r="M217" s="6"/>
      <c r="N217" s="6"/>
      <c r="O217" s="6"/>
      <c r="P217" s="6"/>
      <c r="Q217" s="6"/>
      <c r="R217" s="6"/>
      <c r="S217" s="6"/>
      <c r="T217" s="6"/>
      <c r="U217" s="6"/>
      <c r="V217" s="6"/>
      <c r="W217" s="6"/>
      <c r="X217" s="6"/>
      <c r="Y217" s="6"/>
      <c r="Z217" s="6"/>
      <c r="AA217" s="6"/>
      <c r="AB217" s="6"/>
      <c r="AC217" s="6"/>
      <c r="AD217" s="7"/>
    </row>
    <row r="218" spans="1:30" ht="13">
      <c r="A218" s="20"/>
      <c r="B218" s="20"/>
      <c r="C218" s="23"/>
      <c r="D218" s="17"/>
      <c r="E218" s="6"/>
      <c r="F218" s="6"/>
      <c r="G218" s="6"/>
      <c r="H218" s="6"/>
      <c r="I218" s="17"/>
      <c r="J218" s="6"/>
      <c r="K218" s="6"/>
      <c r="L218" s="17"/>
      <c r="M218" s="6"/>
      <c r="N218" s="6"/>
      <c r="O218" s="6"/>
      <c r="P218" s="6"/>
      <c r="Q218" s="6"/>
      <c r="R218" s="6"/>
      <c r="S218" s="6"/>
      <c r="T218" s="6"/>
      <c r="U218" s="6"/>
      <c r="V218" s="6"/>
      <c r="W218" s="6"/>
      <c r="X218" s="6"/>
      <c r="Y218" s="6"/>
      <c r="Z218" s="6"/>
      <c r="AA218" s="6"/>
      <c r="AB218" s="6"/>
      <c r="AC218" s="6"/>
      <c r="AD218" s="7"/>
    </row>
    <row r="219" spans="1:30" ht="13">
      <c r="A219" s="20"/>
      <c r="B219" s="20"/>
      <c r="C219" s="23"/>
      <c r="D219" s="17"/>
      <c r="E219" s="6"/>
      <c r="F219" s="6"/>
      <c r="G219" s="6"/>
      <c r="H219" s="6"/>
      <c r="I219" s="17"/>
      <c r="J219" s="6"/>
      <c r="K219" s="6"/>
      <c r="L219" s="17"/>
      <c r="M219" s="6"/>
      <c r="N219" s="6"/>
      <c r="O219" s="6"/>
      <c r="P219" s="6"/>
      <c r="Q219" s="6"/>
      <c r="R219" s="6"/>
      <c r="S219" s="6"/>
      <c r="T219" s="6"/>
      <c r="U219" s="6"/>
      <c r="V219" s="6"/>
      <c r="W219" s="6"/>
      <c r="X219" s="6"/>
      <c r="Y219" s="6"/>
      <c r="Z219" s="6"/>
      <c r="AA219" s="6"/>
      <c r="AB219" s="6"/>
      <c r="AC219" s="6"/>
      <c r="AD219" s="7"/>
    </row>
    <row r="220" spans="1:30" ht="13">
      <c r="A220" s="20"/>
      <c r="B220" s="20"/>
      <c r="C220" s="23"/>
      <c r="D220" s="17"/>
      <c r="E220" s="6"/>
      <c r="F220" s="6"/>
      <c r="G220" s="6"/>
      <c r="H220" s="6"/>
      <c r="I220" s="17"/>
      <c r="J220" s="6"/>
      <c r="K220" s="6"/>
      <c r="L220" s="17"/>
      <c r="M220" s="6"/>
      <c r="N220" s="6"/>
      <c r="O220" s="6"/>
      <c r="P220" s="6"/>
      <c r="Q220" s="6"/>
      <c r="R220" s="6"/>
      <c r="S220" s="6"/>
      <c r="T220" s="6"/>
      <c r="U220" s="6"/>
      <c r="V220" s="6"/>
      <c r="W220" s="6"/>
      <c r="X220" s="6"/>
      <c r="Y220" s="6"/>
      <c r="Z220" s="6"/>
      <c r="AA220" s="6"/>
      <c r="AB220" s="6"/>
      <c r="AC220" s="6"/>
      <c r="AD220" s="7"/>
    </row>
    <row r="221" spans="1:30" ht="13">
      <c r="A221" s="20"/>
      <c r="B221" s="20"/>
      <c r="C221" s="23"/>
      <c r="D221" s="17"/>
      <c r="E221" s="6"/>
      <c r="F221" s="6"/>
      <c r="G221" s="6"/>
      <c r="H221" s="6"/>
      <c r="I221" s="17"/>
      <c r="J221" s="6"/>
      <c r="K221" s="6"/>
      <c r="L221" s="17"/>
      <c r="M221" s="6"/>
      <c r="N221" s="6"/>
      <c r="O221" s="6"/>
      <c r="P221" s="6"/>
      <c r="Q221" s="6"/>
      <c r="R221" s="6"/>
      <c r="S221" s="6"/>
      <c r="T221" s="6"/>
      <c r="U221" s="6"/>
      <c r="V221" s="6"/>
      <c r="W221" s="6"/>
      <c r="X221" s="6"/>
      <c r="Y221" s="6"/>
      <c r="Z221" s="6"/>
      <c r="AA221" s="6"/>
      <c r="AB221" s="6"/>
      <c r="AC221" s="6"/>
      <c r="AD221" s="7"/>
    </row>
    <row r="222" spans="1:30" ht="13">
      <c r="A222" s="20"/>
      <c r="B222" s="20"/>
      <c r="C222" s="23"/>
      <c r="D222" s="17"/>
      <c r="E222" s="6"/>
      <c r="F222" s="6"/>
      <c r="G222" s="6"/>
      <c r="H222" s="6"/>
      <c r="I222" s="17"/>
      <c r="J222" s="6"/>
      <c r="K222" s="6"/>
      <c r="L222" s="17"/>
      <c r="M222" s="6"/>
      <c r="N222" s="6"/>
      <c r="O222" s="6"/>
      <c r="P222" s="6"/>
      <c r="Q222" s="6"/>
      <c r="R222" s="6"/>
      <c r="S222" s="6"/>
      <c r="T222" s="6"/>
      <c r="U222" s="6"/>
      <c r="V222" s="6"/>
      <c r="W222" s="6"/>
      <c r="X222" s="6"/>
      <c r="Y222" s="6"/>
      <c r="Z222" s="6"/>
      <c r="AA222" s="6"/>
      <c r="AB222" s="6"/>
      <c r="AC222" s="6"/>
      <c r="AD222" s="7"/>
    </row>
    <row r="223" spans="1:30" ht="13">
      <c r="A223" s="20"/>
      <c r="B223" s="20"/>
      <c r="C223" s="23"/>
      <c r="D223" s="17"/>
      <c r="E223" s="6"/>
      <c r="F223" s="6"/>
      <c r="G223" s="6"/>
      <c r="H223" s="6"/>
      <c r="I223" s="17"/>
      <c r="J223" s="6"/>
      <c r="K223" s="6"/>
      <c r="L223" s="17"/>
      <c r="M223" s="6"/>
      <c r="N223" s="6"/>
      <c r="O223" s="6"/>
      <c r="P223" s="6"/>
      <c r="Q223" s="6"/>
      <c r="R223" s="6"/>
      <c r="S223" s="6"/>
      <c r="T223" s="6"/>
      <c r="U223" s="6"/>
      <c r="V223" s="6"/>
      <c r="W223" s="6"/>
      <c r="X223" s="6"/>
      <c r="Y223" s="6"/>
      <c r="Z223" s="6"/>
      <c r="AA223" s="6"/>
      <c r="AB223" s="6"/>
      <c r="AC223" s="6"/>
      <c r="AD223" s="7"/>
    </row>
    <row r="224" spans="1:30" ht="13">
      <c r="A224" s="20"/>
      <c r="B224" s="20"/>
      <c r="C224" s="23"/>
      <c r="D224" s="17"/>
      <c r="E224" s="6"/>
      <c r="F224" s="6"/>
      <c r="G224" s="6"/>
      <c r="H224" s="6"/>
      <c r="I224" s="17"/>
      <c r="J224" s="6"/>
      <c r="K224" s="6"/>
      <c r="L224" s="17"/>
      <c r="M224" s="6"/>
      <c r="N224" s="6"/>
      <c r="O224" s="6"/>
      <c r="P224" s="6"/>
      <c r="Q224" s="6"/>
      <c r="R224" s="6"/>
      <c r="S224" s="6"/>
      <c r="T224" s="6"/>
      <c r="U224" s="6"/>
      <c r="V224" s="6"/>
      <c r="W224" s="6"/>
      <c r="X224" s="6"/>
      <c r="Y224" s="6"/>
      <c r="Z224" s="6"/>
      <c r="AA224" s="6"/>
      <c r="AB224" s="6"/>
      <c r="AC224" s="6"/>
      <c r="AD224" s="7"/>
    </row>
    <row r="225" spans="1:30" ht="13">
      <c r="A225" s="20"/>
      <c r="B225" s="20"/>
      <c r="C225" s="23"/>
      <c r="D225" s="17"/>
      <c r="E225" s="6"/>
      <c r="F225" s="6"/>
      <c r="G225" s="6"/>
      <c r="H225" s="6"/>
      <c r="I225" s="17"/>
      <c r="J225" s="6"/>
      <c r="K225" s="6"/>
      <c r="L225" s="17"/>
      <c r="M225" s="6"/>
      <c r="N225" s="6"/>
      <c r="O225" s="6"/>
      <c r="P225" s="6"/>
      <c r="Q225" s="6"/>
      <c r="R225" s="6"/>
      <c r="S225" s="6"/>
      <c r="T225" s="6"/>
      <c r="U225" s="6"/>
      <c r="V225" s="6"/>
      <c r="W225" s="6"/>
      <c r="X225" s="6"/>
      <c r="Y225" s="6"/>
      <c r="Z225" s="6"/>
      <c r="AA225" s="6"/>
      <c r="AB225" s="6"/>
      <c r="AC225" s="6"/>
      <c r="AD225" s="7"/>
    </row>
    <row r="226" spans="1:30" ht="13">
      <c r="A226" s="20"/>
      <c r="B226" s="20"/>
      <c r="C226" s="23"/>
      <c r="D226" s="17"/>
      <c r="E226" s="6"/>
      <c r="F226" s="6"/>
      <c r="G226" s="6"/>
      <c r="H226" s="6"/>
      <c r="I226" s="17"/>
      <c r="J226" s="6"/>
      <c r="K226" s="6"/>
      <c r="L226" s="17"/>
      <c r="M226" s="6"/>
      <c r="N226" s="6"/>
      <c r="O226" s="6"/>
      <c r="P226" s="6"/>
      <c r="Q226" s="6"/>
      <c r="R226" s="6"/>
      <c r="S226" s="6"/>
      <c r="T226" s="6"/>
      <c r="U226" s="6"/>
      <c r="V226" s="6"/>
      <c r="W226" s="6"/>
      <c r="X226" s="6"/>
      <c r="Y226" s="6"/>
      <c r="Z226" s="6"/>
      <c r="AA226" s="6"/>
      <c r="AB226" s="6"/>
      <c r="AC226" s="6"/>
      <c r="AD226" s="7"/>
    </row>
    <row r="227" spans="1:30" ht="13">
      <c r="A227" s="20"/>
      <c r="B227" s="20"/>
      <c r="C227" s="23"/>
      <c r="D227" s="17"/>
      <c r="E227" s="6"/>
      <c r="F227" s="6"/>
      <c r="G227" s="6"/>
      <c r="H227" s="6"/>
      <c r="I227" s="17"/>
      <c r="J227" s="6"/>
      <c r="K227" s="6"/>
      <c r="L227" s="17"/>
      <c r="M227" s="6"/>
      <c r="N227" s="6"/>
      <c r="O227" s="6"/>
      <c r="P227" s="6"/>
      <c r="Q227" s="6"/>
      <c r="R227" s="6"/>
      <c r="S227" s="6"/>
      <c r="T227" s="6"/>
      <c r="U227" s="6"/>
      <c r="V227" s="6"/>
      <c r="W227" s="6"/>
      <c r="X227" s="6"/>
      <c r="Y227" s="6"/>
      <c r="Z227" s="6"/>
      <c r="AA227" s="6"/>
      <c r="AB227" s="6"/>
      <c r="AC227" s="6"/>
      <c r="AD227" s="7"/>
    </row>
    <row r="228" spans="1:30" ht="13">
      <c r="A228" s="20"/>
      <c r="B228" s="20"/>
      <c r="C228" s="23"/>
      <c r="D228" s="17"/>
      <c r="E228" s="6"/>
      <c r="F228" s="6"/>
      <c r="G228" s="6"/>
      <c r="H228" s="6"/>
      <c r="I228" s="17"/>
      <c r="J228" s="6"/>
      <c r="K228" s="6"/>
      <c r="L228" s="17"/>
      <c r="M228" s="6"/>
      <c r="N228" s="6"/>
      <c r="O228" s="6"/>
      <c r="P228" s="6"/>
      <c r="Q228" s="6"/>
      <c r="R228" s="6"/>
      <c r="S228" s="6"/>
      <c r="T228" s="6"/>
      <c r="U228" s="6"/>
      <c r="V228" s="6"/>
      <c r="W228" s="6"/>
      <c r="X228" s="6"/>
      <c r="Y228" s="6"/>
      <c r="Z228" s="6"/>
      <c r="AA228" s="6"/>
      <c r="AB228" s="6"/>
      <c r="AC228" s="6"/>
      <c r="AD228" s="7"/>
    </row>
    <row r="229" spans="1:30" ht="13">
      <c r="A229" s="20"/>
      <c r="B229" s="20"/>
      <c r="C229" s="23"/>
      <c r="D229" s="17"/>
      <c r="E229" s="6"/>
      <c r="F229" s="6"/>
      <c r="G229" s="6"/>
      <c r="H229" s="6"/>
      <c r="I229" s="17"/>
      <c r="J229" s="6"/>
      <c r="K229" s="6"/>
      <c r="L229" s="17"/>
      <c r="M229" s="6"/>
      <c r="N229" s="6"/>
      <c r="O229" s="6"/>
      <c r="P229" s="6"/>
      <c r="Q229" s="6"/>
      <c r="R229" s="6"/>
      <c r="S229" s="6"/>
      <c r="T229" s="6"/>
      <c r="U229" s="6"/>
      <c r="V229" s="6"/>
      <c r="W229" s="6"/>
      <c r="X229" s="6"/>
      <c r="Y229" s="6"/>
      <c r="Z229" s="6"/>
      <c r="AA229" s="6"/>
      <c r="AB229" s="6"/>
      <c r="AC229" s="6"/>
      <c r="AD229" s="7"/>
    </row>
    <row r="230" spans="1:30" ht="13">
      <c r="A230" s="20"/>
      <c r="B230" s="20"/>
      <c r="C230" s="23"/>
      <c r="D230" s="17"/>
      <c r="E230" s="6"/>
      <c r="F230" s="6"/>
      <c r="G230" s="6"/>
      <c r="H230" s="6"/>
      <c r="I230" s="17"/>
      <c r="J230" s="6"/>
      <c r="K230" s="6"/>
      <c r="L230" s="17"/>
      <c r="M230" s="6"/>
      <c r="N230" s="6"/>
      <c r="O230" s="6"/>
      <c r="P230" s="6"/>
      <c r="Q230" s="6"/>
      <c r="R230" s="6"/>
      <c r="S230" s="6"/>
      <c r="T230" s="6"/>
      <c r="U230" s="6"/>
      <c r="V230" s="6"/>
      <c r="W230" s="6"/>
      <c r="X230" s="6"/>
      <c r="Y230" s="6"/>
      <c r="Z230" s="6"/>
      <c r="AA230" s="6"/>
      <c r="AB230" s="6"/>
      <c r="AC230" s="6"/>
      <c r="AD230" s="7"/>
    </row>
    <row r="231" spans="1:30" ht="13">
      <c r="A231" s="20"/>
      <c r="B231" s="20"/>
      <c r="C231" s="23"/>
      <c r="D231" s="17"/>
      <c r="E231" s="6"/>
      <c r="F231" s="6"/>
      <c r="G231" s="6"/>
      <c r="H231" s="6"/>
      <c r="I231" s="17"/>
      <c r="J231" s="6"/>
      <c r="K231" s="6"/>
      <c r="L231" s="17"/>
      <c r="M231" s="6"/>
      <c r="N231" s="6"/>
      <c r="O231" s="6"/>
      <c r="P231" s="6"/>
      <c r="Q231" s="6"/>
      <c r="R231" s="6"/>
      <c r="S231" s="6"/>
      <c r="T231" s="6"/>
      <c r="U231" s="6"/>
      <c r="V231" s="6"/>
      <c r="W231" s="6"/>
      <c r="X231" s="6"/>
      <c r="Y231" s="6"/>
      <c r="Z231" s="6"/>
      <c r="AA231" s="6"/>
      <c r="AB231" s="6"/>
      <c r="AC231" s="6"/>
      <c r="AD231" s="7"/>
    </row>
    <row r="232" spans="1:30" ht="13">
      <c r="A232" s="20"/>
      <c r="B232" s="20"/>
      <c r="C232" s="23"/>
      <c r="D232" s="17"/>
      <c r="E232" s="6"/>
      <c r="F232" s="6"/>
      <c r="G232" s="6"/>
      <c r="H232" s="6"/>
      <c r="I232" s="17"/>
      <c r="J232" s="6"/>
      <c r="K232" s="6"/>
      <c r="L232" s="17"/>
      <c r="M232" s="6"/>
      <c r="N232" s="6"/>
      <c r="O232" s="6"/>
      <c r="P232" s="6"/>
      <c r="Q232" s="6"/>
      <c r="R232" s="6"/>
      <c r="S232" s="6"/>
      <c r="T232" s="6"/>
      <c r="U232" s="6"/>
      <c r="V232" s="6"/>
      <c r="W232" s="6"/>
      <c r="X232" s="6"/>
      <c r="Y232" s="6"/>
      <c r="Z232" s="6"/>
      <c r="AA232" s="6"/>
      <c r="AB232" s="6"/>
      <c r="AC232" s="6"/>
      <c r="AD232" s="7"/>
    </row>
    <row r="233" spans="1:30" ht="13">
      <c r="A233" s="20"/>
      <c r="B233" s="20"/>
      <c r="C233" s="23"/>
      <c r="D233" s="17"/>
      <c r="E233" s="6"/>
      <c r="F233" s="6"/>
      <c r="G233" s="6"/>
      <c r="H233" s="6"/>
      <c r="I233" s="17"/>
      <c r="J233" s="6"/>
      <c r="K233" s="6"/>
      <c r="L233" s="17"/>
      <c r="M233" s="6"/>
      <c r="N233" s="6"/>
      <c r="O233" s="6"/>
      <c r="P233" s="6"/>
      <c r="Q233" s="6"/>
      <c r="R233" s="6"/>
      <c r="S233" s="6"/>
      <c r="T233" s="6"/>
      <c r="U233" s="6"/>
      <c r="V233" s="6"/>
      <c r="W233" s="6"/>
      <c r="X233" s="6"/>
      <c r="Y233" s="6"/>
      <c r="Z233" s="6"/>
      <c r="AA233" s="6"/>
      <c r="AB233" s="6"/>
      <c r="AC233" s="6"/>
      <c r="AD233" s="7"/>
    </row>
    <row r="234" spans="1:30" ht="13">
      <c r="A234" s="20"/>
      <c r="B234" s="20"/>
      <c r="C234" s="23"/>
      <c r="D234" s="17"/>
      <c r="E234" s="6"/>
      <c r="F234" s="6"/>
      <c r="G234" s="6"/>
      <c r="H234" s="6"/>
      <c r="I234" s="17"/>
      <c r="J234" s="6"/>
      <c r="K234" s="6"/>
      <c r="L234" s="17"/>
      <c r="M234" s="6"/>
      <c r="N234" s="6"/>
      <c r="O234" s="6"/>
      <c r="P234" s="6"/>
      <c r="Q234" s="6"/>
      <c r="R234" s="6"/>
      <c r="S234" s="6"/>
      <c r="T234" s="6"/>
      <c r="U234" s="6"/>
      <c r="V234" s="6"/>
      <c r="W234" s="6"/>
      <c r="X234" s="6"/>
      <c r="Y234" s="6"/>
      <c r="Z234" s="6"/>
      <c r="AA234" s="6"/>
      <c r="AB234" s="6"/>
      <c r="AC234" s="6"/>
      <c r="AD234" s="7"/>
    </row>
    <row r="235" spans="1:30" ht="13">
      <c r="A235" s="20"/>
      <c r="B235" s="20"/>
      <c r="C235" s="23"/>
      <c r="D235" s="17"/>
      <c r="E235" s="6"/>
      <c r="F235" s="6"/>
      <c r="G235" s="6"/>
      <c r="H235" s="6"/>
      <c r="I235" s="17"/>
      <c r="J235" s="6"/>
      <c r="K235" s="6"/>
      <c r="L235" s="17"/>
      <c r="M235" s="6"/>
      <c r="N235" s="6"/>
      <c r="O235" s="6"/>
      <c r="P235" s="6"/>
      <c r="Q235" s="6"/>
      <c r="R235" s="6"/>
      <c r="S235" s="6"/>
      <c r="T235" s="6"/>
      <c r="U235" s="6"/>
      <c r="V235" s="6"/>
      <c r="W235" s="6"/>
      <c r="X235" s="6"/>
      <c r="Y235" s="6"/>
      <c r="Z235" s="6"/>
      <c r="AA235" s="6"/>
      <c r="AB235" s="6"/>
      <c r="AC235" s="6"/>
      <c r="AD235" s="7"/>
    </row>
    <row r="236" spans="1:30" ht="13">
      <c r="A236" s="20"/>
      <c r="B236" s="20"/>
      <c r="C236" s="23"/>
      <c r="D236" s="17"/>
      <c r="E236" s="6"/>
      <c r="F236" s="6"/>
      <c r="G236" s="6"/>
      <c r="H236" s="6"/>
      <c r="I236" s="17"/>
      <c r="J236" s="6"/>
      <c r="K236" s="6"/>
      <c r="L236" s="17"/>
      <c r="M236" s="6"/>
      <c r="N236" s="6"/>
      <c r="O236" s="6"/>
      <c r="P236" s="6"/>
      <c r="Q236" s="6"/>
      <c r="R236" s="6"/>
      <c r="S236" s="6"/>
      <c r="T236" s="6"/>
      <c r="U236" s="6"/>
      <c r="V236" s="6"/>
      <c r="W236" s="6"/>
      <c r="X236" s="6"/>
      <c r="Y236" s="6"/>
      <c r="Z236" s="6"/>
      <c r="AA236" s="6"/>
      <c r="AB236" s="6"/>
      <c r="AC236" s="6"/>
      <c r="AD236" s="7"/>
    </row>
    <row r="237" spans="1:30" ht="13">
      <c r="A237" s="20"/>
      <c r="B237" s="20"/>
      <c r="C237" s="23"/>
      <c r="D237" s="17"/>
      <c r="E237" s="6"/>
      <c r="F237" s="6"/>
      <c r="G237" s="6"/>
      <c r="H237" s="6"/>
      <c r="I237" s="17"/>
      <c r="J237" s="6"/>
      <c r="K237" s="6"/>
      <c r="L237" s="17"/>
      <c r="M237" s="6"/>
      <c r="N237" s="6"/>
      <c r="O237" s="6"/>
      <c r="P237" s="6"/>
      <c r="Q237" s="6"/>
      <c r="R237" s="6"/>
      <c r="S237" s="6"/>
      <c r="T237" s="6"/>
      <c r="U237" s="6"/>
      <c r="V237" s="6"/>
      <c r="W237" s="6"/>
      <c r="X237" s="6"/>
      <c r="Y237" s="6"/>
      <c r="Z237" s="6"/>
      <c r="AA237" s="6"/>
      <c r="AB237" s="6"/>
      <c r="AC237" s="6"/>
      <c r="AD237" s="7"/>
    </row>
    <row r="238" spans="1:30" ht="13">
      <c r="A238" s="20"/>
      <c r="B238" s="20"/>
      <c r="C238" s="23"/>
      <c r="D238" s="17"/>
      <c r="E238" s="6"/>
      <c r="F238" s="6"/>
      <c r="G238" s="6"/>
      <c r="H238" s="6"/>
      <c r="I238" s="17"/>
      <c r="J238" s="6"/>
      <c r="K238" s="6"/>
      <c r="L238" s="17"/>
      <c r="M238" s="6"/>
      <c r="N238" s="6"/>
      <c r="O238" s="6"/>
      <c r="P238" s="6"/>
      <c r="Q238" s="6"/>
      <c r="R238" s="6"/>
      <c r="S238" s="6"/>
      <c r="T238" s="6"/>
      <c r="U238" s="6"/>
      <c r="V238" s="6"/>
      <c r="W238" s="6"/>
      <c r="X238" s="6"/>
      <c r="Y238" s="6"/>
      <c r="Z238" s="6"/>
      <c r="AA238" s="6"/>
      <c r="AB238" s="6"/>
      <c r="AC238" s="6"/>
      <c r="AD238" s="7"/>
    </row>
    <row r="239" spans="1:30" ht="13">
      <c r="A239" s="20"/>
      <c r="B239" s="20"/>
      <c r="C239" s="23"/>
      <c r="D239" s="17"/>
      <c r="E239" s="6"/>
      <c r="F239" s="6"/>
      <c r="G239" s="6"/>
      <c r="H239" s="6"/>
      <c r="I239" s="17"/>
      <c r="J239" s="6"/>
      <c r="K239" s="6"/>
      <c r="L239" s="17"/>
      <c r="M239" s="6"/>
      <c r="N239" s="6"/>
      <c r="O239" s="6"/>
      <c r="P239" s="6"/>
      <c r="Q239" s="6"/>
      <c r="R239" s="6"/>
      <c r="S239" s="6"/>
      <c r="T239" s="6"/>
      <c r="U239" s="6"/>
      <c r="V239" s="6"/>
      <c r="W239" s="6"/>
      <c r="X239" s="6"/>
      <c r="Y239" s="6"/>
      <c r="Z239" s="6"/>
      <c r="AA239" s="6"/>
      <c r="AB239" s="6"/>
      <c r="AC239" s="6"/>
      <c r="AD239" s="7"/>
    </row>
    <row r="240" spans="1:30" ht="13">
      <c r="A240" s="20"/>
      <c r="B240" s="20"/>
      <c r="C240" s="23"/>
      <c r="D240" s="17"/>
      <c r="E240" s="6"/>
      <c r="F240" s="6"/>
      <c r="G240" s="6"/>
      <c r="H240" s="6"/>
      <c r="I240" s="17"/>
      <c r="J240" s="6"/>
      <c r="K240" s="6"/>
      <c r="L240" s="17"/>
      <c r="M240" s="6"/>
      <c r="N240" s="6"/>
      <c r="O240" s="6"/>
      <c r="P240" s="6"/>
      <c r="Q240" s="6"/>
      <c r="R240" s="6"/>
      <c r="S240" s="6"/>
      <c r="T240" s="6"/>
      <c r="U240" s="6"/>
      <c r="V240" s="6"/>
      <c r="W240" s="6"/>
      <c r="X240" s="6"/>
      <c r="Y240" s="6"/>
      <c r="Z240" s="6"/>
      <c r="AA240" s="6"/>
      <c r="AB240" s="6"/>
      <c r="AC240" s="6"/>
      <c r="AD240" s="7"/>
    </row>
    <row r="241" spans="1:30" ht="13">
      <c r="A241" s="20"/>
      <c r="B241" s="20"/>
      <c r="C241" s="23"/>
      <c r="D241" s="17"/>
      <c r="E241" s="6"/>
      <c r="F241" s="6"/>
      <c r="G241" s="6"/>
      <c r="H241" s="6"/>
      <c r="I241" s="17"/>
      <c r="J241" s="6"/>
      <c r="K241" s="6"/>
      <c r="L241" s="17"/>
      <c r="M241" s="6"/>
      <c r="N241" s="6"/>
      <c r="O241" s="6"/>
      <c r="P241" s="6"/>
      <c r="Q241" s="6"/>
      <c r="R241" s="6"/>
      <c r="S241" s="6"/>
      <c r="T241" s="6"/>
      <c r="U241" s="6"/>
      <c r="V241" s="6"/>
      <c r="W241" s="6"/>
      <c r="X241" s="6"/>
      <c r="Y241" s="6"/>
      <c r="Z241" s="6"/>
      <c r="AA241" s="6"/>
      <c r="AB241" s="6"/>
      <c r="AC241" s="6"/>
      <c r="AD241" s="7"/>
    </row>
    <row r="242" spans="1:30" ht="13">
      <c r="A242" s="20"/>
      <c r="B242" s="20"/>
      <c r="C242" s="23"/>
      <c r="D242" s="17"/>
      <c r="E242" s="6"/>
      <c r="F242" s="6"/>
      <c r="G242" s="6"/>
      <c r="H242" s="6"/>
      <c r="I242" s="17"/>
      <c r="J242" s="6"/>
      <c r="K242" s="6"/>
      <c r="L242" s="17"/>
      <c r="M242" s="6"/>
      <c r="N242" s="6"/>
      <c r="O242" s="6"/>
      <c r="P242" s="6"/>
      <c r="Q242" s="6"/>
      <c r="R242" s="6"/>
      <c r="S242" s="6"/>
      <c r="T242" s="6"/>
      <c r="U242" s="6"/>
      <c r="V242" s="6"/>
      <c r="W242" s="6"/>
      <c r="X242" s="6"/>
      <c r="Y242" s="6"/>
      <c r="Z242" s="6"/>
      <c r="AA242" s="6"/>
      <c r="AB242" s="6"/>
      <c r="AC242" s="6"/>
      <c r="AD242" s="7"/>
    </row>
    <row r="243" spans="1:30" ht="13">
      <c r="A243" s="20"/>
      <c r="B243" s="20"/>
      <c r="C243" s="23"/>
      <c r="D243" s="17"/>
      <c r="E243" s="6"/>
      <c r="F243" s="6"/>
      <c r="G243" s="6"/>
      <c r="H243" s="6"/>
      <c r="I243" s="17"/>
      <c r="J243" s="6"/>
      <c r="K243" s="6"/>
      <c r="L243" s="17"/>
      <c r="M243" s="6"/>
      <c r="N243" s="6"/>
      <c r="O243" s="6"/>
      <c r="P243" s="6"/>
      <c r="Q243" s="6"/>
      <c r="R243" s="6"/>
      <c r="S243" s="6"/>
      <c r="T243" s="6"/>
      <c r="U243" s="6"/>
      <c r="V243" s="6"/>
      <c r="W243" s="6"/>
      <c r="X243" s="6"/>
      <c r="Y243" s="6"/>
      <c r="Z243" s="6"/>
      <c r="AA243" s="6"/>
      <c r="AB243" s="6"/>
      <c r="AC243" s="6"/>
      <c r="AD243" s="7"/>
    </row>
    <row r="244" spans="1:30" ht="13">
      <c r="A244" s="20"/>
      <c r="B244" s="20"/>
      <c r="C244" s="23"/>
      <c r="D244" s="17"/>
      <c r="E244" s="6"/>
      <c r="F244" s="6"/>
      <c r="G244" s="6"/>
      <c r="H244" s="6"/>
      <c r="I244" s="17"/>
      <c r="J244" s="6"/>
      <c r="K244" s="6"/>
      <c r="L244" s="17"/>
      <c r="M244" s="6"/>
      <c r="N244" s="6"/>
      <c r="O244" s="6"/>
      <c r="P244" s="6"/>
      <c r="Q244" s="6"/>
      <c r="R244" s="6"/>
      <c r="S244" s="6"/>
      <c r="T244" s="6"/>
      <c r="U244" s="6"/>
      <c r="V244" s="6"/>
      <c r="W244" s="6"/>
      <c r="X244" s="6"/>
      <c r="Y244" s="6"/>
      <c r="Z244" s="6"/>
      <c r="AA244" s="6"/>
      <c r="AB244" s="6"/>
      <c r="AC244" s="6"/>
      <c r="AD244" s="7"/>
    </row>
    <row r="245" spans="1:30" ht="13">
      <c r="A245" s="20"/>
      <c r="B245" s="20"/>
      <c r="C245" s="23"/>
      <c r="D245" s="17"/>
      <c r="E245" s="6"/>
      <c r="F245" s="6"/>
      <c r="G245" s="6"/>
      <c r="H245" s="6"/>
      <c r="I245" s="17"/>
      <c r="J245" s="6"/>
      <c r="K245" s="6"/>
      <c r="L245" s="17"/>
      <c r="M245" s="6"/>
      <c r="N245" s="6"/>
      <c r="O245" s="6"/>
      <c r="P245" s="6"/>
      <c r="Q245" s="6"/>
      <c r="R245" s="6"/>
      <c r="S245" s="6"/>
      <c r="T245" s="6"/>
      <c r="U245" s="6"/>
      <c r="V245" s="6"/>
      <c r="W245" s="6"/>
      <c r="X245" s="6"/>
      <c r="Y245" s="6"/>
      <c r="Z245" s="6"/>
      <c r="AA245" s="6"/>
      <c r="AB245" s="6"/>
      <c r="AC245" s="6"/>
      <c r="AD245" s="7"/>
    </row>
    <row r="246" spans="1:30" ht="13">
      <c r="A246" s="20"/>
      <c r="B246" s="20"/>
      <c r="C246" s="23"/>
      <c r="D246" s="17"/>
      <c r="E246" s="6"/>
      <c r="F246" s="6"/>
      <c r="G246" s="6"/>
      <c r="H246" s="6"/>
      <c r="I246" s="17"/>
      <c r="J246" s="6"/>
      <c r="K246" s="6"/>
      <c r="L246" s="17"/>
      <c r="M246" s="6"/>
      <c r="N246" s="6"/>
      <c r="O246" s="6"/>
      <c r="P246" s="6"/>
      <c r="Q246" s="6"/>
      <c r="R246" s="6"/>
      <c r="S246" s="6"/>
      <c r="T246" s="6"/>
      <c r="U246" s="6"/>
      <c r="V246" s="6"/>
      <c r="W246" s="6"/>
      <c r="X246" s="6"/>
      <c r="Y246" s="6"/>
      <c r="Z246" s="6"/>
      <c r="AA246" s="6"/>
      <c r="AB246" s="6"/>
      <c r="AC246" s="6"/>
      <c r="AD246" s="7"/>
    </row>
    <row r="247" spans="1:30" ht="13">
      <c r="A247" s="20"/>
      <c r="B247" s="20"/>
      <c r="C247" s="23"/>
      <c r="D247" s="17"/>
      <c r="E247" s="6"/>
      <c r="F247" s="6"/>
      <c r="G247" s="6"/>
      <c r="H247" s="6"/>
      <c r="I247" s="17"/>
      <c r="J247" s="6"/>
      <c r="K247" s="6"/>
      <c r="L247" s="17"/>
      <c r="M247" s="6"/>
      <c r="N247" s="6"/>
      <c r="O247" s="6"/>
      <c r="P247" s="6"/>
      <c r="Q247" s="6"/>
      <c r="R247" s="6"/>
      <c r="S247" s="6"/>
      <c r="T247" s="6"/>
      <c r="U247" s="6"/>
      <c r="V247" s="6"/>
      <c r="W247" s="6"/>
      <c r="X247" s="6"/>
      <c r="Y247" s="6"/>
      <c r="Z247" s="6"/>
      <c r="AA247" s="6"/>
      <c r="AB247" s="6"/>
      <c r="AC247" s="6"/>
      <c r="AD247" s="7"/>
    </row>
    <row r="248" spans="1:30" ht="13">
      <c r="A248" s="20"/>
      <c r="B248" s="20"/>
      <c r="C248" s="23"/>
      <c r="D248" s="17"/>
      <c r="E248" s="6"/>
      <c r="F248" s="6"/>
      <c r="G248" s="6"/>
      <c r="H248" s="6"/>
      <c r="I248" s="17"/>
      <c r="J248" s="6"/>
      <c r="K248" s="6"/>
      <c r="L248" s="17"/>
      <c r="M248" s="6"/>
      <c r="N248" s="6"/>
      <c r="O248" s="6"/>
      <c r="P248" s="6"/>
      <c r="Q248" s="6"/>
      <c r="R248" s="6"/>
      <c r="S248" s="6"/>
      <c r="T248" s="6"/>
      <c r="U248" s="6"/>
      <c r="V248" s="6"/>
      <c r="W248" s="6"/>
      <c r="X248" s="6"/>
      <c r="Y248" s="6"/>
      <c r="Z248" s="6"/>
      <c r="AA248" s="6"/>
      <c r="AB248" s="6"/>
      <c r="AC248" s="6"/>
      <c r="AD248" s="7"/>
    </row>
    <row r="249" spans="1:30" ht="13">
      <c r="A249" s="20"/>
      <c r="B249" s="20"/>
      <c r="C249" s="23"/>
      <c r="D249" s="17"/>
      <c r="E249" s="6"/>
      <c r="F249" s="6"/>
      <c r="G249" s="6"/>
      <c r="H249" s="6"/>
      <c r="I249" s="17"/>
      <c r="J249" s="6"/>
      <c r="K249" s="6"/>
      <c r="L249" s="17"/>
      <c r="M249" s="6"/>
      <c r="N249" s="6"/>
      <c r="O249" s="6"/>
      <c r="P249" s="6"/>
      <c r="Q249" s="6"/>
      <c r="R249" s="6"/>
      <c r="S249" s="6"/>
      <c r="T249" s="6"/>
      <c r="U249" s="6"/>
      <c r="V249" s="6"/>
      <c r="W249" s="6"/>
      <c r="X249" s="6"/>
      <c r="Y249" s="6"/>
      <c r="Z249" s="6"/>
      <c r="AA249" s="6"/>
      <c r="AB249" s="6"/>
      <c r="AC249" s="6"/>
      <c r="AD249" s="7"/>
    </row>
    <row r="250" spans="1:30" ht="13">
      <c r="A250" s="20"/>
      <c r="B250" s="20"/>
      <c r="C250" s="23"/>
      <c r="D250" s="17"/>
      <c r="E250" s="6"/>
      <c r="F250" s="6"/>
      <c r="G250" s="6"/>
      <c r="H250" s="6"/>
      <c r="I250" s="17"/>
      <c r="J250" s="6"/>
      <c r="K250" s="6"/>
      <c r="L250" s="17"/>
      <c r="M250" s="6"/>
      <c r="N250" s="6"/>
      <c r="O250" s="6"/>
      <c r="P250" s="6"/>
      <c r="Q250" s="6"/>
      <c r="R250" s="6"/>
      <c r="S250" s="6"/>
      <c r="T250" s="6"/>
      <c r="U250" s="6"/>
      <c r="V250" s="6"/>
      <c r="W250" s="6"/>
      <c r="X250" s="6"/>
      <c r="Y250" s="6"/>
      <c r="Z250" s="6"/>
      <c r="AA250" s="6"/>
      <c r="AB250" s="6"/>
      <c r="AC250" s="6"/>
      <c r="AD250" s="7"/>
    </row>
    <row r="251" spans="1:30" ht="13">
      <c r="A251" s="20"/>
      <c r="B251" s="20"/>
      <c r="C251" s="23"/>
      <c r="D251" s="17"/>
      <c r="E251" s="6"/>
      <c r="F251" s="6"/>
      <c r="G251" s="6"/>
      <c r="H251" s="6"/>
      <c r="I251" s="17"/>
      <c r="J251" s="6"/>
      <c r="K251" s="6"/>
      <c r="L251" s="17"/>
      <c r="M251" s="6"/>
      <c r="N251" s="6"/>
      <c r="O251" s="6"/>
      <c r="P251" s="6"/>
      <c r="Q251" s="6"/>
      <c r="R251" s="6"/>
      <c r="S251" s="6"/>
      <c r="T251" s="6"/>
      <c r="U251" s="6"/>
      <c r="V251" s="6"/>
      <c r="W251" s="6"/>
      <c r="X251" s="6"/>
      <c r="Y251" s="6"/>
      <c r="Z251" s="6"/>
      <c r="AA251" s="6"/>
      <c r="AB251" s="6"/>
      <c r="AC251" s="6"/>
      <c r="AD251" s="7"/>
    </row>
    <row r="252" spans="1:30" ht="13">
      <c r="A252" s="20"/>
      <c r="B252" s="20"/>
      <c r="C252" s="23"/>
      <c r="D252" s="17"/>
      <c r="E252" s="6"/>
      <c r="F252" s="6"/>
      <c r="G252" s="6"/>
      <c r="H252" s="6"/>
      <c r="I252" s="17"/>
      <c r="J252" s="6"/>
      <c r="K252" s="6"/>
      <c r="L252" s="17"/>
      <c r="M252" s="6"/>
      <c r="N252" s="6"/>
      <c r="O252" s="6"/>
      <c r="P252" s="6"/>
      <c r="Q252" s="6"/>
      <c r="R252" s="6"/>
      <c r="S252" s="6"/>
      <c r="T252" s="6"/>
      <c r="U252" s="6"/>
      <c r="V252" s="6"/>
      <c r="W252" s="6"/>
      <c r="X252" s="6"/>
      <c r="Y252" s="6"/>
      <c r="Z252" s="6"/>
      <c r="AA252" s="6"/>
      <c r="AB252" s="6"/>
      <c r="AC252" s="6"/>
      <c r="AD252" s="7"/>
    </row>
    <row r="253" spans="1:30" ht="13">
      <c r="A253" s="20"/>
      <c r="B253" s="20"/>
      <c r="C253" s="23"/>
      <c r="D253" s="17"/>
      <c r="E253" s="6"/>
      <c r="F253" s="6"/>
      <c r="G253" s="6"/>
      <c r="H253" s="6"/>
      <c r="I253" s="17"/>
      <c r="J253" s="6"/>
      <c r="K253" s="6"/>
      <c r="L253" s="17"/>
      <c r="M253" s="6"/>
      <c r="N253" s="6"/>
      <c r="O253" s="6"/>
      <c r="P253" s="6"/>
      <c r="Q253" s="6"/>
      <c r="R253" s="6"/>
      <c r="S253" s="6"/>
      <c r="T253" s="6"/>
      <c r="U253" s="6"/>
      <c r="V253" s="6"/>
      <c r="W253" s="6"/>
      <c r="X253" s="6"/>
      <c r="Y253" s="6"/>
      <c r="Z253" s="6"/>
      <c r="AA253" s="6"/>
      <c r="AB253" s="6"/>
      <c r="AC253" s="6"/>
      <c r="AD253" s="7"/>
    </row>
    <row r="254" spans="1:30" ht="13">
      <c r="A254" s="20"/>
      <c r="B254" s="20"/>
      <c r="C254" s="23"/>
      <c r="D254" s="17"/>
      <c r="E254" s="6"/>
      <c r="F254" s="6"/>
      <c r="G254" s="6"/>
      <c r="H254" s="6"/>
      <c r="I254" s="17"/>
      <c r="J254" s="6"/>
      <c r="K254" s="6"/>
      <c r="L254" s="17"/>
      <c r="M254" s="6"/>
      <c r="N254" s="6"/>
      <c r="O254" s="6"/>
      <c r="P254" s="6"/>
      <c r="Q254" s="6"/>
      <c r="R254" s="6"/>
      <c r="S254" s="6"/>
      <c r="T254" s="6"/>
      <c r="U254" s="6"/>
      <c r="V254" s="6"/>
      <c r="W254" s="6"/>
      <c r="X254" s="6"/>
      <c r="Y254" s="6"/>
      <c r="Z254" s="6"/>
      <c r="AA254" s="6"/>
      <c r="AB254" s="6"/>
      <c r="AC254" s="6"/>
      <c r="AD254" s="7"/>
    </row>
    <row r="255" spans="1:30" ht="13">
      <c r="A255" s="20"/>
      <c r="B255" s="20"/>
      <c r="C255" s="23"/>
      <c r="D255" s="17"/>
      <c r="E255" s="6"/>
      <c r="F255" s="6"/>
      <c r="G255" s="6"/>
      <c r="H255" s="6"/>
      <c r="I255" s="17"/>
      <c r="J255" s="6"/>
      <c r="K255" s="6"/>
      <c r="L255" s="17"/>
      <c r="M255" s="6"/>
      <c r="N255" s="6"/>
      <c r="O255" s="6"/>
      <c r="P255" s="6"/>
      <c r="Q255" s="6"/>
      <c r="R255" s="6"/>
      <c r="S255" s="6"/>
      <c r="T255" s="6"/>
      <c r="U255" s="6"/>
      <c r="V255" s="6"/>
      <c r="W255" s="6"/>
      <c r="X255" s="6"/>
      <c r="Y255" s="6"/>
      <c r="Z255" s="6"/>
      <c r="AA255" s="6"/>
      <c r="AB255" s="6"/>
      <c r="AC255" s="6"/>
      <c r="AD255" s="7"/>
    </row>
    <row r="256" spans="1:30" ht="13">
      <c r="A256" s="20"/>
      <c r="B256" s="20"/>
      <c r="C256" s="23"/>
      <c r="D256" s="17"/>
      <c r="E256" s="6"/>
      <c r="F256" s="6"/>
      <c r="G256" s="6"/>
      <c r="H256" s="6"/>
      <c r="I256" s="17"/>
      <c r="J256" s="6"/>
      <c r="K256" s="6"/>
      <c r="L256" s="17"/>
      <c r="M256" s="6"/>
      <c r="N256" s="6"/>
      <c r="O256" s="6"/>
      <c r="P256" s="6"/>
      <c r="Q256" s="6"/>
      <c r="R256" s="6"/>
      <c r="S256" s="6"/>
      <c r="T256" s="6"/>
      <c r="U256" s="6"/>
      <c r="V256" s="6"/>
      <c r="W256" s="6"/>
      <c r="X256" s="6"/>
      <c r="Y256" s="6"/>
      <c r="Z256" s="6"/>
      <c r="AA256" s="6"/>
      <c r="AB256" s="6"/>
      <c r="AC256" s="6"/>
      <c r="AD256" s="7"/>
    </row>
    <row r="257" spans="1:30" ht="13">
      <c r="A257" s="20"/>
      <c r="B257" s="20"/>
      <c r="C257" s="23"/>
      <c r="D257" s="17"/>
      <c r="E257" s="6"/>
      <c r="F257" s="6"/>
      <c r="G257" s="6"/>
      <c r="H257" s="6"/>
      <c r="I257" s="17"/>
      <c r="J257" s="6"/>
      <c r="K257" s="6"/>
      <c r="L257" s="17"/>
      <c r="M257" s="6"/>
      <c r="N257" s="6"/>
      <c r="O257" s="6"/>
      <c r="P257" s="6"/>
      <c r="Q257" s="6"/>
      <c r="R257" s="6"/>
      <c r="S257" s="6"/>
      <c r="T257" s="6"/>
      <c r="U257" s="6"/>
      <c r="V257" s="6"/>
      <c r="W257" s="6"/>
      <c r="X257" s="6"/>
      <c r="Y257" s="6"/>
      <c r="Z257" s="6"/>
      <c r="AA257" s="6"/>
      <c r="AB257" s="6"/>
      <c r="AC257" s="6"/>
      <c r="AD257" s="7"/>
    </row>
    <row r="258" spans="1:30" ht="13">
      <c r="A258" s="20"/>
      <c r="B258" s="20"/>
      <c r="C258" s="23"/>
      <c r="D258" s="17"/>
      <c r="E258" s="6"/>
      <c r="F258" s="6"/>
      <c r="G258" s="6"/>
      <c r="H258" s="6"/>
      <c r="I258" s="17"/>
      <c r="J258" s="6"/>
      <c r="K258" s="6"/>
      <c r="L258" s="17"/>
      <c r="M258" s="6"/>
      <c r="N258" s="6"/>
      <c r="O258" s="6"/>
      <c r="P258" s="6"/>
      <c r="Q258" s="6"/>
      <c r="R258" s="6"/>
      <c r="S258" s="6"/>
      <c r="T258" s="6"/>
      <c r="U258" s="6"/>
      <c r="V258" s="6"/>
      <c r="W258" s="6"/>
      <c r="X258" s="6"/>
      <c r="Y258" s="6"/>
      <c r="Z258" s="6"/>
      <c r="AA258" s="6"/>
      <c r="AB258" s="6"/>
      <c r="AC258" s="6"/>
      <c r="AD258" s="7"/>
    </row>
    <row r="259" spans="1:30" ht="13">
      <c r="A259" s="20"/>
      <c r="B259" s="20"/>
      <c r="C259" s="23"/>
      <c r="D259" s="17"/>
      <c r="E259" s="6"/>
      <c r="F259" s="6"/>
      <c r="G259" s="6"/>
      <c r="H259" s="6"/>
      <c r="I259" s="17"/>
      <c r="J259" s="6"/>
      <c r="K259" s="6"/>
      <c r="L259" s="17"/>
      <c r="M259" s="6"/>
      <c r="N259" s="6"/>
      <c r="O259" s="6"/>
      <c r="P259" s="6"/>
      <c r="Q259" s="6"/>
      <c r="R259" s="6"/>
      <c r="S259" s="6"/>
      <c r="T259" s="6"/>
      <c r="U259" s="6"/>
      <c r="V259" s="6"/>
      <c r="W259" s="6"/>
      <c r="X259" s="6"/>
      <c r="Y259" s="6"/>
      <c r="Z259" s="6"/>
      <c r="AA259" s="6"/>
      <c r="AB259" s="6"/>
      <c r="AC259" s="6"/>
      <c r="AD259" s="7"/>
    </row>
    <row r="260" spans="1:30" ht="13">
      <c r="A260" s="20"/>
      <c r="B260" s="20"/>
      <c r="C260" s="23"/>
      <c r="D260" s="17"/>
      <c r="E260" s="6"/>
      <c r="F260" s="6"/>
      <c r="G260" s="6"/>
      <c r="H260" s="6"/>
      <c r="I260" s="17"/>
      <c r="J260" s="6"/>
      <c r="K260" s="6"/>
      <c r="L260" s="17"/>
      <c r="M260" s="6"/>
      <c r="N260" s="6"/>
      <c r="O260" s="6"/>
      <c r="P260" s="6"/>
      <c r="Q260" s="6"/>
      <c r="R260" s="6"/>
      <c r="S260" s="6"/>
      <c r="T260" s="6"/>
      <c r="U260" s="6"/>
      <c r="V260" s="6"/>
      <c r="W260" s="6"/>
      <c r="X260" s="6"/>
      <c r="Y260" s="6"/>
      <c r="Z260" s="6"/>
      <c r="AA260" s="6"/>
      <c r="AB260" s="6"/>
      <c r="AC260" s="6"/>
      <c r="AD260" s="7"/>
    </row>
    <row r="261" spans="1:30" ht="13">
      <c r="A261" s="20"/>
      <c r="B261" s="20"/>
      <c r="C261" s="23"/>
      <c r="D261" s="17"/>
      <c r="E261" s="6"/>
      <c r="F261" s="6"/>
      <c r="G261" s="6"/>
      <c r="H261" s="6"/>
      <c r="I261" s="17"/>
      <c r="J261" s="6"/>
      <c r="K261" s="6"/>
      <c r="L261" s="17"/>
      <c r="M261" s="6"/>
      <c r="N261" s="6"/>
      <c r="O261" s="6"/>
      <c r="P261" s="6"/>
      <c r="Q261" s="6"/>
      <c r="R261" s="6"/>
      <c r="S261" s="6"/>
      <c r="T261" s="6"/>
      <c r="U261" s="6"/>
      <c r="V261" s="6"/>
      <c r="W261" s="6"/>
      <c r="X261" s="6"/>
      <c r="Y261" s="6"/>
      <c r="Z261" s="6"/>
      <c r="AA261" s="6"/>
      <c r="AB261" s="6"/>
      <c r="AC261" s="6"/>
      <c r="AD261" s="7"/>
    </row>
    <row r="262" spans="1:30" ht="13">
      <c r="A262" s="20"/>
      <c r="B262" s="20"/>
      <c r="C262" s="23"/>
      <c r="D262" s="17"/>
      <c r="E262" s="6"/>
      <c r="F262" s="6"/>
      <c r="G262" s="6"/>
      <c r="H262" s="6"/>
      <c r="I262" s="17"/>
      <c r="J262" s="6"/>
      <c r="K262" s="6"/>
      <c r="L262" s="17"/>
      <c r="M262" s="6"/>
      <c r="N262" s="6"/>
      <c r="O262" s="6"/>
      <c r="P262" s="6"/>
      <c r="Q262" s="6"/>
      <c r="R262" s="6"/>
      <c r="S262" s="6"/>
      <c r="T262" s="6"/>
      <c r="U262" s="6"/>
      <c r="V262" s="6"/>
      <c r="W262" s="6"/>
      <c r="X262" s="6"/>
      <c r="Y262" s="6"/>
      <c r="Z262" s="6"/>
      <c r="AA262" s="6"/>
      <c r="AB262" s="6"/>
      <c r="AC262" s="6"/>
      <c r="AD262" s="7"/>
    </row>
    <row r="263" spans="1:30" ht="13">
      <c r="A263" s="20"/>
      <c r="B263" s="20"/>
      <c r="C263" s="23"/>
      <c r="D263" s="17"/>
      <c r="E263" s="6"/>
      <c r="F263" s="6"/>
      <c r="G263" s="6"/>
      <c r="H263" s="6"/>
      <c r="I263" s="17"/>
      <c r="J263" s="6"/>
      <c r="K263" s="6"/>
      <c r="L263" s="17"/>
      <c r="M263" s="6"/>
      <c r="N263" s="6"/>
      <c r="O263" s="6"/>
      <c r="P263" s="6"/>
      <c r="Q263" s="6"/>
      <c r="R263" s="6"/>
      <c r="S263" s="6"/>
      <c r="T263" s="6"/>
      <c r="U263" s="6"/>
      <c r="V263" s="6"/>
      <c r="W263" s="6"/>
      <c r="X263" s="6"/>
      <c r="Y263" s="6"/>
      <c r="Z263" s="6"/>
      <c r="AA263" s="6"/>
      <c r="AB263" s="6"/>
      <c r="AC263" s="6"/>
      <c r="AD263" s="7"/>
    </row>
    <row r="264" spans="1:30" ht="13">
      <c r="A264" s="20"/>
      <c r="B264" s="20"/>
      <c r="C264" s="23"/>
      <c r="D264" s="17"/>
      <c r="E264" s="6"/>
      <c r="F264" s="6"/>
      <c r="G264" s="6"/>
      <c r="H264" s="6"/>
      <c r="I264" s="17"/>
      <c r="J264" s="6"/>
      <c r="K264" s="6"/>
      <c r="L264" s="17"/>
      <c r="M264" s="6"/>
      <c r="N264" s="6"/>
      <c r="O264" s="6"/>
      <c r="P264" s="6"/>
      <c r="Q264" s="6"/>
      <c r="R264" s="6"/>
      <c r="S264" s="6"/>
      <c r="T264" s="6"/>
      <c r="U264" s="6"/>
      <c r="V264" s="6"/>
      <c r="W264" s="6"/>
      <c r="X264" s="6"/>
      <c r="Y264" s="6"/>
      <c r="Z264" s="6"/>
      <c r="AA264" s="6"/>
      <c r="AB264" s="6"/>
      <c r="AC264" s="6"/>
      <c r="AD264" s="7"/>
    </row>
    <row r="265" spans="1:30" ht="13">
      <c r="A265" s="20"/>
      <c r="B265" s="20"/>
      <c r="C265" s="23"/>
      <c r="D265" s="17"/>
      <c r="E265" s="6"/>
      <c r="F265" s="6"/>
      <c r="G265" s="6"/>
      <c r="H265" s="6"/>
      <c r="I265" s="17"/>
      <c r="J265" s="6"/>
      <c r="K265" s="6"/>
      <c r="L265" s="17"/>
      <c r="M265" s="6"/>
      <c r="N265" s="6"/>
      <c r="O265" s="6"/>
      <c r="P265" s="6"/>
      <c r="Q265" s="6"/>
      <c r="R265" s="6"/>
      <c r="S265" s="6"/>
      <c r="T265" s="6"/>
      <c r="U265" s="6"/>
      <c r="V265" s="6"/>
      <c r="W265" s="6"/>
      <c r="X265" s="6"/>
      <c r="Y265" s="6"/>
      <c r="Z265" s="6"/>
      <c r="AA265" s="6"/>
      <c r="AB265" s="6"/>
      <c r="AC265" s="6"/>
      <c r="AD265" s="7"/>
    </row>
    <row r="266" spans="1:30" ht="13">
      <c r="A266" s="20"/>
      <c r="B266" s="20"/>
      <c r="C266" s="23"/>
      <c r="D266" s="17"/>
      <c r="E266" s="6"/>
      <c r="F266" s="6"/>
      <c r="G266" s="6"/>
      <c r="H266" s="6"/>
      <c r="I266" s="17"/>
      <c r="J266" s="6"/>
      <c r="K266" s="6"/>
      <c r="L266" s="17"/>
      <c r="M266" s="6"/>
      <c r="N266" s="6"/>
      <c r="O266" s="6"/>
      <c r="P266" s="6"/>
      <c r="Q266" s="6"/>
      <c r="R266" s="6"/>
      <c r="S266" s="6"/>
      <c r="T266" s="6"/>
      <c r="U266" s="6"/>
      <c r="V266" s="6"/>
      <c r="W266" s="6"/>
      <c r="X266" s="6"/>
      <c r="Y266" s="6"/>
      <c r="Z266" s="6"/>
      <c r="AA266" s="6"/>
      <c r="AB266" s="6"/>
      <c r="AC266" s="6"/>
      <c r="AD266" s="7"/>
    </row>
    <row r="267" spans="1:30" ht="13">
      <c r="A267" s="20"/>
      <c r="B267" s="20"/>
      <c r="C267" s="23"/>
      <c r="D267" s="17"/>
      <c r="E267" s="6"/>
      <c r="F267" s="6"/>
      <c r="G267" s="6"/>
      <c r="H267" s="6"/>
      <c r="I267" s="17"/>
      <c r="J267" s="6"/>
      <c r="K267" s="6"/>
      <c r="L267" s="17"/>
      <c r="M267" s="6"/>
      <c r="N267" s="6"/>
      <c r="O267" s="6"/>
      <c r="P267" s="6"/>
      <c r="Q267" s="6"/>
      <c r="R267" s="6"/>
      <c r="S267" s="6"/>
      <c r="T267" s="6"/>
      <c r="U267" s="6"/>
      <c r="V267" s="6"/>
      <c r="W267" s="6"/>
      <c r="X267" s="6"/>
      <c r="Y267" s="6"/>
      <c r="Z267" s="6"/>
      <c r="AA267" s="6"/>
      <c r="AB267" s="6"/>
      <c r="AC267" s="6"/>
      <c r="AD267" s="7"/>
    </row>
    <row r="268" spans="1:30" ht="13">
      <c r="A268" s="20"/>
      <c r="B268" s="20"/>
      <c r="C268" s="23"/>
      <c r="D268" s="17"/>
      <c r="E268" s="6"/>
      <c r="F268" s="6"/>
      <c r="G268" s="6"/>
      <c r="H268" s="6"/>
      <c r="I268" s="17"/>
      <c r="J268" s="6"/>
      <c r="K268" s="6"/>
      <c r="L268" s="17"/>
      <c r="M268" s="6"/>
      <c r="N268" s="6"/>
      <c r="O268" s="6"/>
      <c r="P268" s="6"/>
      <c r="Q268" s="6"/>
      <c r="R268" s="6"/>
      <c r="S268" s="6"/>
      <c r="T268" s="6"/>
      <c r="U268" s="6"/>
      <c r="V268" s="6"/>
      <c r="W268" s="6"/>
      <c r="X268" s="6"/>
      <c r="Y268" s="6"/>
      <c r="Z268" s="6"/>
      <c r="AA268" s="6"/>
      <c r="AB268" s="6"/>
      <c r="AC268" s="6"/>
      <c r="AD268" s="7"/>
    </row>
    <row r="269" spans="1:30" ht="13">
      <c r="A269" s="20"/>
      <c r="B269" s="20"/>
      <c r="C269" s="23"/>
      <c r="D269" s="17"/>
      <c r="E269" s="6"/>
      <c r="F269" s="6"/>
      <c r="G269" s="6"/>
      <c r="H269" s="6"/>
      <c r="I269" s="17"/>
      <c r="J269" s="6"/>
      <c r="K269" s="6"/>
      <c r="L269" s="17"/>
      <c r="M269" s="6"/>
      <c r="N269" s="6"/>
      <c r="O269" s="6"/>
      <c r="P269" s="6"/>
      <c r="Q269" s="6"/>
      <c r="R269" s="6"/>
      <c r="S269" s="6"/>
      <c r="T269" s="6"/>
      <c r="U269" s="6"/>
      <c r="V269" s="6"/>
      <c r="W269" s="6"/>
      <c r="X269" s="6"/>
      <c r="Y269" s="6"/>
      <c r="Z269" s="6"/>
      <c r="AA269" s="6"/>
      <c r="AB269" s="6"/>
      <c r="AC269" s="6"/>
      <c r="AD269" s="7"/>
    </row>
    <row r="270" spans="1:30" ht="13">
      <c r="A270" s="20"/>
      <c r="B270" s="20"/>
      <c r="C270" s="23"/>
      <c r="D270" s="17"/>
      <c r="E270" s="6"/>
      <c r="F270" s="6"/>
      <c r="G270" s="6"/>
      <c r="H270" s="6"/>
      <c r="I270" s="17"/>
      <c r="J270" s="6"/>
      <c r="K270" s="6"/>
      <c r="L270" s="17"/>
      <c r="M270" s="6"/>
      <c r="N270" s="6"/>
      <c r="O270" s="6"/>
      <c r="P270" s="6"/>
      <c r="Q270" s="6"/>
      <c r="R270" s="6"/>
      <c r="S270" s="6"/>
      <c r="T270" s="6"/>
      <c r="U270" s="6"/>
      <c r="V270" s="6"/>
      <c r="W270" s="6"/>
      <c r="X270" s="6"/>
      <c r="Y270" s="6"/>
      <c r="Z270" s="6"/>
      <c r="AA270" s="6"/>
      <c r="AB270" s="6"/>
      <c r="AC270" s="6"/>
      <c r="AD270" s="7"/>
    </row>
    <row r="271" spans="1:30" ht="13">
      <c r="A271" s="20"/>
      <c r="B271" s="20"/>
      <c r="C271" s="23"/>
      <c r="D271" s="17"/>
      <c r="E271" s="6"/>
      <c r="F271" s="6"/>
      <c r="G271" s="6"/>
      <c r="H271" s="6"/>
      <c r="I271" s="17"/>
      <c r="J271" s="6"/>
      <c r="K271" s="6"/>
      <c r="L271" s="17"/>
      <c r="M271" s="6"/>
      <c r="N271" s="6"/>
      <c r="O271" s="6"/>
      <c r="P271" s="6"/>
      <c r="Q271" s="6"/>
      <c r="R271" s="6"/>
      <c r="S271" s="6"/>
      <c r="T271" s="6"/>
      <c r="U271" s="6"/>
      <c r="V271" s="6"/>
      <c r="W271" s="6"/>
      <c r="X271" s="6"/>
      <c r="Y271" s="6"/>
      <c r="Z271" s="6"/>
      <c r="AA271" s="6"/>
      <c r="AB271" s="6"/>
      <c r="AC271" s="6"/>
      <c r="AD271" s="7"/>
    </row>
    <row r="272" spans="1:30" ht="13">
      <c r="A272" s="20"/>
      <c r="B272" s="20"/>
      <c r="C272" s="23"/>
      <c r="D272" s="17"/>
      <c r="E272" s="6"/>
      <c r="F272" s="6"/>
      <c r="G272" s="6"/>
      <c r="H272" s="6"/>
      <c r="I272" s="17"/>
      <c r="J272" s="6"/>
      <c r="K272" s="6"/>
      <c r="L272" s="17"/>
      <c r="M272" s="6"/>
      <c r="N272" s="6"/>
      <c r="O272" s="6"/>
      <c r="P272" s="6"/>
      <c r="Q272" s="6"/>
      <c r="R272" s="6"/>
      <c r="S272" s="6"/>
      <c r="T272" s="6"/>
      <c r="U272" s="6"/>
      <c r="V272" s="6"/>
      <c r="W272" s="6"/>
      <c r="X272" s="6"/>
      <c r="Y272" s="6"/>
      <c r="Z272" s="6"/>
      <c r="AA272" s="6"/>
      <c r="AB272" s="6"/>
      <c r="AC272" s="6"/>
      <c r="AD272" s="7"/>
    </row>
    <row r="273" spans="1:30" ht="13">
      <c r="A273" s="20"/>
      <c r="B273" s="20"/>
      <c r="C273" s="23"/>
      <c r="D273" s="17"/>
      <c r="E273" s="6"/>
      <c r="F273" s="6"/>
      <c r="G273" s="6"/>
      <c r="H273" s="6"/>
      <c r="I273" s="17"/>
      <c r="J273" s="6"/>
      <c r="K273" s="6"/>
      <c r="L273" s="17"/>
      <c r="M273" s="6"/>
      <c r="N273" s="6"/>
      <c r="O273" s="6"/>
      <c r="P273" s="6"/>
      <c r="Q273" s="6"/>
      <c r="R273" s="6"/>
      <c r="S273" s="6"/>
      <c r="T273" s="6"/>
      <c r="U273" s="6"/>
      <c r="V273" s="6"/>
      <c r="W273" s="6"/>
      <c r="X273" s="6"/>
      <c r="Y273" s="6"/>
      <c r="Z273" s="6"/>
      <c r="AA273" s="6"/>
      <c r="AB273" s="6"/>
      <c r="AC273" s="6"/>
      <c r="AD273" s="7"/>
    </row>
    <row r="274" spans="1:30" ht="13">
      <c r="A274" s="20"/>
      <c r="B274" s="20"/>
      <c r="C274" s="23"/>
      <c r="D274" s="17"/>
      <c r="E274" s="6"/>
      <c r="F274" s="6"/>
      <c r="G274" s="6"/>
      <c r="H274" s="6"/>
      <c r="I274" s="17"/>
      <c r="J274" s="6"/>
      <c r="K274" s="6"/>
      <c r="L274" s="17"/>
      <c r="M274" s="6"/>
      <c r="N274" s="6"/>
      <c r="O274" s="6"/>
      <c r="P274" s="6"/>
      <c r="Q274" s="6"/>
      <c r="R274" s="6"/>
      <c r="S274" s="6"/>
      <c r="T274" s="6"/>
      <c r="U274" s="6"/>
      <c r="V274" s="6"/>
      <c r="W274" s="6"/>
      <c r="X274" s="6"/>
      <c r="Y274" s="6"/>
      <c r="Z274" s="6"/>
      <c r="AA274" s="6"/>
      <c r="AB274" s="6"/>
      <c r="AC274" s="6"/>
      <c r="AD274" s="7"/>
    </row>
    <row r="275" spans="1:30" ht="13">
      <c r="A275" s="20"/>
      <c r="B275" s="20"/>
      <c r="C275" s="23"/>
      <c r="D275" s="17"/>
      <c r="E275" s="6"/>
      <c r="F275" s="6"/>
      <c r="G275" s="6"/>
      <c r="H275" s="6"/>
      <c r="I275" s="17"/>
      <c r="J275" s="6"/>
      <c r="K275" s="6"/>
      <c r="L275" s="17"/>
      <c r="M275" s="6"/>
      <c r="N275" s="6"/>
      <c r="O275" s="6"/>
      <c r="P275" s="6"/>
      <c r="Q275" s="6"/>
      <c r="R275" s="6"/>
      <c r="S275" s="6"/>
      <c r="T275" s="6"/>
      <c r="U275" s="6"/>
      <c r="V275" s="6"/>
      <c r="W275" s="6"/>
      <c r="X275" s="6"/>
      <c r="Y275" s="6"/>
      <c r="Z275" s="6"/>
      <c r="AA275" s="6"/>
      <c r="AB275" s="6"/>
      <c r="AC275" s="6"/>
      <c r="AD275" s="7"/>
    </row>
    <row r="276" spans="1:30" ht="13">
      <c r="A276" s="20"/>
      <c r="B276" s="20"/>
      <c r="C276" s="23"/>
      <c r="D276" s="17"/>
      <c r="E276" s="6"/>
      <c r="F276" s="6"/>
      <c r="G276" s="6"/>
      <c r="H276" s="6"/>
      <c r="I276" s="17"/>
      <c r="J276" s="6"/>
      <c r="K276" s="6"/>
      <c r="L276" s="17"/>
      <c r="M276" s="6"/>
      <c r="N276" s="6"/>
      <c r="O276" s="6"/>
      <c r="P276" s="6"/>
      <c r="Q276" s="6"/>
      <c r="R276" s="6"/>
      <c r="S276" s="6"/>
      <c r="T276" s="6"/>
      <c r="U276" s="6"/>
      <c r="V276" s="6"/>
      <c r="W276" s="6"/>
      <c r="X276" s="6"/>
      <c r="Y276" s="6"/>
      <c r="Z276" s="6"/>
      <c r="AA276" s="6"/>
      <c r="AB276" s="6"/>
      <c r="AC276" s="6"/>
      <c r="AD276" s="7"/>
    </row>
    <row r="277" spans="1:30" ht="13">
      <c r="A277" s="20"/>
      <c r="B277" s="20"/>
      <c r="C277" s="23"/>
      <c r="D277" s="17"/>
      <c r="E277" s="6"/>
      <c r="F277" s="6"/>
      <c r="G277" s="6"/>
      <c r="H277" s="6"/>
      <c r="I277" s="17"/>
      <c r="J277" s="6"/>
      <c r="K277" s="6"/>
      <c r="L277" s="17"/>
      <c r="M277" s="6"/>
      <c r="N277" s="6"/>
      <c r="O277" s="6"/>
      <c r="P277" s="6"/>
      <c r="Q277" s="6"/>
      <c r="R277" s="6"/>
      <c r="S277" s="6"/>
      <c r="T277" s="6"/>
      <c r="U277" s="6"/>
      <c r="V277" s="6"/>
      <c r="W277" s="6"/>
      <c r="X277" s="6"/>
      <c r="Y277" s="6"/>
      <c r="Z277" s="6"/>
      <c r="AA277" s="6"/>
      <c r="AB277" s="6"/>
      <c r="AC277" s="6"/>
      <c r="AD277" s="7"/>
    </row>
    <row r="278" spans="1:30" ht="13">
      <c r="A278" s="20"/>
      <c r="B278" s="20"/>
      <c r="C278" s="23"/>
      <c r="D278" s="17"/>
      <c r="E278" s="6"/>
      <c r="F278" s="6"/>
      <c r="G278" s="6"/>
      <c r="H278" s="6"/>
      <c r="I278" s="17"/>
      <c r="J278" s="6"/>
      <c r="K278" s="6"/>
      <c r="L278" s="17"/>
      <c r="M278" s="6"/>
      <c r="N278" s="6"/>
      <c r="O278" s="6"/>
      <c r="P278" s="6"/>
      <c r="Q278" s="6"/>
      <c r="R278" s="6"/>
      <c r="S278" s="6"/>
      <c r="T278" s="6"/>
      <c r="U278" s="6"/>
      <c r="V278" s="6"/>
      <c r="W278" s="6"/>
      <c r="X278" s="6"/>
      <c r="Y278" s="6"/>
      <c r="Z278" s="6"/>
      <c r="AA278" s="6"/>
      <c r="AB278" s="6"/>
      <c r="AC278" s="6"/>
      <c r="AD278" s="7"/>
    </row>
    <row r="279" spans="1:30" ht="13">
      <c r="A279" s="20"/>
      <c r="B279" s="20"/>
      <c r="C279" s="23"/>
      <c r="D279" s="17"/>
      <c r="E279" s="6"/>
      <c r="F279" s="6"/>
      <c r="G279" s="6"/>
      <c r="H279" s="6"/>
      <c r="I279" s="17"/>
      <c r="J279" s="6"/>
      <c r="K279" s="6"/>
      <c r="L279" s="17"/>
      <c r="M279" s="6"/>
      <c r="N279" s="6"/>
      <c r="O279" s="6"/>
      <c r="P279" s="6"/>
      <c r="Q279" s="6"/>
      <c r="R279" s="6"/>
      <c r="S279" s="6"/>
      <c r="T279" s="6"/>
      <c r="U279" s="6"/>
      <c r="V279" s="6"/>
      <c r="W279" s="6"/>
      <c r="X279" s="6"/>
      <c r="Y279" s="6"/>
      <c r="Z279" s="6"/>
      <c r="AA279" s="6"/>
      <c r="AB279" s="6"/>
      <c r="AC279" s="6"/>
      <c r="AD279" s="7"/>
    </row>
    <row r="280" spans="1:30" ht="13">
      <c r="A280" s="20"/>
      <c r="B280" s="20"/>
      <c r="C280" s="23"/>
      <c r="D280" s="17"/>
      <c r="E280" s="6"/>
      <c r="F280" s="6"/>
      <c r="G280" s="6"/>
      <c r="H280" s="6"/>
      <c r="I280" s="17"/>
      <c r="J280" s="6"/>
      <c r="K280" s="6"/>
      <c r="L280" s="17"/>
      <c r="M280" s="6"/>
      <c r="N280" s="6"/>
      <c r="O280" s="6"/>
      <c r="P280" s="6"/>
      <c r="Q280" s="6"/>
      <c r="R280" s="6"/>
      <c r="S280" s="6"/>
      <c r="T280" s="6"/>
      <c r="U280" s="6"/>
      <c r="V280" s="6"/>
      <c r="W280" s="6"/>
      <c r="X280" s="6"/>
      <c r="Y280" s="6"/>
      <c r="Z280" s="6"/>
      <c r="AA280" s="6"/>
      <c r="AB280" s="6"/>
      <c r="AC280" s="6"/>
      <c r="AD280" s="7"/>
    </row>
    <row r="281" spans="1:30" ht="13">
      <c r="A281" s="20"/>
      <c r="B281" s="20"/>
      <c r="C281" s="23"/>
      <c r="D281" s="17"/>
      <c r="E281" s="6"/>
      <c r="F281" s="6"/>
      <c r="G281" s="6"/>
      <c r="H281" s="6"/>
      <c r="I281" s="17"/>
      <c r="J281" s="6"/>
      <c r="K281" s="6"/>
      <c r="L281" s="17"/>
      <c r="M281" s="6"/>
      <c r="N281" s="6"/>
      <c r="O281" s="6"/>
      <c r="P281" s="6"/>
      <c r="Q281" s="6"/>
      <c r="R281" s="6"/>
      <c r="S281" s="6"/>
      <c r="T281" s="6"/>
      <c r="U281" s="6"/>
      <c r="V281" s="6"/>
      <c r="W281" s="6"/>
      <c r="X281" s="6"/>
      <c r="Y281" s="6"/>
      <c r="Z281" s="6"/>
      <c r="AA281" s="6"/>
      <c r="AB281" s="6"/>
      <c r="AC281" s="6"/>
      <c r="AD281" s="7"/>
    </row>
    <row r="282" spans="1:30" ht="13">
      <c r="A282" s="20"/>
      <c r="B282" s="20"/>
      <c r="C282" s="23"/>
      <c r="D282" s="17"/>
      <c r="E282" s="6"/>
      <c r="F282" s="6"/>
      <c r="G282" s="6"/>
      <c r="H282" s="6"/>
      <c r="I282" s="17"/>
      <c r="J282" s="6"/>
      <c r="K282" s="6"/>
      <c r="L282" s="17"/>
      <c r="M282" s="6"/>
      <c r="N282" s="6"/>
      <c r="O282" s="6"/>
      <c r="P282" s="6"/>
      <c r="Q282" s="6"/>
      <c r="R282" s="6"/>
      <c r="S282" s="6"/>
      <c r="T282" s="6"/>
      <c r="U282" s="6"/>
      <c r="V282" s="6"/>
      <c r="W282" s="6"/>
      <c r="X282" s="6"/>
      <c r="Y282" s="6"/>
      <c r="Z282" s="6"/>
      <c r="AA282" s="6"/>
      <c r="AB282" s="6"/>
      <c r="AC282" s="6"/>
      <c r="AD282" s="7"/>
    </row>
    <row r="283" spans="1:30" ht="13">
      <c r="A283" s="20"/>
      <c r="B283" s="20"/>
      <c r="C283" s="23"/>
      <c r="D283" s="17"/>
      <c r="E283" s="6"/>
      <c r="F283" s="6"/>
      <c r="G283" s="6"/>
      <c r="H283" s="6"/>
      <c r="I283" s="17"/>
      <c r="J283" s="6"/>
      <c r="K283" s="6"/>
      <c r="L283" s="17"/>
      <c r="M283" s="6"/>
      <c r="N283" s="6"/>
      <c r="O283" s="6"/>
      <c r="P283" s="6"/>
      <c r="Q283" s="6"/>
      <c r="R283" s="6"/>
      <c r="S283" s="6"/>
      <c r="T283" s="6"/>
      <c r="U283" s="6"/>
      <c r="V283" s="6"/>
      <c r="W283" s="6"/>
      <c r="X283" s="6"/>
      <c r="Y283" s="6"/>
      <c r="Z283" s="6"/>
      <c r="AA283" s="6"/>
      <c r="AB283" s="6"/>
      <c r="AC283" s="6"/>
      <c r="AD283" s="7"/>
    </row>
    <row r="284" spans="1:30" ht="13">
      <c r="A284" s="20"/>
      <c r="B284" s="20"/>
      <c r="C284" s="23"/>
      <c r="D284" s="17"/>
      <c r="E284" s="6"/>
      <c r="F284" s="6"/>
      <c r="G284" s="6"/>
      <c r="H284" s="6"/>
      <c r="I284" s="17"/>
      <c r="J284" s="6"/>
      <c r="K284" s="6"/>
      <c r="L284" s="17"/>
      <c r="M284" s="6"/>
      <c r="N284" s="6"/>
      <c r="O284" s="6"/>
      <c r="P284" s="6"/>
      <c r="Q284" s="6"/>
      <c r="R284" s="6"/>
      <c r="S284" s="6"/>
      <c r="T284" s="6"/>
      <c r="U284" s="6"/>
      <c r="V284" s="6"/>
      <c r="W284" s="6"/>
      <c r="X284" s="6"/>
      <c r="Y284" s="6"/>
      <c r="Z284" s="6"/>
      <c r="AA284" s="6"/>
      <c r="AB284" s="6"/>
      <c r="AC284" s="6"/>
      <c r="AD284" s="7"/>
    </row>
    <row r="285" spans="1:30" ht="13">
      <c r="A285" s="20"/>
      <c r="B285" s="20"/>
      <c r="C285" s="23"/>
      <c r="D285" s="17"/>
      <c r="E285" s="6"/>
      <c r="F285" s="6"/>
      <c r="G285" s="6"/>
      <c r="H285" s="6"/>
      <c r="I285" s="17"/>
      <c r="J285" s="6"/>
      <c r="K285" s="6"/>
      <c r="L285" s="17"/>
      <c r="M285" s="6"/>
      <c r="N285" s="6"/>
      <c r="O285" s="6"/>
      <c r="P285" s="6"/>
      <c r="Q285" s="6"/>
      <c r="R285" s="6"/>
      <c r="S285" s="6"/>
      <c r="T285" s="6"/>
      <c r="U285" s="6"/>
      <c r="V285" s="6"/>
      <c r="W285" s="6"/>
      <c r="X285" s="6"/>
      <c r="Y285" s="6"/>
      <c r="Z285" s="6"/>
      <c r="AA285" s="6"/>
      <c r="AB285" s="6"/>
      <c r="AC285" s="6"/>
      <c r="AD285" s="7"/>
    </row>
    <row r="286" spans="1:30" ht="13">
      <c r="A286" s="20"/>
      <c r="B286" s="20"/>
      <c r="C286" s="23"/>
      <c r="D286" s="17"/>
      <c r="E286" s="6"/>
      <c r="F286" s="6"/>
      <c r="G286" s="6"/>
      <c r="H286" s="6"/>
      <c r="I286" s="17"/>
      <c r="J286" s="6"/>
      <c r="K286" s="6"/>
      <c r="L286" s="17"/>
      <c r="M286" s="6"/>
      <c r="N286" s="6"/>
      <c r="O286" s="6"/>
      <c r="P286" s="6"/>
      <c r="Q286" s="6"/>
      <c r="R286" s="6"/>
      <c r="S286" s="6"/>
      <c r="T286" s="6"/>
      <c r="U286" s="6"/>
      <c r="V286" s="6"/>
      <c r="W286" s="6"/>
      <c r="X286" s="6"/>
      <c r="Y286" s="6"/>
      <c r="Z286" s="6"/>
      <c r="AA286" s="6"/>
      <c r="AB286" s="6"/>
      <c r="AC286" s="6"/>
      <c r="AD286" s="7"/>
    </row>
    <row r="287" spans="1:30" ht="13">
      <c r="A287" s="20"/>
      <c r="B287" s="20"/>
      <c r="C287" s="23"/>
      <c r="D287" s="17"/>
      <c r="E287" s="6"/>
      <c r="F287" s="6"/>
      <c r="G287" s="6"/>
      <c r="H287" s="6"/>
      <c r="I287" s="17"/>
      <c r="J287" s="6"/>
      <c r="K287" s="6"/>
      <c r="L287" s="17"/>
      <c r="M287" s="6"/>
      <c r="N287" s="6"/>
      <c r="O287" s="6"/>
      <c r="P287" s="6"/>
      <c r="Q287" s="6"/>
      <c r="R287" s="6"/>
      <c r="S287" s="6"/>
      <c r="T287" s="6"/>
      <c r="U287" s="6"/>
      <c r="V287" s="6"/>
      <c r="W287" s="6"/>
      <c r="X287" s="6"/>
      <c r="Y287" s="6"/>
      <c r="Z287" s="6"/>
      <c r="AA287" s="6"/>
      <c r="AB287" s="6"/>
      <c r="AC287" s="6"/>
      <c r="AD287" s="7"/>
    </row>
    <row r="288" spans="1:30" ht="13">
      <c r="A288" s="20"/>
      <c r="B288" s="20"/>
      <c r="C288" s="23"/>
      <c r="D288" s="17"/>
      <c r="E288" s="6"/>
      <c r="F288" s="6"/>
      <c r="G288" s="6"/>
      <c r="H288" s="6"/>
      <c r="I288" s="17"/>
      <c r="J288" s="6"/>
      <c r="K288" s="6"/>
      <c r="L288" s="17"/>
      <c r="M288" s="6"/>
      <c r="N288" s="6"/>
      <c r="O288" s="6"/>
      <c r="P288" s="6"/>
      <c r="Q288" s="6"/>
      <c r="R288" s="6"/>
      <c r="S288" s="6"/>
      <c r="T288" s="6"/>
      <c r="U288" s="6"/>
      <c r="V288" s="6"/>
      <c r="W288" s="6"/>
      <c r="X288" s="6"/>
      <c r="Y288" s="6"/>
      <c r="Z288" s="6"/>
      <c r="AA288" s="6"/>
      <c r="AB288" s="6"/>
      <c r="AC288" s="6"/>
      <c r="AD288" s="7"/>
    </row>
    <row r="289" spans="1:30" ht="13">
      <c r="A289" s="20"/>
      <c r="B289" s="20"/>
      <c r="C289" s="23"/>
      <c r="D289" s="17"/>
      <c r="E289" s="6"/>
      <c r="F289" s="6"/>
      <c r="G289" s="6"/>
      <c r="H289" s="6"/>
      <c r="I289" s="17"/>
      <c r="J289" s="6"/>
      <c r="K289" s="6"/>
      <c r="L289" s="17"/>
      <c r="M289" s="6"/>
      <c r="N289" s="6"/>
      <c r="O289" s="6"/>
      <c r="P289" s="6"/>
      <c r="Q289" s="6"/>
      <c r="R289" s="6"/>
      <c r="S289" s="6"/>
      <c r="T289" s="6"/>
      <c r="U289" s="6"/>
      <c r="V289" s="6"/>
      <c r="W289" s="6"/>
      <c r="X289" s="6"/>
      <c r="Y289" s="6"/>
      <c r="Z289" s="6"/>
      <c r="AA289" s="6"/>
      <c r="AB289" s="6"/>
      <c r="AC289" s="6"/>
      <c r="AD289" s="7"/>
    </row>
    <row r="290" spans="1:30" ht="13">
      <c r="A290" s="20"/>
      <c r="B290" s="20"/>
      <c r="C290" s="23"/>
      <c r="D290" s="17"/>
      <c r="E290" s="6"/>
      <c r="F290" s="6"/>
      <c r="G290" s="6"/>
      <c r="H290" s="6"/>
      <c r="I290" s="17"/>
      <c r="J290" s="6"/>
      <c r="K290" s="6"/>
      <c r="L290" s="17"/>
      <c r="M290" s="6"/>
      <c r="N290" s="6"/>
      <c r="O290" s="6"/>
      <c r="P290" s="6"/>
      <c r="Q290" s="6"/>
      <c r="R290" s="6"/>
      <c r="S290" s="6"/>
      <c r="T290" s="6"/>
      <c r="U290" s="6"/>
      <c r="V290" s="6"/>
      <c r="W290" s="6"/>
      <c r="X290" s="6"/>
      <c r="Y290" s="6"/>
      <c r="Z290" s="6"/>
      <c r="AA290" s="6"/>
      <c r="AB290" s="6"/>
      <c r="AC290" s="6"/>
      <c r="AD290" s="7"/>
    </row>
    <row r="291" spans="1:30" ht="13">
      <c r="A291" s="20"/>
      <c r="B291" s="20"/>
      <c r="C291" s="23"/>
      <c r="D291" s="17"/>
      <c r="E291" s="6"/>
      <c r="F291" s="6"/>
      <c r="G291" s="6"/>
      <c r="H291" s="6"/>
      <c r="I291" s="17"/>
      <c r="J291" s="6"/>
      <c r="K291" s="6"/>
      <c r="L291" s="17"/>
      <c r="M291" s="6"/>
      <c r="N291" s="6"/>
      <c r="O291" s="6"/>
      <c r="P291" s="6"/>
      <c r="Q291" s="6"/>
      <c r="R291" s="6"/>
      <c r="S291" s="6"/>
      <c r="T291" s="6"/>
      <c r="U291" s="6"/>
      <c r="V291" s="6"/>
      <c r="W291" s="6"/>
      <c r="X291" s="6"/>
      <c r="Y291" s="6"/>
      <c r="Z291" s="6"/>
      <c r="AA291" s="6"/>
      <c r="AB291" s="6"/>
      <c r="AC291" s="6"/>
      <c r="AD291" s="7"/>
    </row>
    <row r="292" spans="1:30" ht="13">
      <c r="A292" s="20"/>
      <c r="B292" s="20"/>
      <c r="C292" s="23"/>
      <c r="D292" s="17"/>
      <c r="E292" s="6"/>
      <c r="F292" s="6"/>
      <c r="G292" s="6"/>
      <c r="H292" s="6"/>
      <c r="I292" s="17"/>
      <c r="J292" s="6"/>
      <c r="K292" s="6"/>
      <c r="L292" s="17"/>
      <c r="M292" s="6"/>
      <c r="N292" s="6"/>
      <c r="O292" s="6"/>
      <c r="P292" s="6"/>
      <c r="Q292" s="6"/>
      <c r="R292" s="6"/>
      <c r="S292" s="6"/>
      <c r="T292" s="6"/>
      <c r="U292" s="6"/>
      <c r="V292" s="6"/>
      <c r="W292" s="6"/>
      <c r="X292" s="6"/>
      <c r="Y292" s="6"/>
      <c r="Z292" s="6"/>
      <c r="AA292" s="6"/>
      <c r="AB292" s="6"/>
      <c r="AC292" s="6"/>
      <c r="AD292" s="7"/>
    </row>
    <row r="293" spans="1:30" ht="13">
      <c r="A293" s="20"/>
      <c r="B293" s="20"/>
      <c r="C293" s="23"/>
      <c r="D293" s="17"/>
      <c r="E293" s="6"/>
      <c r="F293" s="6"/>
      <c r="G293" s="6"/>
      <c r="H293" s="6"/>
      <c r="I293" s="17"/>
      <c r="J293" s="6"/>
      <c r="K293" s="6"/>
      <c r="L293" s="17"/>
      <c r="M293" s="6"/>
      <c r="N293" s="6"/>
      <c r="O293" s="6"/>
      <c r="P293" s="6"/>
      <c r="Q293" s="6"/>
      <c r="R293" s="6"/>
      <c r="S293" s="6"/>
      <c r="T293" s="6"/>
      <c r="U293" s="6"/>
      <c r="V293" s="6"/>
      <c r="W293" s="6"/>
      <c r="X293" s="6"/>
      <c r="Y293" s="6"/>
      <c r="Z293" s="6"/>
      <c r="AA293" s="6"/>
      <c r="AB293" s="6"/>
      <c r="AC293" s="6"/>
      <c r="AD293" s="7"/>
    </row>
    <row r="294" spans="1:30" ht="13">
      <c r="A294" s="20"/>
      <c r="B294" s="20"/>
      <c r="C294" s="23"/>
      <c r="D294" s="17"/>
      <c r="E294" s="6"/>
      <c r="F294" s="6"/>
      <c r="G294" s="6"/>
      <c r="H294" s="6"/>
      <c r="I294" s="17"/>
      <c r="J294" s="6"/>
      <c r="K294" s="6"/>
      <c r="L294" s="17"/>
      <c r="M294" s="6"/>
      <c r="N294" s="6"/>
      <c r="O294" s="6"/>
      <c r="P294" s="6"/>
      <c r="Q294" s="6"/>
      <c r="R294" s="6"/>
      <c r="S294" s="6"/>
      <c r="T294" s="6"/>
      <c r="U294" s="6"/>
      <c r="V294" s="6"/>
      <c r="W294" s="6"/>
      <c r="X294" s="6"/>
      <c r="Y294" s="6"/>
      <c r="Z294" s="6"/>
      <c r="AA294" s="6"/>
      <c r="AB294" s="6"/>
      <c r="AC294" s="6"/>
      <c r="AD294" s="7"/>
    </row>
    <row r="295" spans="1:30" ht="13">
      <c r="A295" s="20"/>
      <c r="B295" s="20"/>
      <c r="C295" s="23"/>
      <c r="D295" s="17"/>
      <c r="E295" s="6"/>
      <c r="F295" s="6"/>
      <c r="G295" s="6"/>
      <c r="H295" s="6"/>
      <c r="I295" s="17"/>
      <c r="J295" s="6"/>
      <c r="K295" s="6"/>
      <c r="L295" s="17"/>
      <c r="M295" s="6"/>
      <c r="N295" s="6"/>
      <c r="O295" s="6"/>
      <c r="P295" s="6"/>
      <c r="Q295" s="6"/>
      <c r="R295" s="6"/>
      <c r="S295" s="6"/>
      <c r="T295" s="6"/>
      <c r="U295" s="6"/>
      <c r="V295" s="6"/>
      <c r="W295" s="6"/>
      <c r="X295" s="6"/>
      <c r="Y295" s="6"/>
      <c r="Z295" s="6"/>
      <c r="AA295" s="6"/>
      <c r="AB295" s="6"/>
      <c r="AC295" s="6"/>
      <c r="AD295" s="7"/>
    </row>
    <row r="296" spans="1:30" ht="13">
      <c r="A296" s="20"/>
      <c r="B296" s="20"/>
      <c r="C296" s="23"/>
      <c r="D296" s="17"/>
      <c r="E296" s="6"/>
      <c r="F296" s="6"/>
      <c r="G296" s="6"/>
      <c r="H296" s="6"/>
      <c r="I296" s="17"/>
      <c r="J296" s="6"/>
      <c r="K296" s="6"/>
      <c r="L296" s="17"/>
      <c r="M296" s="6"/>
      <c r="N296" s="6"/>
      <c r="O296" s="6"/>
      <c r="P296" s="6"/>
      <c r="Q296" s="6"/>
      <c r="R296" s="6"/>
      <c r="S296" s="6"/>
      <c r="T296" s="6"/>
      <c r="U296" s="6"/>
      <c r="V296" s="6"/>
      <c r="W296" s="6"/>
      <c r="X296" s="6"/>
      <c r="Y296" s="6"/>
      <c r="Z296" s="6"/>
      <c r="AA296" s="6"/>
      <c r="AB296" s="6"/>
      <c r="AC296" s="6"/>
      <c r="AD296" s="7"/>
    </row>
    <row r="297" spans="1:30" ht="13">
      <c r="A297" s="20"/>
      <c r="B297" s="20"/>
      <c r="C297" s="23"/>
      <c r="D297" s="17"/>
      <c r="E297" s="6"/>
      <c r="F297" s="6"/>
      <c r="G297" s="6"/>
      <c r="H297" s="6"/>
      <c r="I297" s="17"/>
      <c r="J297" s="6"/>
      <c r="K297" s="6"/>
      <c r="L297" s="17"/>
      <c r="M297" s="6"/>
      <c r="N297" s="6"/>
      <c r="O297" s="6"/>
      <c r="P297" s="6"/>
      <c r="Q297" s="6"/>
      <c r="R297" s="6"/>
      <c r="S297" s="6"/>
      <c r="T297" s="6"/>
      <c r="U297" s="6"/>
      <c r="V297" s="6"/>
      <c r="W297" s="6"/>
      <c r="X297" s="6"/>
      <c r="Y297" s="6"/>
      <c r="Z297" s="6"/>
      <c r="AA297" s="6"/>
      <c r="AB297" s="6"/>
      <c r="AC297" s="6"/>
      <c r="AD297" s="7"/>
    </row>
    <row r="298" spans="1:30" ht="13">
      <c r="A298" s="20"/>
      <c r="B298" s="20"/>
      <c r="C298" s="23"/>
      <c r="D298" s="17"/>
      <c r="E298" s="6"/>
      <c r="F298" s="6"/>
      <c r="G298" s="6"/>
      <c r="H298" s="6"/>
      <c r="I298" s="17"/>
      <c r="J298" s="6"/>
      <c r="K298" s="6"/>
      <c r="L298" s="17"/>
      <c r="M298" s="6"/>
      <c r="N298" s="6"/>
      <c r="O298" s="6"/>
      <c r="P298" s="6"/>
      <c r="Q298" s="6"/>
      <c r="R298" s="6"/>
      <c r="S298" s="6"/>
      <c r="T298" s="6"/>
      <c r="U298" s="6"/>
      <c r="V298" s="6"/>
      <c r="W298" s="6"/>
      <c r="X298" s="6"/>
      <c r="Y298" s="6"/>
      <c r="Z298" s="6"/>
      <c r="AA298" s="6"/>
      <c r="AB298" s="6"/>
      <c r="AC298" s="6"/>
      <c r="AD298" s="7"/>
    </row>
    <row r="299" spans="1:30" ht="13">
      <c r="A299" s="20"/>
      <c r="B299" s="20"/>
      <c r="C299" s="23"/>
      <c r="D299" s="17"/>
      <c r="E299" s="6"/>
      <c r="F299" s="6"/>
      <c r="G299" s="6"/>
      <c r="H299" s="6"/>
      <c r="I299" s="17"/>
      <c r="J299" s="6"/>
      <c r="K299" s="6"/>
      <c r="L299" s="17"/>
      <c r="M299" s="6"/>
      <c r="N299" s="6"/>
      <c r="O299" s="6"/>
      <c r="P299" s="6"/>
      <c r="Q299" s="6"/>
      <c r="R299" s="6"/>
      <c r="S299" s="6"/>
      <c r="T299" s="6"/>
      <c r="U299" s="6"/>
      <c r="V299" s="6"/>
      <c r="W299" s="6"/>
      <c r="X299" s="6"/>
      <c r="Y299" s="6"/>
      <c r="Z299" s="6"/>
      <c r="AA299" s="6"/>
      <c r="AB299" s="6"/>
      <c r="AC299" s="6"/>
      <c r="AD299" s="7"/>
    </row>
    <row r="300" spans="1:30" ht="13">
      <c r="A300" s="20"/>
      <c r="B300" s="20"/>
      <c r="C300" s="23"/>
      <c r="D300" s="17"/>
      <c r="E300" s="6"/>
      <c r="F300" s="6"/>
      <c r="G300" s="6"/>
      <c r="H300" s="6"/>
      <c r="I300" s="17"/>
      <c r="J300" s="6"/>
      <c r="K300" s="6"/>
      <c r="L300" s="17"/>
      <c r="M300" s="6"/>
      <c r="N300" s="6"/>
      <c r="O300" s="6"/>
      <c r="P300" s="6"/>
      <c r="Q300" s="6"/>
      <c r="R300" s="6"/>
      <c r="S300" s="6"/>
      <c r="T300" s="6"/>
      <c r="U300" s="6"/>
      <c r="V300" s="6"/>
      <c r="W300" s="6"/>
      <c r="X300" s="6"/>
      <c r="Y300" s="6"/>
      <c r="Z300" s="6"/>
      <c r="AA300" s="6"/>
      <c r="AB300" s="6"/>
      <c r="AC300" s="6"/>
      <c r="AD300" s="7"/>
    </row>
    <row r="301" spans="1:30" ht="13">
      <c r="A301" s="20"/>
      <c r="B301" s="20"/>
      <c r="C301" s="23"/>
      <c r="D301" s="17"/>
      <c r="E301" s="6"/>
      <c r="F301" s="6"/>
      <c r="G301" s="6"/>
      <c r="H301" s="6"/>
      <c r="I301" s="17"/>
      <c r="J301" s="6"/>
      <c r="K301" s="6"/>
      <c r="L301" s="17"/>
      <c r="M301" s="6"/>
      <c r="N301" s="6"/>
      <c r="O301" s="6"/>
      <c r="P301" s="6"/>
      <c r="Q301" s="6"/>
      <c r="R301" s="6"/>
      <c r="S301" s="6"/>
      <c r="T301" s="6"/>
      <c r="U301" s="6"/>
      <c r="V301" s="6"/>
      <c r="W301" s="6"/>
      <c r="X301" s="6"/>
      <c r="Y301" s="6"/>
      <c r="Z301" s="6"/>
      <c r="AA301" s="6"/>
      <c r="AB301" s="6"/>
      <c r="AC301" s="6"/>
      <c r="AD301" s="7"/>
    </row>
    <row r="302" spans="1:30" ht="13">
      <c r="A302" s="20"/>
      <c r="B302" s="20"/>
      <c r="C302" s="23"/>
      <c r="D302" s="17"/>
      <c r="E302" s="6"/>
      <c r="F302" s="6"/>
      <c r="G302" s="6"/>
      <c r="H302" s="6"/>
      <c r="I302" s="17"/>
      <c r="J302" s="6"/>
      <c r="K302" s="6"/>
      <c r="L302" s="17"/>
      <c r="M302" s="6"/>
      <c r="N302" s="6"/>
      <c r="O302" s="6"/>
      <c r="P302" s="6"/>
      <c r="Q302" s="6"/>
      <c r="R302" s="6"/>
      <c r="S302" s="6"/>
      <c r="T302" s="6"/>
      <c r="U302" s="6"/>
      <c r="V302" s="6"/>
      <c r="W302" s="6"/>
      <c r="X302" s="6"/>
      <c r="Y302" s="6"/>
      <c r="Z302" s="6"/>
      <c r="AA302" s="6"/>
      <c r="AB302" s="6"/>
      <c r="AC302" s="6"/>
      <c r="AD302" s="7"/>
    </row>
    <row r="303" spans="1:30" ht="13">
      <c r="A303" s="20"/>
      <c r="B303" s="20"/>
      <c r="C303" s="23"/>
      <c r="D303" s="17"/>
      <c r="E303" s="6"/>
      <c r="F303" s="6"/>
      <c r="G303" s="6"/>
      <c r="H303" s="6"/>
      <c r="I303" s="17"/>
      <c r="J303" s="6"/>
      <c r="K303" s="6"/>
      <c r="L303" s="17"/>
      <c r="M303" s="6"/>
      <c r="N303" s="6"/>
      <c r="O303" s="6"/>
      <c r="P303" s="6"/>
      <c r="Q303" s="6"/>
      <c r="R303" s="6"/>
      <c r="S303" s="6"/>
      <c r="T303" s="6"/>
      <c r="U303" s="6"/>
      <c r="V303" s="6"/>
      <c r="W303" s="6"/>
      <c r="X303" s="6"/>
      <c r="Y303" s="6"/>
      <c r="Z303" s="6"/>
      <c r="AA303" s="6"/>
      <c r="AB303" s="6"/>
      <c r="AC303" s="6"/>
      <c r="AD303" s="7"/>
    </row>
    <row r="304" spans="1:30" ht="13">
      <c r="A304" s="20"/>
      <c r="B304" s="20"/>
      <c r="C304" s="23"/>
      <c r="D304" s="17"/>
      <c r="E304" s="6"/>
      <c r="F304" s="6"/>
      <c r="G304" s="6"/>
      <c r="H304" s="6"/>
      <c r="I304" s="17"/>
      <c r="J304" s="6"/>
      <c r="K304" s="6"/>
      <c r="L304" s="17"/>
      <c r="M304" s="6"/>
      <c r="N304" s="6"/>
      <c r="O304" s="6"/>
      <c r="P304" s="6"/>
      <c r="Q304" s="6"/>
      <c r="R304" s="6"/>
      <c r="S304" s="6"/>
      <c r="T304" s="6"/>
      <c r="U304" s="6"/>
      <c r="V304" s="6"/>
      <c r="W304" s="6"/>
      <c r="X304" s="6"/>
      <c r="Y304" s="6"/>
      <c r="Z304" s="6"/>
      <c r="AA304" s="6"/>
      <c r="AB304" s="6"/>
      <c r="AC304" s="6"/>
      <c r="AD304" s="7"/>
    </row>
    <row r="305" spans="1:30" ht="13">
      <c r="A305" s="20"/>
      <c r="B305" s="20"/>
      <c r="C305" s="23"/>
      <c r="D305" s="17"/>
      <c r="E305" s="6"/>
      <c r="F305" s="6"/>
      <c r="G305" s="6"/>
      <c r="H305" s="6"/>
      <c r="I305" s="17"/>
      <c r="J305" s="6"/>
      <c r="K305" s="6"/>
      <c r="L305" s="17"/>
      <c r="M305" s="6"/>
      <c r="N305" s="6"/>
      <c r="O305" s="6"/>
      <c r="P305" s="6"/>
      <c r="Q305" s="6"/>
      <c r="R305" s="6"/>
      <c r="S305" s="6"/>
      <c r="T305" s="6"/>
      <c r="U305" s="6"/>
      <c r="V305" s="6"/>
      <c r="W305" s="6"/>
      <c r="X305" s="6"/>
      <c r="Y305" s="6"/>
      <c r="Z305" s="6"/>
      <c r="AA305" s="6"/>
      <c r="AB305" s="6"/>
      <c r="AC305" s="6"/>
      <c r="AD305" s="7"/>
    </row>
    <row r="306" spans="1:30" ht="13">
      <c r="A306" s="20"/>
      <c r="B306" s="20"/>
      <c r="C306" s="23"/>
      <c r="D306" s="17"/>
      <c r="E306" s="6"/>
      <c r="F306" s="6"/>
      <c r="G306" s="6"/>
      <c r="H306" s="6"/>
      <c r="I306" s="17"/>
      <c r="J306" s="6"/>
      <c r="K306" s="6"/>
      <c r="L306" s="17"/>
      <c r="M306" s="6"/>
      <c r="N306" s="6"/>
      <c r="O306" s="6"/>
      <c r="P306" s="6"/>
      <c r="Q306" s="6"/>
      <c r="R306" s="6"/>
      <c r="S306" s="6"/>
      <c r="T306" s="6"/>
      <c r="U306" s="6"/>
      <c r="V306" s="6"/>
      <c r="W306" s="6"/>
      <c r="X306" s="6"/>
      <c r="Y306" s="6"/>
      <c r="Z306" s="6"/>
      <c r="AA306" s="6"/>
      <c r="AB306" s="6"/>
      <c r="AC306" s="6"/>
      <c r="AD306" s="7"/>
    </row>
    <row r="307" spans="1:30" ht="13">
      <c r="A307" s="20"/>
      <c r="B307" s="20"/>
      <c r="C307" s="23"/>
      <c r="D307" s="17"/>
      <c r="E307" s="6"/>
      <c r="F307" s="6"/>
      <c r="G307" s="6"/>
      <c r="H307" s="6"/>
      <c r="I307" s="17"/>
      <c r="J307" s="6"/>
      <c r="K307" s="6"/>
      <c r="L307" s="17"/>
      <c r="M307" s="6"/>
      <c r="N307" s="6"/>
      <c r="O307" s="6"/>
      <c r="P307" s="6"/>
      <c r="Q307" s="6"/>
      <c r="R307" s="6"/>
      <c r="S307" s="6"/>
      <c r="T307" s="6"/>
      <c r="U307" s="6"/>
      <c r="V307" s="6"/>
      <c r="W307" s="6"/>
      <c r="X307" s="6"/>
      <c r="Y307" s="6"/>
      <c r="Z307" s="6"/>
      <c r="AA307" s="6"/>
      <c r="AB307" s="6"/>
      <c r="AC307" s="6"/>
      <c r="AD307" s="7"/>
    </row>
    <row r="308" spans="1:30" ht="13">
      <c r="A308" s="20"/>
      <c r="B308" s="20"/>
      <c r="C308" s="23"/>
      <c r="D308" s="17"/>
      <c r="E308" s="6"/>
      <c r="F308" s="6"/>
      <c r="G308" s="6"/>
      <c r="H308" s="6"/>
      <c r="I308" s="17"/>
      <c r="J308" s="6"/>
      <c r="K308" s="6"/>
      <c r="L308" s="17"/>
      <c r="M308" s="6"/>
      <c r="N308" s="6"/>
      <c r="O308" s="6"/>
      <c r="P308" s="6"/>
      <c r="Q308" s="6"/>
      <c r="R308" s="6"/>
      <c r="S308" s="6"/>
      <c r="T308" s="6"/>
      <c r="U308" s="6"/>
      <c r="V308" s="6"/>
      <c r="W308" s="6"/>
      <c r="X308" s="6"/>
      <c r="Y308" s="6"/>
      <c r="Z308" s="6"/>
      <c r="AA308" s="6"/>
      <c r="AB308" s="6"/>
      <c r="AC308" s="6"/>
      <c r="AD308" s="7"/>
    </row>
    <row r="309" spans="1:30" ht="13">
      <c r="A309" s="20"/>
      <c r="B309" s="20"/>
      <c r="C309" s="23"/>
      <c r="D309" s="17"/>
      <c r="E309" s="6"/>
      <c r="F309" s="6"/>
      <c r="G309" s="6"/>
      <c r="H309" s="6"/>
      <c r="I309" s="17"/>
      <c r="J309" s="6"/>
      <c r="K309" s="6"/>
      <c r="L309" s="17"/>
      <c r="M309" s="6"/>
      <c r="N309" s="6"/>
      <c r="O309" s="6"/>
      <c r="P309" s="6"/>
      <c r="Q309" s="6"/>
      <c r="R309" s="6"/>
      <c r="S309" s="6"/>
      <c r="T309" s="6"/>
      <c r="U309" s="6"/>
      <c r="V309" s="6"/>
      <c r="W309" s="6"/>
      <c r="X309" s="6"/>
      <c r="Y309" s="6"/>
      <c r="Z309" s="6"/>
      <c r="AA309" s="6"/>
      <c r="AB309" s="6"/>
      <c r="AC309" s="6"/>
      <c r="AD309" s="7"/>
    </row>
    <row r="310" spans="1:30" ht="13">
      <c r="A310" s="20"/>
      <c r="B310" s="20"/>
      <c r="C310" s="23"/>
      <c r="D310" s="17"/>
      <c r="E310" s="6"/>
      <c r="F310" s="6"/>
      <c r="G310" s="6"/>
      <c r="H310" s="6"/>
      <c r="I310" s="17"/>
      <c r="J310" s="6"/>
      <c r="K310" s="6"/>
      <c r="L310" s="17"/>
      <c r="M310" s="6"/>
      <c r="N310" s="6"/>
      <c r="O310" s="6"/>
      <c r="P310" s="6"/>
      <c r="Q310" s="6"/>
      <c r="R310" s="6"/>
      <c r="S310" s="6"/>
      <c r="T310" s="6"/>
      <c r="U310" s="6"/>
      <c r="V310" s="6"/>
      <c r="W310" s="6"/>
      <c r="X310" s="6"/>
      <c r="Y310" s="6"/>
      <c r="Z310" s="6"/>
      <c r="AA310" s="6"/>
      <c r="AB310" s="6"/>
      <c r="AC310" s="6"/>
      <c r="AD310" s="7"/>
    </row>
    <row r="311" spans="1:30" ht="13">
      <c r="A311" s="20"/>
      <c r="B311" s="20"/>
      <c r="C311" s="23"/>
      <c r="D311" s="17"/>
      <c r="E311" s="6"/>
      <c r="F311" s="6"/>
      <c r="G311" s="6"/>
      <c r="H311" s="6"/>
      <c r="I311" s="17"/>
      <c r="J311" s="6"/>
      <c r="K311" s="6"/>
      <c r="L311" s="17"/>
      <c r="M311" s="6"/>
      <c r="N311" s="6"/>
      <c r="O311" s="6"/>
      <c r="P311" s="6"/>
      <c r="Q311" s="6"/>
      <c r="R311" s="6"/>
      <c r="S311" s="6"/>
      <c r="T311" s="6"/>
      <c r="U311" s="6"/>
      <c r="V311" s="6"/>
      <c r="W311" s="6"/>
      <c r="X311" s="6"/>
      <c r="Y311" s="6"/>
      <c r="Z311" s="6"/>
      <c r="AA311" s="6"/>
      <c r="AB311" s="6"/>
      <c r="AC311" s="6"/>
      <c r="AD311" s="7"/>
    </row>
    <row r="312" spans="1:30" ht="13">
      <c r="A312" s="20"/>
      <c r="B312" s="20"/>
      <c r="C312" s="23"/>
      <c r="D312" s="17"/>
      <c r="E312" s="6"/>
      <c r="F312" s="6"/>
      <c r="G312" s="6"/>
      <c r="H312" s="6"/>
      <c r="I312" s="17"/>
      <c r="J312" s="6"/>
      <c r="K312" s="6"/>
      <c r="L312" s="17"/>
      <c r="M312" s="6"/>
      <c r="N312" s="6"/>
      <c r="O312" s="6"/>
      <c r="P312" s="6"/>
      <c r="Q312" s="6"/>
      <c r="R312" s="6"/>
      <c r="S312" s="6"/>
      <c r="T312" s="6"/>
      <c r="U312" s="6"/>
      <c r="V312" s="6"/>
      <c r="W312" s="6"/>
      <c r="X312" s="6"/>
      <c r="Y312" s="6"/>
      <c r="Z312" s="6"/>
      <c r="AA312" s="6"/>
      <c r="AB312" s="6"/>
      <c r="AC312" s="6"/>
      <c r="AD312" s="7"/>
    </row>
    <row r="313" spans="1:30" ht="13">
      <c r="A313" s="20"/>
      <c r="B313" s="20"/>
      <c r="C313" s="23"/>
      <c r="D313" s="17"/>
      <c r="E313" s="6"/>
      <c r="F313" s="6"/>
      <c r="G313" s="6"/>
      <c r="H313" s="6"/>
      <c r="I313" s="17"/>
      <c r="J313" s="6"/>
      <c r="K313" s="6"/>
      <c r="L313" s="17"/>
      <c r="M313" s="6"/>
      <c r="N313" s="6"/>
      <c r="O313" s="6"/>
      <c r="P313" s="6"/>
      <c r="Q313" s="6"/>
      <c r="R313" s="6"/>
      <c r="S313" s="6"/>
      <c r="T313" s="6"/>
      <c r="U313" s="6"/>
      <c r="V313" s="6"/>
      <c r="W313" s="6"/>
      <c r="X313" s="6"/>
      <c r="Y313" s="6"/>
      <c r="Z313" s="6"/>
      <c r="AA313" s="6"/>
      <c r="AB313" s="6"/>
      <c r="AC313" s="6"/>
      <c r="AD313" s="7"/>
    </row>
    <row r="314" spans="1:30" ht="13">
      <c r="A314" s="20"/>
      <c r="B314" s="20"/>
      <c r="C314" s="23"/>
      <c r="D314" s="17"/>
      <c r="E314" s="6"/>
      <c r="F314" s="6"/>
      <c r="G314" s="6"/>
      <c r="H314" s="6"/>
      <c r="I314" s="17"/>
      <c r="J314" s="6"/>
      <c r="K314" s="6"/>
      <c r="L314" s="17"/>
      <c r="M314" s="6"/>
      <c r="N314" s="6"/>
      <c r="O314" s="6"/>
      <c r="P314" s="6"/>
      <c r="Q314" s="6"/>
      <c r="R314" s="6"/>
      <c r="S314" s="6"/>
      <c r="T314" s="6"/>
      <c r="U314" s="6"/>
      <c r="V314" s="6"/>
      <c r="W314" s="6"/>
      <c r="X314" s="6"/>
      <c r="Y314" s="6"/>
      <c r="Z314" s="6"/>
      <c r="AA314" s="6"/>
      <c r="AB314" s="6"/>
      <c r="AC314" s="6"/>
      <c r="AD314" s="7"/>
    </row>
    <row r="315" spans="1:30" ht="13">
      <c r="A315" s="20"/>
      <c r="B315" s="20"/>
      <c r="C315" s="23"/>
      <c r="D315" s="17"/>
      <c r="E315" s="6"/>
      <c r="F315" s="6"/>
      <c r="G315" s="6"/>
      <c r="H315" s="6"/>
      <c r="I315" s="17"/>
      <c r="J315" s="6"/>
      <c r="K315" s="6"/>
      <c r="L315" s="17"/>
      <c r="M315" s="6"/>
      <c r="N315" s="6"/>
      <c r="O315" s="6"/>
      <c r="P315" s="6"/>
      <c r="Q315" s="6"/>
      <c r="R315" s="6"/>
      <c r="S315" s="6"/>
      <c r="T315" s="6"/>
      <c r="U315" s="6"/>
      <c r="V315" s="6"/>
      <c r="W315" s="6"/>
      <c r="X315" s="6"/>
      <c r="Y315" s="6"/>
      <c r="Z315" s="6"/>
      <c r="AA315" s="6"/>
      <c r="AB315" s="6"/>
      <c r="AC315" s="6"/>
      <c r="AD315" s="7"/>
    </row>
    <row r="316" spans="1:30" ht="13">
      <c r="A316" s="20"/>
      <c r="B316" s="20"/>
      <c r="C316" s="23"/>
      <c r="D316" s="17"/>
      <c r="E316" s="6"/>
      <c r="F316" s="6"/>
      <c r="G316" s="6"/>
      <c r="H316" s="6"/>
      <c r="I316" s="17"/>
      <c r="J316" s="6"/>
      <c r="K316" s="6"/>
      <c r="L316" s="17"/>
      <c r="M316" s="6"/>
      <c r="N316" s="6"/>
      <c r="O316" s="6"/>
      <c r="P316" s="6"/>
      <c r="Q316" s="6"/>
      <c r="R316" s="6"/>
      <c r="S316" s="6"/>
      <c r="T316" s="6"/>
      <c r="U316" s="6"/>
      <c r="V316" s="6"/>
      <c r="W316" s="6"/>
      <c r="X316" s="6"/>
      <c r="Y316" s="6"/>
      <c r="Z316" s="6"/>
      <c r="AA316" s="6"/>
      <c r="AB316" s="6"/>
      <c r="AC316" s="6"/>
      <c r="AD316" s="7"/>
    </row>
    <row r="317" spans="1:30" ht="13">
      <c r="A317" s="20"/>
      <c r="B317" s="20"/>
      <c r="C317" s="23"/>
      <c r="D317" s="17"/>
      <c r="E317" s="6"/>
      <c r="F317" s="6"/>
      <c r="G317" s="6"/>
      <c r="H317" s="6"/>
      <c r="I317" s="17"/>
      <c r="J317" s="6"/>
      <c r="K317" s="6"/>
      <c r="L317" s="17"/>
      <c r="M317" s="6"/>
      <c r="N317" s="6"/>
      <c r="O317" s="6"/>
      <c r="P317" s="6"/>
      <c r="Q317" s="6"/>
      <c r="R317" s="6"/>
      <c r="S317" s="6"/>
      <c r="T317" s="6"/>
      <c r="U317" s="6"/>
      <c r="V317" s="6"/>
      <c r="W317" s="6"/>
      <c r="X317" s="6"/>
      <c r="Y317" s="6"/>
      <c r="Z317" s="6"/>
      <c r="AA317" s="6"/>
      <c r="AB317" s="6"/>
      <c r="AC317" s="6"/>
      <c r="AD317" s="7"/>
    </row>
    <row r="318" spans="1:30" ht="13">
      <c r="A318" s="20"/>
      <c r="B318" s="20"/>
      <c r="C318" s="23"/>
      <c r="D318" s="17"/>
      <c r="E318" s="6"/>
      <c r="F318" s="6"/>
      <c r="G318" s="6"/>
      <c r="H318" s="6"/>
      <c r="I318" s="17"/>
      <c r="J318" s="6"/>
      <c r="K318" s="6"/>
      <c r="L318" s="17"/>
      <c r="M318" s="6"/>
      <c r="N318" s="6"/>
      <c r="O318" s="6"/>
      <c r="P318" s="6"/>
      <c r="Q318" s="6"/>
      <c r="R318" s="6"/>
      <c r="S318" s="6"/>
      <c r="T318" s="6"/>
      <c r="U318" s="6"/>
      <c r="V318" s="6"/>
      <c r="W318" s="6"/>
      <c r="X318" s="6"/>
      <c r="Y318" s="6"/>
      <c r="Z318" s="6"/>
      <c r="AA318" s="6"/>
      <c r="AB318" s="6"/>
      <c r="AC318" s="6"/>
      <c r="AD318" s="7"/>
    </row>
    <row r="319" spans="1:30" ht="13">
      <c r="A319" s="20"/>
      <c r="B319" s="20"/>
      <c r="C319" s="23"/>
      <c r="D319" s="17"/>
      <c r="E319" s="6"/>
      <c r="F319" s="6"/>
      <c r="G319" s="6"/>
      <c r="H319" s="6"/>
      <c r="I319" s="17"/>
      <c r="J319" s="6"/>
      <c r="K319" s="6"/>
      <c r="L319" s="17"/>
      <c r="M319" s="6"/>
      <c r="N319" s="6"/>
      <c r="O319" s="6"/>
      <c r="P319" s="6"/>
      <c r="Q319" s="6"/>
      <c r="R319" s="6"/>
      <c r="S319" s="6"/>
      <c r="T319" s="6"/>
      <c r="U319" s="6"/>
      <c r="V319" s="6"/>
      <c r="W319" s="6"/>
      <c r="X319" s="6"/>
      <c r="Y319" s="6"/>
      <c r="Z319" s="6"/>
      <c r="AA319" s="6"/>
      <c r="AB319" s="6"/>
      <c r="AC319" s="6"/>
      <c r="AD319" s="7"/>
    </row>
    <row r="320" spans="1:30" ht="13">
      <c r="A320" s="20"/>
      <c r="B320" s="20"/>
      <c r="C320" s="23"/>
      <c r="D320" s="17"/>
      <c r="E320" s="6"/>
      <c r="F320" s="6"/>
      <c r="G320" s="6"/>
      <c r="H320" s="6"/>
      <c r="I320" s="17"/>
      <c r="J320" s="6"/>
      <c r="K320" s="6"/>
      <c r="L320" s="17"/>
      <c r="M320" s="6"/>
      <c r="N320" s="6"/>
      <c r="O320" s="6"/>
      <c r="P320" s="6"/>
      <c r="Q320" s="6"/>
      <c r="R320" s="6"/>
      <c r="S320" s="6"/>
      <c r="T320" s="6"/>
      <c r="U320" s="6"/>
      <c r="V320" s="6"/>
      <c r="W320" s="6"/>
      <c r="X320" s="6"/>
      <c r="Y320" s="6"/>
      <c r="Z320" s="6"/>
      <c r="AA320" s="6"/>
      <c r="AB320" s="6"/>
      <c r="AC320" s="6"/>
      <c r="AD320" s="7"/>
    </row>
    <row r="321" spans="1:30" ht="13">
      <c r="A321" s="20"/>
      <c r="B321" s="20"/>
      <c r="C321" s="23"/>
      <c r="D321" s="17"/>
      <c r="E321" s="6"/>
      <c r="F321" s="6"/>
      <c r="G321" s="6"/>
      <c r="H321" s="6"/>
      <c r="I321" s="17"/>
      <c r="J321" s="6"/>
      <c r="K321" s="6"/>
      <c r="L321" s="17"/>
      <c r="M321" s="6"/>
      <c r="N321" s="6"/>
      <c r="O321" s="6"/>
      <c r="P321" s="6"/>
      <c r="Q321" s="6"/>
      <c r="R321" s="6"/>
      <c r="S321" s="6"/>
      <c r="T321" s="6"/>
      <c r="U321" s="6"/>
      <c r="V321" s="6"/>
      <c r="W321" s="6"/>
      <c r="X321" s="6"/>
      <c r="Y321" s="6"/>
      <c r="Z321" s="6"/>
      <c r="AA321" s="6"/>
      <c r="AB321" s="6"/>
      <c r="AC321" s="6"/>
      <c r="AD321" s="7"/>
    </row>
    <row r="322" spans="1:30" ht="13">
      <c r="A322" s="20"/>
      <c r="B322" s="20"/>
      <c r="C322" s="23"/>
      <c r="D322" s="17"/>
      <c r="E322" s="6"/>
      <c r="F322" s="6"/>
      <c r="G322" s="6"/>
      <c r="H322" s="6"/>
      <c r="I322" s="17"/>
      <c r="J322" s="6"/>
      <c r="K322" s="6"/>
      <c r="L322" s="17"/>
      <c r="M322" s="6"/>
      <c r="N322" s="6"/>
      <c r="O322" s="6"/>
      <c r="P322" s="6"/>
      <c r="Q322" s="6"/>
      <c r="R322" s="6"/>
      <c r="S322" s="6"/>
      <c r="T322" s="6"/>
      <c r="U322" s="6"/>
      <c r="V322" s="6"/>
      <c r="W322" s="6"/>
      <c r="X322" s="6"/>
      <c r="Y322" s="6"/>
      <c r="Z322" s="6"/>
      <c r="AA322" s="6"/>
      <c r="AB322" s="6"/>
      <c r="AC322" s="6"/>
      <c r="AD322" s="7"/>
    </row>
    <row r="323" spans="1:30" ht="13">
      <c r="A323" s="20"/>
      <c r="B323" s="20"/>
      <c r="C323" s="23"/>
      <c r="D323" s="17"/>
      <c r="E323" s="6"/>
      <c r="F323" s="6"/>
      <c r="G323" s="6"/>
      <c r="H323" s="6"/>
      <c r="I323" s="17"/>
      <c r="J323" s="6"/>
      <c r="K323" s="6"/>
      <c r="L323" s="17"/>
      <c r="M323" s="6"/>
      <c r="N323" s="6"/>
      <c r="O323" s="6"/>
      <c r="P323" s="6"/>
      <c r="Q323" s="6"/>
      <c r="R323" s="6"/>
      <c r="S323" s="6"/>
      <c r="T323" s="6"/>
      <c r="U323" s="6"/>
      <c r="V323" s="6"/>
      <c r="W323" s="6"/>
      <c r="X323" s="6"/>
      <c r="Y323" s="6"/>
      <c r="Z323" s="6"/>
      <c r="AA323" s="6"/>
      <c r="AB323" s="6"/>
      <c r="AC323" s="6"/>
      <c r="AD323" s="7"/>
    </row>
    <row r="324" spans="1:30" ht="13">
      <c r="A324" s="20"/>
      <c r="B324" s="20"/>
      <c r="C324" s="23"/>
      <c r="D324" s="17"/>
      <c r="E324" s="6"/>
      <c r="F324" s="6"/>
      <c r="G324" s="6"/>
      <c r="H324" s="6"/>
      <c r="I324" s="17"/>
      <c r="J324" s="6"/>
      <c r="K324" s="6"/>
      <c r="L324" s="17"/>
      <c r="M324" s="6"/>
      <c r="N324" s="6"/>
      <c r="O324" s="6"/>
      <c r="P324" s="6"/>
      <c r="Q324" s="6"/>
      <c r="R324" s="6"/>
      <c r="S324" s="6"/>
      <c r="T324" s="6"/>
      <c r="U324" s="6"/>
      <c r="V324" s="6"/>
      <c r="W324" s="6"/>
      <c r="X324" s="6"/>
      <c r="Y324" s="6"/>
      <c r="Z324" s="6"/>
      <c r="AA324" s="6"/>
      <c r="AB324" s="6"/>
      <c r="AC324" s="6"/>
      <c r="AD324" s="7"/>
    </row>
    <row r="325" spans="1:30" ht="13">
      <c r="A325" s="20"/>
      <c r="B325" s="20"/>
      <c r="C325" s="23"/>
      <c r="D325" s="17"/>
      <c r="E325" s="6"/>
      <c r="F325" s="6"/>
      <c r="G325" s="6"/>
      <c r="H325" s="6"/>
      <c r="I325" s="17"/>
      <c r="J325" s="6"/>
      <c r="K325" s="6"/>
      <c r="L325" s="17"/>
      <c r="M325" s="6"/>
      <c r="N325" s="6"/>
      <c r="O325" s="6"/>
      <c r="P325" s="6"/>
      <c r="Q325" s="6"/>
      <c r="R325" s="6"/>
      <c r="S325" s="6"/>
      <c r="T325" s="6"/>
      <c r="U325" s="6"/>
      <c r="V325" s="6"/>
      <c r="W325" s="6"/>
      <c r="X325" s="6"/>
      <c r="Y325" s="6"/>
      <c r="Z325" s="6"/>
      <c r="AA325" s="6"/>
      <c r="AB325" s="6"/>
      <c r="AC325" s="6"/>
      <c r="AD325" s="7"/>
    </row>
    <row r="326" spans="1:30" ht="13">
      <c r="A326" s="20"/>
      <c r="B326" s="20"/>
      <c r="C326" s="23"/>
      <c r="D326" s="17"/>
      <c r="E326" s="6"/>
      <c r="F326" s="6"/>
      <c r="G326" s="6"/>
      <c r="H326" s="6"/>
      <c r="I326" s="17"/>
      <c r="J326" s="6"/>
      <c r="K326" s="6"/>
      <c r="L326" s="17"/>
      <c r="M326" s="6"/>
      <c r="N326" s="6"/>
      <c r="O326" s="6"/>
      <c r="P326" s="6"/>
      <c r="Q326" s="6"/>
      <c r="R326" s="6"/>
      <c r="S326" s="6"/>
      <c r="T326" s="6"/>
      <c r="U326" s="6"/>
      <c r="V326" s="6"/>
      <c r="W326" s="6"/>
      <c r="X326" s="6"/>
      <c r="Y326" s="6"/>
      <c r="Z326" s="6"/>
      <c r="AA326" s="6"/>
      <c r="AB326" s="6"/>
      <c r="AC326" s="6"/>
      <c r="AD326" s="7"/>
    </row>
    <row r="327" spans="1:30" ht="13">
      <c r="A327" s="20"/>
      <c r="B327" s="20"/>
      <c r="C327" s="23"/>
      <c r="D327" s="17"/>
      <c r="E327" s="6"/>
      <c r="F327" s="6"/>
      <c r="G327" s="6"/>
      <c r="H327" s="6"/>
      <c r="I327" s="17"/>
      <c r="J327" s="6"/>
      <c r="K327" s="6"/>
      <c r="L327" s="17"/>
      <c r="M327" s="6"/>
      <c r="N327" s="6"/>
      <c r="O327" s="6"/>
      <c r="P327" s="6"/>
      <c r="Q327" s="6"/>
      <c r="R327" s="6"/>
      <c r="S327" s="6"/>
      <c r="T327" s="6"/>
      <c r="U327" s="6"/>
      <c r="V327" s="6"/>
      <c r="W327" s="6"/>
      <c r="X327" s="6"/>
      <c r="Y327" s="6"/>
      <c r="Z327" s="6"/>
      <c r="AA327" s="6"/>
      <c r="AB327" s="6"/>
      <c r="AC327" s="6"/>
      <c r="AD327" s="7"/>
    </row>
    <row r="328" spans="1:30" ht="13">
      <c r="A328" s="20"/>
      <c r="B328" s="20"/>
      <c r="C328" s="23"/>
      <c r="D328" s="17"/>
      <c r="E328" s="6"/>
      <c r="F328" s="6"/>
      <c r="G328" s="6"/>
      <c r="H328" s="6"/>
      <c r="I328" s="17"/>
      <c r="J328" s="6"/>
      <c r="K328" s="6"/>
      <c r="L328" s="17"/>
      <c r="M328" s="6"/>
      <c r="N328" s="6"/>
      <c r="O328" s="6"/>
      <c r="P328" s="6"/>
      <c r="Q328" s="6"/>
      <c r="R328" s="6"/>
      <c r="S328" s="6"/>
      <c r="T328" s="6"/>
      <c r="U328" s="6"/>
      <c r="V328" s="6"/>
      <c r="W328" s="6"/>
      <c r="X328" s="6"/>
      <c r="Y328" s="6"/>
      <c r="Z328" s="6"/>
      <c r="AA328" s="6"/>
      <c r="AB328" s="6"/>
      <c r="AC328" s="6"/>
      <c r="AD328" s="7"/>
    </row>
    <row r="329" spans="1:30" ht="13">
      <c r="A329" s="20"/>
      <c r="B329" s="20"/>
      <c r="C329" s="23"/>
      <c r="D329" s="17"/>
      <c r="E329" s="6"/>
      <c r="F329" s="6"/>
      <c r="G329" s="6"/>
      <c r="H329" s="6"/>
      <c r="I329" s="17"/>
      <c r="J329" s="6"/>
      <c r="K329" s="6"/>
      <c r="L329" s="17"/>
      <c r="M329" s="6"/>
      <c r="N329" s="6"/>
      <c r="O329" s="6"/>
      <c r="P329" s="6"/>
      <c r="Q329" s="6"/>
      <c r="R329" s="6"/>
      <c r="S329" s="6"/>
      <c r="T329" s="6"/>
      <c r="U329" s="6"/>
      <c r="V329" s="6"/>
      <c r="W329" s="6"/>
      <c r="X329" s="6"/>
      <c r="Y329" s="6"/>
      <c r="Z329" s="6"/>
      <c r="AA329" s="6"/>
      <c r="AB329" s="6"/>
      <c r="AC329" s="6"/>
      <c r="AD329" s="7"/>
    </row>
    <row r="330" spans="1:30" ht="13">
      <c r="A330" s="20"/>
      <c r="B330" s="20"/>
      <c r="C330" s="23"/>
      <c r="D330" s="17"/>
      <c r="E330" s="6"/>
      <c r="F330" s="6"/>
      <c r="G330" s="6"/>
      <c r="H330" s="6"/>
      <c r="I330" s="17"/>
      <c r="J330" s="6"/>
      <c r="K330" s="6"/>
      <c r="L330" s="17"/>
      <c r="M330" s="6"/>
      <c r="N330" s="6"/>
      <c r="O330" s="6"/>
      <c r="P330" s="6"/>
      <c r="Q330" s="6"/>
      <c r="R330" s="6"/>
      <c r="S330" s="6"/>
      <c r="T330" s="6"/>
      <c r="U330" s="6"/>
      <c r="V330" s="6"/>
      <c r="W330" s="6"/>
      <c r="X330" s="6"/>
      <c r="Y330" s="6"/>
      <c r="Z330" s="6"/>
      <c r="AA330" s="6"/>
      <c r="AB330" s="6"/>
      <c r="AC330" s="6"/>
      <c r="AD330" s="7"/>
    </row>
    <row r="331" spans="1:30" ht="13">
      <c r="A331" s="20"/>
      <c r="B331" s="20"/>
      <c r="C331" s="23"/>
      <c r="D331" s="17"/>
      <c r="E331" s="6"/>
      <c r="F331" s="6"/>
      <c r="G331" s="6"/>
      <c r="H331" s="6"/>
      <c r="I331" s="17"/>
      <c r="J331" s="6"/>
      <c r="K331" s="6"/>
      <c r="L331" s="17"/>
      <c r="M331" s="6"/>
      <c r="N331" s="6"/>
      <c r="O331" s="6"/>
      <c r="P331" s="6"/>
      <c r="Q331" s="6"/>
      <c r="R331" s="6"/>
      <c r="S331" s="6"/>
      <c r="T331" s="6"/>
      <c r="U331" s="6"/>
      <c r="V331" s="6"/>
      <c r="W331" s="6"/>
      <c r="X331" s="6"/>
      <c r="Y331" s="6"/>
      <c r="Z331" s="6"/>
      <c r="AA331" s="6"/>
      <c r="AB331" s="6"/>
      <c r="AC331" s="6"/>
      <c r="AD331" s="7"/>
    </row>
    <row r="332" spans="1:30" ht="13">
      <c r="A332" s="20"/>
      <c r="B332" s="20"/>
      <c r="C332" s="23"/>
      <c r="D332" s="17"/>
      <c r="E332" s="6"/>
      <c r="F332" s="6"/>
      <c r="G332" s="6"/>
      <c r="H332" s="6"/>
      <c r="I332" s="17"/>
      <c r="J332" s="6"/>
      <c r="K332" s="6"/>
      <c r="L332" s="17"/>
      <c r="M332" s="6"/>
      <c r="N332" s="6"/>
      <c r="O332" s="6"/>
      <c r="P332" s="6"/>
      <c r="Q332" s="6"/>
      <c r="R332" s="6"/>
      <c r="S332" s="6"/>
      <c r="T332" s="6"/>
      <c r="U332" s="6"/>
      <c r="V332" s="6"/>
      <c r="W332" s="6"/>
      <c r="X332" s="6"/>
      <c r="Y332" s="6"/>
      <c r="Z332" s="6"/>
      <c r="AA332" s="6"/>
      <c r="AB332" s="6"/>
      <c r="AC332" s="6"/>
      <c r="AD332" s="7"/>
    </row>
    <row r="333" spans="1:30" ht="13">
      <c r="A333" s="20"/>
      <c r="B333" s="20"/>
      <c r="C333" s="23"/>
      <c r="D333" s="17"/>
      <c r="E333" s="6"/>
      <c r="F333" s="6"/>
      <c r="G333" s="6"/>
      <c r="H333" s="6"/>
      <c r="I333" s="17"/>
      <c r="J333" s="6"/>
      <c r="K333" s="6"/>
      <c r="L333" s="17"/>
      <c r="M333" s="6"/>
      <c r="N333" s="6"/>
      <c r="O333" s="6"/>
      <c r="P333" s="6"/>
      <c r="Q333" s="6"/>
      <c r="R333" s="6"/>
      <c r="S333" s="6"/>
      <c r="T333" s="6"/>
      <c r="U333" s="6"/>
      <c r="V333" s="6"/>
      <c r="W333" s="6"/>
      <c r="X333" s="6"/>
      <c r="Y333" s="6"/>
      <c r="Z333" s="6"/>
      <c r="AA333" s="6"/>
      <c r="AB333" s="6"/>
      <c r="AC333" s="6"/>
      <c r="AD333" s="7"/>
    </row>
    <row r="334" spans="1:30" ht="13">
      <c r="A334" s="20"/>
      <c r="B334" s="20"/>
      <c r="C334" s="23"/>
      <c r="D334" s="17"/>
      <c r="E334" s="6"/>
      <c r="F334" s="6"/>
      <c r="G334" s="6"/>
      <c r="H334" s="6"/>
      <c r="I334" s="17"/>
      <c r="J334" s="6"/>
      <c r="K334" s="6"/>
      <c r="L334" s="17"/>
      <c r="M334" s="6"/>
      <c r="N334" s="6"/>
      <c r="O334" s="6"/>
      <c r="P334" s="6"/>
      <c r="Q334" s="6"/>
      <c r="R334" s="6"/>
      <c r="S334" s="6"/>
      <c r="T334" s="6"/>
      <c r="U334" s="6"/>
      <c r="V334" s="6"/>
      <c r="W334" s="6"/>
      <c r="X334" s="6"/>
      <c r="Y334" s="6"/>
      <c r="Z334" s="6"/>
      <c r="AA334" s="6"/>
      <c r="AB334" s="6"/>
      <c r="AC334" s="6"/>
      <c r="AD334" s="7"/>
    </row>
    <row r="335" spans="1:30" ht="13">
      <c r="A335" s="20"/>
      <c r="B335" s="20"/>
      <c r="C335" s="23"/>
      <c r="D335" s="17"/>
      <c r="E335" s="6"/>
      <c r="F335" s="6"/>
      <c r="G335" s="6"/>
      <c r="H335" s="6"/>
      <c r="I335" s="17"/>
      <c r="J335" s="6"/>
      <c r="K335" s="6"/>
      <c r="L335" s="17"/>
      <c r="M335" s="6"/>
      <c r="N335" s="6"/>
      <c r="O335" s="6"/>
      <c r="P335" s="6"/>
      <c r="Q335" s="6"/>
      <c r="R335" s="6"/>
      <c r="S335" s="6"/>
      <c r="T335" s="6"/>
      <c r="U335" s="6"/>
      <c r="V335" s="6"/>
      <c r="W335" s="6"/>
      <c r="X335" s="6"/>
      <c r="Y335" s="6"/>
      <c r="Z335" s="6"/>
      <c r="AA335" s="6"/>
      <c r="AB335" s="6"/>
      <c r="AC335" s="6"/>
      <c r="AD335" s="7"/>
    </row>
    <row r="336" spans="1:30" ht="13">
      <c r="A336" s="20"/>
      <c r="B336" s="20"/>
      <c r="C336" s="23"/>
      <c r="D336" s="17"/>
      <c r="E336" s="6"/>
      <c r="F336" s="6"/>
      <c r="G336" s="6"/>
      <c r="H336" s="6"/>
      <c r="I336" s="17"/>
      <c r="J336" s="6"/>
      <c r="K336" s="6"/>
      <c r="L336" s="17"/>
      <c r="M336" s="6"/>
      <c r="N336" s="6"/>
      <c r="O336" s="6"/>
      <c r="P336" s="6"/>
      <c r="Q336" s="6"/>
      <c r="R336" s="6"/>
      <c r="S336" s="6"/>
      <c r="T336" s="6"/>
      <c r="U336" s="6"/>
      <c r="V336" s="6"/>
      <c r="W336" s="6"/>
      <c r="X336" s="6"/>
      <c r="Y336" s="6"/>
      <c r="Z336" s="6"/>
      <c r="AA336" s="6"/>
      <c r="AB336" s="6"/>
      <c r="AC336" s="6"/>
      <c r="AD336" s="7"/>
    </row>
    <row r="337" spans="1:30" ht="13">
      <c r="A337" s="20"/>
      <c r="B337" s="20"/>
      <c r="C337" s="23"/>
      <c r="D337" s="17"/>
      <c r="E337" s="6"/>
      <c r="F337" s="6"/>
      <c r="G337" s="6"/>
      <c r="H337" s="6"/>
      <c r="I337" s="17"/>
      <c r="J337" s="6"/>
      <c r="K337" s="6"/>
      <c r="L337" s="17"/>
      <c r="M337" s="6"/>
      <c r="N337" s="6"/>
      <c r="O337" s="6"/>
      <c r="P337" s="6"/>
      <c r="Q337" s="6"/>
      <c r="R337" s="6"/>
      <c r="S337" s="6"/>
      <c r="T337" s="6"/>
      <c r="U337" s="6"/>
      <c r="V337" s="6"/>
      <c r="W337" s="6"/>
      <c r="X337" s="6"/>
      <c r="Y337" s="6"/>
      <c r="Z337" s="6"/>
      <c r="AA337" s="6"/>
      <c r="AB337" s="6"/>
      <c r="AC337" s="6"/>
      <c r="AD337" s="7"/>
    </row>
    <row r="338" spans="1:30" ht="13">
      <c r="A338" s="20"/>
      <c r="B338" s="20"/>
      <c r="C338" s="23"/>
      <c r="D338" s="17"/>
      <c r="E338" s="6"/>
      <c r="F338" s="6"/>
      <c r="G338" s="6"/>
      <c r="H338" s="6"/>
      <c r="I338" s="17"/>
      <c r="J338" s="6"/>
      <c r="K338" s="6"/>
      <c r="L338" s="17"/>
      <c r="M338" s="6"/>
      <c r="N338" s="6"/>
      <c r="O338" s="6"/>
      <c r="P338" s="6"/>
      <c r="Q338" s="6"/>
      <c r="R338" s="6"/>
      <c r="S338" s="6"/>
      <c r="T338" s="6"/>
      <c r="U338" s="6"/>
      <c r="V338" s="6"/>
      <c r="W338" s="6"/>
      <c r="X338" s="6"/>
      <c r="Y338" s="6"/>
      <c r="Z338" s="6"/>
      <c r="AA338" s="6"/>
      <c r="AB338" s="6"/>
      <c r="AC338" s="6"/>
      <c r="AD338" s="7"/>
    </row>
    <row r="339" spans="1:30" ht="13">
      <c r="A339" s="20"/>
      <c r="B339" s="20"/>
      <c r="C339" s="23"/>
      <c r="D339" s="17"/>
      <c r="E339" s="6"/>
      <c r="F339" s="6"/>
      <c r="G339" s="6"/>
      <c r="H339" s="6"/>
      <c r="I339" s="17"/>
      <c r="J339" s="6"/>
      <c r="K339" s="6"/>
      <c r="L339" s="17"/>
      <c r="M339" s="6"/>
      <c r="N339" s="6"/>
      <c r="O339" s="6"/>
      <c r="P339" s="6"/>
      <c r="Q339" s="6"/>
      <c r="R339" s="6"/>
      <c r="S339" s="6"/>
      <c r="T339" s="6"/>
      <c r="U339" s="6"/>
      <c r="V339" s="6"/>
      <c r="W339" s="6"/>
      <c r="X339" s="6"/>
      <c r="Y339" s="6"/>
      <c r="Z339" s="6"/>
      <c r="AA339" s="6"/>
      <c r="AB339" s="6"/>
      <c r="AC339" s="6"/>
      <c r="AD339" s="7"/>
    </row>
    <row r="340" spans="1:30" ht="13">
      <c r="A340" s="20"/>
      <c r="B340" s="20"/>
      <c r="C340" s="23"/>
      <c r="D340" s="17"/>
      <c r="E340" s="6"/>
      <c r="F340" s="6"/>
      <c r="G340" s="6"/>
      <c r="H340" s="6"/>
      <c r="I340" s="17"/>
      <c r="J340" s="6"/>
      <c r="K340" s="6"/>
      <c r="L340" s="17"/>
      <c r="M340" s="6"/>
      <c r="N340" s="6"/>
      <c r="O340" s="6"/>
      <c r="P340" s="6"/>
      <c r="Q340" s="6"/>
      <c r="R340" s="6"/>
      <c r="S340" s="6"/>
      <c r="T340" s="6"/>
      <c r="U340" s="6"/>
      <c r="V340" s="6"/>
      <c r="W340" s="6"/>
      <c r="X340" s="6"/>
      <c r="Y340" s="6"/>
      <c r="Z340" s="6"/>
      <c r="AA340" s="6"/>
      <c r="AB340" s="6"/>
      <c r="AC340" s="6"/>
      <c r="AD340" s="7"/>
    </row>
    <row r="341" spans="1:30" ht="13">
      <c r="A341" s="20"/>
      <c r="B341" s="20"/>
      <c r="C341" s="23"/>
      <c r="D341" s="17"/>
      <c r="E341" s="6"/>
      <c r="F341" s="6"/>
      <c r="G341" s="6"/>
      <c r="H341" s="6"/>
      <c r="I341" s="17"/>
      <c r="J341" s="6"/>
      <c r="K341" s="6"/>
      <c r="L341" s="17"/>
      <c r="M341" s="6"/>
      <c r="N341" s="6"/>
      <c r="O341" s="6"/>
      <c r="P341" s="6"/>
      <c r="Q341" s="6"/>
      <c r="R341" s="6"/>
      <c r="S341" s="6"/>
      <c r="T341" s="6"/>
      <c r="U341" s="6"/>
      <c r="V341" s="6"/>
      <c r="W341" s="6"/>
      <c r="X341" s="6"/>
      <c r="Y341" s="6"/>
      <c r="Z341" s="6"/>
      <c r="AA341" s="6"/>
      <c r="AB341" s="6"/>
      <c r="AC341" s="6"/>
      <c r="AD341" s="7"/>
    </row>
    <row r="342" spans="1:30" ht="13">
      <c r="A342" s="20"/>
      <c r="B342" s="20"/>
      <c r="C342" s="23"/>
      <c r="D342" s="17"/>
      <c r="E342" s="6"/>
      <c r="F342" s="6"/>
      <c r="G342" s="6"/>
      <c r="H342" s="6"/>
      <c r="I342" s="17"/>
      <c r="J342" s="6"/>
      <c r="K342" s="6"/>
      <c r="L342" s="17"/>
      <c r="M342" s="6"/>
      <c r="N342" s="6"/>
      <c r="O342" s="6"/>
      <c r="P342" s="6"/>
      <c r="Q342" s="6"/>
      <c r="R342" s="6"/>
      <c r="S342" s="6"/>
      <c r="T342" s="6"/>
      <c r="U342" s="6"/>
      <c r="V342" s="6"/>
      <c r="W342" s="6"/>
      <c r="X342" s="6"/>
      <c r="Y342" s="6"/>
      <c r="Z342" s="6"/>
      <c r="AA342" s="6"/>
      <c r="AB342" s="6"/>
      <c r="AC342" s="6"/>
      <c r="AD342" s="7"/>
    </row>
    <row r="343" spans="1:30" ht="13">
      <c r="A343" s="20"/>
      <c r="B343" s="20"/>
      <c r="C343" s="23"/>
      <c r="D343" s="17"/>
      <c r="E343" s="6"/>
      <c r="F343" s="6"/>
      <c r="G343" s="6"/>
      <c r="H343" s="6"/>
      <c r="I343" s="17"/>
      <c r="J343" s="6"/>
      <c r="K343" s="6"/>
      <c r="L343" s="17"/>
      <c r="M343" s="6"/>
      <c r="N343" s="6"/>
      <c r="O343" s="6"/>
      <c r="P343" s="6"/>
      <c r="Q343" s="6"/>
      <c r="R343" s="6"/>
      <c r="S343" s="6"/>
      <c r="T343" s="6"/>
      <c r="U343" s="6"/>
      <c r="V343" s="6"/>
      <c r="W343" s="6"/>
      <c r="X343" s="6"/>
      <c r="Y343" s="6"/>
      <c r="Z343" s="6"/>
      <c r="AA343" s="6"/>
      <c r="AB343" s="6"/>
      <c r="AC343" s="6"/>
      <c r="AD343" s="7"/>
    </row>
    <row r="344" spans="1:30" ht="13">
      <c r="A344" s="20"/>
      <c r="B344" s="20"/>
      <c r="C344" s="23"/>
      <c r="D344" s="17"/>
      <c r="E344" s="6"/>
      <c r="F344" s="6"/>
      <c r="G344" s="6"/>
      <c r="H344" s="6"/>
      <c r="I344" s="17"/>
      <c r="J344" s="6"/>
      <c r="K344" s="6"/>
      <c r="L344" s="17"/>
      <c r="M344" s="6"/>
      <c r="N344" s="6"/>
      <c r="O344" s="6"/>
      <c r="P344" s="6"/>
      <c r="Q344" s="6"/>
      <c r="R344" s="6"/>
      <c r="S344" s="6"/>
      <c r="T344" s="6"/>
      <c r="U344" s="6"/>
      <c r="V344" s="6"/>
      <c r="W344" s="6"/>
      <c r="X344" s="6"/>
      <c r="Y344" s="6"/>
      <c r="Z344" s="6"/>
      <c r="AA344" s="6"/>
      <c r="AB344" s="6"/>
      <c r="AC344" s="6"/>
      <c r="AD344" s="7"/>
    </row>
    <row r="345" spans="1:30" ht="13">
      <c r="A345" s="20"/>
      <c r="B345" s="20"/>
      <c r="C345" s="23"/>
      <c r="D345" s="17"/>
      <c r="E345" s="6"/>
      <c r="F345" s="6"/>
      <c r="G345" s="6"/>
      <c r="H345" s="6"/>
      <c r="I345" s="17"/>
      <c r="J345" s="6"/>
      <c r="K345" s="6"/>
      <c r="L345" s="17"/>
      <c r="M345" s="6"/>
      <c r="N345" s="6"/>
      <c r="O345" s="6"/>
      <c r="P345" s="6"/>
      <c r="Q345" s="6"/>
      <c r="R345" s="6"/>
      <c r="S345" s="6"/>
      <c r="T345" s="6"/>
      <c r="U345" s="6"/>
      <c r="V345" s="6"/>
      <c r="W345" s="6"/>
      <c r="X345" s="6"/>
      <c r="Y345" s="6"/>
      <c r="Z345" s="6"/>
      <c r="AA345" s="6"/>
      <c r="AB345" s="6"/>
      <c r="AC345" s="6"/>
      <c r="AD345" s="7"/>
    </row>
    <row r="346" spans="1:30" ht="13">
      <c r="A346" s="20"/>
      <c r="B346" s="20"/>
      <c r="C346" s="23"/>
      <c r="D346" s="17"/>
      <c r="E346" s="6"/>
      <c r="F346" s="6"/>
      <c r="G346" s="6"/>
      <c r="H346" s="6"/>
      <c r="I346" s="17"/>
      <c r="J346" s="6"/>
      <c r="K346" s="6"/>
      <c r="L346" s="17"/>
      <c r="M346" s="6"/>
      <c r="N346" s="6"/>
      <c r="O346" s="6"/>
      <c r="P346" s="6"/>
      <c r="Q346" s="6"/>
      <c r="R346" s="6"/>
      <c r="S346" s="6"/>
      <c r="T346" s="6"/>
      <c r="U346" s="6"/>
      <c r="V346" s="6"/>
      <c r="W346" s="6"/>
      <c r="X346" s="6"/>
      <c r="Y346" s="6"/>
      <c r="Z346" s="6"/>
      <c r="AA346" s="6"/>
      <c r="AB346" s="6"/>
      <c r="AC346" s="6"/>
      <c r="AD346" s="7"/>
    </row>
    <row r="347" spans="1:30" ht="13">
      <c r="A347" s="20"/>
      <c r="B347" s="20"/>
      <c r="C347" s="23"/>
      <c r="D347" s="17"/>
      <c r="E347" s="6"/>
      <c r="F347" s="6"/>
      <c r="G347" s="6"/>
      <c r="H347" s="6"/>
      <c r="I347" s="17"/>
      <c r="J347" s="6"/>
      <c r="K347" s="6"/>
      <c r="L347" s="17"/>
      <c r="M347" s="6"/>
      <c r="N347" s="6"/>
      <c r="O347" s="6"/>
      <c r="P347" s="6"/>
      <c r="Q347" s="6"/>
      <c r="R347" s="6"/>
      <c r="S347" s="6"/>
      <c r="T347" s="6"/>
      <c r="U347" s="6"/>
      <c r="V347" s="6"/>
      <c r="W347" s="6"/>
      <c r="X347" s="6"/>
      <c r="Y347" s="6"/>
      <c r="Z347" s="6"/>
      <c r="AA347" s="6"/>
      <c r="AB347" s="6"/>
      <c r="AC347" s="6"/>
      <c r="AD347" s="7"/>
    </row>
    <row r="348" spans="1:30" ht="13">
      <c r="A348" s="20"/>
      <c r="B348" s="20"/>
      <c r="C348" s="23"/>
      <c r="D348" s="17"/>
      <c r="E348" s="6"/>
      <c r="F348" s="6"/>
      <c r="G348" s="6"/>
      <c r="H348" s="6"/>
      <c r="I348" s="17"/>
      <c r="J348" s="6"/>
      <c r="K348" s="6"/>
      <c r="L348" s="17"/>
      <c r="M348" s="6"/>
      <c r="N348" s="6"/>
      <c r="O348" s="6"/>
      <c r="P348" s="6"/>
      <c r="Q348" s="6"/>
      <c r="R348" s="6"/>
      <c r="S348" s="6"/>
      <c r="T348" s="6"/>
      <c r="U348" s="6"/>
      <c r="V348" s="6"/>
      <c r="W348" s="6"/>
      <c r="X348" s="6"/>
      <c r="Y348" s="6"/>
      <c r="Z348" s="6"/>
      <c r="AA348" s="6"/>
      <c r="AB348" s="6"/>
      <c r="AC348" s="6"/>
      <c r="AD348" s="7"/>
    </row>
    <row r="349" spans="1:30" ht="13">
      <c r="A349" s="20"/>
      <c r="B349" s="20"/>
      <c r="C349" s="23"/>
      <c r="D349" s="17"/>
      <c r="E349" s="6"/>
      <c r="F349" s="6"/>
      <c r="G349" s="6"/>
      <c r="H349" s="6"/>
      <c r="I349" s="17"/>
      <c r="J349" s="6"/>
      <c r="K349" s="6"/>
      <c r="L349" s="17"/>
      <c r="M349" s="6"/>
      <c r="N349" s="6"/>
      <c r="O349" s="6"/>
      <c r="P349" s="6"/>
      <c r="Q349" s="6"/>
      <c r="R349" s="6"/>
      <c r="S349" s="6"/>
      <c r="T349" s="6"/>
      <c r="U349" s="6"/>
      <c r="V349" s="6"/>
      <c r="W349" s="6"/>
      <c r="X349" s="6"/>
      <c r="Y349" s="6"/>
      <c r="Z349" s="6"/>
      <c r="AA349" s="6"/>
      <c r="AB349" s="6"/>
      <c r="AC349" s="6"/>
      <c r="AD349" s="7"/>
    </row>
    <row r="350" spans="1:30" ht="13">
      <c r="A350" s="20"/>
      <c r="B350" s="20"/>
      <c r="C350" s="23"/>
      <c r="D350" s="17"/>
      <c r="E350" s="6"/>
      <c r="F350" s="6"/>
      <c r="G350" s="6"/>
      <c r="H350" s="6"/>
      <c r="I350" s="17"/>
      <c r="J350" s="6"/>
      <c r="K350" s="6"/>
      <c r="L350" s="17"/>
      <c r="M350" s="6"/>
      <c r="N350" s="6"/>
      <c r="O350" s="6"/>
      <c r="P350" s="6"/>
      <c r="Q350" s="6"/>
      <c r="R350" s="6"/>
      <c r="S350" s="6"/>
      <c r="T350" s="6"/>
      <c r="U350" s="6"/>
      <c r="V350" s="6"/>
      <c r="W350" s="6"/>
      <c r="X350" s="6"/>
      <c r="Y350" s="6"/>
      <c r="Z350" s="6"/>
      <c r="AA350" s="6"/>
      <c r="AB350" s="6"/>
      <c r="AC350" s="6"/>
      <c r="AD350" s="7"/>
    </row>
    <row r="351" spans="1:30" ht="13">
      <c r="A351" s="20"/>
      <c r="B351" s="20"/>
      <c r="C351" s="23"/>
      <c r="D351" s="17"/>
      <c r="E351" s="6"/>
      <c r="F351" s="6"/>
      <c r="G351" s="6"/>
      <c r="H351" s="6"/>
      <c r="I351" s="17"/>
      <c r="J351" s="6"/>
      <c r="K351" s="6"/>
      <c r="L351" s="17"/>
      <c r="M351" s="6"/>
      <c r="N351" s="6"/>
      <c r="O351" s="6"/>
      <c r="P351" s="6"/>
      <c r="Q351" s="6"/>
      <c r="R351" s="6"/>
      <c r="S351" s="6"/>
      <c r="T351" s="6"/>
      <c r="U351" s="6"/>
      <c r="V351" s="6"/>
      <c r="W351" s="6"/>
      <c r="X351" s="6"/>
      <c r="Y351" s="6"/>
      <c r="Z351" s="6"/>
      <c r="AA351" s="6"/>
      <c r="AB351" s="6"/>
      <c r="AC351" s="6"/>
      <c r="AD351" s="7"/>
    </row>
    <row r="352" spans="1:30" ht="13">
      <c r="A352" s="20"/>
      <c r="B352" s="20"/>
      <c r="C352" s="23"/>
      <c r="D352" s="17"/>
      <c r="E352" s="6"/>
      <c r="F352" s="6"/>
      <c r="G352" s="6"/>
      <c r="H352" s="6"/>
      <c r="I352" s="17"/>
      <c r="J352" s="6"/>
      <c r="K352" s="6"/>
      <c r="L352" s="17"/>
      <c r="M352" s="6"/>
      <c r="N352" s="6"/>
      <c r="O352" s="6"/>
      <c r="P352" s="6"/>
      <c r="Q352" s="6"/>
      <c r="R352" s="6"/>
      <c r="S352" s="6"/>
      <c r="T352" s="6"/>
      <c r="U352" s="6"/>
      <c r="V352" s="6"/>
      <c r="W352" s="6"/>
      <c r="X352" s="6"/>
      <c r="Y352" s="6"/>
      <c r="Z352" s="6"/>
      <c r="AA352" s="6"/>
      <c r="AB352" s="6"/>
      <c r="AC352" s="6"/>
      <c r="AD352" s="7"/>
    </row>
    <row r="353" spans="1:30" ht="13">
      <c r="A353" s="20"/>
      <c r="B353" s="20"/>
      <c r="C353" s="23"/>
      <c r="D353" s="17"/>
      <c r="E353" s="6"/>
      <c r="F353" s="6"/>
      <c r="G353" s="6"/>
      <c r="H353" s="6"/>
      <c r="I353" s="17"/>
      <c r="J353" s="6"/>
      <c r="K353" s="6"/>
      <c r="L353" s="17"/>
      <c r="M353" s="6"/>
      <c r="N353" s="6"/>
      <c r="O353" s="6"/>
      <c r="P353" s="6"/>
      <c r="Q353" s="6"/>
      <c r="R353" s="6"/>
      <c r="S353" s="6"/>
      <c r="T353" s="6"/>
      <c r="U353" s="6"/>
      <c r="V353" s="6"/>
      <c r="W353" s="6"/>
      <c r="X353" s="6"/>
      <c r="Y353" s="6"/>
      <c r="Z353" s="6"/>
      <c r="AA353" s="6"/>
      <c r="AB353" s="6"/>
      <c r="AC353" s="6"/>
      <c r="AD353" s="7"/>
    </row>
    <row r="354" spans="1:30" ht="13">
      <c r="A354" s="20"/>
      <c r="B354" s="20"/>
      <c r="C354" s="23"/>
      <c r="D354" s="17"/>
      <c r="E354" s="6"/>
      <c r="F354" s="6"/>
      <c r="G354" s="6"/>
      <c r="H354" s="6"/>
      <c r="I354" s="17"/>
      <c r="J354" s="6"/>
      <c r="K354" s="6"/>
      <c r="L354" s="17"/>
      <c r="M354" s="6"/>
      <c r="N354" s="6"/>
      <c r="O354" s="6"/>
      <c r="P354" s="6"/>
      <c r="Q354" s="6"/>
      <c r="R354" s="6"/>
      <c r="S354" s="6"/>
      <c r="T354" s="6"/>
      <c r="U354" s="6"/>
      <c r="V354" s="6"/>
      <c r="W354" s="6"/>
      <c r="X354" s="6"/>
      <c r="Y354" s="6"/>
      <c r="Z354" s="6"/>
      <c r="AA354" s="6"/>
      <c r="AB354" s="6"/>
      <c r="AC354" s="6"/>
      <c r="AD354" s="7"/>
    </row>
    <row r="355" spans="1:30" ht="13">
      <c r="A355" s="20"/>
      <c r="B355" s="20"/>
      <c r="C355" s="23"/>
      <c r="D355" s="17"/>
      <c r="E355" s="6"/>
      <c r="F355" s="6"/>
      <c r="G355" s="6"/>
      <c r="H355" s="6"/>
      <c r="I355" s="17"/>
      <c r="J355" s="6"/>
      <c r="K355" s="6"/>
      <c r="L355" s="17"/>
      <c r="M355" s="6"/>
      <c r="N355" s="6"/>
      <c r="O355" s="6"/>
      <c r="P355" s="6"/>
      <c r="Q355" s="6"/>
      <c r="R355" s="6"/>
      <c r="S355" s="6"/>
      <c r="T355" s="6"/>
      <c r="U355" s="6"/>
      <c r="V355" s="6"/>
      <c r="W355" s="6"/>
      <c r="X355" s="6"/>
      <c r="Y355" s="6"/>
      <c r="Z355" s="6"/>
      <c r="AA355" s="6"/>
      <c r="AB355" s="6"/>
      <c r="AC355" s="6"/>
      <c r="AD355" s="7"/>
    </row>
    <row r="356" spans="1:30" ht="13">
      <c r="A356" s="20"/>
      <c r="B356" s="20"/>
      <c r="C356" s="23"/>
      <c r="D356" s="17"/>
      <c r="E356" s="6"/>
      <c r="F356" s="6"/>
      <c r="G356" s="6"/>
      <c r="H356" s="6"/>
      <c r="I356" s="17"/>
      <c r="J356" s="6"/>
      <c r="K356" s="6"/>
      <c r="L356" s="17"/>
      <c r="M356" s="6"/>
      <c r="N356" s="6"/>
      <c r="O356" s="6"/>
      <c r="P356" s="6"/>
      <c r="Q356" s="6"/>
      <c r="R356" s="6"/>
      <c r="S356" s="6"/>
      <c r="T356" s="6"/>
      <c r="U356" s="6"/>
      <c r="V356" s="6"/>
      <c r="W356" s="6"/>
      <c r="X356" s="6"/>
      <c r="Y356" s="6"/>
      <c r="Z356" s="6"/>
      <c r="AA356" s="6"/>
      <c r="AB356" s="6"/>
      <c r="AC356" s="6"/>
      <c r="AD356" s="7"/>
    </row>
    <row r="357" spans="1:30" ht="13">
      <c r="A357" s="20"/>
      <c r="B357" s="20"/>
      <c r="C357" s="23"/>
      <c r="D357" s="17"/>
      <c r="E357" s="6"/>
      <c r="F357" s="6"/>
      <c r="G357" s="6"/>
      <c r="H357" s="6"/>
      <c r="I357" s="17"/>
      <c r="J357" s="6"/>
      <c r="K357" s="6"/>
      <c r="L357" s="17"/>
      <c r="M357" s="6"/>
      <c r="N357" s="6"/>
      <c r="O357" s="6"/>
      <c r="P357" s="6"/>
      <c r="Q357" s="6"/>
      <c r="R357" s="6"/>
      <c r="S357" s="6"/>
      <c r="T357" s="6"/>
      <c r="U357" s="6"/>
      <c r="V357" s="6"/>
      <c r="W357" s="6"/>
      <c r="X357" s="6"/>
      <c r="Y357" s="6"/>
      <c r="Z357" s="6"/>
      <c r="AA357" s="6"/>
      <c r="AB357" s="6"/>
      <c r="AC357" s="6"/>
      <c r="AD357" s="7"/>
    </row>
    <row r="358" spans="1:30" ht="13">
      <c r="A358" s="20"/>
      <c r="B358" s="20"/>
      <c r="C358" s="23"/>
      <c r="D358" s="17"/>
      <c r="E358" s="6"/>
      <c r="F358" s="6"/>
      <c r="G358" s="6"/>
      <c r="H358" s="6"/>
      <c r="I358" s="17"/>
      <c r="J358" s="6"/>
      <c r="K358" s="6"/>
      <c r="L358" s="17"/>
      <c r="M358" s="6"/>
      <c r="N358" s="6"/>
      <c r="O358" s="6"/>
      <c r="P358" s="6"/>
      <c r="Q358" s="6"/>
      <c r="R358" s="6"/>
      <c r="S358" s="6"/>
      <c r="T358" s="6"/>
      <c r="U358" s="6"/>
      <c r="V358" s="6"/>
      <c r="W358" s="6"/>
      <c r="X358" s="6"/>
      <c r="Y358" s="6"/>
      <c r="Z358" s="6"/>
      <c r="AA358" s="6"/>
      <c r="AB358" s="6"/>
      <c r="AC358" s="6"/>
      <c r="AD358" s="7"/>
    </row>
    <row r="359" spans="1:30" ht="13">
      <c r="A359" s="20"/>
      <c r="B359" s="20"/>
      <c r="C359" s="23"/>
      <c r="D359" s="17"/>
      <c r="E359" s="6"/>
      <c r="F359" s="6"/>
      <c r="G359" s="6"/>
      <c r="H359" s="6"/>
      <c r="I359" s="17"/>
      <c r="J359" s="6"/>
      <c r="K359" s="6"/>
      <c r="L359" s="17"/>
      <c r="M359" s="6"/>
      <c r="N359" s="6"/>
      <c r="O359" s="6"/>
      <c r="P359" s="6"/>
      <c r="Q359" s="6"/>
      <c r="R359" s="6"/>
      <c r="S359" s="6"/>
      <c r="T359" s="6"/>
      <c r="U359" s="6"/>
      <c r="V359" s="6"/>
      <c r="W359" s="6"/>
      <c r="X359" s="6"/>
      <c r="Y359" s="6"/>
      <c r="Z359" s="6"/>
      <c r="AA359" s="6"/>
      <c r="AB359" s="6"/>
      <c r="AC359" s="6"/>
      <c r="AD359" s="7"/>
    </row>
    <row r="360" spans="1:30" ht="13">
      <c r="A360" s="20"/>
      <c r="B360" s="20"/>
      <c r="C360" s="23"/>
      <c r="D360" s="17"/>
      <c r="E360" s="6"/>
      <c r="F360" s="6"/>
      <c r="G360" s="6"/>
      <c r="H360" s="6"/>
      <c r="I360" s="17"/>
      <c r="J360" s="6"/>
      <c r="K360" s="6"/>
      <c r="L360" s="17"/>
      <c r="M360" s="6"/>
      <c r="N360" s="6"/>
      <c r="O360" s="6"/>
      <c r="P360" s="6"/>
      <c r="Q360" s="6"/>
      <c r="R360" s="6"/>
      <c r="S360" s="6"/>
      <c r="T360" s="6"/>
      <c r="U360" s="6"/>
      <c r="V360" s="6"/>
      <c r="W360" s="6"/>
      <c r="X360" s="6"/>
      <c r="Y360" s="6"/>
      <c r="Z360" s="6"/>
      <c r="AA360" s="6"/>
      <c r="AB360" s="6"/>
      <c r="AC360" s="6"/>
      <c r="AD360" s="7"/>
    </row>
    <row r="361" spans="1:30" ht="13">
      <c r="A361" s="20"/>
      <c r="B361" s="20"/>
      <c r="C361" s="23"/>
      <c r="D361" s="17"/>
      <c r="E361" s="6"/>
      <c r="F361" s="6"/>
      <c r="G361" s="6"/>
      <c r="H361" s="6"/>
      <c r="I361" s="17"/>
      <c r="J361" s="6"/>
      <c r="K361" s="6"/>
      <c r="L361" s="17"/>
      <c r="M361" s="6"/>
      <c r="N361" s="6"/>
      <c r="O361" s="6"/>
      <c r="P361" s="6"/>
      <c r="Q361" s="6"/>
      <c r="R361" s="6"/>
      <c r="S361" s="6"/>
      <c r="T361" s="6"/>
      <c r="U361" s="6"/>
      <c r="V361" s="6"/>
      <c r="W361" s="6"/>
      <c r="X361" s="6"/>
      <c r="Y361" s="6"/>
      <c r="Z361" s="6"/>
      <c r="AA361" s="6"/>
      <c r="AB361" s="6"/>
      <c r="AC361" s="6"/>
      <c r="AD361" s="7"/>
    </row>
    <row r="362" spans="1:30" ht="13">
      <c r="A362" s="20"/>
      <c r="B362" s="20"/>
      <c r="C362" s="23"/>
      <c r="D362" s="17"/>
      <c r="E362" s="6"/>
      <c r="F362" s="6"/>
      <c r="G362" s="6"/>
      <c r="H362" s="6"/>
      <c r="I362" s="17"/>
      <c r="J362" s="6"/>
      <c r="K362" s="6"/>
      <c r="L362" s="17"/>
      <c r="M362" s="6"/>
      <c r="N362" s="6"/>
      <c r="O362" s="6"/>
      <c r="P362" s="6"/>
      <c r="Q362" s="6"/>
      <c r="R362" s="6"/>
      <c r="S362" s="6"/>
      <c r="T362" s="6"/>
      <c r="U362" s="6"/>
      <c r="V362" s="6"/>
      <c r="W362" s="6"/>
      <c r="X362" s="6"/>
      <c r="Y362" s="6"/>
      <c r="Z362" s="6"/>
      <c r="AA362" s="6"/>
      <c r="AB362" s="6"/>
      <c r="AC362" s="6"/>
      <c r="AD362" s="7"/>
    </row>
    <row r="363" spans="1:30" ht="13">
      <c r="A363" s="20"/>
      <c r="B363" s="20"/>
      <c r="C363" s="23"/>
      <c r="D363" s="17"/>
      <c r="E363" s="6"/>
      <c r="F363" s="6"/>
      <c r="G363" s="6"/>
      <c r="H363" s="6"/>
      <c r="I363" s="17"/>
      <c r="J363" s="6"/>
      <c r="K363" s="6"/>
      <c r="L363" s="17"/>
      <c r="M363" s="6"/>
      <c r="N363" s="6"/>
      <c r="O363" s="6"/>
      <c r="P363" s="6"/>
      <c r="Q363" s="6"/>
      <c r="R363" s="6"/>
      <c r="S363" s="6"/>
      <c r="T363" s="6"/>
      <c r="U363" s="6"/>
      <c r="V363" s="6"/>
      <c r="W363" s="6"/>
      <c r="X363" s="6"/>
      <c r="Y363" s="6"/>
      <c r="Z363" s="6"/>
      <c r="AA363" s="6"/>
      <c r="AB363" s="6"/>
      <c r="AC363" s="6"/>
      <c r="AD363" s="7"/>
    </row>
    <row r="364" spans="1:30" ht="13">
      <c r="A364" s="20"/>
      <c r="B364" s="20"/>
      <c r="C364" s="23"/>
      <c r="D364" s="17"/>
      <c r="E364" s="6"/>
      <c r="F364" s="6"/>
      <c r="G364" s="6"/>
      <c r="H364" s="6"/>
      <c r="I364" s="17"/>
      <c r="J364" s="6"/>
      <c r="K364" s="6"/>
      <c r="L364" s="17"/>
      <c r="M364" s="6"/>
      <c r="N364" s="6"/>
      <c r="O364" s="6"/>
      <c r="P364" s="6"/>
      <c r="Q364" s="6"/>
      <c r="R364" s="6"/>
      <c r="S364" s="6"/>
      <c r="T364" s="6"/>
      <c r="U364" s="6"/>
      <c r="V364" s="6"/>
      <c r="W364" s="6"/>
      <c r="X364" s="6"/>
      <c r="Y364" s="6"/>
      <c r="Z364" s="6"/>
      <c r="AA364" s="6"/>
      <c r="AB364" s="6"/>
      <c r="AC364" s="6"/>
      <c r="AD364" s="7"/>
    </row>
    <row r="365" spans="1:30" ht="13">
      <c r="A365" s="20"/>
      <c r="B365" s="20"/>
      <c r="C365" s="23"/>
      <c r="D365" s="17"/>
      <c r="E365" s="6"/>
      <c r="F365" s="6"/>
      <c r="G365" s="6"/>
      <c r="H365" s="6"/>
      <c r="I365" s="17"/>
      <c r="J365" s="6"/>
      <c r="K365" s="6"/>
      <c r="L365" s="17"/>
      <c r="M365" s="6"/>
      <c r="N365" s="6"/>
      <c r="O365" s="6"/>
      <c r="P365" s="6"/>
      <c r="Q365" s="6"/>
      <c r="R365" s="6"/>
      <c r="S365" s="6"/>
      <c r="T365" s="6"/>
      <c r="U365" s="6"/>
      <c r="V365" s="6"/>
      <c r="W365" s="6"/>
      <c r="X365" s="6"/>
      <c r="Y365" s="6"/>
      <c r="Z365" s="6"/>
      <c r="AA365" s="6"/>
      <c r="AB365" s="6"/>
      <c r="AC365" s="6"/>
      <c r="AD365" s="7"/>
    </row>
    <row r="366" spans="1:30" ht="13">
      <c r="A366" s="20"/>
      <c r="B366" s="20"/>
      <c r="C366" s="23"/>
      <c r="D366" s="17"/>
      <c r="E366" s="6"/>
      <c r="F366" s="6"/>
      <c r="G366" s="6"/>
      <c r="H366" s="6"/>
      <c r="I366" s="17"/>
      <c r="J366" s="6"/>
      <c r="K366" s="6"/>
      <c r="L366" s="17"/>
      <c r="M366" s="6"/>
      <c r="N366" s="6"/>
      <c r="O366" s="6"/>
      <c r="P366" s="6"/>
      <c r="Q366" s="6"/>
      <c r="R366" s="6"/>
      <c r="S366" s="6"/>
      <c r="T366" s="6"/>
      <c r="U366" s="6"/>
      <c r="V366" s="6"/>
      <c r="W366" s="6"/>
      <c r="X366" s="6"/>
      <c r="Y366" s="6"/>
      <c r="Z366" s="6"/>
      <c r="AA366" s="6"/>
      <c r="AB366" s="6"/>
      <c r="AC366" s="6"/>
      <c r="AD366" s="7"/>
    </row>
    <row r="367" spans="1:30" ht="13">
      <c r="A367" s="20"/>
      <c r="B367" s="20"/>
      <c r="C367" s="23"/>
      <c r="D367" s="17"/>
      <c r="E367" s="6"/>
      <c r="F367" s="6"/>
      <c r="G367" s="6"/>
      <c r="H367" s="6"/>
      <c r="I367" s="17"/>
      <c r="J367" s="6"/>
      <c r="K367" s="6"/>
      <c r="L367" s="17"/>
      <c r="M367" s="6"/>
      <c r="N367" s="6"/>
      <c r="O367" s="6"/>
      <c r="P367" s="6"/>
      <c r="Q367" s="6"/>
      <c r="R367" s="6"/>
      <c r="S367" s="6"/>
      <c r="T367" s="6"/>
      <c r="U367" s="6"/>
      <c r="V367" s="6"/>
      <c r="W367" s="6"/>
      <c r="X367" s="6"/>
      <c r="Y367" s="6"/>
      <c r="Z367" s="6"/>
      <c r="AA367" s="6"/>
      <c r="AB367" s="6"/>
      <c r="AC367" s="6"/>
      <c r="AD367" s="7"/>
    </row>
    <row r="368" spans="1:30" ht="13">
      <c r="A368" s="20"/>
      <c r="B368" s="20"/>
      <c r="C368" s="23"/>
      <c r="D368" s="17"/>
      <c r="E368" s="6"/>
      <c r="F368" s="6"/>
      <c r="G368" s="6"/>
      <c r="H368" s="6"/>
      <c r="I368" s="17"/>
      <c r="J368" s="6"/>
      <c r="K368" s="6"/>
      <c r="L368" s="17"/>
      <c r="M368" s="6"/>
      <c r="N368" s="6"/>
      <c r="O368" s="6"/>
      <c r="P368" s="6"/>
      <c r="Q368" s="6"/>
      <c r="R368" s="6"/>
      <c r="S368" s="6"/>
      <c r="T368" s="6"/>
      <c r="U368" s="6"/>
      <c r="V368" s="6"/>
      <c r="W368" s="6"/>
      <c r="X368" s="6"/>
      <c r="Y368" s="6"/>
      <c r="Z368" s="6"/>
      <c r="AA368" s="6"/>
      <c r="AB368" s="6"/>
      <c r="AC368" s="6"/>
      <c r="AD368" s="7"/>
    </row>
    <row r="369" spans="1:30" ht="13">
      <c r="A369" s="20"/>
      <c r="B369" s="20"/>
      <c r="C369" s="23"/>
      <c r="D369" s="17"/>
      <c r="E369" s="6"/>
      <c r="F369" s="6"/>
      <c r="G369" s="6"/>
      <c r="H369" s="6"/>
      <c r="I369" s="17"/>
      <c r="J369" s="6"/>
      <c r="K369" s="6"/>
      <c r="L369" s="17"/>
      <c r="M369" s="6"/>
      <c r="N369" s="6"/>
      <c r="O369" s="6"/>
      <c r="P369" s="6"/>
      <c r="Q369" s="6"/>
      <c r="R369" s="6"/>
      <c r="S369" s="6"/>
      <c r="T369" s="6"/>
      <c r="U369" s="6"/>
      <c r="V369" s="6"/>
      <c r="W369" s="6"/>
      <c r="X369" s="6"/>
      <c r="Y369" s="6"/>
      <c r="Z369" s="6"/>
      <c r="AA369" s="6"/>
      <c r="AB369" s="6"/>
      <c r="AC369" s="6"/>
      <c r="AD369" s="7"/>
    </row>
    <row r="370" spans="1:30" ht="13">
      <c r="A370" s="20"/>
      <c r="B370" s="20"/>
      <c r="C370" s="23"/>
      <c r="D370" s="17"/>
      <c r="E370" s="6"/>
      <c r="F370" s="6"/>
      <c r="G370" s="6"/>
      <c r="H370" s="6"/>
      <c r="I370" s="17"/>
      <c r="J370" s="6"/>
      <c r="K370" s="6"/>
      <c r="L370" s="17"/>
      <c r="M370" s="6"/>
      <c r="N370" s="6"/>
      <c r="O370" s="6"/>
      <c r="P370" s="6"/>
      <c r="Q370" s="6"/>
      <c r="R370" s="6"/>
      <c r="S370" s="6"/>
      <c r="T370" s="6"/>
      <c r="U370" s="6"/>
      <c r="V370" s="6"/>
      <c r="W370" s="6"/>
      <c r="X370" s="6"/>
      <c r="Y370" s="6"/>
      <c r="Z370" s="6"/>
      <c r="AA370" s="6"/>
      <c r="AB370" s="6"/>
      <c r="AC370" s="6"/>
      <c r="AD370" s="7"/>
    </row>
    <row r="371" spans="1:30" ht="13">
      <c r="A371" s="20"/>
      <c r="B371" s="20"/>
      <c r="C371" s="23"/>
      <c r="D371" s="17"/>
      <c r="E371" s="6"/>
      <c r="F371" s="6"/>
      <c r="G371" s="6"/>
      <c r="H371" s="6"/>
      <c r="I371" s="17"/>
      <c r="J371" s="6"/>
      <c r="K371" s="6"/>
      <c r="L371" s="17"/>
      <c r="M371" s="6"/>
      <c r="N371" s="6"/>
      <c r="O371" s="6"/>
      <c r="P371" s="6"/>
      <c r="Q371" s="6"/>
      <c r="R371" s="6"/>
      <c r="S371" s="6"/>
      <c r="T371" s="6"/>
      <c r="U371" s="6"/>
      <c r="V371" s="6"/>
      <c r="W371" s="6"/>
      <c r="X371" s="6"/>
      <c r="Y371" s="6"/>
      <c r="Z371" s="6"/>
      <c r="AA371" s="6"/>
      <c r="AB371" s="6"/>
      <c r="AC371" s="6"/>
      <c r="AD371" s="7"/>
    </row>
    <row r="372" spans="1:30" ht="13">
      <c r="A372" s="20"/>
      <c r="B372" s="20"/>
      <c r="C372" s="23"/>
      <c r="D372" s="17"/>
      <c r="E372" s="6"/>
      <c r="F372" s="6"/>
      <c r="G372" s="6"/>
      <c r="H372" s="6"/>
      <c r="I372" s="17"/>
      <c r="J372" s="6"/>
      <c r="K372" s="6"/>
      <c r="L372" s="17"/>
      <c r="M372" s="6"/>
      <c r="N372" s="6"/>
      <c r="O372" s="6"/>
      <c r="P372" s="6"/>
      <c r="Q372" s="6"/>
      <c r="R372" s="6"/>
      <c r="S372" s="6"/>
      <c r="T372" s="6"/>
      <c r="U372" s="6"/>
      <c r="V372" s="6"/>
      <c r="W372" s="6"/>
      <c r="X372" s="6"/>
      <c r="Y372" s="6"/>
      <c r="Z372" s="6"/>
      <c r="AA372" s="6"/>
      <c r="AB372" s="6"/>
      <c r="AC372" s="6"/>
      <c r="AD372" s="7"/>
    </row>
    <row r="373" spans="1:30" ht="13">
      <c r="A373" s="20"/>
      <c r="B373" s="20"/>
      <c r="C373" s="23"/>
      <c r="D373" s="17"/>
      <c r="E373" s="6"/>
      <c r="F373" s="6"/>
      <c r="G373" s="6"/>
      <c r="H373" s="6"/>
      <c r="I373" s="17"/>
      <c r="J373" s="6"/>
      <c r="K373" s="6"/>
      <c r="L373" s="17"/>
      <c r="M373" s="6"/>
      <c r="N373" s="6"/>
      <c r="O373" s="6"/>
      <c r="P373" s="6"/>
      <c r="Q373" s="6"/>
      <c r="R373" s="6"/>
      <c r="S373" s="6"/>
      <c r="T373" s="6"/>
      <c r="U373" s="6"/>
      <c r="V373" s="6"/>
      <c r="W373" s="6"/>
      <c r="X373" s="6"/>
      <c r="Y373" s="6"/>
      <c r="Z373" s="6"/>
      <c r="AA373" s="6"/>
      <c r="AB373" s="6"/>
      <c r="AC373" s="6"/>
      <c r="AD373" s="7"/>
    </row>
    <row r="374" spans="1:30" ht="13">
      <c r="A374" s="20"/>
      <c r="B374" s="20"/>
      <c r="C374" s="23"/>
      <c r="D374" s="17"/>
      <c r="E374" s="6"/>
      <c r="F374" s="6"/>
      <c r="G374" s="6"/>
      <c r="H374" s="6"/>
      <c r="I374" s="17"/>
      <c r="J374" s="6"/>
      <c r="K374" s="6"/>
      <c r="L374" s="17"/>
      <c r="M374" s="6"/>
      <c r="N374" s="6"/>
      <c r="O374" s="6"/>
      <c r="P374" s="6"/>
      <c r="Q374" s="6"/>
      <c r="R374" s="6"/>
      <c r="S374" s="6"/>
      <c r="T374" s="6"/>
      <c r="U374" s="6"/>
      <c r="V374" s="6"/>
      <c r="W374" s="6"/>
      <c r="X374" s="6"/>
      <c r="Y374" s="6"/>
      <c r="Z374" s="6"/>
      <c r="AA374" s="6"/>
      <c r="AB374" s="6"/>
      <c r="AC374" s="6"/>
      <c r="AD374" s="7"/>
    </row>
    <row r="375" spans="1:30" ht="13">
      <c r="A375" s="20"/>
      <c r="B375" s="20"/>
      <c r="C375" s="23"/>
      <c r="D375" s="17"/>
      <c r="E375" s="6"/>
      <c r="F375" s="6"/>
      <c r="G375" s="6"/>
      <c r="H375" s="6"/>
      <c r="I375" s="17"/>
      <c r="J375" s="6"/>
      <c r="K375" s="6"/>
      <c r="L375" s="17"/>
      <c r="M375" s="6"/>
      <c r="N375" s="6"/>
      <c r="O375" s="6"/>
      <c r="P375" s="6"/>
      <c r="Q375" s="6"/>
      <c r="R375" s="6"/>
      <c r="S375" s="6"/>
      <c r="T375" s="6"/>
      <c r="U375" s="6"/>
      <c r="V375" s="6"/>
      <c r="W375" s="6"/>
      <c r="X375" s="6"/>
      <c r="Y375" s="6"/>
      <c r="Z375" s="6"/>
      <c r="AA375" s="6"/>
      <c r="AB375" s="6"/>
      <c r="AC375" s="6"/>
      <c r="AD375" s="7"/>
    </row>
    <row r="376" spans="1:30" ht="13">
      <c r="A376" s="20"/>
      <c r="B376" s="20"/>
      <c r="C376" s="23"/>
      <c r="D376" s="17"/>
      <c r="E376" s="6"/>
      <c r="F376" s="6"/>
      <c r="G376" s="6"/>
      <c r="H376" s="6"/>
      <c r="I376" s="17"/>
      <c r="J376" s="6"/>
      <c r="K376" s="6"/>
      <c r="L376" s="17"/>
      <c r="M376" s="6"/>
      <c r="N376" s="6"/>
      <c r="O376" s="6"/>
      <c r="P376" s="6"/>
      <c r="Q376" s="6"/>
      <c r="R376" s="6"/>
      <c r="S376" s="6"/>
      <c r="T376" s="6"/>
      <c r="U376" s="6"/>
      <c r="V376" s="6"/>
      <c r="W376" s="6"/>
      <c r="X376" s="6"/>
      <c r="Y376" s="6"/>
      <c r="Z376" s="6"/>
      <c r="AA376" s="6"/>
      <c r="AB376" s="6"/>
      <c r="AC376" s="6"/>
      <c r="AD376" s="7"/>
    </row>
    <row r="377" spans="1:30" ht="13">
      <c r="A377" s="20"/>
      <c r="B377" s="20"/>
      <c r="C377" s="23"/>
      <c r="D377" s="17"/>
      <c r="E377" s="6"/>
      <c r="F377" s="6"/>
      <c r="G377" s="6"/>
      <c r="H377" s="6"/>
      <c r="I377" s="17"/>
      <c r="J377" s="6"/>
      <c r="K377" s="6"/>
      <c r="L377" s="17"/>
      <c r="M377" s="6"/>
      <c r="N377" s="6"/>
      <c r="O377" s="6"/>
      <c r="P377" s="6"/>
      <c r="Q377" s="6"/>
      <c r="R377" s="6"/>
      <c r="S377" s="6"/>
      <c r="T377" s="6"/>
      <c r="U377" s="6"/>
      <c r="V377" s="6"/>
      <c r="W377" s="6"/>
      <c r="X377" s="6"/>
      <c r="Y377" s="6"/>
      <c r="Z377" s="6"/>
      <c r="AA377" s="6"/>
      <c r="AB377" s="6"/>
      <c r="AC377" s="6"/>
      <c r="AD377" s="7"/>
    </row>
    <row r="378" spans="1:30" ht="13">
      <c r="A378" s="20"/>
      <c r="B378" s="20"/>
      <c r="C378" s="23"/>
      <c r="D378" s="17"/>
      <c r="E378" s="6"/>
      <c r="F378" s="6"/>
      <c r="G378" s="6"/>
      <c r="H378" s="6"/>
      <c r="I378" s="17"/>
      <c r="J378" s="6"/>
      <c r="K378" s="6"/>
      <c r="L378" s="17"/>
      <c r="M378" s="6"/>
      <c r="N378" s="6"/>
      <c r="O378" s="6"/>
      <c r="P378" s="6"/>
      <c r="Q378" s="6"/>
      <c r="R378" s="6"/>
      <c r="S378" s="6"/>
      <c r="T378" s="6"/>
      <c r="U378" s="6"/>
      <c r="V378" s="6"/>
      <c r="W378" s="6"/>
      <c r="X378" s="6"/>
      <c r="Y378" s="6"/>
      <c r="Z378" s="6"/>
      <c r="AA378" s="6"/>
      <c r="AB378" s="6"/>
      <c r="AC378" s="6"/>
      <c r="AD378" s="7"/>
    </row>
    <row r="379" spans="1:30" ht="13">
      <c r="A379" s="20"/>
      <c r="B379" s="20"/>
      <c r="C379" s="23"/>
      <c r="D379" s="17"/>
      <c r="E379" s="6"/>
      <c r="F379" s="6"/>
      <c r="G379" s="6"/>
      <c r="H379" s="6"/>
      <c r="I379" s="17"/>
      <c r="J379" s="6"/>
      <c r="K379" s="6"/>
      <c r="L379" s="17"/>
      <c r="M379" s="6"/>
      <c r="N379" s="6"/>
      <c r="O379" s="6"/>
      <c r="P379" s="6"/>
      <c r="Q379" s="6"/>
      <c r="R379" s="6"/>
      <c r="S379" s="6"/>
      <c r="T379" s="6"/>
      <c r="U379" s="6"/>
      <c r="V379" s="6"/>
      <c r="W379" s="6"/>
      <c r="X379" s="6"/>
      <c r="Y379" s="6"/>
      <c r="Z379" s="6"/>
      <c r="AA379" s="6"/>
      <c r="AB379" s="6"/>
      <c r="AC379" s="6"/>
      <c r="AD379" s="7"/>
    </row>
    <row r="380" spans="1:30" ht="13">
      <c r="A380" s="20"/>
      <c r="B380" s="20"/>
      <c r="C380" s="23"/>
      <c r="D380" s="17"/>
      <c r="E380" s="6"/>
      <c r="F380" s="6"/>
      <c r="G380" s="6"/>
      <c r="H380" s="6"/>
      <c r="I380" s="17"/>
      <c r="J380" s="6"/>
      <c r="K380" s="6"/>
      <c r="L380" s="17"/>
      <c r="M380" s="6"/>
      <c r="N380" s="6"/>
      <c r="O380" s="6"/>
      <c r="P380" s="6"/>
      <c r="Q380" s="6"/>
      <c r="R380" s="6"/>
      <c r="S380" s="6"/>
      <c r="T380" s="6"/>
      <c r="U380" s="6"/>
      <c r="V380" s="6"/>
      <c r="W380" s="6"/>
      <c r="X380" s="6"/>
      <c r="Y380" s="6"/>
      <c r="Z380" s="6"/>
      <c r="AA380" s="6"/>
      <c r="AB380" s="6"/>
      <c r="AC380" s="6"/>
      <c r="AD380" s="7"/>
    </row>
    <row r="381" spans="1:30" ht="13">
      <c r="A381" s="20"/>
      <c r="B381" s="20"/>
      <c r="C381" s="23"/>
      <c r="D381" s="17"/>
      <c r="E381" s="6"/>
      <c r="F381" s="6"/>
      <c r="G381" s="6"/>
      <c r="H381" s="6"/>
      <c r="I381" s="17"/>
      <c r="J381" s="6"/>
      <c r="K381" s="6"/>
      <c r="L381" s="17"/>
      <c r="M381" s="6"/>
      <c r="N381" s="6"/>
      <c r="O381" s="6"/>
      <c r="P381" s="6"/>
      <c r="Q381" s="6"/>
      <c r="R381" s="6"/>
      <c r="S381" s="6"/>
      <c r="T381" s="6"/>
      <c r="U381" s="6"/>
      <c r="V381" s="6"/>
      <c r="W381" s="6"/>
      <c r="X381" s="6"/>
      <c r="Y381" s="6"/>
      <c r="Z381" s="6"/>
      <c r="AA381" s="6"/>
      <c r="AB381" s="6"/>
      <c r="AC381" s="6"/>
      <c r="AD381" s="7"/>
    </row>
    <row r="382" spans="1:30" ht="13">
      <c r="A382" s="20"/>
      <c r="B382" s="20"/>
      <c r="C382" s="23"/>
      <c r="D382" s="17"/>
      <c r="E382" s="6"/>
      <c r="F382" s="6"/>
      <c r="G382" s="6"/>
      <c r="H382" s="6"/>
      <c r="I382" s="17"/>
      <c r="J382" s="6"/>
      <c r="K382" s="6"/>
      <c r="L382" s="17"/>
      <c r="M382" s="6"/>
      <c r="N382" s="6"/>
      <c r="O382" s="6"/>
      <c r="P382" s="6"/>
      <c r="Q382" s="6"/>
      <c r="R382" s="6"/>
      <c r="S382" s="6"/>
      <c r="T382" s="6"/>
      <c r="U382" s="6"/>
      <c r="V382" s="6"/>
      <c r="W382" s="6"/>
      <c r="X382" s="6"/>
      <c r="Y382" s="6"/>
      <c r="Z382" s="6"/>
      <c r="AA382" s="6"/>
      <c r="AB382" s="6"/>
      <c r="AC382" s="6"/>
      <c r="AD382" s="7"/>
    </row>
    <row r="383" spans="1:30" ht="13">
      <c r="A383" s="20"/>
      <c r="B383" s="20"/>
      <c r="C383" s="23"/>
      <c r="D383" s="17"/>
      <c r="E383" s="6"/>
      <c r="F383" s="6"/>
      <c r="G383" s="6"/>
      <c r="H383" s="6"/>
      <c r="I383" s="17"/>
      <c r="J383" s="6"/>
      <c r="K383" s="6"/>
      <c r="L383" s="17"/>
      <c r="M383" s="6"/>
      <c r="N383" s="6"/>
      <c r="O383" s="6"/>
      <c r="P383" s="6"/>
      <c r="Q383" s="6"/>
      <c r="R383" s="6"/>
      <c r="S383" s="6"/>
      <c r="T383" s="6"/>
      <c r="U383" s="6"/>
      <c r="V383" s="6"/>
      <c r="W383" s="6"/>
      <c r="X383" s="6"/>
      <c r="Y383" s="6"/>
      <c r="Z383" s="6"/>
      <c r="AA383" s="6"/>
      <c r="AB383" s="6"/>
      <c r="AC383" s="6"/>
      <c r="AD383" s="7"/>
    </row>
    <row r="384" spans="1:30" ht="13">
      <c r="A384" s="20"/>
      <c r="B384" s="20"/>
      <c r="C384" s="23"/>
      <c r="D384" s="17"/>
      <c r="E384" s="6"/>
      <c r="F384" s="6"/>
      <c r="G384" s="6"/>
      <c r="H384" s="6"/>
      <c r="I384" s="17"/>
      <c r="J384" s="6"/>
      <c r="K384" s="6"/>
      <c r="L384" s="17"/>
      <c r="M384" s="6"/>
      <c r="N384" s="6"/>
      <c r="O384" s="6"/>
      <c r="P384" s="6"/>
      <c r="Q384" s="6"/>
      <c r="R384" s="6"/>
      <c r="S384" s="6"/>
      <c r="T384" s="6"/>
      <c r="U384" s="6"/>
      <c r="V384" s="6"/>
      <c r="W384" s="6"/>
      <c r="X384" s="6"/>
      <c r="Y384" s="6"/>
      <c r="Z384" s="6"/>
      <c r="AA384" s="6"/>
      <c r="AB384" s="6"/>
      <c r="AC384" s="6"/>
      <c r="AD384" s="7"/>
    </row>
    <row r="385" spans="1:30" ht="13">
      <c r="A385" s="20"/>
      <c r="B385" s="20"/>
      <c r="C385" s="23"/>
      <c r="D385" s="17"/>
      <c r="E385" s="6"/>
      <c r="F385" s="6"/>
      <c r="G385" s="6"/>
      <c r="H385" s="6"/>
      <c r="I385" s="17"/>
      <c r="J385" s="6"/>
      <c r="K385" s="6"/>
      <c r="L385" s="17"/>
      <c r="M385" s="6"/>
      <c r="N385" s="6"/>
      <c r="O385" s="6"/>
      <c r="P385" s="6"/>
      <c r="Q385" s="6"/>
      <c r="R385" s="6"/>
      <c r="S385" s="6"/>
      <c r="T385" s="6"/>
      <c r="U385" s="6"/>
      <c r="V385" s="6"/>
      <c r="W385" s="6"/>
      <c r="X385" s="6"/>
      <c r="Y385" s="6"/>
      <c r="Z385" s="6"/>
      <c r="AA385" s="6"/>
      <c r="AB385" s="6"/>
      <c r="AC385" s="6"/>
      <c r="AD385" s="7"/>
    </row>
    <row r="386" spans="1:30" ht="13">
      <c r="A386" s="20"/>
      <c r="B386" s="20"/>
      <c r="C386" s="23"/>
      <c r="D386" s="17"/>
      <c r="E386" s="6"/>
      <c r="F386" s="6"/>
      <c r="G386" s="6"/>
      <c r="H386" s="6"/>
      <c r="I386" s="17"/>
      <c r="J386" s="6"/>
      <c r="K386" s="6"/>
      <c r="L386" s="17"/>
      <c r="M386" s="6"/>
      <c r="N386" s="6"/>
      <c r="O386" s="6"/>
      <c r="P386" s="6"/>
      <c r="Q386" s="6"/>
      <c r="R386" s="6"/>
      <c r="S386" s="6"/>
      <c r="T386" s="6"/>
      <c r="U386" s="6"/>
      <c r="V386" s="6"/>
      <c r="W386" s="6"/>
      <c r="X386" s="6"/>
      <c r="Y386" s="6"/>
      <c r="Z386" s="6"/>
      <c r="AA386" s="6"/>
      <c r="AB386" s="6"/>
      <c r="AC386" s="6"/>
      <c r="AD386" s="7"/>
    </row>
    <row r="387" spans="1:30" ht="13">
      <c r="A387" s="20"/>
      <c r="B387" s="20"/>
      <c r="C387" s="23"/>
      <c r="D387" s="17"/>
      <c r="E387" s="6"/>
      <c r="F387" s="6"/>
      <c r="G387" s="6"/>
      <c r="H387" s="6"/>
      <c r="I387" s="17"/>
      <c r="J387" s="6"/>
      <c r="K387" s="6"/>
      <c r="L387" s="17"/>
      <c r="M387" s="6"/>
      <c r="N387" s="6"/>
      <c r="O387" s="6"/>
      <c r="P387" s="6"/>
      <c r="Q387" s="6"/>
      <c r="R387" s="6"/>
      <c r="S387" s="6"/>
      <c r="T387" s="6"/>
      <c r="U387" s="6"/>
      <c r="V387" s="6"/>
      <c r="W387" s="6"/>
      <c r="X387" s="6"/>
      <c r="Y387" s="6"/>
      <c r="Z387" s="6"/>
      <c r="AA387" s="6"/>
      <c r="AB387" s="6"/>
      <c r="AC387" s="6"/>
      <c r="AD387" s="7"/>
    </row>
    <row r="388" spans="1:30" ht="13">
      <c r="A388" s="20"/>
      <c r="B388" s="20"/>
      <c r="C388" s="23"/>
      <c r="D388" s="17"/>
      <c r="E388" s="6"/>
      <c r="F388" s="6"/>
      <c r="G388" s="6"/>
      <c r="H388" s="6"/>
      <c r="I388" s="17"/>
      <c r="J388" s="6"/>
      <c r="K388" s="6"/>
      <c r="L388" s="17"/>
      <c r="M388" s="6"/>
      <c r="N388" s="6"/>
      <c r="O388" s="6"/>
      <c r="P388" s="6"/>
      <c r="Q388" s="6"/>
      <c r="R388" s="6"/>
      <c r="S388" s="6"/>
      <c r="T388" s="6"/>
      <c r="U388" s="6"/>
      <c r="V388" s="6"/>
      <c r="W388" s="6"/>
      <c r="X388" s="6"/>
      <c r="Y388" s="6"/>
      <c r="Z388" s="6"/>
      <c r="AA388" s="6"/>
      <c r="AB388" s="6"/>
      <c r="AC388" s="6"/>
      <c r="AD388" s="7"/>
    </row>
    <row r="389" spans="1:30" ht="13">
      <c r="A389" s="20"/>
      <c r="B389" s="20"/>
      <c r="C389" s="23"/>
      <c r="D389" s="17"/>
      <c r="E389" s="6"/>
      <c r="F389" s="6"/>
      <c r="G389" s="6"/>
      <c r="H389" s="6"/>
      <c r="I389" s="17"/>
      <c r="J389" s="6"/>
      <c r="K389" s="6"/>
      <c r="L389" s="17"/>
      <c r="M389" s="6"/>
      <c r="N389" s="6"/>
      <c r="O389" s="6"/>
      <c r="P389" s="6"/>
      <c r="Q389" s="6"/>
      <c r="R389" s="6"/>
      <c r="S389" s="6"/>
      <c r="T389" s="6"/>
      <c r="U389" s="6"/>
      <c r="V389" s="6"/>
      <c r="W389" s="6"/>
      <c r="X389" s="6"/>
      <c r="Y389" s="6"/>
      <c r="Z389" s="6"/>
      <c r="AA389" s="6"/>
      <c r="AB389" s="6"/>
      <c r="AC389" s="6"/>
      <c r="AD389" s="7"/>
    </row>
    <row r="390" spans="1:30" ht="13">
      <c r="A390" s="20"/>
      <c r="B390" s="20"/>
      <c r="C390" s="23"/>
      <c r="D390" s="17"/>
      <c r="E390" s="6"/>
      <c r="F390" s="6"/>
      <c r="G390" s="6"/>
      <c r="H390" s="6"/>
      <c r="I390" s="17"/>
      <c r="J390" s="6"/>
      <c r="K390" s="6"/>
      <c r="L390" s="17"/>
      <c r="M390" s="6"/>
      <c r="N390" s="6"/>
      <c r="O390" s="6"/>
      <c r="P390" s="6"/>
      <c r="Q390" s="6"/>
      <c r="R390" s="6"/>
      <c r="S390" s="6"/>
      <c r="T390" s="6"/>
      <c r="U390" s="6"/>
      <c r="V390" s="6"/>
      <c r="W390" s="6"/>
      <c r="X390" s="6"/>
      <c r="Y390" s="6"/>
      <c r="Z390" s="6"/>
      <c r="AA390" s="6"/>
      <c r="AB390" s="6"/>
      <c r="AC390" s="6"/>
      <c r="AD390" s="7"/>
    </row>
    <row r="391" spans="1:30" ht="13">
      <c r="A391" s="20"/>
      <c r="B391" s="20"/>
      <c r="C391" s="23"/>
      <c r="D391" s="17"/>
      <c r="E391" s="6"/>
      <c r="F391" s="6"/>
      <c r="G391" s="6"/>
      <c r="H391" s="6"/>
      <c r="I391" s="17"/>
      <c r="J391" s="6"/>
      <c r="K391" s="6"/>
      <c r="L391" s="17"/>
      <c r="M391" s="6"/>
      <c r="N391" s="6"/>
      <c r="O391" s="6"/>
      <c r="P391" s="6"/>
      <c r="Q391" s="6"/>
      <c r="R391" s="6"/>
      <c r="S391" s="6"/>
      <c r="T391" s="6"/>
      <c r="U391" s="6"/>
      <c r="V391" s="6"/>
      <c r="W391" s="6"/>
      <c r="X391" s="6"/>
      <c r="Y391" s="6"/>
      <c r="Z391" s="6"/>
      <c r="AA391" s="6"/>
      <c r="AB391" s="6"/>
      <c r="AC391" s="6"/>
      <c r="AD391" s="7"/>
    </row>
    <row r="392" spans="1:30" ht="13">
      <c r="A392" s="20"/>
      <c r="B392" s="20"/>
      <c r="C392" s="23"/>
      <c r="D392" s="17"/>
      <c r="E392" s="6"/>
      <c r="F392" s="6"/>
      <c r="G392" s="6"/>
      <c r="H392" s="6"/>
      <c r="I392" s="17"/>
      <c r="J392" s="6"/>
      <c r="K392" s="6"/>
      <c r="L392" s="17"/>
      <c r="M392" s="6"/>
      <c r="N392" s="6"/>
      <c r="O392" s="6"/>
      <c r="P392" s="6"/>
      <c r="Q392" s="6"/>
      <c r="R392" s="6"/>
      <c r="S392" s="6"/>
      <c r="T392" s="6"/>
      <c r="U392" s="6"/>
      <c r="V392" s="6"/>
      <c r="W392" s="6"/>
      <c r="X392" s="6"/>
      <c r="Y392" s="6"/>
      <c r="Z392" s="6"/>
      <c r="AA392" s="6"/>
      <c r="AB392" s="6"/>
      <c r="AC392" s="6"/>
      <c r="AD392" s="7"/>
    </row>
    <row r="393" spans="1:30" ht="13">
      <c r="A393" s="20"/>
      <c r="B393" s="20"/>
      <c r="C393" s="23"/>
      <c r="D393" s="17"/>
      <c r="E393" s="6"/>
      <c r="F393" s="6"/>
      <c r="G393" s="6"/>
      <c r="H393" s="6"/>
      <c r="I393" s="17"/>
      <c r="J393" s="6"/>
      <c r="K393" s="6"/>
      <c r="L393" s="17"/>
      <c r="M393" s="6"/>
      <c r="N393" s="6"/>
      <c r="O393" s="6"/>
      <c r="P393" s="6"/>
      <c r="Q393" s="6"/>
      <c r="R393" s="6"/>
      <c r="S393" s="6"/>
      <c r="T393" s="6"/>
      <c r="U393" s="6"/>
      <c r="V393" s="6"/>
      <c r="W393" s="6"/>
      <c r="X393" s="6"/>
      <c r="Y393" s="6"/>
      <c r="Z393" s="6"/>
      <c r="AA393" s="6"/>
      <c r="AB393" s="6"/>
      <c r="AC393" s="6"/>
      <c r="AD393" s="7"/>
    </row>
    <row r="394" spans="1:30" ht="13">
      <c r="A394" s="20"/>
      <c r="B394" s="20"/>
      <c r="C394" s="23"/>
      <c r="D394" s="17"/>
      <c r="E394" s="6"/>
      <c r="F394" s="6"/>
      <c r="G394" s="6"/>
      <c r="H394" s="6"/>
      <c r="I394" s="17"/>
      <c r="J394" s="6"/>
      <c r="K394" s="6"/>
      <c r="L394" s="17"/>
      <c r="M394" s="6"/>
      <c r="N394" s="6"/>
      <c r="O394" s="6"/>
      <c r="P394" s="6"/>
      <c r="Q394" s="6"/>
      <c r="R394" s="6"/>
      <c r="S394" s="6"/>
      <c r="T394" s="6"/>
      <c r="U394" s="6"/>
      <c r="V394" s="6"/>
      <c r="W394" s="6"/>
      <c r="X394" s="6"/>
      <c r="Y394" s="6"/>
      <c r="Z394" s="6"/>
      <c r="AA394" s="6"/>
      <c r="AB394" s="6"/>
      <c r="AC394" s="6"/>
      <c r="AD394" s="7"/>
    </row>
    <row r="395" spans="1:30" ht="13">
      <c r="A395" s="20"/>
      <c r="B395" s="20"/>
      <c r="C395" s="23"/>
      <c r="D395" s="17"/>
      <c r="E395" s="6"/>
      <c r="F395" s="6"/>
      <c r="G395" s="6"/>
      <c r="H395" s="6"/>
      <c r="I395" s="17"/>
      <c r="J395" s="6"/>
      <c r="K395" s="6"/>
      <c r="L395" s="17"/>
      <c r="M395" s="6"/>
      <c r="N395" s="6"/>
      <c r="O395" s="6"/>
      <c r="P395" s="6"/>
      <c r="Q395" s="6"/>
      <c r="R395" s="6"/>
      <c r="S395" s="6"/>
      <c r="T395" s="6"/>
      <c r="U395" s="6"/>
      <c r="V395" s="6"/>
      <c r="W395" s="6"/>
      <c r="X395" s="6"/>
      <c r="Y395" s="6"/>
      <c r="Z395" s="6"/>
      <c r="AA395" s="6"/>
      <c r="AB395" s="6"/>
      <c r="AC395" s="6"/>
      <c r="AD395" s="7"/>
    </row>
    <row r="396" spans="1:30" ht="13">
      <c r="A396" s="20"/>
      <c r="B396" s="20"/>
      <c r="C396" s="23"/>
      <c r="D396" s="17"/>
      <c r="E396" s="6"/>
      <c r="F396" s="6"/>
      <c r="G396" s="6"/>
      <c r="H396" s="6"/>
      <c r="I396" s="17"/>
      <c r="J396" s="6"/>
      <c r="K396" s="6"/>
      <c r="L396" s="17"/>
      <c r="M396" s="6"/>
      <c r="N396" s="6"/>
      <c r="O396" s="6"/>
      <c r="P396" s="6"/>
      <c r="Q396" s="6"/>
      <c r="R396" s="6"/>
      <c r="S396" s="6"/>
      <c r="T396" s="6"/>
      <c r="U396" s="6"/>
      <c r="V396" s="6"/>
      <c r="W396" s="6"/>
      <c r="X396" s="6"/>
      <c r="Y396" s="6"/>
      <c r="Z396" s="6"/>
      <c r="AA396" s="6"/>
      <c r="AB396" s="6"/>
      <c r="AC396" s="6"/>
      <c r="AD396" s="7"/>
    </row>
    <row r="397" spans="1:30" ht="13">
      <c r="A397" s="20"/>
      <c r="B397" s="20"/>
      <c r="C397" s="23"/>
      <c r="D397" s="17"/>
      <c r="E397" s="6"/>
      <c r="F397" s="6"/>
      <c r="G397" s="6"/>
      <c r="H397" s="6"/>
      <c r="I397" s="17"/>
      <c r="J397" s="6"/>
      <c r="K397" s="6"/>
      <c r="L397" s="17"/>
      <c r="M397" s="6"/>
      <c r="N397" s="6"/>
      <c r="O397" s="6"/>
      <c r="P397" s="6"/>
      <c r="Q397" s="6"/>
      <c r="R397" s="6"/>
      <c r="S397" s="6"/>
      <c r="T397" s="6"/>
      <c r="U397" s="6"/>
      <c r="V397" s="6"/>
      <c r="W397" s="6"/>
      <c r="X397" s="6"/>
      <c r="Y397" s="6"/>
      <c r="Z397" s="6"/>
      <c r="AA397" s="6"/>
      <c r="AB397" s="6"/>
      <c r="AC397" s="6"/>
      <c r="AD397" s="7"/>
    </row>
    <row r="398" spans="1:30" ht="13">
      <c r="A398" s="20"/>
      <c r="B398" s="20"/>
      <c r="C398" s="23"/>
      <c r="D398" s="17"/>
      <c r="E398" s="6"/>
      <c r="F398" s="6"/>
      <c r="G398" s="6"/>
      <c r="H398" s="6"/>
      <c r="I398" s="17"/>
      <c r="J398" s="6"/>
      <c r="K398" s="6"/>
      <c r="L398" s="17"/>
      <c r="M398" s="6"/>
      <c r="N398" s="6"/>
      <c r="O398" s="6"/>
      <c r="P398" s="6"/>
      <c r="Q398" s="6"/>
      <c r="R398" s="6"/>
      <c r="S398" s="6"/>
      <c r="T398" s="6"/>
      <c r="U398" s="6"/>
      <c r="V398" s="6"/>
      <c r="W398" s="6"/>
      <c r="X398" s="6"/>
      <c r="Y398" s="6"/>
      <c r="Z398" s="6"/>
      <c r="AA398" s="6"/>
      <c r="AB398" s="6"/>
      <c r="AC398" s="6"/>
      <c r="AD398" s="7"/>
    </row>
    <row r="399" spans="1:30" ht="13">
      <c r="A399" s="20"/>
      <c r="B399" s="20"/>
      <c r="C399" s="23"/>
      <c r="D399" s="17"/>
      <c r="E399" s="6"/>
      <c r="F399" s="6"/>
      <c r="G399" s="6"/>
      <c r="H399" s="6"/>
      <c r="I399" s="17"/>
      <c r="J399" s="6"/>
      <c r="K399" s="6"/>
      <c r="L399" s="17"/>
      <c r="M399" s="6"/>
      <c r="N399" s="6"/>
      <c r="O399" s="6"/>
      <c r="P399" s="6"/>
      <c r="Q399" s="6"/>
      <c r="R399" s="6"/>
      <c r="S399" s="6"/>
      <c r="T399" s="6"/>
      <c r="U399" s="6"/>
      <c r="V399" s="6"/>
      <c r="W399" s="6"/>
      <c r="X399" s="6"/>
      <c r="Y399" s="6"/>
      <c r="Z399" s="6"/>
      <c r="AA399" s="6"/>
      <c r="AB399" s="6"/>
      <c r="AC399" s="6"/>
      <c r="AD399" s="7"/>
    </row>
    <row r="400" spans="1:30" ht="13">
      <c r="A400" s="20"/>
      <c r="B400" s="20"/>
      <c r="C400" s="23"/>
      <c r="D400" s="17"/>
      <c r="E400" s="6"/>
      <c r="F400" s="6"/>
      <c r="G400" s="6"/>
      <c r="H400" s="6"/>
      <c r="I400" s="17"/>
      <c r="J400" s="6"/>
      <c r="K400" s="6"/>
      <c r="L400" s="17"/>
      <c r="M400" s="6"/>
      <c r="N400" s="6"/>
      <c r="O400" s="6"/>
      <c r="P400" s="6"/>
      <c r="Q400" s="6"/>
      <c r="R400" s="6"/>
      <c r="S400" s="6"/>
      <c r="T400" s="6"/>
      <c r="U400" s="6"/>
      <c r="V400" s="6"/>
      <c r="W400" s="6"/>
      <c r="X400" s="6"/>
      <c r="Y400" s="6"/>
      <c r="Z400" s="6"/>
      <c r="AA400" s="6"/>
      <c r="AB400" s="6"/>
      <c r="AC400" s="6"/>
      <c r="AD400" s="7"/>
    </row>
    <row r="401" spans="1:30" ht="13">
      <c r="A401" s="20"/>
      <c r="B401" s="20"/>
      <c r="C401" s="23"/>
      <c r="D401" s="17"/>
      <c r="E401" s="6"/>
      <c r="F401" s="6"/>
      <c r="G401" s="6"/>
      <c r="H401" s="6"/>
      <c r="I401" s="17"/>
      <c r="J401" s="6"/>
      <c r="K401" s="6"/>
      <c r="L401" s="17"/>
      <c r="M401" s="6"/>
      <c r="N401" s="6"/>
      <c r="O401" s="6"/>
      <c r="P401" s="6"/>
      <c r="Q401" s="6"/>
      <c r="R401" s="6"/>
      <c r="S401" s="6"/>
      <c r="T401" s="6"/>
      <c r="U401" s="6"/>
      <c r="V401" s="6"/>
      <c r="W401" s="6"/>
      <c r="X401" s="6"/>
      <c r="Y401" s="6"/>
      <c r="Z401" s="6"/>
      <c r="AA401" s="6"/>
      <c r="AB401" s="6"/>
      <c r="AC401" s="6"/>
      <c r="AD401" s="7"/>
    </row>
    <row r="402" spans="1:30" ht="13">
      <c r="A402" s="20"/>
      <c r="B402" s="20"/>
      <c r="C402" s="23"/>
      <c r="D402" s="17"/>
      <c r="E402" s="6"/>
      <c r="F402" s="6"/>
      <c r="G402" s="6"/>
      <c r="H402" s="6"/>
      <c r="I402" s="17"/>
      <c r="J402" s="6"/>
      <c r="K402" s="6"/>
      <c r="L402" s="17"/>
      <c r="M402" s="6"/>
      <c r="N402" s="6"/>
      <c r="O402" s="6"/>
      <c r="P402" s="6"/>
      <c r="Q402" s="6"/>
      <c r="R402" s="6"/>
      <c r="S402" s="6"/>
      <c r="T402" s="6"/>
      <c r="U402" s="6"/>
      <c r="V402" s="6"/>
      <c r="W402" s="6"/>
      <c r="X402" s="6"/>
      <c r="Y402" s="6"/>
      <c r="Z402" s="6"/>
      <c r="AA402" s="6"/>
      <c r="AB402" s="6"/>
      <c r="AC402" s="6"/>
      <c r="AD402" s="7"/>
    </row>
    <row r="403" spans="1:30" ht="13">
      <c r="A403" s="20"/>
      <c r="B403" s="20"/>
      <c r="C403" s="23"/>
      <c r="D403" s="17"/>
      <c r="E403" s="6"/>
      <c r="F403" s="6"/>
      <c r="G403" s="6"/>
      <c r="H403" s="6"/>
      <c r="I403" s="17"/>
      <c r="J403" s="6"/>
      <c r="K403" s="6"/>
      <c r="L403" s="17"/>
      <c r="M403" s="6"/>
      <c r="N403" s="6"/>
      <c r="O403" s="6"/>
      <c r="P403" s="6"/>
      <c r="Q403" s="6"/>
      <c r="R403" s="6"/>
      <c r="S403" s="6"/>
      <c r="T403" s="6"/>
      <c r="U403" s="6"/>
      <c r="V403" s="6"/>
      <c r="W403" s="6"/>
      <c r="X403" s="6"/>
      <c r="Y403" s="6"/>
      <c r="Z403" s="6"/>
      <c r="AA403" s="6"/>
      <c r="AB403" s="6"/>
      <c r="AC403" s="6"/>
      <c r="AD403" s="7"/>
    </row>
    <row r="404" spans="1:30" ht="13">
      <c r="A404" s="20"/>
      <c r="B404" s="20"/>
      <c r="C404" s="23"/>
      <c r="D404" s="17"/>
      <c r="E404" s="6"/>
      <c r="F404" s="6"/>
      <c r="G404" s="6"/>
      <c r="H404" s="6"/>
      <c r="I404" s="17"/>
      <c r="J404" s="6"/>
      <c r="K404" s="6"/>
      <c r="L404" s="17"/>
      <c r="M404" s="6"/>
      <c r="N404" s="6"/>
      <c r="O404" s="6"/>
      <c r="P404" s="6"/>
      <c r="Q404" s="6"/>
      <c r="R404" s="6"/>
      <c r="S404" s="6"/>
      <c r="T404" s="6"/>
      <c r="U404" s="6"/>
      <c r="V404" s="6"/>
      <c r="W404" s="6"/>
      <c r="X404" s="6"/>
      <c r="Y404" s="6"/>
      <c r="Z404" s="6"/>
      <c r="AA404" s="6"/>
      <c r="AB404" s="6"/>
      <c r="AC404" s="6"/>
      <c r="AD404" s="7"/>
    </row>
    <row r="405" spans="1:30" ht="13">
      <c r="A405" s="20"/>
      <c r="B405" s="20"/>
      <c r="C405" s="23"/>
      <c r="D405" s="17"/>
      <c r="E405" s="6"/>
      <c r="F405" s="6"/>
      <c r="G405" s="6"/>
      <c r="H405" s="6"/>
      <c r="I405" s="17"/>
      <c r="J405" s="6"/>
      <c r="K405" s="6"/>
      <c r="L405" s="17"/>
      <c r="M405" s="6"/>
      <c r="N405" s="6"/>
      <c r="O405" s="6"/>
      <c r="P405" s="6"/>
      <c r="Q405" s="6"/>
      <c r="R405" s="6"/>
      <c r="S405" s="6"/>
      <c r="T405" s="6"/>
      <c r="U405" s="6"/>
      <c r="V405" s="6"/>
      <c r="W405" s="6"/>
      <c r="X405" s="6"/>
      <c r="Y405" s="6"/>
      <c r="Z405" s="6"/>
      <c r="AA405" s="6"/>
      <c r="AB405" s="6"/>
      <c r="AC405" s="6"/>
      <c r="AD405" s="7"/>
    </row>
    <row r="406" spans="1:30" ht="13">
      <c r="A406" s="20"/>
      <c r="B406" s="20"/>
      <c r="C406" s="23"/>
      <c r="D406" s="17"/>
      <c r="E406" s="6"/>
      <c r="F406" s="6"/>
      <c r="G406" s="6"/>
      <c r="H406" s="6"/>
      <c r="I406" s="17"/>
      <c r="J406" s="6"/>
      <c r="K406" s="6"/>
      <c r="L406" s="17"/>
      <c r="M406" s="6"/>
      <c r="N406" s="6"/>
      <c r="O406" s="6"/>
      <c r="P406" s="6"/>
      <c r="Q406" s="6"/>
      <c r="R406" s="6"/>
      <c r="S406" s="6"/>
      <c r="T406" s="6"/>
      <c r="U406" s="6"/>
      <c r="V406" s="6"/>
      <c r="W406" s="6"/>
      <c r="X406" s="6"/>
      <c r="Y406" s="6"/>
      <c r="Z406" s="6"/>
      <c r="AA406" s="6"/>
      <c r="AB406" s="6"/>
      <c r="AC406" s="6"/>
      <c r="AD406" s="7"/>
    </row>
    <row r="407" spans="1:30" ht="13">
      <c r="A407" s="20"/>
      <c r="B407" s="20"/>
      <c r="C407" s="23"/>
      <c r="D407" s="17"/>
      <c r="E407" s="6"/>
      <c r="F407" s="6"/>
      <c r="G407" s="6"/>
      <c r="H407" s="6"/>
      <c r="I407" s="17"/>
      <c r="J407" s="6"/>
      <c r="K407" s="6"/>
      <c r="L407" s="17"/>
      <c r="M407" s="6"/>
      <c r="N407" s="6"/>
      <c r="O407" s="6"/>
      <c r="P407" s="6"/>
      <c r="Q407" s="6"/>
      <c r="R407" s="6"/>
      <c r="S407" s="6"/>
      <c r="T407" s="6"/>
      <c r="U407" s="6"/>
      <c r="V407" s="6"/>
      <c r="W407" s="6"/>
      <c r="X407" s="6"/>
      <c r="Y407" s="6"/>
      <c r="Z407" s="6"/>
      <c r="AA407" s="6"/>
      <c r="AB407" s="6"/>
      <c r="AC407" s="6"/>
      <c r="AD407" s="7"/>
    </row>
    <row r="408" spans="1:30" ht="13">
      <c r="A408" s="20"/>
      <c r="B408" s="20"/>
      <c r="C408" s="23"/>
      <c r="D408" s="17"/>
      <c r="E408" s="6"/>
      <c r="F408" s="6"/>
      <c r="G408" s="6"/>
      <c r="H408" s="6"/>
      <c r="I408" s="17"/>
      <c r="J408" s="6"/>
      <c r="K408" s="6"/>
      <c r="L408" s="17"/>
      <c r="M408" s="6"/>
      <c r="N408" s="6"/>
      <c r="O408" s="6"/>
      <c r="P408" s="6"/>
      <c r="Q408" s="6"/>
      <c r="R408" s="6"/>
      <c r="S408" s="6"/>
      <c r="T408" s="6"/>
      <c r="U408" s="6"/>
      <c r="V408" s="6"/>
      <c r="W408" s="6"/>
      <c r="X408" s="6"/>
      <c r="Y408" s="6"/>
      <c r="Z408" s="6"/>
      <c r="AA408" s="6"/>
      <c r="AB408" s="6"/>
      <c r="AC408" s="6"/>
      <c r="AD408" s="7"/>
    </row>
    <row r="409" spans="1:30" ht="13">
      <c r="A409" s="20"/>
      <c r="B409" s="20"/>
      <c r="C409" s="23"/>
      <c r="D409" s="17"/>
      <c r="E409" s="6"/>
      <c r="F409" s="6"/>
      <c r="G409" s="6"/>
      <c r="H409" s="6"/>
      <c r="I409" s="17"/>
      <c r="J409" s="6"/>
      <c r="K409" s="6"/>
      <c r="L409" s="17"/>
      <c r="M409" s="6"/>
      <c r="N409" s="6"/>
      <c r="O409" s="6"/>
      <c r="P409" s="6"/>
      <c r="Q409" s="6"/>
      <c r="R409" s="6"/>
      <c r="S409" s="6"/>
      <c r="T409" s="6"/>
      <c r="U409" s="6"/>
      <c r="V409" s="6"/>
      <c r="W409" s="6"/>
      <c r="X409" s="6"/>
      <c r="Y409" s="6"/>
      <c r="Z409" s="6"/>
      <c r="AA409" s="6"/>
      <c r="AB409" s="6"/>
      <c r="AC409" s="6"/>
      <c r="AD409" s="7"/>
    </row>
    <row r="410" spans="1:30" ht="13">
      <c r="A410" s="20"/>
      <c r="B410" s="20"/>
      <c r="C410" s="23"/>
      <c r="D410" s="17"/>
      <c r="E410" s="6"/>
      <c r="F410" s="6"/>
      <c r="G410" s="6"/>
      <c r="H410" s="6"/>
      <c r="I410" s="17"/>
      <c r="J410" s="6"/>
      <c r="K410" s="6"/>
      <c r="L410" s="17"/>
      <c r="M410" s="6"/>
      <c r="N410" s="6"/>
      <c r="O410" s="6"/>
      <c r="P410" s="6"/>
      <c r="Q410" s="6"/>
      <c r="R410" s="6"/>
      <c r="S410" s="6"/>
      <c r="T410" s="6"/>
      <c r="U410" s="6"/>
      <c r="V410" s="6"/>
      <c r="W410" s="6"/>
      <c r="X410" s="6"/>
      <c r="Y410" s="6"/>
      <c r="Z410" s="6"/>
      <c r="AA410" s="6"/>
      <c r="AB410" s="6"/>
      <c r="AC410" s="6"/>
      <c r="AD410" s="7"/>
    </row>
    <row r="411" spans="1:30" ht="13">
      <c r="A411" s="20"/>
      <c r="B411" s="20"/>
      <c r="C411" s="23"/>
      <c r="D411" s="17"/>
      <c r="E411" s="6"/>
      <c r="F411" s="6"/>
      <c r="G411" s="6"/>
      <c r="H411" s="6"/>
      <c r="I411" s="17"/>
      <c r="J411" s="6"/>
      <c r="K411" s="6"/>
      <c r="L411" s="17"/>
      <c r="M411" s="6"/>
      <c r="N411" s="6"/>
      <c r="O411" s="6"/>
      <c r="P411" s="6"/>
      <c r="Q411" s="6"/>
      <c r="R411" s="6"/>
      <c r="S411" s="6"/>
      <c r="T411" s="6"/>
      <c r="U411" s="6"/>
      <c r="V411" s="6"/>
      <c r="W411" s="6"/>
      <c r="X411" s="6"/>
      <c r="Y411" s="6"/>
      <c r="Z411" s="6"/>
      <c r="AA411" s="6"/>
      <c r="AB411" s="6"/>
      <c r="AC411" s="6"/>
      <c r="AD411" s="7"/>
    </row>
    <row r="412" spans="1:30" ht="13">
      <c r="A412" s="20"/>
      <c r="B412" s="20"/>
      <c r="C412" s="23"/>
      <c r="D412" s="17"/>
      <c r="E412" s="6"/>
      <c r="F412" s="6"/>
      <c r="G412" s="6"/>
      <c r="H412" s="6"/>
      <c r="I412" s="17"/>
      <c r="J412" s="6"/>
      <c r="K412" s="6"/>
      <c r="L412" s="17"/>
      <c r="M412" s="6"/>
      <c r="N412" s="6"/>
      <c r="O412" s="6"/>
      <c r="P412" s="6"/>
      <c r="Q412" s="6"/>
      <c r="R412" s="6"/>
      <c r="S412" s="6"/>
      <c r="T412" s="6"/>
      <c r="U412" s="6"/>
      <c r="V412" s="6"/>
      <c r="W412" s="6"/>
      <c r="X412" s="6"/>
      <c r="Y412" s="6"/>
      <c r="Z412" s="6"/>
      <c r="AA412" s="6"/>
      <c r="AB412" s="6"/>
      <c r="AC412" s="6"/>
      <c r="AD412" s="7"/>
    </row>
    <row r="413" spans="1:30" ht="13">
      <c r="A413" s="20"/>
      <c r="B413" s="20"/>
      <c r="C413" s="23"/>
      <c r="D413" s="17"/>
      <c r="E413" s="6"/>
      <c r="F413" s="6"/>
      <c r="G413" s="6"/>
      <c r="H413" s="6"/>
      <c r="I413" s="17"/>
      <c r="J413" s="6"/>
      <c r="K413" s="6"/>
      <c r="L413" s="17"/>
      <c r="M413" s="6"/>
      <c r="N413" s="6"/>
      <c r="O413" s="6"/>
      <c r="P413" s="6"/>
      <c r="Q413" s="6"/>
      <c r="R413" s="6"/>
      <c r="S413" s="6"/>
      <c r="T413" s="6"/>
      <c r="U413" s="6"/>
      <c r="V413" s="6"/>
      <c r="W413" s="6"/>
      <c r="X413" s="6"/>
      <c r="Y413" s="6"/>
      <c r="Z413" s="6"/>
      <c r="AA413" s="6"/>
      <c r="AB413" s="6"/>
      <c r="AC413" s="6"/>
      <c r="AD413" s="7"/>
    </row>
    <row r="414" spans="1:30" ht="13">
      <c r="A414" s="20"/>
      <c r="B414" s="20"/>
      <c r="C414" s="23"/>
      <c r="D414" s="17"/>
      <c r="E414" s="6"/>
      <c r="F414" s="6"/>
      <c r="G414" s="6"/>
      <c r="H414" s="6"/>
      <c r="I414" s="17"/>
      <c r="J414" s="6"/>
      <c r="K414" s="6"/>
      <c r="L414" s="17"/>
      <c r="M414" s="6"/>
      <c r="N414" s="6"/>
      <c r="O414" s="6"/>
      <c r="P414" s="6"/>
      <c r="Q414" s="6"/>
      <c r="R414" s="6"/>
      <c r="S414" s="6"/>
      <c r="T414" s="6"/>
      <c r="U414" s="6"/>
      <c r="V414" s="6"/>
      <c r="W414" s="6"/>
      <c r="X414" s="6"/>
      <c r="Y414" s="6"/>
      <c r="Z414" s="6"/>
      <c r="AA414" s="6"/>
      <c r="AB414" s="6"/>
      <c r="AC414" s="6"/>
      <c r="AD414" s="7"/>
    </row>
    <row r="415" spans="1:30" ht="13">
      <c r="A415" s="20"/>
      <c r="B415" s="20"/>
      <c r="C415" s="23"/>
      <c r="D415" s="17"/>
      <c r="E415" s="6"/>
      <c r="F415" s="6"/>
      <c r="G415" s="6"/>
      <c r="H415" s="6"/>
      <c r="I415" s="17"/>
      <c r="J415" s="6"/>
      <c r="K415" s="6"/>
      <c r="L415" s="17"/>
      <c r="M415" s="6"/>
      <c r="N415" s="6"/>
      <c r="O415" s="6"/>
      <c r="P415" s="6"/>
      <c r="Q415" s="6"/>
      <c r="R415" s="6"/>
      <c r="S415" s="6"/>
      <c r="T415" s="6"/>
      <c r="U415" s="6"/>
      <c r="V415" s="6"/>
      <c r="W415" s="6"/>
      <c r="X415" s="6"/>
      <c r="Y415" s="6"/>
      <c r="Z415" s="6"/>
      <c r="AA415" s="6"/>
      <c r="AB415" s="6"/>
      <c r="AC415" s="6"/>
      <c r="AD415" s="7"/>
    </row>
    <row r="416" spans="1:30" ht="13">
      <c r="A416" s="20"/>
      <c r="B416" s="20"/>
      <c r="C416" s="23"/>
      <c r="D416" s="17"/>
      <c r="E416" s="6"/>
      <c r="F416" s="6"/>
      <c r="G416" s="6"/>
      <c r="H416" s="6"/>
      <c r="I416" s="17"/>
      <c r="J416" s="6"/>
      <c r="K416" s="6"/>
      <c r="L416" s="17"/>
      <c r="M416" s="6"/>
      <c r="N416" s="6"/>
      <c r="O416" s="6"/>
      <c r="P416" s="6"/>
      <c r="Q416" s="6"/>
      <c r="R416" s="6"/>
      <c r="S416" s="6"/>
      <c r="T416" s="6"/>
      <c r="U416" s="6"/>
      <c r="V416" s="6"/>
      <c r="W416" s="6"/>
      <c r="X416" s="6"/>
      <c r="Y416" s="6"/>
      <c r="Z416" s="6"/>
      <c r="AA416" s="6"/>
      <c r="AB416" s="6"/>
      <c r="AC416" s="6"/>
      <c r="AD416" s="7"/>
    </row>
    <row r="417" spans="1:30" ht="13">
      <c r="A417" s="20"/>
      <c r="B417" s="20"/>
      <c r="C417" s="23"/>
      <c r="D417" s="17"/>
      <c r="E417" s="6"/>
      <c r="F417" s="6"/>
      <c r="G417" s="6"/>
      <c r="H417" s="6"/>
      <c r="I417" s="17"/>
      <c r="J417" s="6"/>
      <c r="K417" s="6"/>
      <c r="L417" s="17"/>
      <c r="M417" s="6"/>
      <c r="N417" s="6"/>
      <c r="O417" s="6"/>
      <c r="P417" s="6"/>
      <c r="Q417" s="6"/>
      <c r="R417" s="6"/>
      <c r="S417" s="6"/>
      <c r="T417" s="6"/>
      <c r="U417" s="6"/>
      <c r="V417" s="6"/>
      <c r="W417" s="6"/>
      <c r="X417" s="6"/>
      <c r="Y417" s="6"/>
      <c r="Z417" s="6"/>
      <c r="AA417" s="6"/>
      <c r="AB417" s="6"/>
      <c r="AC417" s="6"/>
      <c r="AD417" s="7"/>
    </row>
    <row r="418" spans="1:30" ht="13">
      <c r="A418" s="20"/>
      <c r="B418" s="20"/>
      <c r="C418" s="23"/>
      <c r="D418" s="17"/>
      <c r="E418" s="6"/>
      <c r="F418" s="6"/>
      <c r="G418" s="6"/>
      <c r="H418" s="6"/>
      <c r="I418" s="17"/>
      <c r="J418" s="6"/>
      <c r="K418" s="6"/>
      <c r="L418" s="17"/>
      <c r="M418" s="6"/>
      <c r="N418" s="6"/>
      <c r="O418" s="6"/>
      <c r="P418" s="6"/>
      <c r="Q418" s="6"/>
      <c r="R418" s="6"/>
      <c r="S418" s="6"/>
      <c r="T418" s="6"/>
      <c r="U418" s="6"/>
      <c r="V418" s="6"/>
      <c r="W418" s="6"/>
      <c r="X418" s="6"/>
      <c r="Y418" s="6"/>
      <c r="Z418" s="6"/>
      <c r="AA418" s="6"/>
      <c r="AB418" s="6"/>
      <c r="AC418" s="6"/>
      <c r="AD418" s="7"/>
    </row>
    <row r="419" spans="1:30" ht="13">
      <c r="A419" s="20"/>
      <c r="B419" s="20"/>
      <c r="C419" s="23"/>
      <c r="D419" s="17"/>
      <c r="E419" s="6"/>
      <c r="F419" s="6"/>
      <c r="G419" s="6"/>
      <c r="H419" s="6"/>
      <c r="I419" s="17"/>
      <c r="J419" s="6"/>
      <c r="K419" s="6"/>
      <c r="L419" s="17"/>
      <c r="M419" s="6"/>
      <c r="N419" s="6"/>
      <c r="O419" s="6"/>
      <c r="P419" s="6"/>
      <c r="Q419" s="6"/>
      <c r="R419" s="6"/>
      <c r="S419" s="6"/>
      <c r="T419" s="6"/>
      <c r="U419" s="6"/>
      <c r="V419" s="6"/>
      <c r="W419" s="6"/>
      <c r="X419" s="6"/>
      <c r="Y419" s="6"/>
      <c r="Z419" s="6"/>
      <c r="AA419" s="6"/>
      <c r="AB419" s="6"/>
      <c r="AC419" s="6"/>
      <c r="AD419" s="7"/>
    </row>
    <row r="420" spans="1:30" ht="13">
      <c r="A420" s="20"/>
      <c r="B420" s="20"/>
      <c r="C420" s="23"/>
      <c r="D420" s="17"/>
      <c r="E420" s="6"/>
      <c r="F420" s="6"/>
      <c r="G420" s="6"/>
      <c r="H420" s="6"/>
      <c r="I420" s="17"/>
      <c r="J420" s="6"/>
      <c r="K420" s="6"/>
      <c r="L420" s="17"/>
      <c r="M420" s="6"/>
      <c r="N420" s="6"/>
      <c r="O420" s="6"/>
      <c r="P420" s="6"/>
      <c r="Q420" s="6"/>
      <c r="R420" s="6"/>
      <c r="S420" s="6"/>
      <c r="T420" s="6"/>
      <c r="U420" s="6"/>
      <c r="V420" s="6"/>
      <c r="W420" s="6"/>
      <c r="X420" s="6"/>
      <c r="Y420" s="6"/>
      <c r="Z420" s="6"/>
      <c r="AA420" s="6"/>
      <c r="AB420" s="6"/>
      <c r="AC420" s="6"/>
      <c r="AD420" s="7"/>
    </row>
    <row r="421" spans="1:30" ht="13">
      <c r="A421" s="20"/>
      <c r="B421" s="20"/>
      <c r="C421" s="23"/>
      <c r="D421" s="17"/>
      <c r="E421" s="6"/>
      <c r="F421" s="6"/>
      <c r="G421" s="6"/>
      <c r="H421" s="6"/>
      <c r="I421" s="17"/>
      <c r="J421" s="6"/>
      <c r="K421" s="6"/>
      <c r="L421" s="17"/>
      <c r="M421" s="6"/>
      <c r="N421" s="6"/>
      <c r="O421" s="6"/>
      <c r="P421" s="6"/>
      <c r="Q421" s="6"/>
      <c r="R421" s="6"/>
      <c r="S421" s="6"/>
      <c r="T421" s="6"/>
      <c r="U421" s="6"/>
      <c r="V421" s="6"/>
      <c r="W421" s="6"/>
      <c r="X421" s="6"/>
      <c r="Y421" s="6"/>
      <c r="Z421" s="6"/>
      <c r="AA421" s="6"/>
      <c r="AB421" s="6"/>
      <c r="AC421" s="6"/>
      <c r="AD421" s="7"/>
    </row>
    <row r="422" spans="1:30" ht="13">
      <c r="A422" s="20"/>
      <c r="B422" s="20"/>
      <c r="C422" s="23"/>
      <c r="D422" s="17"/>
      <c r="E422" s="6"/>
      <c r="F422" s="6"/>
      <c r="G422" s="6"/>
      <c r="H422" s="6"/>
      <c r="I422" s="17"/>
      <c r="J422" s="6"/>
      <c r="K422" s="6"/>
      <c r="L422" s="17"/>
      <c r="M422" s="6"/>
      <c r="N422" s="6"/>
      <c r="O422" s="6"/>
      <c r="P422" s="6"/>
      <c r="Q422" s="6"/>
      <c r="R422" s="6"/>
      <c r="S422" s="6"/>
      <c r="T422" s="6"/>
      <c r="U422" s="6"/>
      <c r="V422" s="6"/>
      <c r="W422" s="6"/>
      <c r="X422" s="6"/>
      <c r="Y422" s="6"/>
      <c r="Z422" s="6"/>
      <c r="AA422" s="6"/>
      <c r="AB422" s="6"/>
      <c r="AC422" s="6"/>
      <c r="AD422" s="7"/>
    </row>
    <row r="423" spans="1:30" ht="13">
      <c r="A423" s="20"/>
      <c r="B423" s="20"/>
      <c r="C423" s="23"/>
      <c r="D423" s="17"/>
      <c r="E423" s="6"/>
      <c r="F423" s="6"/>
      <c r="G423" s="6"/>
      <c r="H423" s="6"/>
      <c r="I423" s="17"/>
      <c r="J423" s="6"/>
      <c r="K423" s="6"/>
      <c r="L423" s="17"/>
      <c r="M423" s="6"/>
      <c r="N423" s="6"/>
      <c r="O423" s="6"/>
      <c r="P423" s="6"/>
      <c r="Q423" s="6"/>
      <c r="R423" s="6"/>
      <c r="S423" s="6"/>
      <c r="T423" s="6"/>
      <c r="U423" s="6"/>
      <c r="V423" s="6"/>
      <c r="W423" s="6"/>
      <c r="X423" s="6"/>
      <c r="Y423" s="6"/>
      <c r="Z423" s="6"/>
      <c r="AA423" s="6"/>
      <c r="AB423" s="6"/>
      <c r="AC423" s="6"/>
      <c r="AD423" s="7"/>
    </row>
    <row r="424" spans="1:30" ht="13">
      <c r="A424" s="20"/>
      <c r="B424" s="20"/>
      <c r="C424" s="23"/>
      <c r="D424" s="17"/>
      <c r="E424" s="6"/>
      <c r="F424" s="6"/>
      <c r="G424" s="6"/>
      <c r="H424" s="6"/>
      <c r="I424" s="17"/>
      <c r="J424" s="6"/>
      <c r="K424" s="6"/>
      <c r="L424" s="17"/>
      <c r="M424" s="6"/>
      <c r="N424" s="6"/>
      <c r="O424" s="6"/>
      <c r="P424" s="6"/>
      <c r="Q424" s="6"/>
      <c r="R424" s="6"/>
      <c r="S424" s="6"/>
      <c r="T424" s="6"/>
      <c r="U424" s="6"/>
      <c r="V424" s="6"/>
      <c r="W424" s="6"/>
      <c r="X424" s="6"/>
      <c r="Y424" s="6"/>
      <c r="Z424" s="6"/>
      <c r="AA424" s="6"/>
      <c r="AB424" s="6"/>
      <c r="AC424" s="6"/>
      <c r="AD424" s="7"/>
    </row>
    <row r="425" spans="1:30" ht="13">
      <c r="A425" s="20"/>
      <c r="B425" s="20"/>
      <c r="C425" s="23"/>
      <c r="D425" s="17"/>
      <c r="E425" s="6"/>
      <c r="F425" s="6"/>
      <c r="G425" s="6"/>
      <c r="H425" s="6"/>
      <c r="I425" s="17"/>
      <c r="J425" s="6"/>
      <c r="K425" s="6"/>
      <c r="L425" s="17"/>
      <c r="M425" s="6"/>
      <c r="N425" s="6"/>
      <c r="O425" s="6"/>
      <c r="P425" s="6"/>
      <c r="Q425" s="6"/>
      <c r="R425" s="6"/>
      <c r="S425" s="6"/>
      <c r="T425" s="6"/>
      <c r="U425" s="6"/>
      <c r="V425" s="6"/>
      <c r="W425" s="6"/>
      <c r="X425" s="6"/>
      <c r="Y425" s="6"/>
      <c r="Z425" s="6"/>
      <c r="AA425" s="6"/>
      <c r="AB425" s="6"/>
      <c r="AC425" s="6"/>
      <c r="AD425" s="7"/>
    </row>
    <row r="426" spans="1:30" ht="13">
      <c r="A426" s="20"/>
      <c r="B426" s="20"/>
      <c r="C426" s="23"/>
      <c r="D426" s="17"/>
      <c r="E426" s="6"/>
      <c r="F426" s="6"/>
      <c r="G426" s="6"/>
      <c r="H426" s="6"/>
      <c r="I426" s="17"/>
      <c r="J426" s="6"/>
      <c r="K426" s="6"/>
      <c r="L426" s="17"/>
      <c r="M426" s="6"/>
      <c r="N426" s="6"/>
      <c r="O426" s="6"/>
      <c r="P426" s="6"/>
      <c r="Q426" s="6"/>
      <c r="R426" s="6"/>
      <c r="S426" s="6"/>
      <c r="T426" s="6"/>
      <c r="U426" s="6"/>
      <c r="V426" s="6"/>
      <c r="W426" s="6"/>
      <c r="X426" s="6"/>
      <c r="Y426" s="6"/>
      <c r="Z426" s="6"/>
      <c r="AA426" s="6"/>
      <c r="AB426" s="6"/>
      <c r="AC426" s="6"/>
      <c r="AD426" s="7"/>
    </row>
    <row r="427" spans="1:30" ht="13">
      <c r="A427" s="20"/>
      <c r="B427" s="20"/>
      <c r="C427" s="23"/>
      <c r="D427" s="17"/>
      <c r="E427" s="6"/>
      <c r="F427" s="6"/>
      <c r="G427" s="6"/>
      <c r="H427" s="6"/>
      <c r="I427" s="17"/>
      <c r="J427" s="6"/>
      <c r="K427" s="6"/>
      <c r="L427" s="17"/>
      <c r="M427" s="6"/>
      <c r="N427" s="6"/>
      <c r="O427" s="6"/>
      <c r="P427" s="6"/>
      <c r="Q427" s="6"/>
      <c r="R427" s="6"/>
      <c r="S427" s="6"/>
      <c r="T427" s="6"/>
      <c r="U427" s="6"/>
      <c r="V427" s="6"/>
      <c r="W427" s="6"/>
      <c r="X427" s="6"/>
      <c r="Y427" s="6"/>
      <c r="Z427" s="6"/>
      <c r="AA427" s="6"/>
      <c r="AB427" s="6"/>
      <c r="AC427" s="6"/>
      <c r="AD427" s="7"/>
    </row>
    <row r="428" spans="1:30" ht="13">
      <c r="A428" s="20"/>
      <c r="B428" s="20"/>
      <c r="C428" s="23"/>
      <c r="D428" s="17"/>
      <c r="E428" s="6"/>
      <c r="F428" s="6"/>
      <c r="G428" s="6"/>
      <c r="H428" s="6"/>
      <c r="I428" s="17"/>
      <c r="J428" s="6"/>
      <c r="K428" s="6"/>
      <c r="L428" s="17"/>
      <c r="M428" s="6"/>
      <c r="N428" s="6"/>
      <c r="O428" s="6"/>
      <c r="P428" s="6"/>
      <c r="Q428" s="6"/>
      <c r="R428" s="6"/>
      <c r="S428" s="6"/>
      <c r="T428" s="6"/>
      <c r="U428" s="6"/>
      <c r="V428" s="6"/>
      <c r="W428" s="6"/>
      <c r="X428" s="6"/>
      <c r="Y428" s="6"/>
      <c r="Z428" s="6"/>
      <c r="AA428" s="6"/>
      <c r="AB428" s="6"/>
      <c r="AC428" s="6"/>
      <c r="AD428" s="7"/>
    </row>
    <row r="429" spans="1:30" ht="13">
      <c r="A429" s="20"/>
      <c r="B429" s="20"/>
      <c r="C429" s="23"/>
      <c r="D429" s="17"/>
      <c r="E429" s="6"/>
      <c r="F429" s="6"/>
      <c r="G429" s="6"/>
      <c r="H429" s="6"/>
      <c r="I429" s="17"/>
      <c r="J429" s="6"/>
      <c r="K429" s="6"/>
      <c r="L429" s="17"/>
      <c r="M429" s="6"/>
      <c r="N429" s="6"/>
      <c r="O429" s="6"/>
      <c r="P429" s="6"/>
      <c r="Q429" s="6"/>
      <c r="R429" s="6"/>
      <c r="S429" s="6"/>
      <c r="T429" s="6"/>
      <c r="U429" s="6"/>
      <c r="V429" s="6"/>
      <c r="W429" s="6"/>
      <c r="X429" s="6"/>
      <c r="Y429" s="6"/>
      <c r="Z429" s="6"/>
      <c r="AA429" s="6"/>
      <c r="AB429" s="6"/>
      <c r="AC429" s="6"/>
      <c r="AD429" s="7"/>
    </row>
    <row r="430" spans="1:30" ht="13">
      <c r="A430" s="20"/>
      <c r="B430" s="20"/>
      <c r="C430" s="23"/>
      <c r="D430" s="17"/>
      <c r="E430" s="6"/>
      <c r="F430" s="6"/>
      <c r="G430" s="6"/>
      <c r="H430" s="6"/>
      <c r="I430" s="17"/>
      <c r="J430" s="6"/>
      <c r="K430" s="6"/>
      <c r="L430" s="17"/>
      <c r="M430" s="6"/>
      <c r="N430" s="6"/>
      <c r="O430" s="6"/>
      <c r="P430" s="6"/>
      <c r="Q430" s="6"/>
      <c r="R430" s="6"/>
      <c r="S430" s="6"/>
      <c r="T430" s="6"/>
      <c r="U430" s="6"/>
      <c r="V430" s="6"/>
      <c r="W430" s="6"/>
      <c r="X430" s="6"/>
      <c r="Y430" s="6"/>
      <c r="Z430" s="6"/>
      <c r="AA430" s="6"/>
      <c r="AB430" s="6"/>
      <c r="AC430" s="6"/>
      <c r="AD430" s="7"/>
    </row>
    <row r="431" spans="1:30" ht="13">
      <c r="A431" s="20"/>
      <c r="B431" s="20"/>
      <c r="C431" s="23"/>
      <c r="D431" s="17"/>
      <c r="E431" s="6"/>
      <c r="F431" s="6"/>
      <c r="G431" s="6"/>
      <c r="H431" s="6"/>
      <c r="I431" s="17"/>
      <c r="J431" s="6"/>
      <c r="K431" s="6"/>
      <c r="L431" s="17"/>
      <c r="M431" s="6"/>
      <c r="N431" s="6"/>
      <c r="O431" s="6"/>
      <c r="P431" s="6"/>
      <c r="Q431" s="6"/>
      <c r="R431" s="6"/>
      <c r="S431" s="6"/>
      <c r="T431" s="6"/>
      <c r="U431" s="6"/>
      <c r="V431" s="6"/>
      <c r="W431" s="6"/>
      <c r="X431" s="6"/>
      <c r="Y431" s="6"/>
      <c r="Z431" s="6"/>
      <c r="AA431" s="6"/>
      <c r="AB431" s="6"/>
      <c r="AC431" s="6"/>
      <c r="AD431" s="7"/>
    </row>
    <row r="432" spans="1:30" ht="13">
      <c r="A432" s="20"/>
      <c r="B432" s="20"/>
      <c r="C432" s="23"/>
      <c r="D432" s="17"/>
      <c r="E432" s="6"/>
      <c r="F432" s="6"/>
      <c r="G432" s="6"/>
      <c r="H432" s="6"/>
      <c r="I432" s="17"/>
      <c r="J432" s="6"/>
      <c r="K432" s="6"/>
      <c r="L432" s="17"/>
      <c r="M432" s="6"/>
      <c r="N432" s="6"/>
      <c r="O432" s="6"/>
      <c r="P432" s="6"/>
      <c r="Q432" s="6"/>
      <c r="R432" s="6"/>
      <c r="S432" s="6"/>
      <c r="T432" s="6"/>
      <c r="U432" s="6"/>
      <c r="V432" s="6"/>
      <c r="W432" s="6"/>
      <c r="X432" s="6"/>
      <c r="Y432" s="6"/>
      <c r="Z432" s="6"/>
      <c r="AA432" s="6"/>
      <c r="AB432" s="6"/>
      <c r="AC432" s="6"/>
      <c r="AD432" s="7"/>
    </row>
    <row r="433" spans="1:30" ht="13">
      <c r="A433" s="20"/>
      <c r="B433" s="20"/>
      <c r="C433" s="23"/>
      <c r="D433" s="17"/>
      <c r="E433" s="6"/>
      <c r="F433" s="6"/>
      <c r="G433" s="6"/>
      <c r="H433" s="6"/>
      <c r="I433" s="17"/>
      <c r="J433" s="6"/>
      <c r="K433" s="6"/>
      <c r="L433" s="17"/>
      <c r="M433" s="6"/>
      <c r="N433" s="6"/>
      <c r="O433" s="6"/>
      <c r="P433" s="6"/>
      <c r="Q433" s="6"/>
      <c r="R433" s="6"/>
      <c r="S433" s="6"/>
      <c r="T433" s="6"/>
      <c r="U433" s="6"/>
      <c r="V433" s="6"/>
      <c r="W433" s="6"/>
      <c r="X433" s="6"/>
      <c r="Y433" s="6"/>
      <c r="Z433" s="6"/>
      <c r="AA433" s="6"/>
      <c r="AB433" s="6"/>
      <c r="AC433" s="6"/>
      <c r="AD433" s="7"/>
    </row>
    <row r="434" spans="1:30" ht="13">
      <c r="A434" s="20"/>
      <c r="B434" s="20"/>
      <c r="C434" s="23"/>
      <c r="D434" s="17"/>
      <c r="E434" s="6"/>
      <c r="F434" s="6"/>
      <c r="G434" s="6"/>
      <c r="H434" s="6"/>
      <c r="I434" s="17"/>
      <c r="J434" s="6"/>
      <c r="K434" s="6"/>
      <c r="L434" s="17"/>
      <c r="M434" s="6"/>
      <c r="N434" s="6"/>
      <c r="O434" s="6"/>
      <c r="P434" s="6"/>
      <c r="Q434" s="6"/>
      <c r="R434" s="6"/>
      <c r="S434" s="6"/>
      <c r="T434" s="6"/>
      <c r="U434" s="6"/>
      <c r="V434" s="6"/>
      <c r="W434" s="6"/>
      <c r="X434" s="6"/>
      <c r="Y434" s="6"/>
      <c r="Z434" s="6"/>
      <c r="AA434" s="6"/>
      <c r="AB434" s="6"/>
      <c r="AC434" s="6"/>
      <c r="AD434" s="7"/>
    </row>
    <row r="435" spans="1:30" ht="13">
      <c r="A435" s="20"/>
      <c r="B435" s="20"/>
      <c r="C435" s="23"/>
      <c r="D435" s="17"/>
      <c r="E435" s="6"/>
      <c r="F435" s="6"/>
      <c r="G435" s="6"/>
      <c r="H435" s="6"/>
      <c r="I435" s="17"/>
      <c r="J435" s="6"/>
      <c r="K435" s="6"/>
      <c r="L435" s="17"/>
      <c r="M435" s="6"/>
      <c r="N435" s="6"/>
      <c r="O435" s="6"/>
      <c r="P435" s="6"/>
      <c r="Q435" s="6"/>
      <c r="R435" s="6"/>
      <c r="S435" s="6"/>
      <c r="T435" s="6"/>
      <c r="U435" s="6"/>
      <c r="V435" s="6"/>
      <c r="W435" s="6"/>
      <c r="X435" s="6"/>
      <c r="Y435" s="6"/>
      <c r="Z435" s="6"/>
      <c r="AA435" s="6"/>
      <c r="AB435" s="6"/>
      <c r="AC435" s="6"/>
      <c r="AD435" s="7"/>
    </row>
    <row r="436" spans="1:30" ht="13">
      <c r="A436" s="20"/>
      <c r="B436" s="20"/>
      <c r="C436" s="23"/>
      <c r="D436" s="17"/>
      <c r="E436" s="6"/>
      <c r="F436" s="6"/>
      <c r="G436" s="6"/>
      <c r="H436" s="6"/>
      <c r="I436" s="17"/>
      <c r="J436" s="6"/>
      <c r="K436" s="6"/>
      <c r="L436" s="17"/>
      <c r="M436" s="6"/>
      <c r="N436" s="6"/>
      <c r="O436" s="6"/>
      <c r="P436" s="6"/>
      <c r="Q436" s="6"/>
      <c r="R436" s="6"/>
      <c r="S436" s="6"/>
      <c r="T436" s="6"/>
      <c r="U436" s="6"/>
      <c r="V436" s="6"/>
      <c r="W436" s="6"/>
      <c r="X436" s="6"/>
      <c r="Y436" s="6"/>
      <c r="Z436" s="6"/>
      <c r="AA436" s="6"/>
      <c r="AB436" s="6"/>
      <c r="AC436" s="6"/>
      <c r="AD436" s="7"/>
    </row>
    <row r="437" spans="1:30" ht="13">
      <c r="A437" s="20"/>
      <c r="B437" s="20"/>
      <c r="C437" s="23"/>
      <c r="D437" s="17"/>
      <c r="E437" s="6"/>
      <c r="F437" s="6"/>
      <c r="G437" s="6"/>
      <c r="H437" s="6"/>
      <c r="I437" s="17"/>
      <c r="J437" s="6"/>
      <c r="K437" s="6"/>
      <c r="L437" s="17"/>
      <c r="M437" s="6"/>
      <c r="N437" s="6"/>
      <c r="O437" s="6"/>
      <c r="P437" s="6"/>
      <c r="Q437" s="6"/>
      <c r="R437" s="6"/>
      <c r="S437" s="6"/>
      <c r="T437" s="6"/>
      <c r="U437" s="6"/>
      <c r="V437" s="6"/>
      <c r="W437" s="6"/>
      <c r="X437" s="6"/>
      <c r="Y437" s="6"/>
      <c r="Z437" s="6"/>
      <c r="AA437" s="6"/>
      <c r="AB437" s="6"/>
      <c r="AC437" s="6"/>
      <c r="AD437" s="7"/>
    </row>
    <row r="438" spans="1:30" ht="13">
      <c r="A438" s="20"/>
      <c r="B438" s="20"/>
      <c r="C438" s="23"/>
      <c r="D438" s="17"/>
      <c r="E438" s="6"/>
      <c r="F438" s="6"/>
      <c r="G438" s="6"/>
      <c r="H438" s="6"/>
      <c r="I438" s="17"/>
      <c r="J438" s="6"/>
      <c r="K438" s="6"/>
      <c r="L438" s="17"/>
      <c r="M438" s="6"/>
      <c r="N438" s="6"/>
      <c r="O438" s="6"/>
      <c r="P438" s="6"/>
      <c r="Q438" s="6"/>
      <c r="R438" s="6"/>
      <c r="S438" s="6"/>
      <c r="T438" s="6"/>
      <c r="U438" s="6"/>
      <c r="V438" s="6"/>
      <c r="W438" s="6"/>
      <c r="X438" s="6"/>
      <c r="Y438" s="6"/>
      <c r="Z438" s="6"/>
      <c r="AA438" s="6"/>
      <c r="AB438" s="6"/>
      <c r="AC438" s="6"/>
      <c r="AD438" s="7"/>
    </row>
    <row r="439" spans="1:30" ht="13">
      <c r="A439" s="20"/>
      <c r="B439" s="20"/>
      <c r="C439" s="23"/>
      <c r="D439" s="17"/>
      <c r="E439" s="6"/>
      <c r="F439" s="6"/>
      <c r="G439" s="6"/>
      <c r="H439" s="6"/>
      <c r="I439" s="17"/>
      <c r="J439" s="6"/>
      <c r="K439" s="6"/>
      <c r="L439" s="17"/>
      <c r="M439" s="6"/>
      <c r="N439" s="6"/>
      <c r="O439" s="6"/>
      <c r="P439" s="6"/>
      <c r="Q439" s="6"/>
      <c r="R439" s="6"/>
      <c r="S439" s="6"/>
      <c r="T439" s="6"/>
      <c r="U439" s="6"/>
      <c r="V439" s="6"/>
      <c r="W439" s="6"/>
      <c r="X439" s="6"/>
      <c r="Y439" s="6"/>
      <c r="Z439" s="6"/>
      <c r="AA439" s="6"/>
      <c r="AB439" s="6"/>
      <c r="AC439" s="6"/>
      <c r="AD439" s="7"/>
    </row>
    <row r="440" spans="1:30" ht="13">
      <c r="A440" s="20"/>
      <c r="B440" s="20"/>
      <c r="C440" s="23"/>
      <c r="D440" s="17"/>
      <c r="E440" s="6"/>
      <c r="F440" s="6"/>
      <c r="G440" s="6"/>
      <c r="H440" s="6"/>
      <c r="I440" s="17"/>
      <c r="J440" s="6"/>
      <c r="K440" s="6"/>
      <c r="L440" s="17"/>
      <c r="M440" s="6"/>
      <c r="N440" s="6"/>
      <c r="O440" s="6"/>
      <c r="P440" s="6"/>
      <c r="Q440" s="6"/>
      <c r="R440" s="6"/>
      <c r="S440" s="6"/>
      <c r="T440" s="6"/>
      <c r="U440" s="6"/>
      <c r="V440" s="6"/>
      <c r="W440" s="6"/>
      <c r="X440" s="6"/>
      <c r="Y440" s="6"/>
      <c r="Z440" s="6"/>
      <c r="AA440" s="6"/>
      <c r="AB440" s="6"/>
      <c r="AC440" s="6"/>
      <c r="AD440" s="7"/>
    </row>
    <row r="441" spans="1:30" ht="13">
      <c r="A441" s="20"/>
      <c r="B441" s="20"/>
      <c r="C441" s="23"/>
      <c r="D441" s="17"/>
      <c r="E441" s="6"/>
      <c r="F441" s="6"/>
      <c r="G441" s="6"/>
      <c r="H441" s="6"/>
      <c r="I441" s="17"/>
      <c r="J441" s="6"/>
      <c r="K441" s="6"/>
      <c r="L441" s="17"/>
      <c r="M441" s="6"/>
      <c r="N441" s="6"/>
      <c r="O441" s="6"/>
      <c r="P441" s="6"/>
      <c r="Q441" s="6"/>
      <c r="R441" s="6"/>
      <c r="S441" s="6"/>
      <c r="T441" s="6"/>
      <c r="U441" s="6"/>
      <c r="V441" s="6"/>
      <c r="W441" s="6"/>
      <c r="X441" s="6"/>
      <c r="Y441" s="6"/>
      <c r="Z441" s="6"/>
      <c r="AA441" s="6"/>
      <c r="AB441" s="6"/>
      <c r="AC441" s="6"/>
      <c r="AD441" s="7"/>
    </row>
    <row r="442" spans="1:30" ht="13">
      <c r="A442" s="20"/>
      <c r="B442" s="20"/>
      <c r="C442" s="23"/>
      <c r="D442" s="17"/>
      <c r="E442" s="6"/>
      <c r="F442" s="6"/>
      <c r="G442" s="6"/>
      <c r="H442" s="6"/>
      <c r="I442" s="17"/>
      <c r="J442" s="6"/>
      <c r="K442" s="6"/>
      <c r="L442" s="17"/>
      <c r="M442" s="6"/>
      <c r="N442" s="6"/>
      <c r="O442" s="6"/>
      <c r="P442" s="6"/>
      <c r="Q442" s="6"/>
      <c r="R442" s="6"/>
      <c r="S442" s="6"/>
      <c r="T442" s="6"/>
      <c r="U442" s="6"/>
      <c r="V442" s="6"/>
      <c r="W442" s="6"/>
      <c r="X442" s="6"/>
      <c r="Y442" s="6"/>
      <c r="Z442" s="6"/>
      <c r="AA442" s="6"/>
      <c r="AB442" s="6"/>
      <c r="AC442" s="6"/>
      <c r="AD442" s="7"/>
    </row>
    <row r="443" spans="1:30" ht="13">
      <c r="A443" s="20"/>
      <c r="B443" s="20"/>
      <c r="C443" s="23"/>
      <c r="D443" s="17"/>
      <c r="E443" s="6"/>
      <c r="F443" s="6"/>
      <c r="G443" s="6"/>
      <c r="H443" s="6"/>
      <c r="I443" s="17"/>
      <c r="J443" s="6"/>
      <c r="K443" s="6"/>
      <c r="L443" s="17"/>
      <c r="M443" s="6"/>
      <c r="N443" s="6"/>
      <c r="O443" s="6"/>
      <c r="P443" s="6"/>
      <c r="Q443" s="6"/>
      <c r="R443" s="6"/>
      <c r="S443" s="6"/>
      <c r="T443" s="6"/>
      <c r="U443" s="6"/>
      <c r="V443" s="6"/>
      <c r="W443" s="6"/>
      <c r="X443" s="6"/>
      <c r="Y443" s="6"/>
      <c r="Z443" s="6"/>
      <c r="AA443" s="6"/>
      <c r="AB443" s="6"/>
      <c r="AC443" s="6"/>
      <c r="AD443" s="7"/>
    </row>
    <row r="444" spans="1:30" ht="13">
      <c r="A444" s="20"/>
      <c r="B444" s="20"/>
      <c r="C444" s="23"/>
      <c r="D444" s="17"/>
      <c r="E444" s="6"/>
      <c r="F444" s="6"/>
      <c r="G444" s="6"/>
      <c r="H444" s="6"/>
      <c r="I444" s="17"/>
      <c r="J444" s="6"/>
      <c r="K444" s="6"/>
      <c r="L444" s="17"/>
      <c r="M444" s="6"/>
      <c r="N444" s="6"/>
      <c r="O444" s="6"/>
      <c r="P444" s="6"/>
      <c r="Q444" s="6"/>
      <c r="R444" s="6"/>
      <c r="S444" s="6"/>
      <c r="T444" s="6"/>
      <c r="U444" s="6"/>
      <c r="V444" s="6"/>
      <c r="W444" s="6"/>
      <c r="X444" s="6"/>
      <c r="Y444" s="6"/>
      <c r="Z444" s="6"/>
      <c r="AA444" s="6"/>
      <c r="AB444" s="6"/>
      <c r="AC444" s="6"/>
      <c r="AD444" s="7"/>
    </row>
    <row r="445" spans="1:30" ht="13">
      <c r="A445" s="20"/>
      <c r="B445" s="20"/>
      <c r="C445" s="23"/>
      <c r="D445" s="17"/>
      <c r="E445" s="6"/>
      <c r="F445" s="6"/>
      <c r="G445" s="6"/>
      <c r="H445" s="6"/>
      <c r="I445" s="17"/>
      <c r="J445" s="6"/>
      <c r="K445" s="6"/>
      <c r="L445" s="17"/>
      <c r="M445" s="6"/>
      <c r="N445" s="6"/>
      <c r="O445" s="6"/>
      <c r="P445" s="6"/>
      <c r="Q445" s="6"/>
      <c r="R445" s="6"/>
      <c r="S445" s="6"/>
      <c r="T445" s="6"/>
      <c r="U445" s="6"/>
      <c r="V445" s="6"/>
      <c r="W445" s="6"/>
      <c r="X445" s="6"/>
      <c r="Y445" s="6"/>
      <c r="Z445" s="6"/>
      <c r="AA445" s="6"/>
      <c r="AB445" s="6"/>
      <c r="AC445" s="6"/>
      <c r="AD445" s="7"/>
    </row>
    <row r="446" spans="1:30" ht="13">
      <c r="A446" s="20"/>
      <c r="B446" s="20"/>
      <c r="C446" s="23"/>
      <c r="D446" s="17"/>
      <c r="E446" s="6"/>
      <c r="F446" s="6"/>
      <c r="G446" s="6"/>
      <c r="H446" s="6"/>
      <c r="I446" s="17"/>
      <c r="J446" s="6"/>
      <c r="K446" s="6"/>
      <c r="L446" s="17"/>
      <c r="M446" s="6"/>
      <c r="N446" s="6"/>
      <c r="O446" s="6"/>
      <c r="P446" s="6"/>
      <c r="Q446" s="6"/>
      <c r="R446" s="6"/>
      <c r="S446" s="6"/>
      <c r="T446" s="6"/>
      <c r="U446" s="6"/>
      <c r="V446" s="6"/>
      <c r="W446" s="6"/>
      <c r="X446" s="6"/>
      <c r="Y446" s="6"/>
      <c r="Z446" s="6"/>
      <c r="AA446" s="6"/>
      <c r="AB446" s="6"/>
      <c r="AC446" s="6"/>
      <c r="AD446" s="7"/>
    </row>
    <row r="447" spans="1:30" ht="13">
      <c r="A447" s="20"/>
      <c r="B447" s="20"/>
      <c r="C447" s="23"/>
      <c r="D447" s="17"/>
      <c r="E447" s="6"/>
      <c r="F447" s="6"/>
      <c r="G447" s="6"/>
      <c r="H447" s="6"/>
      <c r="I447" s="17"/>
      <c r="J447" s="6"/>
      <c r="K447" s="6"/>
      <c r="L447" s="17"/>
      <c r="M447" s="6"/>
      <c r="N447" s="6"/>
      <c r="O447" s="6"/>
      <c r="P447" s="6"/>
      <c r="Q447" s="6"/>
      <c r="R447" s="6"/>
      <c r="S447" s="6"/>
      <c r="T447" s="6"/>
      <c r="U447" s="6"/>
      <c r="V447" s="6"/>
      <c r="W447" s="6"/>
      <c r="X447" s="6"/>
      <c r="Y447" s="6"/>
      <c r="Z447" s="6"/>
      <c r="AA447" s="6"/>
      <c r="AB447" s="6"/>
      <c r="AC447" s="6"/>
      <c r="AD447" s="7"/>
    </row>
    <row r="448" spans="1:30" ht="13">
      <c r="A448" s="20"/>
      <c r="B448" s="20"/>
      <c r="C448" s="23"/>
      <c r="D448" s="17"/>
      <c r="E448" s="6"/>
      <c r="F448" s="6"/>
      <c r="G448" s="6"/>
      <c r="H448" s="6"/>
      <c r="I448" s="17"/>
      <c r="J448" s="6"/>
      <c r="K448" s="6"/>
      <c r="L448" s="17"/>
      <c r="M448" s="6"/>
      <c r="N448" s="6"/>
      <c r="O448" s="6"/>
      <c r="P448" s="6"/>
      <c r="Q448" s="6"/>
      <c r="R448" s="6"/>
      <c r="S448" s="6"/>
      <c r="T448" s="6"/>
      <c r="U448" s="6"/>
      <c r="V448" s="6"/>
      <c r="W448" s="6"/>
      <c r="X448" s="6"/>
      <c r="Y448" s="6"/>
      <c r="Z448" s="6"/>
      <c r="AA448" s="6"/>
      <c r="AB448" s="6"/>
      <c r="AC448" s="6"/>
      <c r="AD448" s="7"/>
    </row>
    <row r="449" spans="1:30" ht="13">
      <c r="A449" s="20"/>
      <c r="B449" s="20"/>
      <c r="C449" s="23"/>
      <c r="D449" s="17"/>
      <c r="E449" s="6"/>
      <c r="F449" s="6"/>
      <c r="G449" s="6"/>
      <c r="H449" s="6"/>
      <c r="I449" s="17"/>
      <c r="J449" s="6"/>
      <c r="K449" s="6"/>
      <c r="L449" s="17"/>
      <c r="M449" s="6"/>
      <c r="N449" s="6"/>
      <c r="O449" s="6"/>
      <c r="P449" s="6"/>
      <c r="Q449" s="6"/>
      <c r="R449" s="6"/>
      <c r="S449" s="6"/>
      <c r="T449" s="6"/>
      <c r="U449" s="6"/>
      <c r="V449" s="6"/>
      <c r="W449" s="6"/>
      <c r="X449" s="6"/>
      <c r="Y449" s="6"/>
      <c r="Z449" s="6"/>
      <c r="AA449" s="6"/>
      <c r="AB449" s="6"/>
      <c r="AC449" s="6"/>
      <c r="AD449" s="7"/>
    </row>
    <row r="450" spans="1:30" ht="13">
      <c r="A450" s="20"/>
      <c r="B450" s="20"/>
      <c r="C450" s="23"/>
      <c r="D450" s="17"/>
      <c r="E450" s="6"/>
      <c r="F450" s="6"/>
      <c r="G450" s="6"/>
      <c r="H450" s="6"/>
      <c r="I450" s="17"/>
      <c r="J450" s="6"/>
      <c r="K450" s="6"/>
      <c r="L450" s="17"/>
      <c r="M450" s="6"/>
      <c r="N450" s="6"/>
      <c r="O450" s="6"/>
      <c r="P450" s="6"/>
      <c r="Q450" s="6"/>
      <c r="R450" s="6"/>
      <c r="S450" s="6"/>
      <c r="T450" s="6"/>
      <c r="U450" s="6"/>
      <c r="V450" s="6"/>
      <c r="W450" s="6"/>
      <c r="X450" s="6"/>
      <c r="Y450" s="6"/>
      <c r="Z450" s="6"/>
      <c r="AA450" s="6"/>
      <c r="AB450" s="6"/>
      <c r="AC450" s="6"/>
      <c r="AD450" s="7"/>
    </row>
    <row r="451" spans="1:30" ht="13">
      <c r="A451" s="20"/>
      <c r="B451" s="20"/>
      <c r="C451" s="23"/>
      <c r="D451" s="17"/>
      <c r="E451" s="6"/>
      <c r="F451" s="6"/>
      <c r="G451" s="6"/>
      <c r="H451" s="6"/>
      <c r="I451" s="17"/>
      <c r="J451" s="6"/>
      <c r="K451" s="6"/>
      <c r="L451" s="17"/>
      <c r="M451" s="6"/>
      <c r="N451" s="6"/>
      <c r="O451" s="6"/>
      <c r="P451" s="6"/>
      <c r="Q451" s="6"/>
      <c r="R451" s="6"/>
      <c r="S451" s="6"/>
      <c r="T451" s="6"/>
      <c r="U451" s="6"/>
      <c r="V451" s="6"/>
      <c r="W451" s="6"/>
      <c r="X451" s="6"/>
      <c r="Y451" s="6"/>
      <c r="Z451" s="6"/>
      <c r="AA451" s="6"/>
      <c r="AB451" s="6"/>
      <c r="AC451" s="6"/>
      <c r="AD451" s="7"/>
    </row>
    <row r="452" spans="1:30" ht="13">
      <c r="A452" s="20"/>
      <c r="B452" s="20"/>
      <c r="C452" s="23"/>
      <c r="D452" s="17"/>
      <c r="E452" s="6"/>
      <c r="F452" s="6"/>
      <c r="G452" s="6"/>
      <c r="H452" s="6"/>
      <c r="I452" s="17"/>
      <c r="J452" s="6"/>
      <c r="K452" s="6"/>
      <c r="L452" s="17"/>
      <c r="M452" s="6"/>
      <c r="N452" s="6"/>
      <c r="O452" s="6"/>
      <c r="P452" s="6"/>
      <c r="Q452" s="6"/>
      <c r="R452" s="6"/>
      <c r="S452" s="6"/>
      <c r="T452" s="6"/>
      <c r="U452" s="6"/>
      <c r="V452" s="6"/>
      <c r="W452" s="6"/>
      <c r="X452" s="6"/>
      <c r="Y452" s="6"/>
      <c r="Z452" s="6"/>
      <c r="AA452" s="6"/>
      <c r="AB452" s="6"/>
      <c r="AC452" s="6"/>
      <c r="AD452" s="7"/>
    </row>
    <row r="453" spans="1:30" ht="13">
      <c r="A453" s="20"/>
      <c r="B453" s="20"/>
      <c r="C453" s="23"/>
      <c r="D453" s="17"/>
      <c r="E453" s="6"/>
      <c r="F453" s="6"/>
      <c r="G453" s="6"/>
      <c r="H453" s="6"/>
      <c r="I453" s="17"/>
      <c r="J453" s="6"/>
      <c r="K453" s="6"/>
      <c r="L453" s="17"/>
      <c r="M453" s="6"/>
      <c r="N453" s="6"/>
      <c r="O453" s="6"/>
      <c r="P453" s="6"/>
      <c r="Q453" s="6"/>
      <c r="R453" s="6"/>
      <c r="S453" s="6"/>
      <c r="T453" s="6"/>
      <c r="U453" s="6"/>
      <c r="V453" s="6"/>
      <c r="W453" s="6"/>
      <c r="X453" s="6"/>
      <c r="Y453" s="6"/>
      <c r="Z453" s="6"/>
      <c r="AA453" s="6"/>
      <c r="AB453" s="6"/>
      <c r="AC453" s="6"/>
      <c r="AD453" s="7"/>
    </row>
    <row r="454" spans="1:30" ht="13">
      <c r="A454" s="20"/>
      <c r="B454" s="20"/>
      <c r="C454" s="23"/>
      <c r="D454" s="17"/>
      <c r="E454" s="6"/>
      <c r="F454" s="6"/>
      <c r="G454" s="6"/>
      <c r="H454" s="6"/>
      <c r="I454" s="17"/>
      <c r="J454" s="6"/>
      <c r="K454" s="6"/>
      <c r="L454" s="17"/>
      <c r="M454" s="6"/>
      <c r="N454" s="6"/>
      <c r="O454" s="6"/>
      <c r="P454" s="6"/>
      <c r="Q454" s="6"/>
      <c r="R454" s="6"/>
      <c r="S454" s="6"/>
      <c r="T454" s="6"/>
      <c r="U454" s="6"/>
      <c r="V454" s="6"/>
      <c r="W454" s="6"/>
      <c r="X454" s="6"/>
      <c r="Y454" s="6"/>
      <c r="Z454" s="6"/>
      <c r="AA454" s="6"/>
      <c r="AB454" s="6"/>
      <c r="AC454" s="6"/>
      <c r="AD454" s="7"/>
    </row>
    <row r="455" spans="1:30" ht="13">
      <c r="A455" s="20"/>
      <c r="B455" s="20"/>
      <c r="C455" s="23"/>
      <c r="D455" s="17"/>
      <c r="E455" s="6"/>
      <c r="F455" s="6"/>
      <c r="G455" s="6"/>
      <c r="H455" s="6"/>
      <c r="I455" s="17"/>
      <c r="J455" s="6"/>
      <c r="K455" s="6"/>
      <c r="L455" s="17"/>
      <c r="M455" s="6"/>
      <c r="N455" s="6"/>
      <c r="O455" s="6"/>
      <c r="P455" s="6"/>
      <c r="Q455" s="6"/>
      <c r="R455" s="6"/>
      <c r="S455" s="6"/>
      <c r="T455" s="6"/>
      <c r="U455" s="6"/>
      <c r="V455" s="6"/>
      <c r="W455" s="6"/>
      <c r="X455" s="6"/>
      <c r="Y455" s="6"/>
      <c r="Z455" s="6"/>
      <c r="AA455" s="6"/>
      <c r="AB455" s="6"/>
      <c r="AC455" s="6"/>
      <c r="AD455" s="7"/>
    </row>
    <row r="456" spans="1:30" ht="13">
      <c r="A456" s="20"/>
      <c r="B456" s="20"/>
      <c r="C456" s="23"/>
      <c r="D456" s="17"/>
      <c r="E456" s="6"/>
      <c r="F456" s="6"/>
      <c r="G456" s="6"/>
      <c r="H456" s="6"/>
      <c r="I456" s="17"/>
      <c r="J456" s="6"/>
      <c r="K456" s="6"/>
      <c r="L456" s="17"/>
      <c r="M456" s="6"/>
      <c r="N456" s="6"/>
      <c r="O456" s="6"/>
      <c r="P456" s="6"/>
      <c r="Q456" s="6"/>
      <c r="R456" s="6"/>
      <c r="S456" s="6"/>
      <c r="T456" s="6"/>
      <c r="U456" s="6"/>
      <c r="V456" s="6"/>
      <c r="W456" s="6"/>
      <c r="X456" s="6"/>
      <c r="Y456" s="6"/>
      <c r="Z456" s="6"/>
      <c r="AA456" s="6"/>
      <c r="AB456" s="6"/>
      <c r="AC456" s="6"/>
      <c r="AD456" s="7"/>
    </row>
    <row r="457" spans="1:30" ht="13">
      <c r="A457" s="20"/>
      <c r="B457" s="20"/>
      <c r="C457" s="23"/>
      <c r="D457" s="17"/>
      <c r="E457" s="6"/>
      <c r="F457" s="6"/>
      <c r="G457" s="6"/>
      <c r="H457" s="6"/>
      <c r="I457" s="17"/>
      <c r="J457" s="6"/>
      <c r="K457" s="6"/>
      <c r="L457" s="17"/>
      <c r="M457" s="6"/>
      <c r="N457" s="6"/>
      <c r="O457" s="6"/>
      <c r="P457" s="6"/>
      <c r="Q457" s="6"/>
      <c r="R457" s="6"/>
      <c r="S457" s="6"/>
      <c r="T457" s="6"/>
      <c r="U457" s="6"/>
      <c r="V457" s="6"/>
      <c r="W457" s="6"/>
      <c r="X457" s="6"/>
      <c r="Y457" s="6"/>
      <c r="Z457" s="6"/>
      <c r="AA457" s="6"/>
      <c r="AB457" s="6"/>
      <c r="AC457" s="6"/>
      <c r="AD457" s="7"/>
    </row>
    <row r="458" spans="1:30" ht="13">
      <c r="A458" s="20"/>
      <c r="B458" s="20"/>
      <c r="C458" s="23"/>
      <c r="D458" s="17"/>
      <c r="E458" s="6"/>
      <c r="F458" s="6"/>
      <c r="G458" s="6"/>
      <c r="H458" s="6"/>
      <c r="I458" s="17"/>
      <c r="J458" s="6"/>
      <c r="K458" s="6"/>
      <c r="L458" s="17"/>
      <c r="M458" s="6"/>
      <c r="N458" s="6"/>
      <c r="O458" s="6"/>
      <c r="P458" s="6"/>
      <c r="Q458" s="6"/>
      <c r="R458" s="6"/>
      <c r="S458" s="6"/>
      <c r="T458" s="6"/>
      <c r="U458" s="6"/>
      <c r="V458" s="6"/>
      <c r="W458" s="6"/>
      <c r="X458" s="6"/>
      <c r="Y458" s="6"/>
      <c r="Z458" s="6"/>
      <c r="AA458" s="6"/>
      <c r="AB458" s="6"/>
      <c r="AC458" s="6"/>
      <c r="AD458" s="7"/>
    </row>
    <row r="459" spans="1:30" ht="13">
      <c r="A459" s="20"/>
      <c r="B459" s="20"/>
      <c r="C459" s="23"/>
      <c r="D459" s="17"/>
      <c r="E459" s="6"/>
      <c r="F459" s="6"/>
      <c r="G459" s="6"/>
      <c r="H459" s="6"/>
      <c r="I459" s="17"/>
      <c r="J459" s="6"/>
      <c r="K459" s="6"/>
      <c r="L459" s="17"/>
      <c r="M459" s="6"/>
      <c r="N459" s="6"/>
      <c r="O459" s="6"/>
      <c r="P459" s="6"/>
      <c r="Q459" s="6"/>
      <c r="R459" s="6"/>
      <c r="S459" s="6"/>
      <c r="T459" s="6"/>
      <c r="U459" s="6"/>
      <c r="V459" s="6"/>
      <c r="W459" s="6"/>
      <c r="X459" s="6"/>
      <c r="Y459" s="6"/>
      <c r="Z459" s="6"/>
      <c r="AA459" s="6"/>
      <c r="AB459" s="6"/>
      <c r="AC459" s="6"/>
      <c r="AD459" s="7"/>
    </row>
    <row r="460" spans="1:30" ht="13">
      <c r="A460" s="20"/>
      <c r="B460" s="20"/>
      <c r="C460" s="23"/>
      <c r="D460" s="17"/>
      <c r="E460" s="6"/>
      <c r="F460" s="6"/>
      <c r="G460" s="6"/>
      <c r="H460" s="6"/>
      <c r="I460" s="17"/>
      <c r="J460" s="6"/>
      <c r="K460" s="6"/>
      <c r="L460" s="17"/>
      <c r="M460" s="6"/>
      <c r="N460" s="6"/>
      <c r="O460" s="6"/>
      <c r="P460" s="6"/>
      <c r="Q460" s="6"/>
      <c r="R460" s="6"/>
      <c r="S460" s="6"/>
      <c r="T460" s="6"/>
      <c r="U460" s="6"/>
      <c r="V460" s="6"/>
      <c r="W460" s="6"/>
      <c r="X460" s="6"/>
      <c r="Y460" s="6"/>
      <c r="Z460" s="6"/>
      <c r="AA460" s="6"/>
      <c r="AB460" s="6"/>
      <c r="AC460" s="6"/>
      <c r="AD460" s="7"/>
    </row>
    <row r="461" spans="1:30" ht="13">
      <c r="A461" s="20"/>
      <c r="B461" s="20"/>
      <c r="C461" s="23"/>
      <c r="D461" s="17"/>
      <c r="E461" s="6"/>
      <c r="F461" s="6"/>
      <c r="G461" s="6"/>
      <c r="H461" s="6"/>
      <c r="I461" s="17"/>
      <c r="J461" s="6"/>
      <c r="K461" s="6"/>
      <c r="L461" s="17"/>
      <c r="M461" s="6"/>
      <c r="N461" s="6"/>
      <c r="O461" s="6"/>
      <c r="P461" s="6"/>
      <c r="Q461" s="6"/>
      <c r="R461" s="6"/>
      <c r="S461" s="6"/>
      <c r="T461" s="6"/>
      <c r="U461" s="6"/>
      <c r="V461" s="6"/>
      <c r="W461" s="6"/>
      <c r="X461" s="6"/>
      <c r="Y461" s="6"/>
      <c r="Z461" s="6"/>
      <c r="AA461" s="6"/>
      <c r="AB461" s="6"/>
      <c r="AC461" s="6"/>
      <c r="AD461" s="7"/>
    </row>
    <row r="462" spans="1:30" ht="13">
      <c r="A462" s="20"/>
      <c r="B462" s="20"/>
      <c r="C462" s="23"/>
      <c r="D462" s="17"/>
      <c r="E462" s="6"/>
      <c r="F462" s="6"/>
      <c r="G462" s="6"/>
      <c r="H462" s="6"/>
      <c r="I462" s="17"/>
      <c r="J462" s="6"/>
      <c r="K462" s="6"/>
      <c r="L462" s="17"/>
      <c r="M462" s="6"/>
      <c r="N462" s="6"/>
      <c r="O462" s="6"/>
      <c r="P462" s="6"/>
      <c r="Q462" s="6"/>
      <c r="R462" s="6"/>
      <c r="S462" s="6"/>
      <c r="T462" s="6"/>
      <c r="U462" s="6"/>
      <c r="V462" s="6"/>
      <c r="W462" s="6"/>
      <c r="X462" s="6"/>
      <c r="Y462" s="6"/>
      <c r="Z462" s="6"/>
      <c r="AA462" s="6"/>
      <c r="AB462" s="6"/>
      <c r="AC462" s="6"/>
      <c r="AD462" s="7"/>
    </row>
    <row r="463" spans="1:30" ht="13">
      <c r="A463" s="20"/>
      <c r="B463" s="20"/>
      <c r="C463" s="23"/>
      <c r="D463" s="17"/>
      <c r="E463" s="6"/>
      <c r="F463" s="6"/>
      <c r="G463" s="6"/>
      <c r="H463" s="6"/>
      <c r="I463" s="17"/>
      <c r="J463" s="6"/>
      <c r="K463" s="6"/>
      <c r="L463" s="17"/>
      <c r="M463" s="6"/>
      <c r="N463" s="6"/>
      <c r="O463" s="6"/>
      <c r="P463" s="6"/>
      <c r="Q463" s="6"/>
      <c r="R463" s="6"/>
      <c r="S463" s="6"/>
      <c r="T463" s="6"/>
      <c r="U463" s="6"/>
      <c r="V463" s="6"/>
      <c r="W463" s="6"/>
      <c r="X463" s="6"/>
      <c r="Y463" s="6"/>
      <c r="Z463" s="6"/>
      <c r="AA463" s="6"/>
      <c r="AB463" s="6"/>
      <c r="AC463" s="6"/>
      <c r="AD463" s="7"/>
    </row>
    <row r="464" spans="1:30" ht="13">
      <c r="A464" s="20"/>
      <c r="B464" s="20"/>
      <c r="C464" s="23"/>
      <c r="D464" s="17"/>
      <c r="E464" s="6"/>
      <c r="F464" s="6"/>
      <c r="G464" s="6"/>
      <c r="H464" s="6"/>
      <c r="I464" s="17"/>
      <c r="J464" s="6"/>
      <c r="K464" s="6"/>
      <c r="L464" s="17"/>
      <c r="M464" s="6"/>
      <c r="N464" s="6"/>
      <c r="O464" s="6"/>
      <c r="P464" s="6"/>
      <c r="Q464" s="6"/>
      <c r="R464" s="6"/>
      <c r="S464" s="6"/>
      <c r="T464" s="6"/>
      <c r="U464" s="6"/>
      <c r="V464" s="6"/>
      <c r="W464" s="6"/>
      <c r="X464" s="6"/>
      <c r="Y464" s="6"/>
      <c r="Z464" s="6"/>
      <c r="AA464" s="6"/>
      <c r="AB464" s="6"/>
      <c r="AC464" s="6"/>
      <c r="AD464" s="7"/>
    </row>
    <row r="465" spans="1:30" ht="13">
      <c r="A465" s="20"/>
      <c r="B465" s="20"/>
      <c r="C465" s="23"/>
      <c r="D465" s="17"/>
      <c r="E465" s="6"/>
      <c r="F465" s="6"/>
      <c r="G465" s="6"/>
      <c r="H465" s="6"/>
      <c r="I465" s="17"/>
      <c r="J465" s="6"/>
      <c r="K465" s="6"/>
      <c r="L465" s="17"/>
      <c r="M465" s="6"/>
      <c r="N465" s="6"/>
      <c r="O465" s="6"/>
      <c r="P465" s="6"/>
      <c r="Q465" s="6"/>
      <c r="R465" s="6"/>
      <c r="S465" s="6"/>
      <c r="T465" s="6"/>
      <c r="U465" s="6"/>
      <c r="V465" s="6"/>
      <c r="W465" s="6"/>
      <c r="X465" s="6"/>
      <c r="Y465" s="6"/>
      <c r="Z465" s="6"/>
      <c r="AA465" s="6"/>
      <c r="AB465" s="6"/>
      <c r="AC465" s="6"/>
      <c r="AD465" s="7"/>
    </row>
    <row r="466" spans="1:30" ht="13">
      <c r="A466" s="20"/>
      <c r="B466" s="20"/>
      <c r="C466" s="23"/>
      <c r="D466" s="17"/>
      <c r="E466" s="6"/>
      <c r="F466" s="6"/>
      <c r="G466" s="6"/>
      <c r="H466" s="6"/>
      <c r="I466" s="17"/>
      <c r="J466" s="6"/>
      <c r="K466" s="6"/>
      <c r="L466" s="17"/>
      <c r="M466" s="6"/>
      <c r="N466" s="6"/>
      <c r="O466" s="6"/>
      <c r="P466" s="6"/>
      <c r="Q466" s="6"/>
      <c r="R466" s="6"/>
      <c r="S466" s="6"/>
      <c r="T466" s="6"/>
      <c r="U466" s="6"/>
      <c r="V466" s="6"/>
      <c r="W466" s="6"/>
      <c r="X466" s="6"/>
      <c r="Y466" s="6"/>
      <c r="Z466" s="6"/>
      <c r="AA466" s="6"/>
      <c r="AB466" s="6"/>
      <c r="AC466" s="6"/>
      <c r="AD466" s="7"/>
    </row>
    <row r="467" spans="1:30" ht="13">
      <c r="A467" s="20"/>
      <c r="B467" s="20"/>
      <c r="C467" s="23"/>
      <c r="D467" s="17"/>
      <c r="E467" s="6"/>
      <c r="F467" s="6"/>
      <c r="G467" s="6"/>
      <c r="H467" s="6"/>
      <c r="I467" s="17"/>
      <c r="J467" s="6"/>
      <c r="K467" s="6"/>
      <c r="L467" s="17"/>
      <c r="M467" s="6"/>
      <c r="N467" s="6"/>
      <c r="O467" s="6"/>
      <c r="P467" s="6"/>
      <c r="Q467" s="6"/>
      <c r="R467" s="6"/>
      <c r="S467" s="6"/>
      <c r="T467" s="6"/>
      <c r="U467" s="6"/>
      <c r="V467" s="6"/>
      <c r="W467" s="6"/>
      <c r="X467" s="6"/>
      <c r="Y467" s="6"/>
      <c r="Z467" s="6"/>
      <c r="AA467" s="6"/>
      <c r="AB467" s="6"/>
      <c r="AC467" s="6"/>
      <c r="AD467" s="7"/>
    </row>
    <row r="468" spans="1:30" ht="13">
      <c r="A468" s="20"/>
      <c r="B468" s="20"/>
      <c r="C468" s="23"/>
      <c r="D468" s="17"/>
      <c r="E468" s="6"/>
      <c r="F468" s="6"/>
      <c r="G468" s="6"/>
      <c r="H468" s="6"/>
      <c r="I468" s="17"/>
      <c r="J468" s="6"/>
      <c r="K468" s="6"/>
      <c r="L468" s="17"/>
      <c r="M468" s="6"/>
      <c r="N468" s="6"/>
      <c r="O468" s="6"/>
      <c r="P468" s="6"/>
      <c r="Q468" s="6"/>
      <c r="R468" s="6"/>
      <c r="S468" s="6"/>
      <c r="T468" s="6"/>
      <c r="U468" s="6"/>
      <c r="V468" s="6"/>
      <c r="W468" s="6"/>
      <c r="X468" s="6"/>
      <c r="Y468" s="6"/>
      <c r="Z468" s="6"/>
      <c r="AA468" s="6"/>
      <c r="AB468" s="6"/>
      <c r="AC468" s="6"/>
      <c r="AD468" s="7"/>
    </row>
    <row r="469" spans="1:30" ht="13">
      <c r="A469" s="20"/>
      <c r="B469" s="20"/>
      <c r="C469" s="23"/>
      <c r="D469" s="17"/>
      <c r="E469" s="6"/>
      <c r="F469" s="6"/>
      <c r="G469" s="6"/>
      <c r="H469" s="6"/>
      <c r="I469" s="17"/>
      <c r="J469" s="6"/>
      <c r="K469" s="6"/>
      <c r="L469" s="17"/>
      <c r="M469" s="6"/>
      <c r="N469" s="6"/>
      <c r="O469" s="6"/>
      <c r="P469" s="6"/>
      <c r="Q469" s="6"/>
      <c r="R469" s="6"/>
      <c r="S469" s="6"/>
      <c r="T469" s="6"/>
      <c r="U469" s="6"/>
      <c r="V469" s="6"/>
      <c r="W469" s="6"/>
      <c r="X469" s="6"/>
      <c r="Y469" s="6"/>
      <c r="Z469" s="6"/>
      <c r="AA469" s="6"/>
      <c r="AB469" s="6"/>
      <c r="AC469" s="6"/>
      <c r="AD469" s="7"/>
    </row>
    <row r="470" spans="1:30" ht="13">
      <c r="A470" s="20"/>
      <c r="B470" s="20"/>
      <c r="C470" s="23"/>
      <c r="D470" s="17"/>
      <c r="E470" s="6"/>
      <c r="F470" s="6"/>
      <c r="G470" s="6"/>
      <c r="H470" s="6"/>
      <c r="I470" s="17"/>
      <c r="J470" s="6"/>
      <c r="K470" s="6"/>
      <c r="L470" s="17"/>
      <c r="M470" s="6"/>
      <c r="N470" s="6"/>
      <c r="O470" s="6"/>
      <c r="P470" s="6"/>
      <c r="Q470" s="6"/>
      <c r="R470" s="6"/>
      <c r="S470" s="6"/>
      <c r="T470" s="6"/>
      <c r="U470" s="6"/>
      <c r="V470" s="6"/>
      <c r="W470" s="6"/>
      <c r="X470" s="6"/>
      <c r="Y470" s="6"/>
      <c r="Z470" s="6"/>
      <c r="AA470" s="6"/>
      <c r="AB470" s="6"/>
      <c r="AC470" s="6"/>
      <c r="AD470" s="7"/>
    </row>
    <row r="471" spans="1:30" ht="13">
      <c r="A471" s="20"/>
      <c r="B471" s="20"/>
      <c r="C471" s="23"/>
      <c r="D471" s="17"/>
      <c r="E471" s="6"/>
      <c r="F471" s="6"/>
      <c r="G471" s="6"/>
      <c r="H471" s="6"/>
      <c r="I471" s="17"/>
      <c r="J471" s="6"/>
      <c r="K471" s="6"/>
      <c r="L471" s="17"/>
      <c r="M471" s="6"/>
      <c r="N471" s="6"/>
      <c r="O471" s="6"/>
      <c r="P471" s="6"/>
      <c r="Q471" s="6"/>
      <c r="R471" s="6"/>
      <c r="S471" s="6"/>
      <c r="T471" s="6"/>
      <c r="U471" s="6"/>
      <c r="V471" s="6"/>
      <c r="W471" s="6"/>
      <c r="X471" s="6"/>
      <c r="Y471" s="6"/>
      <c r="Z471" s="6"/>
      <c r="AA471" s="6"/>
      <c r="AB471" s="6"/>
      <c r="AC471" s="6"/>
      <c r="AD471" s="7"/>
    </row>
    <row r="472" spans="1:30" ht="13">
      <c r="A472" s="20"/>
      <c r="B472" s="20"/>
      <c r="C472" s="23"/>
      <c r="D472" s="17"/>
      <c r="E472" s="6"/>
      <c r="F472" s="6"/>
      <c r="G472" s="6"/>
      <c r="H472" s="6"/>
      <c r="I472" s="17"/>
      <c r="J472" s="6"/>
      <c r="K472" s="6"/>
      <c r="L472" s="17"/>
      <c r="M472" s="6"/>
      <c r="N472" s="6"/>
      <c r="O472" s="6"/>
      <c r="P472" s="6"/>
      <c r="Q472" s="6"/>
      <c r="R472" s="6"/>
      <c r="S472" s="6"/>
      <c r="T472" s="6"/>
      <c r="U472" s="6"/>
      <c r="V472" s="6"/>
      <c r="W472" s="6"/>
      <c r="X472" s="6"/>
      <c r="Y472" s="6"/>
      <c r="Z472" s="6"/>
      <c r="AA472" s="6"/>
      <c r="AB472" s="6"/>
      <c r="AC472" s="6"/>
      <c r="AD472" s="7"/>
    </row>
    <row r="473" spans="1:30" ht="13">
      <c r="A473" s="20"/>
      <c r="B473" s="20"/>
      <c r="C473" s="23"/>
      <c r="D473" s="17"/>
      <c r="E473" s="6"/>
      <c r="F473" s="6"/>
      <c r="G473" s="6"/>
      <c r="H473" s="6"/>
      <c r="I473" s="17"/>
      <c r="J473" s="6"/>
      <c r="K473" s="6"/>
      <c r="L473" s="17"/>
      <c r="M473" s="6"/>
      <c r="N473" s="6"/>
      <c r="O473" s="6"/>
      <c r="P473" s="6"/>
      <c r="Q473" s="6"/>
      <c r="R473" s="6"/>
      <c r="S473" s="6"/>
      <c r="T473" s="6"/>
      <c r="U473" s="6"/>
      <c r="V473" s="6"/>
      <c r="W473" s="6"/>
      <c r="X473" s="6"/>
      <c r="Y473" s="6"/>
      <c r="Z473" s="6"/>
      <c r="AA473" s="6"/>
      <c r="AB473" s="6"/>
      <c r="AC473" s="6"/>
      <c r="AD473" s="7"/>
    </row>
    <row r="474" spans="1:30" ht="13">
      <c r="A474" s="20"/>
      <c r="B474" s="20"/>
      <c r="C474" s="23"/>
      <c r="D474" s="17"/>
      <c r="E474" s="6"/>
      <c r="F474" s="6"/>
      <c r="G474" s="6"/>
      <c r="H474" s="6"/>
      <c r="I474" s="17"/>
      <c r="J474" s="6"/>
      <c r="K474" s="6"/>
      <c r="L474" s="17"/>
      <c r="M474" s="6"/>
      <c r="N474" s="6"/>
      <c r="O474" s="6"/>
      <c r="P474" s="6"/>
      <c r="Q474" s="6"/>
      <c r="R474" s="6"/>
      <c r="S474" s="6"/>
      <c r="T474" s="6"/>
      <c r="U474" s="6"/>
      <c r="V474" s="6"/>
      <c r="W474" s="6"/>
      <c r="X474" s="6"/>
      <c r="Y474" s="6"/>
      <c r="Z474" s="6"/>
      <c r="AA474" s="6"/>
      <c r="AB474" s="6"/>
      <c r="AC474" s="6"/>
      <c r="AD474" s="7"/>
    </row>
    <row r="475" spans="1:30" ht="13">
      <c r="A475" s="20"/>
      <c r="B475" s="20"/>
      <c r="C475" s="23"/>
      <c r="D475" s="17"/>
      <c r="E475" s="6"/>
      <c r="F475" s="6"/>
      <c r="G475" s="6"/>
      <c r="H475" s="6"/>
      <c r="I475" s="17"/>
      <c r="J475" s="6"/>
      <c r="K475" s="6"/>
      <c r="L475" s="17"/>
      <c r="M475" s="6"/>
      <c r="N475" s="6"/>
      <c r="O475" s="6"/>
      <c r="P475" s="6"/>
      <c r="Q475" s="6"/>
      <c r="R475" s="6"/>
      <c r="S475" s="6"/>
      <c r="T475" s="6"/>
      <c r="U475" s="6"/>
      <c r="V475" s="6"/>
      <c r="W475" s="6"/>
      <c r="X475" s="6"/>
      <c r="Y475" s="6"/>
      <c r="Z475" s="6"/>
      <c r="AA475" s="6"/>
      <c r="AB475" s="6"/>
      <c r="AC475" s="6"/>
      <c r="AD475" s="7"/>
    </row>
    <row r="476" spans="1:30" ht="13">
      <c r="A476" s="20"/>
      <c r="B476" s="20"/>
      <c r="C476" s="23"/>
      <c r="D476" s="17"/>
      <c r="E476" s="6"/>
      <c r="F476" s="6"/>
      <c r="G476" s="6"/>
      <c r="H476" s="6"/>
      <c r="I476" s="17"/>
      <c r="J476" s="6"/>
      <c r="K476" s="6"/>
      <c r="L476" s="17"/>
      <c r="M476" s="6"/>
      <c r="N476" s="6"/>
      <c r="O476" s="6"/>
      <c r="P476" s="6"/>
      <c r="Q476" s="6"/>
      <c r="R476" s="6"/>
      <c r="S476" s="6"/>
      <c r="T476" s="6"/>
      <c r="U476" s="6"/>
      <c r="V476" s="6"/>
      <c r="W476" s="6"/>
      <c r="X476" s="6"/>
      <c r="Y476" s="6"/>
      <c r="Z476" s="6"/>
      <c r="AA476" s="6"/>
      <c r="AB476" s="6"/>
      <c r="AC476" s="6"/>
      <c r="AD476" s="7"/>
    </row>
    <row r="477" spans="1:30" ht="13">
      <c r="A477" s="20"/>
      <c r="B477" s="20"/>
      <c r="C477" s="23"/>
      <c r="D477" s="17"/>
      <c r="E477" s="6"/>
      <c r="F477" s="6"/>
      <c r="G477" s="6"/>
      <c r="H477" s="6"/>
      <c r="I477" s="17"/>
      <c r="J477" s="6"/>
      <c r="K477" s="6"/>
      <c r="L477" s="17"/>
      <c r="M477" s="6"/>
      <c r="N477" s="6"/>
      <c r="O477" s="6"/>
      <c r="P477" s="6"/>
      <c r="Q477" s="6"/>
      <c r="R477" s="6"/>
      <c r="S477" s="6"/>
      <c r="T477" s="6"/>
      <c r="U477" s="6"/>
      <c r="V477" s="6"/>
      <c r="W477" s="6"/>
      <c r="X477" s="6"/>
      <c r="Y477" s="6"/>
      <c r="Z477" s="6"/>
      <c r="AA477" s="6"/>
      <c r="AB477" s="6"/>
      <c r="AC477" s="6"/>
      <c r="AD477" s="7"/>
    </row>
    <row r="478" spans="1:30" ht="13">
      <c r="A478" s="20"/>
      <c r="B478" s="20"/>
      <c r="C478" s="23"/>
      <c r="D478" s="17"/>
      <c r="E478" s="6"/>
      <c r="F478" s="6"/>
      <c r="G478" s="6"/>
      <c r="H478" s="6"/>
      <c r="I478" s="17"/>
      <c r="J478" s="6"/>
      <c r="K478" s="6"/>
      <c r="L478" s="17"/>
      <c r="M478" s="6"/>
      <c r="N478" s="6"/>
      <c r="O478" s="6"/>
      <c r="P478" s="6"/>
      <c r="Q478" s="6"/>
      <c r="R478" s="6"/>
      <c r="S478" s="6"/>
      <c r="T478" s="6"/>
      <c r="U478" s="6"/>
      <c r="V478" s="6"/>
      <c r="W478" s="6"/>
      <c r="X478" s="6"/>
      <c r="Y478" s="6"/>
      <c r="Z478" s="6"/>
      <c r="AA478" s="6"/>
      <c r="AB478" s="6"/>
      <c r="AC478" s="6"/>
      <c r="AD478" s="7"/>
    </row>
    <row r="479" spans="1:30" ht="13">
      <c r="A479" s="20"/>
      <c r="B479" s="20"/>
      <c r="C479" s="23"/>
      <c r="D479" s="17"/>
      <c r="E479" s="6"/>
      <c r="F479" s="6"/>
      <c r="G479" s="6"/>
      <c r="H479" s="6"/>
      <c r="I479" s="17"/>
      <c r="J479" s="6"/>
      <c r="K479" s="6"/>
      <c r="L479" s="17"/>
      <c r="M479" s="6"/>
      <c r="N479" s="6"/>
      <c r="O479" s="6"/>
      <c r="P479" s="6"/>
      <c r="Q479" s="6"/>
      <c r="R479" s="6"/>
      <c r="S479" s="6"/>
      <c r="T479" s="6"/>
      <c r="U479" s="6"/>
      <c r="V479" s="6"/>
      <c r="W479" s="6"/>
      <c r="X479" s="6"/>
      <c r="Y479" s="6"/>
      <c r="Z479" s="6"/>
      <c r="AA479" s="6"/>
      <c r="AB479" s="6"/>
      <c r="AC479" s="6"/>
      <c r="AD479" s="7"/>
    </row>
    <row r="480" spans="1:30" ht="13">
      <c r="A480" s="20"/>
      <c r="B480" s="20"/>
      <c r="C480" s="23"/>
      <c r="D480" s="17"/>
      <c r="E480" s="6"/>
      <c r="F480" s="6"/>
      <c r="G480" s="6"/>
      <c r="H480" s="6"/>
      <c r="I480" s="17"/>
      <c r="J480" s="6"/>
      <c r="K480" s="6"/>
      <c r="L480" s="17"/>
      <c r="M480" s="6"/>
      <c r="N480" s="6"/>
      <c r="O480" s="6"/>
      <c r="P480" s="6"/>
      <c r="Q480" s="6"/>
      <c r="R480" s="6"/>
      <c r="S480" s="6"/>
      <c r="T480" s="6"/>
      <c r="U480" s="6"/>
      <c r="V480" s="6"/>
      <c r="W480" s="6"/>
      <c r="X480" s="6"/>
      <c r="Y480" s="6"/>
      <c r="Z480" s="6"/>
      <c r="AA480" s="6"/>
      <c r="AB480" s="6"/>
      <c r="AC480" s="6"/>
      <c r="AD480" s="7"/>
    </row>
    <row r="481" spans="1:30" ht="13">
      <c r="A481" s="20"/>
      <c r="B481" s="20"/>
      <c r="C481" s="23"/>
      <c r="D481" s="17"/>
      <c r="E481" s="6"/>
      <c r="F481" s="6"/>
      <c r="G481" s="6"/>
      <c r="H481" s="6"/>
      <c r="I481" s="17"/>
      <c r="J481" s="6"/>
      <c r="K481" s="6"/>
      <c r="L481" s="17"/>
      <c r="M481" s="6"/>
      <c r="N481" s="6"/>
      <c r="O481" s="6"/>
      <c r="P481" s="6"/>
      <c r="Q481" s="6"/>
      <c r="R481" s="6"/>
      <c r="S481" s="6"/>
      <c r="T481" s="6"/>
      <c r="U481" s="6"/>
      <c r="V481" s="6"/>
      <c r="W481" s="6"/>
      <c r="X481" s="6"/>
      <c r="Y481" s="6"/>
      <c r="Z481" s="6"/>
      <c r="AA481" s="6"/>
      <c r="AB481" s="6"/>
      <c r="AC481" s="6"/>
      <c r="AD481" s="7"/>
    </row>
    <row r="482" spans="1:30" ht="13">
      <c r="A482" s="20"/>
      <c r="B482" s="20"/>
      <c r="C482" s="23"/>
      <c r="D482" s="17"/>
      <c r="E482" s="6"/>
      <c r="F482" s="6"/>
      <c r="G482" s="6"/>
      <c r="H482" s="6"/>
      <c r="I482" s="17"/>
      <c r="J482" s="6"/>
      <c r="K482" s="6"/>
      <c r="L482" s="17"/>
      <c r="M482" s="6"/>
      <c r="N482" s="6"/>
      <c r="O482" s="6"/>
      <c r="P482" s="6"/>
      <c r="Q482" s="6"/>
      <c r="R482" s="6"/>
      <c r="S482" s="6"/>
      <c r="T482" s="6"/>
      <c r="U482" s="6"/>
      <c r="V482" s="6"/>
      <c r="W482" s="6"/>
      <c r="X482" s="6"/>
      <c r="Y482" s="6"/>
      <c r="Z482" s="6"/>
      <c r="AA482" s="6"/>
      <c r="AB482" s="6"/>
      <c r="AC482" s="6"/>
      <c r="AD482" s="7"/>
    </row>
    <row r="483" spans="1:30" ht="13">
      <c r="A483" s="20"/>
      <c r="B483" s="20"/>
      <c r="C483" s="23"/>
      <c r="D483" s="17"/>
      <c r="E483" s="6"/>
      <c r="F483" s="6"/>
      <c r="G483" s="6"/>
      <c r="H483" s="6"/>
      <c r="I483" s="17"/>
      <c r="J483" s="6"/>
      <c r="K483" s="6"/>
      <c r="L483" s="17"/>
      <c r="M483" s="6"/>
      <c r="N483" s="6"/>
      <c r="O483" s="6"/>
      <c r="P483" s="6"/>
      <c r="Q483" s="6"/>
      <c r="R483" s="6"/>
      <c r="S483" s="6"/>
      <c r="T483" s="6"/>
      <c r="U483" s="6"/>
      <c r="V483" s="6"/>
      <c r="W483" s="6"/>
      <c r="X483" s="6"/>
      <c r="Y483" s="6"/>
      <c r="Z483" s="6"/>
      <c r="AA483" s="6"/>
      <c r="AB483" s="6"/>
      <c r="AC483" s="6"/>
      <c r="AD483" s="7"/>
    </row>
    <row r="484" spans="1:30" ht="13">
      <c r="A484" s="20"/>
      <c r="B484" s="20"/>
      <c r="C484" s="23"/>
      <c r="D484" s="17"/>
      <c r="E484" s="6"/>
      <c r="F484" s="6"/>
      <c r="G484" s="6"/>
      <c r="H484" s="6"/>
      <c r="I484" s="17"/>
      <c r="J484" s="6"/>
      <c r="K484" s="6"/>
      <c r="L484" s="17"/>
      <c r="M484" s="6"/>
      <c r="N484" s="6"/>
      <c r="O484" s="6"/>
      <c r="P484" s="6"/>
      <c r="Q484" s="6"/>
      <c r="R484" s="6"/>
      <c r="S484" s="6"/>
      <c r="T484" s="6"/>
      <c r="U484" s="6"/>
      <c r="V484" s="6"/>
      <c r="W484" s="6"/>
      <c r="X484" s="6"/>
      <c r="Y484" s="6"/>
      <c r="Z484" s="6"/>
      <c r="AA484" s="6"/>
      <c r="AB484" s="6"/>
      <c r="AC484" s="6"/>
      <c r="AD484" s="7"/>
    </row>
    <row r="485" spans="1:30" ht="13">
      <c r="A485" s="20"/>
      <c r="B485" s="20"/>
      <c r="C485" s="23"/>
      <c r="D485" s="17"/>
      <c r="E485" s="6"/>
      <c r="F485" s="6"/>
      <c r="G485" s="6"/>
      <c r="H485" s="6"/>
      <c r="I485" s="17"/>
      <c r="J485" s="6"/>
      <c r="K485" s="6"/>
      <c r="L485" s="17"/>
      <c r="M485" s="6"/>
      <c r="N485" s="6"/>
      <c r="O485" s="6"/>
      <c r="P485" s="6"/>
      <c r="Q485" s="6"/>
      <c r="R485" s="6"/>
      <c r="S485" s="6"/>
      <c r="T485" s="6"/>
      <c r="U485" s="6"/>
      <c r="V485" s="6"/>
      <c r="W485" s="6"/>
      <c r="X485" s="6"/>
      <c r="Y485" s="6"/>
      <c r="Z485" s="6"/>
      <c r="AA485" s="6"/>
      <c r="AB485" s="6"/>
      <c r="AC485" s="6"/>
      <c r="AD485" s="7"/>
    </row>
    <row r="486" spans="1:30" ht="13">
      <c r="A486" s="20"/>
      <c r="B486" s="20"/>
      <c r="C486" s="23"/>
      <c r="D486" s="17"/>
      <c r="E486" s="6"/>
      <c r="F486" s="6"/>
      <c r="G486" s="6"/>
      <c r="H486" s="6"/>
      <c r="I486" s="17"/>
      <c r="J486" s="6"/>
      <c r="K486" s="6"/>
      <c r="L486" s="17"/>
      <c r="M486" s="6"/>
      <c r="N486" s="6"/>
      <c r="O486" s="6"/>
      <c r="P486" s="6"/>
      <c r="Q486" s="6"/>
      <c r="R486" s="6"/>
      <c r="S486" s="6"/>
      <c r="T486" s="6"/>
      <c r="U486" s="6"/>
      <c r="V486" s="6"/>
      <c r="W486" s="6"/>
      <c r="X486" s="6"/>
      <c r="Y486" s="6"/>
      <c r="Z486" s="6"/>
      <c r="AA486" s="6"/>
      <c r="AB486" s="6"/>
      <c r="AC486" s="6"/>
      <c r="AD486" s="7"/>
    </row>
    <row r="487" spans="1:30" ht="13">
      <c r="A487" s="20"/>
      <c r="B487" s="20"/>
      <c r="C487" s="23"/>
      <c r="D487" s="17"/>
      <c r="E487" s="6"/>
      <c r="F487" s="6"/>
      <c r="G487" s="6"/>
      <c r="H487" s="6"/>
      <c r="I487" s="17"/>
      <c r="J487" s="6"/>
      <c r="K487" s="6"/>
      <c r="L487" s="17"/>
      <c r="M487" s="6"/>
      <c r="N487" s="6"/>
      <c r="O487" s="6"/>
      <c r="P487" s="6"/>
      <c r="Q487" s="6"/>
      <c r="R487" s="6"/>
      <c r="S487" s="6"/>
      <c r="T487" s="6"/>
      <c r="U487" s="6"/>
      <c r="V487" s="6"/>
      <c r="W487" s="6"/>
      <c r="X487" s="6"/>
      <c r="Y487" s="6"/>
      <c r="Z487" s="6"/>
      <c r="AA487" s="6"/>
      <c r="AB487" s="6"/>
      <c r="AC487" s="6"/>
      <c r="AD487" s="7"/>
    </row>
    <row r="488" spans="1:30" ht="13">
      <c r="A488" s="20"/>
      <c r="B488" s="20"/>
      <c r="C488" s="23"/>
      <c r="D488" s="17"/>
      <c r="E488" s="6"/>
      <c r="F488" s="6"/>
      <c r="G488" s="6"/>
      <c r="H488" s="6"/>
      <c r="I488" s="17"/>
      <c r="J488" s="6"/>
      <c r="K488" s="6"/>
      <c r="L488" s="17"/>
      <c r="M488" s="6"/>
      <c r="N488" s="6"/>
      <c r="O488" s="6"/>
      <c r="P488" s="6"/>
      <c r="Q488" s="6"/>
      <c r="R488" s="6"/>
      <c r="S488" s="6"/>
      <c r="T488" s="6"/>
      <c r="U488" s="6"/>
      <c r="V488" s="6"/>
      <c r="W488" s="6"/>
      <c r="X488" s="6"/>
      <c r="Y488" s="6"/>
      <c r="Z488" s="6"/>
      <c r="AA488" s="6"/>
      <c r="AB488" s="6"/>
      <c r="AC488" s="6"/>
      <c r="AD488" s="7"/>
    </row>
    <row r="489" spans="1:30" ht="13">
      <c r="A489" s="20"/>
      <c r="B489" s="20"/>
      <c r="C489" s="23"/>
      <c r="D489" s="17"/>
      <c r="E489" s="6"/>
      <c r="F489" s="6"/>
      <c r="G489" s="6"/>
      <c r="H489" s="6"/>
      <c r="I489" s="17"/>
      <c r="J489" s="6"/>
      <c r="K489" s="6"/>
      <c r="L489" s="17"/>
      <c r="M489" s="6"/>
      <c r="N489" s="6"/>
      <c r="O489" s="6"/>
      <c r="P489" s="6"/>
      <c r="Q489" s="6"/>
      <c r="R489" s="6"/>
      <c r="S489" s="6"/>
      <c r="T489" s="6"/>
      <c r="U489" s="6"/>
      <c r="V489" s="6"/>
      <c r="W489" s="6"/>
      <c r="X489" s="6"/>
      <c r="Y489" s="6"/>
      <c r="Z489" s="6"/>
      <c r="AA489" s="6"/>
      <c r="AB489" s="6"/>
      <c r="AC489" s="6"/>
      <c r="AD489" s="7"/>
    </row>
    <row r="490" spans="1:30" ht="13">
      <c r="A490" s="20"/>
      <c r="B490" s="20"/>
      <c r="C490" s="23"/>
      <c r="D490" s="17"/>
      <c r="E490" s="6"/>
      <c r="F490" s="6"/>
      <c r="G490" s="6"/>
      <c r="H490" s="6"/>
      <c r="I490" s="17"/>
      <c r="J490" s="6"/>
      <c r="K490" s="6"/>
      <c r="L490" s="17"/>
      <c r="M490" s="6"/>
      <c r="N490" s="6"/>
      <c r="O490" s="6"/>
      <c r="P490" s="6"/>
      <c r="Q490" s="6"/>
      <c r="R490" s="6"/>
      <c r="S490" s="6"/>
      <c r="T490" s="6"/>
      <c r="U490" s="6"/>
      <c r="V490" s="6"/>
      <c r="W490" s="6"/>
      <c r="X490" s="6"/>
      <c r="Y490" s="6"/>
      <c r="Z490" s="6"/>
      <c r="AA490" s="6"/>
      <c r="AB490" s="6"/>
      <c r="AC490" s="6"/>
      <c r="AD490" s="7"/>
    </row>
    <row r="491" spans="1:30" ht="13">
      <c r="A491" s="20"/>
      <c r="B491" s="20"/>
      <c r="C491" s="23"/>
      <c r="D491" s="17"/>
      <c r="E491" s="6"/>
      <c r="F491" s="6"/>
      <c r="G491" s="6"/>
      <c r="H491" s="6"/>
      <c r="I491" s="17"/>
      <c r="J491" s="6"/>
      <c r="K491" s="6"/>
      <c r="L491" s="17"/>
      <c r="M491" s="6"/>
      <c r="N491" s="6"/>
      <c r="O491" s="6"/>
      <c r="P491" s="6"/>
      <c r="Q491" s="6"/>
      <c r="R491" s="6"/>
      <c r="S491" s="6"/>
      <c r="T491" s="6"/>
      <c r="U491" s="6"/>
      <c r="V491" s="6"/>
      <c r="W491" s="6"/>
      <c r="X491" s="6"/>
      <c r="Y491" s="6"/>
      <c r="Z491" s="6"/>
      <c r="AA491" s="6"/>
      <c r="AB491" s="6"/>
      <c r="AC491" s="6"/>
      <c r="AD491" s="7"/>
    </row>
    <row r="492" spans="1:30" ht="13">
      <c r="A492" s="20"/>
      <c r="B492" s="20"/>
      <c r="C492" s="23"/>
      <c r="D492" s="17"/>
      <c r="E492" s="6"/>
      <c r="F492" s="6"/>
      <c r="G492" s="6"/>
      <c r="H492" s="6"/>
      <c r="I492" s="17"/>
      <c r="J492" s="6"/>
      <c r="K492" s="6"/>
      <c r="L492" s="17"/>
      <c r="M492" s="6"/>
      <c r="N492" s="6"/>
      <c r="O492" s="6"/>
      <c r="P492" s="6"/>
      <c r="Q492" s="6"/>
      <c r="R492" s="6"/>
      <c r="S492" s="6"/>
      <c r="T492" s="6"/>
      <c r="U492" s="6"/>
      <c r="V492" s="6"/>
      <c r="W492" s="6"/>
      <c r="X492" s="6"/>
      <c r="Y492" s="6"/>
      <c r="Z492" s="6"/>
      <c r="AA492" s="6"/>
      <c r="AB492" s="6"/>
      <c r="AC492" s="6"/>
      <c r="AD492" s="7"/>
    </row>
    <row r="493" spans="1:30" ht="13">
      <c r="A493" s="20"/>
      <c r="B493" s="20"/>
      <c r="C493" s="23"/>
      <c r="D493" s="17"/>
      <c r="E493" s="6"/>
      <c r="F493" s="6"/>
      <c r="G493" s="6"/>
      <c r="H493" s="6"/>
      <c r="I493" s="17"/>
      <c r="J493" s="6"/>
      <c r="K493" s="6"/>
      <c r="L493" s="17"/>
      <c r="M493" s="6"/>
      <c r="N493" s="6"/>
      <c r="O493" s="6"/>
      <c r="P493" s="6"/>
      <c r="Q493" s="6"/>
      <c r="R493" s="6"/>
      <c r="S493" s="6"/>
      <c r="T493" s="6"/>
      <c r="U493" s="6"/>
      <c r="V493" s="6"/>
      <c r="W493" s="6"/>
      <c r="X493" s="6"/>
      <c r="Y493" s="6"/>
      <c r="Z493" s="6"/>
      <c r="AA493" s="6"/>
      <c r="AB493" s="6"/>
      <c r="AC493" s="6"/>
      <c r="AD493" s="7"/>
    </row>
    <row r="494" spans="1:30" ht="13">
      <c r="A494" s="20"/>
      <c r="B494" s="20"/>
      <c r="C494" s="23"/>
      <c r="D494" s="17"/>
      <c r="E494" s="6"/>
      <c r="F494" s="6"/>
      <c r="G494" s="6"/>
      <c r="H494" s="6"/>
      <c r="I494" s="17"/>
      <c r="J494" s="6"/>
      <c r="K494" s="6"/>
      <c r="L494" s="17"/>
      <c r="M494" s="6"/>
      <c r="N494" s="6"/>
      <c r="O494" s="6"/>
      <c r="P494" s="6"/>
      <c r="Q494" s="6"/>
      <c r="R494" s="6"/>
      <c r="S494" s="6"/>
      <c r="T494" s="6"/>
      <c r="U494" s="6"/>
      <c r="V494" s="6"/>
      <c r="W494" s="6"/>
      <c r="X494" s="6"/>
      <c r="Y494" s="6"/>
      <c r="Z494" s="6"/>
      <c r="AA494" s="6"/>
      <c r="AB494" s="6"/>
      <c r="AC494" s="6"/>
      <c r="AD494" s="7"/>
    </row>
    <row r="495" spans="1:30" ht="13">
      <c r="A495" s="20"/>
      <c r="B495" s="20"/>
      <c r="C495" s="23"/>
      <c r="D495" s="17"/>
      <c r="E495" s="6"/>
      <c r="F495" s="6"/>
      <c r="G495" s="6"/>
      <c r="H495" s="6"/>
      <c r="I495" s="17"/>
      <c r="J495" s="6"/>
      <c r="K495" s="6"/>
      <c r="L495" s="17"/>
      <c r="M495" s="6"/>
      <c r="N495" s="6"/>
      <c r="O495" s="6"/>
      <c r="P495" s="6"/>
      <c r="Q495" s="6"/>
      <c r="R495" s="6"/>
      <c r="S495" s="6"/>
      <c r="T495" s="6"/>
      <c r="U495" s="6"/>
      <c r="V495" s="6"/>
      <c r="W495" s="6"/>
      <c r="X495" s="6"/>
      <c r="Y495" s="6"/>
      <c r="Z495" s="6"/>
      <c r="AA495" s="6"/>
      <c r="AB495" s="6"/>
      <c r="AC495" s="6"/>
      <c r="AD495" s="7"/>
    </row>
    <row r="496" spans="1:30" ht="13">
      <c r="A496" s="20"/>
      <c r="B496" s="20"/>
      <c r="C496" s="23"/>
      <c r="D496" s="17"/>
      <c r="E496" s="6"/>
      <c r="F496" s="6"/>
      <c r="G496" s="6"/>
      <c r="H496" s="6"/>
      <c r="I496" s="17"/>
      <c r="J496" s="6"/>
      <c r="K496" s="6"/>
      <c r="L496" s="17"/>
      <c r="M496" s="6"/>
      <c r="N496" s="6"/>
      <c r="O496" s="6"/>
      <c r="P496" s="6"/>
      <c r="Q496" s="6"/>
      <c r="R496" s="6"/>
      <c r="S496" s="6"/>
      <c r="T496" s="6"/>
      <c r="U496" s="6"/>
      <c r="V496" s="6"/>
      <c r="W496" s="6"/>
      <c r="X496" s="6"/>
      <c r="Y496" s="6"/>
      <c r="Z496" s="6"/>
      <c r="AA496" s="6"/>
      <c r="AB496" s="6"/>
      <c r="AC496" s="6"/>
      <c r="AD496" s="7"/>
    </row>
    <row r="497" spans="1:30" ht="13">
      <c r="A497" s="20"/>
      <c r="B497" s="20"/>
      <c r="C497" s="23"/>
      <c r="D497" s="17"/>
      <c r="E497" s="6"/>
      <c r="F497" s="6"/>
      <c r="G497" s="6"/>
      <c r="H497" s="6"/>
      <c r="I497" s="17"/>
      <c r="J497" s="6"/>
      <c r="K497" s="6"/>
      <c r="L497" s="17"/>
      <c r="M497" s="6"/>
      <c r="N497" s="6"/>
      <c r="O497" s="6"/>
      <c r="P497" s="6"/>
      <c r="Q497" s="6"/>
      <c r="R497" s="6"/>
      <c r="S497" s="6"/>
      <c r="T497" s="6"/>
      <c r="U497" s="6"/>
      <c r="V497" s="6"/>
      <c r="W497" s="6"/>
      <c r="X497" s="6"/>
      <c r="Y497" s="6"/>
      <c r="Z497" s="6"/>
      <c r="AA497" s="6"/>
      <c r="AB497" s="6"/>
      <c r="AC497" s="6"/>
      <c r="AD497" s="7"/>
    </row>
    <row r="498" spans="1:30" ht="13">
      <c r="A498" s="20"/>
      <c r="B498" s="20"/>
      <c r="C498" s="23"/>
      <c r="D498" s="17"/>
      <c r="E498" s="6"/>
      <c r="F498" s="6"/>
      <c r="G498" s="6"/>
      <c r="H498" s="6"/>
      <c r="I498" s="17"/>
      <c r="J498" s="6"/>
      <c r="K498" s="6"/>
      <c r="L498" s="17"/>
      <c r="M498" s="6"/>
      <c r="N498" s="6"/>
      <c r="O498" s="6"/>
      <c r="P498" s="6"/>
      <c r="Q498" s="6"/>
      <c r="R498" s="6"/>
      <c r="S498" s="6"/>
      <c r="T498" s="6"/>
      <c r="U498" s="6"/>
      <c r="V498" s="6"/>
      <c r="W498" s="6"/>
      <c r="X498" s="6"/>
      <c r="Y498" s="6"/>
      <c r="Z498" s="6"/>
      <c r="AA498" s="6"/>
      <c r="AB498" s="6"/>
      <c r="AC498" s="6"/>
      <c r="AD498" s="7"/>
    </row>
    <row r="499" spans="1:30" ht="13">
      <c r="A499" s="20"/>
      <c r="B499" s="20"/>
      <c r="C499" s="23"/>
      <c r="D499" s="17"/>
      <c r="E499" s="6"/>
      <c r="F499" s="6"/>
      <c r="G499" s="6"/>
      <c r="H499" s="6"/>
      <c r="I499" s="17"/>
      <c r="J499" s="6"/>
      <c r="K499" s="6"/>
      <c r="L499" s="17"/>
      <c r="M499" s="6"/>
      <c r="N499" s="6"/>
      <c r="O499" s="6"/>
      <c r="P499" s="6"/>
      <c r="Q499" s="6"/>
      <c r="R499" s="6"/>
      <c r="S499" s="6"/>
      <c r="T499" s="6"/>
      <c r="U499" s="6"/>
      <c r="V499" s="6"/>
      <c r="W499" s="6"/>
      <c r="X499" s="6"/>
      <c r="Y499" s="6"/>
      <c r="Z499" s="6"/>
      <c r="AA499" s="6"/>
      <c r="AB499" s="6"/>
      <c r="AC499" s="6"/>
      <c r="AD499" s="7"/>
    </row>
    <row r="500" spans="1:30" ht="13">
      <c r="A500" s="20"/>
      <c r="B500" s="20"/>
      <c r="C500" s="23"/>
      <c r="D500" s="17"/>
      <c r="E500" s="6"/>
      <c r="F500" s="6"/>
      <c r="G500" s="6"/>
      <c r="H500" s="6"/>
      <c r="I500" s="17"/>
      <c r="J500" s="6"/>
      <c r="K500" s="6"/>
      <c r="L500" s="17"/>
      <c r="M500" s="6"/>
      <c r="N500" s="6"/>
      <c r="O500" s="6"/>
      <c r="P500" s="6"/>
      <c r="Q500" s="6"/>
      <c r="R500" s="6"/>
      <c r="S500" s="6"/>
      <c r="T500" s="6"/>
      <c r="U500" s="6"/>
      <c r="V500" s="6"/>
      <c r="W500" s="6"/>
      <c r="X500" s="6"/>
      <c r="Y500" s="6"/>
      <c r="Z500" s="6"/>
      <c r="AA500" s="6"/>
      <c r="AB500" s="6"/>
      <c r="AC500" s="6"/>
      <c r="AD500" s="7"/>
    </row>
    <row r="501" spans="1:30" ht="13">
      <c r="A501" s="20"/>
      <c r="B501" s="20"/>
      <c r="C501" s="23"/>
      <c r="D501" s="17"/>
      <c r="E501" s="6"/>
      <c r="F501" s="6"/>
      <c r="G501" s="6"/>
      <c r="H501" s="6"/>
      <c r="I501" s="17"/>
      <c r="J501" s="6"/>
      <c r="K501" s="6"/>
      <c r="L501" s="17"/>
      <c r="M501" s="6"/>
      <c r="N501" s="6"/>
      <c r="O501" s="6"/>
      <c r="P501" s="6"/>
      <c r="Q501" s="6"/>
      <c r="R501" s="6"/>
      <c r="S501" s="6"/>
      <c r="T501" s="6"/>
      <c r="U501" s="6"/>
      <c r="V501" s="6"/>
      <c r="W501" s="6"/>
      <c r="X501" s="6"/>
      <c r="Y501" s="6"/>
      <c r="Z501" s="6"/>
      <c r="AA501" s="6"/>
      <c r="AB501" s="6"/>
      <c r="AC501" s="6"/>
      <c r="AD501" s="7"/>
    </row>
    <row r="502" spans="1:30" ht="13">
      <c r="A502" s="20"/>
      <c r="B502" s="20"/>
      <c r="C502" s="23"/>
      <c r="D502" s="17"/>
      <c r="E502" s="6"/>
      <c r="F502" s="6"/>
      <c r="G502" s="6"/>
      <c r="H502" s="6"/>
      <c r="I502" s="17"/>
      <c r="J502" s="6"/>
      <c r="K502" s="6"/>
      <c r="L502" s="17"/>
      <c r="M502" s="6"/>
      <c r="N502" s="6"/>
      <c r="O502" s="6"/>
      <c r="P502" s="6"/>
      <c r="Q502" s="6"/>
      <c r="R502" s="6"/>
      <c r="S502" s="6"/>
      <c r="T502" s="6"/>
      <c r="U502" s="6"/>
      <c r="V502" s="6"/>
      <c r="W502" s="6"/>
      <c r="X502" s="6"/>
      <c r="Y502" s="6"/>
      <c r="Z502" s="6"/>
      <c r="AA502" s="6"/>
      <c r="AB502" s="6"/>
      <c r="AC502" s="6"/>
      <c r="AD502" s="7"/>
    </row>
    <row r="503" spans="1:30" ht="13">
      <c r="A503" s="20"/>
      <c r="B503" s="20"/>
      <c r="C503" s="23"/>
      <c r="D503" s="17"/>
      <c r="E503" s="6"/>
      <c r="F503" s="6"/>
      <c r="G503" s="6"/>
      <c r="H503" s="6"/>
      <c r="I503" s="17"/>
      <c r="J503" s="6"/>
      <c r="K503" s="6"/>
      <c r="L503" s="17"/>
      <c r="M503" s="6"/>
      <c r="N503" s="6"/>
      <c r="O503" s="6"/>
      <c r="P503" s="6"/>
      <c r="Q503" s="6"/>
      <c r="R503" s="6"/>
      <c r="S503" s="6"/>
      <c r="T503" s="6"/>
      <c r="U503" s="6"/>
      <c r="V503" s="6"/>
      <c r="W503" s="6"/>
      <c r="X503" s="6"/>
      <c r="Y503" s="6"/>
      <c r="Z503" s="6"/>
      <c r="AA503" s="6"/>
      <c r="AB503" s="6"/>
      <c r="AC503" s="6"/>
      <c r="AD503" s="7"/>
    </row>
    <row r="504" spans="1:30" ht="13">
      <c r="A504" s="20"/>
      <c r="B504" s="20"/>
      <c r="C504" s="23"/>
      <c r="D504" s="17"/>
      <c r="E504" s="6"/>
      <c r="F504" s="6"/>
      <c r="G504" s="6"/>
      <c r="H504" s="6"/>
      <c r="I504" s="17"/>
      <c r="J504" s="6"/>
      <c r="K504" s="6"/>
      <c r="L504" s="17"/>
      <c r="M504" s="6"/>
      <c r="N504" s="6"/>
      <c r="O504" s="6"/>
      <c r="P504" s="6"/>
      <c r="Q504" s="6"/>
      <c r="R504" s="6"/>
      <c r="S504" s="6"/>
      <c r="T504" s="6"/>
      <c r="U504" s="6"/>
      <c r="V504" s="6"/>
      <c r="W504" s="6"/>
      <c r="X504" s="6"/>
      <c r="Y504" s="6"/>
      <c r="Z504" s="6"/>
      <c r="AA504" s="6"/>
      <c r="AB504" s="6"/>
      <c r="AC504" s="6"/>
      <c r="AD504" s="7"/>
    </row>
    <row r="505" spans="1:30" ht="13">
      <c r="A505" s="20"/>
      <c r="B505" s="20"/>
      <c r="C505" s="23"/>
      <c r="D505" s="17"/>
      <c r="E505" s="6"/>
      <c r="F505" s="6"/>
      <c r="G505" s="6"/>
      <c r="H505" s="6"/>
      <c r="I505" s="17"/>
      <c r="J505" s="6"/>
      <c r="K505" s="6"/>
      <c r="L505" s="17"/>
      <c r="M505" s="6"/>
      <c r="N505" s="6"/>
      <c r="O505" s="6"/>
      <c r="P505" s="6"/>
      <c r="Q505" s="6"/>
      <c r="R505" s="6"/>
      <c r="S505" s="6"/>
      <c r="T505" s="6"/>
      <c r="U505" s="6"/>
      <c r="V505" s="6"/>
      <c r="W505" s="6"/>
      <c r="X505" s="6"/>
      <c r="Y505" s="6"/>
      <c r="Z505" s="6"/>
      <c r="AA505" s="6"/>
      <c r="AB505" s="6"/>
      <c r="AC505" s="6"/>
      <c r="AD505" s="7"/>
    </row>
    <row r="506" spans="1:30" ht="13">
      <c r="A506" s="20"/>
      <c r="B506" s="20"/>
      <c r="C506" s="23"/>
      <c r="D506" s="17"/>
      <c r="E506" s="6"/>
      <c r="F506" s="6"/>
      <c r="G506" s="6"/>
      <c r="H506" s="6"/>
      <c r="I506" s="17"/>
      <c r="J506" s="6"/>
      <c r="K506" s="6"/>
      <c r="L506" s="17"/>
      <c r="M506" s="6"/>
      <c r="N506" s="6"/>
      <c r="O506" s="6"/>
      <c r="P506" s="6"/>
      <c r="Q506" s="6"/>
      <c r="R506" s="6"/>
      <c r="S506" s="6"/>
      <c r="T506" s="6"/>
      <c r="U506" s="6"/>
      <c r="V506" s="6"/>
      <c r="W506" s="6"/>
      <c r="X506" s="6"/>
      <c r="Y506" s="6"/>
      <c r="Z506" s="6"/>
      <c r="AA506" s="6"/>
      <c r="AB506" s="6"/>
      <c r="AC506" s="6"/>
      <c r="AD506" s="7"/>
    </row>
    <row r="507" spans="1:30" ht="13">
      <c r="A507" s="20"/>
      <c r="B507" s="20"/>
      <c r="C507" s="23"/>
      <c r="D507" s="17"/>
      <c r="E507" s="6"/>
      <c r="F507" s="6"/>
      <c r="G507" s="6"/>
      <c r="H507" s="6"/>
      <c r="I507" s="17"/>
      <c r="J507" s="6"/>
      <c r="K507" s="6"/>
      <c r="L507" s="17"/>
      <c r="M507" s="6"/>
      <c r="N507" s="6"/>
      <c r="O507" s="6"/>
      <c r="P507" s="6"/>
      <c r="Q507" s="6"/>
      <c r="R507" s="6"/>
      <c r="S507" s="6"/>
      <c r="T507" s="6"/>
      <c r="U507" s="6"/>
      <c r="V507" s="6"/>
      <c r="W507" s="6"/>
      <c r="X507" s="6"/>
      <c r="Y507" s="6"/>
      <c r="Z507" s="6"/>
      <c r="AA507" s="6"/>
      <c r="AB507" s="6"/>
      <c r="AC507" s="6"/>
      <c r="AD507" s="7"/>
    </row>
    <row r="508" spans="1:30" ht="13">
      <c r="A508" s="20"/>
      <c r="B508" s="20"/>
      <c r="C508" s="23"/>
      <c r="D508" s="17"/>
      <c r="E508" s="6"/>
      <c r="F508" s="6"/>
      <c r="G508" s="6"/>
      <c r="H508" s="6"/>
      <c r="I508" s="17"/>
      <c r="J508" s="6"/>
      <c r="K508" s="6"/>
      <c r="L508" s="17"/>
      <c r="M508" s="6"/>
      <c r="N508" s="6"/>
      <c r="O508" s="6"/>
      <c r="P508" s="6"/>
      <c r="Q508" s="6"/>
      <c r="R508" s="6"/>
      <c r="S508" s="6"/>
      <c r="T508" s="6"/>
      <c r="U508" s="6"/>
      <c r="V508" s="6"/>
      <c r="W508" s="6"/>
      <c r="X508" s="6"/>
      <c r="Y508" s="6"/>
      <c r="Z508" s="6"/>
      <c r="AA508" s="6"/>
      <c r="AB508" s="6"/>
      <c r="AC508" s="6"/>
      <c r="AD508" s="7"/>
    </row>
    <row r="509" spans="1:30" ht="13">
      <c r="A509" s="20"/>
      <c r="B509" s="20"/>
      <c r="C509" s="23"/>
      <c r="D509" s="17"/>
      <c r="E509" s="6"/>
      <c r="F509" s="6"/>
      <c r="G509" s="6"/>
      <c r="H509" s="6"/>
      <c r="I509" s="17"/>
      <c r="J509" s="6"/>
      <c r="K509" s="6"/>
      <c r="L509" s="17"/>
      <c r="M509" s="6"/>
      <c r="N509" s="6"/>
      <c r="O509" s="6"/>
      <c r="P509" s="6"/>
      <c r="Q509" s="6"/>
      <c r="R509" s="6"/>
      <c r="S509" s="6"/>
      <c r="T509" s="6"/>
      <c r="U509" s="6"/>
      <c r="V509" s="6"/>
      <c r="W509" s="6"/>
      <c r="X509" s="6"/>
      <c r="Y509" s="6"/>
      <c r="Z509" s="6"/>
      <c r="AA509" s="6"/>
      <c r="AB509" s="6"/>
      <c r="AC509" s="6"/>
      <c r="AD509" s="7"/>
    </row>
    <row r="510" spans="1:30" ht="13">
      <c r="A510" s="20"/>
      <c r="B510" s="20"/>
      <c r="C510" s="23"/>
      <c r="D510" s="17"/>
      <c r="E510" s="6"/>
      <c r="F510" s="6"/>
      <c r="G510" s="6"/>
      <c r="H510" s="6"/>
      <c r="I510" s="17"/>
      <c r="J510" s="6"/>
      <c r="K510" s="6"/>
      <c r="L510" s="17"/>
      <c r="M510" s="6"/>
      <c r="N510" s="6"/>
      <c r="O510" s="6"/>
      <c r="P510" s="6"/>
      <c r="Q510" s="6"/>
      <c r="R510" s="6"/>
      <c r="S510" s="6"/>
      <c r="T510" s="6"/>
      <c r="U510" s="6"/>
      <c r="V510" s="6"/>
      <c r="W510" s="6"/>
      <c r="X510" s="6"/>
      <c r="Y510" s="6"/>
      <c r="Z510" s="6"/>
      <c r="AA510" s="6"/>
      <c r="AB510" s="6"/>
      <c r="AC510" s="6"/>
      <c r="AD510" s="7"/>
    </row>
    <row r="511" spans="1:30" ht="13">
      <c r="A511" s="20"/>
      <c r="B511" s="20"/>
      <c r="C511" s="23"/>
      <c r="D511" s="17"/>
      <c r="E511" s="6"/>
      <c r="F511" s="6"/>
      <c r="G511" s="6"/>
      <c r="H511" s="6"/>
      <c r="I511" s="17"/>
      <c r="J511" s="6"/>
      <c r="K511" s="6"/>
      <c r="L511" s="17"/>
      <c r="M511" s="6"/>
      <c r="N511" s="6"/>
      <c r="O511" s="6"/>
      <c r="P511" s="6"/>
      <c r="Q511" s="6"/>
      <c r="R511" s="6"/>
      <c r="S511" s="6"/>
      <c r="T511" s="6"/>
      <c r="U511" s="6"/>
      <c r="V511" s="6"/>
      <c r="W511" s="6"/>
      <c r="X511" s="6"/>
      <c r="Y511" s="6"/>
      <c r="Z511" s="6"/>
      <c r="AA511" s="6"/>
      <c r="AB511" s="6"/>
      <c r="AC511" s="6"/>
      <c r="AD511" s="7"/>
    </row>
    <row r="512" spans="1:30" ht="13">
      <c r="A512" s="20"/>
      <c r="B512" s="20"/>
      <c r="C512" s="23"/>
      <c r="D512" s="17"/>
      <c r="E512" s="6"/>
      <c r="F512" s="6"/>
      <c r="G512" s="6"/>
      <c r="H512" s="6"/>
      <c r="I512" s="17"/>
      <c r="J512" s="6"/>
      <c r="K512" s="6"/>
      <c r="L512" s="17"/>
      <c r="M512" s="6"/>
      <c r="N512" s="6"/>
      <c r="O512" s="6"/>
      <c r="P512" s="6"/>
      <c r="Q512" s="6"/>
      <c r="R512" s="6"/>
      <c r="S512" s="6"/>
      <c r="T512" s="6"/>
      <c r="U512" s="6"/>
      <c r="V512" s="6"/>
      <c r="W512" s="6"/>
      <c r="X512" s="6"/>
      <c r="Y512" s="6"/>
      <c r="Z512" s="6"/>
      <c r="AA512" s="6"/>
      <c r="AB512" s="6"/>
      <c r="AC512" s="6"/>
      <c r="AD512" s="7"/>
    </row>
    <row r="513" spans="1:30" ht="13">
      <c r="A513" s="20"/>
      <c r="B513" s="20"/>
      <c r="C513" s="23"/>
      <c r="D513" s="17"/>
      <c r="E513" s="6"/>
      <c r="F513" s="6"/>
      <c r="G513" s="6"/>
      <c r="H513" s="6"/>
      <c r="I513" s="17"/>
      <c r="J513" s="6"/>
      <c r="K513" s="6"/>
      <c r="L513" s="17"/>
      <c r="M513" s="6"/>
      <c r="N513" s="6"/>
      <c r="O513" s="6"/>
      <c r="P513" s="6"/>
      <c r="Q513" s="6"/>
      <c r="R513" s="6"/>
      <c r="S513" s="6"/>
      <c r="T513" s="6"/>
      <c r="U513" s="6"/>
      <c r="V513" s="6"/>
      <c r="W513" s="6"/>
      <c r="X513" s="6"/>
      <c r="Y513" s="6"/>
      <c r="Z513" s="6"/>
      <c r="AA513" s="6"/>
      <c r="AB513" s="6"/>
      <c r="AC513" s="6"/>
      <c r="AD513" s="7"/>
    </row>
    <row r="514" spans="1:30" ht="13">
      <c r="A514" s="20"/>
      <c r="B514" s="20"/>
      <c r="C514" s="23"/>
      <c r="D514" s="17"/>
      <c r="E514" s="6"/>
      <c r="F514" s="6"/>
      <c r="G514" s="6"/>
      <c r="H514" s="6"/>
      <c r="I514" s="17"/>
      <c r="J514" s="6"/>
      <c r="K514" s="6"/>
      <c r="L514" s="17"/>
      <c r="M514" s="6"/>
      <c r="N514" s="6"/>
      <c r="O514" s="6"/>
      <c r="P514" s="6"/>
      <c r="Q514" s="6"/>
      <c r="R514" s="6"/>
      <c r="S514" s="6"/>
      <c r="T514" s="6"/>
      <c r="U514" s="6"/>
      <c r="V514" s="6"/>
      <c r="W514" s="6"/>
      <c r="X514" s="6"/>
      <c r="Y514" s="6"/>
      <c r="Z514" s="6"/>
      <c r="AA514" s="6"/>
      <c r="AB514" s="6"/>
      <c r="AC514" s="6"/>
      <c r="AD514" s="7"/>
    </row>
    <row r="515" spans="1:30" ht="13">
      <c r="A515" s="20"/>
      <c r="B515" s="20"/>
      <c r="C515" s="23"/>
      <c r="D515" s="17"/>
      <c r="E515" s="6"/>
      <c r="F515" s="6"/>
      <c r="G515" s="6"/>
      <c r="H515" s="6"/>
      <c r="I515" s="17"/>
      <c r="J515" s="6"/>
      <c r="K515" s="6"/>
      <c r="L515" s="17"/>
      <c r="M515" s="6"/>
      <c r="N515" s="6"/>
      <c r="O515" s="6"/>
      <c r="P515" s="6"/>
      <c r="Q515" s="6"/>
      <c r="R515" s="6"/>
      <c r="S515" s="6"/>
      <c r="T515" s="6"/>
      <c r="U515" s="6"/>
      <c r="V515" s="6"/>
      <c r="W515" s="6"/>
      <c r="X515" s="6"/>
      <c r="Y515" s="6"/>
      <c r="Z515" s="6"/>
      <c r="AA515" s="6"/>
      <c r="AB515" s="6"/>
      <c r="AC515" s="6"/>
      <c r="AD515" s="7"/>
    </row>
    <row r="516" spans="1:30" ht="13">
      <c r="A516" s="20"/>
      <c r="B516" s="20"/>
      <c r="C516" s="23"/>
      <c r="D516" s="17"/>
      <c r="E516" s="6"/>
      <c r="F516" s="6"/>
      <c r="G516" s="6"/>
      <c r="H516" s="6"/>
      <c r="I516" s="17"/>
      <c r="J516" s="6"/>
      <c r="K516" s="6"/>
      <c r="L516" s="17"/>
      <c r="M516" s="6"/>
      <c r="N516" s="6"/>
      <c r="O516" s="6"/>
      <c r="P516" s="6"/>
      <c r="Q516" s="6"/>
      <c r="R516" s="6"/>
      <c r="S516" s="6"/>
      <c r="T516" s="6"/>
      <c r="U516" s="6"/>
      <c r="V516" s="6"/>
      <c r="W516" s="6"/>
      <c r="X516" s="6"/>
      <c r="Y516" s="6"/>
      <c r="Z516" s="6"/>
      <c r="AA516" s="6"/>
      <c r="AB516" s="6"/>
      <c r="AC516" s="6"/>
      <c r="AD516" s="7"/>
    </row>
    <row r="517" spans="1:30" ht="13">
      <c r="A517" s="20"/>
      <c r="B517" s="20"/>
      <c r="C517" s="23"/>
      <c r="D517" s="17"/>
      <c r="E517" s="6"/>
      <c r="F517" s="6"/>
      <c r="G517" s="6"/>
      <c r="H517" s="6"/>
      <c r="I517" s="17"/>
      <c r="J517" s="6"/>
      <c r="K517" s="6"/>
      <c r="L517" s="17"/>
      <c r="M517" s="6"/>
      <c r="N517" s="6"/>
      <c r="O517" s="6"/>
      <c r="P517" s="6"/>
      <c r="Q517" s="6"/>
      <c r="R517" s="6"/>
      <c r="S517" s="6"/>
      <c r="T517" s="6"/>
      <c r="U517" s="6"/>
      <c r="V517" s="6"/>
      <c r="W517" s="6"/>
      <c r="X517" s="6"/>
      <c r="Y517" s="6"/>
      <c r="Z517" s="6"/>
      <c r="AA517" s="6"/>
      <c r="AB517" s="6"/>
      <c r="AC517" s="6"/>
      <c r="AD517" s="7"/>
    </row>
    <row r="518" spans="1:30" ht="13">
      <c r="A518" s="20"/>
      <c r="B518" s="20"/>
      <c r="C518" s="23"/>
      <c r="D518" s="17"/>
      <c r="E518" s="6"/>
      <c r="F518" s="6"/>
      <c r="G518" s="6"/>
      <c r="H518" s="6"/>
      <c r="I518" s="17"/>
      <c r="J518" s="6"/>
      <c r="K518" s="6"/>
      <c r="L518" s="17"/>
      <c r="M518" s="6"/>
      <c r="N518" s="6"/>
      <c r="O518" s="6"/>
      <c r="P518" s="6"/>
      <c r="Q518" s="6"/>
      <c r="R518" s="6"/>
      <c r="S518" s="6"/>
      <c r="T518" s="6"/>
      <c r="U518" s="6"/>
      <c r="V518" s="6"/>
      <c r="W518" s="6"/>
      <c r="X518" s="6"/>
      <c r="Y518" s="6"/>
      <c r="Z518" s="6"/>
      <c r="AA518" s="6"/>
      <c r="AB518" s="6"/>
      <c r="AC518" s="6"/>
      <c r="AD518" s="7"/>
    </row>
    <row r="519" spans="1:30" ht="13">
      <c r="A519" s="20"/>
      <c r="B519" s="20"/>
      <c r="C519" s="23"/>
      <c r="D519" s="17"/>
      <c r="E519" s="6"/>
      <c r="F519" s="6"/>
      <c r="G519" s="6"/>
      <c r="H519" s="6"/>
      <c r="I519" s="17"/>
      <c r="J519" s="6"/>
      <c r="K519" s="6"/>
      <c r="L519" s="17"/>
      <c r="M519" s="6"/>
      <c r="N519" s="6"/>
      <c r="O519" s="6"/>
      <c r="P519" s="6"/>
      <c r="Q519" s="6"/>
      <c r="R519" s="6"/>
      <c r="S519" s="6"/>
      <c r="T519" s="6"/>
      <c r="U519" s="6"/>
      <c r="V519" s="6"/>
      <c r="W519" s="6"/>
      <c r="X519" s="6"/>
      <c r="Y519" s="6"/>
      <c r="Z519" s="6"/>
      <c r="AA519" s="6"/>
      <c r="AB519" s="6"/>
      <c r="AC519" s="6"/>
      <c r="AD519" s="7"/>
    </row>
    <row r="520" spans="1:30" ht="13">
      <c r="A520" s="20"/>
      <c r="B520" s="20"/>
      <c r="C520" s="23"/>
      <c r="D520" s="17"/>
      <c r="E520" s="6"/>
      <c r="F520" s="6"/>
      <c r="G520" s="6"/>
      <c r="H520" s="6"/>
      <c r="I520" s="17"/>
      <c r="J520" s="6"/>
      <c r="K520" s="6"/>
      <c r="L520" s="17"/>
      <c r="M520" s="6"/>
      <c r="N520" s="6"/>
      <c r="O520" s="6"/>
      <c r="P520" s="6"/>
      <c r="Q520" s="6"/>
      <c r="R520" s="6"/>
      <c r="S520" s="6"/>
      <c r="T520" s="6"/>
      <c r="U520" s="6"/>
      <c r="V520" s="6"/>
      <c r="W520" s="6"/>
      <c r="X520" s="6"/>
      <c r="Y520" s="6"/>
      <c r="Z520" s="6"/>
      <c r="AA520" s="6"/>
      <c r="AB520" s="6"/>
      <c r="AC520" s="6"/>
      <c r="AD520" s="7"/>
    </row>
    <row r="521" spans="1:30" ht="13">
      <c r="A521" s="20"/>
      <c r="B521" s="20"/>
      <c r="C521" s="23"/>
      <c r="D521" s="17"/>
      <c r="E521" s="6"/>
      <c r="F521" s="6"/>
      <c r="G521" s="6"/>
      <c r="H521" s="6"/>
      <c r="I521" s="17"/>
      <c r="J521" s="6"/>
      <c r="K521" s="6"/>
      <c r="L521" s="17"/>
      <c r="M521" s="6"/>
      <c r="N521" s="6"/>
      <c r="O521" s="6"/>
      <c r="P521" s="6"/>
      <c r="Q521" s="6"/>
      <c r="R521" s="6"/>
      <c r="S521" s="6"/>
      <c r="T521" s="6"/>
      <c r="U521" s="6"/>
      <c r="V521" s="6"/>
      <c r="W521" s="6"/>
      <c r="X521" s="6"/>
      <c r="Y521" s="6"/>
      <c r="Z521" s="6"/>
      <c r="AA521" s="6"/>
      <c r="AB521" s="6"/>
      <c r="AC521" s="6"/>
      <c r="AD521" s="7"/>
    </row>
    <row r="522" spans="1:30" ht="13">
      <c r="A522" s="20"/>
      <c r="B522" s="20"/>
      <c r="C522" s="23"/>
      <c r="D522" s="17"/>
      <c r="E522" s="6"/>
      <c r="F522" s="6"/>
      <c r="G522" s="6"/>
      <c r="H522" s="6"/>
      <c r="I522" s="17"/>
      <c r="J522" s="6"/>
      <c r="K522" s="6"/>
      <c r="L522" s="17"/>
      <c r="M522" s="6"/>
      <c r="N522" s="6"/>
      <c r="O522" s="6"/>
      <c r="P522" s="6"/>
      <c r="Q522" s="6"/>
      <c r="R522" s="6"/>
      <c r="S522" s="6"/>
      <c r="T522" s="6"/>
      <c r="U522" s="6"/>
      <c r="V522" s="6"/>
      <c r="W522" s="6"/>
      <c r="X522" s="6"/>
      <c r="Y522" s="6"/>
      <c r="Z522" s="6"/>
      <c r="AA522" s="6"/>
      <c r="AB522" s="6"/>
      <c r="AC522" s="6"/>
      <c r="AD522" s="7"/>
    </row>
    <row r="523" spans="1:30" ht="13">
      <c r="A523" s="20"/>
      <c r="B523" s="20"/>
      <c r="C523" s="23"/>
      <c r="D523" s="17"/>
      <c r="E523" s="6"/>
      <c r="F523" s="6"/>
      <c r="G523" s="6"/>
      <c r="H523" s="6"/>
      <c r="I523" s="17"/>
      <c r="J523" s="6"/>
      <c r="K523" s="6"/>
      <c r="L523" s="17"/>
      <c r="M523" s="6"/>
      <c r="N523" s="6"/>
      <c r="O523" s="6"/>
      <c r="P523" s="6"/>
      <c r="Q523" s="6"/>
      <c r="R523" s="6"/>
      <c r="S523" s="6"/>
      <c r="T523" s="6"/>
      <c r="U523" s="6"/>
      <c r="V523" s="6"/>
      <c r="W523" s="6"/>
      <c r="X523" s="6"/>
      <c r="Y523" s="6"/>
      <c r="Z523" s="6"/>
      <c r="AA523" s="6"/>
      <c r="AB523" s="6"/>
      <c r="AC523" s="6"/>
      <c r="AD523" s="7"/>
    </row>
    <row r="524" spans="1:30" ht="13">
      <c r="A524" s="20"/>
      <c r="B524" s="20"/>
      <c r="C524" s="23"/>
      <c r="D524" s="17"/>
      <c r="E524" s="6"/>
      <c r="F524" s="6"/>
      <c r="G524" s="6"/>
      <c r="H524" s="6"/>
      <c r="I524" s="17"/>
      <c r="J524" s="6"/>
      <c r="K524" s="6"/>
      <c r="L524" s="17"/>
      <c r="M524" s="6"/>
      <c r="N524" s="6"/>
      <c r="O524" s="6"/>
      <c r="P524" s="6"/>
      <c r="Q524" s="6"/>
      <c r="R524" s="6"/>
      <c r="S524" s="6"/>
      <c r="T524" s="6"/>
      <c r="U524" s="6"/>
      <c r="V524" s="6"/>
      <c r="W524" s="6"/>
      <c r="X524" s="6"/>
      <c r="Y524" s="6"/>
      <c r="Z524" s="6"/>
      <c r="AA524" s="6"/>
      <c r="AB524" s="6"/>
      <c r="AC524" s="6"/>
      <c r="AD524" s="7"/>
    </row>
    <row r="525" spans="1:30" ht="13">
      <c r="A525" s="20"/>
      <c r="B525" s="20"/>
      <c r="C525" s="23"/>
      <c r="D525" s="17"/>
      <c r="E525" s="6"/>
      <c r="F525" s="6"/>
      <c r="G525" s="6"/>
      <c r="H525" s="6"/>
      <c r="I525" s="17"/>
      <c r="J525" s="6"/>
      <c r="K525" s="6"/>
      <c r="L525" s="17"/>
      <c r="M525" s="6"/>
      <c r="N525" s="6"/>
      <c r="O525" s="6"/>
      <c r="P525" s="6"/>
      <c r="Q525" s="6"/>
      <c r="R525" s="6"/>
      <c r="S525" s="6"/>
      <c r="T525" s="6"/>
      <c r="U525" s="6"/>
      <c r="V525" s="6"/>
      <c r="W525" s="6"/>
      <c r="X525" s="6"/>
      <c r="Y525" s="6"/>
      <c r="Z525" s="6"/>
      <c r="AA525" s="6"/>
      <c r="AB525" s="6"/>
      <c r="AC525" s="6"/>
      <c r="AD525" s="7"/>
    </row>
    <row r="526" spans="1:30" ht="13">
      <c r="A526" s="20"/>
      <c r="B526" s="20"/>
      <c r="C526" s="23"/>
      <c r="D526" s="17"/>
      <c r="E526" s="6"/>
      <c r="F526" s="6"/>
      <c r="G526" s="6"/>
      <c r="H526" s="6"/>
      <c r="I526" s="17"/>
      <c r="J526" s="6"/>
      <c r="K526" s="6"/>
      <c r="L526" s="17"/>
      <c r="M526" s="6"/>
      <c r="N526" s="6"/>
      <c r="O526" s="6"/>
      <c r="P526" s="6"/>
      <c r="Q526" s="6"/>
      <c r="R526" s="6"/>
      <c r="S526" s="6"/>
      <c r="T526" s="6"/>
      <c r="U526" s="6"/>
      <c r="V526" s="6"/>
      <c r="W526" s="6"/>
      <c r="X526" s="6"/>
      <c r="Y526" s="6"/>
      <c r="Z526" s="6"/>
      <c r="AA526" s="6"/>
      <c r="AB526" s="6"/>
      <c r="AC526" s="6"/>
      <c r="AD526" s="7"/>
    </row>
    <row r="527" spans="1:30" ht="13">
      <c r="A527" s="20"/>
      <c r="B527" s="20"/>
      <c r="C527" s="23"/>
      <c r="D527" s="17"/>
      <c r="E527" s="6"/>
      <c r="F527" s="6"/>
      <c r="G527" s="6"/>
      <c r="H527" s="6"/>
      <c r="I527" s="17"/>
      <c r="J527" s="6"/>
      <c r="K527" s="6"/>
      <c r="L527" s="17"/>
      <c r="M527" s="6"/>
      <c r="N527" s="6"/>
      <c r="O527" s="6"/>
      <c r="P527" s="6"/>
      <c r="Q527" s="6"/>
      <c r="R527" s="6"/>
      <c r="S527" s="6"/>
      <c r="T527" s="6"/>
      <c r="U527" s="6"/>
      <c r="V527" s="6"/>
      <c r="W527" s="6"/>
      <c r="X527" s="6"/>
      <c r="Y527" s="6"/>
      <c r="Z527" s="6"/>
      <c r="AA527" s="6"/>
      <c r="AB527" s="6"/>
      <c r="AC527" s="6"/>
      <c r="AD527" s="7"/>
    </row>
    <row r="528" spans="1:30" ht="13">
      <c r="A528" s="20"/>
      <c r="B528" s="20"/>
      <c r="C528" s="23"/>
      <c r="D528" s="17"/>
      <c r="E528" s="6"/>
      <c r="F528" s="6"/>
      <c r="G528" s="6"/>
      <c r="H528" s="6"/>
      <c r="I528" s="17"/>
      <c r="J528" s="6"/>
      <c r="K528" s="6"/>
      <c r="L528" s="17"/>
      <c r="M528" s="6"/>
      <c r="N528" s="6"/>
      <c r="O528" s="6"/>
      <c r="P528" s="6"/>
      <c r="Q528" s="6"/>
      <c r="R528" s="6"/>
      <c r="S528" s="6"/>
      <c r="T528" s="6"/>
      <c r="U528" s="6"/>
      <c r="V528" s="6"/>
      <c r="W528" s="6"/>
      <c r="X528" s="6"/>
      <c r="Y528" s="6"/>
      <c r="Z528" s="6"/>
      <c r="AA528" s="6"/>
      <c r="AB528" s="6"/>
      <c r="AC528" s="6"/>
      <c r="AD528" s="7"/>
    </row>
    <row r="529" spans="1:30" ht="13">
      <c r="A529" s="20"/>
      <c r="B529" s="20"/>
      <c r="C529" s="23"/>
      <c r="D529" s="17"/>
      <c r="E529" s="6"/>
      <c r="F529" s="6"/>
      <c r="G529" s="6"/>
      <c r="H529" s="6"/>
      <c r="I529" s="17"/>
      <c r="J529" s="6"/>
      <c r="K529" s="6"/>
      <c r="L529" s="17"/>
      <c r="M529" s="6"/>
      <c r="N529" s="6"/>
      <c r="O529" s="6"/>
      <c r="P529" s="6"/>
      <c r="Q529" s="6"/>
      <c r="R529" s="6"/>
      <c r="S529" s="6"/>
      <c r="T529" s="6"/>
      <c r="U529" s="6"/>
      <c r="V529" s="6"/>
      <c r="W529" s="6"/>
      <c r="X529" s="6"/>
      <c r="Y529" s="6"/>
      <c r="Z529" s="6"/>
      <c r="AA529" s="6"/>
      <c r="AB529" s="6"/>
      <c r="AC529" s="6"/>
      <c r="AD529" s="7"/>
    </row>
    <row r="530" spans="1:30" ht="13">
      <c r="A530" s="20"/>
      <c r="B530" s="20"/>
      <c r="C530" s="23"/>
      <c r="D530" s="17"/>
      <c r="E530" s="6"/>
      <c r="F530" s="6"/>
      <c r="G530" s="6"/>
      <c r="H530" s="6"/>
      <c r="I530" s="17"/>
      <c r="J530" s="6"/>
      <c r="K530" s="6"/>
      <c r="L530" s="17"/>
      <c r="M530" s="6"/>
      <c r="N530" s="6"/>
      <c r="O530" s="6"/>
      <c r="P530" s="6"/>
      <c r="Q530" s="6"/>
      <c r="R530" s="6"/>
      <c r="S530" s="6"/>
      <c r="T530" s="6"/>
      <c r="U530" s="6"/>
      <c r="V530" s="6"/>
      <c r="W530" s="6"/>
      <c r="X530" s="6"/>
      <c r="Y530" s="6"/>
      <c r="Z530" s="6"/>
      <c r="AA530" s="6"/>
      <c r="AB530" s="6"/>
      <c r="AC530" s="6"/>
      <c r="AD530" s="7"/>
    </row>
    <row r="531" spans="1:30" ht="13">
      <c r="A531" s="20"/>
      <c r="B531" s="20"/>
      <c r="C531" s="23"/>
      <c r="D531" s="17"/>
      <c r="E531" s="6"/>
      <c r="F531" s="6"/>
      <c r="G531" s="6"/>
      <c r="H531" s="6"/>
      <c r="I531" s="17"/>
      <c r="J531" s="6"/>
      <c r="K531" s="6"/>
      <c r="L531" s="17"/>
      <c r="M531" s="6"/>
      <c r="N531" s="6"/>
      <c r="O531" s="6"/>
      <c r="P531" s="6"/>
      <c r="Q531" s="6"/>
      <c r="R531" s="6"/>
      <c r="S531" s="6"/>
      <c r="T531" s="6"/>
      <c r="U531" s="6"/>
      <c r="V531" s="6"/>
      <c r="W531" s="6"/>
      <c r="X531" s="6"/>
      <c r="Y531" s="6"/>
      <c r="Z531" s="6"/>
      <c r="AA531" s="6"/>
      <c r="AB531" s="6"/>
      <c r="AC531" s="6"/>
      <c r="AD531" s="7"/>
    </row>
    <row r="532" spans="1:30" ht="13">
      <c r="A532" s="20"/>
      <c r="B532" s="20"/>
      <c r="C532" s="23"/>
      <c r="D532" s="17"/>
      <c r="E532" s="6"/>
      <c r="F532" s="6"/>
      <c r="G532" s="6"/>
      <c r="H532" s="6"/>
      <c r="I532" s="17"/>
      <c r="J532" s="6"/>
      <c r="K532" s="6"/>
      <c r="L532" s="17"/>
      <c r="M532" s="6"/>
      <c r="N532" s="6"/>
      <c r="O532" s="6"/>
      <c r="P532" s="6"/>
      <c r="Q532" s="6"/>
      <c r="R532" s="6"/>
      <c r="S532" s="6"/>
      <c r="T532" s="6"/>
      <c r="U532" s="6"/>
      <c r="V532" s="6"/>
      <c r="W532" s="6"/>
      <c r="X532" s="6"/>
      <c r="Y532" s="6"/>
      <c r="Z532" s="6"/>
      <c r="AA532" s="6"/>
      <c r="AB532" s="6"/>
      <c r="AC532" s="6"/>
      <c r="AD532" s="7"/>
    </row>
    <row r="533" spans="1:30" ht="13">
      <c r="A533" s="20"/>
      <c r="B533" s="20"/>
      <c r="C533" s="23"/>
      <c r="D533" s="17"/>
      <c r="E533" s="6"/>
      <c r="F533" s="6"/>
      <c r="G533" s="6"/>
      <c r="H533" s="6"/>
      <c r="I533" s="17"/>
      <c r="J533" s="6"/>
      <c r="K533" s="6"/>
      <c r="L533" s="17"/>
      <c r="M533" s="6"/>
      <c r="N533" s="6"/>
      <c r="O533" s="6"/>
      <c r="P533" s="6"/>
      <c r="Q533" s="6"/>
      <c r="R533" s="6"/>
      <c r="S533" s="6"/>
      <c r="T533" s="6"/>
      <c r="U533" s="6"/>
      <c r="V533" s="6"/>
      <c r="W533" s="6"/>
      <c r="X533" s="6"/>
      <c r="Y533" s="6"/>
      <c r="Z533" s="6"/>
      <c r="AA533" s="6"/>
      <c r="AB533" s="6"/>
      <c r="AC533" s="6"/>
      <c r="AD533" s="7"/>
    </row>
    <row r="534" spans="1:30" ht="13">
      <c r="A534" s="20"/>
      <c r="B534" s="20"/>
      <c r="C534" s="23"/>
      <c r="D534" s="17"/>
      <c r="E534" s="6"/>
      <c r="F534" s="6"/>
      <c r="G534" s="6"/>
      <c r="H534" s="6"/>
      <c r="I534" s="17"/>
      <c r="J534" s="6"/>
      <c r="K534" s="6"/>
      <c r="L534" s="17"/>
      <c r="M534" s="6"/>
      <c r="N534" s="6"/>
      <c r="O534" s="6"/>
      <c r="P534" s="6"/>
      <c r="Q534" s="6"/>
      <c r="R534" s="6"/>
      <c r="S534" s="6"/>
      <c r="T534" s="6"/>
      <c r="U534" s="6"/>
      <c r="V534" s="6"/>
      <c r="W534" s="6"/>
      <c r="X534" s="6"/>
      <c r="Y534" s="6"/>
      <c r="Z534" s="6"/>
      <c r="AA534" s="6"/>
      <c r="AB534" s="6"/>
      <c r="AC534" s="6"/>
      <c r="AD534" s="7"/>
    </row>
    <row r="535" spans="1:30" ht="13">
      <c r="A535" s="20"/>
      <c r="B535" s="20"/>
      <c r="C535" s="23"/>
      <c r="D535" s="17"/>
      <c r="E535" s="6"/>
      <c r="F535" s="6"/>
      <c r="G535" s="6"/>
      <c r="H535" s="6"/>
      <c r="I535" s="17"/>
      <c r="J535" s="6"/>
      <c r="K535" s="6"/>
      <c r="L535" s="17"/>
      <c r="M535" s="6"/>
      <c r="N535" s="6"/>
      <c r="O535" s="6"/>
      <c r="P535" s="6"/>
      <c r="Q535" s="6"/>
      <c r="R535" s="6"/>
      <c r="S535" s="6"/>
      <c r="T535" s="6"/>
      <c r="U535" s="6"/>
      <c r="V535" s="6"/>
      <c r="W535" s="6"/>
      <c r="X535" s="6"/>
      <c r="Y535" s="6"/>
      <c r="Z535" s="6"/>
      <c r="AA535" s="6"/>
      <c r="AB535" s="6"/>
      <c r="AC535" s="6"/>
      <c r="AD535" s="7"/>
    </row>
    <row r="536" spans="1:30" ht="13">
      <c r="A536" s="20"/>
      <c r="B536" s="20"/>
      <c r="C536" s="23"/>
      <c r="D536" s="17"/>
      <c r="E536" s="6"/>
      <c r="F536" s="6"/>
      <c r="G536" s="6"/>
      <c r="H536" s="6"/>
      <c r="I536" s="17"/>
      <c r="J536" s="6"/>
      <c r="K536" s="6"/>
      <c r="L536" s="17"/>
      <c r="M536" s="6"/>
      <c r="N536" s="6"/>
      <c r="O536" s="6"/>
      <c r="P536" s="6"/>
      <c r="Q536" s="6"/>
      <c r="R536" s="6"/>
      <c r="S536" s="6"/>
      <c r="T536" s="6"/>
      <c r="U536" s="6"/>
      <c r="V536" s="6"/>
      <c r="W536" s="6"/>
      <c r="X536" s="6"/>
      <c r="Y536" s="6"/>
      <c r="Z536" s="6"/>
      <c r="AA536" s="6"/>
      <c r="AB536" s="6"/>
      <c r="AC536" s="6"/>
      <c r="AD536" s="7"/>
    </row>
    <row r="537" spans="1:30" ht="13">
      <c r="A537" s="20"/>
      <c r="B537" s="20"/>
      <c r="C537" s="23"/>
      <c r="D537" s="17"/>
      <c r="E537" s="6"/>
      <c r="F537" s="6"/>
      <c r="G537" s="6"/>
      <c r="H537" s="6"/>
      <c r="I537" s="17"/>
      <c r="J537" s="6"/>
      <c r="K537" s="6"/>
      <c r="L537" s="17"/>
      <c r="M537" s="6"/>
      <c r="N537" s="6"/>
      <c r="O537" s="6"/>
      <c r="P537" s="6"/>
      <c r="Q537" s="6"/>
      <c r="R537" s="6"/>
      <c r="S537" s="6"/>
      <c r="T537" s="6"/>
      <c r="U537" s="6"/>
      <c r="V537" s="6"/>
      <c r="W537" s="6"/>
      <c r="X537" s="6"/>
      <c r="Y537" s="6"/>
      <c r="Z537" s="6"/>
      <c r="AA537" s="6"/>
      <c r="AB537" s="6"/>
      <c r="AC537" s="6"/>
      <c r="AD537" s="7"/>
    </row>
    <row r="538" spans="1:30" ht="13">
      <c r="A538" s="20"/>
      <c r="B538" s="20"/>
      <c r="C538" s="23"/>
      <c r="D538" s="17"/>
      <c r="E538" s="6"/>
      <c r="F538" s="6"/>
      <c r="G538" s="6"/>
      <c r="H538" s="6"/>
      <c r="I538" s="17"/>
      <c r="J538" s="6"/>
      <c r="K538" s="6"/>
      <c r="L538" s="17"/>
      <c r="M538" s="6"/>
      <c r="N538" s="6"/>
      <c r="O538" s="6"/>
      <c r="P538" s="6"/>
      <c r="Q538" s="6"/>
      <c r="R538" s="6"/>
      <c r="S538" s="6"/>
      <c r="T538" s="6"/>
      <c r="U538" s="6"/>
      <c r="V538" s="6"/>
      <c r="W538" s="6"/>
      <c r="X538" s="6"/>
      <c r="Y538" s="6"/>
      <c r="Z538" s="6"/>
      <c r="AA538" s="6"/>
      <c r="AB538" s="6"/>
      <c r="AC538" s="6"/>
      <c r="AD538" s="7"/>
    </row>
    <row r="539" spans="1:30" ht="13">
      <c r="A539" s="20"/>
      <c r="B539" s="20"/>
      <c r="C539" s="23"/>
      <c r="D539" s="17"/>
      <c r="E539" s="6"/>
      <c r="F539" s="6"/>
      <c r="G539" s="6"/>
      <c r="H539" s="6"/>
      <c r="I539" s="17"/>
      <c r="J539" s="6"/>
      <c r="K539" s="6"/>
      <c r="L539" s="17"/>
      <c r="M539" s="6"/>
      <c r="N539" s="6"/>
      <c r="O539" s="6"/>
      <c r="P539" s="6"/>
      <c r="Q539" s="6"/>
      <c r="R539" s="6"/>
      <c r="S539" s="6"/>
      <c r="T539" s="6"/>
      <c r="U539" s="6"/>
      <c r="V539" s="6"/>
      <c r="W539" s="6"/>
      <c r="X539" s="6"/>
      <c r="Y539" s="6"/>
      <c r="Z539" s="6"/>
      <c r="AA539" s="6"/>
      <c r="AB539" s="6"/>
      <c r="AC539" s="6"/>
      <c r="AD539" s="7"/>
    </row>
    <row r="540" spans="1:30" ht="13">
      <c r="A540" s="20"/>
      <c r="B540" s="20"/>
      <c r="C540" s="23"/>
      <c r="D540" s="17"/>
      <c r="E540" s="6"/>
      <c r="F540" s="6"/>
      <c r="G540" s="6"/>
      <c r="H540" s="6"/>
      <c r="I540" s="17"/>
      <c r="J540" s="6"/>
      <c r="K540" s="6"/>
      <c r="L540" s="17"/>
      <c r="M540" s="6"/>
      <c r="N540" s="6"/>
      <c r="O540" s="6"/>
      <c r="P540" s="6"/>
      <c r="Q540" s="6"/>
      <c r="R540" s="6"/>
      <c r="S540" s="6"/>
      <c r="T540" s="6"/>
      <c r="U540" s="6"/>
      <c r="V540" s="6"/>
      <c r="W540" s="6"/>
      <c r="X540" s="6"/>
      <c r="Y540" s="6"/>
      <c r="Z540" s="6"/>
      <c r="AA540" s="6"/>
      <c r="AB540" s="6"/>
      <c r="AC540" s="6"/>
      <c r="AD540" s="7"/>
    </row>
    <row r="541" spans="1:30" ht="13">
      <c r="A541" s="20"/>
      <c r="B541" s="20"/>
      <c r="C541" s="23"/>
      <c r="D541" s="17"/>
      <c r="E541" s="6"/>
      <c r="F541" s="6"/>
      <c r="G541" s="6"/>
      <c r="H541" s="6"/>
      <c r="I541" s="17"/>
      <c r="J541" s="6"/>
      <c r="K541" s="6"/>
      <c r="L541" s="17"/>
      <c r="M541" s="6"/>
      <c r="N541" s="6"/>
      <c r="O541" s="6"/>
      <c r="P541" s="6"/>
      <c r="Q541" s="6"/>
      <c r="R541" s="6"/>
      <c r="S541" s="6"/>
      <c r="T541" s="6"/>
      <c r="U541" s="6"/>
      <c r="V541" s="6"/>
      <c r="W541" s="6"/>
      <c r="X541" s="6"/>
      <c r="Y541" s="6"/>
      <c r="Z541" s="6"/>
      <c r="AA541" s="6"/>
      <c r="AB541" s="6"/>
      <c r="AC541" s="6"/>
      <c r="AD541" s="7"/>
    </row>
    <row r="542" spans="1:30" ht="13">
      <c r="A542" s="20"/>
      <c r="B542" s="20"/>
      <c r="C542" s="23"/>
      <c r="D542" s="17"/>
      <c r="E542" s="6"/>
      <c r="F542" s="6"/>
      <c r="G542" s="6"/>
      <c r="H542" s="6"/>
      <c r="I542" s="17"/>
      <c r="J542" s="6"/>
      <c r="K542" s="6"/>
      <c r="L542" s="17"/>
      <c r="M542" s="6"/>
      <c r="N542" s="6"/>
      <c r="O542" s="6"/>
      <c r="P542" s="6"/>
      <c r="Q542" s="6"/>
      <c r="R542" s="6"/>
      <c r="S542" s="6"/>
      <c r="T542" s="6"/>
      <c r="U542" s="6"/>
      <c r="V542" s="6"/>
      <c r="W542" s="6"/>
      <c r="X542" s="6"/>
      <c r="Y542" s="6"/>
      <c r="Z542" s="6"/>
      <c r="AA542" s="6"/>
      <c r="AB542" s="6"/>
      <c r="AC542" s="6"/>
      <c r="AD542" s="7"/>
    </row>
    <row r="543" spans="1:30" ht="13">
      <c r="A543" s="20"/>
      <c r="B543" s="20"/>
      <c r="C543" s="23"/>
      <c r="D543" s="17"/>
      <c r="E543" s="6"/>
      <c r="F543" s="6"/>
      <c r="G543" s="6"/>
      <c r="H543" s="6"/>
      <c r="I543" s="17"/>
      <c r="J543" s="6"/>
      <c r="K543" s="6"/>
      <c r="L543" s="17"/>
      <c r="M543" s="6"/>
      <c r="N543" s="6"/>
      <c r="O543" s="6"/>
      <c r="P543" s="6"/>
      <c r="Q543" s="6"/>
      <c r="R543" s="6"/>
      <c r="S543" s="6"/>
      <c r="T543" s="6"/>
      <c r="U543" s="6"/>
      <c r="V543" s="6"/>
      <c r="W543" s="6"/>
      <c r="X543" s="6"/>
      <c r="Y543" s="6"/>
      <c r="Z543" s="6"/>
      <c r="AA543" s="6"/>
      <c r="AB543" s="6"/>
      <c r="AC543" s="6"/>
      <c r="AD543" s="7"/>
    </row>
    <row r="544" spans="1:30" ht="13">
      <c r="A544" s="20"/>
      <c r="B544" s="20"/>
      <c r="C544" s="23"/>
      <c r="D544" s="17"/>
      <c r="E544" s="6"/>
      <c r="F544" s="6"/>
      <c r="G544" s="6"/>
      <c r="H544" s="6"/>
      <c r="I544" s="17"/>
      <c r="J544" s="6"/>
      <c r="K544" s="6"/>
      <c r="L544" s="17"/>
      <c r="M544" s="6"/>
      <c r="N544" s="6"/>
      <c r="O544" s="6"/>
      <c r="P544" s="6"/>
      <c r="Q544" s="6"/>
      <c r="R544" s="6"/>
      <c r="S544" s="6"/>
      <c r="T544" s="6"/>
      <c r="U544" s="6"/>
      <c r="V544" s="6"/>
      <c r="W544" s="6"/>
      <c r="X544" s="6"/>
      <c r="Y544" s="6"/>
      <c r="Z544" s="6"/>
      <c r="AA544" s="6"/>
      <c r="AB544" s="6"/>
      <c r="AC544" s="6"/>
      <c r="AD544" s="7"/>
    </row>
    <row r="545" spans="1:30" ht="13">
      <c r="A545" s="20"/>
      <c r="B545" s="20"/>
      <c r="C545" s="23"/>
      <c r="D545" s="17"/>
      <c r="E545" s="6"/>
      <c r="F545" s="6"/>
      <c r="G545" s="6"/>
      <c r="H545" s="6"/>
      <c r="I545" s="17"/>
      <c r="J545" s="6"/>
      <c r="K545" s="6"/>
      <c r="L545" s="17"/>
      <c r="M545" s="6"/>
      <c r="N545" s="6"/>
      <c r="O545" s="6"/>
      <c r="P545" s="6"/>
      <c r="Q545" s="6"/>
      <c r="R545" s="6"/>
      <c r="S545" s="6"/>
      <c r="T545" s="6"/>
      <c r="U545" s="6"/>
      <c r="V545" s="6"/>
      <c r="W545" s="6"/>
      <c r="X545" s="6"/>
      <c r="Y545" s="6"/>
      <c r="Z545" s="6"/>
      <c r="AA545" s="6"/>
      <c r="AB545" s="6"/>
      <c r="AC545" s="6"/>
      <c r="AD545" s="7"/>
    </row>
    <row r="546" spans="1:30" ht="13">
      <c r="A546" s="20"/>
      <c r="B546" s="20"/>
      <c r="C546" s="23"/>
      <c r="D546" s="17"/>
      <c r="E546" s="6"/>
      <c r="F546" s="6"/>
      <c r="G546" s="6"/>
      <c r="H546" s="6"/>
      <c r="I546" s="17"/>
      <c r="J546" s="6"/>
      <c r="K546" s="6"/>
      <c r="L546" s="17"/>
      <c r="M546" s="6"/>
      <c r="N546" s="6"/>
      <c r="O546" s="6"/>
      <c r="P546" s="6"/>
      <c r="Q546" s="6"/>
      <c r="R546" s="6"/>
      <c r="S546" s="6"/>
      <c r="T546" s="6"/>
      <c r="U546" s="6"/>
      <c r="V546" s="6"/>
      <c r="W546" s="6"/>
      <c r="X546" s="6"/>
      <c r="Y546" s="6"/>
      <c r="Z546" s="6"/>
      <c r="AA546" s="6"/>
      <c r="AB546" s="6"/>
      <c r="AC546" s="6"/>
      <c r="AD546" s="7"/>
    </row>
    <row r="547" spans="1:30" ht="13">
      <c r="A547" s="20"/>
      <c r="B547" s="20"/>
      <c r="C547" s="23"/>
      <c r="D547" s="17"/>
      <c r="E547" s="6"/>
      <c r="F547" s="6"/>
      <c r="G547" s="6"/>
      <c r="H547" s="6"/>
      <c r="I547" s="17"/>
      <c r="J547" s="6"/>
      <c r="K547" s="6"/>
      <c r="L547" s="17"/>
      <c r="M547" s="6"/>
      <c r="N547" s="6"/>
      <c r="O547" s="6"/>
      <c r="P547" s="6"/>
      <c r="Q547" s="6"/>
      <c r="R547" s="6"/>
      <c r="S547" s="6"/>
      <c r="T547" s="6"/>
      <c r="U547" s="6"/>
      <c r="V547" s="6"/>
      <c r="W547" s="6"/>
      <c r="X547" s="6"/>
      <c r="Y547" s="6"/>
      <c r="Z547" s="6"/>
      <c r="AA547" s="6"/>
      <c r="AB547" s="6"/>
      <c r="AC547" s="6"/>
      <c r="AD547" s="7"/>
    </row>
    <row r="548" spans="1:30" ht="13">
      <c r="A548" s="20"/>
      <c r="B548" s="20"/>
      <c r="C548" s="23"/>
      <c r="D548" s="17"/>
      <c r="E548" s="6"/>
      <c r="F548" s="6"/>
      <c r="G548" s="6"/>
      <c r="H548" s="6"/>
      <c r="I548" s="17"/>
      <c r="J548" s="6"/>
      <c r="K548" s="6"/>
      <c r="L548" s="17"/>
      <c r="M548" s="6"/>
      <c r="N548" s="6"/>
      <c r="O548" s="6"/>
      <c r="P548" s="6"/>
      <c r="Q548" s="6"/>
      <c r="R548" s="6"/>
      <c r="S548" s="6"/>
      <c r="T548" s="6"/>
      <c r="U548" s="6"/>
      <c r="V548" s="6"/>
      <c r="W548" s="6"/>
      <c r="X548" s="6"/>
      <c r="Y548" s="6"/>
      <c r="Z548" s="6"/>
      <c r="AA548" s="6"/>
      <c r="AB548" s="6"/>
      <c r="AC548" s="6"/>
      <c r="AD548" s="7"/>
    </row>
    <row r="549" spans="1:30" ht="13">
      <c r="A549" s="20"/>
      <c r="B549" s="20"/>
      <c r="C549" s="23"/>
      <c r="D549" s="17"/>
      <c r="E549" s="6"/>
      <c r="F549" s="6"/>
      <c r="G549" s="6"/>
      <c r="H549" s="6"/>
      <c r="I549" s="17"/>
      <c r="J549" s="6"/>
      <c r="K549" s="6"/>
      <c r="L549" s="17"/>
      <c r="M549" s="6"/>
      <c r="N549" s="6"/>
      <c r="O549" s="6"/>
      <c r="P549" s="6"/>
      <c r="Q549" s="6"/>
      <c r="R549" s="6"/>
      <c r="S549" s="6"/>
      <c r="T549" s="6"/>
      <c r="U549" s="6"/>
      <c r="V549" s="6"/>
      <c r="W549" s="6"/>
      <c r="X549" s="6"/>
      <c r="Y549" s="6"/>
      <c r="Z549" s="6"/>
      <c r="AA549" s="6"/>
      <c r="AB549" s="6"/>
      <c r="AC549" s="6"/>
      <c r="AD549" s="7"/>
    </row>
    <row r="550" spans="1:30" ht="13">
      <c r="A550" s="20"/>
      <c r="B550" s="20"/>
      <c r="C550" s="23"/>
      <c r="D550" s="17"/>
      <c r="E550" s="6"/>
      <c r="F550" s="6"/>
      <c r="G550" s="6"/>
      <c r="H550" s="6"/>
      <c r="I550" s="17"/>
      <c r="J550" s="6"/>
      <c r="K550" s="6"/>
      <c r="L550" s="17"/>
      <c r="M550" s="6"/>
      <c r="N550" s="6"/>
      <c r="O550" s="6"/>
      <c r="P550" s="6"/>
      <c r="Q550" s="6"/>
      <c r="R550" s="6"/>
      <c r="S550" s="6"/>
      <c r="T550" s="6"/>
      <c r="U550" s="6"/>
      <c r="V550" s="6"/>
      <c r="W550" s="6"/>
      <c r="X550" s="6"/>
      <c r="Y550" s="6"/>
      <c r="Z550" s="6"/>
      <c r="AA550" s="6"/>
      <c r="AB550" s="6"/>
      <c r="AC550" s="6"/>
      <c r="AD550" s="7"/>
    </row>
    <row r="551" spans="1:30" ht="13">
      <c r="A551" s="20"/>
      <c r="B551" s="20"/>
      <c r="C551" s="23"/>
      <c r="D551" s="17"/>
      <c r="E551" s="6"/>
      <c r="F551" s="6"/>
      <c r="G551" s="6"/>
      <c r="H551" s="6"/>
      <c r="I551" s="17"/>
      <c r="J551" s="6"/>
      <c r="K551" s="6"/>
      <c r="L551" s="17"/>
      <c r="M551" s="6"/>
      <c r="N551" s="6"/>
      <c r="O551" s="6"/>
      <c r="P551" s="6"/>
      <c r="Q551" s="6"/>
      <c r="R551" s="6"/>
      <c r="S551" s="6"/>
      <c r="T551" s="6"/>
      <c r="U551" s="6"/>
      <c r="V551" s="6"/>
      <c r="W551" s="6"/>
      <c r="X551" s="6"/>
      <c r="Y551" s="6"/>
      <c r="Z551" s="6"/>
      <c r="AA551" s="6"/>
      <c r="AB551" s="6"/>
      <c r="AC551" s="6"/>
      <c r="AD551" s="7"/>
    </row>
    <row r="552" spans="1:30" ht="13">
      <c r="A552" s="20"/>
      <c r="B552" s="20"/>
      <c r="C552" s="23"/>
      <c r="D552" s="17"/>
      <c r="E552" s="6"/>
      <c r="F552" s="6"/>
      <c r="G552" s="6"/>
      <c r="H552" s="6"/>
      <c r="I552" s="17"/>
      <c r="J552" s="6"/>
      <c r="K552" s="6"/>
      <c r="L552" s="17"/>
      <c r="M552" s="6"/>
      <c r="N552" s="6"/>
      <c r="O552" s="6"/>
      <c r="P552" s="6"/>
      <c r="Q552" s="6"/>
      <c r="R552" s="6"/>
      <c r="S552" s="6"/>
      <c r="T552" s="6"/>
      <c r="U552" s="6"/>
      <c r="V552" s="6"/>
      <c r="W552" s="6"/>
      <c r="X552" s="6"/>
      <c r="Y552" s="6"/>
      <c r="Z552" s="6"/>
      <c r="AA552" s="6"/>
      <c r="AB552" s="6"/>
      <c r="AC552" s="6"/>
      <c r="AD552" s="7"/>
    </row>
    <row r="553" spans="1:30" ht="13">
      <c r="A553" s="20"/>
      <c r="B553" s="20"/>
      <c r="C553" s="23"/>
      <c r="D553" s="17"/>
      <c r="E553" s="6"/>
      <c r="F553" s="6"/>
      <c r="G553" s="6"/>
      <c r="H553" s="6"/>
      <c r="I553" s="17"/>
      <c r="J553" s="6"/>
      <c r="K553" s="6"/>
      <c r="L553" s="17"/>
      <c r="M553" s="6"/>
      <c r="N553" s="6"/>
      <c r="O553" s="6"/>
      <c r="P553" s="6"/>
      <c r="Q553" s="6"/>
      <c r="R553" s="6"/>
      <c r="S553" s="6"/>
      <c r="T553" s="6"/>
      <c r="U553" s="6"/>
      <c r="V553" s="6"/>
      <c r="W553" s="6"/>
      <c r="X553" s="6"/>
      <c r="Y553" s="6"/>
      <c r="Z553" s="6"/>
      <c r="AA553" s="6"/>
      <c r="AB553" s="6"/>
      <c r="AC553" s="6"/>
      <c r="AD553" s="7"/>
    </row>
    <row r="554" spans="1:30" ht="13">
      <c r="A554" s="20"/>
      <c r="B554" s="20"/>
      <c r="C554" s="23"/>
      <c r="D554" s="17"/>
      <c r="E554" s="6"/>
      <c r="F554" s="6"/>
      <c r="G554" s="6"/>
      <c r="H554" s="6"/>
      <c r="I554" s="17"/>
      <c r="J554" s="6"/>
      <c r="K554" s="6"/>
      <c r="L554" s="17"/>
      <c r="M554" s="6"/>
      <c r="N554" s="6"/>
      <c r="O554" s="6"/>
      <c r="P554" s="6"/>
      <c r="Q554" s="6"/>
      <c r="R554" s="6"/>
      <c r="S554" s="6"/>
      <c r="T554" s="6"/>
      <c r="U554" s="6"/>
      <c r="V554" s="6"/>
      <c r="W554" s="6"/>
      <c r="X554" s="6"/>
      <c r="Y554" s="6"/>
      <c r="Z554" s="6"/>
      <c r="AA554" s="6"/>
      <c r="AB554" s="6"/>
      <c r="AC554" s="6"/>
      <c r="AD554" s="7"/>
    </row>
    <row r="555" spans="1:30" ht="13">
      <c r="A555" s="20"/>
      <c r="B555" s="20"/>
      <c r="C555" s="23"/>
      <c r="D555" s="17"/>
      <c r="E555" s="6"/>
      <c r="F555" s="6"/>
      <c r="G555" s="6"/>
      <c r="H555" s="6"/>
      <c r="I555" s="17"/>
      <c r="J555" s="6"/>
      <c r="K555" s="6"/>
      <c r="L555" s="17"/>
      <c r="M555" s="6"/>
      <c r="N555" s="6"/>
      <c r="O555" s="6"/>
      <c r="P555" s="6"/>
      <c r="Q555" s="6"/>
      <c r="R555" s="6"/>
      <c r="S555" s="6"/>
      <c r="T555" s="6"/>
      <c r="U555" s="6"/>
      <c r="V555" s="6"/>
      <c r="W555" s="6"/>
      <c r="X555" s="6"/>
      <c r="Y555" s="6"/>
      <c r="Z555" s="6"/>
      <c r="AA555" s="6"/>
      <c r="AB555" s="6"/>
      <c r="AC555" s="6"/>
      <c r="AD555" s="7"/>
    </row>
    <row r="556" spans="1:30" ht="13">
      <c r="A556" s="20"/>
      <c r="B556" s="20"/>
      <c r="C556" s="23"/>
      <c r="D556" s="17"/>
      <c r="E556" s="6"/>
      <c r="F556" s="6"/>
      <c r="G556" s="6"/>
      <c r="H556" s="6"/>
      <c r="I556" s="17"/>
      <c r="J556" s="6"/>
      <c r="K556" s="6"/>
      <c r="L556" s="17"/>
      <c r="M556" s="6"/>
      <c r="N556" s="6"/>
      <c r="O556" s="6"/>
      <c r="P556" s="6"/>
      <c r="Q556" s="6"/>
      <c r="R556" s="6"/>
      <c r="S556" s="6"/>
      <c r="T556" s="6"/>
      <c r="U556" s="6"/>
      <c r="V556" s="6"/>
      <c r="W556" s="6"/>
      <c r="X556" s="6"/>
      <c r="Y556" s="6"/>
      <c r="Z556" s="6"/>
      <c r="AA556" s="6"/>
      <c r="AB556" s="6"/>
      <c r="AC556" s="6"/>
      <c r="AD556" s="7"/>
    </row>
    <row r="557" spans="1:30" ht="13">
      <c r="A557" s="20"/>
      <c r="B557" s="20"/>
      <c r="C557" s="23"/>
      <c r="D557" s="17"/>
      <c r="E557" s="6"/>
      <c r="F557" s="6"/>
      <c r="G557" s="6"/>
      <c r="H557" s="6"/>
      <c r="I557" s="17"/>
      <c r="J557" s="6"/>
      <c r="K557" s="6"/>
      <c r="L557" s="17"/>
      <c r="M557" s="6"/>
      <c r="N557" s="6"/>
      <c r="O557" s="6"/>
      <c r="P557" s="6"/>
      <c r="Q557" s="6"/>
      <c r="R557" s="6"/>
      <c r="S557" s="6"/>
      <c r="T557" s="6"/>
      <c r="U557" s="6"/>
      <c r="V557" s="6"/>
      <c r="W557" s="6"/>
      <c r="X557" s="6"/>
      <c r="Y557" s="6"/>
      <c r="Z557" s="6"/>
      <c r="AA557" s="6"/>
      <c r="AB557" s="6"/>
      <c r="AC557" s="6"/>
      <c r="AD557" s="7"/>
    </row>
    <row r="558" spans="1:30" ht="13">
      <c r="A558" s="20"/>
      <c r="B558" s="20"/>
      <c r="C558" s="23"/>
      <c r="D558" s="17"/>
      <c r="E558" s="6"/>
      <c r="F558" s="6"/>
      <c r="G558" s="6"/>
      <c r="H558" s="6"/>
      <c r="I558" s="17"/>
      <c r="J558" s="6"/>
      <c r="K558" s="6"/>
      <c r="L558" s="17"/>
      <c r="M558" s="6"/>
      <c r="N558" s="6"/>
      <c r="O558" s="6"/>
      <c r="P558" s="6"/>
      <c r="Q558" s="6"/>
      <c r="R558" s="6"/>
      <c r="S558" s="6"/>
      <c r="T558" s="6"/>
      <c r="U558" s="6"/>
      <c r="V558" s="6"/>
      <c r="W558" s="6"/>
      <c r="X558" s="6"/>
      <c r="Y558" s="6"/>
      <c r="Z558" s="6"/>
      <c r="AA558" s="6"/>
      <c r="AB558" s="6"/>
      <c r="AC558" s="6"/>
      <c r="AD558" s="7"/>
    </row>
    <row r="559" spans="1:30" ht="13">
      <c r="A559" s="20"/>
      <c r="B559" s="20"/>
      <c r="C559" s="23"/>
      <c r="D559" s="17"/>
      <c r="E559" s="6"/>
      <c r="F559" s="6"/>
      <c r="G559" s="6"/>
      <c r="H559" s="6"/>
      <c r="I559" s="17"/>
      <c r="J559" s="6"/>
      <c r="K559" s="6"/>
      <c r="L559" s="17"/>
      <c r="M559" s="6"/>
      <c r="N559" s="6"/>
      <c r="O559" s="6"/>
      <c r="P559" s="6"/>
      <c r="Q559" s="6"/>
      <c r="R559" s="6"/>
      <c r="S559" s="6"/>
      <c r="T559" s="6"/>
      <c r="U559" s="6"/>
      <c r="V559" s="6"/>
      <c r="W559" s="6"/>
      <c r="X559" s="6"/>
      <c r="Y559" s="6"/>
      <c r="Z559" s="6"/>
      <c r="AA559" s="6"/>
      <c r="AB559" s="6"/>
      <c r="AC559" s="6"/>
      <c r="AD559" s="7"/>
    </row>
    <row r="560" spans="1:30" ht="13">
      <c r="A560" s="20"/>
      <c r="B560" s="20"/>
      <c r="C560" s="23"/>
      <c r="D560" s="17"/>
      <c r="E560" s="6"/>
      <c r="F560" s="6"/>
      <c r="G560" s="6"/>
      <c r="H560" s="6"/>
      <c r="I560" s="17"/>
      <c r="J560" s="6"/>
      <c r="K560" s="6"/>
      <c r="L560" s="17"/>
      <c r="M560" s="6"/>
      <c r="N560" s="6"/>
      <c r="O560" s="6"/>
      <c r="P560" s="6"/>
      <c r="Q560" s="6"/>
      <c r="R560" s="6"/>
      <c r="S560" s="6"/>
      <c r="T560" s="6"/>
      <c r="U560" s="6"/>
      <c r="V560" s="6"/>
      <c r="W560" s="6"/>
      <c r="X560" s="6"/>
      <c r="Y560" s="6"/>
      <c r="Z560" s="6"/>
      <c r="AA560" s="6"/>
      <c r="AB560" s="6"/>
      <c r="AC560" s="6"/>
      <c r="AD560" s="7"/>
    </row>
    <row r="561" spans="1:30" ht="13">
      <c r="A561" s="20"/>
      <c r="B561" s="20"/>
      <c r="C561" s="23"/>
      <c r="D561" s="17"/>
      <c r="E561" s="6"/>
      <c r="F561" s="6"/>
      <c r="G561" s="6"/>
      <c r="H561" s="6"/>
      <c r="I561" s="17"/>
      <c r="J561" s="6"/>
      <c r="K561" s="6"/>
      <c r="L561" s="17"/>
      <c r="M561" s="6"/>
      <c r="N561" s="6"/>
      <c r="O561" s="6"/>
      <c r="P561" s="6"/>
      <c r="Q561" s="6"/>
      <c r="R561" s="6"/>
      <c r="S561" s="6"/>
      <c r="T561" s="6"/>
      <c r="U561" s="6"/>
      <c r="V561" s="6"/>
      <c r="W561" s="6"/>
      <c r="X561" s="6"/>
      <c r="Y561" s="6"/>
      <c r="Z561" s="6"/>
      <c r="AA561" s="6"/>
      <c r="AB561" s="6"/>
      <c r="AC561" s="6"/>
      <c r="AD561" s="7"/>
    </row>
    <row r="562" spans="1:30" ht="13">
      <c r="A562" s="20"/>
      <c r="B562" s="20"/>
      <c r="C562" s="23"/>
      <c r="D562" s="17"/>
      <c r="E562" s="6"/>
      <c r="F562" s="6"/>
      <c r="G562" s="6"/>
      <c r="H562" s="6"/>
      <c r="I562" s="17"/>
      <c r="J562" s="6"/>
      <c r="K562" s="6"/>
      <c r="L562" s="17"/>
      <c r="M562" s="6"/>
      <c r="N562" s="6"/>
      <c r="O562" s="6"/>
      <c r="P562" s="6"/>
      <c r="Q562" s="6"/>
      <c r="R562" s="6"/>
      <c r="S562" s="6"/>
      <c r="T562" s="6"/>
      <c r="U562" s="6"/>
      <c r="V562" s="6"/>
      <c r="W562" s="6"/>
      <c r="X562" s="6"/>
      <c r="Y562" s="6"/>
      <c r="Z562" s="6"/>
      <c r="AA562" s="6"/>
      <c r="AB562" s="6"/>
      <c r="AC562" s="6"/>
      <c r="AD562" s="7"/>
    </row>
    <row r="563" spans="1:30" ht="13">
      <c r="A563" s="20"/>
      <c r="B563" s="20"/>
      <c r="C563" s="23"/>
      <c r="D563" s="17"/>
      <c r="E563" s="6"/>
      <c r="F563" s="6"/>
      <c r="G563" s="6"/>
      <c r="H563" s="6"/>
      <c r="I563" s="17"/>
      <c r="J563" s="6"/>
      <c r="K563" s="6"/>
      <c r="L563" s="17"/>
      <c r="M563" s="6"/>
      <c r="N563" s="6"/>
      <c r="O563" s="6"/>
      <c r="P563" s="6"/>
      <c r="Q563" s="6"/>
      <c r="R563" s="6"/>
      <c r="S563" s="6"/>
      <c r="T563" s="6"/>
      <c r="U563" s="6"/>
      <c r="V563" s="6"/>
      <c r="W563" s="6"/>
      <c r="X563" s="6"/>
      <c r="Y563" s="6"/>
      <c r="Z563" s="6"/>
      <c r="AA563" s="6"/>
      <c r="AB563" s="6"/>
      <c r="AC563" s="6"/>
      <c r="AD563" s="7"/>
    </row>
    <row r="564" spans="1:30" ht="13">
      <c r="A564" s="20"/>
      <c r="B564" s="20"/>
      <c r="C564" s="23"/>
      <c r="D564" s="17"/>
      <c r="E564" s="6"/>
      <c r="F564" s="6"/>
      <c r="G564" s="6"/>
      <c r="H564" s="6"/>
      <c r="I564" s="17"/>
      <c r="J564" s="6"/>
      <c r="K564" s="6"/>
      <c r="L564" s="17"/>
      <c r="M564" s="6"/>
      <c r="N564" s="6"/>
      <c r="O564" s="6"/>
      <c r="P564" s="6"/>
      <c r="Q564" s="6"/>
      <c r="R564" s="6"/>
      <c r="S564" s="6"/>
      <c r="T564" s="6"/>
      <c r="U564" s="6"/>
      <c r="V564" s="6"/>
      <c r="W564" s="6"/>
      <c r="X564" s="6"/>
      <c r="Y564" s="6"/>
      <c r="Z564" s="6"/>
      <c r="AA564" s="6"/>
      <c r="AB564" s="6"/>
      <c r="AC564" s="6"/>
      <c r="AD564" s="7"/>
    </row>
    <row r="565" spans="1:30" ht="13">
      <c r="A565" s="20"/>
      <c r="B565" s="20"/>
      <c r="C565" s="23"/>
      <c r="D565" s="17"/>
      <c r="E565" s="6"/>
      <c r="F565" s="6"/>
      <c r="G565" s="6"/>
      <c r="H565" s="6"/>
      <c r="I565" s="17"/>
      <c r="J565" s="6"/>
      <c r="K565" s="6"/>
      <c r="L565" s="17"/>
      <c r="M565" s="6"/>
      <c r="N565" s="6"/>
      <c r="O565" s="6"/>
      <c r="P565" s="6"/>
      <c r="Q565" s="6"/>
      <c r="R565" s="6"/>
      <c r="S565" s="6"/>
      <c r="T565" s="6"/>
      <c r="U565" s="6"/>
      <c r="V565" s="6"/>
      <c r="W565" s="6"/>
      <c r="X565" s="6"/>
      <c r="Y565" s="6"/>
      <c r="Z565" s="6"/>
      <c r="AA565" s="6"/>
      <c r="AB565" s="6"/>
      <c r="AC565" s="6"/>
      <c r="AD565" s="7"/>
    </row>
    <row r="566" spans="1:30" ht="13">
      <c r="A566" s="20"/>
      <c r="B566" s="20"/>
      <c r="C566" s="23"/>
      <c r="D566" s="17"/>
      <c r="E566" s="6"/>
      <c r="F566" s="6"/>
      <c r="G566" s="6"/>
      <c r="H566" s="6"/>
      <c r="I566" s="17"/>
      <c r="J566" s="6"/>
      <c r="K566" s="6"/>
      <c r="L566" s="17"/>
      <c r="M566" s="6"/>
      <c r="N566" s="6"/>
      <c r="O566" s="6"/>
      <c r="P566" s="6"/>
      <c r="Q566" s="6"/>
      <c r="R566" s="6"/>
      <c r="S566" s="6"/>
      <c r="T566" s="6"/>
      <c r="U566" s="6"/>
      <c r="V566" s="6"/>
      <c r="W566" s="6"/>
      <c r="X566" s="6"/>
      <c r="Y566" s="6"/>
      <c r="Z566" s="6"/>
      <c r="AA566" s="6"/>
      <c r="AB566" s="6"/>
      <c r="AC566" s="6"/>
      <c r="AD566" s="7"/>
    </row>
    <row r="567" spans="1:30" ht="13">
      <c r="A567" s="20"/>
      <c r="B567" s="20"/>
      <c r="C567" s="23"/>
      <c r="D567" s="17"/>
      <c r="E567" s="6"/>
      <c r="F567" s="6"/>
      <c r="G567" s="6"/>
      <c r="H567" s="6"/>
      <c r="I567" s="17"/>
      <c r="J567" s="6"/>
      <c r="K567" s="6"/>
      <c r="L567" s="17"/>
      <c r="M567" s="6"/>
      <c r="N567" s="6"/>
      <c r="O567" s="6"/>
      <c r="P567" s="6"/>
      <c r="Q567" s="6"/>
      <c r="R567" s="6"/>
      <c r="S567" s="6"/>
      <c r="T567" s="6"/>
      <c r="U567" s="6"/>
      <c r="V567" s="6"/>
      <c r="W567" s="6"/>
      <c r="X567" s="6"/>
      <c r="Y567" s="6"/>
      <c r="Z567" s="6"/>
      <c r="AA567" s="6"/>
      <c r="AB567" s="6"/>
      <c r="AC567" s="6"/>
      <c r="AD567" s="7"/>
    </row>
    <row r="568" spans="1:30" ht="13">
      <c r="A568" s="20"/>
      <c r="B568" s="20"/>
      <c r="C568" s="23"/>
      <c r="D568" s="17"/>
      <c r="E568" s="6"/>
      <c r="F568" s="6"/>
      <c r="G568" s="6"/>
      <c r="H568" s="6"/>
      <c r="I568" s="17"/>
      <c r="J568" s="6"/>
      <c r="K568" s="6"/>
      <c r="L568" s="17"/>
      <c r="M568" s="6"/>
      <c r="N568" s="6"/>
      <c r="O568" s="6"/>
      <c r="P568" s="6"/>
      <c r="Q568" s="6"/>
      <c r="R568" s="6"/>
      <c r="S568" s="6"/>
      <c r="T568" s="6"/>
      <c r="U568" s="6"/>
      <c r="V568" s="6"/>
      <c r="W568" s="6"/>
      <c r="X568" s="6"/>
      <c r="Y568" s="6"/>
      <c r="Z568" s="6"/>
      <c r="AA568" s="6"/>
      <c r="AB568" s="6"/>
      <c r="AC568" s="6"/>
      <c r="AD568" s="7"/>
    </row>
    <row r="569" spans="1:30" ht="13">
      <c r="A569" s="20"/>
      <c r="B569" s="20"/>
      <c r="C569" s="23"/>
      <c r="D569" s="17"/>
      <c r="E569" s="6"/>
      <c r="F569" s="6"/>
      <c r="G569" s="6"/>
      <c r="H569" s="6"/>
      <c r="I569" s="17"/>
      <c r="J569" s="6"/>
      <c r="K569" s="6"/>
      <c r="L569" s="17"/>
      <c r="M569" s="6"/>
      <c r="N569" s="6"/>
      <c r="O569" s="6"/>
      <c r="P569" s="6"/>
      <c r="Q569" s="6"/>
      <c r="R569" s="6"/>
      <c r="S569" s="6"/>
      <c r="T569" s="6"/>
      <c r="U569" s="6"/>
      <c r="V569" s="6"/>
      <c r="W569" s="6"/>
      <c r="X569" s="6"/>
      <c r="Y569" s="6"/>
      <c r="Z569" s="6"/>
      <c r="AA569" s="6"/>
      <c r="AB569" s="6"/>
      <c r="AC569" s="6"/>
      <c r="AD569" s="7"/>
    </row>
    <row r="570" spans="1:30" ht="13">
      <c r="A570" s="20"/>
      <c r="B570" s="20"/>
      <c r="C570" s="23"/>
      <c r="D570" s="17"/>
      <c r="E570" s="6"/>
      <c r="F570" s="6"/>
      <c r="G570" s="6"/>
      <c r="H570" s="6"/>
      <c r="I570" s="17"/>
      <c r="J570" s="6"/>
      <c r="K570" s="6"/>
      <c r="L570" s="17"/>
      <c r="M570" s="6"/>
      <c r="N570" s="6"/>
      <c r="O570" s="6"/>
      <c r="P570" s="6"/>
      <c r="Q570" s="6"/>
      <c r="R570" s="6"/>
      <c r="S570" s="6"/>
      <c r="T570" s="6"/>
      <c r="U570" s="6"/>
      <c r="V570" s="6"/>
      <c r="W570" s="6"/>
      <c r="X570" s="6"/>
      <c r="Y570" s="6"/>
      <c r="Z570" s="6"/>
      <c r="AA570" s="6"/>
      <c r="AB570" s="6"/>
      <c r="AC570" s="6"/>
      <c r="AD570" s="7"/>
    </row>
    <row r="571" spans="1:30" ht="13">
      <c r="A571" s="20"/>
      <c r="B571" s="20"/>
      <c r="C571" s="23"/>
      <c r="D571" s="17"/>
      <c r="E571" s="6"/>
      <c r="F571" s="6"/>
      <c r="G571" s="6"/>
      <c r="H571" s="6"/>
      <c r="I571" s="17"/>
      <c r="J571" s="6"/>
      <c r="K571" s="6"/>
      <c r="L571" s="17"/>
      <c r="M571" s="6"/>
      <c r="N571" s="6"/>
      <c r="O571" s="6"/>
      <c r="P571" s="6"/>
      <c r="Q571" s="6"/>
      <c r="R571" s="6"/>
      <c r="S571" s="6"/>
      <c r="T571" s="6"/>
      <c r="U571" s="6"/>
      <c r="V571" s="6"/>
      <c r="W571" s="6"/>
      <c r="X571" s="6"/>
      <c r="Y571" s="6"/>
      <c r="Z571" s="6"/>
      <c r="AA571" s="6"/>
      <c r="AB571" s="6"/>
      <c r="AC571" s="6"/>
      <c r="AD571" s="7"/>
    </row>
    <row r="572" spans="1:30" ht="13">
      <c r="A572" s="20"/>
      <c r="B572" s="20"/>
      <c r="C572" s="23"/>
      <c r="D572" s="17"/>
      <c r="E572" s="6"/>
      <c r="F572" s="6"/>
      <c r="G572" s="6"/>
      <c r="H572" s="6"/>
      <c r="I572" s="17"/>
      <c r="J572" s="6"/>
      <c r="K572" s="6"/>
      <c r="L572" s="17"/>
      <c r="M572" s="6"/>
      <c r="N572" s="6"/>
      <c r="O572" s="6"/>
      <c r="P572" s="6"/>
      <c r="Q572" s="6"/>
      <c r="R572" s="6"/>
      <c r="S572" s="6"/>
      <c r="T572" s="6"/>
      <c r="U572" s="6"/>
      <c r="V572" s="6"/>
      <c r="W572" s="6"/>
      <c r="X572" s="6"/>
      <c r="Y572" s="6"/>
      <c r="Z572" s="6"/>
      <c r="AA572" s="6"/>
      <c r="AB572" s="6"/>
      <c r="AC572" s="6"/>
      <c r="AD572" s="7"/>
    </row>
    <row r="573" spans="1:30" ht="13">
      <c r="A573" s="20"/>
      <c r="B573" s="20"/>
      <c r="C573" s="23"/>
      <c r="D573" s="17"/>
      <c r="E573" s="6"/>
      <c r="F573" s="6"/>
      <c r="G573" s="6"/>
      <c r="H573" s="6"/>
      <c r="I573" s="17"/>
      <c r="J573" s="6"/>
      <c r="K573" s="6"/>
      <c r="L573" s="17"/>
      <c r="M573" s="6"/>
      <c r="N573" s="6"/>
      <c r="O573" s="6"/>
      <c r="P573" s="6"/>
      <c r="Q573" s="6"/>
      <c r="R573" s="6"/>
      <c r="S573" s="6"/>
      <c r="T573" s="6"/>
      <c r="U573" s="6"/>
      <c r="V573" s="6"/>
      <c r="W573" s="6"/>
      <c r="X573" s="6"/>
      <c r="Y573" s="6"/>
      <c r="Z573" s="6"/>
      <c r="AA573" s="6"/>
      <c r="AB573" s="6"/>
      <c r="AC573" s="6"/>
      <c r="AD573" s="7"/>
    </row>
    <row r="574" spans="1:30" ht="13">
      <c r="A574" s="20"/>
      <c r="B574" s="20"/>
      <c r="C574" s="23"/>
      <c r="D574" s="17"/>
      <c r="E574" s="6"/>
      <c r="F574" s="6"/>
      <c r="G574" s="6"/>
      <c r="H574" s="6"/>
      <c r="I574" s="17"/>
      <c r="J574" s="6"/>
      <c r="K574" s="6"/>
      <c r="L574" s="17"/>
      <c r="M574" s="6"/>
      <c r="N574" s="6"/>
      <c r="O574" s="6"/>
      <c r="P574" s="6"/>
      <c r="Q574" s="6"/>
      <c r="R574" s="6"/>
      <c r="S574" s="6"/>
      <c r="T574" s="6"/>
      <c r="U574" s="6"/>
      <c r="V574" s="6"/>
      <c r="W574" s="6"/>
      <c r="X574" s="6"/>
      <c r="Y574" s="6"/>
      <c r="Z574" s="6"/>
      <c r="AA574" s="6"/>
      <c r="AB574" s="6"/>
      <c r="AC574" s="6"/>
      <c r="AD574" s="7"/>
    </row>
    <row r="575" spans="1:30" ht="13">
      <c r="A575" s="20"/>
      <c r="B575" s="20"/>
      <c r="C575" s="23"/>
      <c r="D575" s="17"/>
      <c r="E575" s="6"/>
      <c r="F575" s="6"/>
      <c r="G575" s="6"/>
      <c r="H575" s="6"/>
      <c r="I575" s="17"/>
      <c r="J575" s="6"/>
      <c r="K575" s="6"/>
      <c r="L575" s="17"/>
      <c r="M575" s="6"/>
      <c r="N575" s="6"/>
      <c r="O575" s="6"/>
      <c r="P575" s="6"/>
      <c r="Q575" s="6"/>
      <c r="R575" s="6"/>
      <c r="S575" s="6"/>
      <c r="T575" s="6"/>
      <c r="U575" s="6"/>
      <c r="V575" s="6"/>
      <c r="W575" s="6"/>
      <c r="X575" s="6"/>
      <c r="Y575" s="6"/>
      <c r="Z575" s="6"/>
      <c r="AA575" s="6"/>
      <c r="AB575" s="6"/>
      <c r="AC575" s="6"/>
      <c r="AD575" s="7"/>
    </row>
    <row r="576" spans="1:30" ht="13">
      <c r="A576" s="20"/>
      <c r="B576" s="20"/>
      <c r="C576" s="23"/>
      <c r="D576" s="17"/>
      <c r="E576" s="6"/>
      <c r="F576" s="6"/>
      <c r="G576" s="6"/>
      <c r="H576" s="6"/>
      <c r="I576" s="17"/>
      <c r="J576" s="6"/>
      <c r="K576" s="6"/>
      <c r="L576" s="17"/>
      <c r="M576" s="6"/>
      <c r="N576" s="6"/>
      <c r="O576" s="6"/>
      <c r="P576" s="6"/>
      <c r="Q576" s="6"/>
      <c r="R576" s="6"/>
      <c r="S576" s="6"/>
      <c r="T576" s="6"/>
      <c r="U576" s="6"/>
      <c r="V576" s="6"/>
      <c r="W576" s="6"/>
      <c r="X576" s="6"/>
      <c r="Y576" s="6"/>
      <c r="Z576" s="6"/>
      <c r="AA576" s="6"/>
      <c r="AB576" s="6"/>
      <c r="AC576" s="6"/>
      <c r="AD576" s="7"/>
    </row>
    <row r="577" spans="1:30" ht="13">
      <c r="A577" s="20"/>
      <c r="B577" s="20"/>
      <c r="C577" s="23"/>
      <c r="D577" s="17"/>
      <c r="E577" s="6"/>
      <c r="F577" s="6"/>
      <c r="G577" s="6"/>
      <c r="H577" s="6"/>
      <c r="I577" s="17"/>
      <c r="J577" s="6"/>
      <c r="K577" s="6"/>
      <c r="L577" s="17"/>
      <c r="M577" s="6"/>
      <c r="N577" s="6"/>
      <c r="O577" s="6"/>
      <c r="P577" s="6"/>
      <c r="Q577" s="6"/>
      <c r="R577" s="6"/>
      <c r="S577" s="6"/>
      <c r="T577" s="6"/>
      <c r="U577" s="6"/>
      <c r="V577" s="6"/>
      <c r="W577" s="6"/>
      <c r="X577" s="6"/>
      <c r="Y577" s="6"/>
      <c r="Z577" s="6"/>
      <c r="AA577" s="6"/>
      <c r="AB577" s="6"/>
      <c r="AC577" s="6"/>
      <c r="AD577" s="7"/>
    </row>
    <row r="578" spans="1:30" ht="13">
      <c r="A578" s="20"/>
      <c r="B578" s="20"/>
      <c r="C578" s="23"/>
      <c r="D578" s="17"/>
      <c r="E578" s="6"/>
      <c r="F578" s="6"/>
      <c r="G578" s="6"/>
      <c r="H578" s="6"/>
      <c r="I578" s="17"/>
      <c r="J578" s="6"/>
      <c r="K578" s="6"/>
      <c r="L578" s="17"/>
      <c r="M578" s="6"/>
      <c r="N578" s="6"/>
      <c r="O578" s="6"/>
      <c r="P578" s="6"/>
      <c r="Q578" s="6"/>
      <c r="R578" s="6"/>
      <c r="S578" s="6"/>
      <c r="T578" s="6"/>
      <c r="U578" s="6"/>
      <c r="V578" s="6"/>
      <c r="W578" s="6"/>
      <c r="X578" s="6"/>
      <c r="Y578" s="6"/>
      <c r="Z578" s="6"/>
      <c r="AA578" s="6"/>
      <c r="AB578" s="6"/>
      <c r="AC578" s="6"/>
      <c r="AD578" s="7"/>
    </row>
    <row r="579" spans="1:30" ht="13">
      <c r="A579" s="20"/>
      <c r="B579" s="20"/>
      <c r="C579" s="23"/>
      <c r="D579" s="17"/>
      <c r="E579" s="6"/>
      <c r="F579" s="6"/>
      <c r="G579" s="6"/>
      <c r="H579" s="6"/>
      <c r="I579" s="17"/>
      <c r="J579" s="6"/>
      <c r="K579" s="6"/>
      <c r="L579" s="17"/>
      <c r="M579" s="6"/>
      <c r="N579" s="6"/>
      <c r="O579" s="6"/>
      <c r="P579" s="6"/>
      <c r="Q579" s="6"/>
      <c r="R579" s="6"/>
      <c r="S579" s="6"/>
      <c r="T579" s="6"/>
      <c r="U579" s="6"/>
      <c r="V579" s="6"/>
      <c r="W579" s="6"/>
      <c r="X579" s="6"/>
      <c r="Y579" s="6"/>
      <c r="Z579" s="6"/>
      <c r="AA579" s="6"/>
      <c r="AB579" s="6"/>
      <c r="AC579" s="6"/>
      <c r="AD579" s="7"/>
    </row>
    <row r="580" spans="1:30" ht="13">
      <c r="A580" s="20"/>
      <c r="B580" s="20"/>
      <c r="C580" s="23"/>
      <c r="D580" s="17"/>
      <c r="E580" s="6"/>
      <c r="F580" s="6"/>
      <c r="G580" s="6"/>
      <c r="H580" s="6"/>
      <c r="I580" s="17"/>
      <c r="J580" s="6"/>
      <c r="K580" s="6"/>
      <c r="L580" s="17"/>
      <c r="M580" s="6"/>
      <c r="N580" s="6"/>
      <c r="O580" s="6"/>
      <c r="P580" s="6"/>
      <c r="Q580" s="6"/>
      <c r="R580" s="6"/>
      <c r="S580" s="6"/>
      <c r="T580" s="6"/>
      <c r="U580" s="6"/>
      <c r="V580" s="6"/>
      <c r="W580" s="6"/>
      <c r="X580" s="6"/>
      <c r="Y580" s="6"/>
      <c r="Z580" s="6"/>
      <c r="AA580" s="6"/>
      <c r="AB580" s="6"/>
      <c r="AC580" s="6"/>
      <c r="AD580" s="7"/>
    </row>
    <row r="581" spans="1:30" ht="13">
      <c r="A581" s="20"/>
      <c r="B581" s="20"/>
      <c r="C581" s="23"/>
      <c r="D581" s="17"/>
      <c r="E581" s="6"/>
      <c r="F581" s="6"/>
      <c r="G581" s="6"/>
      <c r="H581" s="6"/>
      <c r="I581" s="17"/>
      <c r="J581" s="6"/>
      <c r="K581" s="6"/>
      <c r="L581" s="17"/>
      <c r="M581" s="6"/>
      <c r="N581" s="6"/>
      <c r="O581" s="6"/>
      <c r="P581" s="6"/>
      <c r="Q581" s="6"/>
      <c r="R581" s="6"/>
      <c r="S581" s="6"/>
      <c r="T581" s="6"/>
      <c r="U581" s="6"/>
      <c r="V581" s="6"/>
      <c r="W581" s="6"/>
      <c r="X581" s="6"/>
      <c r="Y581" s="6"/>
      <c r="Z581" s="6"/>
      <c r="AA581" s="6"/>
      <c r="AB581" s="6"/>
      <c r="AC581" s="6"/>
      <c r="AD581" s="7"/>
    </row>
    <row r="582" spans="1:30" ht="13">
      <c r="A582" s="20"/>
      <c r="B582" s="20"/>
      <c r="C582" s="23"/>
      <c r="D582" s="17"/>
      <c r="E582" s="6"/>
      <c r="F582" s="6"/>
      <c r="G582" s="6"/>
      <c r="H582" s="6"/>
      <c r="I582" s="17"/>
      <c r="J582" s="6"/>
      <c r="K582" s="6"/>
      <c r="L582" s="17"/>
      <c r="M582" s="6"/>
      <c r="N582" s="6"/>
      <c r="O582" s="6"/>
      <c r="P582" s="6"/>
      <c r="Q582" s="6"/>
      <c r="R582" s="6"/>
      <c r="S582" s="6"/>
      <c r="T582" s="6"/>
      <c r="U582" s="6"/>
      <c r="V582" s="6"/>
      <c r="W582" s="6"/>
      <c r="X582" s="6"/>
      <c r="Y582" s="6"/>
      <c r="Z582" s="6"/>
      <c r="AA582" s="6"/>
      <c r="AB582" s="6"/>
      <c r="AC582" s="6"/>
      <c r="AD582" s="7"/>
    </row>
    <row r="583" spans="1:30" ht="13">
      <c r="A583" s="20"/>
      <c r="B583" s="20"/>
      <c r="C583" s="23"/>
      <c r="D583" s="17"/>
      <c r="E583" s="6"/>
      <c r="F583" s="6"/>
      <c r="G583" s="6"/>
      <c r="H583" s="6"/>
      <c r="I583" s="17"/>
      <c r="J583" s="6"/>
      <c r="K583" s="6"/>
      <c r="L583" s="17"/>
      <c r="M583" s="6"/>
      <c r="N583" s="6"/>
      <c r="O583" s="6"/>
      <c r="P583" s="6"/>
      <c r="Q583" s="6"/>
      <c r="R583" s="6"/>
      <c r="S583" s="6"/>
      <c r="T583" s="6"/>
      <c r="U583" s="6"/>
      <c r="V583" s="6"/>
      <c r="W583" s="6"/>
      <c r="X583" s="6"/>
      <c r="Y583" s="6"/>
      <c r="Z583" s="6"/>
      <c r="AA583" s="6"/>
      <c r="AB583" s="6"/>
      <c r="AC583" s="6"/>
      <c r="AD583" s="7"/>
    </row>
    <row r="584" spans="1:30" ht="13">
      <c r="A584" s="20"/>
      <c r="B584" s="20"/>
      <c r="C584" s="23"/>
      <c r="D584" s="17"/>
      <c r="E584" s="6"/>
      <c r="F584" s="6"/>
      <c r="G584" s="6"/>
      <c r="H584" s="6"/>
      <c r="I584" s="17"/>
      <c r="J584" s="6"/>
      <c r="K584" s="6"/>
      <c r="L584" s="17"/>
      <c r="M584" s="6"/>
      <c r="N584" s="6"/>
      <c r="O584" s="6"/>
      <c r="P584" s="6"/>
      <c r="Q584" s="6"/>
      <c r="R584" s="6"/>
      <c r="S584" s="6"/>
      <c r="T584" s="6"/>
      <c r="U584" s="6"/>
      <c r="V584" s="6"/>
      <c r="W584" s="6"/>
      <c r="X584" s="6"/>
      <c r="Y584" s="6"/>
      <c r="Z584" s="6"/>
      <c r="AA584" s="6"/>
      <c r="AB584" s="6"/>
      <c r="AC584" s="6"/>
      <c r="AD584" s="7"/>
    </row>
    <row r="585" spans="1:30" ht="13">
      <c r="A585" s="20"/>
      <c r="B585" s="20"/>
      <c r="C585" s="23"/>
      <c r="D585" s="17"/>
      <c r="E585" s="6"/>
      <c r="F585" s="6"/>
      <c r="G585" s="6"/>
      <c r="H585" s="6"/>
      <c r="I585" s="17"/>
      <c r="J585" s="6"/>
      <c r="K585" s="6"/>
      <c r="L585" s="17"/>
      <c r="M585" s="6"/>
      <c r="N585" s="6"/>
      <c r="O585" s="6"/>
      <c r="P585" s="6"/>
      <c r="Q585" s="6"/>
      <c r="R585" s="6"/>
      <c r="S585" s="6"/>
      <c r="T585" s="6"/>
      <c r="U585" s="6"/>
      <c r="V585" s="6"/>
      <c r="W585" s="6"/>
      <c r="X585" s="6"/>
      <c r="Y585" s="6"/>
      <c r="Z585" s="6"/>
      <c r="AA585" s="6"/>
      <c r="AB585" s="6"/>
      <c r="AC585" s="6"/>
      <c r="AD585" s="7"/>
    </row>
    <row r="586" spans="1:30" ht="13">
      <c r="A586" s="20"/>
      <c r="B586" s="20"/>
      <c r="C586" s="23"/>
      <c r="D586" s="17"/>
      <c r="E586" s="6"/>
      <c r="F586" s="6"/>
      <c r="G586" s="6"/>
      <c r="H586" s="6"/>
      <c r="I586" s="17"/>
      <c r="J586" s="6"/>
      <c r="K586" s="6"/>
      <c r="L586" s="17"/>
      <c r="M586" s="6"/>
      <c r="N586" s="6"/>
      <c r="O586" s="6"/>
      <c r="P586" s="6"/>
      <c r="Q586" s="6"/>
      <c r="R586" s="6"/>
      <c r="S586" s="6"/>
      <c r="T586" s="6"/>
      <c r="U586" s="6"/>
      <c r="V586" s="6"/>
      <c r="W586" s="6"/>
      <c r="X586" s="6"/>
      <c r="Y586" s="6"/>
      <c r="Z586" s="6"/>
      <c r="AA586" s="6"/>
      <c r="AB586" s="6"/>
      <c r="AC586" s="6"/>
      <c r="AD586" s="7"/>
    </row>
    <row r="587" spans="1:30" ht="13">
      <c r="A587" s="20"/>
      <c r="B587" s="20"/>
      <c r="C587" s="23"/>
      <c r="D587" s="17"/>
      <c r="E587" s="6"/>
      <c r="F587" s="6"/>
      <c r="G587" s="6"/>
      <c r="H587" s="6"/>
      <c r="I587" s="17"/>
      <c r="J587" s="6"/>
      <c r="K587" s="6"/>
      <c r="L587" s="17"/>
      <c r="M587" s="6"/>
      <c r="N587" s="6"/>
      <c r="O587" s="6"/>
      <c r="P587" s="6"/>
      <c r="Q587" s="6"/>
      <c r="R587" s="6"/>
      <c r="S587" s="6"/>
      <c r="T587" s="6"/>
      <c r="U587" s="6"/>
      <c r="V587" s="6"/>
      <c r="W587" s="6"/>
      <c r="X587" s="6"/>
      <c r="Y587" s="6"/>
      <c r="Z587" s="6"/>
      <c r="AA587" s="6"/>
      <c r="AB587" s="6"/>
      <c r="AC587" s="6"/>
      <c r="AD587" s="7"/>
    </row>
    <row r="588" spans="1:30" ht="13">
      <c r="A588" s="20"/>
      <c r="B588" s="20"/>
      <c r="C588" s="23"/>
      <c r="D588" s="17"/>
      <c r="E588" s="6"/>
      <c r="F588" s="6"/>
      <c r="G588" s="6"/>
      <c r="H588" s="6"/>
      <c r="I588" s="17"/>
      <c r="J588" s="6"/>
      <c r="K588" s="6"/>
      <c r="L588" s="17"/>
      <c r="M588" s="6"/>
      <c r="N588" s="6"/>
      <c r="O588" s="6"/>
      <c r="P588" s="6"/>
      <c r="Q588" s="6"/>
      <c r="R588" s="6"/>
      <c r="S588" s="6"/>
      <c r="T588" s="6"/>
      <c r="U588" s="6"/>
      <c r="V588" s="6"/>
      <c r="W588" s="6"/>
      <c r="X588" s="6"/>
      <c r="Y588" s="6"/>
      <c r="Z588" s="6"/>
      <c r="AA588" s="6"/>
      <c r="AB588" s="6"/>
      <c r="AC588" s="6"/>
      <c r="AD588" s="7"/>
    </row>
    <row r="589" spans="1:30" ht="13">
      <c r="A589" s="20"/>
      <c r="B589" s="20"/>
      <c r="C589" s="23"/>
      <c r="D589" s="17"/>
      <c r="E589" s="6"/>
      <c r="F589" s="6"/>
      <c r="G589" s="6"/>
      <c r="H589" s="6"/>
      <c r="I589" s="17"/>
      <c r="J589" s="6"/>
      <c r="K589" s="6"/>
      <c r="L589" s="17"/>
      <c r="M589" s="6"/>
      <c r="N589" s="6"/>
      <c r="O589" s="6"/>
      <c r="P589" s="6"/>
      <c r="Q589" s="6"/>
      <c r="R589" s="6"/>
      <c r="S589" s="6"/>
      <c r="T589" s="6"/>
      <c r="U589" s="6"/>
      <c r="V589" s="6"/>
      <c r="W589" s="6"/>
      <c r="X589" s="6"/>
      <c r="Y589" s="6"/>
      <c r="Z589" s="6"/>
      <c r="AA589" s="6"/>
      <c r="AB589" s="6"/>
      <c r="AC589" s="6"/>
      <c r="AD589" s="7"/>
    </row>
    <row r="590" spans="1:30" ht="13">
      <c r="A590" s="20"/>
      <c r="B590" s="20"/>
      <c r="C590" s="23"/>
      <c r="D590" s="17"/>
      <c r="E590" s="6"/>
      <c r="F590" s="6"/>
      <c r="G590" s="6"/>
      <c r="H590" s="6"/>
      <c r="I590" s="17"/>
      <c r="J590" s="6"/>
      <c r="K590" s="6"/>
      <c r="L590" s="17"/>
      <c r="M590" s="6"/>
      <c r="N590" s="6"/>
      <c r="O590" s="6"/>
      <c r="P590" s="6"/>
      <c r="Q590" s="6"/>
      <c r="R590" s="6"/>
      <c r="S590" s="6"/>
      <c r="T590" s="6"/>
      <c r="U590" s="6"/>
      <c r="V590" s="6"/>
      <c r="W590" s="6"/>
      <c r="X590" s="6"/>
      <c r="Y590" s="6"/>
      <c r="Z590" s="6"/>
      <c r="AA590" s="6"/>
      <c r="AB590" s="6"/>
      <c r="AC590" s="6"/>
      <c r="AD590" s="7"/>
    </row>
    <row r="591" spans="1:30" ht="13">
      <c r="A591" s="20"/>
      <c r="B591" s="20"/>
      <c r="C591" s="23"/>
      <c r="D591" s="17"/>
      <c r="E591" s="6"/>
      <c r="F591" s="6"/>
      <c r="G591" s="6"/>
      <c r="H591" s="6"/>
      <c r="I591" s="17"/>
      <c r="J591" s="6"/>
      <c r="K591" s="6"/>
      <c r="L591" s="17"/>
      <c r="M591" s="6"/>
      <c r="N591" s="6"/>
      <c r="O591" s="6"/>
      <c r="P591" s="6"/>
      <c r="Q591" s="6"/>
      <c r="R591" s="6"/>
      <c r="S591" s="6"/>
      <c r="T591" s="6"/>
      <c r="U591" s="6"/>
      <c r="V591" s="6"/>
      <c r="W591" s="6"/>
      <c r="X591" s="6"/>
      <c r="Y591" s="6"/>
      <c r="Z591" s="6"/>
      <c r="AA591" s="6"/>
      <c r="AB591" s="6"/>
      <c r="AC591" s="6"/>
      <c r="AD591" s="7"/>
    </row>
    <row r="592" spans="1:30" ht="13">
      <c r="A592" s="20"/>
      <c r="B592" s="20"/>
      <c r="C592" s="23"/>
      <c r="D592" s="17"/>
      <c r="E592" s="6"/>
      <c r="F592" s="6"/>
      <c r="G592" s="6"/>
      <c r="H592" s="6"/>
      <c r="I592" s="17"/>
      <c r="J592" s="6"/>
      <c r="K592" s="6"/>
      <c r="L592" s="17"/>
      <c r="M592" s="6"/>
      <c r="N592" s="6"/>
      <c r="O592" s="6"/>
      <c r="P592" s="6"/>
      <c r="Q592" s="6"/>
      <c r="R592" s="6"/>
      <c r="S592" s="6"/>
      <c r="T592" s="6"/>
      <c r="U592" s="6"/>
      <c r="V592" s="6"/>
      <c r="W592" s="6"/>
      <c r="X592" s="6"/>
      <c r="Y592" s="6"/>
      <c r="Z592" s="6"/>
      <c r="AA592" s="6"/>
      <c r="AB592" s="6"/>
      <c r="AC592" s="6"/>
      <c r="AD592" s="7"/>
    </row>
    <row r="593" spans="1:30" ht="13">
      <c r="A593" s="20"/>
      <c r="B593" s="20"/>
      <c r="C593" s="23"/>
      <c r="D593" s="17"/>
      <c r="E593" s="6"/>
      <c r="F593" s="6"/>
      <c r="G593" s="6"/>
      <c r="H593" s="6"/>
      <c r="I593" s="17"/>
      <c r="J593" s="6"/>
      <c r="K593" s="6"/>
      <c r="L593" s="17"/>
      <c r="M593" s="6"/>
      <c r="N593" s="6"/>
      <c r="O593" s="6"/>
      <c r="P593" s="6"/>
      <c r="Q593" s="6"/>
      <c r="R593" s="6"/>
      <c r="S593" s="6"/>
      <c r="T593" s="6"/>
      <c r="U593" s="6"/>
      <c r="V593" s="6"/>
      <c r="W593" s="6"/>
      <c r="X593" s="6"/>
      <c r="Y593" s="6"/>
      <c r="Z593" s="6"/>
      <c r="AA593" s="6"/>
      <c r="AB593" s="6"/>
      <c r="AC593" s="6"/>
      <c r="AD593" s="7"/>
    </row>
    <row r="594" spans="1:30" ht="13">
      <c r="A594" s="20"/>
      <c r="B594" s="20"/>
      <c r="C594" s="23"/>
      <c r="D594" s="17"/>
      <c r="E594" s="6"/>
      <c r="F594" s="6"/>
      <c r="G594" s="6"/>
      <c r="H594" s="6"/>
      <c r="I594" s="17"/>
      <c r="J594" s="6"/>
      <c r="K594" s="6"/>
      <c r="L594" s="17"/>
      <c r="M594" s="6"/>
      <c r="N594" s="6"/>
      <c r="O594" s="6"/>
      <c r="P594" s="6"/>
      <c r="Q594" s="6"/>
      <c r="R594" s="6"/>
      <c r="S594" s="6"/>
      <c r="T594" s="6"/>
      <c r="U594" s="6"/>
      <c r="V594" s="6"/>
      <c r="W594" s="6"/>
      <c r="X594" s="6"/>
      <c r="Y594" s="6"/>
      <c r="Z594" s="6"/>
      <c r="AA594" s="6"/>
      <c r="AB594" s="6"/>
      <c r="AC594" s="6"/>
      <c r="AD594" s="7"/>
    </row>
    <row r="595" spans="1:30" ht="13">
      <c r="A595" s="20"/>
      <c r="B595" s="20"/>
      <c r="C595" s="23"/>
      <c r="D595" s="17"/>
      <c r="E595" s="6"/>
      <c r="F595" s="6"/>
      <c r="G595" s="6"/>
      <c r="H595" s="6"/>
      <c r="I595" s="17"/>
      <c r="J595" s="6"/>
      <c r="K595" s="6"/>
      <c r="L595" s="17"/>
      <c r="M595" s="6"/>
      <c r="N595" s="6"/>
      <c r="O595" s="6"/>
      <c r="P595" s="6"/>
      <c r="Q595" s="6"/>
      <c r="R595" s="6"/>
      <c r="S595" s="6"/>
      <c r="T595" s="6"/>
      <c r="U595" s="6"/>
      <c r="V595" s="6"/>
      <c r="W595" s="6"/>
      <c r="X595" s="6"/>
      <c r="Y595" s="6"/>
      <c r="Z595" s="6"/>
      <c r="AA595" s="6"/>
      <c r="AB595" s="6"/>
      <c r="AC595" s="6"/>
      <c r="AD595" s="7"/>
    </row>
    <row r="596" spans="1:30" ht="13">
      <c r="A596" s="20"/>
      <c r="B596" s="20"/>
      <c r="C596" s="23"/>
      <c r="D596" s="17"/>
      <c r="E596" s="6"/>
      <c r="F596" s="6"/>
      <c r="G596" s="6"/>
      <c r="H596" s="6"/>
      <c r="I596" s="17"/>
      <c r="J596" s="6"/>
      <c r="K596" s="6"/>
      <c r="L596" s="17"/>
      <c r="M596" s="6"/>
      <c r="N596" s="6"/>
      <c r="O596" s="6"/>
      <c r="P596" s="6"/>
      <c r="Q596" s="6"/>
      <c r="R596" s="6"/>
      <c r="S596" s="6"/>
      <c r="T596" s="6"/>
      <c r="U596" s="6"/>
      <c r="V596" s="6"/>
      <c r="W596" s="6"/>
      <c r="X596" s="6"/>
      <c r="Y596" s="6"/>
      <c r="Z596" s="6"/>
      <c r="AA596" s="6"/>
      <c r="AB596" s="6"/>
      <c r="AC596" s="6"/>
      <c r="AD596" s="7"/>
    </row>
    <row r="597" spans="1:30" ht="13">
      <c r="A597" s="20"/>
      <c r="B597" s="20"/>
      <c r="C597" s="23"/>
      <c r="D597" s="17"/>
      <c r="E597" s="6"/>
      <c r="F597" s="6"/>
      <c r="G597" s="6"/>
      <c r="H597" s="6"/>
      <c r="I597" s="17"/>
      <c r="J597" s="6"/>
      <c r="K597" s="6"/>
      <c r="L597" s="17"/>
      <c r="M597" s="6"/>
      <c r="N597" s="6"/>
      <c r="O597" s="6"/>
      <c r="P597" s="6"/>
      <c r="Q597" s="6"/>
      <c r="R597" s="6"/>
      <c r="S597" s="6"/>
      <c r="T597" s="6"/>
      <c r="U597" s="6"/>
      <c r="V597" s="6"/>
      <c r="W597" s="6"/>
      <c r="X597" s="6"/>
      <c r="Y597" s="6"/>
      <c r="Z597" s="6"/>
      <c r="AA597" s="6"/>
      <c r="AB597" s="6"/>
      <c r="AC597" s="6"/>
      <c r="AD597" s="7"/>
    </row>
    <row r="598" spans="1:30" ht="13">
      <c r="A598" s="20"/>
      <c r="B598" s="20"/>
      <c r="C598" s="23"/>
      <c r="D598" s="17"/>
      <c r="E598" s="6"/>
      <c r="F598" s="6"/>
      <c r="G598" s="6"/>
      <c r="H598" s="6"/>
      <c r="I598" s="17"/>
      <c r="J598" s="6"/>
      <c r="K598" s="6"/>
      <c r="L598" s="17"/>
      <c r="M598" s="6"/>
      <c r="N598" s="6"/>
      <c r="O598" s="6"/>
      <c r="P598" s="6"/>
      <c r="Q598" s="6"/>
      <c r="R598" s="6"/>
      <c r="S598" s="6"/>
      <c r="T598" s="6"/>
      <c r="U598" s="6"/>
      <c r="V598" s="6"/>
      <c r="W598" s="6"/>
      <c r="X598" s="6"/>
      <c r="Y598" s="6"/>
      <c r="Z598" s="6"/>
      <c r="AA598" s="6"/>
      <c r="AB598" s="6"/>
      <c r="AC598" s="6"/>
      <c r="AD598" s="7"/>
    </row>
    <row r="599" spans="1:30" ht="13">
      <c r="A599" s="20"/>
      <c r="B599" s="20"/>
      <c r="C599" s="23"/>
      <c r="D599" s="17"/>
      <c r="E599" s="6"/>
      <c r="F599" s="6"/>
      <c r="G599" s="6"/>
      <c r="H599" s="6"/>
      <c r="I599" s="17"/>
      <c r="J599" s="6"/>
      <c r="K599" s="6"/>
      <c r="L599" s="17"/>
      <c r="M599" s="6"/>
      <c r="N599" s="6"/>
      <c r="O599" s="6"/>
      <c r="P599" s="6"/>
      <c r="Q599" s="6"/>
      <c r="R599" s="6"/>
      <c r="S599" s="6"/>
      <c r="T599" s="6"/>
      <c r="U599" s="6"/>
      <c r="V599" s="6"/>
      <c r="W599" s="6"/>
      <c r="X599" s="6"/>
      <c r="Y599" s="6"/>
      <c r="Z599" s="6"/>
      <c r="AA599" s="6"/>
      <c r="AB599" s="6"/>
      <c r="AC599" s="6"/>
      <c r="AD599" s="7"/>
    </row>
    <row r="600" spans="1:30" ht="13">
      <c r="A600" s="20"/>
      <c r="B600" s="20"/>
      <c r="C600" s="23"/>
      <c r="D600" s="17"/>
      <c r="E600" s="6"/>
      <c r="F600" s="6"/>
      <c r="G600" s="6"/>
      <c r="H600" s="6"/>
      <c r="I600" s="17"/>
      <c r="J600" s="6"/>
      <c r="K600" s="6"/>
      <c r="L600" s="17"/>
      <c r="M600" s="6"/>
      <c r="N600" s="6"/>
      <c r="O600" s="6"/>
      <c r="P600" s="6"/>
      <c r="Q600" s="6"/>
      <c r="R600" s="6"/>
      <c r="S600" s="6"/>
      <c r="T600" s="6"/>
      <c r="U600" s="6"/>
      <c r="V600" s="6"/>
      <c r="W600" s="6"/>
      <c r="X600" s="6"/>
      <c r="Y600" s="6"/>
      <c r="Z600" s="6"/>
      <c r="AA600" s="6"/>
      <c r="AB600" s="6"/>
      <c r="AC600" s="6"/>
      <c r="AD600" s="7"/>
    </row>
    <row r="601" spans="1:30" ht="13">
      <c r="A601" s="20"/>
      <c r="B601" s="20"/>
      <c r="C601" s="23"/>
      <c r="D601" s="17"/>
      <c r="E601" s="6"/>
      <c r="F601" s="6"/>
      <c r="G601" s="6"/>
      <c r="H601" s="6"/>
      <c r="I601" s="17"/>
      <c r="J601" s="6"/>
      <c r="K601" s="6"/>
      <c r="L601" s="17"/>
      <c r="M601" s="6"/>
      <c r="N601" s="6"/>
      <c r="O601" s="6"/>
      <c r="P601" s="6"/>
      <c r="Q601" s="6"/>
      <c r="R601" s="6"/>
      <c r="S601" s="6"/>
      <c r="T601" s="6"/>
      <c r="U601" s="6"/>
      <c r="V601" s="6"/>
      <c r="W601" s="6"/>
      <c r="X601" s="6"/>
      <c r="Y601" s="6"/>
      <c r="Z601" s="6"/>
      <c r="AA601" s="6"/>
      <c r="AB601" s="6"/>
      <c r="AC601" s="6"/>
      <c r="AD601" s="7"/>
    </row>
    <row r="602" spans="1:30" ht="13">
      <c r="A602" s="20"/>
      <c r="B602" s="20"/>
      <c r="C602" s="23"/>
      <c r="D602" s="17"/>
      <c r="E602" s="6"/>
      <c r="F602" s="6"/>
      <c r="G602" s="6"/>
      <c r="H602" s="6"/>
      <c r="I602" s="17"/>
      <c r="J602" s="6"/>
      <c r="K602" s="6"/>
      <c r="L602" s="17"/>
      <c r="M602" s="6"/>
      <c r="N602" s="6"/>
      <c r="O602" s="6"/>
      <c r="P602" s="6"/>
      <c r="Q602" s="6"/>
      <c r="R602" s="6"/>
      <c r="S602" s="6"/>
      <c r="T602" s="6"/>
      <c r="U602" s="6"/>
      <c r="V602" s="6"/>
      <c r="W602" s="6"/>
      <c r="X602" s="6"/>
      <c r="Y602" s="6"/>
      <c r="Z602" s="6"/>
      <c r="AA602" s="6"/>
      <c r="AB602" s="6"/>
      <c r="AC602" s="6"/>
      <c r="AD602" s="7"/>
    </row>
    <row r="603" spans="1:30" ht="13">
      <c r="A603" s="20"/>
      <c r="B603" s="20"/>
      <c r="C603" s="23"/>
      <c r="D603" s="17"/>
      <c r="E603" s="6"/>
      <c r="F603" s="6"/>
      <c r="G603" s="6"/>
      <c r="H603" s="6"/>
      <c r="I603" s="17"/>
      <c r="J603" s="6"/>
      <c r="K603" s="6"/>
      <c r="L603" s="17"/>
      <c r="M603" s="6"/>
      <c r="N603" s="6"/>
      <c r="O603" s="6"/>
      <c r="P603" s="6"/>
      <c r="Q603" s="6"/>
      <c r="R603" s="6"/>
      <c r="S603" s="6"/>
      <c r="T603" s="6"/>
      <c r="U603" s="6"/>
      <c r="V603" s="6"/>
      <c r="W603" s="6"/>
      <c r="X603" s="6"/>
      <c r="Y603" s="6"/>
      <c r="Z603" s="6"/>
      <c r="AA603" s="6"/>
      <c r="AB603" s="6"/>
      <c r="AC603" s="6"/>
      <c r="AD603" s="7"/>
    </row>
    <row r="604" spans="1:30" ht="13">
      <c r="A604" s="20"/>
      <c r="B604" s="20"/>
      <c r="C604" s="23"/>
      <c r="D604" s="17"/>
      <c r="E604" s="6"/>
      <c r="F604" s="6"/>
      <c r="G604" s="6"/>
      <c r="H604" s="6"/>
      <c r="I604" s="17"/>
      <c r="J604" s="6"/>
      <c r="K604" s="6"/>
      <c r="L604" s="17"/>
      <c r="M604" s="6"/>
      <c r="N604" s="6"/>
      <c r="O604" s="6"/>
      <c r="P604" s="6"/>
      <c r="Q604" s="6"/>
      <c r="R604" s="6"/>
      <c r="S604" s="6"/>
      <c r="T604" s="6"/>
      <c r="U604" s="6"/>
      <c r="V604" s="6"/>
      <c r="W604" s="6"/>
      <c r="X604" s="6"/>
      <c r="Y604" s="6"/>
      <c r="Z604" s="6"/>
      <c r="AA604" s="6"/>
      <c r="AB604" s="6"/>
      <c r="AC604" s="6"/>
      <c r="AD604" s="7"/>
    </row>
    <row r="605" spans="1:30" ht="13">
      <c r="A605" s="20"/>
      <c r="B605" s="20"/>
      <c r="C605" s="23"/>
      <c r="D605" s="17"/>
      <c r="E605" s="6"/>
      <c r="F605" s="6"/>
      <c r="G605" s="6"/>
      <c r="H605" s="6"/>
      <c r="I605" s="17"/>
      <c r="J605" s="6"/>
      <c r="K605" s="6"/>
      <c r="L605" s="17"/>
      <c r="M605" s="6"/>
      <c r="N605" s="6"/>
      <c r="O605" s="6"/>
      <c r="P605" s="6"/>
      <c r="Q605" s="6"/>
      <c r="R605" s="6"/>
      <c r="S605" s="6"/>
      <c r="T605" s="6"/>
      <c r="U605" s="6"/>
      <c r="V605" s="6"/>
      <c r="W605" s="6"/>
      <c r="X605" s="6"/>
      <c r="Y605" s="6"/>
      <c r="Z605" s="6"/>
      <c r="AA605" s="6"/>
      <c r="AB605" s="6"/>
      <c r="AC605" s="6"/>
      <c r="AD605" s="7"/>
    </row>
    <row r="606" spans="1:30" ht="13">
      <c r="A606" s="20"/>
      <c r="B606" s="20"/>
      <c r="C606" s="23"/>
      <c r="D606" s="17"/>
      <c r="E606" s="6"/>
      <c r="F606" s="6"/>
      <c r="G606" s="6"/>
      <c r="H606" s="6"/>
      <c r="I606" s="17"/>
      <c r="J606" s="6"/>
      <c r="K606" s="6"/>
      <c r="L606" s="17"/>
      <c r="M606" s="6"/>
      <c r="N606" s="6"/>
      <c r="O606" s="6"/>
      <c r="P606" s="6"/>
      <c r="Q606" s="6"/>
      <c r="R606" s="6"/>
      <c r="S606" s="6"/>
      <c r="T606" s="6"/>
      <c r="U606" s="6"/>
      <c r="V606" s="6"/>
      <c r="W606" s="6"/>
      <c r="X606" s="6"/>
      <c r="Y606" s="6"/>
      <c r="Z606" s="6"/>
      <c r="AA606" s="6"/>
      <c r="AB606" s="6"/>
      <c r="AC606" s="6"/>
      <c r="AD606" s="7"/>
    </row>
    <row r="607" spans="1:30" ht="13">
      <c r="A607" s="20"/>
      <c r="B607" s="20"/>
      <c r="C607" s="23"/>
      <c r="D607" s="17"/>
      <c r="E607" s="6"/>
      <c r="F607" s="6"/>
      <c r="G607" s="6"/>
      <c r="H607" s="6"/>
      <c r="I607" s="17"/>
      <c r="J607" s="6"/>
      <c r="K607" s="6"/>
      <c r="L607" s="17"/>
      <c r="M607" s="6"/>
      <c r="N607" s="6"/>
      <c r="O607" s="6"/>
      <c r="P607" s="6"/>
      <c r="Q607" s="6"/>
      <c r="R607" s="6"/>
      <c r="S607" s="6"/>
      <c r="T607" s="6"/>
      <c r="U607" s="6"/>
      <c r="V607" s="6"/>
      <c r="W607" s="6"/>
      <c r="X607" s="6"/>
      <c r="Y607" s="6"/>
      <c r="Z607" s="6"/>
      <c r="AA607" s="6"/>
      <c r="AB607" s="6"/>
      <c r="AC607" s="6"/>
      <c r="AD607" s="7"/>
    </row>
    <row r="608" spans="1:30" ht="13">
      <c r="A608" s="20"/>
      <c r="B608" s="20"/>
      <c r="C608" s="23"/>
      <c r="D608" s="17"/>
      <c r="E608" s="6"/>
      <c r="F608" s="6"/>
      <c r="G608" s="6"/>
      <c r="H608" s="6"/>
      <c r="I608" s="17"/>
      <c r="J608" s="6"/>
      <c r="K608" s="6"/>
      <c r="L608" s="17"/>
      <c r="M608" s="6"/>
      <c r="N608" s="6"/>
      <c r="O608" s="6"/>
      <c r="P608" s="6"/>
      <c r="Q608" s="6"/>
      <c r="R608" s="6"/>
      <c r="S608" s="6"/>
      <c r="T608" s="6"/>
      <c r="U608" s="6"/>
      <c r="V608" s="6"/>
      <c r="W608" s="6"/>
      <c r="X608" s="6"/>
      <c r="Y608" s="6"/>
      <c r="Z608" s="6"/>
      <c r="AA608" s="6"/>
      <c r="AB608" s="6"/>
      <c r="AC608" s="6"/>
      <c r="AD608" s="7"/>
    </row>
    <row r="609" spans="1:30" ht="13">
      <c r="A609" s="20"/>
      <c r="B609" s="20"/>
      <c r="C609" s="23"/>
      <c r="D609" s="17"/>
      <c r="E609" s="6"/>
      <c r="F609" s="6"/>
      <c r="G609" s="6"/>
      <c r="H609" s="6"/>
      <c r="I609" s="17"/>
      <c r="J609" s="6"/>
      <c r="K609" s="6"/>
      <c r="L609" s="17"/>
      <c r="M609" s="6"/>
      <c r="N609" s="6"/>
      <c r="O609" s="6"/>
      <c r="P609" s="6"/>
      <c r="Q609" s="6"/>
      <c r="R609" s="6"/>
      <c r="S609" s="6"/>
      <c r="T609" s="6"/>
      <c r="U609" s="6"/>
      <c r="V609" s="6"/>
      <c r="W609" s="6"/>
      <c r="X609" s="6"/>
      <c r="Y609" s="6"/>
      <c r="Z609" s="6"/>
      <c r="AA609" s="6"/>
      <c r="AB609" s="6"/>
      <c r="AC609" s="6"/>
      <c r="AD609" s="7"/>
    </row>
    <row r="610" spans="1:30" ht="13">
      <c r="A610" s="20"/>
      <c r="B610" s="20"/>
      <c r="C610" s="23"/>
      <c r="D610" s="17"/>
      <c r="E610" s="6"/>
      <c r="F610" s="6"/>
      <c r="G610" s="6"/>
      <c r="H610" s="6"/>
      <c r="I610" s="17"/>
      <c r="J610" s="6"/>
      <c r="K610" s="6"/>
      <c r="L610" s="17"/>
      <c r="M610" s="6"/>
      <c r="N610" s="6"/>
      <c r="O610" s="6"/>
      <c r="P610" s="6"/>
      <c r="Q610" s="6"/>
      <c r="R610" s="6"/>
      <c r="S610" s="6"/>
      <c r="T610" s="6"/>
      <c r="U610" s="6"/>
      <c r="V610" s="6"/>
      <c r="W610" s="6"/>
      <c r="X610" s="6"/>
      <c r="Y610" s="6"/>
      <c r="Z610" s="6"/>
      <c r="AA610" s="6"/>
      <c r="AB610" s="6"/>
      <c r="AC610" s="6"/>
      <c r="AD610" s="7"/>
    </row>
    <row r="611" spans="1:30" ht="13">
      <c r="A611" s="20"/>
      <c r="B611" s="20"/>
      <c r="C611" s="23"/>
      <c r="D611" s="17"/>
      <c r="E611" s="6"/>
      <c r="F611" s="6"/>
      <c r="G611" s="6"/>
      <c r="H611" s="6"/>
      <c r="I611" s="17"/>
      <c r="J611" s="6"/>
      <c r="K611" s="6"/>
      <c r="L611" s="17"/>
      <c r="M611" s="6"/>
      <c r="N611" s="6"/>
      <c r="O611" s="6"/>
      <c r="P611" s="6"/>
      <c r="Q611" s="6"/>
      <c r="R611" s="6"/>
      <c r="S611" s="6"/>
      <c r="T611" s="6"/>
      <c r="U611" s="6"/>
      <c r="V611" s="6"/>
      <c r="W611" s="6"/>
      <c r="X611" s="6"/>
      <c r="Y611" s="6"/>
      <c r="Z611" s="6"/>
      <c r="AA611" s="6"/>
      <c r="AB611" s="6"/>
      <c r="AC611" s="6"/>
      <c r="AD611" s="7"/>
    </row>
    <row r="612" spans="1:30" ht="13">
      <c r="A612" s="20"/>
      <c r="B612" s="20"/>
      <c r="C612" s="23"/>
      <c r="D612" s="17"/>
      <c r="E612" s="6"/>
      <c r="F612" s="6"/>
      <c r="G612" s="6"/>
      <c r="H612" s="6"/>
      <c r="I612" s="17"/>
      <c r="J612" s="6"/>
      <c r="K612" s="6"/>
      <c r="L612" s="17"/>
      <c r="M612" s="6"/>
      <c r="N612" s="6"/>
      <c r="O612" s="6"/>
      <c r="P612" s="6"/>
      <c r="Q612" s="6"/>
      <c r="R612" s="6"/>
      <c r="S612" s="6"/>
      <c r="T612" s="6"/>
      <c r="U612" s="6"/>
      <c r="V612" s="6"/>
      <c r="W612" s="6"/>
      <c r="X612" s="6"/>
      <c r="Y612" s="6"/>
      <c r="Z612" s="6"/>
      <c r="AA612" s="6"/>
      <c r="AB612" s="6"/>
      <c r="AC612" s="6"/>
      <c r="AD612" s="7"/>
    </row>
    <row r="613" spans="1:30" ht="13">
      <c r="A613" s="20"/>
      <c r="B613" s="20"/>
      <c r="C613" s="23"/>
      <c r="D613" s="17"/>
      <c r="E613" s="6"/>
      <c r="F613" s="6"/>
      <c r="G613" s="6"/>
      <c r="H613" s="6"/>
      <c r="I613" s="17"/>
      <c r="J613" s="6"/>
      <c r="K613" s="6"/>
      <c r="L613" s="17"/>
      <c r="M613" s="6"/>
      <c r="N613" s="6"/>
      <c r="O613" s="6"/>
      <c r="P613" s="6"/>
      <c r="Q613" s="6"/>
      <c r="R613" s="6"/>
      <c r="S613" s="6"/>
      <c r="T613" s="6"/>
      <c r="U613" s="6"/>
      <c r="V613" s="6"/>
      <c r="W613" s="6"/>
      <c r="X613" s="6"/>
      <c r="Y613" s="6"/>
      <c r="Z613" s="6"/>
      <c r="AA613" s="6"/>
      <c r="AB613" s="6"/>
      <c r="AC613" s="6"/>
      <c r="AD613" s="7"/>
    </row>
    <row r="614" spans="1:30" ht="13">
      <c r="A614" s="20"/>
      <c r="B614" s="20"/>
      <c r="C614" s="23"/>
      <c r="D614" s="17"/>
      <c r="E614" s="6"/>
      <c r="F614" s="6"/>
      <c r="G614" s="6"/>
      <c r="H614" s="6"/>
      <c r="I614" s="17"/>
      <c r="J614" s="6"/>
      <c r="K614" s="6"/>
      <c r="L614" s="17"/>
      <c r="M614" s="6"/>
      <c r="N614" s="6"/>
      <c r="O614" s="6"/>
      <c r="P614" s="6"/>
      <c r="Q614" s="6"/>
      <c r="R614" s="6"/>
      <c r="S614" s="6"/>
      <c r="T614" s="6"/>
      <c r="U614" s="6"/>
      <c r="V614" s="6"/>
      <c r="W614" s="6"/>
      <c r="X614" s="6"/>
      <c r="Y614" s="6"/>
      <c r="Z614" s="6"/>
      <c r="AA614" s="6"/>
      <c r="AB614" s="6"/>
      <c r="AC614" s="6"/>
      <c r="AD614" s="7"/>
    </row>
    <row r="615" spans="1:30" ht="13">
      <c r="A615" s="20"/>
      <c r="B615" s="20"/>
      <c r="C615" s="23"/>
      <c r="D615" s="17"/>
      <c r="E615" s="6"/>
      <c r="F615" s="6"/>
      <c r="G615" s="6"/>
      <c r="H615" s="6"/>
      <c r="I615" s="17"/>
      <c r="J615" s="6"/>
      <c r="K615" s="6"/>
      <c r="L615" s="17"/>
      <c r="M615" s="6"/>
      <c r="N615" s="6"/>
      <c r="O615" s="6"/>
      <c r="P615" s="6"/>
      <c r="Q615" s="6"/>
      <c r="R615" s="6"/>
      <c r="S615" s="6"/>
      <c r="T615" s="6"/>
      <c r="U615" s="6"/>
      <c r="V615" s="6"/>
      <c r="W615" s="6"/>
      <c r="X615" s="6"/>
      <c r="Y615" s="6"/>
      <c r="Z615" s="6"/>
      <c r="AA615" s="6"/>
      <c r="AB615" s="6"/>
      <c r="AC615" s="6"/>
      <c r="AD615" s="7"/>
    </row>
    <row r="616" spans="1:30" ht="13">
      <c r="A616" s="20"/>
      <c r="B616" s="20"/>
      <c r="C616" s="23"/>
      <c r="D616" s="17"/>
      <c r="E616" s="6"/>
      <c r="F616" s="6"/>
      <c r="G616" s="6"/>
      <c r="H616" s="6"/>
      <c r="I616" s="17"/>
      <c r="J616" s="6"/>
      <c r="K616" s="6"/>
      <c r="L616" s="17"/>
      <c r="M616" s="6"/>
      <c r="N616" s="6"/>
      <c r="O616" s="6"/>
      <c r="P616" s="6"/>
      <c r="Q616" s="6"/>
      <c r="R616" s="6"/>
      <c r="S616" s="6"/>
      <c r="T616" s="6"/>
      <c r="U616" s="6"/>
      <c r="V616" s="6"/>
      <c r="W616" s="6"/>
      <c r="X616" s="6"/>
      <c r="Y616" s="6"/>
      <c r="Z616" s="6"/>
      <c r="AA616" s="6"/>
      <c r="AB616" s="6"/>
      <c r="AC616" s="6"/>
      <c r="AD616" s="7"/>
    </row>
    <row r="617" spans="1:30" ht="13">
      <c r="A617" s="20"/>
      <c r="B617" s="20"/>
      <c r="C617" s="23"/>
      <c r="D617" s="17"/>
      <c r="E617" s="6"/>
      <c r="F617" s="6"/>
      <c r="G617" s="6"/>
      <c r="H617" s="6"/>
      <c r="I617" s="17"/>
      <c r="J617" s="6"/>
      <c r="K617" s="6"/>
      <c r="L617" s="17"/>
      <c r="M617" s="6"/>
      <c r="N617" s="6"/>
      <c r="O617" s="6"/>
      <c r="P617" s="6"/>
      <c r="Q617" s="6"/>
      <c r="R617" s="6"/>
      <c r="S617" s="6"/>
      <c r="T617" s="6"/>
      <c r="U617" s="6"/>
      <c r="V617" s="6"/>
      <c r="W617" s="6"/>
      <c r="X617" s="6"/>
      <c r="Y617" s="6"/>
      <c r="Z617" s="6"/>
      <c r="AA617" s="6"/>
      <c r="AB617" s="6"/>
      <c r="AC617" s="6"/>
      <c r="AD617" s="7"/>
    </row>
    <row r="618" spans="1:30" ht="13">
      <c r="A618" s="20"/>
      <c r="B618" s="20"/>
      <c r="C618" s="23"/>
      <c r="D618" s="17"/>
      <c r="E618" s="6"/>
      <c r="F618" s="6"/>
      <c r="G618" s="6"/>
      <c r="H618" s="6"/>
      <c r="I618" s="17"/>
      <c r="J618" s="6"/>
      <c r="K618" s="6"/>
      <c r="L618" s="17"/>
      <c r="M618" s="6"/>
      <c r="N618" s="6"/>
      <c r="O618" s="6"/>
      <c r="P618" s="6"/>
      <c r="Q618" s="6"/>
      <c r="R618" s="6"/>
      <c r="S618" s="6"/>
      <c r="T618" s="6"/>
      <c r="U618" s="6"/>
      <c r="V618" s="6"/>
      <c r="W618" s="6"/>
      <c r="X618" s="6"/>
      <c r="Y618" s="6"/>
      <c r="Z618" s="6"/>
      <c r="AA618" s="6"/>
      <c r="AB618" s="6"/>
      <c r="AC618" s="6"/>
      <c r="AD618" s="7"/>
    </row>
    <row r="619" spans="1:30" ht="13">
      <c r="A619" s="20"/>
      <c r="B619" s="20"/>
      <c r="C619" s="23"/>
      <c r="D619" s="17"/>
      <c r="E619" s="6"/>
      <c r="F619" s="6"/>
      <c r="G619" s="6"/>
      <c r="H619" s="6"/>
      <c r="I619" s="17"/>
      <c r="J619" s="6"/>
      <c r="K619" s="6"/>
      <c r="L619" s="17"/>
      <c r="M619" s="6"/>
      <c r="N619" s="6"/>
      <c r="O619" s="6"/>
      <c r="P619" s="6"/>
      <c r="Q619" s="6"/>
      <c r="R619" s="6"/>
      <c r="S619" s="6"/>
      <c r="T619" s="6"/>
      <c r="U619" s="6"/>
      <c r="V619" s="6"/>
      <c r="W619" s="6"/>
      <c r="X619" s="6"/>
      <c r="Y619" s="6"/>
      <c r="Z619" s="6"/>
      <c r="AA619" s="6"/>
      <c r="AB619" s="6"/>
      <c r="AC619" s="6"/>
      <c r="AD619" s="7"/>
    </row>
    <row r="620" spans="1:30" ht="13">
      <c r="A620" s="20"/>
      <c r="B620" s="20"/>
      <c r="C620" s="23"/>
      <c r="D620" s="17"/>
      <c r="E620" s="6"/>
      <c r="F620" s="6"/>
      <c r="G620" s="6"/>
      <c r="H620" s="6"/>
      <c r="I620" s="17"/>
      <c r="J620" s="6"/>
      <c r="K620" s="6"/>
      <c r="L620" s="17"/>
      <c r="M620" s="6"/>
      <c r="N620" s="6"/>
      <c r="O620" s="6"/>
      <c r="P620" s="6"/>
      <c r="Q620" s="6"/>
      <c r="R620" s="6"/>
      <c r="S620" s="6"/>
      <c r="T620" s="6"/>
      <c r="U620" s="6"/>
      <c r="V620" s="6"/>
      <c r="W620" s="6"/>
      <c r="X620" s="6"/>
      <c r="Y620" s="6"/>
      <c r="Z620" s="6"/>
      <c r="AA620" s="6"/>
      <c r="AB620" s="6"/>
      <c r="AC620" s="6"/>
      <c r="AD620" s="7"/>
    </row>
    <row r="621" spans="1:30" ht="13">
      <c r="A621" s="20"/>
      <c r="B621" s="20"/>
      <c r="C621" s="23"/>
      <c r="D621" s="17"/>
      <c r="E621" s="6"/>
      <c r="F621" s="6"/>
      <c r="G621" s="6"/>
      <c r="H621" s="6"/>
      <c r="I621" s="17"/>
      <c r="J621" s="6"/>
      <c r="K621" s="6"/>
      <c r="L621" s="17"/>
      <c r="M621" s="6"/>
      <c r="N621" s="6"/>
      <c r="O621" s="6"/>
      <c r="P621" s="6"/>
      <c r="Q621" s="6"/>
      <c r="R621" s="6"/>
      <c r="S621" s="6"/>
      <c r="T621" s="6"/>
      <c r="U621" s="6"/>
      <c r="V621" s="6"/>
      <c r="W621" s="6"/>
      <c r="X621" s="6"/>
      <c r="Y621" s="6"/>
      <c r="Z621" s="6"/>
      <c r="AA621" s="6"/>
      <c r="AB621" s="6"/>
      <c r="AC621" s="6"/>
      <c r="AD621" s="7"/>
    </row>
    <row r="622" spans="1:30" ht="13">
      <c r="A622" s="20"/>
      <c r="B622" s="20"/>
      <c r="C622" s="23"/>
      <c r="D622" s="17"/>
      <c r="E622" s="6"/>
      <c r="F622" s="6"/>
      <c r="G622" s="6"/>
      <c r="H622" s="6"/>
      <c r="I622" s="17"/>
      <c r="J622" s="6"/>
      <c r="K622" s="6"/>
      <c r="L622" s="17"/>
      <c r="M622" s="6"/>
      <c r="N622" s="6"/>
      <c r="O622" s="6"/>
      <c r="P622" s="6"/>
      <c r="Q622" s="6"/>
      <c r="R622" s="6"/>
      <c r="S622" s="6"/>
      <c r="T622" s="6"/>
      <c r="U622" s="6"/>
      <c r="V622" s="6"/>
      <c r="W622" s="6"/>
      <c r="X622" s="6"/>
      <c r="Y622" s="6"/>
      <c r="Z622" s="6"/>
      <c r="AA622" s="6"/>
      <c r="AB622" s="6"/>
      <c r="AC622" s="6"/>
      <c r="AD622" s="7"/>
    </row>
    <row r="623" spans="1:30" ht="13">
      <c r="A623" s="20"/>
      <c r="B623" s="20"/>
      <c r="C623" s="23"/>
      <c r="D623" s="17"/>
      <c r="E623" s="6"/>
      <c r="F623" s="6"/>
      <c r="G623" s="6"/>
      <c r="H623" s="6"/>
      <c r="I623" s="17"/>
      <c r="J623" s="6"/>
      <c r="K623" s="6"/>
      <c r="L623" s="17"/>
      <c r="M623" s="6"/>
      <c r="N623" s="6"/>
      <c r="O623" s="6"/>
      <c r="P623" s="6"/>
      <c r="Q623" s="6"/>
      <c r="R623" s="6"/>
      <c r="S623" s="6"/>
      <c r="T623" s="6"/>
      <c r="U623" s="6"/>
      <c r="V623" s="6"/>
      <c r="W623" s="6"/>
      <c r="X623" s="6"/>
      <c r="Y623" s="6"/>
      <c r="Z623" s="6"/>
      <c r="AA623" s="6"/>
      <c r="AB623" s="6"/>
      <c r="AC623" s="6"/>
      <c r="AD623" s="7"/>
    </row>
    <row r="624" spans="1:30" ht="13">
      <c r="A624" s="20"/>
      <c r="B624" s="20"/>
      <c r="C624" s="23"/>
      <c r="D624" s="17"/>
      <c r="E624" s="6"/>
      <c r="F624" s="6"/>
      <c r="G624" s="6"/>
      <c r="H624" s="6"/>
      <c r="I624" s="17"/>
      <c r="J624" s="6"/>
      <c r="K624" s="6"/>
      <c r="L624" s="17"/>
      <c r="M624" s="6"/>
      <c r="N624" s="6"/>
      <c r="O624" s="6"/>
      <c r="P624" s="6"/>
      <c r="Q624" s="6"/>
      <c r="R624" s="6"/>
      <c r="S624" s="6"/>
      <c r="T624" s="6"/>
      <c r="U624" s="6"/>
      <c r="V624" s="6"/>
      <c r="W624" s="6"/>
      <c r="X624" s="6"/>
      <c r="Y624" s="6"/>
      <c r="Z624" s="6"/>
      <c r="AA624" s="6"/>
      <c r="AB624" s="6"/>
      <c r="AC624" s="6"/>
      <c r="AD624" s="7"/>
    </row>
    <row r="625" spans="1:30" ht="13">
      <c r="A625" s="20"/>
      <c r="B625" s="20"/>
      <c r="C625" s="23"/>
      <c r="D625" s="17"/>
      <c r="E625" s="6"/>
      <c r="F625" s="6"/>
      <c r="G625" s="6"/>
      <c r="H625" s="6"/>
      <c r="I625" s="17"/>
      <c r="J625" s="6"/>
      <c r="K625" s="6"/>
      <c r="L625" s="17"/>
      <c r="M625" s="6"/>
      <c r="N625" s="6"/>
      <c r="O625" s="6"/>
      <c r="P625" s="6"/>
      <c r="Q625" s="6"/>
      <c r="R625" s="6"/>
      <c r="S625" s="6"/>
      <c r="T625" s="6"/>
      <c r="U625" s="6"/>
      <c r="V625" s="6"/>
      <c r="W625" s="6"/>
      <c r="X625" s="6"/>
      <c r="Y625" s="6"/>
      <c r="Z625" s="6"/>
      <c r="AA625" s="6"/>
      <c r="AB625" s="6"/>
      <c r="AC625" s="6"/>
      <c r="AD625" s="7"/>
    </row>
    <row r="626" spans="1:30" ht="13">
      <c r="A626" s="20"/>
      <c r="B626" s="20"/>
      <c r="C626" s="23"/>
      <c r="D626" s="17"/>
      <c r="E626" s="6"/>
      <c r="F626" s="6"/>
      <c r="G626" s="6"/>
      <c r="H626" s="6"/>
      <c r="I626" s="17"/>
      <c r="J626" s="6"/>
      <c r="K626" s="6"/>
      <c r="L626" s="17"/>
      <c r="M626" s="6"/>
      <c r="N626" s="6"/>
      <c r="O626" s="6"/>
      <c r="P626" s="6"/>
      <c r="Q626" s="6"/>
      <c r="R626" s="6"/>
      <c r="S626" s="6"/>
      <c r="T626" s="6"/>
      <c r="U626" s="6"/>
      <c r="V626" s="6"/>
      <c r="W626" s="6"/>
      <c r="X626" s="6"/>
      <c r="Y626" s="6"/>
      <c r="Z626" s="6"/>
      <c r="AA626" s="6"/>
      <c r="AB626" s="6"/>
      <c r="AC626" s="6"/>
      <c r="AD626" s="7"/>
    </row>
    <row r="627" spans="1:30" ht="13">
      <c r="A627" s="20"/>
      <c r="B627" s="20"/>
      <c r="C627" s="23"/>
      <c r="D627" s="17"/>
      <c r="E627" s="6"/>
      <c r="F627" s="6"/>
      <c r="G627" s="6"/>
      <c r="H627" s="6"/>
      <c r="I627" s="17"/>
      <c r="J627" s="6"/>
      <c r="K627" s="6"/>
      <c r="L627" s="17"/>
      <c r="M627" s="6"/>
      <c r="N627" s="6"/>
      <c r="O627" s="6"/>
      <c r="P627" s="6"/>
      <c r="Q627" s="6"/>
      <c r="R627" s="6"/>
      <c r="S627" s="6"/>
      <c r="T627" s="6"/>
      <c r="U627" s="6"/>
      <c r="V627" s="6"/>
      <c r="W627" s="6"/>
      <c r="X627" s="6"/>
      <c r="Y627" s="6"/>
      <c r="Z627" s="6"/>
      <c r="AA627" s="6"/>
      <c r="AB627" s="6"/>
      <c r="AC627" s="6"/>
      <c r="AD627" s="7"/>
    </row>
    <row r="628" spans="1:30" ht="13">
      <c r="A628" s="20"/>
      <c r="B628" s="20"/>
      <c r="C628" s="23"/>
      <c r="D628" s="17"/>
      <c r="E628" s="6"/>
      <c r="F628" s="6"/>
      <c r="G628" s="6"/>
      <c r="H628" s="6"/>
      <c r="I628" s="17"/>
      <c r="J628" s="6"/>
      <c r="K628" s="6"/>
      <c r="L628" s="17"/>
      <c r="M628" s="6"/>
      <c r="N628" s="6"/>
      <c r="O628" s="6"/>
      <c r="P628" s="6"/>
      <c r="Q628" s="6"/>
      <c r="R628" s="6"/>
      <c r="S628" s="6"/>
      <c r="T628" s="6"/>
      <c r="U628" s="6"/>
      <c r="V628" s="6"/>
      <c r="W628" s="6"/>
      <c r="X628" s="6"/>
      <c r="Y628" s="6"/>
      <c r="Z628" s="6"/>
      <c r="AA628" s="6"/>
      <c r="AB628" s="6"/>
      <c r="AC628" s="6"/>
      <c r="AD628" s="7"/>
    </row>
    <row r="629" spans="1:30" ht="13">
      <c r="A629" s="20"/>
      <c r="B629" s="20"/>
      <c r="C629" s="23"/>
      <c r="D629" s="17"/>
      <c r="E629" s="6"/>
      <c r="F629" s="6"/>
      <c r="G629" s="6"/>
      <c r="H629" s="6"/>
      <c r="I629" s="17"/>
      <c r="J629" s="6"/>
      <c r="K629" s="6"/>
      <c r="L629" s="17"/>
      <c r="M629" s="6"/>
      <c r="N629" s="6"/>
      <c r="O629" s="6"/>
      <c r="P629" s="6"/>
      <c r="Q629" s="6"/>
      <c r="R629" s="6"/>
      <c r="S629" s="6"/>
      <c r="T629" s="6"/>
      <c r="U629" s="6"/>
      <c r="V629" s="6"/>
      <c r="W629" s="6"/>
      <c r="X629" s="6"/>
      <c r="Y629" s="6"/>
      <c r="Z629" s="6"/>
      <c r="AA629" s="6"/>
      <c r="AB629" s="6"/>
      <c r="AC629" s="6"/>
      <c r="AD629" s="7"/>
    </row>
    <row r="630" spans="1:30" ht="13">
      <c r="A630" s="20"/>
      <c r="B630" s="20"/>
      <c r="C630" s="23"/>
      <c r="D630" s="17"/>
      <c r="E630" s="6"/>
      <c r="F630" s="6"/>
      <c r="G630" s="6"/>
      <c r="H630" s="6"/>
      <c r="I630" s="17"/>
      <c r="J630" s="6"/>
      <c r="K630" s="6"/>
      <c r="L630" s="17"/>
      <c r="M630" s="6"/>
      <c r="N630" s="6"/>
      <c r="O630" s="6"/>
      <c r="P630" s="6"/>
      <c r="Q630" s="6"/>
      <c r="R630" s="6"/>
      <c r="S630" s="6"/>
      <c r="T630" s="6"/>
      <c r="U630" s="6"/>
      <c r="V630" s="6"/>
      <c r="W630" s="6"/>
      <c r="X630" s="6"/>
      <c r="Y630" s="6"/>
      <c r="Z630" s="6"/>
      <c r="AA630" s="6"/>
      <c r="AB630" s="6"/>
      <c r="AC630" s="6"/>
      <c r="AD630" s="7"/>
    </row>
    <row r="631" spans="1:30" ht="13">
      <c r="A631" s="20"/>
      <c r="B631" s="20"/>
      <c r="C631" s="23"/>
      <c r="D631" s="17"/>
      <c r="E631" s="6"/>
      <c r="F631" s="6"/>
      <c r="G631" s="6"/>
      <c r="H631" s="6"/>
      <c r="I631" s="17"/>
      <c r="J631" s="6"/>
      <c r="K631" s="6"/>
      <c r="L631" s="17"/>
      <c r="M631" s="6"/>
      <c r="N631" s="6"/>
      <c r="O631" s="6"/>
      <c r="P631" s="6"/>
      <c r="Q631" s="6"/>
      <c r="R631" s="6"/>
      <c r="S631" s="6"/>
      <c r="T631" s="6"/>
      <c r="U631" s="6"/>
      <c r="V631" s="6"/>
      <c r="W631" s="6"/>
      <c r="X631" s="6"/>
      <c r="Y631" s="6"/>
      <c r="Z631" s="6"/>
      <c r="AA631" s="6"/>
      <c r="AB631" s="6"/>
      <c r="AC631" s="6"/>
      <c r="AD631" s="7"/>
    </row>
    <row r="632" spans="1:30" ht="13">
      <c r="A632" s="20"/>
      <c r="B632" s="20"/>
      <c r="C632" s="23"/>
      <c r="D632" s="17"/>
      <c r="E632" s="6"/>
      <c r="F632" s="6"/>
      <c r="G632" s="6"/>
      <c r="H632" s="6"/>
      <c r="I632" s="17"/>
      <c r="J632" s="6"/>
      <c r="K632" s="6"/>
      <c r="L632" s="17"/>
      <c r="M632" s="6"/>
      <c r="N632" s="6"/>
      <c r="O632" s="6"/>
      <c r="P632" s="6"/>
      <c r="Q632" s="6"/>
      <c r="R632" s="6"/>
      <c r="S632" s="6"/>
      <c r="T632" s="6"/>
      <c r="U632" s="6"/>
      <c r="V632" s="6"/>
      <c r="W632" s="6"/>
      <c r="X632" s="6"/>
      <c r="Y632" s="6"/>
      <c r="Z632" s="6"/>
      <c r="AA632" s="6"/>
      <c r="AB632" s="6"/>
      <c r="AC632" s="6"/>
      <c r="AD632" s="7"/>
    </row>
    <row r="633" spans="1:30" ht="13">
      <c r="A633" s="20"/>
      <c r="B633" s="20"/>
      <c r="C633" s="23"/>
      <c r="D633" s="17"/>
      <c r="E633" s="6"/>
      <c r="F633" s="6"/>
      <c r="G633" s="6"/>
      <c r="H633" s="6"/>
      <c r="I633" s="17"/>
      <c r="J633" s="6"/>
      <c r="K633" s="6"/>
      <c r="L633" s="17"/>
      <c r="M633" s="6"/>
      <c r="N633" s="6"/>
      <c r="O633" s="6"/>
      <c r="P633" s="6"/>
      <c r="Q633" s="6"/>
      <c r="R633" s="6"/>
      <c r="S633" s="6"/>
      <c r="T633" s="6"/>
      <c r="U633" s="6"/>
      <c r="V633" s="6"/>
      <c r="W633" s="6"/>
      <c r="X633" s="6"/>
      <c r="Y633" s="6"/>
      <c r="Z633" s="6"/>
      <c r="AA633" s="6"/>
      <c r="AB633" s="6"/>
      <c r="AC633" s="6"/>
      <c r="AD633" s="7"/>
    </row>
    <row r="634" spans="1:30" ht="13">
      <c r="A634" s="20"/>
      <c r="B634" s="20"/>
      <c r="C634" s="23"/>
      <c r="D634" s="17"/>
      <c r="E634" s="6"/>
      <c r="F634" s="6"/>
      <c r="G634" s="6"/>
      <c r="H634" s="6"/>
      <c r="I634" s="17"/>
      <c r="J634" s="6"/>
      <c r="K634" s="6"/>
      <c r="L634" s="17"/>
      <c r="M634" s="6"/>
      <c r="N634" s="6"/>
      <c r="O634" s="6"/>
      <c r="P634" s="6"/>
      <c r="Q634" s="6"/>
      <c r="R634" s="6"/>
      <c r="S634" s="6"/>
      <c r="T634" s="6"/>
      <c r="U634" s="6"/>
      <c r="V634" s="6"/>
      <c r="W634" s="6"/>
      <c r="X634" s="6"/>
      <c r="Y634" s="6"/>
      <c r="Z634" s="6"/>
      <c r="AA634" s="6"/>
      <c r="AB634" s="6"/>
      <c r="AC634" s="6"/>
      <c r="AD634" s="7"/>
    </row>
    <row r="635" spans="1:30" ht="13">
      <c r="A635" s="20"/>
      <c r="B635" s="20"/>
      <c r="C635" s="23"/>
      <c r="D635" s="17"/>
      <c r="E635" s="6"/>
      <c r="F635" s="6"/>
      <c r="G635" s="6"/>
      <c r="H635" s="6"/>
      <c r="I635" s="17"/>
      <c r="J635" s="6"/>
      <c r="K635" s="6"/>
      <c r="L635" s="17"/>
      <c r="M635" s="6"/>
      <c r="N635" s="6"/>
      <c r="O635" s="6"/>
      <c r="P635" s="6"/>
      <c r="Q635" s="6"/>
      <c r="R635" s="6"/>
      <c r="S635" s="6"/>
      <c r="T635" s="6"/>
      <c r="U635" s="6"/>
      <c r="V635" s="6"/>
      <c r="W635" s="6"/>
      <c r="X635" s="6"/>
      <c r="Y635" s="6"/>
      <c r="Z635" s="6"/>
      <c r="AA635" s="6"/>
      <c r="AB635" s="6"/>
      <c r="AC635" s="6"/>
      <c r="AD635" s="7"/>
    </row>
    <row r="636" spans="1:30" ht="13">
      <c r="A636" s="20"/>
      <c r="B636" s="20"/>
      <c r="C636" s="23"/>
      <c r="D636" s="17"/>
      <c r="E636" s="6"/>
      <c r="F636" s="6"/>
      <c r="G636" s="6"/>
      <c r="H636" s="6"/>
      <c r="I636" s="17"/>
      <c r="J636" s="6"/>
      <c r="K636" s="6"/>
      <c r="L636" s="17"/>
      <c r="M636" s="6"/>
      <c r="N636" s="6"/>
      <c r="O636" s="6"/>
      <c r="P636" s="6"/>
      <c r="Q636" s="6"/>
      <c r="R636" s="6"/>
      <c r="S636" s="6"/>
      <c r="T636" s="6"/>
      <c r="U636" s="6"/>
      <c r="V636" s="6"/>
      <c r="W636" s="6"/>
      <c r="X636" s="6"/>
      <c r="Y636" s="6"/>
      <c r="Z636" s="6"/>
      <c r="AA636" s="6"/>
      <c r="AB636" s="6"/>
      <c r="AC636" s="6"/>
      <c r="AD636" s="7"/>
    </row>
    <row r="637" spans="1:30" ht="13">
      <c r="A637" s="20"/>
      <c r="B637" s="20"/>
      <c r="C637" s="23"/>
      <c r="D637" s="17"/>
      <c r="E637" s="6"/>
      <c r="F637" s="6"/>
      <c r="G637" s="6"/>
      <c r="H637" s="6"/>
      <c r="I637" s="17"/>
      <c r="J637" s="6"/>
      <c r="K637" s="6"/>
      <c r="L637" s="17"/>
      <c r="M637" s="6"/>
      <c r="N637" s="6"/>
      <c r="O637" s="6"/>
      <c r="P637" s="6"/>
      <c r="Q637" s="6"/>
      <c r="R637" s="6"/>
      <c r="S637" s="6"/>
      <c r="T637" s="6"/>
      <c r="U637" s="6"/>
      <c r="V637" s="6"/>
      <c r="W637" s="6"/>
      <c r="X637" s="6"/>
      <c r="Y637" s="6"/>
      <c r="Z637" s="6"/>
      <c r="AA637" s="6"/>
      <c r="AB637" s="6"/>
      <c r="AC637" s="6"/>
      <c r="AD637" s="7"/>
    </row>
    <row r="638" spans="1:30" ht="13">
      <c r="A638" s="20"/>
      <c r="B638" s="20"/>
      <c r="C638" s="23"/>
      <c r="D638" s="17"/>
      <c r="E638" s="6"/>
      <c r="F638" s="6"/>
      <c r="G638" s="6"/>
      <c r="H638" s="6"/>
      <c r="I638" s="17"/>
      <c r="J638" s="6"/>
      <c r="K638" s="6"/>
      <c r="L638" s="17"/>
      <c r="M638" s="6"/>
      <c r="N638" s="6"/>
      <c r="O638" s="6"/>
      <c r="P638" s="6"/>
      <c r="Q638" s="6"/>
      <c r="R638" s="6"/>
      <c r="S638" s="6"/>
      <c r="T638" s="6"/>
      <c r="U638" s="6"/>
      <c r="V638" s="6"/>
      <c r="W638" s="6"/>
      <c r="X638" s="6"/>
      <c r="Y638" s="6"/>
      <c r="Z638" s="6"/>
      <c r="AA638" s="6"/>
      <c r="AB638" s="6"/>
      <c r="AC638" s="6"/>
      <c r="AD638" s="7"/>
    </row>
    <row r="639" spans="1:30" ht="13">
      <c r="A639" s="20"/>
      <c r="B639" s="20"/>
      <c r="C639" s="23"/>
      <c r="D639" s="17"/>
      <c r="E639" s="6"/>
      <c r="F639" s="6"/>
      <c r="G639" s="6"/>
      <c r="H639" s="6"/>
      <c r="I639" s="17"/>
      <c r="J639" s="6"/>
      <c r="K639" s="6"/>
      <c r="L639" s="17"/>
      <c r="M639" s="6"/>
      <c r="N639" s="6"/>
      <c r="O639" s="6"/>
      <c r="P639" s="6"/>
      <c r="Q639" s="6"/>
      <c r="R639" s="6"/>
      <c r="S639" s="6"/>
      <c r="T639" s="6"/>
      <c r="U639" s="6"/>
      <c r="V639" s="6"/>
      <c r="W639" s="6"/>
      <c r="X639" s="6"/>
      <c r="Y639" s="6"/>
      <c r="Z639" s="6"/>
      <c r="AA639" s="6"/>
      <c r="AB639" s="6"/>
      <c r="AC639" s="6"/>
      <c r="AD639" s="7"/>
    </row>
    <row r="640" spans="1:30" ht="13">
      <c r="A640" s="20"/>
      <c r="B640" s="20"/>
      <c r="C640" s="23"/>
      <c r="D640" s="17"/>
      <c r="E640" s="6"/>
      <c r="F640" s="6"/>
      <c r="G640" s="6"/>
      <c r="H640" s="6"/>
      <c r="I640" s="17"/>
      <c r="J640" s="6"/>
      <c r="K640" s="6"/>
      <c r="L640" s="17"/>
      <c r="M640" s="6"/>
      <c r="N640" s="6"/>
      <c r="O640" s="6"/>
      <c r="P640" s="6"/>
      <c r="Q640" s="6"/>
      <c r="R640" s="6"/>
      <c r="S640" s="6"/>
      <c r="T640" s="6"/>
      <c r="U640" s="6"/>
      <c r="V640" s="6"/>
      <c r="W640" s="6"/>
      <c r="X640" s="6"/>
      <c r="Y640" s="6"/>
      <c r="Z640" s="6"/>
      <c r="AA640" s="6"/>
      <c r="AB640" s="6"/>
      <c r="AC640" s="6"/>
      <c r="AD640" s="7"/>
    </row>
    <row r="641" spans="1:30" ht="13">
      <c r="A641" s="20"/>
      <c r="B641" s="20"/>
      <c r="C641" s="23"/>
      <c r="D641" s="17"/>
      <c r="E641" s="6"/>
      <c r="F641" s="6"/>
      <c r="G641" s="6"/>
      <c r="H641" s="6"/>
      <c r="I641" s="17"/>
      <c r="J641" s="6"/>
      <c r="K641" s="6"/>
      <c r="L641" s="17"/>
      <c r="M641" s="6"/>
      <c r="N641" s="6"/>
      <c r="O641" s="6"/>
      <c r="P641" s="6"/>
      <c r="Q641" s="6"/>
      <c r="R641" s="6"/>
      <c r="S641" s="6"/>
      <c r="T641" s="6"/>
      <c r="U641" s="6"/>
      <c r="V641" s="6"/>
      <c r="W641" s="6"/>
      <c r="X641" s="6"/>
      <c r="Y641" s="6"/>
      <c r="Z641" s="6"/>
      <c r="AA641" s="6"/>
      <c r="AB641" s="6"/>
      <c r="AC641" s="6"/>
      <c r="AD641" s="7"/>
    </row>
    <row r="642" spans="1:30" ht="13">
      <c r="A642" s="20"/>
      <c r="B642" s="20"/>
      <c r="C642" s="23"/>
      <c r="D642" s="17"/>
      <c r="E642" s="6"/>
      <c r="F642" s="6"/>
      <c r="G642" s="6"/>
      <c r="H642" s="6"/>
      <c r="I642" s="17"/>
      <c r="J642" s="6"/>
      <c r="K642" s="6"/>
      <c r="L642" s="17"/>
      <c r="M642" s="6"/>
      <c r="N642" s="6"/>
      <c r="O642" s="6"/>
      <c r="P642" s="6"/>
      <c r="Q642" s="6"/>
      <c r="R642" s="6"/>
      <c r="S642" s="6"/>
      <c r="T642" s="6"/>
      <c r="U642" s="6"/>
      <c r="V642" s="6"/>
      <c r="W642" s="6"/>
      <c r="X642" s="6"/>
      <c r="Y642" s="6"/>
      <c r="Z642" s="6"/>
      <c r="AA642" s="6"/>
      <c r="AB642" s="6"/>
      <c r="AC642" s="6"/>
      <c r="AD642" s="7"/>
    </row>
    <row r="643" spans="1:30" ht="13">
      <c r="A643" s="20"/>
      <c r="B643" s="20"/>
      <c r="C643" s="23"/>
      <c r="D643" s="17"/>
      <c r="E643" s="6"/>
      <c r="F643" s="6"/>
      <c r="G643" s="6"/>
      <c r="H643" s="6"/>
      <c r="I643" s="17"/>
      <c r="J643" s="6"/>
      <c r="K643" s="6"/>
      <c r="L643" s="17"/>
      <c r="M643" s="6"/>
      <c r="N643" s="6"/>
      <c r="O643" s="6"/>
      <c r="P643" s="6"/>
      <c r="Q643" s="6"/>
      <c r="R643" s="6"/>
      <c r="S643" s="6"/>
      <c r="T643" s="6"/>
      <c r="U643" s="6"/>
      <c r="V643" s="6"/>
      <c r="W643" s="6"/>
      <c r="X643" s="6"/>
      <c r="Y643" s="6"/>
      <c r="Z643" s="6"/>
      <c r="AA643" s="6"/>
      <c r="AB643" s="6"/>
      <c r="AC643" s="6"/>
      <c r="AD643" s="7"/>
    </row>
    <row r="644" spans="1:30" ht="13">
      <c r="A644" s="20"/>
      <c r="B644" s="20"/>
      <c r="C644" s="23"/>
      <c r="D644" s="17"/>
      <c r="E644" s="6"/>
      <c r="F644" s="6"/>
      <c r="G644" s="6"/>
      <c r="H644" s="6"/>
      <c r="I644" s="17"/>
      <c r="J644" s="6"/>
      <c r="K644" s="6"/>
      <c r="L644" s="17"/>
      <c r="M644" s="6"/>
      <c r="N644" s="6"/>
      <c r="O644" s="6"/>
      <c r="P644" s="6"/>
      <c r="Q644" s="6"/>
      <c r="R644" s="6"/>
      <c r="S644" s="6"/>
      <c r="T644" s="6"/>
      <c r="U644" s="6"/>
      <c r="V644" s="6"/>
      <c r="W644" s="6"/>
      <c r="X644" s="6"/>
      <c r="Y644" s="6"/>
      <c r="Z644" s="6"/>
      <c r="AA644" s="6"/>
      <c r="AB644" s="6"/>
      <c r="AC644" s="6"/>
      <c r="AD644" s="7"/>
    </row>
    <row r="645" spans="1:30" ht="13">
      <c r="A645" s="20"/>
      <c r="B645" s="20"/>
      <c r="C645" s="23"/>
      <c r="D645" s="17"/>
      <c r="E645" s="6"/>
      <c r="F645" s="6"/>
      <c r="G645" s="6"/>
      <c r="H645" s="6"/>
      <c r="I645" s="17"/>
      <c r="J645" s="6"/>
      <c r="K645" s="6"/>
      <c r="L645" s="17"/>
      <c r="M645" s="6"/>
      <c r="N645" s="6"/>
      <c r="O645" s="6"/>
      <c r="P645" s="6"/>
      <c r="Q645" s="6"/>
      <c r="R645" s="6"/>
      <c r="S645" s="6"/>
      <c r="T645" s="6"/>
      <c r="U645" s="6"/>
      <c r="V645" s="6"/>
      <c r="W645" s="6"/>
      <c r="X645" s="6"/>
      <c r="Y645" s="6"/>
      <c r="Z645" s="6"/>
      <c r="AA645" s="6"/>
      <c r="AB645" s="6"/>
      <c r="AC645" s="6"/>
      <c r="AD645" s="7"/>
    </row>
    <row r="646" spans="1:30" ht="13">
      <c r="A646" s="20"/>
      <c r="B646" s="20"/>
      <c r="C646" s="23"/>
      <c r="D646" s="17"/>
      <c r="E646" s="6"/>
      <c r="F646" s="6"/>
      <c r="G646" s="6"/>
      <c r="H646" s="6"/>
      <c r="I646" s="17"/>
      <c r="J646" s="6"/>
      <c r="K646" s="6"/>
      <c r="L646" s="17"/>
      <c r="M646" s="6"/>
      <c r="N646" s="6"/>
      <c r="O646" s="6"/>
      <c r="P646" s="6"/>
      <c r="Q646" s="6"/>
      <c r="R646" s="6"/>
      <c r="S646" s="6"/>
      <c r="T646" s="6"/>
      <c r="U646" s="6"/>
      <c r="V646" s="6"/>
      <c r="W646" s="6"/>
      <c r="X646" s="6"/>
      <c r="Y646" s="6"/>
      <c r="Z646" s="6"/>
      <c r="AA646" s="6"/>
      <c r="AB646" s="6"/>
      <c r="AC646" s="6"/>
      <c r="AD646" s="7"/>
    </row>
    <row r="647" spans="1:30" ht="13">
      <c r="A647" s="20"/>
      <c r="B647" s="20"/>
      <c r="C647" s="23"/>
      <c r="D647" s="17"/>
      <c r="E647" s="6"/>
      <c r="F647" s="6"/>
      <c r="G647" s="6"/>
      <c r="H647" s="6"/>
      <c r="I647" s="17"/>
      <c r="J647" s="6"/>
      <c r="K647" s="6"/>
      <c r="L647" s="17"/>
      <c r="M647" s="6"/>
      <c r="N647" s="6"/>
      <c r="O647" s="6"/>
      <c r="P647" s="6"/>
      <c r="Q647" s="6"/>
      <c r="R647" s="6"/>
      <c r="S647" s="6"/>
      <c r="T647" s="6"/>
      <c r="U647" s="6"/>
      <c r="V647" s="6"/>
      <c r="W647" s="6"/>
      <c r="X647" s="6"/>
      <c r="Y647" s="6"/>
      <c r="Z647" s="6"/>
      <c r="AA647" s="6"/>
      <c r="AB647" s="6"/>
      <c r="AC647" s="6"/>
      <c r="AD647" s="7"/>
    </row>
    <row r="648" spans="1:30" ht="13">
      <c r="A648" s="20"/>
      <c r="B648" s="20"/>
      <c r="C648" s="23"/>
      <c r="D648" s="17"/>
      <c r="E648" s="6"/>
      <c r="F648" s="6"/>
      <c r="G648" s="6"/>
      <c r="H648" s="6"/>
      <c r="I648" s="17"/>
      <c r="J648" s="6"/>
      <c r="K648" s="6"/>
      <c r="L648" s="17"/>
      <c r="M648" s="6"/>
      <c r="N648" s="6"/>
      <c r="O648" s="6"/>
      <c r="P648" s="6"/>
      <c r="Q648" s="6"/>
      <c r="R648" s="6"/>
      <c r="S648" s="6"/>
      <c r="T648" s="6"/>
      <c r="U648" s="6"/>
      <c r="V648" s="6"/>
      <c r="W648" s="6"/>
      <c r="X648" s="6"/>
      <c r="Y648" s="6"/>
      <c r="Z648" s="6"/>
      <c r="AA648" s="6"/>
      <c r="AB648" s="6"/>
      <c r="AC648" s="6"/>
      <c r="AD648" s="7"/>
    </row>
    <row r="649" spans="1:30" ht="13">
      <c r="A649" s="20"/>
      <c r="B649" s="20"/>
      <c r="C649" s="23"/>
      <c r="D649" s="17"/>
      <c r="E649" s="6"/>
      <c r="F649" s="6"/>
      <c r="G649" s="6"/>
      <c r="H649" s="6"/>
      <c r="I649" s="17"/>
      <c r="J649" s="6"/>
      <c r="K649" s="6"/>
      <c r="L649" s="17"/>
      <c r="M649" s="6"/>
      <c r="N649" s="6"/>
      <c r="O649" s="6"/>
      <c r="P649" s="6"/>
      <c r="Q649" s="6"/>
      <c r="R649" s="6"/>
      <c r="S649" s="6"/>
      <c r="T649" s="6"/>
      <c r="U649" s="6"/>
      <c r="V649" s="6"/>
      <c r="W649" s="6"/>
      <c r="X649" s="6"/>
      <c r="Y649" s="6"/>
      <c r="Z649" s="6"/>
      <c r="AA649" s="6"/>
      <c r="AB649" s="6"/>
      <c r="AC649" s="6"/>
      <c r="AD649" s="7"/>
    </row>
    <row r="650" spans="1:30" ht="13">
      <c r="A650" s="20"/>
      <c r="B650" s="20"/>
      <c r="C650" s="23"/>
      <c r="D650" s="17"/>
      <c r="E650" s="6"/>
      <c r="F650" s="6"/>
      <c r="G650" s="6"/>
      <c r="H650" s="6"/>
      <c r="I650" s="17"/>
      <c r="J650" s="6"/>
      <c r="K650" s="6"/>
      <c r="L650" s="17"/>
      <c r="M650" s="6"/>
      <c r="N650" s="6"/>
      <c r="O650" s="6"/>
      <c r="P650" s="6"/>
      <c r="Q650" s="6"/>
      <c r="R650" s="6"/>
      <c r="S650" s="6"/>
      <c r="T650" s="6"/>
      <c r="U650" s="6"/>
      <c r="V650" s="6"/>
      <c r="W650" s="6"/>
      <c r="X650" s="6"/>
      <c r="Y650" s="6"/>
      <c r="Z650" s="6"/>
      <c r="AA650" s="6"/>
      <c r="AB650" s="6"/>
      <c r="AC650" s="6"/>
      <c r="AD650" s="7"/>
    </row>
    <row r="651" spans="1:30" ht="13">
      <c r="A651" s="20"/>
      <c r="B651" s="20"/>
      <c r="C651" s="23"/>
      <c r="D651" s="17"/>
      <c r="E651" s="6"/>
      <c r="F651" s="6"/>
      <c r="G651" s="6"/>
      <c r="H651" s="6"/>
      <c r="I651" s="17"/>
      <c r="J651" s="6"/>
      <c r="K651" s="6"/>
      <c r="L651" s="17"/>
      <c r="M651" s="6"/>
      <c r="N651" s="6"/>
      <c r="O651" s="6"/>
      <c r="P651" s="6"/>
      <c r="Q651" s="6"/>
      <c r="R651" s="6"/>
      <c r="S651" s="6"/>
      <c r="T651" s="6"/>
      <c r="U651" s="6"/>
      <c r="V651" s="6"/>
      <c r="W651" s="6"/>
      <c r="X651" s="6"/>
      <c r="Y651" s="6"/>
      <c r="Z651" s="6"/>
      <c r="AA651" s="6"/>
      <c r="AB651" s="6"/>
      <c r="AC651" s="6"/>
      <c r="AD651" s="7"/>
    </row>
    <row r="652" spans="1:30" ht="13">
      <c r="A652" s="20"/>
      <c r="B652" s="20"/>
      <c r="C652" s="23"/>
      <c r="D652" s="17"/>
      <c r="E652" s="6"/>
      <c r="F652" s="6"/>
      <c r="G652" s="6"/>
      <c r="H652" s="6"/>
      <c r="I652" s="17"/>
      <c r="J652" s="6"/>
      <c r="K652" s="6"/>
      <c r="L652" s="17"/>
      <c r="M652" s="6"/>
      <c r="N652" s="6"/>
      <c r="O652" s="6"/>
      <c r="P652" s="6"/>
      <c r="Q652" s="6"/>
      <c r="R652" s="6"/>
      <c r="S652" s="6"/>
      <c r="T652" s="6"/>
      <c r="U652" s="6"/>
      <c r="V652" s="6"/>
      <c r="W652" s="6"/>
      <c r="X652" s="6"/>
      <c r="Y652" s="6"/>
      <c r="Z652" s="6"/>
      <c r="AA652" s="6"/>
      <c r="AB652" s="6"/>
      <c r="AC652" s="6"/>
      <c r="AD652" s="7"/>
    </row>
    <row r="653" spans="1:30" ht="13">
      <c r="A653" s="20"/>
      <c r="B653" s="20"/>
      <c r="C653" s="23"/>
      <c r="D653" s="17"/>
      <c r="E653" s="6"/>
      <c r="F653" s="6"/>
      <c r="G653" s="6"/>
      <c r="H653" s="6"/>
      <c r="I653" s="17"/>
      <c r="J653" s="6"/>
      <c r="K653" s="6"/>
      <c r="L653" s="17"/>
      <c r="M653" s="6"/>
      <c r="N653" s="6"/>
      <c r="O653" s="6"/>
      <c r="P653" s="6"/>
      <c r="Q653" s="6"/>
      <c r="R653" s="6"/>
      <c r="S653" s="6"/>
      <c r="T653" s="6"/>
      <c r="U653" s="6"/>
      <c r="V653" s="6"/>
      <c r="W653" s="6"/>
      <c r="X653" s="6"/>
      <c r="Y653" s="6"/>
      <c r="Z653" s="6"/>
      <c r="AA653" s="6"/>
      <c r="AB653" s="6"/>
      <c r="AC653" s="6"/>
      <c r="AD653" s="7"/>
    </row>
    <row r="654" spans="1:30" ht="13">
      <c r="A654" s="20"/>
      <c r="B654" s="20"/>
      <c r="C654" s="23"/>
      <c r="D654" s="17"/>
      <c r="E654" s="6"/>
      <c r="F654" s="6"/>
      <c r="G654" s="6"/>
      <c r="H654" s="6"/>
      <c r="I654" s="17"/>
      <c r="J654" s="6"/>
      <c r="K654" s="6"/>
      <c r="L654" s="17"/>
      <c r="M654" s="6"/>
      <c r="N654" s="6"/>
      <c r="O654" s="6"/>
      <c r="P654" s="6"/>
      <c r="Q654" s="6"/>
      <c r="R654" s="6"/>
      <c r="S654" s="6"/>
      <c r="T654" s="6"/>
      <c r="U654" s="6"/>
      <c r="V654" s="6"/>
      <c r="W654" s="6"/>
      <c r="X654" s="6"/>
      <c r="Y654" s="6"/>
      <c r="Z654" s="6"/>
      <c r="AA654" s="6"/>
      <c r="AB654" s="6"/>
      <c r="AC654" s="6"/>
      <c r="AD654" s="7"/>
    </row>
    <row r="655" spans="1:30" ht="13">
      <c r="A655" s="20"/>
      <c r="B655" s="20"/>
      <c r="C655" s="23"/>
      <c r="D655" s="17"/>
      <c r="E655" s="6"/>
      <c r="F655" s="6"/>
      <c r="G655" s="6"/>
      <c r="H655" s="6"/>
      <c r="I655" s="17"/>
      <c r="J655" s="6"/>
      <c r="K655" s="6"/>
      <c r="L655" s="17"/>
      <c r="M655" s="6"/>
      <c r="N655" s="6"/>
      <c r="O655" s="6"/>
      <c r="P655" s="6"/>
      <c r="Q655" s="6"/>
      <c r="R655" s="6"/>
      <c r="S655" s="6"/>
      <c r="T655" s="6"/>
      <c r="U655" s="6"/>
      <c r="V655" s="6"/>
      <c r="W655" s="6"/>
      <c r="X655" s="6"/>
      <c r="Y655" s="6"/>
      <c r="Z655" s="6"/>
      <c r="AA655" s="6"/>
      <c r="AB655" s="6"/>
      <c r="AC655" s="6"/>
      <c r="AD655" s="7"/>
    </row>
    <row r="656" spans="1:30" ht="13">
      <c r="A656" s="20"/>
      <c r="B656" s="20"/>
      <c r="C656" s="23"/>
      <c r="D656" s="17"/>
      <c r="E656" s="6"/>
      <c r="F656" s="6"/>
      <c r="G656" s="6"/>
      <c r="H656" s="6"/>
      <c r="I656" s="17"/>
      <c r="J656" s="6"/>
      <c r="K656" s="6"/>
      <c r="L656" s="17"/>
      <c r="M656" s="6"/>
      <c r="N656" s="6"/>
      <c r="O656" s="6"/>
      <c r="P656" s="6"/>
      <c r="Q656" s="6"/>
      <c r="R656" s="6"/>
      <c r="S656" s="6"/>
      <c r="T656" s="6"/>
      <c r="U656" s="6"/>
      <c r="V656" s="6"/>
      <c r="W656" s="6"/>
      <c r="X656" s="6"/>
      <c r="Y656" s="6"/>
      <c r="Z656" s="6"/>
      <c r="AA656" s="6"/>
      <c r="AB656" s="6"/>
      <c r="AC656" s="6"/>
      <c r="AD656" s="7"/>
    </row>
    <row r="657" spans="1:30" ht="13">
      <c r="A657" s="20"/>
      <c r="B657" s="20"/>
      <c r="C657" s="23"/>
      <c r="D657" s="17"/>
      <c r="E657" s="6"/>
      <c r="F657" s="6"/>
      <c r="G657" s="6"/>
      <c r="H657" s="6"/>
      <c r="I657" s="17"/>
      <c r="J657" s="6"/>
      <c r="K657" s="6"/>
      <c r="L657" s="17"/>
      <c r="M657" s="6"/>
      <c r="N657" s="6"/>
      <c r="O657" s="6"/>
      <c r="P657" s="6"/>
      <c r="Q657" s="6"/>
      <c r="R657" s="6"/>
      <c r="S657" s="6"/>
      <c r="T657" s="6"/>
      <c r="U657" s="6"/>
      <c r="V657" s="6"/>
      <c r="W657" s="6"/>
      <c r="X657" s="6"/>
      <c r="Y657" s="6"/>
      <c r="Z657" s="6"/>
      <c r="AA657" s="6"/>
      <c r="AB657" s="6"/>
      <c r="AC657" s="6"/>
      <c r="AD657" s="7"/>
    </row>
    <row r="658" spans="1:30" ht="13">
      <c r="A658" s="20"/>
      <c r="B658" s="20"/>
      <c r="C658" s="23"/>
      <c r="D658" s="17"/>
      <c r="E658" s="6"/>
      <c r="F658" s="6"/>
      <c r="G658" s="6"/>
      <c r="H658" s="6"/>
      <c r="I658" s="17"/>
      <c r="J658" s="6"/>
      <c r="K658" s="6"/>
      <c r="L658" s="17"/>
      <c r="M658" s="6"/>
      <c r="N658" s="6"/>
      <c r="O658" s="6"/>
      <c r="P658" s="6"/>
      <c r="Q658" s="6"/>
      <c r="R658" s="6"/>
      <c r="S658" s="6"/>
      <c r="T658" s="6"/>
      <c r="U658" s="6"/>
      <c r="V658" s="6"/>
      <c r="W658" s="6"/>
      <c r="X658" s="6"/>
      <c r="Y658" s="6"/>
      <c r="Z658" s="6"/>
      <c r="AA658" s="6"/>
      <c r="AB658" s="6"/>
      <c r="AC658" s="6"/>
      <c r="AD658" s="7"/>
    </row>
    <row r="659" spans="1:30" ht="13">
      <c r="A659" s="20"/>
      <c r="B659" s="20"/>
      <c r="C659" s="23"/>
      <c r="D659" s="17"/>
      <c r="E659" s="6"/>
      <c r="F659" s="6"/>
      <c r="G659" s="6"/>
      <c r="H659" s="6"/>
      <c r="I659" s="17"/>
      <c r="J659" s="6"/>
      <c r="K659" s="6"/>
      <c r="L659" s="17"/>
      <c r="M659" s="6"/>
      <c r="N659" s="6"/>
      <c r="O659" s="6"/>
      <c r="P659" s="6"/>
      <c r="Q659" s="6"/>
      <c r="R659" s="6"/>
      <c r="S659" s="6"/>
      <c r="T659" s="6"/>
      <c r="U659" s="6"/>
      <c r="V659" s="6"/>
      <c r="W659" s="6"/>
      <c r="X659" s="6"/>
      <c r="Y659" s="6"/>
      <c r="Z659" s="6"/>
      <c r="AA659" s="6"/>
      <c r="AB659" s="6"/>
      <c r="AC659" s="6"/>
      <c r="AD659" s="7"/>
    </row>
    <row r="660" spans="1:30" ht="13">
      <c r="A660" s="20"/>
      <c r="B660" s="20"/>
      <c r="C660" s="23"/>
      <c r="D660" s="17"/>
      <c r="E660" s="6"/>
      <c r="F660" s="6"/>
      <c r="G660" s="6"/>
      <c r="H660" s="6"/>
      <c r="I660" s="17"/>
      <c r="J660" s="6"/>
      <c r="K660" s="6"/>
      <c r="L660" s="17"/>
      <c r="M660" s="6"/>
      <c r="N660" s="6"/>
      <c r="O660" s="6"/>
      <c r="P660" s="6"/>
      <c r="Q660" s="6"/>
      <c r="R660" s="6"/>
      <c r="S660" s="6"/>
      <c r="T660" s="6"/>
      <c r="U660" s="6"/>
      <c r="V660" s="6"/>
      <c r="W660" s="6"/>
      <c r="X660" s="6"/>
      <c r="Y660" s="6"/>
      <c r="Z660" s="6"/>
      <c r="AA660" s="6"/>
      <c r="AB660" s="6"/>
      <c r="AC660" s="6"/>
      <c r="AD660" s="7"/>
    </row>
    <row r="661" spans="1:30" ht="13">
      <c r="A661" s="20"/>
      <c r="B661" s="20"/>
      <c r="C661" s="23"/>
      <c r="D661" s="17"/>
      <c r="E661" s="6"/>
      <c r="F661" s="6"/>
      <c r="G661" s="6"/>
      <c r="H661" s="6"/>
      <c r="I661" s="17"/>
      <c r="J661" s="6"/>
      <c r="K661" s="6"/>
      <c r="L661" s="17"/>
      <c r="M661" s="6"/>
      <c r="N661" s="6"/>
      <c r="O661" s="6"/>
      <c r="P661" s="6"/>
      <c r="Q661" s="6"/>
      <c r="R661" s="6"/>
      <c r="S661" s="6"/>
      <c r="T661" s="6"/>
      <c r="U661" s="6"/>
      <c r="V661" s="6"/>
      <c r="W661" s="6"/>
      <c r="X661" s="6"/>
      <c r="Y661" s="6"/>
      <c r="Z661" s="6"/>
      <c r="AA661" s="6"/>
      <c r="AB661" s="6"/>
      <c r="AC661" s="6"/>
      <c r="AD661" s="7"/>
    </row>
    <row r="662" spans="1:30" ht="13">
      <c r="A662" s="20"/>
      <c r="B662" s="20"/>
      <c r="C662" s="23"/>
      <c r="D662" s="17"/>
      <c r="E662" s="6"/>
      <c r="F662" s="6"/>
      <c r="G662" s="6"/>
      <c r="H662" s="6"/>
      <c r="I662" s="17"/>
      <c r="J662" s="6"/>
      <c r="K662" s="6"/>
      <c r="L662" s="17"/>
      <c r="M662" s="6"/>
      <c r="N662" s="6"/>
      <c r="O662" s="6"/>
      <c r="P662" s="6"/>
      <c r="Q662" s="6"/>
      <c r="R662" s="6"/>
      <c r="S662" s="6"/>
      <c r="T662" s="6"/>
      <c r="U662" s="6"/>
      <c r="V662" s="6"/>
      <c r="W662" s="6"/>
      <c r="X662" s="6"/>
      <c r="Y662" s="6"/>
      <c r="Z662" s="6"/>
      <c r="AA662" s="6"/>
      <c r="AB662" s="6"/>
      <c r="AC662" s="6"/>
      <c r="AD662" s="7"/>
    </row>
    <row r="663" spans="1:30" ht="13">
      <c r="A663" s="20"/>
      <c r="B663" s="20"/>
      <c r="C663" s="23"/>
      <c r="D663" s="17"/>
      <c r="E663" s="6"/>
      <c r="F663" s="6"/>
      <c r="G663" s="6"/>
      <c r="H663" s="6"/>
      <c r="I663" s="17"/>
      <c r="J663" s="6"/>
      <c r="K663" s="6"/>
      <c r="L663" s="17"/>
      <c r="M663" s="6"/>
      <c r="N663" s="6"/>
      <c r="O663" s="6"/>
      <c r="P663" s="6"/>
      <c r="Q663" s="6"/>
      <c r="R663" s="6"/>
      <c r="S663" s="6"/>
      <c r="T663" s="6"/>
      <c r="U663" s="6"/>
      <c r="V663" s="6"/>
      <c r="W663" s="6"/>
      <c r="X663" s="6"/>
      <c r="Y663" s="6"/>
      <c r="Z663" s="6"/>
      <c r="AA663" s="6"/>
      <c r="AB663" s="6"/>
      <c r="AC663" s="6"/>
      <c r="AD663" s="7"/>
    </row>
    <row r="664" spans="1:30" ht="13">
      <c r="A664" s="20"/>
      <c r="B664" s="20"/>
      <c r="C664" s="23"/>
      <c r="D664" s="17"/>
      <c r="E664" s="6"/>
      <c r="F664" s="6"/>
      <c r="G664" s="6"/>
      <c r="H664" s="6"/>
      <c r="I664" s="17"/>
      <c r="J664" s="6"/>
      <c r="K664" s="6"/>
      <c r="L664" s="17"/>
      <c r="M664" s="6"/>
      <c r="N664" s="6"/>
      <c r="O664" s="6"/>
      <c r="P664" s="6"/>
      <c r="Q664" s="6"/>
      <c r="R664" s="6"/>
      <c r="S664" s="6"/>
      <c r="T664" s="6"/>
      <c r="U664" s="6"/>
      <c r="V664" s="6"/>
      <c r="W664" s="6"/>
      <c r="X664" s="6"/>
      <c r="Y664" s="6"/>
      <c r="Z664" s="6"/>
      <c r="AA664" s="6"/>
      <c r="AB664" s="6"/>
      <c r="AC664" s="6"/>
      <c r="AD664" s="7"/>
    </row>
    <row r="665" spans="1:30" ht="13">
      <c r="A665" s="20"/>
      <c r="B665" s="20"/>
      <c r="C665" s="23"/>
      <c r="D665" s="17"/>
      <c r="E665" s="6"/>
      <c r="F665" s="6"/>
      <c r="G665" s="6"/>
      <c r="H665" s="6"/>
      <c r="I665" s="17"/>
      <c r="J665" s="6"/>
      <c r="K665" s="6"/>
      <c r="L665" s="17"/>
      <c r="M665" s="6"/>
      <c r="N665" s="6"/>
      <c r="O665" s="6"/>
      <c r="P665" s="6"/>
      <c r="Q665" s="6"/>
      <c r="R665" s="6"/>
      <c r="S665" s="6"/>
      <c r="T665" s="6"/>
      <c r="U665" s="6"/>
      <c r="V665" s="6"/>
      <c r="W665" s="6"/>
      <c r="X665" s="6"/>
      <c r="Y665" s="6"/>
      <c r="Z665" s="6"/>
      <c r="AA665" s="6"/>
      <c r="AB665" s="6"/>
      <c r="AC665" s="6"/>
      <c r="AD665" s="7"/>
    </row>
    <row r="666" spans="1:30" ht="13">
      <c r="A666" s="20"/>
      <c r="B666" s="20"/>
      <c r="C666" s="23"/>
      <c r="D666" s="17"/>
      <c r="E666" s="6"/>
      <c r="F666" s="6"/>
      <c r="G666" s="6"/>
      <c r="H666" s="6"/>
      <c r="I666" s="17"/>
      <c r="J666" s="6"/>
      <c r="K666" s="6"/>
      <c r="L666" s="17"/>
      <c r="M666" s="6"/>
      <c r="N666" s="6"/>
      <c r="O666" s="6"/>
      <c r="P666" s="6"/>
      <c r="Q666" s="6"/>
      <c r="R666" s="6"/>
      <c r="S666" s="6"/>
      <c r="T666" s="6"/>
      <c r="U666" s="6"/>
      <c r="V666" s="6"/>
      <c r="W666" s="6"/>
      <c r="X666" s="6"/>
      <c r="Y666" s="6"/>
      <c r="Z666" s="6"/>
      <c r="AA666" s="6"/>
      <c r="AB666" s="6"/>
      <c r="AC666" s="6"/>
      <c r="AD666" s="7"/>
    </row>
    <row r="667" spans="1:30" ht="13">
      <c r="A667" s="20"/>
      <c r="B667" s="20"/>
      <c r="C667" s="23"/>
      <c r="D667" s="17"/>
      <c r="E667" s="6"/>
      <c r="F667" s="6"/>
      <c r="G667" s="6"/>
      <c r="H667" s="6"/>
      <c r="I667" s="17"/>
      <c r="J667" s="6"/>
      <c r="K667" s="6"/>
      <c r="L667" s="17"/>
      <c r="M667" s="6"/>
      <c r="N667" s="6"/>
      <c r="O667" s="6"/>
      <c r="P667" s="6"/>
      <c r="Q667" s="6"/>
      <c r="R667" s="6"/>
      <c r="S667" s="6"/>
      <c r="T667" s="6"/>
      <c r="U667" s="6"/>
      <c r="V667" s="6"/>
      <c r="W667" s="6"/>
      <c r="X667" s="6"/>
      <c r="Y667" s="6"/>
      <c r="Z667" s="6"/>
      <c r="AA667" s="6"/>
      <c r="AB667" s="6"/>
      <c r="AC667" s="6"/>
      <c r="AD667" s="7"/>
    </row>
    <row r="668" spans="1:30" ht="13">
      <c r="A668" s="20"/>
      <c r="B668" s="20"/>
      <c r="C668" s="23"/>
      <c r="D668" s="17"/>
      <c r="E668" s="6"/>
      <c r="F668" s="6"/>
      <c r="G668" s="6"/>
      <c r="H668" s="6"/>
      <c r="I668" s="17"/>
      <c r="J668" s="6"/>
      <c r="K668" s="6"/>
      <c r="L668" s="17"/>
      <c r="M668" s="6"/>
      <c r="N668" s="6"/>
      <c r="O668" s="6"/>
      <c r="P668" s="6"/>
      <c r="Q668" s="6"/>
      <c r="R668" s="6"/>
      <c r="S668" s="6"/>
      <c r="T668" s="6"/>
      <c r="U668" s="6"/>
      <c r="V668" s="6"/>
      <c r="W668" s="6"/>
      <c r="X668" s="6"/>
      <c r="Y668" s="6"/>
      <c r="Z668" s="6"/>
      <c r="AA668" s="6"/>
      <c r="AB668" s="6"/>
      <c r="AC668" s="6"/>
      <c r="AD668" s="7"/>
    </row>
    <row r="669" spans="1:30" ht="13">
      <c r="A669" s="20"/>
      <c r="B669" s="20"/>
      <c r="C669" s="23"/>
      <c r="D669" s="17"/>
      <c r="E669" s="6"/>
      <c r="F669" s="6"/>
      <c r="G669" s="6"/>
      <c r="H669" s="6"/>
      <c r="I669" s="17"/>
      <c r="J669" s="6"/>
      <c r="K669" s="6"/>
      <c r="L669" s="17"/>
      <c r="M669" s="6"/>
      <c r="N669" s="6"/>
      <c r="O669" s="6"/>
      <c r="P669" s="6"/>
      <c r="Q669" s="6"/>
      <c r="R669" s="6"/>
      <c r="S669" s="6"/>
      <c r="T669" s="6"/>
      <c r="U669" s="6"/>
      <c r="V669" s="6"/>
      <c r="W669" s="6"/>
      <c r="X669" s="6"/>
      <c r="Y669" s="6"/>
      <c r="Z669" s="6"/>
      <c r="AA669" s="6"/>
      <c r="AB669" s="6"/>
      <c r="AC669" s="6"/>
      <c r="AD669" s="7"/>
    </row>
    <row r="670" spans="1:30" ht="13">
      <c r="A670" s="20"/>
      <c r="B670" s="20"/>
      <c r="C670" s="23"/>
      <c r="D670" s="17"/>
      <c r="E670" s="6"/>
      <c r="F670" s="6"/>
      <c r="G670" s="6"/>
      <c r="H670" s="6"/>
      <c r="I670" s="17"/>
      <c r="J670" s="6"/>
      <c r="K670" s="6"/>
      <c r="L670" s="17"/>
      <c r="M670" s="6"/>
      <c r="N670" s="6"/>
      <c r="O670" s="6"/>
      <c r="P670" s="6"/>
      <c r="Q670" s="6"/>
      <c r="R670" s="6"/>
      <c r="S670" s="6"/>
      <c r="T670" s="6"/>
      <c r="U670" s="6"/>
      <c r="V670" s="6"/>
      <c r="W670" s="6"/>
      <c r="X670" s="6"/>
      <c r="Y670" s="6"/>
      <c r="Z670" s="6"/>
      <c r="AA670" s="6"/>
      <c r="AB670" s="6"/>
      <c r="AC670" s="6"/>
      <c r="AD670" s="7"/>
    </row>
    <row r="671" spans="1:30" ht="13">
      <c r="A671" s="20"/>
      <c r="B671" s="20"/>
      <c r="C671" s="23"/>
      <c r="D671" s="17"/>
      <c r="E671" s="6"/>
      <c r="F671" s="6"/>
      <c r="G671" s="6"/>
      <c r="H671" s="6"/>
      <c r="I671" s="17"/>
      <c r="J671" s="6"/>
      <c r="K671" s="6"/>
      <c r="L671" s="17"/>
      <c r="M671" s="6"/>
      <c r="N671" s="6"/>
      <c r="O671" s="6"/>
      <c r="P671" s="6"/>
      <c r="Q671" s="6"/>
      <c r="R671" s="6"/>
      <c r="S671" s="6"/>
      <c r="T671" s="6"/>
      <c r="U671" s="6"/>
      <c r="V671" s="6"/>
      <c r="W671" s="6"/>
      <c r="X671" s="6"/>
      <c r="Y671" s="6"/>
      <c r="Z671" s="6"/>
      <c r="AA671" s="6"/>
      <c r="AB671" s="6"/>
      <c r="AC671" s="6"/>
      <c r="AD671" s="7"/>
    </row>
    <row r="672" spans="1:30" ht="13">
      <c r="A672" s="20"/>
      <c r="B672" s="20"/>
      <c r="C672" s="23"/>
      <c r="D672" s="17"/>
      <c r="E672" s="6"/>
      <c r="F672" s="6"/>
      <c r="G672" s="6"/>
      <c r="H672" s="6"/>
      <c r="I672" s="17"/>
      <c r="J672" s="6"/>
      <c r="K672" s="6"/>
      <c r="L672" s="17"/>
      <c r="M672" s="6"/>
      <c r="N672" s="6"/>
      <c r="O672" s="6"/>
      <c r="P672" s="6"/>
      <c r="Q672" s="6"/>
      <c r="R672" s="6"/>
      <c r="S672" s="6"/>
      <c r="T672" s="6"/>
      <c r="U672" s="6"/>
      <c r="V672" s="6"/>
      <c r="W672" s="6"/>
      <c r="X672" s="6"/>
      <c r="Y672" s="6"/>
      <c r="Z672" s="6"/>
      <c r="AA672" s="6"/>
      <c r="AB672" s="6"/>
      <c r="AC672" s="6"/>
      <c r="AD672" s="7"/>
    </row>
    <row r="673" spans="1:30" ht="13">
      <c r="A673" s="20"/>
      <c r="B673" s="20"/>
      <c r="C673" s="23"/>
      <c r="D673" s="17"/>
      <c r="E673" s="6"/>
      <c r="F673" s="6"/>
      <c r="G673" s="6"/>
      <c r="H673" s="6"/>
      <c r="I673" s="17"/>
      <c r="J673" s="6"/>
      <c r="K673" s="6"/>
      <c r="L673" s="17"/>
      <c r="M673" s="6"/>
      <c r="N673" s="6"/>
      <c r="O673" s="6"/>
      <c r="P673" s="6"/>
      <c r="Q673" s="6"/>
      <c r="R673" s="6"/>
      <c r="S673" s="6"/>
      <c r="T673" s="6"/>
      <c r="U673" s="6"/>
      <c r="V673" s="6"/>
      <c r="W673" s="6"/>
      <c r="X673" s="6"/>
      <c r="Y673" s="6"/>
      <c r="Z673" s="6"/>
      <c r="AA673" s="6"/>
      <c r="AB673" s="6"/>
      <c r="AC673" s="6"/>
      <c r="AD673" s="7"/>
    </row>
    <row r="674" spans="1:30" ht="13">
      <c r="A674" s="20"/>
      <c r="B674" s="20"/>
      <c r="C674" s="23"/>
      <c r="D674" s="17"/>
      <c r="E674" s="6"/>
      <c r="F674" s="6"/>
      <c r="G674" s="6"/>
      <c r="H674" s="6"/>
      <c r="I674" s="17"/>
      <c r="J674" s="6"/>
      <c r="K674" s="6"/>
      <c r="L674" s="17"/>
      <c r="M674" s="6"/>
      <c r="N674" s="6"/>
      <c r="O674" s="6"/>
      <c r="P674" s="6"/>
      <c r="Q674" s="6"/>
      <c r="R674" s="6"/>
      <c r="S674" s="6"/>
      <c r="T674" s="6"/>
      <c r="U674" s="6"/>
      <c r="V674" s="6"/>
      <c r="W674" s="6"/>
      <c r="X674" s="6"/>
      <c r="Y674" s="6"/>
      <c r="Z674" s="6"/>
      <c r="AA674" s="6"/>
      <c r="AB674" s="6"/>
      <c r="AC674" s="6"/>
      <c r="AD674" s="7"/>
    </row>
    <row r="675" spans="1:30" ht="13">
      <c r="A675" s="20"/>
      <c r="B675" s="20"/>
      <c r="C675" s="23"/>
      <c r="D675" s="17"/>
      <c r="E675" s="6"/>
      <c r="F675" s="6"/>
      <c r="G675" s="6"/>
      <c r="H675" s="6"/>
      <c r="I675" s="17"/>
      <c r="J675" s="6"/>
      <c r="K675" s="6"/>
      <c r="L675" s="17"/>
      <c r="M675" s="6"/>
      <c r="N675" s="6"/>
      <c r="O675" s="6"/>
      <c r="P675" s="6"/>
      <c r="Q675" s="6"/>
      <c r="R675" s="6"/>
      <c r="S675" s="6"/>
      <c r="T675" s="6"/>
      <c r="U675" s="6"/>
      <c r="V675" s="6"/>
      <c r="W675" s="6"/>
      <c r="X675" s="6"/>
      <c r="Y675" s="6"/>
      <c r="Z675" s="6"/>
      <c r="AA675" s="6"/>
      <c r="AB675" s="6"/>
      <c r="AC675" s="6"/>
      <c r="AD675" s="7"/>
    </row>
    <row r="676" spans="1:30" ht="13">
      <c r="A676" s="20"/>
      <c r="B676" s="20"/>
      <c r="C676" s="23"/>
      <c r="D676" s="17"/>
      <c r="E676" s="6"/>
      <c r="F676" s="6"/>
      <c r="G676" s="6"/>
      <c r="H676" s="6"/>
      <c r="I676" s="17"/>
      <c r="J676" s="6"/>
      <c r="K676" s="6"/>
      <c r="L676" s="17"/>
      <c r="M676" s="6"/>
      <c r="N676" s="6"/>
      <c r="O676" s="6"/>
      <c r="P676" s="6"/>
      <c r="Q676" s="6"/>
      <c r="R676" s="6"/>
      <c r="S676" s="6"/>
      <c r="T676" s="6"/>
      <c r="U676" s="6"/>
      <c r="V676" s="6"/>
      <c r="W676" s="6"/>
      <c r="X676" s="6"/>
      <c r="Y676" s="6"/>
      <c r="Z676" s="6"/>
      <c r="AA676" s="6"/>
      <c r="AB676" s="6"/>
      <c r="AC676" s="6"/>
      <c r="AD676" s="7"/>
    </row>
    <row r="677" spans="1:30" ht="13">
      <c r="A677" s="20"/>
      <c r="B677" s="20"/>
      <c r="C677" s="23"/>
      <c r="D677" s="17"/>
      <c r="E677" s="6"/>
      <c r="F677" s="6"/>
      <c r="G677" s="6"/>
      <c r="H677" s="6"/>
      <c r="I677" s="17"/>
      <c r="J677" s="6"/>
      <c r="K677" s="6"/>
      <c r="L677" s="17"/>
      <c r="M677" s="6"/>
      <c r="N677" s="6"/>
      <c r="O677" s="6"/>
      <c r="P677" s="6"/>
      <c r="Q677" s="6"/>
      <c r="R677" s="6"/>
      <c r="S677" s="6"/>
      <c r="T677" s="6"/>
      <c r="U677" s="6"/>
      <c r="V677" s="6"/>
      <c r="W677" s="6"/>
      <c r="X677" s="6"/>
      <c r="Y677" s="6"/>
      <c r="Z677" s="6"/>
      <c r="AA677" s="6"/>
      <c r="AB677" s="6"/>
      <c r="AC677" s="6"/>
      <c r="AD677" s="7"/>
    </row>
    <row r="678" spans="1:30" ht="13">
      <c r="A678" s="20"/>
      <c r="B678" s="20"/>
      <c r="C678" s="23"/>
      <c r="D678" s="17"/>
      <c r="E678" s="6"/>
      <c r="F678" s="6"/>
      <c r="G678" s="6"/>
      <c r="H678" s="6"/>
      <c r="I678" s="17"/>
      <c r="J678" s="6"/>
      <c r="K678" s="6"/>
      <c r="L678" s="17"/>
      <c r="M678" s="6"/>
      <c r="N678" s="6"/>
      <c r="O678" s="6"/>
      <c r="P678" s="6"/>
      <c r="Q678" s="6"/>
      <c r="R678" s="6"/>
      <c r="S678" s="6"/>
      <c r="T678" s="6"/>
      <c r="U678" s="6"/>
      <c r="V678" s="6"/>
      <c r="W678" s="6"/>
      <c r="X678" s="6"/>
      <c r="Y678" s="6"/>
      <c r="Z678" s="6"/>
      <c r="AA678" s="6"/>
      <c r="AB678" s="6"/>
      <c r="AC678" s="6"/>
      <c r="AD678" s="7"/>
    </row>
    <row r="679" spans="1:30" ht="13">
      <c r="A679" s="20"/>
      <c r="B679" s="20"/>
      <c r="C679" s="23"/>
      <c r="D679" s="17"/>
      <c r="E679" s="6"/>
      <c r="F679" s="6"/>
      <c r="G679" s="6"/>
      <c r="H679" s="6"/>
      <c r="I679" s="17"/>
      <c r="J679" s="6"/>
      <c r="K679" s="6"/>
      <c r="L679" s="17"/>
      <c r="M679" s="6"/>
      <c r="N679" s="6"/>
      <c r="O679" s="6"/>
      <c r="P679" s="6"/>
      <c r="Q679" s="6"/>
      <c r="R679" s="6"/>
      <c r="S679" s="6"/>
      <c r="T679" s="6"/>
      <c r="U679" s="6"/>
      <c r="V679" s="6"/>
      <c r="W679" s="6"/>
      <c r="X679" s="6"/>
      <c r="Y679" s="6"/>
      <c r="Z679" s="6"/>
      <c r="AA679" s="6"/>
      <c r="AB679" s="6"/>
      <c r="AC679" s="6"/>
      <c r="AD679" s="7"/>
    </row>
    <row r="680" spans="1:30" ht="13">
      <c r="A680" s="20"/>
      <c r="B680" s="20"/>
      <c r="C680" s="23"/>
      <c r="D680" s="17"/>
      <c r="E680" s="6"/>
      <c r="F680" s="6"/>
      <c r="G680" s="6"/>
      <c r="H680" s="6"/>
      <c r="I680" s="17"/>
      <c r="J680" s="6"/>
      <c r="K680" s="6"/>
      <c r="L680" s="17"/>
      <c r="M680" s="6"/>
      <c r="N680" s="6"/>
      <c r="O680" s="6"/>
      <c r="P680" s="6"/>
      <c r="Q680" s="6"/>
      <c r="R680" s="6"/>
      <c r="S680" s="6"/>
      <c r="T680" s="6"/>
      <c r="U680" s="6"/>
      <c r="V680" s="6"/>
      <c r="W680" s="6"/>
      <c r="X680" s="6"/>
      <c r="Y680" s="6"/>
      <c r="Z680" s="6"/>
      <c r="AA680" s="6"/>
      <c r="AB680" s="6"/>
      <c r="AC680" s="6"/>
      <c r="AD680" s="7"/>
    </row>
    <row r="681" spans="1:30" ht="13">
      <c r="A681" s="20"/>
      <c r="B681" s="20"/>
      <c r="C681" s="23"/>
      <c r="D681" s="17"/>
      <c r="E681" s="6"/>
      <c r="F681" s="6"/>
      <c r="G681" s="6"/>
      <c r="H681" s="6"/>
      <c r="I681" s="17"/>
      <c r="J681" s="6"/>
      <c r="K681" s="6"/>
      <c r="L681" s="17"/>
      <c r="M681" s="6"/>
      <c r="N681" s="6"/>
      <c r="O681" s="6"/>
      <c r="P681" s="6"/>
      <c r="Q681" s="6"/>
      <c r="R681" s="6"/>
      <c r="S681" s="6"/>
      <c r="T681" s="6"/>
      <c r="U681" s="6"/>
      <c r="V681" s="6"/>
      <c r="W681" s="6"/>
      <c r="X681" s="6"/>
      <c r="Y681" s="6"/>
      <c r="Z681" s="6"/>
      <c r="AA681" s="6"/>
      <c r="AB681" s="6"/>
      <c r="AC681" s="6"/>
      <c r="AD681" s="7"/>
    </row>
    <row r="682" spans="1:30" ht="13">
      <c r="A682" s="20"/>
      <c r="B682" s="20"/>
      <c r="C682" s="23"/>
      <c r="D682" s="17"/>
      <c r="E682" s="6"/>
      <c r="F682" s="6"/>
      <c r="G682" s="6"/>
      <c r="H682" s="6"/>
      <c r="I682" s="17"/>
      <c r="J682" s="6"/>
      <c r="K682" s="6"/>
      <c r="L682" s="17"/>
      <c r="M682" s="6"/>
      <c r="N682" s="6"/>
      <c r="O682" s="6"/>
      <c r="P682" s="6"/>
      <c r="Q682" s="6"/>
      <c r="R682" s="6"/>
      <c r="S682" s="6"/>
      <c r="T682" s="6"/>
      <c r="U682" s="6"/>
      <c r="V682" s="6"/>
      <c r="W682" s="6"/>
      <c r="X682" s="6"/>
      <c r="Y682" s="6"/>
      <c r="Z682" s="6"/>
      <c r="AA682" s="6"/>
      <c r="AB682" s="6"/>
      <c r="AC682" s="6"/>
      <c r="AD682" s="7"/>
    </row>
    <row r="683" spans="1:30" ht="13">
      <c r="A683" s="20"/>
      <c r="B683" s="20"/>
      <c r="C683" s="23"/>
      <c r="D683" s="17"/>
      <c r="E683" s="6"/>
      <c r="F683" s="6"/>
      <c r="G683" s="6"/>
      <c r="H683" s="6"/>
      <c r="I683" s="17"/>
      <c r="J683" s="6"/>
      <c r="K683" s="6"/>
      <c r="L683" s="17"/>
      <c r="M683" s="6"/>
      <c r="N683" s="6"/>
      <c r="O683" s="6"/>
      <c r="P683" s="6"/>
      <c r="Q683" s="6"/>
      <c r="R683" s="6"/>
      <c r="S683" s="6"/>
      <c r="T683" s="6"/>
      <c r="U683" s="6"/>
      <c r="V683" s="6"/>
      <c r="W683" s="6"/>
      <c r="X683" s="6"/>
      <c r="Y683" s="6"/>
      <c r="Z683" s="6"/>
      <c r="AA683" s="6"/>
      <c r="AB683" s="6"/>
      <c r="AC683" s="6"/>
      <c r="AD683" s="7"/>
    </row>
    <row r="684" spans="1:30" ht="13">
      <c r="A684" s="20"/>
      <c r="B684" s="20"/>
      <c r="C684" s="23"/>
      <c r="D684" s="17"/>
      <c r="E684" s="6"/>
      <c r="F684" s="6"/>
      <c r="G684" s="6"/>
      <c r="H684" s="6"/>
      <c r="I684" s="17"/>
      <c r="J684" s="6"/>
      <c r="K684" s="6"/>
      <c r="L684" s="17"/>
      <c r="M684" s="6"/>
      <c r="N684" s="6"/>
      <c r="O684" s="6"/>
      <c r="P684" s="6"/>
      <c r="Q684" s="6"/>
      <c r="R684" s="6"/>
      <c r="S684" s="6"/>
      <c r="T684" s="6"/>
      <c r="U684" s="6"/>
      <c r="V684" s="6"/>
      <c r="W684" s="6"/>
      <c r="X684" s="6"/>
      <c r="Y684" s="6"/>
      <c r="Z684" s="6"/>
      <c r="AA684" s="6"/>
      <c r="AB684" s="6"/>
      <c r="AC684" s="6"/>
      <c r="AD684" s="7"/>
    </row>
    <row r="685" spans="1:30" ht="13">
      <c r="A685" s="20"/>
      <c r="B685" s="20"/>
      <c r="C685" s="23"/>
      <c r="D685" s="17"/>
      <c r="E685" s="6"/>
      <c r="F685" s="6"/>
      <c r="G685" s="6"/>
      <c r="H685" s="6"/>
      <c r="I685" s="17"/>
      <c r="J685" s="6"/>
      <c r="K685" s="6"/>
      <c r="L685" s="17"/>
      <c r="M685" s="6"/>
      <c r="N685" s="6"/>
      <c r="O685" s="6"/>
      <c r="P685" s="6"/>
      <c r="Q685" s="6"/>
      <c r="R685" s="6"/>
      <c r="S685" s="6"/>
      <c r="T685" s="6"/>
      <c r="U685" s="6"/>
      <c r="V685" s="6"/>
      <c r="W685" s="6"/>
      <c r="X685" s="6"/>
      <c r="Y685" s="6"/>
      <c r="Z685" s="6"/>
      <c r="AA685" s="6"/>
      <c r="AB685" s="6"/>
      <c r="AC685" s="6"/>
      <c r="AD685" s="7"/>
    </row>
    <row r="686" spans="1:30" ht="13">
      <c r="A686" s="20"/>
      <c r="B686" s="20"/>
      <c r="C686" s="23"/>
      <c r="D686" s="17"/>
      <c r="E686" s="6"/>
      <c r="F686" s="6"/>
      <c r="G686" s="6"/>
      <c r="H686" s="6"/>
      <c r="I686" s="17"/>
      <c r="J686" s="6"/>
      <c r="K686" s="6"/>
      <c r="L686" s="17"/>
      <c r="M686" s="6"/>
      <c r="N686" s="6"/>
      <c r="O686" s="6"/>
      <c r="P686" s="6"/>
      <c r="Q686" s="6"/>
      <c r="R686" s="6"/>
      <c r="S686" s="6"/>
      <c r="T686" s="6"/>
      <c r="U686" s="6"/>
      <c r="V686" s="6"/>
      <c r="W686" s="6"/>
      <c r="X686" s="6"/>
      <c r="Y686" s="6"/>
      <c r="Z686" s="6"/>
      <c r="AA686" s="6"/>
      <c r="AB686" s="6"/>
      <c r="AC686" s="6"/>
      <c r="AD686" s="7"/>
    </row>
    <row r="687" spans="1:30" ht="13">
      <c r="A687" s="20"/>
      <c r="B687" s="20"/>
      <c r="C687" s="23"/>
      <c r="D687" s="17"/>
      <c r="E687" s="6"/>
      <c r="F687" s="6"/>
      <c r="G687" s="6"/>
      <c r="H687" s="6"/>
      <c r="I687" s="17"/>
      <c r="J687" s="6"/>
      <c r="K687" s="6"/>
      <c r="L687" s="17"/>
      <c r="M687" s="6"/>
      <c r="N687" s="6"/>
      <c r="O687" s="6"/>
      <c r="P687" s="6"/>
      <c r="Q687" s="6"/>
      <c r="R687" s="6"/>
      <c r="S687" s="6"/>
      <c r="T687" s="6"/>
      <c r="U687" s="6"/>
      <c r="V687" s="6"/>
      <c r="W687" s="6"/>
      <c r="X687" s="6"/>
      <c r="Y687" s="6"/>
      <c r="Z687" s="6"/>
      <c r="AA687" s="6"/>
      <c r="AB687" s="6"/>
      <c r="AC687" s="6"/>
      <c r="AD687" s="7"/>
    </row>
    <row r="688" spans="1:30" ht="13">
      <c r="A688" s="20"/>
      <c r="B688" s="20"/>
      <c r="C688" s="23"/>
      <c r="D688" s="17"/>
      <c r="E688" s="6"/>
      <c r="F688" s="6"/>
      <c r="G688" s="6"/>
      <c r="H688" s="6"/>
      <c r="I688" s="17"/>
      <c r="J688" s="6"/>
      <c r="K688" s="6"/>
      <c r="L688" s="17"/>
      <c r="M688" s="6"/>
      <c r="N688" s="6"/>
      <c r="O688" s="6"/>
      <c r="P688" s="6"/>
      <c r="Q688" s="6"/>
      <c r="R688" s="6"/>
      <c r="S688" s="6"/>
      <c r="T688" s="6"/>
      <c r="U688" s="6"/>
      <c r="V688" s="6"/>
      <c r="W688" s="6"/>
      <c r="X688" s="6"/>
      <c r="Y688" s="6"/>
      <c r="Z688" s="6"/>
      <c r="AA688" s="6"/>
      <c r="AB688" s="6"/>
      <c r="AC688" s="6"/>
      <c r="AD688" s="7"/>
    </row>
    <row r="689" spans="1:30" ht="13">
      <c r="A689" s="20"/>
      <c r="B689" s="20"/>
      <c r="C689" s="23"/>
      <c r="D689" s="17"/>
      <c r="E689" s="6"/>
      <c r="F689" s="6"/>
      <c r="G689" s="6"/>
      <c r="H689" s="6"/>
      <c r="I689" s="17"/>
      <c r="J689" s="6"/>
      <c r="K689" s="6"/>
      <c r="L689" s="17"/>
      <c r="M689" s="6"/>
      <c r="N689" s="6"/>
      <c r="O689" s="6"/>
      <c r="P689" s="6"/>
      <c r="Q689" s="6"/>
      <c r="R689" s="6"/>
      <c r="S689" s="6"/>
      <c r="T689" s="6"/>
      <c r="U689" s="6"/>
      <c r="V689" s="6"/>
      <c r="W689" s="6"/>
      <c r="X689" s="6"/>
      <c r="Y689" s="6"/>
      <c r="Z689" s="6"/>
      <c r="AA689" s="6"/>
      <c r="AB689" s="6"/>
      <c r="AC689" s="6"/>
      <c r="AD689" s="7"/>
    </row>
    <row r="690" spans="1:30" ht="13">
      <c r="A690" s="20"/>
      <c r="B690" s="20"/>
      <c r="C690" s="23"/>
      <c r="D690" s="17"/>
      <c r="E690" s="6"/>
      <c r="F690" s="6"/>
      <c r="G690" s="6"/>
      <c r="H690" s="6"/>
      <c r="I690" s="17"/>
      <c r="J690" s="6"/>
      <c r="K690" s="6"/>
      <c r="L690" s="17"/>
      <c r="M690" s="6"/>
      <c r="N690" s="6"/>
      <c r="O690" s="6"/>
      <c r="P690" s="6"/>
      <c r="Q690" s="6"/>
      <c r="R690" s="6"/>
      <c r="S690" s="6"/>
      <c r="T690" s="6"/>
      <c r="U690" s="6"/>
      <c r="V690" s="6"/>
      <c r="W690" s="6"/>
      <c r="X690" s="6"/>
      <c r="Y690" s="6"/>
      <c r="Z690" s="6"/>
      <c r="AA690" s="6"/>
      <c r="AB690" s="6"/>
      <c r="AC690" s="6"/>
      <c r="AD690" s="7"/>
    </row>
    <row r="691" spans="1:30" ht="13">
      <c r="A691" s="20"/>
      <c r="B691" s="20"/>
      <c r="C691" s="23"/>
      <c r="D691" s="17"/>
      <c r="E691" s="6"/>
      <c r="F691" s="6"/>
      <c r="G691" s="6"/>
      <c r="H691" s="6"/>
      <c r="I691" s="17"/>
      <c r="J691" s="6"/>
      <c r="K691" s="6"/>
      <c r="L691" s="17"/>
      <c r="M691" s="6"/>
      <c r="N691" s="6"/>
      <c r="O691" s="6"/>
      <c r="P691" s="6"/>
      <c r="Q691" s="6"/>
      <c r="R691" s="6"/>
      <c r="S691" s="6"/>
      <c r="T691" s="6"/>
      <c r="U691" s="6"/>
      <c r="V691" s="6"/>
      <c r="W691" s="6"/>
      <c r="X691" s="6"/>
      <c r="Y691" s="6"/>
      <c r="Z691" s="6"/>
      <c r="AA691" s="6"/>
      <c r="AB691" s="6"/>
      <c r="AC691" s="6"/>
      <c r="AD691" s="7"/>
    </row>
    <row r="692" spans="1:30" ht="13">
      <c r="A692" s="20"/>
      <c r="B692" s="20"/>
      <c r="C692" s="23"/>
      <c r="D692" s="17"/>
      <c r="E692" s="6"/>
      <c r="F692" s="6"/>
      <c r="G692" s="6"/>
      <c r="H692" s="6"/>
      <c r="I692" s="17"/>
      <c r="J692" s="6"/>
      <c r="K692" s="6"/>
      <c r="L692" s="17"/>
      <c r="M692" s="6"/>
      <c r="N692" s="6"/>
      <c r="O692" s="6"/>
      <c r="P692" s="6"/>
      <c r="Q692" s="6"/>
      <c r="R692" s="6"/>
      <c r="S692" s="6"/>
      <c r="T692" s="6"/>
      <c r="U692" s="6"/>
      <c r="V692" s="6"/>
      <c r="W692" s="6"/>
      <c r="X692" s="6"/>
      <c r="Y692" s="6"/>
      <c r="Z692" s="6"/>
      <c r="AA692" s="6"/>
      <c r="AB692" s="6"/>
      <c r="AC692" s="6"/>
      <c r="AD692" s="7"/>
    </row>
    <row r="693" spans="1:30" ht="13">
      <c r="A693" s="20"/>
      <c r="B693" s="20"/>
      <c r="C693" s="23"/>
      <c r="D693" s="17"/>
      <c r="E693" s="6"/>
      <c r="F693" s="6"/>
      <c r="G693" s="6"/>
      <c r="H693" s="6"/>
      <c r="I693" s="17"/>
      <c r="J693" s="6"/>
      <c r="K693" s="6"/>
      <c r="L693" s="17"/>
      <c r="M693" s="6"/>
      <c r="N693" s="6"/>
      <c r="O693" s="6"/>
      <c r="P693" s="6"/>
      <c r="Q693" s="6"/>
      <c r="R693" s="6"/>
      <c r="S693" s="6"/>
      <c r="T693" s="6"/>
      <c r="U693" s="6"/>
      <c r="V693" s="6"/>
      <c r="W693" s="6"/>
      <c r="X693" s="6"/>
      <c r="Y693" s="6"/>
      <c r="Z693" s="6"/>
      <c r="AA693" s="6"/>
      <c r="AB693" s="6"/>
      <c r="AC693" s="6"/>
      <c r="AD693" s="7"/>
    </row>
    <row r="694" spans="1:30" ht="13">
      <c r="A694" s="20"/>
      <c r="B694" s="20"/>
      <c r="C694" s="23"/>
      <c r="D694" s="17"/>
      <c r="E694" s="6"/>
      <c r="F694" s="6"/>
      <c r="G694" s="6"/>
      <c r="H694" s="6"/>
      <c r="I694" s="17"/>
      <c r="J694" s="6"/>
      <c r="K694" s="6"/>
      <c r="L694" s="17"/>
      <c r="M694" s="6"/>
      <c r="N694" s="6"/>
      <c r="O694" s="6"/>
      <c r="P694" s="6"/>
      <c r="Q694" s="6"/>
      <c r="R694" s="6"/>
      <c r="S694" s="6"/>
      <c r="T694" s="6"/>
      <c r="U694" s="6"/>
      <c r="V694" s="6"/>
      <c r="W694" s="6"/>
      <c r="X694" s="6"/>
      <c r="Y694" s="6"/>
      <c r="Z694" s="6"/>
      <c r="AA694" s="6"/>
      <c r="AB694" s="6"/>
      <c r="AC694" s="6"/>
      <c r="AD694" s="7"/>
    </row>
    <row r="695" spans="1:30" ht="13">
      <c r="A695" s="20"/>
      <c r="B695" s="20"/>
      <c r="C695" s="23"/>
      <c r="D695" s="17"/>
      <c r="E695" s="6"/>
      <c r="F695" s="6"/>
      <c r="G695" s="6"/>
      <c r="H695" s="6"/>
      <c r="I695" s="17"/>
      <c r="J695" s="6"/>
      <c r="K695" s="6"/>
      <c r="L695" s="17"/>
      <c r="M695" s="6"/>
      <c r="N695" s="6"/>
      <c r="O695" s="6"/>
      <c r="P695" s="6"/>
      <c r="Q695" s="6"/>
      <c r="R695" s="6"/>
      <c r="S695" s="6"/>
      <c r="T695" s="6"/>
      <c r="U695" s="6"/>
      <c r="V695" s="6"/>
      <c r="W695" s="6"/>
      <c r="X695" s="6"/>
      <c r="Y695" s="6"/>
      <c r="Z695" s="6"/>
      <c r="AA695" s="6"/>
      <c r="AB695" s="6"/>
      <c r="AC695" s="6"/>
      <c r="AD695" s="7"/>
    </row>
    <row r="696" spans="1:30" ht="13">
      <c r="A696" s="20"/>
      <c r="B696" s="20"/>
      <c r="C696" s="23"/>
      <c r="D696" s="17"/>
      <c r="E696" s="6"/>
      <c r="F696" s="6"/>
      <c r="G696" s="6"/>
      <c r="H696" s="6"/>
      <c r="I696" s="17"/>
      <c r="J696" s="6"/>
      <c r="K696" s="6"/>
      <c r="L696" s="17"/>
      <c r="M696" s="6"/>
      <c r="N696" s="6"/>
      <c r="O696" s="6"/>
      <c r="P696" s="6"/>
      <c r="Q696" s="6"/>
      <c r="R696" s="6"/>
      <c r="S696" s="6"/>
      <c r="T696" s="6"/>
      <c r="U696" s="6"/>
      <c r="V696" s="6"/>
      <c r="W696" s="6"/>
      <c r="X696" s="6"/>
      <c r="Y696" s="6"/>
      <c r="Z696" s="6"/>
      <c r="AA696" s="6"/>
      <c r="AB696" s="6"/>
      <c r="AC696" s="6"/>
      <c r="AD696" s="7"/>
    </row>
    <row r="697" spans="1:30" ht="13">
      <c r="A697" s="20"/>
      <c r="B697" s="20"/>
      <c r="C697" s="23"/>
      <c r="D697" s="17"/>
      <c r="E697" s="6"/>
      <c r="F697" s="6"/>
      <c r="G697" s="6"/>
      <c r="H697" s="6"/>
      <c r="I697" s="17"/>
      <c r="J697" s="6"/>
      <c r="K697" s="6"/>
      <c r="L697" s="17"/>
      <c r="M697" s="6"/>
      <c r="N697" s="6"/>
      <c r="O697" s="6"/>
      <c r="P697" s="6"/>
      <c r="Q697" s="6"/>
      <c r="R697" s="6"/>
      <c r="S697" s="6"/>
      <c r="T697" s="6"/>
      <c r="U697" s="6"/>
      <c r="V697" s="6"/>
      <c r="W697" s="6"/>
      <c r="X697" s="6"/>
      <c r="Y697" s="6"/>
      <c r="Z697" s="6"/>
      <c r="AA697" s="6"/>
      <c r="AB697" s="6"/>
      <c r="AC697" s="6"/>
      <c r="AD697" s="7"/>
    </row>
    <row r="698" spans="1:30" ht="13">
      <c r="A698" s="20"/>
      <c r="B698" s="20"/>
      <c r="C698" s="23"/>
      <c r="D698" s="17"/>
      <c r="E698" s="6"/>
      <c r="F698" s="6"/>
      <c r="G698" s="6"/>
      <c r="H698" s="6"/>
      <c r="I698" s="17"/>
      <c r="J698" s="6"/>
      <c r="K698" s="6"/>
      <c r="L698" s="17"/>
      <c r="M698" s="6"/>
      <c r="N698" s="6"/>
      <c r="O698" s="6"/>
      <c r="P698" s="6"/>
      <c r="Q698" s="6"/>
      <c r="R698" s="6"/>
      <c r="S698" s="6"/>
      <c r="T698" s="6"/>
      <c r="U698" s="6"/>
      <c r="V698" s="6"/>
      <c r="W698" s="6"/>
      <c r="X698" s="6"/>
      <c r="Y698" s="6"/>
      <c r="Z698" s="6"/>
      <c r="AA698" s="6"/>
      <c r="AB698" s="6"/>
      <c r="AC698" s="6"/>
      <c r="AD698" s="7"/>
    </row>
    <row r="699" spans="1:30" ht="13">
      <c r="A699" s="20"/>
      <c r="B699" s="20"/>
      <c r="C699" s="23"/>
      <c r="D699" s="17"/>
      <c r="E699" s="6"/>
      <c r="F699" s="6"/>
      <c r="G699" s="6"/>
      <c r="H699" s="6"/>
      <c r="I699" s="17"/>
      <c r="J699" s="6"/>
      <c r="K699" s="6"/>
      <c r="L699" s="17"/>
      <c r="M699" s="6"/>
      <c r="N699" s="6"/>
      <c r="O699" s="6"/>
      <c r="P699" s="6"/>
      <c r="Q699" s="6"/>
      <c r="R699" s="6"/>
      <c r="S699" s="6"/>
      <c r="T699" s="6"/>
      <c r="U699" s="6"/>
      <c r="V699" s="6"/>
      <c r="W699" s="6"/>
      <c r="X699" s="6"/>
      <c r="Y699" s="6"/>
      <c r="Z699" s="6"/>
      <c r="AA699" s="6"/>
      <c r="AB699" s="6"/>
      <c r="AC699" s="6"/>
      <c r="AD699" s="7"/>
    </row>
    <row r="700" spans="1:30" ht="13">
      <c r="A700" s="20"/>
      <c r="B700" s="20"/>
      <c r="C700" s="23"/>
      <c r="D700" s="17"/>
      <c r="E700" s="6"/>
      <c r="F700" s="6"/>
      <c r="G700" s="6"/>
      <c r="H700" s="6"/>
      <c r="I700" s="17"/>
      <c r="J700" s="6"/>
      <c r="K700" s="6"/>
      <c r="L700" s="17"/>
      <c r="M700" s="6"/>
      <c r="N700" s="6"/>
      <c r="O700" s="6"/>
      <c r="P700" s="6"/>
      <c r="Q700" s="6"/>
      <c r="R700" s="6"/>
      <c r="S700" s="6"/>
      <c r="T700" s="6"/>
      <c r="U700" s="6"/>
      <c r="V700" s="6"/>
      <c r="W700" s="6"/>
      <c r="X700" s="6"/>
      <c r="Y700" s="6"/>
      <c r="Z700" s="6"/>
      <c r="AA700" s="6"/>
      <c r="AB700" s="6"/>
      <c r="AC700" s="6"/>
      <c r="AD700" s="7"/>
    </row>
    <row r="701" spans="1:30" ht="13">
      <c r="A701" s="20"/>
      <c r="B701" s="20"/>
      <c r="C701" s="23"/>
      <c r="D701" s="17"/>
      <c r="E701" s="6"/>
      <c r="F701" s="6"/>
      <c r="G701" s="6"/>
      <c r="H701" s="6"/>
      <c r="I701" s="17"/>
      <c r="J701" s="6"/>
      <c r="K701" s="6"/>
      <c r="L701" s="17"/>
      <c r="M701" s="6"/>
      <c r="N701" s="6"/>
      <c r="O701" s="6"/>
      <c r="P701" s="6"/>
      <c r="Q701" s="6"/>
      <c r="R701" s="6"/>
      <c r="S701" s="6"/>
      <c r="T701" s="6"/>
      <c r="U701" s="6"/>
      <c r="V701" s="6"/>
      <c r="W701" s="6"/>
      <c r="X701" s="6"/>
      <c r="Y701" s="6"/>
      <c r="Z701" s="6"/>
      <c r="AA701" s="6"/>
      <c r="AB701" s="6"/>
      <c r="AC701" s="6"/>
      <c r="AD701" s="7"/>
    </row>
    <row r="702" spans="1:30" ht="13">
      <c r="A702" s="20"/>
      <c r="B702" s="20"/>
      <c r="C702" s="23"/>
      <c r="D702" s="17"/>
      <c r="E702" s="6"/>
      <c r="F702" s="6"/>
      <c r="G702" s="6"/>
      <c r="H702" s="6"/>
      <c r="I702" s="17"/>
      <c r="J702" s="6"/>
      <c r="K702" s="6"/>
      <c r="L702" s="17"/>
      <c r="M702" s="6"/>
      <c r="N702" s="6"/>
      <c r="O702" s="6"/>
      <c r="P702" s="6"/>
      <c r="Q702" s="6"/>
      <c r="R702" s="6"/>
      <c r="S702" s="6"/>
      <c r="T702" s="6"/>
      <c r="U702" s="6"/>
      <c r="V702" s="6"/>
      <c r="W702" s="6"/>
      <c r="X702" s="6"/>
      <c r="Y702" s="6"/>
      <c r="Z702" s="6"/>
      <c r="AA702" s="6"/>
      <c r="AB702" s="6"/>
      <c r="AC702" s="6"/>
      <c r="AD702" s="7"/>
    </row>
    <row r="703" spans="1:30" ht="13">
      <c r="A703" s="20"/>
      <c r="B703" s="20"/>
      <c r="C703" s="23"/>
      <c r="D703" s="17"/>
      <c r="E703" s="6"/>
      <c r="F703" s="6"/>
      <c r="G703" s="6"/>
      <c r="H703" s="6"/>
      <c r="I703" s="17"/>
      <c r="J703" s="6"/>
      <c r="K703" s="6"/>
      <c r="L703" s="17"/>
      <c r="M703" s="6"/>
      <c r="N703" s="6"/>
      <c r="O703" s="6"/>
      <c r="P703" s="6"/>
      <c r="Q703" s="6"/>
      <c r="R703" s="6"/>
      <c r="S703" s="6"/>
      <c r="T703" s="6"/>
      <c r="U703" s="6"/>
      <c r="V703" s="6"/>
      <c r="W703" s="6"/>
      <c r="X703" s="6"/>
      <c r="Y703" s="6"/>
      <c r="Z703" s="6"/>
      <c r="AA703" s="6"/>
      <c r="AB703" s="6"/>
      <c r="AC703" s="6"/>
      <c r="AD703" s="7"/>
    </row>
    <row r="704" spans="1:30" ht="13">
      <c r="A704" s="20"/>
      <c r="B704" s="20"/>
      <c r="C704" s="23"/>
      <c r="D704" s="17"/>
      <c r="E704" s="6"/>
      <c r="F704" s="6"/>
      <c r="G704" s="6"/>
      <c r="H704" s="6"/>
      <c r="I704" s="17"/>
      <c r="J704" s="6"/>
      <c r="K704" s="6"/>
      <c r="L704" s="17"/>
      <c r="M704" s="6"/>
      <c r="N704" s="6"/>
      <c r="O704" s="6"/>
      <c r="P704" s="6"/>
      <c r="Q704" s="6"/>
      <c r="R704" s="6"/>
      <c r="S704" s="6"/>
      <c r="T704" s="6"/>
      <c r="U704" s="6"/>
      <c r="V704" s="6"/>
      <c r="W704" s="6"/>
      <c r="X704" s="6"/>
      <c r="Y704" s="6"/>
      <c r="Z704" s="6"/>
      <c r="AA704" s="6"/>
      <c r="AB704" s="6"/>
      <c r="AC704" s="6"/>
      <c r="AD704" s="7"/>
    </row>
    <row r="705" spans="1:30" ht="13">
      <c r="A705" s="20"/>
      <c r="B705" s="20"/>
      <c r="C705" s="23"/>
      <c r="D705" s="17"/>
      <c r="E705" s="6"/>
      <c r="F705" s="6"/>
      <c r="G705" s="6"/>
      <c r="H705" s="6"/>
      <c r="I705" s="17"/>
      <c r="J705" s="6"/>
      <c r="K705" s="6"/>
      <c r="L705" s="17"/>
      <c r="M705" s="6"/>
      <c r="N705" s="6"/>
      <c r="O705" s="6"/>
      <c r="P705" s="6"/>
      <c r="Q705" s="6"/>
      <c r="R705" s="6"/>
      <c r="S705" s="6"/>
      <c r="T705" s="6"/>
      <c r="U705" s="6"/>
      <c r="V705" s="6"/>
      <c r="W705" s="6"/>
      <c r="X705" s="6"/>
      <c r="Y705" s="6"/>
      <c r="Z705" s="6"/>
      <c r="AA705" s="6"/>
      <c r="AB705" s="6"/>
      <c r="AC705" s="6"/>
      <c r="AD705" s="7"/>
    </row>
    <row r="706" spans="1:30" ht="13">
      <c r="A706" s="20"/>
      <c r="B706" s="20"/>
      <c r="C706" s="23"/>
      <c r="D706" s="17"/>
      <c r="E706" s="6"/>
      <c r="F706" s="6"/>
      <c r="G706" s="6"/>
      <c r="H706" s="6"/>
      <c r="I706" s="17"/>
      <c r="J706" s="6"/>
      <c r="K706" s="6"/>
      <c r="L706" s="17"/>
      <c r="M706" s="6"/>
      <c r="N706" s="6"/>
      <c r="O706" s="6"/>
      <c r="P706" s="6"/>
      <c r="Q706" s="6"/>
      <c r="R706" s="6"/>
      <c r="S706" s="6"/>
      <c r="T706" s="6"/>
      <c r="U706" s="6"/>
      <c r="V706" s="6"/>
      <c r="W706" s="6"/>
      <c r="X706" s="6"/>
      <c r="Y706" s="6"/>
      <c r="Z706" s="6"/>
      <c r="AA706" s="6"/>
      <c r="AB706" s="6"/>
      <c r="AC706" s="6"/>
      <c r="AD706" s="7"/>
    </row>
    <row r="707" spans="1:30" ht="13">
      <c r="A707" s="20"/>
      <c r="B707" s="20"/>
      <c r="C707" s="23"/>
      <c r="D707" s="17"/>
      <c r="E707" s="6"/>
      <c r="F707" s="6"/>
      <c r="G707" s="6"/>
      <c r="H707" s="6"/>
      <c r="I707" s="17"/>
      <c r="J707" s="6"/>
      <c r="K707" s="6"/>
      <c r="L707" s="17"/>
      <c r="M707" s="6"/>
      <c r="N707" s="6"/>
      <c r="O707" s="6"/>
      <c r="P707" s="6"/>
      <c r="Q707" s="6"/>
      <c r="R707" s="6"/>
      <c r="S707" s="6"/>
      <c r="T707" s="6"/>
      <c r="U707" s="6"/>
      <c r="V707" s="6"/>
      <c r="W707" s="6"/>
      <c r="X707" s="6"/>
      <c r="Y707" s="6"/>
      <c r="Z707" s="6"/>
      <c r="AA707" s="6"/>
      <c r="AB707" s="6"/>
      <c r="AC707" s="6"/>
      <c r="AD707" s="7"/>
    </row>
    <row r="708" spans="1:30" ht="13">
      <c r="A708" s="20"/>
      <c r="B708" s="20"/>
      <c r="C708" s="23"/>
      <c r="D708" s="17"/>
      <c r="E708" s="6"/>
      <c r="F708" s="6"/>
      <c r="G708" s="6"/>
      <c r="H708" s="6"/>
      <c r="I708" s="17"/>
      <c r="J708" s="6"/>
      <c r="K708" s="6"/>
      <c r="L708" s="17"/>
      <c r="M708" s="6"/>
      <c r="N708" s="6"/>
      <c r="O708" s="6"/>
      <c r="P708" s="6"/>
      <c r="Q708" s="6"/>
      <c r="R708" s="6"/>
      <c r="S708" s="6"/>
      <c r="T708" s="6"/>
      <c r="U708" s="6"/>
      <c r="V708" s="6"/>
      <c r="W708" s="6"/>
      <c r="X708" s="6"/>
      <c r="Y708" s="6"/>
      <c r="Z708" s="6"/>
      <c r="AA708" s="6"/>
      <c r="AB708" s="6"/>
      <c r="AC708" s="6"/>
      <c r="AD708" s="7"/>
    </row>
    <row r="709" spans="1:30" ht="13">
      <c r="A709" s="20"/>
      <c r="B709" s="20"/>
      <c r="C709" s="23"/>
      <c r="D709" s="17"/>
      <c r="E709" s="6"/>
      <c r="F709" s="6"/>
      <c r="G709" s="6"/>
      <c r="H709" s="6"/>
      <c r="I709" s="17"/>
      <c r="J709" s="6"/>
      <c r="K709" s="6"/>
      <c r="L709" s="17"/>
      <c r="M709" s="6"/>
      <c r="N709" s="6"/>
      <c r="O709" s="6"/>
      <c r="P709" s="6"/>
      <c r="Q709" s="6"/>
      <c r="R709" s="6"/>
      <c r="S709" s="6"/>
      <c r="T709" s="6"/>
      <c r="U709" s="6"/>
      <c r="V709" s="6"/>
      <c r="W709" s="6"/>
      <c r="X709" s="6"/>
      <c r="Y709" s="6"/>
      <c r="Z709" s="6"/>
      <c r="AA709" s="6"/>
      <c r="AB709" s="6"/>
      <c r="AC709" s="6"/>
      <c r="AD709" s="7"/>
    </row>
    <row r="710" spans="1:30" ht="13">
      <c r="A710" s="20"/>
      <c r="B710" s="20"/>
      <c r="C710" s="23"/>
      <c r="D710" s="17"/>
      <c r="E710" s="6"/>
      <c r="F710" s="6"/>
      <c r="G710" s="6"/>
      <c r="H710" s="6"/>
      <c r="I710" s="17"/>
      <c r="J710" s="6"/>
      <c r="K710" s="6"/>
      <c r="L710" s="17"/>
      <c r="M710" s="6"/>
      <c r="N710" s="6"/>
      <c r="O710" s="6"/>
      <c r="P710" s="6"/>
      <c r="Q710" s="6"/>
      <c r="R710" s="6"/>
      <c r="S710" s="6"/>
      <c r="T710" s="6"/>
      <c r="U710" s="6"/>
      <c r="V710" s="6"/>
      <c r="W710" s="6"/>
      <c r="X710" s="6"/>
      <c r="Y710" s="6"/>
      <c r="Z710" s="6"/>
      <c r="AA710" s="6"/>
      <c r="AB710" s="6"/>
      <c r="AC710" s="6"/>
      <c r="AD710" s="7"/>
    </row>
    <row r="711" spans="1:30" ht="13">
      <c r="A711" s="20"/>
      <c r="B711" s="20"/>
      <c r="C711" s="23"/>
      <c r="D711" s="17"/>
      <c r="E711" s="6"/>
      <c r="F711" s="6"/>
      <c r="G711" s="6"/>
      <c r="H711" s="6"/>
      <c r="I711" s="17"/>
      <c r="J711" s="6"/>
      <c r="K711" s="6"/>
      <c r="L711" s="17"/>
      <c r="M711" s="6"/>
      <c r="N711" s="6"/>
      <c r="O711" s="6"/>
      <c r="P711" s="6"/>
      <c r="Q711" s="6"/>
      <c r="R711" s="6"/>
      <c r="S711" s="6"/>
      <c r="T711" s="6"/>
      <c r="U711" s="6"/>
      <c r="V711" s="6"/>
      <c r="W711" s="6"/>
      <c r="X711" s="6"/>
      <c r="Y711" s="6"/>
      <c r="Z711" s="6"/>
      <c r="AA711" s="6"/>
      <c r="AB711" s="6"/>
      <c r="AC711" s="6"/>
      <c r="AD711" s="7"/>
    </row>
    <row r="712" spans="1:30" ht="13">
      <c r="A712" s="20"/>
      <c r="B712" s="20"/>
      <c r="C712" s="23"/>
      <c r="D712" s="17"/>
      <c r="E712" s="6"/>
      <c r="F712" s="6"/>
      <c r="G712" s="6"/>
      <c r="H712" s="6"/>
      <c r="I712" s="17"/>
      <c r="J712" s="6"/>
      <c r="K712" s="6"/>
      <c r="L712" s="17"/>
      <c r="M712" s="6"/>
      <c r="N712" s="6"/>
      <c r="O712" s="6"/>
      <c r="P712" s="6"/>
      <c r="Q712" s="6"/>
      <c r="R712" s="6"/>
      <c r="S712" s="6"/>
      <c r="T712" s="6"/>
      <c r="U712" s="6"/>
      <c r="V712" s="6"/>
      <c r="W712" s="6"/>
      <c r="X712" s="6"/>
      <c r="Y712" s="6"/>
      <c r="Z712" s="6"/>
      <c r="AA712" s="6"/>
      <c r="AB712" s="6"/>
      <c r="AC712" s="6"/>
      <c r="AD712" s="7"/>
    </row>
    <row r="713" spans="1:30" ht="13">
      <c r="A713" s="20"/>
      <c r="B713" s="20"/>
      <c r="C713" s="23"/>
      <c r="D713" s="17"/>
      <c r="E713" s="6"/>
      <c r="F713" s="6"/>
      <c r="G713" s="6"/>
      <c r="H713" s="6"/>
      <c r="I713" s="17"/>
      <c r="J713" s="6"/>
      <c r="K713" s="6"/>
      <c r="L713" s="17"/>
      <c r="M713" s="6"/>
      <c r="N713" s="6"/>
      <c r="O713" s="6"/>
      <c r="P713" s="6"/>
      <c r="Q713" s="6"/>
      <c r="R713" s="6"/>
      <c r="S713" s="6"/>
      <c r="T713" s="6"/>
      <c r="U713" s="6"/>
      <c r="V713" s="6"/>
      <c r="W713" s="6"/>
      <c r="X713" s="6"/>
      <c r="Y713" s="6"/>
      <c r="Z713" s="6"/>
      <c r="AA713" s="6"/>
      <c r="AB713" s="6"/>
      <c r="AC713" s="6"/>
      <c r="AD713" s="7"/>
    </row>
    <row r="714" spans="1:30" ht="13">
      <c r="A714" s="20"/>
      <c r="B714" s="20"/>
      <c r="C714" s="23"/>
      <c r="D714" s="17"/>
      <c r="E714" s="6"/>
      <c r="F714" s="6"/>
      <c r="G714" s="6"/>
      <c r="H714" s="6"/>
      <c r="I714" s="17"/>
      <c r="J714" s="6"/>
      <c r="K714" s="6"/>
      <c r="L714" s="17"/>
      <c r="M714" s="6"/>
      <c r="N714" s="6"/>
      <c r="O714" s="6"/>
      <c r="P714" s="6"/>
      <c r="Q714" s="6"/>
      <c r="R714" s="6"/>
      <c r="S714" s="6"/>
      <c r="T714" s="6"/>
      <c r="U714" s="6"/>
      <c r="V714" s="6"/>
      <c r="W714" s="6"/>
      <c r="X714" s="6"/>
      <c r="Y714" s="6"/>
      <c r="Z714" s="6"/>
      <c r="AA714" s="6"/>
      <c r="AB714" s="6"/>
      <c r="AC714" s="6"/>
      <c r="AD714" s="7"/>
    </row>
    <row r="715" spans="1:30" ht="13">
      <c r="A715" s="20"/>
      <c r="B715" s="20"/>
      <c r="C715" s="23"/>
      <c r="D715" s="17"/>
      <c r="E715" s="6"/>
      <c r="F715" s="6"/>
      <c r="G715" s="6"/>
      <c r="H715" s="6"/>
      <c r="I715" s="17"/>
      <c r="J715" s="6"/>
      <c r="K715" s="6"/>
      <c r="L715" s="17"/>
      <c r="M715" s="6"/>
      <c r="N715" s="6"/>
      <c r="O715" s="6"/>
      <c r="P715" s="6"/>
      <c r="Q715" s="6"/>
      <c r="R715" s="6"/>
      <c r="S715" s="6"/>
      <c r="T715" s="6"/>
      <c r="U715" s="6"/>
      <c r="V715" s="6"/>
      <c r="W715" s="6"/>
      <c r="X715" s="6"/>
      <c r="Y715" s="6"/>
      <c r="Z715" s="6"/>
      <c r="AA715" s="6"/>
      <c r="AB715" s="6"/>
      <c r="AC715" s="6"/>
      <c r="AD715" s="7"/>
    </row>
    <row r="716" spans="1:30" ht="13">
      <c r="A716" s="20"/>
      <c r="B716" s="20"/>
      <c r="C716" s="23"/>
      <c r="D716" s="17"/>
      <c r="E716" s="6"/>
      <c r="F716" s="6"/>
      <c r="G716" s="6"/>
      <c r="H716" s="6"/>
      <c r="I716" s="17"/>
      <c r="J716" s="6"/>
      <c r="K716" s="6"/>
      <c r="L716" s="17"/>
      <c r="M716" s="6"/>
      <c r="N716" s="6"/>
      <c r="O716" s="6"/>
      <c r="P716" s="6"/>
      <c r="Q716" s="6"/>
      <c r="R716" s="6"/>
      <c r="S716" s="6"/>
      <c r="T716" s="6"/>
      <c r="U716" s="6"/>
      <c r="V716" s="6"/>
      <c r="W716" s="6"/>
      <c r="X716" s="6"/>
      <c r="Y716" s="6"/>
      <c r="Z716" s="6"/>
      <c r="AA716" s="6"/>
      <c r="AB716" s="6"/>
      <c r="AC716" s="6"/>
      <c r="AD716" s="7"/>
    </row>
    <row r="717" spans="1:30" ht="13">
      <c r="A717" s="20"/>
      <c r="B717" s="20"/>
      <c r="C717" s="23"/>
      <c r="D717" s="17"/>
      <c r="E717" s="6"/>
      <c r="F717" s="6"/>
      <c r="G717" s="6"/>
      <c r="H717" s="6"/>
      <c r="I717" s="17"/>
      <c r="J717" s="6"/>
      <c r="K717" s="6"/>
      <c r="L717" s="17"/>
      <c r="M717" s="6"/>
      <c r="N717" s="6"/>
      <c r="O717" s="6"/>
      <c r="P717" s="6"/>
      <c r="Q717" s="6"/>
      <c r="R717" s="6"/>
      <c r="S717" s="6"/>
      <c r="T717" s="6"/>
      <c r="U717" s="6"/>
      <c r="V717" s="6"/>
      <c r="W717" s="6"/>
      <c r="X717" s="6"/>
      <c r="Y717" s="6"/>
      <c r="Z717" s="6"/>
      <c r="AA717" s="6"/>
      <c r="AB717" s="6"/>
      <c r="AC717" s="6"/>
      <c r="AD717" s="7"/>
    </row>
    <row r="718" spans="1:30" ht="13">
      <c r="A718" s="20"/>
      <c r="B718" s="20"/>
      <c r="C718" s="23"/>
      <c r="D718" s="17"/>
      <c r="E718" s="6"/>
      <c r="F718" s="6"/>
      <c r="G718" s="6"/>
      <c r="H718" s="6"/>
      <c r="I718" s="17"/>
      <c r="J718" s="6"/>
      <c r="K718" s="6"/>
      <c r="L718" s="17"/>
      <c r="M718" s="6"/>
      <c r="N718" s="6"/>
      <c r="O718" s="6"/>
      <c r="P718" s="6"/>
      <c r="Q718" s="6"/>
      <c r="R718" s="6"/>
      <c r="S718" s="6"/>
      <c r="T718" s="6"/>
      <c r="U718" s="6"/>
      <c r="V718" s="6"/>
      <c r="W718" s="6"/>
      <c r="X718" s="6"/>
      <c r="Y718" s="6"/>
      <c r="Z718" s="6"/>
      <c r="AA718" s="6"/>
      <c r="AB718" s="6"/>
      <c r="AC718" s="6"/>
      <c r="AD718" s="7"/>
    </row>
    <row r="719" spans="1:30" ht="13">
      <c r="A719" s="20"/>
      <c r="B719" s="20"/>
      <c r="C719" s="23"/>
      <c r="D719" s="17"/>
      <c r="E719" s="6"/>
      <c r="F719" s="6"/>
      <c r="G719" s="6"/>
      <c r="H719" s="6"/>
      <c r="I719" s="17"/>
      <c r="J719" s="6"/>
      <c r="K719" s="6"/>
      <c r="L719" s="17"/>
      <c r="M719" s="6"/>
      <c r="N719" s="6"/>
      <c r="O719" s="6"/>
      <c r="P719" s="6"/>
      <c r="Q719" s="6"/>
      <c r="R719" s="6"/>
      <c r="S719" s="6"/>
      <c r="T719" s="6"/>
      <c r="U719" s="6"/>
      <c r="V719" s="6"/>
      <c r="W719" s="6"/>
      <c r="X719" s="6"/>
      <c r="Y719" s="6"/>
      <c r="Z719" s="6"/>
      <c r="AA719" s="6"/>
      <c r="AB719" s="6"/>
      <c r="AC719" s="6"/>
      <c r="AD719" s="7"/>
    </row>
    <row r="720" spans="1:30" ht="13">
      <c r="A720" s="20"/>
      <c r="B720" s="20"/>
      <c r="C720" s="23"/>
      <c r="D720" s="17"/>
      <c r="E720" s="6"/>
      <c r="F720" s="6"/>
      <c r="G720" s="6"/>
      <c r="H720" s="6"/>
      <c r="I720" s="17"/>
      <c r="J720" s="6"/>
      <c r="K720" s="6"/>
      <c r="L720" s="17"/>
      <c r="M720" s="6"/>
      <c r="N720" s="6"/>
      <c r="O720" s="6"/>
      <c r="P720" s="6"/>
      <c r="Q720" s="6"/>
      <c r="R720" s="6"/>
      <c r="S720" s="6"/>
      <c r="T720" s="6"/>
      <c r="U720" s="6"/>
      <c r="V720" s="6"/>
      <c r="W720" s="6"/>
      <c r="X720" s="6"/>
      <c r="Y720" s="6"/>
      <c r="Z720" s="6"/>
      <c r="AA720" s="6"/>
      <c r="AB720" s="6"/>
      <c r="AC720" s="6"/>
      <c r="AD720" s="7"/>
    </row>
    <row r="721" spans="1:30" ht="13">
      <c r="A721" s="20"/>
      <c r="B721" s="20"/>
      <c r="C721" s="23"/>
      <c r="D721" s="17"/>
      <c r="E721" s="6"/>
      <c r="F721" s="6"/>
      <c r="G721" s="6"/>
      <c r="H721" s="6"/>
      <c r="I721" s="17"/>
      <c r="J721" s="6"/>
      <c r="K721" s="6"/>
      <c r="L721" s="17"/>
      <c r="M721" s="6"/>
      <c r="N721" s="6"/>
      <c r="O721" s="6"/>
      <c r="P721" s="6"/>
      <c r="Q721" s="6"/>
      <c r="R721" s="6"/>
      <c r="S721" s="6"/>
      <c r="T721" s="6"/>
      <c r="U721" s="6"/>
      <c r="V721" s="6"/>
      <c r="W721" s="6"/>
      <c r="X721" s="6"/>
      <c r="Y721" s="6"/>
      <c r="Z721" s="6"/>
      <c r="AA721" s="6"/>
      <c r="AB721" s="6"/>
      <c r="AC721" s="6"/>
      <c r="AD721" s="7"/>
    </row>
    <row r="722" spans="1:30" ht="13">
      <c r="A722" s="20"/>
      <c r="B722" s="20"/>
      <c r="C722" s="23"/>
      <c r="D722" s="17"/>
      <c r="E722" s="6"/>
      <c r="F722" s="6"/>
      <c r="G722" s="6"/>
      <c r="H722" s="6"/>
      <c r="I722" s="17"/>
      <c r="J722" s="6"/>
      <c r="K722" s="6"/>
      <c r="L722" s="17"/>
      <c r="M722" s="6"/>
      <c r="N722" s="6"/>
      <c r="O722" s="6"/>
      <c r="P722" s="6"/>
      <c r="Q722" s="6"/>
      <c r="R722" s="6"/>
      <c r="S722" s="6"/>
      <c r="T722" s="6"/>
      <c r="U722" s="6"/>
      <c r="V722" s="6"/>
      <c r="W722" s="6"/>
      <c r="X722" s="6"/>
      <c r="Y722" s="6"/>
      <c r="Z722" s="6"/>
      <c r="AA722" s="6"/>
      <c r="AB722" s="6"/>
      <c r="AC722" s="6"/>
      <c r="AD722" s="7"/>
    </row>
    <row r="723" spans="1:30" ht="13">
      <c r="A723" s="20"/>
      <c r="B723" s="20"/>
      <c r="C723" s="23"/>
      <c r="D723" s="17"/>
      <c r="E723" s="6"/>
      <c r="F723" s="6"/>
      <c r="G723" s="6"/>
      <c r="H723" s="6"/>
      <c r="I723" s="17"/>
      <c r="J723" s="6"/>
      <c r="K723" s="6"/>
      <c r="L723" s="17"/>
      <c r="M723" s="6"/>
      <c r="N723" s="6"/>
      <c r="O723" s="6"/>
      <c r="P723" s="6"/>
      <c r="Q723" s="6"/>
      <c r="R723" s="6"/>
      <c r="S723" s="6"/>
      <c r="T723" s="6"/>
      <c r="U723" s="6"/>
      <c r="V723" s="6"/>
      <c r="W723" s="6"/>
      <c r="X723" s="6"/>
      <c r="Y723" s="6"/>
      <c r="Z723" s="6"/>
      <c r="AA723" s="6"/>
      <c r="AB723" s="6"/>
      <c r="AC723" s="6"/>
      <c r="AD723" s="7"/>
    </row>
    <row r="724" spans="1:30" ht="13">
      <c r="A724" s="20"/>
      <c r="B724" s="20"/>
      <c r="C724" s="23"/>
      <c r="D724" s="17"/>
      <c r="E724" s="6"/>
      <c r="F724" s="6"/>
      <c r="G724" s="6"/>
      <c r="H724" s="6"/>
      <c r="I724" s="17"/>
      <c r="J724" s="6"/>
      <c r="K724" s="6"/>
      <c r="L724" s="17"/>
      <c r="M724" s="6"/>
      <c r="N724" s="6"/>
      <c r="O724" s="6"/>
      <c r="P724" s="6"/>
      <c r="Q724" s="6"/>
      <c r="R724" s="6"/>
      <c r="S724" s="6"/>
      <c r="T724" s="6"/>
      <c r="U724" s="6"/>
      <c r="V724" s="6"/>
      <c r="W724" s="6"/>
      <c r="X724" s="6"/>
      <c r="Y724" s="6"/>
      <c r="Z724" s="6"/>
      <c r="AA724" s="6"/>
      <c r="AB724" s="6"/>
      <c r="AC724" s="6"/>
      <c r="AD724" s="7"/>
    </row>
    <row r="725" spans="1:30" ht="13">
      <c r="A725" s="20"/>
      <c r="B725" s="20"/>
      <c r="C725" s="23"/>
      <c r="D725" s="17"/>
      <c r="E725" s="6"/>
      <c r="F725" s="6"/>
      <c r="G725" s="6"/>
      <c r="H725" s="6"/>
      <c r="I725" s="17"/>
      <c r="J725" s="6"/>
      <c r="K725" s="6"/>
      <c r="L725" s="17"/>
      <c r="M725" s="6"/>
      <c r="N725" s="6"/>
      <c r="O725" s="6"/>
      <c r="P725" s="6"/>
      <c r="Q725" s="6"/>
      <c r="R725" s="6"/>
      <c r="S725" s="6"/>
      <c r="T725" s="6"/>
      <c r="U725" s="6"/>
      <c r="V725" s="6"/>
      <c r="W725" s="6"/>
      <c r="X725" s="6"/>
      <c r="Y725" s="6"/>
      <c r="Z725" s="6"/>
      <c r="AA725" s="6"/>
      <c r="AB725" s="6"/>
      <c r="AC725" s="6"/>
      <c r="AD725" s="7"/>
    </row>
    <row r="726" spans="1:30" ht="13">
      <c r="A726" s="20"/>
      <c r="B726" s="20"/>
      <c r="C726" s="23"/>
      <c r="D726" s="17"/>
      <c r="E726" s="6"/>
      <c r="F726" s="6"/>
      <c r="G726" s="6"/>
      <c r="H726" s="6"/>
      <c r="I726" s="17"/>
      <c r="J726" s="6"/>
      <c r="K726" s="6"/>
      <c r="L726" s="17"/>
      <c r="M726" s="6"/>
      <c r="N726" s="6"/>
      <c r="O726" s="6"/>
      <c r="P726" s="6"/>
      <c r="Q726" s="6"/>
      <c r="R726" s="6"/>
      <c r="S726" s="6"/>
      <c r="T726" s="6"/>
      <c r="U726" s="6"/>
      <c r="V726" s="6"/>
      <c r="W726" s="6"/>
      <c r="X726" s="6"/>
      <c r="Y726" s="6"/>
      <c r="Z726" s="6"/>
      <c r="AA726" s="6"/>
      <c r="AB726" s="6"/>
      <c r="AC726" s="6"/>
      <c r="AD726" s="7"/>
    </row>
    <row r="727" spans="1:30" ht="13">
      <c r="A727" s="20"/>
      <c r="B727" s="20"/>
      <c r="C727" s="23"/>
      <c r="D727" s="17"/>
      <c r="E727" s="6"/>
      <c r="F727" s="6"/>
      <c r="G727" s="6"/>
      <c r="H727" s="6"/>
      <c r="I727" s="17"/>
      <c r="J727" s="6"/>
      <c r="K727" s="6"/>
      <c r="L727" s="17"/>
      <c r="M727" s="6"/>
      <c r="N727" s="6"/>
      <c r="O727" s="6"/>
      <c r="P727" s="6"/>
      <c r="Q727" s="6"/>
      <c r="R727" s="6"/>
      <c r="S727" s="6"/>
      <c r="T727" s="6"/>
      <c r="U727" s="6"/>
      <c r="V727" s="6"/>
      <c r="W727" s="6"/>
      <c r="X727" s="6"/>
      <c r="Y727" s="6"/>
      <c r="Z727" s="6"/>
      <c r="AA727" s="6"/>
      <c r="AB727" s="6"/>
      <c r="AC727" s="6"/>
      <c r="AD727" s="7"/>
    </row>
    <row r="728" spans="1:30" ht="13">
      <c r="A728" s="20"/>
      <c r="B728" s="20"/>
      <c r="C728" s="23"/>
      <c r="D728" s="17"/>
      <c r="E728" s="6"/>
      <c r="F728" s="6"/>
      <c r="G728" s="6"/>
      <c r="H728" s="6"/>
      <c r="I728" s="17"/>
      <c r="J728" s="6"/>
      <c r="K728" s="6"/>
      <c r="L728" s="17"/>
      <c r="M728" s="6"/>
      <c r="N728" s="6"/>
      <c r="O728" s="6"/>
      <c r="P728" s="6"/>
      <c r="Q728" s="6"/>
      <c r="R728" s="6"/>
      <c r="S728" s="6"/>
      <c r="T728" s="6"/>
      <c r="U728" s="6"/>
      <c r="V728" s="6"/>
      <c r="W728" s="6"/>
      <c r="X728" s="6"/>
      <c r="Y728" s="6"/>
      <c r="Z728" s="6"/>
      <c r="AA728" s="6"/>
      <c r="AB728" s="6"/>
      <c r="AC728" s="6"/>
      <c r="AD728" s="7"/>
    </row>
    <row r="729" spans="1:30" ht="13">
      <c r="A729" s="20"/>
      <c r="B729" s="20"/>
      <c r="C729" s="23"/>
      <c r="D729" s="17"/>
      <c r="E729" s="6"/>
      <c r="F729" s="6"/>
      <c r="G729" s="6"/>
      <c r="H729" s="6"/>
      <c r="I729" s="17"/>
      <c r="J729" s="6"/>
      <c r="K729" s="6"/>
      <c r="L729" s="17"/>
      <c r="M729" s="6"/>
      <c r="N729" s="6"/>
      <c r="O729" s="6"/>
      <c r="P729" s="6"/>
      <c r="Q729" s="6"/>
      <c r="R729" s="6"/>
      <c r="S729" s="6"/>
      <c r="T729" s="6"/>
      <c r="U729" s="6"/>
      <c r="V729" s="6"/>
      <c r="W729" s="6"/>
      <c r="X729" s="6"/>
      <c r="Y729" s="6"/>
      <c r="Z729" s="6"/>
      <c r="AA729" s="6"/>
      <c r="AB729" s="6"/>
      <c r="AC729" s="6"/>
      <c r="AD729" s="7"/>
    </row>
    <row r="730" spans="1:30" ht="13">
      <c r="A730" s="20"/>
      <c r="B730" s="20"/>
      <c r="C730" s="23"/>
      <c r="D730" s="17"/>
      <c r="E730" s="6"/>
      <c r="F730" s="6"/>
      <c r="G730" s="6"/>
      <c r="H730" s="6"/>
      <c r="I730" s="17"/>
      <c r="J730" s="6"/>
      <c r="K730" s="6"/>
      <c r="L730" s="17"/>
      <c r="M730" s="6"/>
      <c r="N730" s="6"/>
      <c r="O730" s="6"/>
      <c r="P730" s="6"/>
      <c r="Q730" s="6"/>
      <c r="R730" s="6"/>
      <c r="S730" s="6"/>
      <c r="T730" s="6"/>
      <c r="U730" s="6"/>
      <c r="V730" s="6"/>
      <c r="W730" s="6"/>
      <c r="X730" s="6"/>
      <c r="Y730" s="6"/>
      <c r="Z730" s="6"/>
      <c r="AA730" s="6"/>
      <c r="AB730" s="6"/>
      <c r="AC730" s="6"/>
      <c r="AD730" s="7"/>
    </row>
    <row r="731" spans="1:30" ht="13">
      <c r="A731" s="20"/>
      <c r="B731" s="20"/>
      <c r="C731" s="23"/>
      <c r="D731" s="17"/>
      <c r="E731" s="6"/>
      <c r="F731" s="6"/>
      <c r="G731" s="6"/>
      <c r="H731" s="6"/>
      <c r="I731" s="17"/>
      <c r="J731" s="6"/>
      <c r="K731" s="6"/>
      <c r="L731" s="17"/>
      <c r="M731" s="6"/>
      <c r="N731" s="6"/>
      <c r="O731" s="6"/>
      <c r="P731" s="6"/>
      <c r="Q731" s="6"/>
      <c r="R731" s="6"/>
      <c r="S731" s="6"/>
      <c r="T731" s="6"/>
      <c r="U731" s="6"/>
      <c r="V731" s="6"/>
      <c r="W731" s="6"/>
      <c r="X731" s="6"/>
      <c r="Y731" s="6"/>
      <c r="Z731" s="6"/>
      <c r="AA731" s="6"/>
      <c r="AB731" s="6"/>
      <c r="AC731" s="6"/>
      <c r="AD731" s="7"/>
    </row>
    <row r="732" spans="1:30" ht="13">
      <c r="A732" s="20"/>
      <c r="B732" s="20"/>
      <c r="C732" s="23"/>
      <c r="D732" s="17"/>
      <c r="E732" s="6"/>
      <c r="F732" s="6"/>
      <c r="G732" s="6"/>
      <c r="H732" s="6"/>
      <c r="I732" s="17"/>
      <c r="J732" s="6"/>
      <c r="K732" s="6"/>
      <c r="L732" s="17"/>
      <c r="M732" s="6"/>
      <c r="N732" s="6"/>
      <c r="O732" s="6"/>
      <c r="P732" s="6"/>
      <c r="Q732" s="6"/>
      <c r="R732" s="6"/>
      <c r="S732" s="6"/>
      <c r="T732" s="6"/>
      <c r="U732" s="6"/>
      <c r="V732" s="6"/>
      <c r="W732" s="6"/>
      <c r="X732" s="6"/>
      <c r="Y732" s="6"/>
      <c r="Z732" s="6"/>
      <c r="AA732" s="6"/>
      <c r="AB732" s="6"/>
      <c r="AC732" s="6"/>
      <c r="AD732" s="7"/>
    </row>
    <row r="733" spans="1:30" ht="13">
      <c r="A733" s="20"/>
      <c r="B733" s="20"/>
      <c r="C733" s="23"/>
      <c r="D733" s="17"/>
      <c r="E733" s="6"/>
      <c r="F733" s="6"/>
      <c r="G733" s="6"/>
      <c r="H733" s="6"/>
      <c r="I733" s="17"/>
      <c r="J733" s="6"/>
      <c r="K733" s="6"/>
      <c r="L733" s="17"/>
      <c r="M733" s="6"/>
      <c r="N733" s="6"/>
      <c r="O733" s="6"/>
      <c r="P733" s="6"/>
      <c r="Q733" s="6"/>
      <c r="R733" s="6"/>
      <c r="S733" s="6"/>
      <c r="T733" s="6"/>
      <c r="U733" s="6"/>
      <c r="V733" s="6"/>
      <c r="W733" s="6"/>
      <c r="X733" s="6"/>
      <c r="Y733" s="6"/>
      <c r="Z733" s="6"/>
      <c r="AA733" s="6"/>
      <c r="AB733" s="6"/>
      <c r="AC733" s="6"/>
      <c r="AD733" s="7"/>
    </row>
    <row r="734" spans="1:30" ht="13">
      <c r="A734" s="20"/>
      <c r="B734" s="20"/>
      <c r="C734" s="23"/>
      <c r="D734" s="17"/>
      <c r="E734" s="6"/>
      <c r="F734" s="6"/>
      <c r="G734" s="6"/>
      <c r="H734" s="6"/>
      <c r="I734" s="17"/>
      <c r="J734" s="6"/>
      <c r="K734" s="6"/>
      <c r="L734" s="17"/>
      <c r="M734" s="6"/>
      <c r="N734" s="6"/>
      <c r="O734" s="6"/>
      <c r="P734" s="6"/>
      <c r="Q734" s="6"/>
      <c r="R734" s="6"/>
      <c r="S734" s="6"/>
      <c r="T734" s="6"/>
      <c r="U734" s="6"/>
      <c r="V734" s="6"/>
      <c r="W734" s="6"/>
      <c r="X734" s="6"/>
      <c r="Y734" s="6"/>
      <c r="Z734" s="6"/>
      <c r="AA734" s="6"/>
      <c r="AB734" s="6"/>
      <c r="AC734" s="6"/>
      <c r="AD734" s="7"/>
    </row>
    <row r="735" spans="1:30" ht="13">
      <c r="A735" s="20"/>
      <c r="B735" s="20"/>
      <c r="C735" s="23"/>
      <c r="D735" s="17"/>
      <c r="E735" s="6"/>
      <c r="F735" s="6"/>
      <c r="G735" s="6"/>
      <c r="H735" s="6"/>
      <c r="I735" s="17"/>
      <c r="J735" s="6"/>
      <c r="K735" s="6"/>
      <c r="L735" s="17"/>
      <c r="M735" s="6"/>
      <c r="N735" s="6"/>
      <c r="O735" s="6"/>
      <c r="P735" s="6"/>
      <c r="Q735" s="6"/>
      <c r="R735" s="6"/>
      <c r="S735" s="6"/>
      <c r="T735" s="6"/>
      <c r="U735" s="6"/>
      <c r="V735" s="6"/>
      <c r="W735" s="6"/>
      <c r="X735" s="6"/>
      <c r="Y735" s="6"/>
      <c r="Z735" s="6"/>
      <c r="AA735" s="6"/>
      <c r="AB735" s="6"/>
      <c r="AC735" s="6"/>
      <c r="AD735" s="7"/>
    </row>
    <row r="736" spans="1:30" ht="13">
      <c r="A736" s="20"/>
      <c r="B736" s="20"/>
      <c r="C736" s="23"/>
      <c r="D736" s="17"/>
      <c r="E736" s="6"/>
      <c r="F736" s="6"/>
      <c r="G736" s="6"/>
      <c r="H736" s="6"/>
      <c r="I736" s="17"/>
      <c r="J736" s="6"/>
      <c r="K736" s="6"/>
      <c r="L736" s="17"/>
      <c r="M736" s="6"/>
      <c r="N736" s="6"/>
      <c r="O736" s="6"/>
      <c r="P736" s="6"/>
      <c r="Q736" s="6"/>
      <c r="R736" s="6"/>
      <c r="S736" s="6"/>
      <c r="T736" s="6"/>
      <c r="U736" s="6"/>
      <c r="V736" s="6"/>
      <c r="W736" s="6"/>
      <c r="X736" s="6"/>
      <c r="Y736" s="6"/>
      <c r="Z736" s="6"/>
      <c r="AA736" s="6"/>
      <c r="AB736" s="6"/>
      <c r="AC736" s="6"/>
      <c r="AD736" s="7"/>
    </row>
    <row r="737" spans="1:30" ht="13">
      <c r="A737" s="20"/>
      <c r="B737" s="20"/>
      <c r="C737" s="23"/>
      <c r="D737" s="17"/>
      <c r="E737" s="6"/>
      <c r="F737" s="6"/>
      <c r="G737" s="6"/>
      <c r="H737" s="6"/>
      <c r="I737" s="17"/>
      <c r="J737" s="6"/>
      <c r="K737" s="6"/>
      <c r="L737" s="17"/>
      <c r="M737" s="6"/>
      <c r="N737" s="6"/>
      <c r="O737" s="6"/>
      <c r="P737" s="6"/>
      <c r="Q737" s="6"/>
      <c r="R737" s="6"/>
      <c r="S737" s="6"/>
      <c r="T737" s="6"/>
      <c r="U737" s="6"/>
      <c r="V737" s="6"/>
      <c r="W737" s="6"/>
      <c r="X737" s="6"/>
      <c r="Y737" s="6"/>
      <c r="Z737" s="6"/>
      <c r="AA737" s="6"/>
      <c r="AB737" s="6"/>
      <c r="AC737" s="6"/>
      <c r="AD737" s="7"/>
    </row>
    <row r="738" spans="1:30" ht="13">
      <c r="A738" s="20"/>
      <c r="B738" s="20"/>
      <c r="C738" s="23"/>
      <c r="D738" s="17"/>
      <c r="E738" s="6"/>
      <c r="F738" s="6"/>
      <c r="G738" s="6"/>
      <c r="H738" s="6"/>
      <c r="I738" s="17"/>
      <c r="J738" s="6"/>
      <c r="K738" s="6"/>
      <c r="L738" s="17"/>
      <c r="M738" s="6"/>
      <c r="N738" s="6"/>
      <c r="O738" s="6"/>
      <c r="P738" s="6"/>
      <c r="Q738" s="6"/>
      <c r="R738" s="6"/>
      <c r="S738" s="6"/>
      <c r="T738" s="6"/>
      <c r="U738" s="6"/>
      <c r="V738" s="6"/>
      <c r="W738" s="6"/>
      <c r="X738" s="6"/>
      <c r="Y738" s="6"/>
      <c r="Z738" s="6"/>
      <c r="AA738" s="6"/>
      <c r="AB738" s="6"/>
      <c r="AC738" s="6"/>
      <c r="AD738" s="7"/>
    </row>
    <row r="739" spans="1:30" ht="13">
      <c r="A739" s="20"/>
      <c r="B739" s="20"/>
      <c r="C739" s="23"/>
      <c r="D739" s="17"/>
      <c r="E739" s="6"/>
      <c r="F739" s="6"/>
      <c r="G739" s="6"/>
      <c r="H739" s="6"/>
      <c r="I739" s="17"/>
      <c r="J739" s="6"/>
      <c r="K739" s="6"/>
      <c r="L739" s="17"/>
      <c r="M739" s="6"/>
      <c r="N739" s="6"/>
      <c r="O739" s="6"/>
      <c r="P739" s="6"/>
      <c r="Q739" s="6"/>
      <c r="R739" s="6"/>
      <c r="S739" s="6"/>
      <c r="T739" s="6"/>
      <c r="U739" s="6"/>
      <c r="V739" s="6"/>
      <c r="W739" s="6"/>
      <c r="X739" s="6"/>
      <c r="Y739" s="6"/>
      <c r="Z739" s="6"/>
      <c r="AA739" s="6"/>
      <c r="AB739" s="6"/>
      <c r="AC739" s="6"/>
      <c r="AD739" s="7"/>
    </row>
    <row r="740" spans="1:30" ht="13">
      <c r="A740" s="20"/>
      <c r="B740" s="20"/>
      <c r="C740" s="23"/>
      <c r="D740" s="17"/>
      <c r="E740" s="6"/>
      <c r="F740" s="6"/>
      <c r="G740" s="6"/>
      <c r="H740" s="6"/>
      <c r="I740" s="17"/>
      <c r="J740" s="6"/>
      <c r="K740" s="6"/>
      <c r="L740" s="17"/>
      <c r="M740" s="6"/>
      <c r="N740" s="6"/>
      <c r="O740" s="6"/>
      <c r="P740" s="6"/>
      <c r="Q740" s="6"/>
      <c r="R740" s="6"/>
      <c r="S740" s="6"/>
      <c r="T740" s="6"/>
      <c r="U740" s="6"/>
      <c r="V740" s="6"/>
      <c r="W740" s="6"/>
      <c r="X740" s="6"/>
      <c r="Y740" s="6"/>
      <c r="Z740" s="6"/>
      <c r="AA740" s="6"/>
      <c r="AB740" s="6"/>
      <c r="AC740" s="6"/>
      <c r="AD740" s="7"/>
    </row>
    <row r="741" spans="1:30" ht="13">
      <c r="A741" s="20"/>
      <c r="B741" s="20"/>
      <c r="C741" s="23"/>
      <c r="D741" s="17"/>
      <c r="E741" s="6"/>
      <c r="F741" s="6"/>
      <c r="G741" s="6"/>
      <c r="H741" s="6"/>
      <c r="I741" s="17"/>
      <c r="J741" s="6"/>
      <c r="K741" s="6"/>
      <c r="L741" s="17"/>
      <c r="M741" s="6"/>
      <c r="N741" s="6"/>
      <c r="O741" s="6"/>
      <c r="P741" s="6"/>
      <c r="Q741" s="6"/>
      <c r="R741" s="6"/>
      <c r="S741" s="6"/>
      <c r="T741" s="6"/>
      <c r="U741" s="6"/>
      <c r="V741" s="6"/>
      <c r="W741" s="6"/>
      <c r="X741" s="6"/>
      <c r="Y741" s="6"/>
      <c r="Z741" s="6"/>
      <c r="AA741" s="6"/>
      <c r="AB741" s="6"/>
      <c r="AC741" s="6"/>
      <c r="AD741" s="7"/>
    </row>
    <row r="742" spans="1:30" ht="13">
      <c r="A742" s="20"/>
      <c r="B742" s="20"/>
      <c r="C742" s="23"/>
      <c r="D742" s="17"/>
      <c r="E742" s="6"/>
      <c r="F742" s="6"/>
      <c r="G742" s="6"/>
      <c r="H742" s="6"/>
      <c r="I742" s="17"/>
      <c r="J742" s="6"/>
      <c r="K742" s="6"/>
      <c r="L742" s="17"/>
      <c r="M742" s="6"/>
      <c r="N742" s="6"/>
      <c r="O742" s="6"/>
      <c r="P742" s="6"/>
      <c r="Q742" s="6"/>
      <c r="R742" s="6"/>
      <c r="S742" s="6"/>
      <c r="T742" s="6"/>
      <c r="U742" s="6"/>
      <c r="V742" s="6"/>
      <c r="W742" s="6"/>
      <c r="X742" s="6"/>
      <c r="Y742" s="6"/>
      <c r="Z742" s="6"/>
      <c r="AA742" s="6"/>
      <c r="AB742" s="6"/>
      <c r="AC742" s="6"/>
      <c r="AD742" s="7"/>
    </row>
    <row r="743" spans="1:30" ht="13">
      <c r="A743" s="20"/>
      <c r="B743" s="20"/>
      <c r="C743" s="23"/>
      <c r="D743" s="17"/>
      <c r="E743" s="6"/>
      <c r="F743" s="6"/>
      <c r="G743" s="6"/>
      <c r="H743" s="6"/>
      <c r="I743" s="17"/>
      <c r="J743" s="6"/>
      <c r="K743" s="6"/>
      <c r="L743" s="17"/>
      <c r="M743" s="6"/>
      <c r="N743" s="6"/>
      <c r="O743" s="6"/>
      <c r="P743" s="6"/>
      <c r="Q743" s="6"/>
      <c r="R743" s="6"/>
      <c r="S743" s="6"/>
      <c r="T743" s="6"/>
      <c r="U743" s="6"/>
      <c r="V743" s="6"/>
      <c r="W743" s="6"/>
      <c r="X743" s="6"/>
      <c r="Y743" s="6"/>
      <c r="Z743" s="6"/>
      <c r="AA743" s="6"/>
      <c r="AB743" s="6"/>
      <c r="AC743" s="6"/>
      <c r="AD743" s="7"/>
    </row>
    <row r="744" spans="1:30" ht="13">
      <c r="A744" s="20"/>
      <c r="B744" s="20"/>
      <c r="C744" s="23"/>
      <c r="D744" s="17"/>
      <c r="E744" s="6"/>
      <c r="F744" s="6"/>
      <c r="G744" s="6"/>
      <c r="H744" s="6"/>
      <c r="I744" s="17"/>
      <c r="J744" s="6"/>
      <c r="K744" s="6"/>
      <c r="L744" s="17"/>
      <c r="M744" s="6"/>
      <c r="N744" s="6"/>
      <c r="O744" s="6"/>
      <c r="P744" s="6"/>
      <c r="Q744" s="6"/>
      <c r="R744" s="6"/>
      <c r="S744" s="6"/>
      <c r="T744" s="6"/>
      <c r="U744" s="6"/>
      <c r="V744" s="6"/>
      <c r="W744" s="6"/>
      <c r="X744" s="6"/>
      <c r="Y744" s="6"/>
      <c r="Z744" s="6"/>
      <c r="AA744" s="6"/>
      <c r="AB744" s="6"/>
      <c r="AC744" s="6"/>
      <c r="AD744" s="7"/>
    </row>
    <row r="745" spans="1:30" ht="13">
      <c r="A745" s="20"/>
      <c r="B745" s="20"/>
      <c r="C745" s="23"/>
      <c r="D745" s="17"/>
      <c r="E745" s="6"/>
      <c r="F745" s="6"/>
      <c r="G745" s="6"/>
      <c r="H745" s="6"/>
      <c r="I745" s="17"/>
      <c r="J745" s="6"/>
      <c r="K745" s="6"/>
      <c r="L745" s="17"/>
      <c r="M745" s="6"/>
      <c r="N745" s="6"/>
      <c r="O745" s="6"/>
      <c r="P745" s="6"/>
      <c r="Q745" s="6"/>
      <c r="R745" s="6"/>
      <c r="S745" s="6"/>
      <c r="T745" s="6"/>
      <c r="U745" s="6"/>
      <c r="V745" s="6"/>
      <c r="W745" s="6"/>
      <c r="X745" s="6"/>
      <c r="Y745" s="6"/>
      <c r="Z745" s="6"/>
      <c r="AA745" s="6"/>
      <c r="AB745" s="6"/>
      <c r="AC745" s="6"/>
      <c r="AD745" s="7"/>
    </row>
    <row r="746" spans="1:30" ht="13">
      <c r="A746" s="20"/>
      <c r="B746" s="20"/>
      <c r="C746" s="23"/>
      <c r="D746" s="17"/>
      <c r="E746" s="6"/>
      <c r="F746" s="6"/>
      <c r="G746" s="6"/>
      <c r="H746" s="6"/>
      <c r="I746" s="17"/>
      <c r="J746" s="6"/>
      <c r="K746" s="6"/>
      <c r="L746" s="17"/>
      <c r="M746" s="6"/>
      <c r="N746" s="6"/>
      <c r="O746" s="6"/>
      <c r="P746" s="6"/>
      <c r="Q746" s="6"/>
      <c r="R746" s="6"/>
      <c r="S746" s="6"/>
      <c r="T746" s="6"/>
      <c r="U746" s="6"/>
      <c r="V746" s="6"/>
      <c r="W746" s="6"/>
      <c r="X746" s="6"/>
      <c r="Y746" s="6"/>
      <c r="Z746" s="6"/>
      <c r="AA746" s="6"/>
      <c r="AB746" s="6"/>
      <c r="AC746" s="6"/>
      <c r="AD746" s="7"/>
    </row>
    <row r="747" spans="1:30" ht="13">
      <c r="A747" s="20"/>
      <c r="B747" s="20"/>
      <c r="C747" s="23"/>
      <c r="D747" s="17"/>
      <c r="E747" s="6"/>
      <c r="F747" s="6"/>
      <c r="G747" s="6"/>
      <c r="H747" s="6"/>
      <c r="I747" s="17"/>
      <c r="J747" s="6"/>
      <c r="K747" s="6"/>
      <c r="L747" s="17"/>
      <c r="M747" s="6"/>
      <c r="N747" s="6"/>
      <c r="O747" s="6"/>
      <c r="P747" s="6"/>
      <c r="Q747" s="6"/>
      <c r="R747" s="6"/>
      <c r="S747" s="6"/>
      <c r="T747" s="6"/>
      <c r="U747" s="6"/>
      <c r="V747" s="6"/>
      <c r="W747" s="6"/>
      <c r="X747" s="6"/>
      <c r="Y747" s="6"/>
      <c r="Z747" s="6"/>
      <c r="AA747" s="6"/>
      <c r="AB747" s="6"/>
      <c r="AC747" s="6"/>
      <c r="AD747" s="7"/>
    </row>
    <row r="748" spans="1:30" ht="13">
      <c r="A748" s="20"/>
      <c r="B748" s="20"/>
      <c r="C748" s="23"/>
      <c r="D748" s="17"/>
      <c r="E748" s="6"/>
      <c r="F748" s="6"/>
      <c r="G748" s="6"/>
      <c r="H748" s="6"/>
      <c r="I748" s="17"/>
      <c r="J748" s="6"/>
      <c r="K748" s="6"/>
      <c r="L748" s="17"/>
      <c r="M748" s="6"/>
      <c r="N748" s="6"/>
      <c r="O748" s="6"/>
      <c r="P748" s="6"/>
      <c r="Q748" s="6"/>
      <c r="R748" s="6"/>
      <c r="S748" s="6"/>
      <c r="T748" s="6"/>
      <c r="U748" s="6"/>
      <c r="V748" s="6"/>
      <c r="W748" s="6"/>
      <c r="X748" s="6"/>
      <c r="Y748" s="6"/>
      <c r="Z748" s="6"/>
      <c r="AA748" s="6"/>
      <c r="AB748" s="6"/>
      <c r="AC748" s="6"/>
      <c r="AD748" s="7"/>
    </row>
    <row r="749" spans="1:30" ht="13">
      <c r="A749" s="20"/>
      <c r="B749" s="20"/>
      <c r="C749" s="23"/>
      <c r="D749" s="17"/>
      <c r="E749" s="6"/>
      <c r="F749" s="6"/>
      <c r="G749" s="6"/>
      <c r="H749" s="6"/>
      <c r="I749" s="17"/>
      <c r="J749" s="6"/>
      <c r="K749" s="6"/>
      <c r="L749" s="17"/>
      <c r="M749" s="6"/>
      <c r="N749" s="6"/>
      <c r="O749" s="6"/>
      <c r="P749" s="6"/>
      <c r="Q749" s="6"/>
      <c r="R749" s="6"/>
      <c r="S749" s="6"/>
      <c r="T749" s="6"/>
      <c r="U749" s="6"/>
      <c r="V749" s="6"/>
      <c r="W749" s="6"/>
      <c r="X749" s="6"/>
      <c r="Y749" s="6"/>
      <c r="Z749" s="6"/>
      <c r="AA749" s="6"/>
      <c r="AB749" s="6"/>
      <c r="AC749" s="6"/>
      <c r="AD749" s="7"/>
    </row>
    <row r="750" spans="1:30" ht="13">
      <c r="A750" s="20"/>
      <c r="B750" s="20"/>
      <c r="C750" s="23"/>
      <c r="D750" s="17"/>
      <c r="E750" s="6"/>
      <c r="F750" s="6"/>
      <c r="G750" s="6"/>
      <c r="H750" s="6"/>
      <c r="I750" s="17"/>
      <c r="J750" s="6"/>
      <c r="K750" s="6"/>
      <c r="L750" s="17"/>
      <c r="M750" s="6"/>
      <c r="N750" s="6"/>
      <c r="O750" s="6"/>
      <c r="P750" s="6"/>
      <c r="Q750" s="6"/>
      <c r="R750" s="6"/>
      <c r="S750" s="6"/>
      <c r="T750" s="6"/>
      <c r="U750" s="6"/>
      <c r="V750" s="6"/>
      <c r="W750" s="6"/>
      <c r="X750" s="6"/>
      <c r="Y750" s="6"/>
      <c r="Z750" s="6"/>
      <c r="AA750" s="6"/>
      <c r="AB750" s="6"/>
      <c r="AC750" s="6"/>
      <c r="AD750" s="7"/>
    </row>
    <row r="751" spans="1:30" ht="13">
      <c r="A751" s="20"/>
      <c r="B751" s="20"/>
      <c r="C751" s="23"/>
      <c r="D751" s="17"/>
      <c r="E751" s="6"/>
      <c r="F751" s="6"/>
      <c r="G751" s="6"/>
      <c r="H751" s="6"/>
      <c r="I751" s="17"/>
      <c r="J751" s="6"/>
      <c r="K751" s="6"/>
      <c r="L751" s="17"/>
      <c r="M751" s="6"/>
      <c r="N751" s="6"/>
      <c r="O751" s="6"/>
      <c r="P751" s="6"/>
      <c r="Q751" s="6"/>
      <c r="R751" s="6"/>
      <c r="S751" s="6"/>
      <c r="T751" s="6"/>
      <c r="U751" s="6"/>
      <c r="V751" s="6"/>
      <c r="W751" s="6"/>
      <c r="X751" s="6"/>
      <c r="Y751" s="6"/>
      <c r="Z751" s="6"/>
      <c r="AA751" s="6"/>
      <c r="AB751" s="6"/>
      <c r="AC751" s="6"/>
      <c r="AD751" s="7"/>
    </row>
    <row r="752" spans="1:30" ht="13">
      <c r="A752" s="20"/>
      <c r="B752" s="20"/>
      <c r="C752" s="23"/>
      <c r="D752" s="17"/>
      <c r="E752" s="6"/>
      <c r="F752" s="6"/>
      <c r="G752" s="6"/>
      <c r="H752" s="6"/>
      <c r="I752" s="17"/>
      <c r="J752" s="6"/>
      <c r="K752" s="6"/>
      <c r="L752" s="17"/>
      <c r="M752" s="6"/>
      <c r="N752" s="6"/>
      <c r="O752" s="6"/>
      <c r="P752" s="6"/>
      <c r="Q752" s="6"/>
      <c r="R752" s="6"/>
      <c r="S752" s="6"/>
      <c r="T752" s="6"/>
      <c r="U752" s="6"/>
      <c r="V752" s="6"/>
      <c r="W752" s="6"/>
      <c r="X752" s="6"/>
      <c r="Y752" s="6"/>
      <c r="Z752" s="6"/>
      <c r="AA752" s="6"/>
      <c r="AB752" s="6"/>
      <c r="AC752" s="6"/>
      <c r="AD752" s="7"/>
    </row>
    <row r="753" spans="1:30" ht="13">
      <c r="A753" s="20"/>
      <c r="B753" s="20"/>
      <c r="C753" s="23"/>
      <c r="D753" s="17"/>
      <c r="E753" s="6"/>
      <c r="F753" s="6"/>
      <c r="G753" s="6"/>
      <c r="H753" s="6"/>
      <c r="I753" s="17"/>
      <c r="J753" s="6"/>
      <c r="K753" s="6"/>
      <c r="L753" s="17"/>
      <c r="M753" s="6"/>
      <c r="N753" s="6"/>
      <c r="O753" s="6"/>
      <c r="P753" s="6"/>
      <c r="Q753" s="6"/>
      <c r="R753" s="6"/>
      <c r="S753" s="6"/>
      <c r="T753" s="6"/>
      <c r="U753" s="6"/>
      <c r="V753" s="6"/>
      <c r="W753" s="6"/>
      <c r="X753" s="6"/>
      <c r="Y753" s="6"/>
      <c r="Z753" s="6"/>
      <c r="AA753" s="6"/>
      <c r="AB753" s="6"/>
      <c r="AC753" s="6"/>
      <c r="AD753" s="7"/>
    </row>
    <row r="754" spans="1:30" ht="13">
      <c r="A754" s="20"/>
      <c r="B754" s="20"/>
      <c r="C754" s="23"/>
      <c r="D754" s="17"/>
      <c r="E754" s="6"/>
      <c r="F754" s="6"/>
      <c r="G754" s="6"/>
      <c r="H754" s="6"/>
      <c r="I754" s="17"/>
      <c r="J754" s="6"/>
      <c r="K754" s="6"/>
      <c r="L754" s="17"/>
      <c r="M754" s="6"/>
      <c r="N754" s="6"/>
      <c r="O754" s="6"/>
      <c r="P754" s="6"/>
      <c r="Q754" s="6"/>
      <c r="R754" s="6"/>
      <c r="S754" s="6"/>
      <c r="T754" s="6"/>
      <c r="U754" s="6"/>
      <c r="V754" s="6"/>
      <c r="W754" s="6"/>
      <c r="X754" s="6"/>
      <c r="Y754" s="6"/>
      <c r="Z754" s="6"/>
      <c r="AA754" s="6"/>
      <c r="AB754" s="6"/>
      <c r="AC754" s="6"/>
      <c r="AD754" s="7"/>
    </row>
    <row r="755" spans="1:30" ht="13">
      <c r="A755" s="20"/>
      <c r="B755" s="20"/>
      <c r="C755" s="23"/>
      <c r="D755" s="17"/>
      <c r="E755" s="6"/>
      <c r="F755" s="6"/>
      <c r="G755" s="6"/>
      <c r="H755" s="6"/>
      <c r="I755" s="17"/>
      <c r="J755" s="6"/>
      <c r="K755" s="6"/>
      <c r="L755" s="17"/>
      <c r="M755" s="6"/>
      <c r="N755" s="6"/>
      <c r="O755" s="6"/>
      <c r="P755" s="6"/>
      <c r="Q755" s="6"/>
      <c r="R755" s="6"/>
      <c r="S755" s="6"/>
      <c r="T755" s="6"/>
      <c r="U755" s="6"/>
      <c r="V755" s="6"/>
      <c r="W755" s="6"/>
      <c r="X755" s="6"/>
      <c r="Y755" s="6"/>
      <c r="Z755" s="6"/>
      <c r="AA755" s="6"/>
      <c r="AB755" s="6"/>
      <c r="AC755" s="6"/>
      <c r="AD755" s="7"/>
    </row>
    <row r="756" spans="1:30" ht="13">
      <c r="A756" s="20"/>
      <c r="B756" s="20"/>
      <c r="C756" s="23"/>
      <c r="D756" s="17"/>
      <c r="E756" s="6"/>
      <c r="F756" s="6"/>
      <c r="G756" s="6"/>
      <c r="H756" s="6"/>
      <c r="I756" s="17"/>
      <c r="J756" s="6"/>
      <c r="K756" s="6"/>
      <c r="L756" s="17"/>
      <c r="M756" s="6"/>
      <c r="N756" s="6"/>
      <c r="O756" s="6"/>
      <c r="P756" s="6"/>
      <c r="Q756" s="6"/>
      <c r="R756" s="6"/>
      <c r="S756" s="6"/>
      <c r="T756" s="6"/>
      <c r="U756" s="6"/>
      <c r="V756" s="6"/>
      <c r="W756" s="6"/>
      <c r="X756" s="6"/>
      <c r="Y756" s="6"/>
      <c r="Z756" s="6"/>
      <c r="AA756" s="6"/>
      <c r="AB756" s="6"/>
      <c r="AC756" s="6"/>
      <c r="AD756" s="7"/>
    </row>
    <row r="757" spans="1:30" ht="13">
      <c r="A757" s="20"/>
      <c r="B757" s="20"/>
      <c r="C757" s="23"/>
      <c r="D757" s="17"/>
      <c r="E757" s="6"/>
      <c r="F757" s="6"/>
      <c r="G757" s="6"/>
      <c r="H757" s="6"/>
      <c r="I757" s="17"/>
      <c r="J757" s="6"/>
      <c r="K757" s="6"/>
      <c r="L757" s="17"/>
      <c r="M757" s="6"/>
      <c r="N757" s="6"/>
      <c r="O757" s="6"/>
      <c r="P757" s="6"/>
      <c r="Q757" s="6"/>
      <c r="R757" s="6"/>
      <c r="S757" s="6"/>
      <c r="T757" s="6"/>
      <c r="U757" s="6"/>
      <c r="V757" s="6"/>
      <c r="W757" s="6"/>
      <c r="X757" s="6"/>
      <c r="Y757" s="6"/>
      <c r="Z757" s="6"/>
      <c r="AA757" s="6"/>
      <c r="AB757" s="6"/>
      <c r="AC757" s="6"/>
      <c r="AD757" s="7"/>
    </row>
    <row r="758" spans="1:30" ht="13">
      <c r="A758" s="20"/>
      <c r="B758" s="20"/>
      <c r="C758" s="23"/>
      <c r="D758" s="17"/>
      <c r="E758" s="6"/>
      <c r="F758" s="6"/>
      <c r="G758" s="6"/>
      <c r="H758" s="6"/>
      <c r="I758" s="17"/>
      <c r="J758" s="6"/>
      <c r="K758" s="6"/>
      <c r="L758" s="17"/>
      <c r="M758" s="6"/>
      <c r="N758" s="6"/>
      <c r="O758" s="6"/>
      <c r="P758" s="6"/>
      <c r="Q758" s="6"/>
      <c r="R758" s="6"/>
      <c r="S758" s="6"/>
      <c r="T758" s="6"/>
      <c r="U758" s="6"/>
      <c r="V758" s="6"/>
      <c r="W758" s="6"/>
      <c r="X758" s="6"/>
      <c r="Y758" s="6"/>
      <c r="Z758" s="6"/>
      <c r="AA758" s="6"/>
      <c r="AB758" s="6"/>
      <c r="AC758" s="6"/>
      <c r="AD758" s="7"/>
    </row>
    <row r="759" spans="1:30" ht="13">
      <c r="A759" s="20"/>
      <c r="B759" s="20"/>
      <c r="C759" s="23"/>
      <c r="D759" s="17"/>
      <c r="E759" s="6"/>
      <c r="F759" s="6"/>
      <c r="G759" s="6"/>
      <c r="H759" s="6"/>
      <c r="I759" s="17"/>
      <c r="J759" s="6"/>
      <c r="K759" s="6"/>
      <c r="L759" s="17"/>
      <c r="M759" s="6"/>
      <c r="N759" s="6"/>
      <c r="O759" s="6"/>
      <c r="P759" s="6"/>
      <c r="Q759" s="6"/>
      <c r="R759" s="6"/>
      <c r="S759" s="6"/>
      <c r="T759" s="6"/>
      <c r="U759" s="6"/>
      <c r="V759" s="6"/>
      <c r="W759" s="6"/>
      <c r="X759" s="6"/>
      <c r="Y759" s="6"/>
      <c r="Z759" s="6"/>
      <c r="AA759" s="6"/>
      <c r="AB759" s="6"/>
      <c r="AC759" s="6"/>
      <c r="AD759" s="7"/>
    </row>
    <row r="760" spans="1:30" ht="13">
      <c r="A760" s="20"/>
      <c r="B760" s="20"/>
      <c r="C760" s="23"/>
      <c r="D760" s="17"/>
      <c r="E760" s="6"/>
      <c r="F760" s="6"/>
      <c r="G760" s="6"/>
      <c r="H760" s="6"/>
      <c r="I760" s="17"/>
      <c r="J760" s="6"/>
      <c r="K760" s="6"/>
      <c r="L760" s="17"/>
      <c r="M760" s="6"/>
      <c r="N760" s="6"/>
      <c r="O760" s="6"/>
      <c r="P760" s="6"/>
      <c r="Q760" s="6"/>
      <c r="R760" s="6"/>
      <c r="S760" s="6"/>
      <c r="T760" s="6"/>
      <c r="U760" s="6"/>
      <c r="V760" s="6"/>
      <c r="W760" s="6"/>
      <c r="X760" s="6"/>
      <c r="Y760" s="6"/>
      <c r="Z760" s="6"/>
      <c r="AA760" s="6"/>
      <c r="AB760" s="6"/>
      <c r="AC760" s="6"/>
      <c r="AD760" s="7"/>
    </row>
    <row r="761" spans="1:30" ht="13">
      <c r="A761" s="20"/>
      <c r="B761" s="20"/>
      <c r="C761" s="23"/>
      <c r="D761" s="17"/>
      <c r="E761" s="6"/>
      <c r="F761" s="6"/>
      <c r="G761" s="6"/>
      <c r="H761" s="6"/>
      <c r="I761" s="17"/>
      <c r="J761" s="6"/>
      <c r="K761" s="6"/>
      <c r="L761" s="17"/>
      <c r="M761" s="6"/>
      <c r="N761" s="6"/>
      <c r="O761" s="6"/>
      <c r="P761" s="6"/>
      <c r="Q761" s="6"/>
      <c r="R761" s="6"/>
      <c r="S761" s="6"/>
      <c r="T761" s="6"/>
      <c r="U761" s="6"/>
      <c r="V761" s="6"/>
      <c r="W761" s="6"/>
      <c r="X761" s="6"/>
      <c r="Y761" s="6"/>
      <c r="Z761" s="6"/>
      <c r="AA761" s="6"/>
      <c r="AB761" s="6"/>
      <c r="AC761" s="6"/>
      <c r="AD761" s="7"/>
    </row>
    <row r="762" spans="1:30" ht="13">
      <c r="A762" s="20"/>
      <c r="B762" s="20"/>
      <c r="C762" s="23"/>
      <c r="D762" s="17"/>
      <c r="E762" s="6"/>
      <c r="F762" s="6"/>
      <c r="G762" s="6"/>
      <c r="H762" s="6"/>
      <c r="I762" s="17"/>
      <c r="J762" s="6"/>
      <c r="K762" s="6"/>
      <c r="L762" s="17"/>
      <c r="M762" s="6"/>
      <c r="N762" s="6"/>
      <c r="O762" s="6"/>
      <c r="P762" s="6"/>
      <c r="Q762" s="6"/>
      <c r="R762" s="6"/>
      <c r="S762" s="6"/>
      <c r="T762" s="6"/>
      <c r="U762" s="6"/>
      <c r="V762" s="6"/>
      <c r="W762" s="6"/>
      <c r="X762" s="6"/>
      <c r="Y762" s="6"/>
      <c r="Z762" s="6"/>
      <c r="AA762" s="6"/>
      <c r="AB762" s="6"/>
      <c r="AC762" s="6"/>
      <c r="AD762" s="7"/>
    </row>
    <row r="763" spans="1:30" ht="13">
      <c r="A763" s="20"/>
      <c r="B763" s="20"/>
      <c r="C763" s="23"/>
      <c r="D763" s="17"/>
      <c r="E763" s="6"/>
      <c r="F763" s="6"/>
      <c r="G763" s="6"/>
      <c r="H763" s="6"/>
      <c r="I763" s="17"/>
      <c r="J763" s="6"/>
      <c r="K763" s="6"/>
      <c r="L763" s="17"/>
      <c r="M763" s="6"/>
      <c r="N763" s="6"/>
      <c r="O763" s="6"/>
      <c r="P763" s="6"/>
      <c r="Q763" s="6"/>
      <c r="R763" s="6"/>
      <c r="S763" s="6"/>
      <c r="T763" s="6"/>
      <c r="U763" s="6"/>
      <c r="V763" s="6"/>
      <c r="W763" s="6"/>
      <c r="X763" s="6"/>
      <c r="Y763" s="6"/>
      <c r="Z763" s="6"/>
      <c r="AA763" s="6"/>
      <c r="AB763" s="6"/>
      <c r="AC763" s="6"/>
      <c r="AD763" s="7"/>
    </row>
    <row r="764" spans="1:30" ht="13">
      <c r="A764" s="20"/>
      <c r="B764" s="20"/>
      <c r="C764" s="23"/>
      <c r="D764" s="17"/>
      <c r="E764" s="6"/>
      <c r="F764" s="6"/>
      <c r="G764" s="6"/>
      <c r="H764" s="6"/>
      <c r="I764" s="17"/>
      <c r="J764" s="6"/>
      <c r="K764" s="6"/>
      <c r="L764" s="17"/>
      <c r="M764" s="6"/>
      <c r="N764" s="6"/>
      <c r="O764" s="6"/>
      <c r="P764" s="6"/>
      <c r="Q764" s="6"/>
      <c r="R764" s="6"/>
      <c r="S764" s="6"/>
      <c r="T764" s="6"/>
      <c r="U764" s="6"/>
      <c r="V764" s="6"/>
      <c r="W764" s="6"/>
      <c r="X764" s="6"/>
      <c r="Y764" s="6"/>
      <c r="Z764" s="6"/>
      <c r="AA764" s="6"/>
      <c r="AB764" s="6"/>
      <c r="AC764" s="6"/>
      <c r="AD764" s="7"/>
    </row>
    <row r="765" spans="1:30" ht="13">
      <c r="A765" s="20"/>
      <c r="B765" s="20"/>
      <c r="C765" s="23"/>
      <c r="D765" s="17"/>
      <c r="E765" s="6"/>
      <c r="F765" s="6"/>
      <c r="G765" s="6"/>
      <c r="H765" s="6"/>
      <c r="I765" s="17"/>
      <c r="J765" s="6"/>
      <c r="K765" s="6"/>
      <c r="L765" s="17"/>
      <c r="M765" s="6"/>
      <c r="N765" s="6"/>
      <c r="O765" s="6"/>
      <c r="P765" s="6"/>
      <c r="Q765" s="6"/>
      <c r="R765" s="6"/>
      <c r="S765" s="6"/>
      <c r="T765" s="6"/>
      <c r="U765" s="6"/>
      <c r="V765" s="6"/>
      <c r="W765" s="6"/>
      <c r="X765" s="6"/>
      <c r="Y765" s="6"/>
      <c r="Z765" s="6"/>
      <c r="AA765" s="6"/>
      <c r="AB765" s="6"/>
      <c r="AC765" s="6"/>
      <c r="AD765" s="7"/>
    </row>
    <row r="766" spans="1:30" ht="13">
      <c r="A766" s="20"/>
      <c r="B766" s="20"/>
      <c r="C766" s="23"/>
      <c r="D766" s="17"/>
      <c r="E766" s="6"/>
      <c r="F766" s="6"/>
      <c r="G766" s="6"/>
      <c r="H766" s="6"/>
      <c r="I766" s="17"/>
      <c r="J766" s="6"/>
      <c r="K766" s="6"/>
      <c r="L766" s="17"/>
      <c r="M766" s="6"/>
      <c r="N766" s="6"/>
      <c r="O766" s="6"/>
      <c r="P766" s="6"/>
      <c r="Q766" s="6"/>
      <c r="R766" s="6"/>
      <c r="S766" s="6"/>
      <c r="T766" s="6"/>
      <c r="U766" s="6"/>
      <c r="V766" s="6"/>
      <c r="W766" s="6"/>
      <c r="X766" s="6"/>
      <c r="Y766" s="6"/>
      <c r="Z766" s="6"/>
      <c r="AA766" s="6"/>
      <c r="AB766" s="6"/>
      <c r="AC766" s="6"/>
      <c r="AD766" s="7"/>
    </row>
    <row r="767" spans="1:30" ht="13">
      <c r="A767" s="20"/>
      <c r="B767" s="20"/>
      <c r="C767" s="23"/>
      <c r="D767" s="17"/>
      <c r="E767" s="6"/>
      <c r="F767" s="6"/>
      <c r="G767" s="6"/>
      <c r="H767" s="6"/>
      <c r="I767" s="17"/>
      <c r="J767" s="6"/>
      <c r="K767" s="6"/>
      <c r="L767" s="17"/>
      <c r="M767" s="6"/>
      <c r="N767" s="6"/>
      <c r="O767" s="6"/>
      <c r="P767" s="6"/>
      <c r="Q767" s="6"/>
      <c r="R767" s="6"/>
      <c r="S767" s="6"/>
      <c r="T767" s="6"/>
      <c r="U767" s="6"/>
      <c r="V767" s="6"/>
      <c r="W767" s="6"/>
      <c r="X767" s="6"/>
      <c r="Y767" s="6"/>
      <c r="Z767" s="6"/>
      <c r="AA767" s="6"/>
      <c r="AB767" s="6"/>
      <c r="AC767" s="6"/>
      <c r="AD767" s="7"/>
    </row>
    <row r="768" spans="1:30" ht="13">
      <c r="A768" s="20"/>
      <c r="B768" s="20"/>
      <c r="C768" s="23"/>
      <c r="D768" s="17"/>
      <c r="E768" s="6"/>
      <c r="F768" s="6"/>
      <c r="G768" s="6"/>
      <c r="H768" s="6"/>
      <c r="I768" s="17"/>
      <c r="J768" s="6"/>
      <c r="K768" s="6"/>
      <c r="L768" s="17"/>
      <c r="M768" s="6"/>
      <c r="N768" s="6"/>
      <c r="O768" s="6"/>
      <c r="P768" s="6"/>
      <c r="Q768" s="6"/>
      <c r="R768" s="6"/>
      <c r="S768" s="6"/>
      <c r="T768" s="6"/>
      <c r="U768" s="6"/>
      <c r="V768" s="6"/>
      <c r="W768" s="6"/>
      <c r="X768" s="6"/>
      <c r="Y768" s="6"/>
      <c r="Z768" s="6"/>
      <c r="AA768" s="6"/>
      <c r="AB768" s="6"/>
      <c r="AC768" s="6"/>
      <c r="AD768" s="7"/>
    </row>
    <row r="769" spans="1:30" ht="13">
      <c r="A769" s="20"/>
      <c r="B769" s="20"/>
      <c r="C769" s="23"/>
      <c r="D769" s="17"/>
      <c r="E769" s="6"/>
      <c r="F769" s="6"/>
      <c r="G769" s="6"/>
      <c r="H769" s="6"/>
      <c r="I769" s="17"/>
      <c r="J769" s="6"/>
      <c r="K769" s="6"/>
      <c r="L769" s="17"/>
      <c r="M769" s="6"/>
      <c r="N769" s="6"/>
      <c r="O769" s="6"/>
      <c r="P769" s="6"/>
      <c r="Q769" s="6"/>
      <c r="R769" s="6"/>
      <c r="S769" s="6"/>
      <c r="T769" s="6"/>
      <c r="U769" s="6"/>
      <c r="V769" s="6"/>
      <c r="W769" s="6"/>
      <c r="X769" s="6"/>
      <c r="Y769" s="6"/>
      <c r="Z769" s="6"/>
      <c r="AA769" s="6"/>
      <c r="AB769" s="6"/>
      <c r="AC769" s="6"/>
      <c r="AD769" s="7"/>
    </row>
    <row r="770" spans="1:30" ht="13">
      <c r="A770" s="20"/>
      <c r="B770" s="20"/>
      <c r="C770" s="23"/>
      <c r="D770" s="17"/>
      <c r="E770" s="6"/>
      <c r="F770" s="6"/>
      <c r="G770" s="6"/>
      <c r="H770" s="6"/>
      <c r="I770" s="17"/>
      <c r="J770" s="6"/>
      <c r="K770" s="6"/>
      <c r="L770" s="17"/>
      <c r="M770" s="6"/>
      <c r="N770" s="6"/>
      <c r="O770" s="6"/>
      <c r="P770" s="6"/>
      <c r="Q770" s="6"/>
      <c r="R770" s="6"/>
      <c r="S770" s="6"/>
      <c r="T770" s="6"/>
      <c r="U770" s="6"/>
      <c r="V770" s="6"/>
      <c r="W770" s="6"/>
      <c r="X770" s="6"/>
      <c r="Y770" s="6"/>
      <c r="Z770" s="6"/>
      <c r="AA770" s="6"/>
      <c r="AB770" s="6"/>
      <c r="AC770" s="6"/>
      <c r="AD770" s="7"/>
    </row>
    <row r="771" spans="1:30" ht="13">
      <c r="A771" s="20"/>
      <c r="B771" s="20"/>
      <c r="C771" s="23"/>
      <c r="D771" s="17"/>
      <c r="E771" s="6"/>
      <c r="F771" s="6"/>
      <c r="G771" s="6"/>
      <c r="H771" s="6"/>
      <c r="I771" s="17"/>
      <c r="J771" s="6"/>
      <c r="K771" s="6"/>
      <c r="L771" s="17"/>
      <c r="M771" s="6"/>
      <c r="N771" s="6"/>
      <c r="O771" s="6"/>
      <c r="P771" s="6"/>
      <c r="Q771" s="6"/>
      <c r="R771" s="6"/>
      <c r="S771" s="6"/>
      <c r="T771" s="6"/>
      <c r="U771" s="6"/>
      <c r="V771" s="6"/>
      <c r="W771" s="6"/>
      <c r="X771" s="6"/>
      <c r="Y771" s="6"/>
      <c r="Z771" s="6"/>
      <c r="AA771" s="6"/>
      <c r="AB771" s="6"/>
      <c r="AC771" s="6"/>
      <c r="AD771" s="7"/>
    </row>
    <row r="772" spans="1:30" ht="13">
      <c r="A772" s="20"/>
      <c r="B772" s="20"/>
      <c r="C772" s="23"/>
      <c r="D772" s="17"/>
      <c r="E772" s="6"/>
      <c r="F772" s="6"/>
      <c r="G772" s="6"/>
      <c r="H772" s="6"/>
      <c r="I772" s="17"/>
      <c r="J772" s="6"/>
      <c r="K772" s="6"/>
      <c r="L772" s="17"/>
      <c r="M772" s="6"/>
      <c r="N772" s="6"/>
      <c r="O772" s="6"/>
      <c r="P772" s="6"/>
      <c r="Q772" s="6"/>
      <c r="R772" s="6"/>
      <c r="S772" s="6"/>
      <c r="T772" s="6"/>
      <c r="U772" s="6"/>
      <c r="V772" s="6"/>
      <c r="W772" s="6"/>
      <c r="X772" s="6"/>
      <c r="Y772" s="6"/>
      <c r="Z772" s="6"/>
      <c r="AA772" s="6"/>
      <c r="AB772" s="6"/>
      <c r="AC772" s="6"/>
      <c r="AD772" s="7"/>
    </row>
    <row r="773" spans="1:30" ht="13">
      <c r="A773" s="20"/>
      <c r="B773" s="20"/>
      <c r="C773" s="23"/>
      <c r="D773" s="17"/>
      <c r="E773" s="6"/>
      <c r="F773" s="6"/>
      <c r="G773" s="6"/>
      <c r="H773" s="6"/>
      <c r="I773" s="17"/>
      <c r="J773" s="6"/>
      <c r="K773" s="6"/>
      <c r="L773" s="17"/>
      <c r="M773" s="6"/>
      <c r="N773" s="6"/>
      <c r="O773" s="6"/>
      <c r="P773" s="6"/>
      <c r="Q773" s="6"/>
      <c r="R773" s="6"/>
      <c r="S773" s="6"/>
      <c r="T773" s="6"/>
      <c r="U773" s="6"/>
      <c r="V773" s="6"/>
      <c r="W773" s="6"/>
      <c r="X773" s="6"/>
      <c r="Y773" s="6"/>
      <c r="Z773" s="6"/>
      <c r="AA773" s="6"/>
      <c r="AB773" s="6"/>
      <c r="AC773" s="6"/>
      <c r="AD773" s="7"/>
    </row>
    <row r="774" spans="1:30" ht="13">
      <c r="A774" s="20"/>
      <c r="B774" s="20"/>
      <c r="C774" s="23"/>
      <c r="D774" s="17"/>
      <c r="E774" s="6"/>
      <c r="F774" s="6"/>
      <c r="G774" s="6"/>
      <c r="H774" s="6"/>
      <c r="I774" s="17"/>
      <c r="J774" s="6"/>
      <c r="K774" s="6"/>
      <c r="L774" s="17"/>
      <c r="M774" s="6"/>
      <c r="N774" s="6"/>
      <c r="O774" s="6"/>
      <c r="P774" s="6"/>
      <c r="Q774" s="6"/>
      <c r="R774" s="6"/>
      <c r="S774" s="6"/>
      <c r="T774" s="6"/>
      <c r="U774" s="6"/>
      <c r="V774" s="6"/>
      <c r="W774" s="6"/>
      <c r="X774" s="6"/>
      <c r="Y774" s="6"/>
      <c r="Z774" s="6"/>
      <c r="AA774" s="6"/>
      <c r="AB774" s="6"/>
      <c r="AC774" s="6"/>
      <c r="AD774" s="7"/>
    </row>
    <row r="775" spans="1:30" ht="13">
      <c r="A775" s="20"/>
      <c r="B775" s="20"/>
      <c r="C775" s="23"/>
      <c r="D775" s="17"/>
      <c r="E775" s="6"/>
      <c r="F775" s="6"/>
      <c r="G775" s="6"/>
      <c r="H775" s="6"/>
      <c r="I775" s="17"/>
      <c r="J775" s="6"/>
      <c r="K775" s="6"/>
      <c r="L775" s="17"/>
      <c r="M775" s="6"/>
      <c r="N775" s="6"/>
      <c r="O775" s="6"/>
      <c r="P775" s="6"/>
      <c r="Q775" s="6"/>
      <c r="R775" s="6"/>
      <c r="S775" s="6"/>
      <c r="T775" s="6"/>
      <c r="U775" s="6"/>
      <c r="V775" s="6"/>
      <c r="W775" s="6"/>
      <c r="X775" s="6"/>
      <c r="Y775" s="6"/>
      <c r="Z775" s="6"/>
      <c r="AA775" s="6"/>
      <c r="AB775" s="6"/>
      <c r="AC775" s="6"/>
      <c r="AD775" s="7"/>
    </row>
    <row r="776" spans="1:30" ht="13">
      <c r="A776" s="20"/>
      <c r="B776" s="20"/>
      <c r="C776" s="23"/>
      <c r="D776" s="17"/>
      <c r="E776" s="6"/>
      <c r="F776" s="6"/>
      <c r="G776" s="6"/>
      <c r="H776" s="6"/>
      <c r="I776" s="17"/>
      <c r="J776" s="6"/>
      <c r="K776" s="6"/>
      <c r="L776" s="17"/>
      <c r="M776" s="6"/>
      <c r="N776" s="6"/>
      <c r="O776" s="6"/>
      <c r="P776" s="6"/>
      <c r="Q776" s="6"/>
      <c r="R776" s="6"/>
      <c r="S776" s="6"/>
      <c r="T776" s="6"/>
      <c r="U776" s="6"/>
      <c r="V776" s="6"/>
      <c r="W776" s="6"/>
      <c r="X776" s="6"/>
      <c r="Y776" s="6"/>
      <c r="Z776" s="6"/>
      <c r="AA776" s="6"/>
      <c r="AB776" s="6"/>
      <c r="AC776" s="6"/>
      <c r="AD776" s="7"/>
    </row>
    <row r="777" spans="1:30" ht="13">
      <c r="A777" s="20"/>
      <c r="B777" s="20"/>
      <c r="C777" s="23"/>
      <c r="D777" s="17"/>
      <c r="E777" s="6"/>
      <c r="F777" s="6"/>
      <c r="G777" s="6"/>
      <c r="H777" s="6"/>
      <c r="I777" s="17"/>
      <c r="J777" s="6"/>
      <c r="K777" s="6"/>
      <c r="L777" s="17"/>
      <c r="M777" s="6"/>
      <c r="N777" s="6"/>
      <c r="O777" s="6"/>
      <c r="P777" s="6"/>
      <c r="Q777" s="6"/>
      <c r="R777" s="6"/>
      <c r="S777" s="6"/>
      <c r="T777" s="6"/>
      <c r="U777" s="6"/>
      <c r="V777" s="6"/>
      <c r="W777" s="6"/>
      <c r="X777" s="6"/>
      <c r="Y777" s="6"/>
      <c r="Z777" s="6"/>
      <c r="AA777" s="6"/>
      <c r="AB777" s="6"/>
      <c r="AC777" s="6"/>
      <c r="AD777" s="7"/>
    </row>
    <row r="778" spans="1:30" ht="13">
      <c r="A778" s="20"/>
      <c r="B778" s="20"/>
      <c r="C778" s="23"/>
      <c r="D778" s="17"/>
      <c r="E778" s="6"/>
      <c r="F778" s="6"/>
      <c r="G778" s="6"/>
      <c r="H778" s="6"/>
      <c r="I778" s="17"/>
      <c r="J778" s="6"/>
      <c r="K778" s="6"/>
      <c r="L778" s="17"/>
      <c r="M778" s="6"/>
      <c r="N778" s="6"/>
      <c r="O778" s="6"/>
      <c r="P778" s="6"/>
      <c r="Q778" s="6"/>
      <c r="R778" s="6"/>
      <c r="S778" s="6"/>
      <c r="T778" s="6"/>
      <c r="U778" s="6"/>
      <c r="V778" s="6"/>
      <c r="W778" s="6"/>
      <c r="X778" s="6"/>
      <c r="Y778" s="6"/>
      <c r="Z778" s="6"/>
      <c r="AA778" s="6"/>
      <c r="AB778" s="6"/>
      <c r="AC778" s="6"/>
      <c r="AD778" s="7"/>
    </row>
    <row r="779" spans="1:30" ht="13">
      <c r="A779" s="20"/>
      <c r="B779" s="20"/>
      <c r="C779" s="23"/>
      <c r="D779" s="17"/>
      <c r="E779" s="6"/>
      <c r="F779" s="6"/>
      <c r="G779" s="6"/>
      <c r="H779" s="6"/>
      <c r="I779" s="17"/>
      <c r="J779" s="6"/>
      <c r="K779" s="6"/>
      <c r="L779" s="17"/>
      <c r="M779" s="6"/>
      <c r="N779" s="6"/>
      <c r="O779" s="6"/>
      <c r="P779" s="6"/>
      <c r="Q779" s="6"/>
      <c r="R779" s="6"/>
      <c r="S779" s="6"/>
      <c r="T779" s="6"/>
      <c r="U779" s="6"/>
      <c r="V779" s="6"/>
      <c r="W779" s="6"/>
      <c r="X779" s="6"/>
      <c r="Y779" s="6"/>
      <c r="Z779" s="6"/>
      <c r="AA779" s="6"/>
      <c r="AB779" s="6"/>
      <c r="AC779" s="6"/>
      <c r="AD779" s="7"/>
    </row>
    <row r="780" spans="1:30" ht="13">
      <c r="A780" s="20"/>
      <c r="B780" s="20"/>
      <c r="C780" s="23"/>
      <c r="D780" s="17"/>
      <c r="E780" s="6"/>
      <c r="F780" s="6"/>
      <c r="G780" s="6"/>
      <c r="H780" s="6"/>
      <c r="I780" s="17"/>
      <c r="J780" s="6"/>
      <c r="K780" s="6"/>
      <c r="L780" s="17"/>
      <c r="M780" s="6"/>
      <c r="N780" s="6"/>
      <c r="O780" s="6"/>
      <c r="P780" s="6"/>
      <c r="Q780" s="6"/>
      <c r="R780" s="6"/>
      <c r="S780" s="6"/>
      <c r="T780" s="6"/>
      <c r="U780" s="6"/>
      <c r="V780" s="6"/>
      <c r="W780" s="6"/>
      <c r="X780" s="6"/>
      <c r="Y780" s="6"/>
      <c r="Z780" s="6"/>
      <c r="AA780" s="6"/>
      <c r="AB780" s="6"/>
      <c r="AC780" s="6"/>
      <c r="AD780" s="7"/>
    </row>
    <row r="781" spans="1:30" ht="13">
      <c r="A781" s="20"/>
      <c r="B781" s="20"/>
      <c r="C781" s="23"/>
      <c r="D781" s="17"/>
      <c r="E781" s="6"/>
      <c r="F781" s="6"/>
      <c r="G781" s="6"/>
      <c r="H781" s="6"/>
      <c r="I781" s="17"/>
      <c r="J781" s="6"/>
      <c r="K781" s="6"/>
      <c r="L781" s="17"/>
      <c r="M781" s="6"/>
      <c r="N781" s="6"/>
      <c r="O781" s="6"/>
      <c r="P781" s="6"/>
      <c r="Q781" s="6"/>
      <c r="R781" s="6"/>
      <c r="S781" s="6"/>
      <c r="T781" s="6"/>
      <c r="U781" s="6"/>
      <c r="V781" s="6"/>
      <c r="W781" s="6"/>
      <c r="X781" s="6"/>
      <c r="Y781" s="6"/>
      <c r="Z781" s="6"/>
      <c r="AA781" s="6"/>
      <c r="AB781" s="6"/>
      <c r="AC781" s="6"/>
      <c r="AD781" s="7"/>
    </row>
    <row r="782" spans="1:30" ht="13">
      <c r="A782" s="20"/>
      <c r="B782" s="20"/>
      <c r="C782" s="23"/>
      <c r="D782" s="17"/>
      <c r="E782" s="6"/>
      <c r="F782" s="6"/>
      <c r="G782" s="6"/>
      <c r="H782" s="6"/>
      <c r="I782" s="17"/>
      <c r="J782" s="6"/>
      <c r="K782" s="6"/>
      <c r="L782" s="17"/>
      <c r="M782" s="6"/>
      <c r="N782" s="6"/>
      <c r="O782" s="6"/>
      <c r="P782" s="6"/>
      <c r="Q782" s="6"/>
      <c r="R782" s="6"/>
      <c r="S782" s="6"/>
      <c r="T782" s="6"/>
      <c r="U782" s="6"/>
      <c r="V782" s="6"/>
      <c r="W782" s="6"/>
      <c r="X782" s="6"/>
      <c r="Y782" s="6"/>
      <c r="Z782" s="6"/>
      <c r="AA782" s="6"/>
      <c r="AB782" s="6"/>
      <c r="AC782" s="6"/>
      <c r="AD782" s="7"/>
    </row>
    <row r="783" spans="1:30" ht="13">
      <c r="A783" s="20"/>
      <c r="B783" s="20"/>
      <c r="C783" s="23"/>
      <c r="D783" s="17"/>
      <c r="E783" s="6"/>
      <c r="F783" s="6"/>
      <c r="G783" s="6"/>
      <c r="H783" s="6"/>
      <c r="I783" s="17"/>
      <c r="J783" s="6"/>
      <c r="K783" s="6"/>
      <c r="L783" s="17"/>
      <c r="M783" s="6"/>
      <c r="N783" s="6"/>
      <c r="O783" s="6"/>
      <c r="P783" s="6"/>
      <c r="Q783" s="6"/>
      <c r="R783" s="6"/>
      <c r="S783" s="6"/>
      <c r="T783" s="6"/>
      <c r="U783" s="6"/>
      <c r="V783" s="6"/>
      <c r="W783" s="6"/>
      <c r="X783" s="6"/>
      <c r="Y783" s="6"/>
      <c r="Z783" s="6"/>
      <c r="AA783" s="6"/>
      <c r="AB783" s="6"/>
      <c r="AC783" s="6"/>
      <c r="AD783" s="7"/>
    </row>
    <row r="784" spans="1:30" ht="13">
      <c r="A784" s="20"/>
      <c r="B784" s="20"/>
      <c r="C784" s="23"/>
      <c r="D784" s="17"/>
      <c r="E784" s="6"/>
      <c r="F784" s="6"/>
      <c r="G784" s="6"/>
      <c r="H784" s="6"/>
      <c r="I784" s="17"/>
      <c r="J784" s="6"/>
      <c r="K784" s="6"/>
      <c r="L784" s="17"/>
      <c r="M784" s="6"/>
      <c r="N784" s="6"/>
      <c r="O784" s="6"/>
      <c r="P784" s="6"/>
      <c r="Q784" s="6"/>
      <c r="R784" s="6"/>
      <c r="S784" s="6"/>
      <c r="T784" s="6"/>
      <c r="U784" s="6"/>
      <c r="V784" s="6"/>
      <c r="W784" s="6"/>
      <c r="X784" s="6"/>
      <c r="Y784" s="6"/>
      <c r="Z784" s="6"/>
      <c r="AA784" s="6"/>
      <c r="AB784" s="6"/>
      <c r="AC784" s="6"/>
      <c r="AD784" s="7"/>
    </row>
    <row r="785" spans="1:30" ht="13">
      <c r="A785" s="20"/>
      <c r="B785" s="20"/>
      <c r="C785" s="23"/>
      <c r="D785" s="17"/>
      <c r="E785" s="6"/>
      <c r="F785" s="6"/>
      <c r="G785" s="6"/>
      <c r="H785" s="6"/>
      <c r="I785" s="17"/>
      <c r="J785" s="6"/>
      <c r="K785" s="6"/>
      <c r="L785" s="17"/>
      <c r="M785" s="6"/>
      <c r="N785" s="6"/>
      <c r="O785" s="6"/>
      <c r="P785" s="6"/>
      <c r="Q785" s="6"/>
      <c r="R785" s="6"/>
      <c r="S785" s="6"/>
      <c r="T785" s="6"/>
      <c r="U785" s="6"/>
      <c r="V785" s="6"/>
      <c r="W785" s="6"/>
      <c r="X785" s="6"/>
      <c r="Y785" s="6"/>
      <c r="Z785" s="6"/>
      <c r="AA785" s="6"/>
      <c r="AB785" s="6"/>
      <c r="AC785" s="6"/>
      <c r="AD785" s="7"/>
    </row>
    <row r="786" spans="1:30" ht="13">
      <c r="A786" s="20"/>
      <c r="B786" s="20"/>
      <c r="C786" s="23"/>
      <c r="D786" s="17"/>
      <c r="E786" s="6"/>
      <c r="F786" s="6"/>
      <c r="G786" s="6"/>
      <c r="H786" s="6"/>
      <c r="I786" s="17"/>
      <c r="J786" s="6"/>
      <c r="K786" s="6"/>
      <c r="L786" s="17"/>
      <c r="M786" s="6"/>
      <c r="N786" s="6"/>
      <c r="O786" s="6"/>
      <c r="P786" s="6"/>
      <c r="Q786" s="6"/>
      <c r="R786" s="6"/>
      <c r="S786" s="6"/>
      <c r="T786" s="6"/>
      <c r="U786" s="6"/>
      <c r="V786" s="6"/>
      <c r="W786" s="6"/>
      <c r="X786" s="6"/>
      <c r="Y786" s="6"/>
      <c r="Z786" s="6"/>
      <c r="AA786" s="6"/>
      <c r="AB786" s="6"/>
      <c r="AC786" s="6"/>
      <c r="AD786" s="7"/>
    </row>
    <row r="787" spans="1:30" ht="13">
      <c r="A787" s="20"/>
      <c r="B787" s="20"/>
      <c r="C787" s="23"/>
      <c r="D787" s="17"/>
      <c r="E787" s="6"/>
      <c r="F787" s="6"/>
      <c r="G787" s="6"/>
      <c r="H787" s="6"/>
      <c r="I787" s="17"/>
      <c r="J787" s="6"/>
      <c r="K787" s="6"/>
      <c r="L787" s="17"/>
      <c r="M787" s="6"/>
      <c r="N787" s="6"/>
      <c r="O787" s="6"/>
      <c r="P787" s="6"/>
      <c r="Q787" s="6"/>
      <c r="R787" s="6"/>
      <c r="S787" s="6"/>
      <c r="T787" s="6"/>
      <c r="U787" s="6"/>
      <c r="V787" s="6"/>
      <c r="W787" s="6"/>
      <c r="X787" s="6"/>
      <c r="Y787" s="6"/>
      <c r="Z787" s="6"/>
      <c r="AA787" s="6"/>
      <c r="AB787" s="6"/>
      <c r="AC787" s="6"/>
      <c r="AD787" s="7"/>
    </row>
    <row r="788" spans="1:30" ht="13">
      <c r="A788" s="20"/>
      <c r="B788" s="20"/>
      <c r="C788" s="23"/>
      <c r="D788" s="17"/>
      <c r="E788" s="6"/>
      <c r="F788" s="6"/>
      <c r="G788" s="6"/>
      <c r="H788" s="6"/>
      <c r="I788" s="17"/>
      <c r="J788" s="6"/>
      <c r="K788" s="6"/>
      <c r="L788" s="17"/>
      <c r="M788" s="6"/>
      <c r="N788" s="6"/>
      <c r="O788" s="6"/>
      <c r="P788" s="6"/>
      <c r="Q788" s="6"/>
      <c r="R788" s="6"/>
      <c r="S788" s="6"/>
      <c r="T788" s="6"/>
      <c r="U788" s="6"/>
      <c r="V788" s="6"/>
      <c r="W788" s="6"/>
      <c r="X788" s="6"/>
      <c r="Y788" s="6"/>
      <c r="Z788" s="6"/>
      <c r="AA788" s="6"/>
      <c r="AB788" s="6"/>
      <c r="AC788" s="6"/>
      <c r="AD788" s="7"/>
    </row>
    <row r="789" spans="1:30" ht="13">
      <c r="A789" s="20"/>
      <c r="B789" s="20"/>
      <c r="C789" s="23"/>
      <c r="D789" s="17"/>
      <c r="E789" s="6"/>
      <c r="F789" s="6"/>
      <c r="G789" s="6"/>
      <c r="H789" s="6"/>
      <c r="I789" s="17"/>
      <c r="J789" s="6"/>
      <c r="K789" s="6"/>
      <c r="L789" s="17"/>
      <c r="M789" s="6"/>
      <c r="N789" s="6"/>
      <c r="O789" s="6"/>
      <c r="P789" s="6"/>
      <c r="Q789" s="6"/>
      <c r="R789" s="6"/>
      <c r="S789" s="6"/>
      <c r="T789" s="6"/>
      <c r="U789" s="6"/>
      <c r="V789" s="6"/>
      <c r="W789" s="6"/>
      <c r="X789" s="6"/>
      <c r="Y789" s="6"/>
      <c r="Z789" s="6"/>
      <c r="AA789" s="6"/>
      <c r="AB789" s="6"/>
      <c r="AC789" s="6"/>
      <c r="AD789" s="7"/>
    </row>
    <row r="790" spans="1:30" ht="13">
      <c r="A790" s="20"/>
      <c r="B790" s="20"/>
      <c r="C790" s="23"/>
      <c r="D790" s="17"/>
      <c r="E790" s="6"/>
      <c r="F790" s="6"/>
      <c r="G790" s="6"/>
      <c r="H790" s="6"/>
      <c r="I790" s="17"/>
      <c r="J790" s="6"/>
      <c r="K790" s="6"/>
      <c r="L790" s="17"/>
      <c r="M790" s="6"/>
      <c r="N790" s="6"/>
      <c r="O790" s="6"/>
      <c r="P790" s="6"/>
      <c r="Q790" s="6"/>
      <c r="R790" s="6"/>
      <c r="S790" s="6"/>
      <c r="T790" s="6"/>
      <c r="U790" s="6"/>
      <c r="V790" s="6"/>
      <c r="W790" s="6"/>
      <c r="X790" s="6"/>
      <c r="Y790" s="6"/>
      <c r="Z790" s="6"/>
      <c r="AA790" s="6"/>
      <c r="AB790" s="6"/>
      <c r="AC790" s="6"/>
      <c r="AD790" s="7"/>
    </row>
    <row r="791" spans="1:30" ht="13">
      <c r="A791" s="20"/>
      <c r="B791" s="20"/>
      <c r="C791" s="23"/>
      <c r="D791" s="17"/>
      <c r="E791" s="6"/>
      <c r="F791" s="6"/>
      <c r="G791" s="6"/>
      <c r="H791" s="6"/>
      <c r="I791" s="17"/>
      <c r="J791" s="6"/>
      <c r="K791" s="6"/>
      <c r="L791" s="17"/>
      <c r="M791" s="6"/>
      <c r="N791" s="6"/>
      <c r="O791" s="6"/>
      <c r="P791" s="6"/>
      <c r="Q791" s="6"/>
      <c r="R791" s="6"/>
      <c r="S791" s="6"/>
      <c r="T791" s="6"/>
      <c r="U791" s="6"/>
      <c r="V791" s="6"/>
      <c r="W791" s="6"/>
      <c r="X791" s="6"/>
      <c r="Y791" s="6"/>
      <c r="Z791" s="6"/>
      <c r="AA791" s="6"/>
      <c r="AB791" s="6"/>
      <c r="AC791" s="6"/>
      <c r="AD791" s="7"/>
    </row>
    <row r="792" spans="1:30" ht="13">
      <c r="A792" s="20"/>
      <c r="B792" s="20"/>
      <c r="C792" s="23"/>
      <c r="D792" s="17"/>
      <c r="E792" s="6"/>
      <c r="F792" s="6"/>
      <c r="G792" s="6"/>
      <c r="H792" s="6"/>
      <c r="I792" s="17"/>
      <c r="J792" s="6"/>
      <c r="K792" s="6"/>
      <c r="L792" s="17"/>
      <c r="M792" s="6"/>
      <c r="N792" s="6"/>
      <c r="O792" s="6"/>
      <c r="P792" s="6"/>
      <c r="Q792" s="6"/>
      <c r="R792" s="6"/>
      <c r="S792" s="6"/>
      <c r="T792" s="6"/>
      <c r="U792" s="6"/>
      <c r="V792" s="6"/>
      <c r="W792" s="6"/>
      <c r="X792" s="6"/>
      <c r="Y792" s="6"/>
      <c r="Z792" s="6"/>
      <c r="AA792" s="6"/>
      <c r="AB792" s="6"/>
      <c r="AC792" s="6"/>
      <c r="AD792" s="7"/>
    </row>
    <row r="793" spans="1:30" ht="13">
      <c r="A793" s="20"/>
      <c r="B793" s="20"/>
      <c r="C793" s="23"/>
      <c r="D793" s="17"/>
      <c r="E793" s="6"/>
      <c r="F793" s="6"/>
      <c r="G793" s="6"/>
      <c r="H793" s="6"/>
      <c r="I793" s="17"/>
      <c r="J793" s="6"/>
      <c r="K793" s="6"/>
      <c r="L793" s="17"/>
      <c r="M793" s="6"/>
      <c r="N793" s="6"/>
      <c r="O793" s="6"/>
      <c r="P793" s="6"/>
      <c r="Q793" s="6"/>
      <c r="R793" s="6"/>
      <c r="S793" s="6"/>
      <c r="T793" s="6"/>
      <c r="U793" s="6"/>
      <c r="V793" s="6"/>
      <c r="W793" s="6"/>
      <c r="X793" s="6"/>
      <c r="Y793" s="6"/>
      <c r="Z793" s="6"/>
      <c r="AA793" s="6"/>
      <c r="AB793" s="6"/>
      <c r="AC793" s="6"/>
      <c r="AD793" s="7"/>
    </row>
    <row r="794" spans="1:30" ht="13">
      <c r="A794" s="20"/>
      <c r="B794" s="20"/>
      <c r="C794" s="23"/>
      <c r="D794" s="17"/>
      <c r="E794" s="6"/>
      <c r="F794" s="6"/>
      <c r="G794" s="6"/>
      <c r="H794" s="6"/>
      <c r="I794" s="17"/>
      <c r="J794" s="6"/>
      <c r="K794" s="6"/>
      <c r="L794" s="17"/>
      <c r="M794" s="6"/>
      <c r="N794" s="6"/>
      <c r="O794" s="6"/>
      <c r="P794" s="6"/>
      <c r="Q794" s="6"/>
      <c r="R794" s="6"/>
      <c r="S794" s="6"/>
      <c r="T794" s="6"/>
      <c r="U794" s="6"/>
      <c r="V794" s="6"/>
      <c r="W794" s="6"/>
      <c r="X794" s="6"/>
      <c r="Y794" s="6"/>
      <c r="Z794" s="6"/>
      <c r="AA794" s="6"/>
      <c r="AB794" s="6"/>
      <c r="AC794" s="6"/>
      <c r="AD794" s="7"/>
    </row>
    <row r="795" spans="1:30" ht="13">
      <c r="A795" s="20"/>
      <c r="B795" s="20"/>
      <c r="C795" s="23"/>
      <c r="D795" s="17"/>
      <c r="E795" s="6"/>
      <c r="F795" s="6"/>
      <c r="G795" s="6"/>
      <c r="H795" s="6"/>
      <c r="I795" s="17"/>
      <c r="J795" s="6"/>
      <c r="K795" s="6"/>
      <c r="L795" s="17"/>
      <c r="M795" s="6"/>
      <c r="N795" s="6"/>
      <c r="O795" s="6"/>
      <c r="P795" s="6"/>
      <c r="Q795" s="6"/>
      <c r="R795" s="6"/>
      <c r="S795" s="6"/>
      <c r="T795" s="6"/>
      <c r="U795" s="6"/>
      <c r="V795" s="6"/>
      <c r="W795" s="6"/>
      <c r="X795" s="6"/>
      <c r="Y795" s="6"/>
      <c r="Z795" s="6"/>
      <c r="AA795" s="6"/>
      <c r="AB795" s="6"/>
      <c r="AC795" s="6"/>
      <c r="AD795" s="7"/>
    </row>
    <row r="796" spans="1:30" ht="13">
      <c r="A796" s="20"/>
      <c r="B796" s="20"/>
      <c r="C796" s="23"/>
      <c r="D796" s="17"/>
      <c r="E796" s="6"/>
      <c r="F796" s="6"/>
      <c r="G796" s="6"/>
      <c r="H796" s="6"/>
      <c r="I796" s="17"/>
      <c r="J796" s="6"/>
      <c r="K796" s="6"/>
      <c r="L796" s="17"/>
      <c r="M796" s="6"/>
      <c r="N796" s="6"/>
      <c r="O796" s="6"/>
      <c r="P796" s="6"/>
      <c r="Q796" s="6"/>
      <c r="R796" s="6"/>
      <c r="S796" s="6"/>
      <c r="T796" s="6"/>
      <c r="U796" s="6"/>
      <c r="V796" s="6"/>
      <c r="W796" s="6"/>
      <c r="X796" s="6"/>
      <c r="Y796" s="6"/>
      <c r="Z796" s="6"/>
      <c r="AA796" s="6"/>
      <c r="AB796" s="6"/>
      <c r="AC796" s="6"/>
      <c r="AD796" s="7"/>
    </row>
    <row r="797" spans="1:30" ht="13">
      <c r="A797" s="20"/>
      <c r="B797" s="20"/>
      <c r="C797" s="23"/>
      <c r="D797" s="17"/>
      <c r="E797" s="6"/>
      <c r="F797" s="6"/>
      <c r="G797" s="6"/>
      <c r="H797" s="6"/>
      <c r="I797" s="17"/>
      <c r="J797" s="6"/>
      <c r="K797" s="6"/>
      <c r="L797" s="17"/>
      <c r="M797" s="6"/>
      <c r="N797" s="6"/>
      <c r="O797" s="6"/>
      <c r="P797" s="6"/>
      <c r="Q797" s="6"/>
      <c r="R797" s="6"/>
      <c r="S797" s="6"/>
      <c r="T797" s="6"/>
      <c r="U797" s="6"/>
      <c r="V797" s="6"/>
      <c r="W797" s="6"/>
      <c r="X797" s="6"/>
      <c r="Y797" s="6"/>
      <c r="Z797" s="6"/>
      <c r="AA797" s="6"/>
      <c r="AB797" s="6"/>
      <c r="AC797" s="6"/>
      <c r="AD797" s="7"/>
    </row>
    <row r="798" spans="1:30" ht="13">
      <c r="A798" s="20"/>
      <c r="B798" s="20"/>
      <c r="C798" s="23"/>
      <c r="D798" s="17"/>
      <c r="E798" s="6"/>
      <c r="F798" s="6"/>
      <c r="G798" s="6"/>
      <c r="H798" s="6"/>
      <c r="I798" s="17"/>
      <c r="J798" s="6"/>
      <c r="K798" s="6"/>
      <c r="L798" s="17"/>
      <c r="M798" s="6"/>
      <c r="N798" s="6"/>
      <c r="O798" s="6"/>
      <c r="P798" s="6"/>
      <c r="Q798" s="6"/>
      <c r="R798" s="6"/>
      <c r="S798" s="6"/>
      <c r="T798" s="6"/>
      <c r="U798" s="6"/>
      <c r="V798" s="6"/>
      <c r="W798" s="6"/>
      <c r="X798" s="6"/>
      <c r="Y798" s="6"/>
      <c r="Z798" s="6"/>
      <c r="AA798" s="6"/>
      <c r="AB798" s="6"/>
      <c r="AC798" s="6"/>
      <c r="AD798" s="7"/>
    </row>
    <row r="799" spans="1:30" ht="13">
      <c r="A799" s="20"/>
      <c r="B799" s="20"/>
      <c r="C799" s="23"/>
      <c r="D799" s="17"/>
      <c r="E799" s="6"/>
      <c r="F799" s="6"/>
      <c r="G799" s="6"/>
      <c r="H799" s="6"/>
      <c r="I799" s="17"/>
      <c r="J799" s="6"/>
      <c r="K799" s="6"/>
      <c r="L799" s="17"/>
      <c r="M799" s="6"/>
      <c r="N799" s="6"/>
      <c r="O799" s="6"/>
      <c r="P799" s="6"/>
      <c r="Q799" s="6"/>
      <c r="R799" s="6"/>
      <c r="S799" s="6"/>
      <c r="T799" s="6"/>
      <c r="U799" s="6"/>
      <c r="V799" s="6"/>
      <c r="W799" s="6"/>
      <c r="X799" s="6"/>
      <c r="Y799" s="6"/>
      <c r="Z799" s="6"/>
      <c r="AA799" s="6"/>
      <c r="AB799" s="6"/>
      <c r="AC799" s="6"/>
      <c r="AD799" s="7"/>
    </row>
    <row r="800" spans="1:30" ht="13">
      <c r="A800" s="20"/>
      <c r="B800" s="20"/>
      <c r="C800" s="23"/>
      <c r="D800" s="17"/>
      <c r="E800" s="6"/>
      <c r="F800" s="6"/>
      <c r="G800" s="6"/>
      <c r="H800" s="6"/>
      <c r="I800" s="17"/>
      <c r="J800" s="6"/>
      <c r="K800" s="6"/>
      <c r="L800" s="17"/>
      <c r="M800" s="6"/>
      <c r="N800" s="6"/>
      <c r="O800" s="6"/>
      <c r="P800" s="6"/>
      <c r="Q800" s="6"/>
      <c r="R800" s="6"/>
      <c r="S800" s="6"/>
      <c r="T800" s="6"/>
      <c r="U800" s="6"/>
      <c r="V800" s="6"/>
      <c r="W800" s="6"/>
      <c r="X800" s="6"/>
      <c r="Y800" s="6"/>
      <c r="Z800" s="6"/>
      <c r="AA800" s="6"/>
      <c r="AB800" s="6"/>
      <c r="AC800" s="6"/>
      <c r="AD800" s="7"/>
    </row>
    <row r="801" spans="1:30" ht="13">
      <c r="A801" s="20"/>
      <c r="B801" s="20"/>
      <c r="C801" s="23"/>
      <c r="D801" s="17"/>
      <c r="E801" s="6"/>
      <c r="F801" s="6"/>
      <c r="G801" s="6"/>
      <c r="H801" s="6"/>
      <c r="I801" s="17"/>
      <c r="J801" s="6"/>
      <c r="K801" s="6"/>
      <c r="L801" s="17"/>
      <c r="M801" s="6"/>
      <c r="N801" s="6"/>
      <c r="O801" s="6"/>
      <c r="P801" s="6"/>
      <c r="Q801" s="6"/>
      <c r="R801" s="6"/>
      <c r="S801" s="6"/>
      <c r="T801" s="6"/>
      <c r="U801" s="6"/>
      <c r="V801" s="6"/>
      <c r="W801" s="6"/>
      <c r="X801" s="6"/>
      <c r="Y801" s="6"/>
      <c r="Z801" s="6"/>
      <c r="AA801" s="6"/>
      <c r="AB801" s="6"/>
      <c r="AC801" s="6"/>
      <c r="AD801" s="7"/>
    </row>
    <row r="802" spans="1:30" ht="13">
      <c r="A802" s="20"/>
      <c r="B802" s="20"/>
      <c r="C802" s="23"/>
      <c r="D802" s="17"/>
      <c r="E802" s="6"/>
      <c r="F802" s="6"/>
      <c r="G802" s="6"/>
      <c r="H802" s="6"/>
      <c r="I802" s="17"/>
      <c r="J802" s="6"/>
      <c r="K802" s="6"/>
      <c r="L802" s="17"/>
      <c r="M802" s="6"/>
      <c r="N802" s="6"/>
      <c r="O802" s="6"/>
      <c r="P802" s="6"/>
      <c r="Q802" s="6"/>
      <c r="R802" s="6"/>
      <c r="S802" s="6"/>
      <c r="T802" s="6"/>
      <c r="U802" s="6"/>
      <c r="V802" s="6"/>
      <c r="W802" s="6"/>
      <c r="X802" s="6"/>
      <c r="Y802" s="6"/>
      <c r="Z802" s="6"/>
      <c r="AA802" s="6"/>
      <c r="AB802" s="6"/>
      <c r="AC802" s="6"/>
      <c r="AD802" s="7"/>
    </row>
    <row r="803" spans="1:30" ht="13">
      <c r="A803" s="20"/>
      <c r="B803" s="20"/>
      <c r="C803" s="23"/>
      <c r="D803" s="17"/>
      <c r="E803" s="6"/>
      <c r="F803" s="6"/>
      <c r="G803" s="6"/>
      <c r="H803" s="6"/>
      <c r="I803" s="17"/>
      <c r="J803" s="6"/>
      <c r="K803" s="6"/>
      <c r="L803" s="17"/>
      <c r="M803" s="6"/>
      <c r="N803" s="6"/>
      <c r="O803" s="6"/>
      <c r="P803" s="6"/>
      <c r="Q803" s="6"/>
      <c r="R803" s="6"/>
      <c r="S803" s="6"/>
      <c r="T803" s="6"/>
      <c r="U803" s="6"/>
      <c r="V803" s="6"/>
      <c r="W803" s="6"/>
      <c r="X803" s="6"/>
      <c r="Y803" s="6"/>
      <c r="Z803" s="6"/>
      <c r="AA803" s="6"/>
      <c r="AB803" s="6"/>
      <c r="AC803" s="6"/>
      <c r="AD803" s="7"/>
    </row>
    <row r="804" spans="1:30" ht="13">
      <c r="A804" s="20"/>
      <c r="B804" s="20"/>
      <c r="C804" s="23"/>
      <c r="D804" s="17"/>
      <c r="E804" s="6"/>
      <c r="F804" s="6"/>
      <c r="G804" s="6"/>
      <c r="H804" s="6"/>
      <c r="I804" s="17"/>
      <c r="J804" s="6"/>
      <c r="K804" s="6"/>
      <c r="L804" s="17"/>
      <c r="M804" s="6"/>
      <c r="N804" s="6"/>
      <c r="O804" s="6"/>
      <c r="P804" s="6"/>
      <c r="Q804" s="6"/>
      <c r="R804" s="6"/>
      <c r="S804" s="6"/>
      <c r="T804" s="6"/>
      <c r="U804" s="6"/>
      <c r="V804" s="6"/>
      <c r="W804" s="6"/>
      <c r="X804" s="6"/>
      <c r="Y804" s="6"/>
      <c r="Z804" s="6"/>
      <c r="AA804" s="6"/>
      <c r="AB804" s="6"/>
      <c r="AC804" s="6"/>
      <c r="AD804" s="7"/>
    </row>
    <row r="805" spans="1:30" ht="13">
      <c r="A805" s="20"/>
      <c r="B805" s="20"/>
      <c r="C805" s="23"/>
      <c r="D805" s="17"/>
      <c r="E805" s="6"/>
      <c r="F805" s="6"/>
      <c r="G805" s="6"/>
      <c r="H805" s="6"/>
      <c r="I805" s="17"/>
      <c r="J805" s="6"/>
      <c r="K805" s="6"/>
      <c r="L805" s="17"/>
      <c r="M805" s="6"/>
      <c r="N805" s="6"/>
      <c r="O805" s="6"/>
      <c r="P805" s="6"/>
      <c r="Q805" s="6"/>
      <c r="R805" s="6"/>
      <c r="S805" s="6"/>
      <c r="T805" s="6"/>
      <c r="U805" s="6"/>
      <c r="V805" s="6"/>
      <c r="W805" s="6"/>
      <c r="X805" s="6"/>
      <c r="Y805" s="6"/>
      <c r="Z805" s="6"/>
      <c r="AA805" s="6"/>
      <c r="AB805" s="6"/>
      <c r="AC805" s="6"/>
      <c r="AD805" s="7"/>
    </row>
    <row r="806" spans="1:30" ht="13">
      <c r="A806" s="20"/>
      <c r="B806" s="20"/>
      <c r="C806" s="23"/>
      <c r="D806" s="17"/>
      <c r="E806" s="6"/>
      <c r="F806" s="6"/>
      <c r="G806" s="6"/>
      <c r="H806" s="6"/>
      <c r="I806" s="17"/>
      <c r="J806" s="6"/>
      <c r="K806" s="6"/>
      <c r="L806" s="17"/>
      <c r="M806" s="6"/>
      <c r="N806" s="6"/>
      <c r="O806" s="6"/>
      <c r="P806" s="6"/>
      <c r="Q806" s="6"/>
      <c r="R806" s="6"/>
      <c r="S806" s="6"/>
      <c r="T806" s="6"/>
      <c r="U806" s="6"/>
      <c r="V806" s="6"/>
      <c r="W806" s="6"/>
      <c r="X806" s="6"/>
      <c r="Y806" s="6"/>
      <c r="Z806" s="6"/>
      <c r="AA806" s="6"/>
      <c r="AB806" s="6"/>
      <c r="AC806" s="6"/>
      <c r="AD806" s="7"/>
    </row>
    <row r="807" spans="1:30" ht="13">
      <c r="A807" s="20"/>
      <c r="B807" s="20"/>
      <c r="C807" s="23"/>
      <c r="D807" s="17"/>
      <c r="E807" s="6"/>
      <c r="F807" s="6"/>
      <c r="G807" s="6"/>
      <c r="H807" s="6"/>
      <c r="I807" s="17"/>
      <c r="J807" s="6"/>
      <c r="K807" s="6"/>
      <c r="L807" s="17"/>
      <c r="M807" s="6"/>
      <c r="N807" s="6"/>
      <c r="O807" s="6"/>
      <c r="P807" s="6"/>
      <c r="Q807" s="6"/>
      <c r="R807" s="6"/>
      <c r="S807" s="6"/>
      <c r="T807" s="6"/>
      <c r="U807" s="6"/>
      <c r="V807" s="6"/>
      <c r="W807" s="6"/>
      <c r="X807" s="6"/>
      <c r="Y807" s="6"/>
      <c r="Z807" s="6"/>
      <c r="AA807" s="6"/>
      <c r="AB807" s="6"/>
      <c r="AC807" s="6"/>
      <c r="AD807" s="7"/>
    </row>
    <row r="808" spans="1:30" ht="13">
      <c r="A808" s="20"/>
      <c r="B808" s="20"/>
      <c r="C808" s="23"/>
      <c r="D808" s="17"/>
      <c r="E808" s="6"/>
      <c r="F808" s="6"/>
      <c r="G808" s="6"/>
      <c r="H808" s="6"/>
      <c r="I808" s="17"/>
      <c r="J808" s="6"/>
      <c r="K808" s="6"/>
      <c r="L808" s="17"/>
      <c r="M808" s="6"/>
      <c r="N808" s="6"/>
      <c r="O808" s="6"/>
      <c r="P808" s="6"/>
      <c r="Q808" s="6"/>
      <c r="R808" s="6"/>
      <c r="S808" s="6"/>
      <c r="T808" s="6"/>
      <c r="U808" s="6"/>
      <c r="V808" s="6"/>
      <c r="W808" s="6"/>
      <c r="X808" s="6"/>
      <c r="Y808" s="6"/>
      <c r="Z808" s="6"/>
      <c r="AA808" s="6"/>
      <c r="AB808" s="6"/>
      <c r="AC808" s="6"/>
      <c r="AD808" s="7"/>
    </row>
    <row r="809" spans="1:30" ht="13">
      <c r="A809" s="20"/>
      <c r="B809" s="20"/>
      <c r="C809" s="23"/>
      <c r="D809" s="17"/>
      <c r="E809" s="6"/>
      <c r="F809" s="6"/>
      <c r="G809" s="6"/>
      <c r="H809" s="6"/>
      <c r="I809" s="17"/>
      <c r="J809" s="6"/>
      <c r="K809" s="6"/>
      <c r="L809" s="17"/>
      <c r="M809" s="6"/>
      <c r="N809" s="6"/>
      <c r="O809" s="6"/>
      <c r="P809" s="6"/>
      <c r="Q809" s="6"/>
      <c r="R809" s="6"/>
      <c r="S809" s="6"/>
      <c r="T809" s="6"/>
      <c r="U809" s="6"/>
      <c r="V809" s="6"/>
      <c r="W809" s="6"/>
      <c r="X809" s="6"/>
      <c r="Y809" s="6"/>
      <c r="Z809" s="6"/>
      <c r="AA809" s="6"/>
      <c r="AB809" s="6"/>
      <c r="AC809" s="6"/>
      <c r="AD809" s="7"/>
    </row>
    <row r="810" spans="1:30" ht="13">
      <c r="A810" s="20"/>
      <c r="B810" s="20"/>
      <c r="C810" s="23"/>
      <c r="D810" s="17"/>
      <c r="E810" s="6"/>
      <c r="F810" s="6"/>
      <c r="G810" s="6"/>
      <c r="H810" s="6"/>
      <c r="I810" s="17"/>
      <c r="J810" s="6"/>
      <c r="K810" s="6"/>
      <c r="L810" s="17"/>
      <c r="M810" s="6"/>
      <c r="N810" s="6"/>
      <c r="O810" s="6"/>
      <c r="P810" s="6"/>
      <c r="Q810" s="6"/>
      <c r="R810" s="6"/>
      <c r="S810" s="6"/>
      <c r="T810" s="6"/>
      <c r="U810" s="6"/>
      <c r="V810" s="6"/>
      <c r="W810" s="6"/>
      <c r="X810" s="6"/>
      <c r="Y810" s="6"/>
      <c r="Z810" s="6"/>
      <c r="AA810" s="6"/>
      <c r="AB810" s="6"/>
      <c r="AC810" s="6"/>
      <c r="AD810" s="7"/>
    </row>
    <row r="811" spans="1:30" ht="13">
      <c r="A811" s="20"/>
      <c r="B811" s="20"/>
      <c r="C811" s="23"/>
      <c r="D811" s="17"/>
      <c r="E811" s="6"/>
      <c r="F811" s="6"/>
      <c r="G811" s="6"/>
      <c r="H811" s="6"/>
      <c r="I811" s="17"/>
      <c r="J811" s="6"/>
      <c r="K811" s="6"/>
      <c r="L811" s="17"/>
      <c r="M811" s="6"/>
      <c r="N811" s="6"/>
      <c r="O811" s="6"/>
      <c r="P811" s="6"/>
      <c r="Q811" s="6"/>
      <c r="R811" s="6"/>
      <c r="S811" s="6"/>
      <c r="T811" s="6"/>
      <c r="U811" s="6"/>
      <c r="V811" s="6"/>
      <c r="W811" s="6"/>
      <c r="X811" s="6"/>
      <c r="Y811" s="6"/>
      <c r="Z811" s="6"/>
      <c r="AA811" s="6"/>
      <c r="AB811" s="6"/>
      <c r="AC811" s="6"/>
      <c r="AD811" s="7"/>
    </row>
    <row r="812" spans="1:30" ht="13">
      <c r="A812" s="20"/>
      <c r="B812" s="20"/>
      <c r="C812" s="23"/>
      <c r="D812" s="17"/>
      <c r="E812" s="6"/>
      <c r="F812" s="6"/>
      <c r="G812" s="6"/>
      <c r="H812" s="6"/>
      <c r="I812" s="17"/>
      <c r="J812" s="6"/>
      <c r="K812" s="6"/>
      <c r="L812" s="17"/>
      <c r="M812" s="6"/>
      <c r="N812" s="6"/>
      <c r="O812" s="6"/>
      <c r="P812" s="6"/>
      <c r="Q812" s="6"/>
      <c r="R812" s="6"/>
      <c r="S812" s="6"/>
      <c r="T812" s="6"/>
      <c r="U812" s="6"/>
      <c r="V812" s="6"/>
      <c r="W812" s="6"/>
      <c r="X812" s="6"/>
      <c r="Y812" s="6"/>
      <c r="Z812" s="6"/>
      <c r="AA812" s="6"/>
      <c r="AB812" s="6"/>
      <c r="AC812" s="6"/>
      <c r="AD812" s="7"/>
    </row>
    <row r="813" spans="1:30" ht="13">
      <c r="A813" s="20"/>
      <c r="B813" s="20"/>
      <c r="C813" s="23"/>
      <c r="D813" s="17"/>
      <c r="E813" s="6"/>
      <c r="F813" s="6"/>
      <c r="G813" s="6"/>
      <c r="H813" s="6"/>
      <c r="I813" s="17"/>
      <c r="J813" s="6"/>
      <c r="K813" s="6"/>
      <c r="L813" s="17"/>
      <c r="M813" s="6"/>
      <c r="N813" s="6"/>
      <c r="O813" s="6"/>
      <c r="P813" s="6"/>
      <c r="Q813" s="6"/>
      <c r="R813" s="6"/>
      <c r="S813" s="6"/>
      <c r="T813" s="6"/>
      <c r="U813" s="6"/>
      <c r="V813" s="6"/>
      <c r="W813" s="6"/>
      <c r="X813" s="6"/>
      <c r="Y813" s="6"/>
      <c r="Z813" s="6"/>
      <c r="AA813" s="6"/>
      <c r="AB813" s="6"/>
      <c r="AC813" s="6"/>
      <c r="AD813" s="7"/>
    </row>
    <row r="814" spans="1:30" ht="13">
      <c r="A814" s="20"/>
      <c r="B814" s="20"/>
      <c r="C814" s="23"/>
      <c r="D814" s="17"/>
      <c r="E814" s="6"/>
      <c r="F814" s="6"/>
      <c r="G814" s="6"/>
      <c r="H814" s="6"/>
      <c r="I814" s="17"/>
      <c r="J814" s="6"/>
      <c r="K814" s="6"/>
      <c r="L814" s="17"/>
      <c r="M814" s="6"/>
      <c r="N814" s="6"/>
      <c r="O814" s="6"/>
      <c r="P814" s="6"/>
      <c r="Q814" s="6"/>
      <c r="R814" s="6"/>
      <c r="S814" s="6"/>
      <c r="T814" s="6"/>
      <c r="U814" s="6"/>
      <c r="V814" s="6"/>
      <c r="W814" s="6"/>
      <c r="X814" s="6"/>
      <c r="Y814" s="6"/>
      <c r="Z814" s="6"/>
      <c r="AA814" s="6"/>
      <c r="AB814" s="6"/>
      <c r="AC814" s="6"/>
      <c r="AD814" s="7"/>
    </row>
    <row r="815" spans="1:30" ht="13">
      <c r="A815" s="20"/>
      <c r="B815" s="20"/>
      <c r="C815" s="23"/>
      <c r="D815" s="17"/>
      <c r="E815" s="6"/>
      <c r="F815" s="6"/>
      <c r="G815" s="6"/>
      <c r="H815" s="6"/>
      <c r="I815" s="17"/>
      <c r="J815" s="6"/>
      <c r="K815" s="6"/>
      <c r="L815" s="17"/>
      <c r="M815" s="6"/>
      <c r="N815" s="6"/>
      <c r="O815" s="6"/>
      <c r="P815" s="6"/>
      <c r="Q815" s="6"/>
      <c r="R815" s="6"/>
      <c r="S815" s="6"/>
      <c r="T815" s="6"/>
      <c r="U815" s="6"/>
      <c r="V815" s="6"/>
      <c r="W815" s="6"/>
      <c r="X815" s="6"/>
      <c r="Y815" s="6"/>
      <c r="Z815" s="6"/>
      <c r="AA815" s="6"/>
      <c r="AB815" s="6"/>
      <c r="AC815" s="6"/>
      <c r="AD815" s="7"/>
    </row>
    <row r="816" spans="1:30" ht="13">
      <c r="A816" s="20"/>
      <c r="B816" s="20"/>
      <c r="C816" s="23"/>
      <c r="D816" s="17"/>
      <c r="E816" s="6"/>
      <c r="F816" s="6"/>
      <c r="G816" s="6"/>
      <c r="H816" s="6"/>
      <c r="I816" s="17"/>
      <c r="J816" s="6"/>
      <c r="K816" s="6"/>
      <c r="L816" s="17"/>
      <c r="M816" s="6"/>
      <c r="N816" s="6"/>
      <c r="O816" s="6"/>
      <c r="P816" s="6"/>
      <c r="Q816" s="6"/>
      <c r="R816" s="6"/>
      <c r="S816" s="6"/>
      <c r="T816" s="6"/>
      <c r="U816" s="6"/>
      <c r="V816" s="6"/>
      <c r="W816" s="6"/>
      <c r="X816" s="6"/>
      <c r="Y816" s="6"/>
      <c r="Z816" s="6"/>
      <c r="AA816" s="6"/>
      <c r="AB816" s="6"/>
      <c r="AC816" s="6"/>
      <c r="AD816" s="7"/>
    </row>
    <row r="817" spans="1:30" ht="13">
      <c r="A817" s="20"/>
      <c r="B817" s="20"/>
      <c r="C817" s="23"/>
      <c r="D817" s="17"/>
      <c r="E817" s="6"/>
      <c r="F817" s="6"/>
      <c r="G817" s="6"/>
      <c r="H817" s="6"/>
      <c r="I817" s="17"/>
      <c r="J817" s="6"/>
      <c r="K817" s="6"/>
      <c r="L817" s="17"/>
      <c r="M817" s="6"/>
      <c r="N817" s="6"/>
      <c r="O817" s="6"/>
      <c r="P817" s="6"/>
      <c r="Q817" s="6"/>
      <c r="R817" s="6"/>
      <c r="S817" s="6"/>
      <c r="T817" s="6"/>
      <c r="U817" s="6"/>
      <c r="V817" s="6"/>
      <c r="W817" s="6"/>
      <c r="X817" s="6"/>
      <c r="Y817" s="6"/>
      <c r="Z817" s="6"/>
      <c r="AA817" s="6"/>
      <c r="AB817" s="6"/>
      <c r="AC817" s="6"/>
      <c r="AD817" s="7"/>
    </row>
    <row r="818" spans="1:30" ht="13">
      <c r="A818" s="20"/>
      <c r="B818" s="20"/>
      <c r="C818" s="23"/>
      <c r="D818" s="17"/>
      <c r="E818" s="6"/>
      <c r="F818" s="6"/>
      <c r="G818" s="6"/>
      <c r="H818" s="6"/>
      <c r="I818" s="17"/>
      <c r="J818" s="6"/>
      <c r="K818" s="6"/>
      <c r="L818" s="17"/>
      <c r="M818" s="6"/>
      <c r="N818" s="6"/>
      <c r="O818" s="6"/>
      <c r="P818" s="6"/>
      <c r="Q818" s="6"/>
      <c r="R818" s="6"/>
      <c r="S818" s="6"/>
      <c r="T818" s="6"/>
      <c r="U818" s="6"/>
      <c r="V818" s="6"/>
      <c r="W818" s="6"/>
      <c r="X818" s="6"/>
      <c r="Y818" s="6"/>
      <c r="Z818" s="6"/>
      <c r="AA818" s="6"/>
      <c r="AB818" s="6"/>
      <c r="AC818" s="6"/>
      <c r="AD818" s="7"/>
    </row>
    <row r="819" spans="1:30" ht="13">
      <c r="A819" s="20"/>
      <c r="B819" s="20"/>
      <c r="C819" s="23"/>
      <c r="D819" s="17"/>
      <c r="E819" s="6"/>
      <c r="F819" s="6"/>
      <c r="G819" s="6"/>
      <c r="H819" s="6"/>
      <c r="I819" s="17"/>
      <c r="J819" s="6"/>
      <c r="K819" s="6"/>
      <c r="L819" s="17"/>
      <c r="M819" s="6"/>
      <c r="N819" s="6"/>
      <c r="O819" s="6"/>
      <c r="P819" s="6"/>
      <c r="Q819" s="6"/>
      <c r="R819" s="6"/>
      <c r="S819" s="6"/>
      <c r="T819" s="6"/>
      <c r="U819" s="6"/>
      <c r="V819" s="6"/>
      <c r="W819" s="6"/>
      <c r="X819" s="6"/>
      <c r="Y819" s="6"/>
      <c r="Z819" s="6"/>
      <c r="AA819" s="6"/>
      <c r="AB819" s="6"/>
      <c r="AC819" s="6"/>
      <c r="AD819" s="7"/>
    </row>
    <row r="820" spans="1:30" ht="13">
      <c r="A820" s="20"/>
      <c r="B820" s="20"/>
      <c r="C820" s="23"/>
      <c r="D820" s="17"/>
      <c r="E820" s="6"/>
      <c r="F820" s="6"/>
      <c r="G820" s="6"/>
      <c r="H820" s="6"/>
      <c r="I820" s="17"/>
      <c r="J820" s="6"/>
      <c r="K820" s="6"/>
      <c r="L820" s="17"/>
      <c r="M820" s="6"/>
      <c r="N820" s="6"/>
      <c r="O820" s="6"/>
      <c r="P820" s="6"/>
      <c r="Q820" s="6"/>
      <c r="R820" s="6"/>
      <c r="S820" s="6"/>
      <c r="T820" s="6"/>
      <c r="U820" s="6"/>
      <c r="V820" s="6"/>
      <c r="W820" s="6"/>
      <c r="X820" s="6"/>
      <c r="Y820" s="6"/>
      <c r="Z820" s="6"/>
      <c r="AA820" s="6"/>
      <c r="AB820" s="6"/>
      <c r="AC820" s="6"/>
      <c r="AD820" s="7"/>
    </row>
    <row r="821" spans="1:30" ht="13">
      <c r="A821" s="20"/>
      <c r="B821" s="20"/>
      <c r="C821" s="23"/>
      <c r="D821" s="17"/>
      <c r="E821" s="6"/>
      <c r="F821" s="6"/>
      <c r="G821" s="6"/>
      <c r="H821" s="6"/>
      <c r="I821" s="17"/>
      <c r="J821" s="6"/>
      <c r="K821" s="6"/>
      <c r="L821" s="17"/>
      <c r="M821" s="6"/>
      <c r="N821" s="6"/>
      <c r="O821" s="6"/>
      <c r="P821" s="6"/>
      <c r="Q821" s="6"/>
      <c r="R821" s="6"/>
      <c r="S821" s="6"/>
      <c r="T821" s="6"/>
      <c r="U821" s="6"/>
      <c r="V821" s="6"/>
      <c r="W821" s="6"/>
      <c r="X821" s="6"/>
      <c r="Y821" s="6"/>
      <c r="Z821" s="6"/>
      <c r="AA821" s="6"/>
      <c r="AB821" s="6"/>
      <c r="AC821" s="6"/>
      <c r="AD821" s="7"/>
    </row>
    <row r="822" spans="1:30" ht="13">
      <c r="A822" s="20"/>
      <c r="B822" s="20"/>
      <c r="C822" s="23"/>
      <c r="D822" s="17"/>
      <c r="E822" s="6"/>
      <c r="F822" s="6"/>
      <c r="G822" s="6"/>
      <c r="H822" s="6"/>
      <c r="I822" s="17"/>
      <c r="J822" s="6"/>
      <c r="K822" s="6"/>
      <c r="L822" s="17"/>
      <c r="M822" s="6"/>
      <c r="N822" s="6"/>
      <c r="O822" s="6"/>
      <c r="P822" s="6"/>
      <c r="Q822" s="6"/>
      <c r="R822" s="6"/>
      <c r="S822" s="6"/>
      <c r="T822" s="6"/>
      <c r="U822" s="6"/>
      <c r="V822" s="6"/>
      <c r="W822" s="6"/>
      <c r="X822" s="6"/>
      <c r="Y822" s="6"/>
      <c r="Z822" s="6"/>
      <c r="AA822" s="6"/>
      <c r="AB822" s="6"/>
      <c r="AC822" s="6"/>
      <c r="AD822" s="7"/>
    </row>
    <row r="823" spans="1:30" ht="13">
      <c r="A823" s="20"/>
      <c r="B823" s="20"/>
      <c r="C823" s="23"/>
      <c r="D823" s="17"/>
      <c r="E823" s="6"/>
      <c r="F823" s="6"/>
      <c r="G823" s="6"/>
      <c r="H823" s="6"/>
      <c r="I823" s="17"/>
      <c r="J823" s="6"/>
      <c r="K823" s="6"/>
      <c r="L823" s="17"/>
      <c r="M823" s="6"/>
      <c r="N823" s="6"/>
      <c r="O823" s="6"/>
      <c r="P823" s="6"/>
      <c r="Q823" s="6"/>
      <c r="R823" s="6"/>
      <c r="S823" s="6"/>
      <c r="T823" s="6"/>
      <c r="U823" s="6"/>
      <c r="V823" s="6"/>
      <c r="W823" s="6"/>
      <c r="X823" s="6"/>
      <c r="Y823" s="6"/>
      <c r="Z823" s="6"/>
      <c r="AA823" s="6"/>
      <c r="AB823" s="6"/>
      <c r="AC823" s="6"/>
      <c r="AD823" s="7"/>
    </row>
    <row r="824" spans="1:30" ht="13">
      <c r="A824" s="20"/>
      <c r="B824" s="20"/>
      <c r="C824" s="23"/>
      <c r="D824" s="17"/>
      <c r="E824" s="6"/>
      <c r="F824" s="6"/>
      <c r="G824" s="6"/>
      <c r="H824" s="6"/>
      <c r="I824" s="17"/>
      <c r="J824" s="6"/>
      <c r="K824" s="6"/>
      <c r="L824" s="17"/>
      <c r="M824" s="6"/>
      <c r="N824" s="6"/>
      <c r="O824" s="6"/>
      <c r="P824" s="6"/>
      <c r="Q824" s="6"/>
      <c r="R824" s="6"/>
      <c r="S824" s="6"/>
      <c r="T824" s="6"/>
      <c r="U824" s="6"/>
      <c r="V824" s="6"/>
      <c r="W824" s="6"/>
      <c r="X824" s="6"/>
      <c r="Y824" s="6"/>
      <c r="Z824" s="6"/>
      <c r="AA824" s="6"/>
      <c r="AB824" s="6"/>
      <c r="AC824" s="6"/>
      <c r="AD824" s="7"/>
    </row>
    <row r="825" spans="1:30" ht="13">
      <c r="A825" s="20"/>
      <c r="B825" s="20"/>
      <c r="C825" s="23"/>
      <c r="D825" s="17"/>
      <c r="E825" s="6"/>
      <c r="F825" s="6"/>
      <c r="G825" s="6"/>
      <c r="H825" s="6"/>
      <c r="I825" s="17"/>
      <c r="J825" s="6"/>
      <c r="K825" s="6"/>
      <c r="L825" s="17"/>
      <c r="M825" s="6"/>
      <c r="N825" s="6"/>
      <c r="O825" s="6"/>
      <c r="P825" s="6"/>
      <c r="Q825" s="6"/>
      <c r="R825" s="6"/>
      <c r="S825" s="6"/>
      <c r="T825" s="6"/>
      <c r="U825" s="6"/>
      <c r="V825" s="6"/>
      <c r="W825" s="6"/>
      <c r="X825" s="6"/>
      <c r="Y825" s="6"/>
      <c r="Z825" s="6"/>
      <c r="AA825" s="6"/>
      <c r="AB825" s="6"/>
      <c r="AC825" s="6"/>
      <c r="AD825" s="7"/>
    </row>
    <row r="826" spans="1:30" ht="13">
      <c r="A826" s="20"/>
      <c r="B826" s="20"/>
      <c r="C826" s="23"/>
      <c r="D826" s="17"/>
      <c r="E826" s="6"/>
      <c r="F826" s="6"/>
      <c r="G826" s="6"/>
      <c r="H826" s="6"/>
      <c r="I826" s="17"/>
      <c r="J826" s="6"/>
      <c r="K826" s="6"/>
      <c r="L826" s="17"/>
      <c r="M826" s="6"/>
      <c r="N826" s="6"/>
      <c r="O826" s="6"/>
      <c r="P826" s="6"/>
      <c r="Q826" s="6"/>
      <c r="R826" s="6"/>
      <c r="S826" s="6"/>
      <c r="T826" s="6"/>
      <c r="U826" s="6"/>
      <c r="V826" s="6"/>
      <c r="W826" s="6"/>
      <c r="X826" s="6"/>
      <c r="Y826" s="6"/>
      <c r="Z826" s="6"/>
      <c r="AA826" s="6"/>
      <c r="AB826" s="6"/>
      <c r="AC826" s="6"/>
      <c r="AD826" s="7"/>
    </row>
    <row r="827" spans="1:30" ht="13">
      <c r="A827" s="20"/>
      <c r="B827" s="20"/>
      <c r="C827" s="23"/>
      <c r="D827" s="17"/>
      <c r="E827" s="6"/>
      <c r="F827" s="6"/>
      <c r="G827" s="6"/>
      <c r="H827" s="6"/>
      <c r="I827" s="17"/>
      <c r="J827" s="6"/>
      <c r="K827" s="6"/>
      <c r="L827" s="17"/>
      <c r="M827" s="6"/>
      <c r="N827" s="6"/>
      <c r="O827" s="6"/>
      <c r="P827" s="6"/>
      <c r="Q827" s="6"/>
      <c r="R827" s="6"/>
      <c r="S827" s="6"/>
      <c r="T827" s="6"/>
      <c r="U827" s="6"/>
      <c r="V827" s="6"/>
      <c r="W827" s="6"/>
      <c r="X827" s="6"/>
      <c r="Y827" s="6"/>
      <c r="Z827" s="6"/>
      <c r="AA827" s="6"/>
      <c r="AB827" s="6"/>
      <c r="AC827" s="6"/>
      <c r="AD827" s="7"/>
    </row>
    <row r="828" spans="1:30" ht="13">
      <c r="A828" s="20"/>
      <c r="B828" s="20"/>
      <c r="C828" s="23"/>
      <c r="D828" s="17"/>
      <c r="E828" s="6"/>
      <c r="F828" s="6"/>
      <c r="G828" s="6"/>
      <c r="H828" s="6"/>
      <c r="I828" s="17"/>
      <c r="J828" s="6"/>
      <c r="K828" s="6"/>
      <c r="L828" s="17"/>
      <c r="M828" s="6"/>
      <c r="N828" s="6"/>
      <c r="O828" s="6"/>
      <c r="P828" s="6"/>
      <c r="Q828" s="6"/>
      <c r="R828" s="6"/>
      <c r="S828" s="6"/>
      <c r="T828" s="6"/>
      <c r="U828" s="6"/>
      <c r="V828" s="6"/>
      <c r="W828" s="6"/>
      <c r="X828" s="6"/>
      <c r="Y828" s="6"/>
      <c r="Z828" s="6"/>
      <c r="AA828" s="6"/>
      <c r="AB828" s="6"/>
      <c r="AC828" s="6"/>
      <c r="AD828" s="7"/>
    </row>
    <row r="829" spans="1:30" ht="13">
      <c r="A829" s="20"/>
      <c r="B829" s="20"/>
      <c r="C829" s="23"/>
      <c r="D829" s="17"/>
      <c r="E829" s="6"/>
      <c r="F829" s="6"/>
      <c r="G829" s="6"/>
      <c r="H829" s="6"/>
      <c r="I829" s="17"/>
      <c r="J829" s="6"/>
      <c r="K829" s="6"/>
      <c r="L829" s="17"/>
      <c r="M829" s="6"/>
      <c r="N829" s="6"/>
      <c r="O829" s="6"/>
      <c r="P829" s="6"/>
      <c r="Q829" s="6"/>
      <c r="R829" s="6"/>
      <c r="S829" s="6"/>
      <c r="T829" s="6"/>
      <c r="U829" s="6"/>
      <c r="V829" s="6"/>
      <c r="W829" s="6"/>
      <c r="X829" s="6"/>
      <c r="Y829" s="6"/>
      <c r="Z829" s="6"/>
      <c r="AA829" s="6"/>
      <c r="AB829" s="6"/>
      <c r="AC829" s="6"/>
      <c r="AD829" s="7"/>
    </row>
    <row r="830" spans="1:30" ht="13">
      <c r="A830" s="20"/>
      <c r="B830" s="20"/>
      <c r="C830" s="23"/>
      <c r="D830" s="17"/>
      <c r="E830" s="6"/>
      <c r="F830" s="6"/>
      <c r="G830" s="6"/>
      <c r="H830" s="6"/>
      <c r="I830" s="17"/>
      <c r="J830" s="6"/>
      <c r="K830" s="6"/>
      <c r="L830" s="17"/>
      <c r="M830" s="6"/>
      <c r="N830" s="6"/>
      <c r="O830" s="6"/>
      <c r="P830" s="6"/>
      <c r="Q830" s="6"/>
      <c r="R830" s="6"/>
      <c r="S830" s="6"/>
      <c r="T830" s="6"/>
      <c r="U830" s="6"/>
      <c r="V830" s="6"/>
      <c r="W830" s="6"/>
      <c r="X830" s="6"/>
      <c r="Y830" s="6"/>
      <c r="Z830" s="6"/>
      <c r="AA830" s="6"/>
      <c r="AB830" s="6"/>
      <c r="AC830" s="6"/>
      <c r="AD830" s="7"/>
    </row>
    <row r="831" spans="1:30" ht="13">
      <c r="A831" s="20"/>
      <c r="B831" s="20"/>
      <c r="C831" s="23"/>
      <c r="D831" s="17"/>
      <c r="E831" s="6"/>
      <c r="F831" s="6"/>
      <c r="G831" s="6"/>
      <c r="H831" s="6"/>
      <c r="I831" s="17"/>
      <c r="J831" s="6"/>
      <c r="K831" s="6"/>
      <c r="L831" s="17"/>
      <c r="M831" s="6"/>
      <c r="N831" s="6"/>
      <c r="O831" s="6"/>
      <c r="P831" s="6"/>
      <c r="Q831" s="6"/>
      <c r="R831" s="6"/>
      <c r="S831" s="6"/>
      <c r="T831" s="6"/>
      <c r="U831" s="6"/>
      <c r="V831" s="6"/>
      <c r="W831" s="6"/>
      <c r="X831" s="6"/>
      <c r="Y831" s="6"/>
      <c r="Z831" s="6"/>
      <c r="AA831" s="6"/>
      <c r="AB831" s="6"/>
      <c r="AC831" s="6"/>
      <c r="AD831" s="7"/>
    </row>
    <row r="832" spans="1:30" ht="13">
      <c r="A832" s="20"/>
      <c r="B832" s="20"/>
      <c r="C832" s="23"/>
      <c r="D832" s="17"/>
      <c r="E832" s="6"/>
      <c r="F832" s="6"/>
      <c r="G832" s="6"/>
      <c r="H832" s="6"/>
      <c r="I832" s="17"/>
      <c r="J832" s="6"/>
      <c r="K832" s="6"/>
      <c r="L832" s="17"/>
      <c r="M832" s="6"/>
      <c r="N832" s="6"/>
      <c r="O832" s="6"/>
      <c r="P832" s="6"/>
      <c r="Q832" s="6"/>
      <c r="R832" s="6"/>
      <c r="S832" s="6"/>
      <c r="T832" s="6"/>
      <c r="U832" s="6"/>
      <c r="V832" s="6"/>
      <c r="W832" s="6"/>
      <c r="X832" s="6"/>
      <c r="Y832" s="6"/>
      <c r="Z832" s="6"/>
      <c r="AA832" s="6"/>
      <c r="AB832" s="6"/>
      <c r="AC832" s="6"/>
      <c r="AD832" s="7"/>
    </row>
    <row r="833" spans="1:30" ht="13">
      <c r="A833" s="20"/>
      <c r="B833" s="20"/>
      <c r="C833" s="23"/>
      <c r="D833" s="17"/>
      <c r="E833" s="6"/>
      <c r="F833" s="6"/>
      <c r="G833" s="6"/>
      <c r="H833" s="6"/>
      <c r="I833" s="17"/>
      <c r="J833" s="6"/>
      <c r="K833" s="6"/>
      <c r="L833" s="17"/>
      <c r="M833" s="6"/>
      <c r="N833" s="6"/>
      <c r="O833" s="6"/>
      <c r="P833" s="6"/>
      <c r="Q833" s="6"/>
      <c r="R833" s="6"/>
      <c r="S833" s="6"/>
      <c r="T833" s="6"/>
      <c r="U833" s="6"/>
      <c r="V833" s="6"/>
      <c r="W833" s="6"/>
      <c r="X833" s="6"/>
      <c r="Y833" s="6"/>
      <c r="Z833" s="6"/>
      <c r="AA833" s="6"/>
      <c r="AB833" s="6"/>
      <c r="AC833" s="6"/>
      <c r="AD833" s="7"/>
    </row>
    <row r="834" spans="1:30" ht="13">
      <c r="A834" s="20"/>
      <c r="B834" s="20"/>
      <c r="C834" s="23"/>
      <c r="D834" s="17"/>
      <c r="E834" s="6"/>
      <c r="F834" s="6"/>
      <c r="G834" s="6"/>
      <c r="H834" s="6"/>
      <c r="I834" s="17"/>
      <c r="J834" s="6"/>
      <c r="K834" s="6"/>
      <c r="L834" s="17"/>
      <c r="M834" s="6"/>
      <c r="N834" s="6"/>
      <c r="O834" s="6"/>
      <c r="P834" s="6"/>
      <c r="Q834" s="6"/>
      <c r="R834" s="6"/>
      <c r="S834" s="6"/>
      <c r="T834" s="6"/>
      <c r="U834" s="6"/>
      <c r="V834" s="6"/>
      <c r="W834" s="6"/>
      <c r="X834" s="6"/>
      <c r="Y834" s="6"/>
      <c r="Z834" s="6"/>
      <c r="AA834" s="6"/>
      <c r="AB834" s="6"/>
      <c r="AC834" s="6"/>
      <c r="AD834" s="7"/>
    </row>
    <row r="835" spans="1:30" ht="13">
      <c r="A835" s="20"/>
      <c r="B835" s="20"/>
      <c r="C835" s="23"/>
      <c r="D835" s="17"/>
      <c r="E835" s="6"/>
      <c r="F835" s="6"/>
      <c r="G835" s="6"/>
      <c r="H835" s="6"/>
      <c r="I835" s="17"/>
      <c r="J835" s="6"/>
      <c r="K835" s="6"/>
      <c r="L835" s="17"/>
      <c r="M835" s="6"/>
      <c r="N835" s="6"/>
      <c r="O835" s="6"/>
      <c r="P835" s="6"/>
      <c r="Q835" s="6"/>
      <c r="R835" s="6"/>
      <c r="S835" s="6"/>
      <c r="T835" s="6"/>
      <c r="U835" s="6"/>
      <c r="V835" s="6"/>
      <c r="W835" s="6"/>
      <c r="X835" s="6"/>
      <c r="Y835" s="6"/>
      <c r="Z835" s="6"/>
      <c r="AA835" s="6"/>
      <c r="AB835" s="6"/>
      <c r="AC835" s="6"/>
      <c r="AD835" s="7"/>
    </row>
    <row r="836" spans="1:30" ht="13">
      <c r="A836" s="20"/>
      <c r="B836" s="20"/>
      <c r="C836" s="23"/>
      <c r="D836" s="17"/>
      <c r="E836" s="6"/>
      <c r="F836" s="6"/>
      <c r="G836" s="6"/>
      <c r="H836" s="6"/>
      <c r="I836" s="17"/>
      <c r="J836" s="6"/>
      <c r="K836" s="6"/>
      <c r="L836" s="17"/>
      <c r="M836" s="6"/>
      <c r="N836" s="6"/>
      <c r="O836" s="6"/>
      <c r="P836" s="6"/>
      <c r="Q836" s="6"/>
      <c r="R836" s="6"/>
      <c r="S836" s="6"/>
      <c r="T836" s="6"/>
      <c r="U836" s="6"/>
      <c r="V836" s="6"/>
      <c r="W836" s="6"/>
      <c r="X836" s="6"/>
      <c r="Y836" s="6"/>
      <c r="Z836" s="6"/>
      <c r="AA836" s="6"/>
      <c r="AB836" s="6"/>
      <c r="AC836" s="6"/>
      <c r="AD836" s="7"/>
    </row>
    <row r="837" spans="1:30" ht="13">
      <c r="A837" s="20"/>
      <c r="B837" s="20"/>
      <c r="C837" s="23"/>
      <c r="D837" s="17"/>
      <c r="E837" s="6"/>
      <c r="F837" s="6"/>
      <c r="G837" s="6"/>
      <c r="H837" s="6"/>
      <c r="I837" s="17"/>
      <c r="J837" s="6"/>
      <c r="K837" s="6"/>
      <c r="L837" s="17"/>
      <c r="M837" s="6"/>
      <c r="N837" s="6"/>
      <c r="O837" s="6"/>
      <c r="P837" s="6"/>
      <c r="Q837" s="6"/>
      <c r="R837" s="6"/>
      <c r="S837" s="6"/>
      <c r="T837" s="6"/>
      <c r="U837" s="6"/>
      <c r="V837" s="6"/>
      <c r="W837" s="6"/>
      <c r="X837" s="6"/>
      <c r="Y837" s="6"/>
      <c r="Z837" s="6"/>
      <c r="AA837" s="6"/>
      <c r="AB837" s="6"/>
      <c r="AC837" s="6"/>
      <c r="AD837" s="7"/>
    </row>
    <row r="838" spans="1:30" ht="13">
      <c r="A838" s="20"/>
      <c r="B838" s="20"/>
      <c r="C838" s="23"/>
      <c r="D838" s="17"/>
      <c r="E838" s="6"/>
      <c r="F838" s="6"/>
      <c r="G838" s="6"/>
      <c r="H838" s="6"/>
      <c r="I838" s="17"/>
      <c r="J838" s="6"/>
      <c r="K838" s="6"/>
      <c r="L838" s="17"/>
      <c r="M838" s="6"/>
      <c r="N838" s="6"/>
      <c r="O838" s="6"/>
      <c r="P838" s="6"/>
      <c r="Q838" s="6"/>
      <c r="R838" s="6"/>
      <c r="S838" s="6"/>
      <c r="T838" s="6"/>
      <c r="U838" s="6"/>
      <c r="V838" s="6"/>
      <c r="W838" s="6"/>
      <c r="X838" s="6"/>
      <c r="Y838" s="6"/>
      <c r="Z838" s="6"/>
      <c r="AA838" s="6"/>
      <c r="AB838" s="6"/>
      <c r="AC838" s="6"/>
      <c r="AD838" s="7"/>
    </row>
    <row r="839" spans="1:30" ht="13">
      <c r="A839" s="20"/>
      <c r="B839" s="20"/>
      <c r="C839" s="23"/>
      <c r="D839" s="17"/>
      <c r="E839" s="6"/>
      <c r="F839" s="6"/>
      <c r="G839" s="6"/>
      <c r="H839" s="6"/>
      <c r="I839" s="17"/>
      <c r="J839" s="6"/>
      <c r="K839" s="6"/>
      <c r="L839" s="17"/>
      <c r="M839" s="6"/>
      <c r="N839" s="6"/>
      <c r="O839" s="6"/>
      <c r="P839" s="6"/>
      <c r="Q839" s="6"/>
      <c r="R839" s="6"/>
      <c r="S839" s="6"/>
      <c r="T839" s="6"/>
      <c r="U839" s="6"/>
      <c r="V839" s="6"/>
      <c r="W839" s="6"/>
      <c r="X839" s="6"/>
      <c r="Y839" s="6"/>
      <c r="Z839" s="6"/>
      <c r="AA839" s="6"/>
      <c r="AB839" s="6"/>
      <c r="AC839" s="6"/>
      <c r="AD839" s="7"/>
    </row>
    <row r="840" spans="1:30" ht="13">
      <c r="A840" s="20"/>
      <c r="B840" s="20"/>
      <c r="C840" s="23"/>
      <c r="D840" s="17"/>
      <c r="E840" s="6"/>
      <c r="F840" s="6"/>
      <c r="G840" s="6"/>
      <c r="H840" s="6"/>
      <c r="I840" s="17"/>
      <c r="J840" s="6"/>
      <c r="K840" s="6"/>
      <c r="L840" s="17"/>
      <c r="M840" s="6"/>
      <c r="N840" s="6"/>
      <c r="O840" s="6"/>
      <c r="P840" s="6"/>
      <c r="Q840" s="6"/>
      <c r="R840" s="6"/>
      <c r="S840" s="6"/>
      <c r="T840" s="6"/>
      <c r="U840" s="6"/>
      <c r="V840" s="6"/>
      <c r="W840" s="6"/>
      <c r="X840" s="6"/>
      <c r="Y840" s="6"/>
      <c r="Z840" s="6"/>
      <c r="AA840" s="6"/>
      <c r="AB840" s="6"/>
      <c r="AC840" s="6"/>
      <c r="AD840" s="7"/>
    </row>
    <row r="841" spans="1:30" ht="13">
      <c r="A841" s="20"/>
      <c r="B841" s="20"/>
      <c r="C841" s="23"/>
      <c r="D841" s="17"/>
      <c r="E841" s="6"/>
      <c r="F841" s="6"/>
      <c r="G841" s="6"/>
      <c r="H841" s="6"/>
      <c r="I841" s="17"/>
      <c r="J841" s="6"/>
      <c r="K841" s="6"/>
      <c r="L841" s="17"/>
      <c r="M841" s="6"/>
      <c r="N841" s="6"/>
      <c r="O841" s="6"/>
      <c r="P841" s="6"/>
      <c r="Q841" s="6"/>
      <c r="R841" s="6"/>
      <c r="S841" s="6"/>
      <c r="T841" s="6"/>
      <c r="U841" s="6"/>
      <c r="V841" s="6"/>
      <c r="W841" s="6"/>
      <c r="X841" s="6"/>
      <c r="Y841" s="6"/>
      <c r="Z841" s="6"/>
      <c r="AA841" s="6"/>
      <c r="AB841" s="6"/>
      <c r="AC841" s="6"/>
      <c r="AD841" s="7"/>
    </row>
    <row r="842" spans="1:30" ht="13">
      <c r="A842" s="20"/>
      <c r="B842" s="20"/>
      <c r="C842" s="23"/>
      <c r="D842" s="17"/>
      <c r="E842" s="6"/>
      <c r="F842" s="6"/>
      <c r="G842" s="6"/>
      <c r="H842" s="6"/>
      <c r="I842" s="17"/>
      <c r="J842" s="6"/>
      <c r="K842" s="6"/>
      <c r="L842" s="17"/>
      <c r="M842" s="6"/>
      <c r="N842" s="6"/>
      <c r="O842" s="6"/>
      <c r="P842" s="6"/>
      <c r="Q842" s="6"/>
      <c r="R842" s="6"/>
      <c r="S842" s="6"/>
      <c r="T842" s="6"/>
      <c r="U842" s="6"/>
      <c r="V842" s="6"/>
      <c r="W842" s="6"/>
      <c r="X842" s="6"/>
      <c r="Y842" s="6"/>
      <c r="Z842" s="6"/>
      <c r="AA842" s="6"/>
      <c r="AB842" s="6"/>
      <c r="AC842" s="6"/>
      <c r="AD842" s="7"/>
    </row>
    <row r="843" spans="1:30" ht="13">
      <c r="A843" s="20"/>
      <c r="B843" s="20"/>
      <c r="C843" s="23"/>
      <c r="D843" s="17"/>
      <c r="E843" s="6"/>
      <c r="F843" s="6"/>
      <c r="G843" s="6"/>
      <c r="H843" s="6"/>
      <c r="I843" s="17"/>
      <c r="J843" s="6"/>
      <c r="K843" s="6"/>
      <c r="L843" s="17"/>
      <c r="M843" s="6"/>
      <c r="N843" s="6"/>
      <c r="O843" s="6"/>
      <c r="P843" s="6"/>
      <c r="Q843" s="6"/>
      <c r="R843" s="6"/>
      <c r="S843" s="6"/>
      <c r="T843" s="6"/>
      <c r="U843" s="6"/>
      <c r="V843" s="6"/>
      <c r="W843" s="6"/>
      <c r="X843" s="6"/>
      <c r="Y843" s="6"/>
      <c r="Z843" s="6"/>
      <c r="AA843" s="6"/>
      <c r="AB843" s="6"/>
      <c r="AC843" s="6"/>
      <c r="AD843" s="7"/>
    </row>
    <row r="844" spans="1:30" ht="13">
      <c r="A844" s="20"/>
      <c r="B844" s="20"/>
      <c r="C844" s="23"/>
      <c r="D844" s="17"/>
      <c r="E844" s="6"/>
      <c r="F844" s="6"/>
      <c r="G844" s="6"/>
      <c r="H844" s="6"/>
      <c r="I844" s="17"/>
      <c r="J844" s="6"/>
      <c r="K844" s="6"/>
      <c r="L844" s="17"/>
      <c r="M844" s="6"/>
      <c r="N844" s="6"/>
      <c r="O844" s="6"/>
      <c r="P844" s="6"/>
      <c r="Q844" s="6"/>
      <c r="R844" s="6"/>
      <c r="S844" s="6"/>
      <c r="T844" s="6"/>
      <c r="U844" s="6"/>
      <c r="V844" s="6"/>
      <c r="W844" s="6"/>
      <c r="X844" s="6"/>
      <c r="Y844" s="6"/>
      <c r="Z844" s="6"/>
      <c r="AA844" s="6"/>
      <c r="AB844" s="6"/>
      <c r="AC844" s="6"/>
      <c r="AD844" s="7"/>
    </row>
    <row r="845" spans="1:30" ht="13">
      <c r="A845" s="20"/>
      <c r="B845" s="20"/>
      <c r="C845" s="23"/>
      <c r="D845" s="17"/>
      <c r="E845" s="6"/>
      <c r="F845" s="6"/>
      <c r="G845" s="6"/>
      <c r="H845" s="6"/>
      <c r="I845" s="17"/>
      <c r="J845" s="6"/>
      <c r="K845" s="6"/>
      <c r="L845" s="17"/>
      <c r="M845" s="6"/>
      <c r="N845" s="6"/>
      <c r="O845" s="6"/>
      <c r="P845" s="6"/>
      <c r="Q845" s="6"/>
      <c r="R845" s="6"/>
      <c r="S845" s="6"/>
      <c r="T845" s="6"/>
      <c r="U845" s="6"/>
      <c r="V845" s="6"/>
      <c r="W845" s="6"/>
      <c r="X845" s="6"/>
      <c r="Y845" s="6"/>
      <c r="Z845" s="6"/>
      <c r="AA845" s="6"/>
      <c r="AB845" s="6"/>
      <c r="AC845" s="6"/>
      <c r="AD845" s="7"/>
    </row>
    <row r="846" spans="1:30" ht="13">
      <c r="A846" s="20"/>
      <c r="B846" s="20"/>
      <c r="C846" s="23"/>
      <c r="D846" s="17"/>
      <c r="E846" s="6"/>
      <c r="F846" s="6"/>
      <c r="G846" s="6"/>
      <c r="H846" s="6"/>
      <c r="I846" s="17"/>
      <c r="J846" s="6"/>
      <c r="K846" s="6"/>
      <c r="L846" s="17"/>
      <c r="M846" s="6"/>
      <c r="N846" s="6"/>
      <c r="O846" s="6"/>
      <c r="P846" s="6"/>
      <c r="Q846" s="6"/>
      <c r="R846" s="6"/>
      <c r="S846" s="6"/>
      <c r="T846" s="6"/>
      <c r="U846" s="6"/>
      <c r="V846" s="6"/>
      <c r="W846" s="6"/>
      <c r="X846" s="6"/>
      <c r="Y846" s="6"/>
      <c r="Z846" s="6"/>
      <c r="AA846" s="6"/>
      <c r="AB846" s="6"/>
      <c r="AC846" s="6"/>
      <c r="AD846" s="7"/>
    </row>
    <row r="847" spans="1:30" ht="13">
      <c r="A847" s="20"/>
      <c r="B847" s="20"/>
      <c r="C847" s="23"/>
      <c r="D847" s="17"/>
      <c r="E847" s="6"/>
      <c r="F847" s="6"/>
      <c r="G847" s="6"/>
      <c r="H847" s="6"/>
      <c r="I847" s="17"/>
      <c r="J847" s="6"/>
      <c r="K847" s="6"/>
      <c r="L847" s="17"/>
      <c r="M847" s="6"/>
      <c r="N847" s="6"/>
      <c r="O847" s="6"/>
      <c r="P847" s="6"/>
      <c r="Q847" s="6"/>
      <c r="R847" s="6"/>
      <c r="S847" s="6"/>
      <c r="T847" s="6"/>
      <c r="U847" s="6"/>
      <c r="V847" s="6"/>
      <c r="W847" s="6"/>
      <c r="X847" s="6"/>
      <c r="Y847" s="6"/>
      <c r="Z847" s="6"/>
      <c r="AA847" s="6"/>
      <c r="AB847" s="6"/>
      <c r="AC847" s="6"/>
      <c r="AD847" s="7"/>
    </row>
    <row r="848" spans="1:30" ht="13">
      <c r="A848" s="20"/>
      <c r="B848" s="20"/>
      <c r="C848" s="23"/>
      <c r="D848" s="17"/>
      <c r="E848" s="6"/>
      <c r="F848" s="6"/>
      <c r="G848" s="6"/>
      <c r="H848" s="6"/>
      <c r="I848" s="17"/>
      <c r="J848" s="6"/>
      <c r="K848" s="6"/>
      <c r="L848" s="17"/>
      <c r="M848" s="6"/>
      <c r="N848" s="6"/>
      <c r="O848" s="6"/>
      <c r="P848" s="6"/>
      <c r="Q848" s="6"/>
      <c r="R848" s="6"/>
      <c r="S848" s="6"/>
      <c r="T848" s="6"/>
      <c r="U848" s="6"/>
      <c r="V848" s="6"/>
      <c r="W848" s="6"/>
      <c r="X848" s="6"/>
      <c r="Y848" s="6"/>
      <c r="Z848" s="6"/>
      <c r="AA848" s="6"/>
      <c r="AB848" s="6"/>
      <c r="AC848" s="6"/>
      <c r="AD848" s="7"/>
    </row>
    <row r="849" spans="1:30" ht="13">
      <c r="A849" s="20"/>
      <c r="B849" s="20"/>
      <c r="C849" s="23"/>
      <c r="D849" s="17"/>
      <c r="E849" s="6"/>
      <c r="F849" s="6"/>
      <c r="G849" s="6"/>
      <c r="H849" s="6"/>
      <c r="I849" s="17"/>
      <c r="J849" s="6"/>
      <c r="K849" s="6"/>
      <c r="L849" s="17"/>
      <c r="M849" s="6"/>
      <c r="N849" s="6"/>
      <c r="O849" s="6"/>
      <c r="P849" s="6"/>
      <c r="Q849" s="6"/>
      <c r="R849" s="6"/>
      <c r="S849" s="6"/>
      <c r="T849" s="6"/>
      <c r="U849" s="6"/>
      <c r="V849" s="6"/>
      <c r="W849" s="6"/>
      <c r="X849" s="6"/>
      <c r="Y849" s="6"/>
      <c r="Z849" s="6"/>
      <c r="AA849" s="6"/>
      <c r="AB849" s="6"/>
      <c r="AC849" s="6"/>
      <c r="AD849" s="7"/>
    </row>
    <row r="850" spans="1:30" ht="13">
      <c r="A850" s="20"/>
      <c r="B850" s="20"/>
      <c r="C850" s="23"/>
      <c r="D850" s="17"/>
      <c r="E850" s="6"/>
      <c r="F850" s="6"/>
      <c r="G850" s="6"/>
      <c r="H850" s="6"/>
      <c r="I850" s="17"/>
      <c r="J850" s="6"/>
      <c r="K850" s="6"/>
      <c r="L850" s="17"/>
      <c r="M850" s="6"/>
      <c r="N850" s="6"/>
      <c r="O850" s="6"/>
      <c r="P850" s="6"/>
      <c r="Q850" s="6"/>
      <c r="R850" s="6"/>
      <c r="S850" s="6"/>
      <c r="T850" s="6"/>
      <c r="U850" s="6"/>
      <c r="V850" s="6"/>
      <c r="W850" s="6"/>
      <c r="X850" s="6"/>
      <c r="Y850" s="6"/>
      <c r="Z850" s="6"/>
      <c r="AA850" s="6"/>
      <c r="AB850" s="6"/>
      <c r="AC850" s="6"/>
      <c r="AD850" s="7"/>
    </row>
    <row r="851" spans="1:30" ht="13">
      <c r="A851" s="20"/>
      <c r="B851" s="20"/>
      <c r="C851" s="23"/>
      <c r="D851" s="17"/>
      <c r="E851" s="6"/>
      <c r="F851" s="6"/>
      <c r="G851" s="6"/>
      <c r="H851" s="6"/>
      <c r="I851" s="17"/>
      <c r="J851" s="6"/>
      <c r="K851" s="6"/>
      <c r="L851" s="17"/>
      <c r="M851" s="6"/>
      <c r="N851" s="6"/>
      <c r="O851" s="6"/>
      <c r="P851" s="6"/>
      <c r="Q851" s="6"/>
      <c r="R851" s="6"/>
      <c r="S851" s="6"/>
      <c r="T851" s="6"/>
      <c r="U851" s="6"/>
      <c r="V851" s="6"/>
      <c r="W851" s="6"/>
      <c r="X851" s="6"/>
      <c r="Y851" s="6"/>
      <c r="Z851" s="6"/>
      <c r="AA851" s="6"/>
      <c r="AB851" s="6"/>
      <c r="AC851" s="6"/>
      <c r="AD851" s="7"/>
    </row>
    <row r="852" spans="1:30" ht="13">
      <c r="A852" s="20"/>
      <c r="B852" s="20"/>
      <c r="C852" s="23"/>
      <c r="D852" s="17"/>
      <c r="E852" s="6"/>
      <c r="F852" s="6"/>
      <c r="G852" s="6"/>
      <c r="H852" s="6"/>
      <c r="I852" s="17"/>
      <c r="J852" s="6"/>
      <c r="K852" s="6"/>
      <c r="L852" s="17"/>
      <c r="M852" s="6"/>
      <c r="N852" s="6"/>
      <c r="O852" s="6"/>
      <c r="P852" s="6"/>
      <c r="Q852" s="6"/>
      <c r="R852" s="6"/>
      <c r="S852" s="6"/>
      <c r="T852" s="6"/>
      <c r="U852" s="6"/>
      <c r="V852" s="6"/>
      <c r="W852" s="6"/>
      <c r="X852" s="6"/>
      <c r="Y852" s="6"/>
      <c r="Z852" s="6"/>
      <c r="AA852" s="6"/>
      <c r="AB852" s="6"/>
      <c r="AC852" s="6"/>
      <c r="AD852" s="7"/>
    </row>
    <row r="853" spans="1:30" ht="13">
      <c r="A853" s="20"/>
      <c r="B853" s="20"/>
      <c r="C853" s="23"/>
      <c r="D853" s="17"/>
      <c r="E853" s="6"/>
      <c r="F853" s="6"/>
      <c r="G853" s="6"/>
      <c r="H853" s="6"/>
      <c r="I853" s="17"/>
      <c r="J853" s="6"/>
      <c r="K853" s="6"/>
      <c r="L853" s="17"/>
      <c r="M853" s="6"/>
      <c r="N853" s="6"/>
      <c r="O853" s="6"/>
      <c r="P853" s="6"/>
      <c r="Q853" s="6"/>
      <c r="R853" s="6"/>
      <c r="S853" s="6"/>
      <c r="T853" s="6"/>
      <c r="U853" s="6"/>
      <c r="V853" s="6"/>
      <c r="W853" s="6"/>
      <c r="X853" s="6"/>
      <c r="Y853" s="6"/>
      <c r="Z853" s="6"/>
      <c r="AA853" s="6"/>
      <c r="AB853" s="6"/>
      <c r="AC853" s="6"/>
      <c r="AD853" s="7"/>
    </row>
    <row r="854" spans="1:30" ht="13">
      <c r="A854" s="20"/>
      <c r="B854" s="20"/>
      <c r="C854" s="23"/>
      <c r="D854" s="17"/>
      <c r="E854" s="6"/>
      <c r="F854" s="6"/>
      <c r="G854" s="6"/>
      <c r="H854" s="6"/>
      <c r="I854" s="17"/>
      <c r="J854" s="6"/>
      <c r="K854" s="6"/>
      <c r="L854" s="17"/>
      <c r="M854" s="6"/>
      <c r="N854" s="6"/>
      <c r="O854" s="6"/>
      <c r="P854" s="6"/>
      <c r="Q854" s="6"/>
      <c r="R854" s="6"/>
      <c r="S854" s="6"/>
      <c r="T854" s="6"/>
      <c r="U854" s="6"/>
      <c r="V854" s="6"/>
      <c r="W854" s="6"/>
      <c r="X854" s="6"/>
      <c r="Y854" s="6"/>
      <c r="Z854" s="6"/>
      <c r="AA854" s="6"/>
      <c r="AB854" s="6"/>
      <c r="AC854" s="6"/>
      <c r="AD854" s="7"/>
    </row>
    <row r="855" spans="1:30" ht="13">
      <c r="A855" s="20"/>
      <c r="B855" s="20"/>
      <c r="C855" s="23"/>
      <c r="D855" s="17"/>
      <c r="E855" s="6"/>
      <c r="F855" s="6"/>
      <c r="G855" s="6"/>
      <c r="H855" s="6"/>
      <c r="I855" s="17"/>
      <c r="J855" s="6"/>
      <c r="K855" s="6"/>
      <c r="L855" s="17"/>
      <c r="M855" s="6"/>
      <c r="N855" s="6"/>
      <c r="O855" s="6"/>
      <c r="P855" s="6"/>
      <c r="Q855" s="6"/>
      <c r="R855" s="6"/>
      <c r="S855" s="6"/>
      <c r="T855" s="6"/>
      <c r="U855" s="6"/>
      <c r="V855" s="6"/>
      <c r="W855" s="6"/>
      <c r="X855" s="6"/>
      <c r="Y855" s="6"/>
      <c r="Z855" s="6"/>
      <c r="AA855" s="6"/>
      <c r="AB855" s="6"/>
      <c r="AC855" s="6"/>
      <c r="AD855" s="7"/>
    </row>
    <row r="856" spans="1:30" ht="13">
      <c r="A856" s="20"/>
      <c r="B856" s="20"/>
      <c r="C856" s="23"/>
      <c r="D856" s="17"/>
      <c r="E856" s="6"/>
      <c r="F856" s="6"/>
      <c r="G856" s="6"/>
      <c r="H856" s="6"/>
      <c r="I856" s="17"/>
      <c r="J856" s="6"/>
      <c r="K856" s="6"/>
      <c r="L856" s="17"/>
      <c r="M856" s="6"/>
      <c r="N856" s="6"/>
      <c r="O856" s="6"/>
      <c r="P856" s="6"/>
      <c r="Q856" s="6"/>
      <c r="R856" s="6"/>
      <c r="S856" s="6"/>
      <c r="T856" s="6"/>
      <c r="U856" s="6"/>
      <c r="V856" s="6"/>
      <c r="W856" s="6"/>
      <c r="X856" s="6"/>
      <c r="Y856" s="6"/>
      <c r="Z856" s="6"/>
      <c r="AA856" s="6"/>
      <c r="AB856" s="6"/>
      <c r="AC856" s="6"/>
      <c r="AD856" s="7"/>
    </row>
    <row r="857" spans="1:30" ht="13">
      <c r="A857" s="20"/>
      <c r="B857" s="20"/>
      <c r="C857" s="23"/>
      <c r="D857" s="17"/>
      <c r="E857" s="6"/>
      <c r="F857" s="6"/>
      <c r="G857" s="6"/>
      <c r="H857" s="6"/>
      <c r="I857" s="17"/>
      <c r="J857" s="6"/>
      <c r="K857" s="6"/>
      <c r="L857" s="17"/>
      <c r="M857" s="6"/>
      <c r="N857" s="6"/>
      <c r="O857" s="6"/>
      <c r="P857" s="6"/>
      <c r="Q857" s="6"/>
      <c r="R857" s="6"/>
      <c r="S857" s="6"/>
      <c r="T857" s="6"/>
      <c r="U857" s="6"/>
      <c r="V857" s="6"/>
      <c r="W857" s="6"/>
      <c r="X857" s="6"/>
      <c r="Y857" s="6"/>
      <c r="Z857" s="6"/>
      <c r="AA857" s="6"/>
      <c r="AB857" s="6"/>
      <c r="AC857" s="6"/>
      <c r="AD857" s="7"/>
    </row>
    <row r="858" spans="1:30" ht="13">
      <c r="A858" s="20"/>
      <c r="B858" s="20"/>
      <c r="C858" s="23"/>
      <c r="D858" s="17"/>
      <c r="E858" s="6"/>
      <c r="F858" s="6"/>
      <c r="G858" s="6"/>
      <c r="H858" s="6"/>
      <c r="I858" s="17"/>
      <c r="J858" s="6"/>
      <c r="K858" s="6"/>
      <c r="L858" s="17"/>
      <c r="M858" s="6"/>
      <c r="N858" s="6"/>
      <c r="O858" s="6"/>
      <c r="P858" s="6"/>
      <c r="Q858" s="6"/>
      <c r="R858" s="6"/>
      <c r="S858" s="6"/>
      <c r="T858" s="6"/>
      <c r="U858" s="6"/>
      <c r="V858" s="6"/>
      <c r="W858" s="6"/>
      <c r="X858" s="6"/>
      <c r="Y858" s="6"/>
      <c r="Z858" s="6"/>
      <c r="AA858" s="6"/>
      <c r="AB858" s="6"/>
      <c r="AC858" s="6"/>
      <c r="AD858" s="7"/>
    </row>
    <row r="859" spans="1:30" ht="13">
      <c r="A859" s="20"/>
      <c r="B859" s="20"/>
      <c r="C859" s="23"/>
      <c r="D859" s="17"/>
      <c r="E859" s="6"/>
      <c r="F859" s="6"/>
      <c r="G859" s="6"/>
      <c r="H859" s="6"/>
      <c r="I859" s="17"/>
      <c r="J859" s="6"/>
      <c r="K859" s="6"/>
      <c r="L859" s="17"/>
      <c r="M859" s="6"/>
      <c r="N859" s="6"/>
      <c r="O859" s="6"/>
      <c r="P859" s="6"/>
      <c r="Q859" s="6"/>
      <c r="R859" s="6"/>
      <c r="S859" s="6"/>
      <c r="T859" s="6"/>
      <c r="U859" s="6"/>
      <c r="V859" s="6"/>
      <c r="W859" s="6"/>
      <c r="X859" s="6"/>
      <c r="Y859" s="6"/>
      <c r="Z859" s="6"/>
      <c r="AA859" s="6"/>
      <c r="AB859" s="6"/>
      <c r="AC859" s="6"/>
      <c r="AD859" s="7"/>
    </row>
    <row r="860" spans="1:30" ht="13">
      <c r="A860" s="20"/>
      <c r="B860" s="20"/>
      <c r="C860" s="23"/>
      <c r="D860" s="17"/>
      <c r="E860" s="6"/>
      <c r="F860" s="6"/>
      <c r="G860" s="6"/>
      <c r="H860" s="6"/>
      <c r="I860" s="17"/>
      <c r="J860" s="6"/>
      <c r="K860" s="6"/>
      <c r="L860" s="17"/>
      <c r="M860" s="6"/>
      <c r="N860" s="6"/>
      <c r="O860" s="6"/>
      <c r="P860" s="6"/>
      <c r="Q860" s="6"/>
      <c r="R860" s="6"/>
      <c r="S860" s="6"/>
      <c r="T860" s="6"/>
      <c r="U860" s="6"/>
      <c r="V860" s="6"/>
      <c r="W860" s="6"/>
      <c r="X860" s="6"/>
      <c r="Y860" s="6"/>
      <c r="Z860" s="6"/>
      <c r="AA860" s="6"/>
      <c r="AB860" s="6"/>
      <c r="AC860" s="6"/>
      <c r="AD860" s="7"/>
    </row>
    <row r="861" spans="1:30" ht="13">
      <c r="A861" s="20"/>
      <c r="B861" s="20"/>
      <c r="C861" s="23"/>
      <c r="D861" s="17"/>
      <c r="E861" s="6"/>
      <c r="F861" s="6"/>
      <c r="G861" s="6"/>
      <c r="H861" s="6"/>
      <c r="I861" s="17"/>
      <c r="J861" s="6"/>
      <c r="K861" s="6"/>
      <c r="L861" s="17"/>
      <c r="M861" s="6"/>
      <c r="N861" s="6"/>
      <c r="O861" s="6"/>
      <c r="P861" s="6"/>
      <c r="Q861" s="6"/>
      <c r="R861" s="6"/>
      <c r="S861" s="6"/>
      <c r="T861" s="6"/>
      <c r="U861" s="6"/>
      <c r="V861" s="6"/>
      <c r="W861" s="6"/>
      <c r="X861" s="6"/>
      <c r="Y861" s="6"/>
      <c r="Z861" s="6"/>
      <c r="AA861" s="6"/>
      <c r="AB861" s="6"/>
      <c r="AC861" s="6"/>
      <c r="AD861" s="7"/>
    </row>
    <row r="862" spans="1:30" ht="13">
      <c r="A862" s="20"/>
      <c r="B862" s="20"/>
      <c r="C862" s="23"/>
      <c r="D862" s="17"/>
      <c r="E862" s="6"/>
      <c r="F862" s="6"/>
      <c r="G862" s="6"/>
      <c r="H862" s="6"/>
      <c r="I862" s="17"/>
      <c r="J862" s="6"/>
      <c r="K862" s="6"/>
      <c r="L862" s="17"/>
      <c r="M862" s="6"/>
      <c r="N862" s="6"/>
      <c r="O862" s="6"/>
      <c r="P862" s="6"/>
      <c r="Q862" s="6"/>
      <c r="R862" s="6"/>
      <c r="S862" s="6"/>
      <c r="T862" s="6"/>
      <c r="U862" s="6"/>
      <c r="V862" s="6"/>
      <c r="W862" s="6"/>
      <c r="X862" s="6"/>
      <c r="Y862" s="6"/>
      <c r="Z862" s="6"/>
      <c r="AA862" s="6"/>
      <c r="AB862" s="6"/>
      <c r="AC862" s="6"/>
      <c r="AD862" s="7"/>
    </row>
    <row r="863" spans="1:30" ht="13">
      <c r="A863" s="20"/>
      <c r="B863" s="20"/>
      <c r="C863" s="23"/>
      <c r="D863" s="17"/>
      <c r="E863" s="6"/>
      <c r="F863" s="6"/>
      <c r="G863" s="6"/>
      <c r="H863" s="6"/>
      <c r="I863" s="17"/>
      <c r="J863" s="6"/>
      <c r="K863" s="6"/>
      <c r="L863" s="17"/>
      <c r="M863" s="6"/>
      <c r="N863" s="6"/>
      <c r="O863" s="6"/>
      <c r="P863" s="6"/>
      <c r="Q863" s="6"/>
      <c r="R863" s="6"/>
      <c r="S863" s="6"/>
      <c r="T863" s="6"/>
      <c r="U863" s="6"/>
      <c r="V863" s="6"/>
      <c r="W863" s="6"/>
      <c r="X863" s="6"/>
      <c r="Y863" s="6"/>
      <c r="Z863" s="6"/>
      <c r="AA863" s="6"/>
      <c r="AB863" s="6"/>
      <c r="AC863" s="6"/>
      <c r="AD863" s="7"/>
    </row>
    <row r="864" spans="1:30" ht="13">
      <c r="A864" s="20"/>
      <c r="B864" s="20"/>
      <c r="C864" s="23"/>
      <c r="D864" s="17"/>
      <c r="E864" s="6"/>
      <c r="F864" s="6"/>
      <c r="G864" s="6"/>
      <c r="H864" s="6"/>
      <c r="I864" s="17"/>
      <c r="J864" s="6"/>
      <c r="K864" s="6"/>
      <c r="L864" s="17"/>
      <c r="M864" s="6"/>
      <c r="N864" s="6"/>
      <c r="O864" s="6"/>
      <c r="P864" s="6"/>
      <c r="Q864" s="6"/>
      <c r="R864" s="6"/>
      <c r="S864" s="6"/>
      <c r="T864" s="6"/>
      <c r="U864" s="6"/>
      <c r="V864" s="6"/>
      <c r="W864" s="6"/>
      <c r="X864" s="6"/>
      <c r="Y864" s="6"/>
      <c r="Z864" s="6"/>
      <c r="AA864" s="6"/>
      <c r="AB864" s="6"/>
      <c r="AC864" s="6"/>
      <c r="AD864" s="7"/>
    </row>
    <row r="865" spans="1:30" ht="13">
      <c r="A865" s="20"/>
      <c r="B865" s="20"/>
      <c r="C865" s="23"/>
      <c r="D865" s="17"/>
      <c r="E865" s="6"/>
      <c r="F865" s="6"/>
      <c r="G865" s="6"/>
      <c r="H865" s="6"/>
      <c r="I865" s="17"/>
      <c r="J865" s="6"/>
      <c r="K865" s="6"/>
      <c r="L865" s="17"/>
      <c r="M865" s="6"/>
      <c r="N865" s="6"/>
      <c r="O865" s="6"/>
      <c r="P865" s="6"/>
      <c r="Q865" s="6"/>
      <c r="R865" s="6"/>
      <c r="S865" s="6"/>
      <c r="T865" s="6"/>
      <c r="U865" s="6"/>
      <c r="V865" s="6"/>
      <c r="W865" s="6"/>
      <c r="X865" s="6"/>
      <c r="Y865" s="6"/>
      <c r="Z865" s="6"/>
      <c r="AA865" s="6"/>
      <c r="AB865" s="6"/>
      <c r="AC865" s="6"/>
      <c r="AD865" s="7"/>
    </row>
    <row r="866" spans="1:30" ht="13">
      <c r="A866" s="20"/>
      <c r="B866" s="20"/>
      <c r="C866" s="23"/>
      <c r="D866" s="17"/>
      <c r="E866" s="6"/>
      <c r="F866" s="6"/>
      <c r="G866" s="6"/>
      <c r="H866" s="6"/>
      <c r="I866" s="17"/>
      <c r="J866" s="6"/>
      <c r="K866" s="6"/>
      <c r="L866" s="17"/>
      <c r="M866" s="6"/>
      <c r="N866" s="6"/>
      <c r="O866" s="6"/>
      <c r="P866" s="6"/>
      <c r="Q866" s="6"/>
      <c r="R866" s="6"/>
      <c r="S866" s="6"/>
      <c r="T866" s="6"/>
      <c r="U866" s="6"/>
      <c r="V866" s="6"/>
      <c r="W866" s="6"/>
      <c r="X866" s="6"/>
      <c r="Y866" s="6"/>
      <c r="Z866" s="6"/>
      <c r="AA866" s="6"/>
      <c r="AB866" s="6"/>
      <c r="AC866" s="6"/>
      <c r="AD866" s="7"/>
    </row>
    <row r="867" spans="1:30" ht="13">
      <c r="A867" s="20"/>
      <c r="B867" s="20"/>
      <c r="C867" s="23"/>
      <c r="D867" s="17"/>
      <c r="E867" s="6"/>
      <c r="F867" s="6"/>
      <c r="G867" s="6"/>
      <c r="H867" s="6"/>
      <c r="I867" s="17"/>
      <c r="J867" s="6"/>
      <c r="K867" s="6"/>
      <c r="L867" s="17"/>
      <c r="M867" s="6"/>
      <c r="N867" s="6"/>
      <c r="O867" s="6"/>
      <c r="P867" s="6"/>
      <c r="Q867" s="6"/>
      <c r="R867" s="6"/>
      <c r="S867" s="6"/>
      <c r="T867" s="6"/>
      <c r="U867" s="6"/>
      <c r="V867" s="6"/>
      <c r="W867" s="6"/>
      <c r="X867" s="6"/>
      <c r="Y867" s="6"/>
      <c r="Z867" s="6"/>
      <c r="AA867" s="6"/>
      <c r="AB867" s="6"/>
      <c r="AC867" s="6"/>
      <c r="AD867" s="7"/>
    </row>
    <row r="868" spans="1:30" ht="13">
      <c r="A868" s="20"/>
      <c r="B868" s="20"/>
      <c r="C868" s="23"/>
      <c r="D868" s="17"/>
      <c r="E868" s="6"/>
      <c r="F868" s="6"/>
      <c r="G868" s="6"/>
      <c r="H868" s="6"/>
      <c r="I868" s="17"/>
      <c r="J868" s="6"/>
      <c r="K868" s="6"/>
      <c r="L868" s="17"/>
      <c r="M868" s="6"/>
      <c r="N868" s="6"/>
      <c r="O868" s="6"/>
      <c r="P868" s="6"/>
      <c r="Q868" s="6"/>
      <c r="R868" s="6"/>
      <c r="S868" s="6"/>
      <c r="T868" s="6"/>
      <c r="U868" s="6"/>
      <c r="V868" s="6"/>
      <c r="W868" s="6"/>
      <c r="X868" s="6"/>
      <c r="Y868" s="6"/>
      <c r="Z868" s="6"/>
      <c r="AA868" s="6"/>
      <c r="AB868" s="6"/>
      <c r="AC868" s="6"/>
      <c r="AD868" s="7"/>
    </row>
    <row r="869" spans="1:30" ht="13">
      <c r="A869" s="20"/>
      <c r="B869" s="20"/>
      <c r="C869" s="23"/>
      <c r="D869" s="17"/>
      <c r="E869" s="6"/>
      <c r="F869" s="6"/>
      <c r="G869" s="6"/>
      <c r="H869" s="6"/>
      <c r="I869" s="17"/>
      <c r="J869" s="6"/>
      <c r="K869" s="6"/>
      <c r="L869" s="17"/>
      <c r="M869" s="6"/>
      <c r="N869" s="6"/>
      <c r="O869" s="6"/>
      <c r="P869" s="6"/>
      <c r="Q869" s="6"/>
      <c r="R869" s="6"/>
      <c r="S869" s="6"/>
      <c r="T869" s="6"/>
      <c r="U869" s="6"/>
      <c r="V869" s="6"/>
      <c r="W869" s="6"/>
      <c r="X869" s="6"/>
      <c r="Y869" s="6"/>
      <c r="Z869" s="6"/>
      <c r="AA869" s="6"/>
      <c r="AB869" s="6"/>
      <c r="AC869" s="6"/>
      <c r="AD869" s="7"/>
    </row>
    <row r="870" spans="1:30" ht="13">
      <c r="A870" s="20"/>
      <c r="B870" s="20"/>
      <c r="C870" s="23"/>
      <c r="D870" s="17"/>
      <c r="E870" s="6"/>
      <c r="F870" s="6"/>
      <c r="G870" s="6"/>
      <c r="H870" s="6"/>
      <c r="I870" s="17"/>
      <c r="J870" s="6"/>
      <c r="K870" s="6"/>
      <c r="L870" s="17"/>
      <c r="M870" s="6"/>
      <c r="N870" s="6"/>
      <c r="O870" s="6"/>
      <c r="P870" s="6"/>
      <c r="Q870" s="6"/>
      <c r="R870" s="6"/>
      <c r="S870" s="6"/>
      <c r="T870" s="6"/>
      <c r="U870" s="6"/>
      <c r="V870" s="6"/>
      <c r="W870" s="6"/>
      <c r="X870" s="6"/>
      <c r="Y870" s="6"/>
      <c r="Z870" s="6"/>
      <c r="AA870" s="6"/>
      <c r="AB870" s="6"/>
      <c r="AC870" s="6"/>
      <c r="AD870" s="7"/>
    </row>
    <row r="871" spans="1:30" ht="13">
      <c r="A871" s="20"/>
      <c r="B871" s="20"/>
      <c r="C871" s="23"/>
      <c r="D871" s="17"/>
      <c r="E871" s="6"/>
      <c r="F871" s="6"/>
      <c r="G871" s="6"/>
      <c r="H871" s="6"/>
      <c r="I871" s="17"/>
      <c r="J871" s="6"/>
      <c r="K871" s="6"/>
      <c r="L871" s="17"/>
      <c r="M871" s="6"/>
      <c r="N871" s="6"/>
      <c r="O871" s="6"/>
      <c r="P871" s="6"/>
      <c r="Q871" s="6"/>
      <c r="R871" s="6"/>
      <c r="S871" s="6"/>
      <c r="T871" s="6"/>
      <c r="U871" s="6"/>
      <c r="V871" s="6"/>
      <c r="W871" s="6"/>
      <c r="X871" s="6"/>
      <c r="Y871" s="6"/>
      <c r="Z871" s="6"/>
      <c r="AA871" s="6"/>
      <c r="AB871" s="6"/>
      <c r="AC871" s="6"/>
      <c r="AD871" s="7"/>
    </row>
    <row r="872" spans="1:30" ht="13">
      <c r="A872" s="20"/>
      <c r="B872" s="20"/>
      <c r="C872" s="23"/>
      <c r="D872" s="17"/>
      <c r="E872" s="6"/>
      <c r="F872" s="6"/>
      <c r="G872" s="6"/>
      <c r="H872" s="6"/>
      <c r="I872" s="17"/>
      <c r="J872" s="6"/>
      <c r="K872" s="6"/>
      <c r="L872" s="17"/>
      <c r="M872" s="6"/>
      <c r="N872" s="6"/>
      <c r="O872" s="6"/>
      <c r="P872" s="6"/>
      <c r="Q872" s="6"/>
      <c r="R872" s="6"/>
      <c r="S872" s="6"/>
      <c r="T872" s="6"/>
      <c r="U872" s="6"/>
      <c r="V872" s="6"/>
      <c r="W872" s="6"/>
      <c r="X872" s="6"/>
      <c r="Y872" s="6"/>
      <c r="Z872" s="6"/>
      <c r="AA872" s="6"/>
      <c r="AB872" s="6"/>
      <c r="AC872" s="6"/>
      <c r="AD872" s="7"/>
    </row>
    <row r="873" spans="1:30" ht="13">
      <c r="A873" s="20"/>
      <c r="B873" s="20"/>
      <c r="C873" s="23"/>
      <c r="D873" s="17"/>
      <c r="E873" s="6"/>
      <c r="F873" s="6"/>
      <c r="G873" s="6"/>
      <c r="H873" s="6"/>
      <c r="I873" s="17"/>
      <c r="J873" s="6"/>
      <c r="K873" s="6"/>
      <c r="L873" s="17"/>
      <c r="M873" s="6"/>
      <c r="N873" s="6"/>
      <c r="O873" s="6"/>
      <c r="P873" s="6"/>
      <c r="Q873" s="6"/>
      <c r="R873" s="6"/>
      <c r="S873" s="6"/>
      <c r="T873" s="6"/>
      <c r="U873" s="6"/>
      <c r="V873" s="6"/>
      <c r="W873" s="6"/>
      <c r="X873" s="6"/>
      <c r="Y873" s="6"/>
      <c r="Z873" s="6"/>
      <c r="AA873" s="6"/>
      <c r="AB873" s="6"/>
      <c r="AC873" s="6"/>
      <c r="AD873" s="7"/>
    </row>
    <row r="874" spans="1:30" ht="13">
      <c r="A874" s="20"/>
      <c r="B874" s="20"/>
      <c r="C874" s="23"/>
      <c r="D874" s="17"/>
      <c r="E874" s="6"/>
      <c r="F874" s="6"/>
      <c r="G874" s="6"/>
      <c r="H874" s="6"/>
      <c r="I874" s="17"/>
      <c r="J874" s="6"/>
      <c r="K874" s="6"/>
      <c r="L874" s="17"/>
      <c r="M874" s="6"/>
      <c r="N874" s="6"/>
      <c r="O874" s="6"/>
      <c r="P874" s="6"/>
      <c r="Q874" s="6"/>
      <c r="R874" s="6"/>
      <c r="S874" s="6"/>
      <c r="T874" s="6"/>
      <c r="U874" s="6"/>
      <c r="V874" s="6"/>
      <c r="W874" s="6"/>
      <c r="X874" s="6"/>
      <c r="Y874" s="6"/>
      <c r="Z874" s="6"/>
      <c r="AA874" s="6"/>
      <c r="AB874" s="6"/>
      <c r="AC874" s="6"/>
      <c r="AD874" s="7"/>
    </row>
    <row r="875" spans="1:30" ht="13">
      <c r="A875" s="20"/>
      <c r="B875" s="20"/>
      <c r="C875" s="23"/>
      <c r="D875" s="17"/>
      <c r="E875" s="6"/>
      <c r="F875" s="6"/>
      <c r="G875" s="6"/>
      <c r="H875" s="6"/>
      <c r="I875" s="17"/>
      <c r="J875" s="6"/>
      <c r="K875" s="6"/>
      <c r="L875" s="17"/>
      <c r="M875" s="6"/>
      <c r="N875" s="6"/>
      <c r="O875" s="6"/>
      <c r="P875" s="6"/>
      <c r="Q875" s="6"/>
      <c r="R875" s="6"/>
      <c r="S875" s="6"/>
      <c r="T875" s="6"/>
      <c r="U875" s="6"/>
      <c r="V875" s="6"/>
      <c r="W875" s="6"/>
      <c r="X875" s="6"/>
      <c r="Y875" s="6"/>
      <c r="Z875" s="6"/>
      <c r="AA875" s="6"/>
      <c r="AB875" s="6"/>
      <c r="AC875" s="6"/>
      <c r="AD875" s="7"/>
    </row>
    <row r="876" spans="1:30" ht="13">
      <c r="A876" s="20"/>
      <c r="B876" s="20"/>
      <c r="C876" s="23"/>
      <c r="D876" s="17"/>
      <c r="E876" s="6"/>
      <c r="F876" s="6"/>
      <c r="G876" s="6"/>
      <c r="H876" s="6"/>
      <c r="I876" s="17"/>
      <c r="J876" s="6"/>
      <c r="K876" s="6"/>
      <c r="L876" s="17"/>
      <c r="M876" s="6"/>
      <c r="N876" s="6"/>
      <c r="O876" s="6"/>
      <c r="P876" s="6"/>
      <c r="Q876" s="6"/>
      <c r="R876" s="6"/>
      <c r="S876" s="6"/>
      <c r="T876" s="6"/>
      <c r="U876" s="6"/>
      <c r="V876" s="6"/>
      <c r="W876" s="6"/>
      <c r="X876" s="6"/>
      <c r="Y876" s="6"/>
      <c r="Z876" s="6"/>
      <c r="AA876" s="6"/>
      <c r="AB876" s="6"/>
      <c r="AC876" s="6"/>
      <c r="AD876" s="7"/>
    </row>
    <row r="877" spans="1:30" ht="13">
      <c r="A877" s="20"/>
      <c r="B877" s="20"/>
      <c r="C877" s="23"/>
      <c r="D877" s="17"/>
      <c r="E877" s="6"/>
      <c r="F877" s="6"/>
      <c r="G877" s="6"/>
      <c r="H877" s="6"/>
      <c r="I877" s="17"/>
      <c r="J877" s="6"/>
      <c r="K877" s="6"/>
      <c r="L877" s="17"/>
      <c r="M877" s="6"/>
      <c r="N877" s="6"/>
      <c r="O877" s="6"/>
      <c r="P877" s="6"/>
      <c r="Q877" s="6"/>
      <c r="R877" s="6"/>
      <c r="S877" s="6"/>
      <c r="T877" s="6"/>
      <c r="U877" s="6"/>
      <c r="V877" s="6"/>
      <c r="W877" s="6"/>
      <c r="X877" s="6"/>
      <c r="Y877" s="6"/>
      <c r="Z877" s="6"/>
      <c r="AA877" s="6"/>
      <c r="AB877" s="6"/>
      <c r="AC877" s="6"/>
      <c r="AD877" s="7"/>
    </row>
    <row r="878" spans="1:30" ht="13">
      <c r="A878" s="20"/>
      <c r="B878" s="20"/>
      <c r="C878" s="23"/>
      <c r="D878" s="17"/>
      <c r="E878" s="6"/>
      <c r="F878" s="6"/>
      <c r="G878" s="6"/>
      <c r="H878" s="6"/>
      <c r="I878" s="17"/>
      <c r="J878" s="6"/>
      <c r="K878" s="6"/>
      <c r="L878" s="17"/>
      <c r="M878" s="6"/>
      <c r="N878" s="6"/>
      <c r="O878" s="6"/>
      <c r="P878" s="6"/>
      <c r="Q878" s="6"/>
      <c r="R878" s="6"/>
      <c r="S878" s="6"/>
      <c r="T878" s="6"/>
      <c r="U878" s="6"/>
      <c r="V878" s="6"/>
      <c r="W878" s="6"/>
      <c r="X878" s="6"/>
      <c r="Y878" s="6"/>
      <c r="Z878" s="6"/>
      <c r="AA878" s="6"/>
      <c r="AB878" s="6"/>
      <c r="AC878" s="6"/>
      <c r="AD878" s="7"/>
    </row>
    <row r="879" spans="1:30" ht="13">
      <c r="A879" s="20"/>
      <c r="B879" s="20"/>
      <c r="C879" s="23"/>
      <c r="D879" s="17"/>
      <c r="E879" s="6"/>
      <c r="F879" s="6"/>
      <c r="G879" s="6"/>
      <c r="H879" s="6"/>
      <c r="I879" s="17"/>
      <c r="J879" s="6"/>
      <c r="K879" s="6"/>
      <c r="L879" s="17"/>
      <c r="M879" s="6"/>
      <c r="N879" s="6"/>
      <c r="O879" s="6"/>
      <c r="P879" s="6"/>
      <c r="Q879" s="6"/>
      <c r="R879" s="6"/>
      <c r="S879" s="6"/>
      <c r="T879" s="6"/>
      <c r="U879" s="6"/>
      <c r="V879" s="6"/>
      <c r="W879" s="6"/>
      <c r="X879" s="6"/>
      <c r="Y879" s="6"/>
      <c r="Z879" s="6"/>
      <c r="AA879" s="6"/>
      <c r="AB879" s="6"/>
      <c r="AC879" s="6"/>
      <c r="AD879" s="7"/>
    </row>
    <row r="880" spans="1:30" ht="13">
      <c r="A880" s="20"/>
      <c r="B880" s="20"/>
      <c r="C880" s="23"/>
      <c r="D880" s="17"/>
      <c r="E880" s="6"/>
      <c r="F880" s="6"/>
      <c r="G880" s="6"/>
      <c r="H880" s="6"/>
      <c r="I880" s="17"/>
      <c r="J880" s="6"/>
      <c r="K880" s="6"/>
      <c r="L880" s="17"/>
      <c r="M880" s="6"/>
      <c r="N880" s="6"/>
      <c r="O880" s="6"/>
      <c r="P880" s="6"/>
      <c r="Q880" s="6"/>
      <c r="R880" s="6"/>
      <c r="S880" s="6"/>
      <c r="T880" s="6"/>
      <c r="U880" s="6"/>
      <c r="V880" s="6"/>
      <c r="W880" s="6"/>
      <c r="X880" s="6"/>
      <c r="Y880" s="6"/>
      <c r="Z880" s="6"/>
      <c r="AA880" s="6"/>
      <c r="AB880" s="6"/>
      <c r="AC880" s="6"/>
      <c r="AD880" s="7"/>
    </row>
    <row r="881" spans="1:30" ht="13">
      <c r="A881" s="20"/>
      <c r="B881" s="20"/>
      <c r="C881" s="23"/>
      <c r="D881" s="17"/>
      <c r="E881" s="6"/>
      <c r="F881" s="6"/>
      <c r="G881" s="6"/>
      <c r="H881" s="6"/>
      <c r="I881" s="17"/>
      <c r="J881" s="6"/>
      <c r="K881" s="6"/>
      <c r="L881" s="17"/>
      <c r="M881" s="6"/>
      <c r="N881" s="6"/>
      <c r="O881" s="6"/>
      <c r="P881" s="6"/>
      <c r="Q881" s="6"/>
      <c r="R881" s="6"/>
      <c r="S881" s="6"/>
      <c r="T881" s="6"/>
      <c r="U881" s="6"/>
      <c r="V881" s="6"/>
      <c r="W881" s="6"/>
      <c r="X881" s="6"/>
      <c r="Y881" s="6"/>
      <c r="Z881" s="6"/>
      <c r="AA881" s="6"/>
      <c r="AB881" s="6"/>
      <c r="AC881" s="6"/>
      <c r="AD881" s="7"/>
    </row>
    <row r="882" spans="1:30" ht="13">
      <c r="A882" s="20"/>
      <c r="B882" s="20"/>
      <c r="C882" s="23"/>
      <c r="D882" s="17"/>
      <c r="E882" s="6"/>
      <c r="F882" s="6"/>
      <c r="G882" s="6"/>
      <c r="H882" s="6"/>
      <c r="I882" s="17"/>
      <c r="J882" s="6"/>
      <c r="K882" s="6"/>
      <c r="L882" s="17"/>
      <c r="M882" s="6"/>
      <c r="N882" s="6"/>
      <c r="O882" s="6"/>
      <c r="P882" s="6"/>
      <c r="Q882" s="6"/>
      <c r="R882" s="6"/>
      <c r="S882" s="6"/>
      <c r="T882" s="6"/>
      <c r="U882" s="6"/>
      <c r="V882" s="6"/>
      <c r="W882" s="6"/>
      <c r="X882" s="6"/>
      <c r="Y882" s="6"/>
      <c r="Z882" s="6"/>
      <c r="AA882" s="6"/>
      <c r="AB882" s="6"/>
      <c r="AC882" s="6"/>
      <c r="AD882" s="7"/>
    </row>
    <row r="883" spans="1:30" ht="13">
      <c r="A883" s="20"/>
      <c r="B883" s="20"/>
      <c r="C883" s="23"/>
      <c r="D883" s="17"/>
      <c r="E883" s="6"/>
      <c r="F883" s="6"/>
      <c r="G883" s="6"/>
      <c r="H883" s="6"/>
      <c r="I883" s="17"/>
      <c r="J883" s="6"/>
      <c r="K883" s="6"/>
      <c r="L883" s="17"/>
      <c r="M883" s="6"/>
      <c r="N883" s="6"/>
      <c r="O883" s="6"/>
      <c r="P883" s="6"/>
      <c r="Q883" s="6"/>
      <c r="R883" s="6"/>
      <c r="S883" s="6"/>
      <c r="T883" s="6"/>
      <c r="U883" s="6"/>
      <c r="V883" s="6"/>
      <c r="W883" s="6"/>
      <c r="X883" s="6"/>
      <c r="Y883" s="6"/>
      <c r="Z883" s="6"/>
      <c r="AA883" s="6"/>
      <c r="AB883" s="6"/>
      <c r="AC883" s="6"/>
      <c r="AD883" s="7"/>
    </row>
    <row r="884" spans="1:30" ht="13">
      <c r="A884" s="20"/>
      <c r="B884" s="20"/>
      <c r="C884" s="23"/>
      <c r="D884" s="17"/>
      <c r="E884" s="6"/>
      <c r="F884" s="6"/>
      <c r="G884" s="6"/>
      <c r="H884" s="6"/>
      <c r="I884" s="17"/>
      <c r="J884" s="6"/>
      <c r="K884" s="6"/>
      <c r="L884" s="17"/>
      <c r="M884" s="6"/>
      <c r="N884" s="6"/>
      <c r="O884" s="6"/>
      <c r="P884" s="6"/>
      <c r="Q884" s="6"/>
      <c r="R884" s="6"/>
      <c r="S884" s="6"/>
      <c r="T884" s="6"/>
      <c r="U884" s="6"/>
      <c r="V884" s="6"/>
      <c r="W884" s="6"/>
      <c r="X884" s="6"/>
      <c r="Y884" s="6"/>
      <c r="Z884" s="6"/>
      <c r="AA884" s="6"/>
      <c r="AB884" s="6"/>
      <c r="AC884" s="6"/>
      <c r="AD884" s="7"/>
    </row>
    <row r="885" spans="1:30" ht="13">
      <c r="A885" s="20"/>
      <c r="B885" s="20"/>
      <c r="C885" s="23"/>
      <c r="D885" s="17"/>
      <c r="E885" s="6"/>
      <c r="F885" s="6"/>
      <c r="G885" s="6"/>
      <c r="H885" s="6"/>
      <c r="I885" s="17"/>
      <c r="J885" s="6"/>
      <c r="K885" s="6"/>
      <c r="L885" s="17"/>
      <c r="M885" s="6"/>
      <c r="N885" s="6"/>
      <c r="O885" s="6"/>
      <c r="P885" s="6"/>
      <c r="Q885" s="6"/>
      <c r="R885" s="6"/>
      <c r="S885" s="6"/>
      <c r="T885" s="6"/>
      <c r="U885" s="6"/>
      <c r="V885" s="6"/>
      <c r="W885" s="6"/>
      <c r="X885" s="6"/>
      <c r="Y885" s="6"/>
      <c r="Z885" s="6"/>
      <c r="AA885" s="6"/>
      <c r="AB885" s="6"/>
      <c r="AC885" s="6"/>
      <c r="AD885" s="7"/>
    </row>
    <row r="886" spans="1:30" ht="13">
      <c r="A886" s="20"/>
      <c r="B886" s="20"/>
      <c r="C886" s="23"/>
      <c r="D886" s="17"/>
      <c r="E886" s="6"/>
      <c r="F886" s="6"/>
      <c r="G886" s="6"/>
      <c r="H886" s="6"/>
      <c r="I886" s="17"/>
      <c r="J886" s="6"/>
      <c r="K886" s="6"/>
      <c r="L886" s="17"/>
      <c r="M886" s="6"/>
      <c r="N886" s="6"/>
      <c r="O886" s="6"/>
      <c r="P886" s="6"/>
      <c r="Q886" s="6"/>
      <c r="R886" s="6"/>
      <c r="S886" s="6"/>
      <c r="T886" s="6"/>
      <c r="U886" s="6"/>
      <c r="V886" s="6"/>
      <c r="W886" s="6"/>
      <c r="X886" s="6"/>
      <c r="Y886" s="6"/>
      <c r="Z886" s="6"/>
      <c r="AA886" s="6"/>
      <c r="AB886" s="6"/>
      <c r="AC886" s="6"/>
      <c r="AD886" s="7"/>
    </row>
    <row r="887" spans="1:30" ht="13">
      <c r="A887" s="20"/>
      <c r="B887" s="20"/>
      <c r="C887" s="23"/>
      <c r="D887" s="17"/>
      <c r="E887" s="6"/>
      <c r="F887" s="6"/>
      <c r="G887" s="6"/>
      <c r="H887" s="6"/>
      <c r="I887" s="17"/>
      <c r="J887" s="6"/>
      <c r="K887" s="6"/>
      <c r="L887" s="17"/>
      <c r="M887" s="6"/>
      <c r="N887" s="6"/>
      <c r="O887" s="6"/>
      <c r="P887" s="6"/>
      <c r="Q887" s="6"/>
      <c r="R887" s="6"/>
      <c r="S887" s="6"/>
      <c r="T887" s="6"/>
      <c r="U887" s="6"/>
      <c r="V887" s="6"/>
      <c r="W887" s="6"/>
      <c r="X887" s="6"/>
      <c r="Y887" s="6"/>
      <c r="Z887" s="6"/>
      <c r="AA887" s="6"/>
      <c r="AB887" s="6"/>
      <c r="AC887" s="6"/>
      <c r="AD887" s="7"/>
    </row>
    <row r="888" spans="1:30" ht="13">
      <c r="A888" s="20"/>
      <c r="B888" s="20"/>
      <c r="C888" s="23"/>
      <c r="D888" s="17"/>
      <c r="E888" s="6"/>
      <c r="F888" s="6"/>
      <c r="G888" s="6"/>
      <c r="H888" s="6"/>
      <c r="I888" s="17"/>
      <c r="J888" s="6"/>
      <c r="K888" s="6"/>
      <c r="L888" s="17"/>
      <c r="M888" s="6"/>
      <c r="N888" s="6"/>
      <c r="O888" s="6"/>
      <c r="P888" s="6"/>
      <c r="Q888" s="6"/>
      <c r="R888" s="6"/>
      <c r="S888" s="6"/>
      <c r="T888" s="6"/>
      <c r="U888" s="6"/>
      <c r="V888" s="6"/>
      <c r="W888" s="6"/>
      <c r="X888" s="6"/>
      <c r="Y888" s="6"/>
      <c r="Z888" s="6"/>
      <c r="AA888" s="6"/>
      <c r="AB888" s="6"/>
      <c r="AC888" s="6"/>
      <c r="AD888" s="7"/>
    </row>
    <row r="889" spans="1:30" ht="13">
      <c r="A889" s="20"/>
      <c r="B889" s="20"/>
      <c r="C889" s="23"/>
      <c r="D889" s="17"/>
      <c r="E889" s="6"/>
      <c r="F889" s="6"/>
      <c r="G889" s="6"/>
      <c r="H889" s="6"/>
      <c r="I889" s="17"/>
      <c r="J889" s="6"/>
      <c r="K889" s="6"/>
      <c r="L889" s="17"/>
      <c r="M889" s="6"/>
      <c r="N889" s="6"/>
      <c r="O889" s="6"/>
      <c r="P889" s="6"/>
      <c r="Q889" s="6"/>
      <c r="R889" s="6"/>
      <c r="S889" s="6"/>
      <c r="T889" s="6"/>
      <c r="U889" s="6"/>
      <c r="V889" s="6"/>
      <c r="W889" s="6"/>
      <c r="X889" s="6"/>
      <c r="Y889" s="6"/>
      <c r="Z889" s="6"/>
      <c r="AA889" s="6"/>
      <c r="AB889" s="6"/>
      <c r="AC889" s="6"/>
      <c r="AD889" s="7"/>
    </row>
    <row r="890" spans="1:30" ht="13">
      <c r="A890" s="20"/>
      <c r="B890" s="20"/>
      <c r="C890" s="23"/>
      <c r="D890" s="17"/>
      <c r="E890" s="6"/>
      <c r="F890" s="6"/>
      <c r="G890" s="6"/>
      <c r="H890" s="6"/>
      <c r="I890" s="17"/>
      <c r="J890" s="6"/>
      <c r="K890" s="6"/>
      <c r="L890" s="17"/>
      <c r="M890" s="6"/>
      <c r="N890" s="6"/>
      <c r="O890" s="6"/>
      <c r="P890" s="6"/>
      <c r="Q890" s="6"/>
      <c r="R890" s="6"/>
      <c r="S890" s="6"/>
      <c r="T890" s="6"/>
      <c r="U890" s="6"/>
      <c r="V890" s="6"/>
      <c r="W890" s="6"/>
      <c r="X890" s="6"/>
      <c r="Y890" s="6"/>
      <c r="Z890" s="6"/>
      <c r="AA890" s="6"/>
      <c r="AB890" s="6"/>
      <c r="AC890" s="6"/>
      <c r="AD890" s="7"/>
    </row>
    <row r="891" spans="1:30" ht="13">
      <c r="A891" s="20"/>
      <c r="B891" s="20"/>
      <c r="C891" s="23"/>
      <c r="D891" s="17"/>
      <c r="E891" s="6"/>
      <c r="F891" s="6"/>
      <c r="G891" s="6"/>
      <c r="H891" s="6"/>
      <c r="I891" s="17"/>
      <c r="J891" s="6"/>
      <c r="K891" s="6"/>
      <c r="L891" s="17"/>
      <c r="M891" s="6"/>
      <c r="N891" s="6"/>
      <c r="O891" s="6"/>
      <c r="P891" s="6"/>
      <c r="Q891" s="6"/>
      <c r="R891" s="6"/>
      <c r="S891" s="6"/>
      <c r="T891" s="6"/>
      <c r="U891" s="6"/>
      <c r="V891" s="6"/>
      <c r="W891" s="6"/>
      <c r="X891" s="6"/>
      <c r="Y891" s="6"/>
      <c r="Z891" s="6"/>
      <c r="AA891" s="6"/>
      <c r="AB891" s="6"/>
      <c r="AC891" s="6"/>
      <c r="AD891" s="7"/>
    </row>
    <row r="892" spans="1:30" ht="13">
      <c r="A892" s="20"/>
      <c r="B892" s="20"/>
      <c r="C892" s="23"/>
      <c r="D892" s="17"/>
      <c r="E892" s="6"/>
      <c r="F892" s="6"/>
      <c r="G892" s="6"/>
      <c r="H892" s="6"/>
      <c r="I892" s="17"/>
      <c r="J892" s="6"/>
      <c r="K892" s="6"/>
      <c r="L892" s="17"/>
      <c r="M892" s="6"/>
      <c r="N892" s="6"/>
      <c r="O892" s="6"/>
      <c r="P892" s="6"/>
      <c r="Q892" s="6"/>
      <c r="R892" s="6"/>
      <c r="S892" s="6"/>
      <c r="T892" s="6"/>
      <c r="U892" s="6"/>
      <c r="V892" s="6"/>
      <c r="W892" s="6"/>
      <c r="X892" s="6"/>
      <c r="Y892" s="6"/>
      <c r="Z892" s="6"/>
      <c r="AA892" s="6"/>
      <c r="AB892" s="6"/>
      <c r="AC892" s="6"/>
      <c r="AD892" s="7"/>
    </row>
    <row r="893" spans="1:30" ht="13">
      <c r="A893" s="20"/>
      <c r="B893" s="20"/>
      <c r="C893" s="23"/>
      <c r="D893" s="17"/>
      <c r="E893" s="6"/>
      <c r="F893" s="6"/>
      <c r="G893" s="6"/>
      <c r="H893" s="6"/>
      <c r="I893" s="17"/>
      <c r="J893" s="6"/>
      <c r="K893" s="6"/>
      <c r="L893" s="17"/>
      <c r="M893" s="6"/>
      <c r="N893" s="6"/>
      <c r="O893" s="6"/>
      <c r="P893" s="6"/>
      <c r="Q893" s="6"/>
      <c r="R893" s="6"/>
      <c r="S893" s="6"/>
      <c r="T893" s="6"/>
      <c r="U893" s="6"/>
      <c r="V893" s="6"/>
      <c r="W893" s="6"/>
      <c r="X893" s="6"/>
      <c r="Y893" s="6"/>
      <c r="Z893" s="6"/>
      <c r="AA893" s="6"/>
      <c r="AB893" s="6"/>
      <c r="AC893" s="6"/>
      <c r="AD893" s="7"/>
    </row>
    <row r="894" spans="1:30" ht="13">
      <c r="A894" s="20"/>
      <c r="B894" s="20"/>
      <c r="C894" s="23"/>
      <c r="D894" s="17"/>
      <c r="E894" s="6"/>
      <c r="F894" s="6"/>
      <c r="G894" s="6"/>
      <c r="H894" s="6"/>
      <c r="I894" s="17"/>
      <c r="J894" s="6"/>
      <c r="K894" s="6"/>
      <c r="L894" s="17"/>
      <c r="M894" s="6"/>
      <c r="N894" s="6"/>
      <c r="O894" s="6"/>
      <c r="P894" s="6"/>
      <c r="Q894" s="6"/>
      <c r="R894" s="6"/>
      <c r="S894" s="6"/>
      <c r="T894" s="6"/>
      <c r="U894" s="6"/>
      <c r="V894" s="6"/>
      <c r="W894" s="6"/>
      <c r="X894" s="6"/>
      <c r="Y894" s="6"/>
      <c r="Z894" s="6"/>
      <c r="AA894" s="6"/>
      <c r="AB894" s="6"/>
      <c r="AC894" s="6"/>
      <c r="AD894" s="7"/>
    </row>
    <row r="895" spans="1:30" ht="13">
      <c r="A895" s="20"/>
      <c r="B895" s="20"/>
      <c r="C895" s="23"/>
      <c r="D895" s="17"/>
      <c r="E895" s="6"/>
      <c r="F895" s="6"/>
      <c r="G895" s="6"/>
      <c r="H895" s="6"/>
      <c r="I895" s="17"/>
      <c r="J895" s="6"/>
      <c r="K895" s="6"/>
      <c r="L895" s="17"/>
      <c r="M895" s="6"/>
      <c r="N895" s="6"/>
      <c r="O895" s="6"/>
      <c r="P895" s="6"/>
      <c r="Q895" s="6"/>
      <c r="R895" s="6"/>
      <c r="S895" s="6"/>
      <c r="T895" s="6"/>
      <c r="U895" s="6"/>
      <c r="V895" s="6"/>
      <c r="W895" s="6"/>
      <c r="X895" s="6"/>
      <c r="Y895" s="6"/>
      <c r="Z895" s="6"/>
      <c r="AA895" s="6"/>
      <c r="AB895" s="6"/>
      <c r="AC895" s="6"/>
      <c r="AD895" s="7"/>
    </row>
    <row r="896" spans="1:30" ht="13">
      <c r="A896" s="20"/>
      <c r="B896" s="20"/>
      <c r="C896" s="23"/>
      <c r="D896" s="17"/>
      <c r="E896" s="6"/>
      <c r="F896" s="6"/>
      <c r="G896" s="6"/>
      <c r="H896" s="6"/>
      <c r="I896" s="17"/>
      <c r="J896" s="6"/>
      <c r="K896" s="6"/>
      <c r="L896" s="17"/>
      <c r="M896" s="6"/>
      <c r="N896" s="6"/>
      <c r="O896" s="6"/>
      <c r="P896" s="6"/>
      <c r="Q896" s="6"/>
      <c r="R896" s="6"/>
      <c r="S896" s="6"/>
      <c r="T896" s="6"/>
      <c r="U896" s="6"/>
      <c r="V896" s="6"/>
      <c r="W896" s="6"/>
      <c r="X896" s="6"/>
      <c r="Y896" s="6"/>
      <c r="Z896" s="6"/>
      <c r="AA896" s="6"/>
      <c r="AB896" s="6"/>
      <c r="AC896" s="6"/>
      <c r="AD896" s="7"/>
    </row>
    <row r="897" spans="1:30" ht="13">
      <c r="A897" s="20"/>
      <c r="B897" s="20"/>
      <c r="C897" s="23"/>
      <c r="D897" s="17"/>
      <c r="E897" s="6"/>
      <c r="F897" s="6"/>
      <c r="G897" s="6"/>
      <c r="H897" s="6"/>
      <c r="I897" s="17"/>
      <c r="J897" s="6"/>
      <c r="K897" s="6"/>
      <c r="L897" s="17"/>
      <c r="M897" s="6"/>
      <c r="N897" s="6"/>
      <c r="O897" s="6"/>
      <c r="P897" s="6"/>
      <c r="Q897" s="6"/>
      <c r="R897" s="6"/>
      <c r="S897" s="6"/>
      <c r="T897" s="6"/>
      <c r="U897" s="6"/>
      <c r="V897" s="6"/>
      <c r="W897" s="6"/>
      <c r="X897" s="6"/>
      <c r="Y897" s="6"/>
      <c r="Z897" s="6"/>
      <c r="AA897" s="6"/>
      <c r="AB897" s="6"/>
      <c r="AC897" s="6"/>
      <c r="AD897" s="7"/>
    </row>
    <row r="898" spans="1:30" ht="13">
      <c r="A898" s="20"/>
      <c r="B898" s="20"/>
      <c r="C898" s="23"/>
      <c r="D898" s="17"/>
      <c r="E898" s="6"/>
      <c r="F898" s="6"/>
      <c r="G898" s="6"/>
      <c r="H898" s="6"/>
      <c r="I898" s="17"/>
      <c r="J898" s="6"/>
      <c r="K898" s="6"/>
      <c r="L898" s="17"/>
      <c r="M898" s="6"/>
      <c r="N898" s="6"/>
      <c r="O898" s="6"/>
      <c r="P898" s="6"/>
      <c r="Q898" s="6"/>
      <c r="R898" s="6"/>
      <c r="S898" s="6"/>
      <c r="T898" s="6"/>
      <c r="U898" s="6"/>
      <c r="V898" s="6"/>
      <c r="W898" s="6"/>
      <c r="X898" s="6"/>
      <c r="Y898" s="6"/>
      <c r="Z898" s="6"/>
      <c r="AA898" s="6"/>
      <c r="AB898" s="6"/>
      <c r="AC898" s="6"/>
      <c r="AD898" s="7"/>
    </row>
    <row r="899" spans="1:30" ht="13">
      <c r="A899" s="20"/>
      <c r="B899" s="20"/>
      <c r="C899" s="23"/>
      <c r="D899" s="17"/>
      <c r="E899" s="6"/>
      <c r="F899" s="6"/>
      <c r="G899" s="6"/>
      <c r="H899" s="6"/>
      <c r="I899" s="17"/>
      <c r="J899" s="6"/>
      <c r="K899" s="6"/>
      <c r="L899" s="17"/>
      <c r="M899" s="6"/>
      <c r="N899" s="6"/>
      <c r="O899" s="6"/>
      <c r="P899" s="6"/>
      <c r="Q899" s="6"/>
      <c r="R899" s="6"/>
      <c r="S899" s="6"/>
      <c r="T899" s="6"/>
      <c r="U899" s="6"/>
      <c r="V899" s="6"/>
      <c r="W899" s="6"/>
      <c r="X899" s="6"/>
      <c r="Y899" s="6"/>
      <c r="Z899" s="6"/>
      <c r="AA899" s="6"/>
      <c r="AB899" s="6"/>
      <c r="AC899" s="6"/>
      <c r="AD899" s="7"/>
    </row>
    <row r="900" spans="1:30" ht="13">
      <c r="A900" s="20"/>
      <c r="B900" s="20"/>
      <c r="C900" s="23"/>
      <c r="D900" s="17"/>
      <c r="E900" s="6"/>
      <c r="F900" s="6"/>
      <c r="G900" s="6"/>
      <c r="H900" s="6"/>
      <c r="I900" s="17"/>
      <c r="J900" s="6"/>
      <c r="K900" s="6"/>
      <c r="L900" s="17"/>
      <c r="M900" s="6"/>
      <c r="N900" s="6"/>
      <c r="O900" s="6"/>
      <c r="P900" s="6"/>
      <c r="Q900" s="6"/>
      <c r="R900" s="6"/>
      <c r="S900" s="6"/>
      <c r="T900" s="6"/>
      <c r="U900" s="6"/>
      <c r="V900" s="6"/>
      <c r="W900" s="6"/>
      <c r="X900" s="6"/>
      <c r="Y900" s="6"/>
      <c r="Z900" s="6"/>
      <c r="AA900" s="6"/>
      <c r="AB900" s="6"/>
      <c r="AC900" s="6"/>
      <c r="AD900" s="7"/>
    </row>
    <row r="901" spans="1:30" ht="13">
      <c r="A901" s="20"/>
      <c r="B901" s="20"/>
      <c r="C901" s="23"/>
      <c r="D901" s="17"/>
      <c r="E901" s="6"/>
      <c r="F901" s="6"/>
      <c r="G901" s="6"/>
      <c r="H901" s="6"/>
      <c r="I901" s="17"/>
      <c r="J901" s="6"/>
      <c r="K901" s="6"/>
      <c r="L901" s="17"/>
      <c r="M901" s="6"/>
      <c r="N901" s="6"/>
      <c r="O901" s="6"/>
      <c r="P901" s="6"/>
      <c r="Q901" s="6"/>
      <c r="R901" s="6"/>
      <c r="S901" s="6"/>
      <c r="T901" s="6"/>
      <c r="U901" s="6"/>
      <c r="V901" s="6"/>
      <c r="W901" s="6"/>
      <c r="X901" s="6"/>
      <c r="Y901" s="6"/>
      <c r="Z901" s="6"/>
      <c r="AA901" s="6"/>
      <c r="AB901" s="6"/>
      <c r="AC901" s="6"/>
      <c r="AD901" s="7"/>
    </row>
    <row r="902" spans="1:30" ht="13">
      <c r="A902" s="20"/>
      <c r="B902" s="20"/>
      <c r="C902" s="23"/>
      <c r="D902" s="17"/>
      <c r="E902" s="6"/>
      <c r="F902" s="6"/>
      <c r="G902" s="6"/>
      <c r="H902" s="6"/>
      <c r="I902" s="17"/>
      <c r="J902" s="6"/>
      <c r="K902" s="6"/>
      <c r="L902" s="17"/>
      <c r="M902" s="6"/>
      <c r="N902" s="6"/>
      <c r="O902" s="6"/>
      <c r="P902" s="6"/>
      <c r="Q902" s="6"/>
      <c r="R902" s="6"/>
      <c r="S902" s="6"/>
      <c r="T902" s="6"/>
      <c r="U902" s="6"/>
      <c r="V902" s="6"/>
      <c r="W902" s="6"/>
      <c r="X902" s="6"/>
      <c r="Y902" s="6"/>
      <c r="Z902" s="6"/>
      <c r="AA902" s="6"/>
      <c r="AB902" s="6"/>
      <c r="AC902" s="6"/>
      <c r="AD902" s="7"/>
    </row>
    <row r="903" spans="1:30" ht="13">
      <c r="A903" s="20"/>
      <c r="B903" s="20"/>
      <c r="C903" s="23"/>
      <c r="D903" s="17"/>
      <c r="E903" s="6"/>
      <c r="F903" s="6"/>
      <c r="G903" s="6"/>
      <c r="H903" s="6"/>
      <c r="I903" s="17"/>
      <c r="J903" s="6"/>
      <c r="K903" s="6"/>
      <c r="L903" s="17"/>
      <c r="M903" s="6"/>
      <c r="N903" s="6"/>
      <c r="O903" s="6"/>
      <c r="P903" s="6"/>
      <c r="Q903" s="6"/>
      <c r="R903" s="6"/>
      <c r="S903" s="6"/>
      <c r="T903" s="6"/>
      <c r="U903" s="6"/>
      <c r="V903" s="6"/>
      <c r="W903" s="6"/>
      <c r="X903" s="6"/>
      <c r="Y903" s="6"/>
      <c r="Z903" s="6"/>
      <c r="AA903" s="6"/>
      <c r="AB903" s="6"/>
      <c r="AC903" s="6"/>
      <c r="AD903" s="7"/>
    </row>
    <row r="904" spans="1:30" ht="13">
      <c r="A904" s="20"/>
      <c r="B904" s="20"/>
      <c r="C904" s="23"/>
      <c r="D904" s="17"/>
      <c r="E904" s="6"/>
      <c r="F904" s="6"/>
      <c r="G904" s="6"/>
      <c r="H904" s="6"/>
      <c r="I904" s="17"/>
      <c r="J904" s="6"/>
      <c r="K904" s="6"/>
      <c r="L904" s="17"/>
      <c r="M904" s="6"/>
      <c r="N904" s="6"/>
      <c r="O904" s="6"/>
      <c r="P904" s="6"/>
      <c r="Q904" s="6"/>
      <c r="R904" s="6"/>
      <c r="S904" s="6"/>
      <c r="T904" s="6"/>
      <c r="U904" s="6"/>
      <c r="V904" s="6"/>
      <c r="W904" s="6"/>
      <c r="X904" s="6"/>
      <c r="Y904" s="6"/>
      <c r="Z904" s="6"/>
      <c r="AA904" s="6"/>
      <c r="AB904" s="6"/>
      <c r="AC904" s="6"/>
      <c r="AD904" s="7"/>
    </row>
    <row r="905" spans="1:30" ht="13">
      <c r="A905" s="20"/>
      <c r="B905" s="20"/>
      <c r="C905" s="23"/>
      <c r="D905" s="17"/>
      <c r="E905" s="6"/>
      <c r="F905" s="6"/>
      <c r="G905" s="6"/>
      <c r="H905" s="6"/>
      <c r="I905" s="17"/>
      <c r="J905" s="6"/>
      <c r="K905" s="6"/>
      <c r="L905" s="17"/>
      <c r="M905" s="6"/>
      <c r="N905" s="6"/>
      <c r="O905" s="6"/>
      <c r="P905" s="6"/>
      <c r="Q905" s="6"/>
      <c r="R905" s="6"/>
      <c r="S905" s="6"/>
      <c r="T905" s="6"/>
      <c r="U905" s="6"/>
      <c r="V905" s="6"/>
      <c r="W905" s="6"/>
      <c r="X905" s="6"/>
      <c r="Y905" s="6"/>
      <c r="Z905" s="6"/>
      <c r="AA905" s="6"/>
      <c r="AB905" s="6"/>
      <c r="AC905" s="6"/>
      <c r="AD905" s="7"/>
    </row>
    <row r="906" spans="1:30" ht="13">
      <c r="A906" s="20"/>
      <c r="B906" s="20"/>
      <c r="C906" s="23"/>
      <c r="D906" s="17"/>
      <c r="E906" s="6"/>
      <c r="F906" s="6"/>
      <c r="G906" s="6"/>
      <c r="H906" s="6"/>
      <c r="I906" s="17"/>
      <c r="J906" s="6"/>
      <c r="K906" s="6"/>
      <c r="L906" s="17"/>
      <c r="M906" s="6"/>
      <c r="N906" s="6"/>
      <c r="O906" s="6"/>
      <c r="P906" s="6"/>
      <c r="Q906" s="6"/>
      <c r="R906" s="6"/>
      <c r="S906" s="6"/>
      <c r="T906" s="6"/>
      <c r="U906" s="6"/>
      <c r="V906" s="6"/>
      <c r="W906" s="6"/>
      <c r="X906" s="6"/>
      <c r="Y906" s="6"/>
      <c r="Z906" s="6"/>
      <c r="AA906" s="6"/>
      <c r="AB906" s="6"/>
      <c r="AC906" s="6"/>
      <c r="AD906" s="7"/>
    </row>
    <row r="907" spans="1:30" ht="13">
      <c r="A907" s="20"/>
      <c r="B907" s="20"/>
      <c r="C907" s="23"/>
      <c r="D907" s="17"/>
      <c r="E907" s="6"/>
      <c r="F907" s="6"/>
      <c r="G907" s="6"/>
      <c r="H907" s="6"/>
      <c r="I907" s="17"/>
      <c r="J907" s="6"/>
      <c r="K907" s="6"/>
      <c r="L907" s="17"/>
      <c r="M907" s="6"/>
      <c r="N907" s="6"/>
      <c r="O907" s="6"/>
      <c r="P907" s="6"/>
      <c r="Q907" s="6"/>
      <c r="R907" s="6"/>
      <c r="S907" s="6"/>
      <c r="T907" s="6"/>
      <c r="U907" s="6"/>
      <c r="V907" s="6"/>
      <c r="W907" s="6"/>
      <c r="X907" s="6"/>
      <c r="Y907" s="6"/>
      <c r="Z907" s="6"/>
      <c r="AA907" s="6"/>
      <c r="AB907" s="6"/>
      <c r="AC907" s="6"/>
      <c r="AD907" s="7"/>
    </row>
    <row r="908" spans="1:30" ht="13">
      <c r="A908" s="20"/>
      <c r="B908" s="20"/>
      <c r="C908" s="23"/>
      <c r="D908" s="17"/>
      <c r="E908" s="6"/>
      <c r="F908" s="6"/>
      <c r="G908" s="6"/>
      <c r="H908" s="6"/>
      <c r="I908" s="17"/>
      <c r="J908" s="6"/>
      <c r="K908" s="6"/>
      <c r="L908" s="17"/>
      <c r="M908" s="6"/>
      <c r="N908" s="6"/>
      <c r="O908" s="6"/>
      <c r="P908" s="6"/>
      <c r="Q908" s="6"/>
      <c r="R908" s="6"/>
      <c r="S908" s="6"/>
      <c r="T908" s="6"/>
      <c r="U908" s="6"/>
      <c r="V908" s="6"/>
      <c r="W908" s="6"/>
      <c r="X908" s="6"/>
      <c r="Y908" s="6"/>
      <c r="Z908" s="6"/>
      <c r="AA908" s="6"/>
      <c r="AB908" s="6"/>
      <c r="AC908" s="6"/>
      <c r="AD908" s="7"/>
    </row>
    <row r="909" spans="1:30" ht="13">
      <c r="A909" s="20"/>
      <c r="B909" s="20"/>
      <c r="C909" s="23"/>
      <c r="D909" s="17"/>
      <c r="E909" s="6"/>
      <c r="F909" s="6"/>
      <c r="G909" s="6"/>
      <c r="H909" s="6"/>
      <c r="I909" s="17"/>
      <c r="J909" s="6"/>
      <c r="K909" s="6"/>
      <c r="L909" s="17"/>
      <c r="M909" s="6"/>
      <c r="N909" s="6"/>
      <c r="O909" s="6"/>
      <c r="P909" s="6"/>
      <c r="Q909" s="6"/>
      <c r="R909" s="6"/>
      <c r="S909" s="6"/>
      <c r="T909" s="6"/>
      <c r="U909" s="6"/>
      <c r="V909" s="6"/>
      <c r="W909" s="6"/>
      <c r="X909" s="6"/>
      <c r="Y909" s="6"/>
      <c r="Z909" s="6"/>
      <c r="AA909" s="6"/>
      <c r="AB909" s="6"/>
      <c r="AC909" s="6"/>
      <c r="AD909" s="7"/>
    </row>
    <row r="910" spans="1:30" ht="13">
      <c r="A910" s="20"/>
      <c r="B910" s="20"/>
      <c r="C910" s="23"/>
      <c r="D910" s="17"/>
      <c r="E910" s="6"/>
      <c r="F910" s="6"/>
      <c r="G910" s="6"/>
      <c r="H910" s="6"/>
      <c r="I910" s="17"/>
      <c r="J910" s="6"/>
      <c r="K910" s="6"/>
      <c r="L910" s="17"/>
      <c r="M910" s="6"/>
      <c r="N910" s="6"/>
      <c r="O910" s="6"/>
      <c r="P910" s="6"/>
      <c r="Q910" s="6"/>
      <c r="R910" s="6"/>
      <c r="S910" s="6"/>
      <c r="T910" s="6"/>
      <c r="U910" s="6"/>
      <c r="V910" s="6"/>
      <c r="W910" s="6"/>
      <c r="X910" s="6"/>
      <c r="Y910" s="6"/>
      <c r="Z910" s="6"/>
      <c r="AA910" s="6"/>
      <c r="AB910" s="6"/>
      <c r="AC910" s="6"/>
      <c r="AD910" s="7"/>
    </row>
    <row r="911" spans="1:30" ht="13">
      <c r="A911" s="20"/>
      <c r="B911" s="20"/>
      <c r="C911" s="23"/>
      <c r="D911" s="17"/>
      <c r="E911" s="6"/>
      <c r="F911" s="6"/>
      <c r="G911" s="6"/>
      <c r="H911" s="6"/>
      <c r="I911" s="17"/>
      <c r="J911" s="6"/>
      <c r="K911" s="6"/>
      <c r="L911" s="17"/>
      <c r="M911" s="6"/>
      <c r="N911" s="6"/>
      <c r="O911" s="6"/>
      <c r="P911" s="6"/>
      <c r="Q911" s="6"/>
      <c r="R911" s="6"/>
      <c r="S911" s="6"/>
      <c r="T911" s="6"/>
      <c r="U911" s="6"/>
      <c r="V911" s="6"/>
      <c r="W911" s="6"/>
      <c r="X911" s="6"/>
      <c r="Y911" s="6"/>
      <c r="Z911" s="6"/>
      <c r="AA911" s="6"/>
      <c r="AB911" s="6"/>
      <c r="AC911" s="6"/>
      <c r="AD911" s="7"/>
    </row>
    <row r="912" spans="1:30" ht="13">
      <c r="A912" s="20"/>
      <c r="B912" s="20"/>
      <c r="C912" s="23"/>
      <c r="D912" s="17"/>
      <c r="E912" s="6"/>
      <c r="F912" s="6"/>
      <c r="G912" s="6"/>
      <c r="H912" s="6"/>
      <c r="I912" s="17"/>
      <c r="J912" s="6"/>
      <c r="K912" s="6"/>
      <c r="L912" s="17"/>
      <c r="M912" s="6"/>
      <c r="N912" s="6"/>
      <c r="O912" s="6"/>
      <c r="P912" s="6"/>
      <c r="Q912" s="6"/>
      <c r="R912" s="6"/>
      <c r="S912" s="6"/>
      <c r="T912" s="6"/>
      <c r="U912" s="6"/>
      <c r="V912" s="6"/>
      <c r="W912" s="6"/>
      <c r="X912" s="6"/>
      <c r="Y912" s="6"/>
      <c r="Z912" s="6"/>
      <c r="AA912" s="6"/>
      <c r="AB912" s="6"/>
      <c r="AC912" s="6"/>
      <c r="AD912" s="7"/>
    </row>
    <row r="913" spans="1:30" ht="13">
      <c r="A913" s="20"/>
      <c r="B913" s="20"/>
      <c r="C913" s="23"/>
      <c r="D913" s="17"/>
      <c r="E913" s="6"/>
      <c r="F913" s="6"/>
      <c r="G913" s="6"/>
      <c r="H913" s="6"/>
      <c r="I913" s="17"/>
      <c r="J913" s="6"/>
      <c r="K913" s="6"/>
      <c r="L913" s="17"/>
      <c r="M913" s="6"/>
      <c r="N913" s="6"/>
      <c r="O913" s="6"/>
      <c r="P913" s="6"/>
      <c r="Q913" s="6"/>
      <c r="R913" s="6"/>
      <c r="S913" s="6"/>
      <c r="T913" s="6"/>
      <c r="U913" s="6"/>
      <c r="V913" s="6"/>
      <c r="W913" s="6"/>
      <c r="X913" s="6"/>
      <c r="Y913" s="6"/>
      <c r="Z913" s="6"/>
      <c r="AA913" s="6"/>
      <c r="AB913" s="6"/>
      <c r="AC913" s="6"/>
      <c r="AD913" s="7"/>
    </row>
    <row r="914" spans="1:30" ht="13">
      <c r="A914" s="20"/>
      <c r="B914" s="20"/>
      <c r="C914" s="23"/>
      <c r="D914" s="17"/>
      <c r="E914" s="6"/>
      <c r="F914" s="6"/>
      <c r="G914" s="6"/>
      <c r="H914" s="6"/>
      <c r="I914" s="17"/>
      <c r="J914" s="6"/>
      <c r="K914" s="6"/>
      <c r="L914" s="17"/>
      <c r="M914" s="6"/>
      <c r="N914" s="6"/>
      <c r="O914" s="6"/>
      <c r="P914" s="6"/>
      <c r="Q914" s="6"/>
      <c r="R914" s="6"/>
      <c r="S914" s="6"/>
      <c r="T914" s="6"/>
      <c r="U914" s="6"/>
      <c r="V914" s="6"/>
      <c r="W914" s="6"/>
      <c r="X914" s="6"/>
      <c r="Y914" s="6"/>
      <c r="Z914" s="6"/>
      <c r="AA914" s="6"/>
      <c r="AB914" s="6"/>
      <c r="AC914" s="6"/>
      <c r="AD914" s="7"/>
    </row>
    <row r="915" spans="1:30" ht="13">
      <c r="A915" s="20"/>
      <c r="B915" s="20"/>
      <c r="C915" s="23"/>
      <c r="D915" s="17"/>
      <c r="E915" s="6"/>
      <c r="F915" s="6"/>
      <c r="G915" s="6"/>
      <c r="H915" s="6"/>
      <c r="I915" s="17"/>
      <c r="J915" s="6"/>
      <c r="K915" s="6"/>
      <c r="L915" s="17"/>
      <c r="M915" s="6"/>
      <c r="N915" s="6"/>
      <c r="O915" s="6"/>
      <c r="P915" s="6"/>
      <c r="Q915" s="6"/>
      <c r="R915" s="6"/>
      <c r="S915" s="6"/>
      <c r="T915" s="6"/>
      <c r="U915" s="6"/>
      <c r="V915" s="6"/>
      <c r="W915" s="6"/>
      <c r="X915" s="6"/>
      <c r="Y915" s="6"/>
      <c r="Z915" s="6"/>
      <c r="AA915" s="6"/>
      <c r="AB915" s="6"/>
      <c r="AC915" s="6"/>
      <c r="AD915" s="7"/>
    </row>
    <row r="916" spans="1:30" ht="13">
      <c r="A916" s="20"/>
      <c r="B916" s="20"/>
      <c r="C916" s="23"/>
      <c r="D916" s="17"/>
      <c r="E916" s="6"/>
      <c r="F916" s="6"/>
      <c r="G916" s="6"/>
      <c r="H916" s="6"/>
      <c r="I916" s="17"/>
      <c r="J916" s="6"/>
      <c r="K916" s="6"/>
      <c r="L916" s="17"/>
      <c r="M916" s="6"/>
      <c r="N916" s="6"/>
      <c r="O916" s="6"/>
      <c r="P916" s="6"/>
      <c r="Q916" s="6"/>
      <c r="R916" s="6"/>
      <c r="S916" s="6"/>
      <c r="T916" s="6"/>
      <c r="U916" s="6"/>
      <c r="V916" s="6"/>
      <c r="W916" s="6"/>
      <c r="X916" s="6"/>
      <c r="Y916" s="6"/>
      <c r="Z916" s="6"/>
      <c r="AA916" s="6"/>
      <c r="AB916" s="6"/>
      <c r="AC916" s="6"/>
      <c r="AD916" s="7"/>
    </row>
    <row r="917" spans="1:30" ht="13">
      <c r="A917" s="20"/>
      <c r="B917" s="20"/>
      <c r="C917" s="23"/>
      <c r="D917" s="17"/>
      <c r="E917" s="6"/>
      <c r="F917" s="6"/>
      <c r="G917" s="6"/>
      <c r="H917" s="6"/>
      <c r="I917" s="17"/>
      <c r="J917" s="6"/>
      <c r="K917" s="6"/>
      <c r="L917" s="17"/>
      <c r="M917" s="6"/>
      <c r="N917" s="6"/>
      <c r="O917" s="6"/>
      <c r="P917" s="6"/>
      <c r="Q917" s="6"/>
      <c r="R917" s="6"/>
      <c r="S917" s="6"/>
      <c r="T917" s="6"/>
      <c r="U917" s="6"/>
      <c r="V917" s="6"/>
      <c r="W917" s="6"/>
      <c r="X917" s="6"/>
      <c r="Y917" s="6"/>
      <c r="Z917" s="6"/>
      <c r="AA917" s="6"/>
      <c r="AB917" s="6"/>
      <c r="AC917" s="6"/>
      <c r="AD917" s="7"/>
    </row>
    <row r="918" spans="1:30" ht="13">
      <c r="A918" s="20"/>
      <c r="B918" s="20"/>
      <c r="C918" s="23"/>
      <c r="D918" s="17"/>
      <c r="E918" s="6"/>
      <c r="F918" s="6"/>
      <c r="G918" s="6"/>
      <c r="H918" s="6"/>
      <c r="I918" s="17"/>
      <c r="J918" s="6"/>
      <c r="K918" s="6"/>
      <c r="L918" s="17"/>
      <c r="M918" s="6"/>
      <c r="N918" s="6"/>
      <c r="O918" s="6"/>
      <c r="P918" s="6"/>
      <c r="Q918" s="6"/>
      <c r="R918" s="6"/>
      <c r="S918" s="6"/>
      <c r="T918" s="6"/>
      <c r="U918" s="6"/>
      <c r="V918" s="6"/>
      <c r="W918" s="6"/>
      <c r="X918" s="6"/>
      <c r="Y918" s="6"/>
      <c r="Z918" s="6"/>
      <c r="AA918" s="6"/>
      <c r="AB918" s="6"/>
      <c r="AC918" s="6"/>
      <c r="AD918" s="7"/>
    </row>
    <row r="919" spans="1:30" ht="13">
      <c r="A919" s="20"/>
      <c r="B919" s="20"/>
      <c r="C919" s="23"/>
      <c r="D919" s="17"/>
      <c r="E919" s="6"/>
      <c r="F919" s="6"/>
      <c r="G919" s="6"/>
      <c r="H919" s="6"/>
      <c r="I919" s="17"/>
      <c r="J919" s="6"/>
      <c r="K919" s="6"/>
      <c r="L919" s="17"/>
      <c r="M919" s="6"/>
      <c r="N919" s="6"/>
      <c r="O919" s="6"/>
      <c r="P919" s="6"/>
      <c r="Q919" s="6"/>
      <c r="R919" s="6"/>
      <c r="S919" s="6"/>
      <c r="T919" s="6"/>
      <c r="U919" s="6"/>
      <c r="V919" s="6"/>
      <c r="W919" s="6"/>
      <c r="X919" s="6"/>
      <c r="Y919" s="6"/>
      <c r="Z919" s="6"/>
      <c r="AA919" s="6"/>
      <c r="AB919" s="6"/>
      <c r="AC919" s="6"/>
      <c r="AD919" s="7"/>
    </row>
    <row r="920" spans="1:30" ht="13">
      <c r="A920" s="20"/>
      <c r="B920" s="20"/>
      <c r="C920" s="23"/>
      <c r="D920" s="17"/>
      <c r="E920" s="6"/>
      <c r="F920" s="6"/>
      <c r="G920" s="6"/>
      <c r="H920" s="6"/>
      <c r="I920" s="17"/>
      <c r="J920" s="6"/>
      <c r="K920" s="6"/>
      <c r="L920" s="17"/>
      <c r="M920" s="6"/>
      <c r="N920" s="6"/>
      <c r="O920" s="6"/>
      <c r="P920" s="6"/>
      <c r="Q920" s="6"/>
      <c r="R920" s="6"/>
      <c r="S920" s="6"/>
      <c r="T920" s="6"/>
      <c r="U920" s="6"/>
      <c r="V920" s="6"/>
      <c r="W920" s="6"/>
      <c r="X920" s="6"/>
      <c r="Y920" s="6"/>
      <c r="Z920" s="6"/>
      <c r="AA920" s="6"/>
      <c r="AB920" s="6"/>
      <c r="AC920" s="6"/>
      <c r="AD920" s="7"/>
    </row>
    <row r="921" spans="1:30" ht="13">
      <c r="A921" s="20"/>
      <c r="B921" s="20"/>
      <c r="C921" s="23"/>
      <c r="D921" s="17"/>
      <c r="E921" s="6"/>
      <c r="F921" s="6"/>
      <c r="G921" s="6"/>
      <c r="H921" s="6"/>
      <c r="I921" s="17"/>
      <c r="J921" s="6"/>
      <c r="K921" s="6"/>
      <c r="L921" s="17"/>
      <c r="M921" s="6"/>
      <c r="N921" s="6"/>
      <c r="O921" s="6"/>
      <c r="P921" s="6"/>
      <c r="Q921" s="6"/>
      <c r="R921" s="6"/>
      <c r="S921" s="6"/>
      <c r="T921" s="6"/>
      <c r="U921" s="6"/>
      <c r="V921" s="6"/>
      <c r="W921" s="6"/>
      <c r="X921" s="6"/>
      <c r="Y921" s="6"/>
      <c r="Z921" s="6"/>
      <c r="AA921" s="6"/>
      <c r="AB921" s="6"/>
      <c r="AC921" s="6"/>
      <c r="AD921" s="7"/>
    </row>
    <row r="922" spans="1:30" ht="13">
      <c r="A922" s="20"/>
      <c r="B922" s="20"/>
      <c r="C922" s="23"/>
      <c r="D922" s="17"/>
      <c r="E922" s="6"/>
      <c r="F922" s="6"/>
      <c r="G922" s="6"/>
      <c r="H922" s="6"/>
      <c r="I922" s="17"/>
      <c r="J922" s="6"/>
      <c r="K922" s="6"/>
      <c r="L922" s="17"/>
      <c r="M922" s="6"/>
      <c r="N922" s="6"/>
      <c r="O922" s="6"/>
      <c r="P922" s="6"/>
      <c r="Q922" s="6"/>
      <c r="R922" s="6"/>
      <c r="S922" s="6"/>
      <c r="T922" s="6"/>
      <c r="U922" s="6"/>
      <c r="V922" s="6"/>
      <c r="W922" s="6"/>
      <c r="X922" s="6"/>
      <c r="Y922" s="6"/>
      <c r="Z922" s="6"/>
      <c r="AA922" s="6"/>
      <c r="AB922" s="6"/>
      <c r="AC922" s="6"/>
      <c r="AD922" s="7"/>
    </row>
    <row r="923" spans="1:30" ht="13">
      <c r="A923" s="20"/>
      <c r="B923" s="20"/>
      <c r="C923" s="23"/>
      <c r="D923" s="17"/>
      <c r="E923" s="6"/>
      <c r="F923" s="6"/>
      <c r="G923" s="6"/>
      <c r="H923" s="6"/>
      <c r="I923" s="17"/>
      <c r="J923" s="6"/>
      <c r="K923" s="6"/>
      <c r="L923" s="17"/>
      <c r="M923" s="6"/>
      <c r="N923" s="6"/>
      <c r="O923" s="6"/>
      <c r="P923" s="6"/>
      <c r="Q923" s="6"/>
      <c r="R923" s="6"/>
      <c r="S923" s="6"/>
      <c r="T923" s="6"/>
      <c r="U923" s="6"/>
      <c r="V923" s="6"/>
      <c r="W923" s="6"/>
      <c r="X923" s="6"/>
      <c r="Y923" s="6"/>
      <c r="Z923" s="6"/>
      <c r="AA923" s="6"/>
      <c r="AB923" s="6"/>
      <c r="AC923" s="6"/>
      <c r="AD923" s="7"/>
    </row>
    <row r="924" spans="1:30" ht="13">
      <c r="A924" s="20"/>
      <c r="B924" s="20"/>
      <c r="C924" s="23"/>
      <c r="D924" s="17"/>
      <c r="E924" s="6"/>
      <c r="F924" s="6"/>
      <c r="G924" s="6"/>
      <c r="H924" s="6"/>
      <c r="I924" s="17"/>
      <c r="J924" s="6"/>
      <c r="K924" s="6"/>
      <c r="L924" s="17"/>
      <c r="M924" s="6"/>
      <c r="N924" s="6"/>
      <c r="O924" s="6"/>
      <c r="P924" s="6"/>
      <c r="Q924" s="6"/>
      <c r="R924" s="6"/>
      <c r="S924" s="6"/>
      <c r="T924" s="6"/>
      <c r="U924" s="6"/>
      <c r="V924" s="6"/>
      <c r="W924" s="6"/>
      <c r="X924" s="6"/>
      <c r="Y924" s="6"/>
      <c r="Z924" s="6"/>
      <c r="AA924" s="6"/>
      <c r="AB924" s="6"/>
      <c r="AC924" s="6"/>
      <c r="AD924" s="7"/>
    </row>
    <row r="925" spans="1:30" ht="13">
      <c r="A925" s="20"/>
      <c r="B925" s="20"/>
      <c r="C925" s="23"/>
      <c r="D925" s="17"/>
      <c r="E925" s="6"/>
      <c r="F925" s="6"/>
      <c r="G925" s="6"/>
      <c r="H925" s="6"/>
      <c r="I925" s="17"/>
      <c r="J925" s="6"/>
      <c r="K925" s="6"/>
      <c r="L925" s="17"/>
      <c r="M925" s="6"/>
      <c r="N925" s="6"/>
      <c r="O925" s="6"/>
      <c r="P925" s="6"/>
      <c r="Q925" s="6"/>
      <c r="R925" s="6"/>
      <c r="S925" s="6"/>
      <c r="T925" s="6"/>
      <c r="U925" s="6"/>
      <c r="V925" s="6"/>
      <c r="W925" s="6"/>
      <c r="X925" s="6"/>
      <c r="Y925" s="6"/>
      <c r="Z925" s="6"/>
      <c r="AA925" s="6"/>
      <c r="AB925" s="6"/>
      <c r="AC925" s="6"/>
      <c r="AD925" s="7"/>
    </row>
    <row r="926" spans="1:30" ht="13">
      <c r="A926" s="20"/>
      <c r="B926" s="20"/>
      <c r="C926" s="23"/>
      <c r="D926" s="17"/>
      <c r="E926" s="6"/>
      <c r="F926" s="6"/>
      <c r="G926" s="6"/>
      <c r="H926" s="6"/>
      <c r="I926" s="17"/>
      <c r="J926" s="6"/>
      <c r="K926" s="6"/>
      <c r="L926" s="17"/>
      <c r="M926" s="6"/>
      <c r="N926" s="6"/>
      <c r="O926" s="6"/>
      <c r="P926" s="6"/>
      <c r="Q926" s="6"/>
      <c r="R926" s="6"/>
      <c r="S926" s="6"/>
      <c r="T926" s="6"/>
      <c r="U926" s="6"/>
      <c r="V926" s="6"/>
      <c r="W926" s="6"/>
      <c r="X926" s="6"/>
      <c r="Y926" s="6"/>
      <c r="Z926" s="6"/>
      <c r="AA926" s="6"/>
      <c r="AB926" s="6"/>
      <c r="AC926" s="6"/>
      <c r="AD926" s="7"/>
    </row>
    <row r="927" spans="1:30" ht="13">
      <c r="A927" s="20"/>
      <c r="B927" s="20"/>
      <c r="C927" s="23"/>
      <c r="D927" s="17"/>
      <c r="E927" s="6"/>
      <c r="F927" s="6"/>
      <c r="G927" s="6"/>
      <c r="H927" s="6"/>
      <c r="I927" s="17"/>
      <c r="J927" s="6"/>
      <c r="K927" s="6"/>
      <c r="L927" s="17"/>
      <c r="M927" s="6"/>
      <c r="N927" s="6"/>
      <c r="O927" s="6"/>
      <c r="P927" s="6"/>
      <c r="Q927" s="6"/>
      <c r="R927" s="6"/>
      <c r="S927" s="6"/>
      <c r="T927" s="6"/>
      <c r="U927" s="6"/>
      <c r="V927" s="6"/>
      <c r="W927" s="6"/>
      <c r="X927" s="6"/>
      <c r="Y927" s="6"/>
      <c r="Z927" s="6"/>
      <c r="AA927" s="6"/>
      <c r="AB927" s="6"/>
      <c r="AC927" s="6"/>
      <c r="AD927" s="7"/>
    </row>
    <row r="928" spans="1:30" ht="13">
      <c r="A928" s="20"/>
      <c r="B928" s="20"/>
      <c r="C928" s="23"/>
      <c r="D928" s="17"/>
      <c r="E928" s="6"/>
      <c r="F928" s="6"/>
      <c r="G928" s="6"/>
      <c r="H928" s="6"/>
      <c r="I928" s="17"/>
      <c r="J928" s="6"/>
      <c r="K928" s="6"/>
      <c r="L928" s="17"/>
      <c r="M928" s="6"/>
      <c r="N928" s="6"/>
      <c r="O928" s="6"/>
      <c r="P928" s="6"/>
      <c r="Q928" s="6"/>
      <c r="R928" s="6"/>
      <c r="S928" s="6"/>
      <c r="T928" s="6"/>
      <c r="U928" s="6"/>
      <c r="V928" s="6"/>
      <c r="W928" s="6"/>
      <c r="X928" s="6"/>
      <c r="Y928" s="6"/>
      <c r="Z928" s="6"/>
      <c r="AA928" s="6"/>
      <c r="AB928" s="6"/>
      <c r="AC928" s="6"/>
      <c r="AD928" s="7"/>
    </row>
    <row r="929" spans="1:30" ht="13">
      <c r="A929" s="20"/>
      <c r="B929" s="20"/>
      <c r="C929" s="23"/>
      <c r="D929" s="17"/>
      <c r="E929" s="6"/>
      <c r="F929" s="6"/>
      <c r="G929" s="6"/>
      <c r="H929" s="6"/>
      <c r="I929" s="17"/>
      <c r="J929" s="6"/>
      <c r="K929" s="6"/>
      <c r="L929" s="17"/>
      <c r="M929" s="6"/>
      <c r="N929" s="6"/>
      <c r="O929" s="6"/>
      <c r="P929" s="6"/>
      <c r="Q929" s="6"/>
      <c r="R929" s="6"/>
      <c r="S929" s="6"/>
      <c r="T929" s="6"/>
      <c r="U929" s="6"/>
      <c r="V929" s="6"/>
      <c r="W929" s="6"/>
      <c r="X929" s="6"/>
      <c r="Y929" s="6"/>
      <c r="Z929" s="6"/>
      <c r="AA929" s="6"/>
      <c r="AB929" s="6"/>
      <c r="AC929" s="6"/>
      <c r="AD929" s="7"/>
    </row>
    <row r="930" spans="1:30" ht="13">
      <c r="A930" s="20"/>
      <c r="B930" s="20"/>
      <c r="C930" s="23"/>
      <c r="D930" s="17"/>
      <c r="E930" s="6"/>
      <c r="F930" s="6"/>
      <c r="G930" s="6"/>
      <c r="H930" s="6"/>
      <c r="I930" s="17"/>
      <c r="J930" s="6"/>
      <c r="K930" s="6"/>
      <c r="L930" s="17"/>
      <c r="M930" s="6"/>
      <c r="N930" s="6"/>
      <c r="O930" s="6"/>
      <c r="P930" s="6"/>
      <c r="Q930" s="6"/>
      <c r="R930" s="6"/>
      <c r="S930" s="6"/>
      <c r="T930" s="6"/>
      <c r="U930" s="6"/>
      <c r="V930" s="6"/>
      <c r="W930" s="6"/>
      <c r="X930" s="6"/>
      <c r="Y930" s="6"/>
      <c r="Z930" s="6"/>
      <c r="AA930" s="6"/>
      <c r="AB930" s="6"/>
      <c r="AC930" s="6"/>
      <c r="AD930" s="7"/>
    </row>
    <row r="931" spans="1:30" ht="13">
      <c r="A931" s="20"/>
      <c r="B931" s="20"/>
      <c r="C931" s="23"/>
      <c r="D931" s="17"/>
      <c r="E931" s="6"/>
      <c r="F931" s="6"/>
      <c r="G931" s="6"/>
      <c r="H931" s="6"/>
      <c r="I931" s="17"/>
      <c r="J931" s="6"/>
      <c r="K931" s="6"/>
      <c r="L931" s="17"/>
      <c r="M931" s="6"/>
      <c r="N931" s="6"/>
      <c r="O931" s="6"/>
      <c r="P931" s="6"/>
      <c r="Q931" s="6"/>
      <c r="R931" s="6"/>
      <c r="S931" s="6"/>
      <c r="T931" s="6"/>
      <c r="U931" s="6"/>
      <c r="V931" s="6"/>
      <c r="W931" s="6"/>
      <c r="X931" s="6"/>
      <c r="Y931" s="6"/>
      <c r="Z931" s="6"/>
      <c r="AA931" s="6"/>
      <c r="AB931" s="6"/>
      <c r="AC931" s="6"/>
      <c r="AD931" s="7"/>
    </row>
    <row r="932" spans="1:30" ht="13">
      <c r="A932" s="20"/>
      <c r="B932" s="20"/>
      <c r="C932" s="23"/>
      <c r="D932" s="17"/>
      <c r="E932" s="6"/>
      <c r="F932" s="6"/>
      <c r="G932" s="6"/>
      <c r="H932" s="6"/>
      <c r="I932" s="17"/>
      <c r="J932" s="6"/>
      <c r="K932" s="6"/>
      <c r="L932" s="17"/>
      <c r="M932" s="6"/>
      <c r="N932" s="6"/>
      <c r="O932" s="6"/>
      <c r="P932" s="6"/>
      <c r="Q932" s="6"/>
      <c r="R932" s="6"/>
      <c r="S932" s="6"/>
      <c r="T932" s="6"/>
      <c r="U932" s="6"/>
      <c r="V932" s="6"/>
      <c r="W932" s="6"/>
      <c r="X932" s="6"/>
      <c r="Y932" s="6"/>
      <c r="Z932" s="6"/>
      <c r="AA932" s="6"/>
      <c r="AB932" s="6"/>
      <c r="AC932" s="6"/>
      <c r="AD932" s="7"/>
    </row>
    <row r="933" spans="1:30" ht="13">
      <c r="A933" s="20"/>
      <c r="B933" s="20"/>
      <c r="C933" s="23"/>
      <c r="D933" s="17"/>
      <c r="E933" s="6"/>
      <c r="F933" s="6"/>
      <c r="G933" s="6"/>
      <c r="H933" s="6"/>
      <c r="I933" s="17"/>
      <c r="J933" s="6"/>
      <c r="K933" s="6"/>
      <c r="L933" s="17"/>
      <c r="M933" s="6"/>
      <c r="N933" s="6"/>
      <c r="O933" s="6"/>
      <c r="P933" s="6"/>
      <c r="Q933" s="6"/>
      <c r="R933" s="6"/>
      <c r="S933" s="6"/>
      <c r="T933" s="6"/>
      <c r="U933" s="6"/>
      <c r="V933" s="6"/>
      <c r="W933" s="6"/>
      <c r="X933" s="6"/>
      <c r="Y933" s="6"/>
      <c r="Z933" s="6"/>
      <c r="AA933" s="6"/>
      <c r="AB933" s="6"/>
      <c r="AC933" s="6"/>
      <c r="AD933" s="7"/>
    </row>
    <row r="934" spans="1:30" ht="13">
      <c r="A934" s="20"/>
      <c r="B934" s="20"/>
      <c r="C934" s="23"/>
      <c r="D934" s="17"/>
      <c r="E934" s="6"/>
      <c r="F934" s="6"/>
      <c r="G934" s="6"/>
      <c r="H934" s="6"/>
      <c r="I934" s="17"/>
      <c r="J934" s="6"/>
      <c r="K934" s="6"/>
      <c r="L934" s="17"/>
      <c r="M934" s="6"/>
      <c r="N934" s="6"/>
      <c r="O934" s="6"/>
      <c r="P934" s="6"/>
      <c r="Q934" s="6"/>
      <c r="R934" s="6"/>
      <c r="S934" s="6"/>
      <c r="T934" s="6"/>
      <c r="U934" s="6"/>
      <c r="V934" s="6"/>
      <c r="W934" s="6"/>
      <c r="X934" s="6"/>
      <c r="Y934" s="6"/>
      <c r="Z934" s="6"/>
      <c r="AA934" s="6"/>
      <c r="AB934" s="6"/>
      <c r="AC934" s="6"/>
      <c r="AD934" s="7"/>
    </row>
    <row r="935" spans="1:30" ht="13">
      <c r="A935" s="20"/>
      <c r="B935" s="20"/>
      <c r="C935" s="23"/>
      <c r="D935" s="17"/>
      <c r="E935" s="6"/>
      <c r="F935" s="6"/>
      <c r="G935" s="6"/>
      <c r="H935" s="6"/>
      <c r="I935" s="17"/>
      <c r="J935" s="6"/>
      <c r="K935" s="6"/>
      <c r="L935" s="17"/>
      <c r="M935" s="6"/>
      <c r="N935" s="6"/>
      <c r="O935" s="6"/>
      <c r="P935" s="6"/>
      <c r="Q935" s="6"/>
      <c r="R935" s="6"/>
      <c r="S935" s="6"/>
      <c r="T935" s="6"/>
      <c r="U935" s="6"/>
      <c r="V935" s="6"/>
      <c r="W935" s="6"/>
      <c r="X935" s="6"/>
      <c r="Y935" s="6"/>
      <c r="Z935" s="6"/>
      <c r="AA935" s="6"/>
      <c r="AB935" s="6"/>
      <c r="AC935" s="6"/>
      <c r="AD935" s="7"/>
    </row>
    <row r="936" spans="1:30" ht="13">
      <c r="A936" s="20"/>
      <c r="B936" s="20"/>
      <c r="C936" s="23"/>
      <c r="D936" s="17"/>
      <c r="E936" s="6"/>
      <c r="F936" s="6"/>
      <c r="G936" s="6"/>
      <c r="H936" s="6"/>
      <c r="I936" s="17"/>
      <c r="J936" s="6"/>
      <c r="K936" s="6"/>
      <c r="L936" s="17"/>
      <c r="M936" s="6"/>
      <c r="N936" s="6"/>
      <c r="O936" s="6"/>
      <c r="P936" s="6"/>
      <c r="Q936" s="6"/>
      <c r="R936" s="6"/>
      <c r="S936" s="6"/>
      <c r="T936" s="6"/>
      <c r="U936" s="6"/>
      <c r="V936" s="6"/>
      <c r="W936" s="6"/>
      <c r="X936" s="6"/>
      <c r="Y936" s="6"/>
      <c r="Z936" s="6"/>
      <c r="AA936" s="6"/>
      <c r="AB936" s="6"/>
      <c r="AC936" s="6"/>
      <c r="AD936" s="7"/>
    </row>
    <row r="937" spans="1:30" ht="13">
      <c r="A937" s="20"/>
      <c r="B937" s="20"/>
      <c r="C937" s="23"/>
      <c r="D937" s="17"/>
      <c r="E937" s="6"/>
      <c r="F937" s="6"/>
      <c r="G937" s="6"/>
      <c r="H937" s="6"/>
      <c r="I937" s="17"/>
      <c r="J937" s="6"/>
      <c r="K937" s="6"/>
      <c r="L937" s="17"/>
      <c r="M937" s="6"/>
      <c r="N937" s="6"/>
      <c r="O937" s="6"/>
      <c r="P937" s="6"/>
      <c r="Q937" s="6"/>
      <c r="R937" s="6"/>
      <c r="S937" s="6"/>
      <c r="T937" s="6"/>
      <c r="U937" s="6"/>
      <c r="V937" s="6"/>
      <c r="W937" s="6"/>
      <c r="X937" s="6"/>
      <c r="Y937" s="6"/>
      <c r="Z937" s="6"/>
      <c r="AA937" s="6"/>
      <c r="AB937" s="6"/>
      <c r="AC937" s="6"/>
      <c r="AD937" s="7"/>
    </row>
    <row r="938" spans="1:30" ht="13">
      <c r="A938" s="20"/>
      <c r="B938" s="20"/>
      <c r="C938" s="23"/>
      <c r="D938" s="17"/>
      <c r="E938" s="6"/>
      <c r="F938" s="6"/>
      <c r="G938" s="6"/>
      <c r="H938" s="6"/>
      <c r="I938" s="17"/>
      <c r="J938" s="6"/>
      <c r="K938" s="6"/>
      <c r="L938" s="17"/>
      <c r="M938" s="6"/>
      <c r="N938" s="6"/>
      <c r="O938" s="6"/>
      <c r="P938" s="6"/>
      <c r="Q938" s="6"/>
      <c r="R938" s="6"/>
      <c r="S938" s="6"/>
      <c r="T938" s="6"/>
      <c r="U938" s="6"/>
      <c r="V938" s="6"/>
      <c r="W938" s="6"/>
      <c r="X938" s="6"/>
      <c r="Y938" s="6"/>
      <c r="Z938" s="6"/>
      <c r="AA938" s="6"/>
      <c r="AB938" s="6"/>
      <c r="AC938" s="6"/>
      <c r="AD938" s="7"/>
    </row>
    <row r="939" spans="1:30" ht="13">
      <c r="A939" s="20"/>
      <c r="B939" s="20"/>
      <c r="C939" s="23"/>
      <c r="D939" s="17"/>
      <c r="E939" s="6"/>
      <c r="F939" s="6"/>
      <c r="G939" s="6"/>
      <c r="H939" s="6"/>
      <c r="I939" s="17"/>
      <c r="J939" s="6"/>
      <c r="K939" s="6"/>
      <c r="L939" s="17"/>
      <c r="M939" s="6"/>
      <c r="N939" s="6"/>
      <c r="O939" s="6"/>
      <c r="P939" s="6"/>
      <c r="Q939" s="6"/>
      <c r="R939" s="6"/>
      <c r="S939" s="6"/>
      <c r="T939" s="6"/>
      <c r="U939" s="6"/>
      <c r="V939" s="6"/>
      <c r="W939" s="6"/>
      <c r="X939" s="6"/>
      <c r="Y939" s="6"/>
      <c r="Z939" s="6"/>
      <c r="AA939" s="6"/>
      <c r="AB939" s="6"/>
      <c r="AC939" s="6"/>
      <c r="AD939" s="7"/>
    </row>
    <row r="940" spans="1:30" ht="13">
      <c r="A940" s="20"/>
      <c r="B940" s="20"/>
      <c r="C940" s="23"/>
      <c r="D940" s="17"/>
      <c r="E940" s="6"/>
      <c r="F940" s="6"/>
      <c r="G940" s="6"/>
      <c r="H940" s="6"/>
      <c r="I940" s="17"/>
      <c r="J940" s="6"/>
      <c r="K940" s="6"/>
      <c r="L940" s="17"/>
      <c r="M940" s="6"/>
      <c r="N940" s="6"/>
      <c r="O940" s="6"/>
      <c r="P940" s="6"/>
      <c r="Q940" s="6"/>
      <c r="R940" s="6"/>
      <c r="S940" s="6"/>
      <c r="T940" s="6"/>
      <c r="U940" s="6"/>
      <c r="V940" s="6"/>
      <c r="W940" s="6"/>
      <c r="X940" s="6"/>
      <c r="Y940" s="6"/>
      <c r="Z940" s="6"/>
      <c r="AA940" s="6"/>
      <c r="AB940" s="6"/>
      <c r="AC940" s="6"/>
      <c r="AD940" s="7"/>
    </row>
    <row r="941" spans="1:30" ht="13">
      <c r="A941" s="20"/>
      <c r="B941" s="20"/>
      <c r="C941" s="23"/>
      <c r="D941" s="17"/>
      <c r="E941" s="6"/>
      <c r="F941" s="6"/>
      <c r="G941" s="6"/>
      <c r="H941" s="6"/>
      <c r="I941" s="17"/>
      <c r="J941" s="6"/>
      <c r="K941" s="6"/>
      <c r="L941" s="17"/>
      <c r="M941" s="6"/>
      <c r="N941" s="6"/>
      <c r="O941" s="6"/>
      <c r="P941" s="6"/>
      <c r="Q941" s="6"/>
      <c r="R941" s="6"/>
      <c r="S941" s="6"/>
      <c r="T941" s="6"/>
      <c r="U941" s="6"/>
      <c r="V941" s="6"/>
      <c r="W941" s="6"/>
      <c r="X941" s="6"/>
      <c r="Y941" s="6"/>
      <c r="Z941" s="6"/>
      <c r="AA941" s="6"/>
      <c r="AB941" s="6"/>
      <c r="AC941" s="6"/>
      <c r="AD941" s="7"/>
    </row>
    <row r="942" spans="1:30" ht="13">
      <c r="A942" s="20"/>
      <c r="B942" s="20"/>
      <c r="C942" s="23"/>
      <c r="D942" s="17"/>
      <c r="E942" s="6"/>
      <c r="F942" s="6"/>
      <c r="G942" s="6"/>
      <c r="H942" s="6"/>
      <c r="I942" s="17"/>
      <c r="J942" s="6"/>
      <c r="K942" s="6"/>
      <c r="L942" s="17"/>
      <c r="M942" s="6"/>
      <c r="N942" s="6"/>
      <c r="O942" s="6"/>
      <c r="P942" s="6"/>
      <c r="Q942" s="6"/>
      <c r="R942" s="6"/>
      <c r="S942" s="6"/>
      <c r="T942" s="6"/>
      <c r="U942" s="6"/>
      <c r="V942" s="6"/>
      <c r="W942" s="6"/>
      <c r="X942" s="6"/>
      <c r="Y942" s="6"/>
      <c r="Z942" s="6"/>
      <c r="AA942" s="6"/>
      <c r="AB942" s="6"/>
      <c r="AC942" s="6"/>
      <c r="AD942" s="7"/>
    </row>
    <row r="943" spans="1:30" ht="13">
      <c r="A943" s="20"/>
      <c r="B943" s="20"/>
      <c r="C943" s="23"/>
      <c r="D943" s="17"/>
      <c r="E943" s="6"/>
      <c r="F943" s="6"/>
      <c r="G943" s="6"/>
      <c r="H943" s="6"/>
      <c r="I943" s="17"/>
      <c r="J943" s="6"/>
      <c r="K943" s="6"/>
      <c r="L943" s="17"/>
      <c r="M943" s="6"/>
      <c r="N943" s="6"/>
      <c r="O943" s="6"/>
      <c r="P943" s="6"/>
      <c r="Q943" s="6"/>
      <c r="R943" s="6"/>
      <c r="S943" s="6"/>
      <c r="T943" s="6"/>
      <c r="U943" s="6"/>
      <c r="V943" s="6"/>
      <c r="W943" s="6"/>
      <c r="X943" s="6"/>
      <c r="Y943" s="6"/>
      <c r="Z943" s="6"/>
      <c r="AA943" s="6"/>
      <c r="AB943" s="6"/>
      <c r="AC943" s="6"/>
      <c r="AD943" s="7"/>
    </row>
    <row r="944" spans="1:30" ht="13">
      <c r="A944" s="20"/>
      <c r="B944" s="20"/>
      <c r="C944" s="23"/>
      <c r="D944" s="17"/>
      <c r="E944" s="6"/>
      <c r="F944" s="6"/>
      <c r="G944" s="6"/>
      <c r="H944" s="6"/>
      <c r="I944" s="17"/>
      <c r="J944" s="6"/>
      <c r="K944" s="6"/>
      <c r="L944" s="17"/>
      <c r="M944" s="6"/>
      <c r="N944" s="6"/>
      <c r="O944" s="6"/>
      <c r="P944" s="6"/>
      <c r="Q944" s="6"/>
      <c r="R944" s="6"/>
      <c r="S944" s="6"/>
      <c r="T944" s="6"/>
      <c r="U944" s="6"/>
      <c r="V944" s="6"/>
      <c r="W944" s="6"/>
      <c r="X944" s="6"/>
      <c r="Y944" s="6"/>
      <c r="Z944" s="6"/>
      <c r="AA944" s="6"/>
      <c r="AB944" s="6"/>
      <c r="AC944" s="6"/>
      <c r="AD944" s="7"/>
    </row>
    <row r="945" spans="1:30" ht="13">
      <c r="A945" s="20"/>
      <c r="B945" s="20"/>
      <c r="C945" s="23"/>
      <c r="D945" s="17"/>
      <c r="E945" s="6"/>
      <c r="F945" s="6"/>
      <c r="G945" s="6"/>
      <c r="H945" s="6"/>
      <c r="I945" s="17"/>
      <c r="J945" s="6"/>
      <c r="K945" s="6"/>
      <c r="L945" s="17"/>
      <c r="M945" s="6"/>
      <c r="N945" s="6"/>
      <c r="O945" s="6"/>
      <c r="P945" s="6"/>
      <c r="Q945" s="6"/>
      <c r="R945" s="6"/>
      <c r="S945" s="6"/>
      <c r="T945" s="6"/>
      <c r="U945" s="6"/>
      <c r="V945" s="6"/>
      <c r="W945" s="6"/>
      <c r="X945" s="6"/>
      <c r="Y945" s="6"/>
      <c r="Z945" s="6"/>
      <c r="AA945" s="6"/>
      <c r="AB945" s="6"/>
      <c r="AC945" s="6"/>
      <c r="AD945" s="7"/>
    </row>
    <row r="946" spans="1:30" ht="13">
      <c r="A946" s="20"/>
      <c r="B946" s="20"/>
      <c r="C946" s="23"/>
      <c r="D946" s="17"/>
      <c r="E946" s="6"/>
      <c r="F946" s="6"/>
      <c r="G946" s="6"/>
      <c r="H946" s="6"/>
      <c r="I946" s="17"/>
      <c r="J946" s="6"/>
      <c r="K946" s="6"/>
      <c r="L946" s="17"/>
      <c r="M946" s="6"/>
      <c r="N946" s="6"/>
      <c r="O946" s="6"/>
      <c r="P946" s="6"/>
      <c r="Q946" s="6"/>
      <c r="R946" s="6"/>
      <c r="S946" s="6"/>
      <c r="T946" s="6"/>
      <c r="U946" s="6"/>
      <c r="V946" s="6"/>
      <c r="W946" s="6"/>
      <c r="X946" s="6"/>
      <c r="Y946" s="6"/>
      <c r="Z946" s="6"/>
      <c r="AA946" s="6"/>
      <c r="AB946" s="6"/>
      <c r="AC946" s="6"/>
      <c r="AD946" s="7"/>
    </row>
    <row r="947" spans="1:30" ht="13">
      <c r="A947" s="20"/>
      <c r="B947" s="20"/>
      <c r="C947" s="23"/>
      <c r="D947" s="17"/>
      <c r="E947" s="6"/>
      <c r="F947" s="6"/>
      <c r="G947" s="6"/>
      <c r="H947" s="6"/>
      <c r="I947" s="17"/>
      <c r="J947" s="6"/>
      <c r="K947" s="6"/>
      <c r="L947" s="17"/>
      <c r="M947" s="6"/>
      <c r="N947" s="6"/>
      <c r="O947" s="6"/>
      <c r="P947" s="6"/>
      <c r="Q947" s="6"/>
      <c r="R947" s="6"/>
      <c r="S947" s="6"/>
      <c r="T947" s="6"/>
      <c r="U947" s="6"/>
      <c r="V947" s="6"/>
      <c r="W947" s="6"/>
      <c r="X947" s="6"/>
      <c r="Y947" s="6"/>
      <c r="Z947" s="6"/>
      <c r="AA947" s="6"/>
      <c r="AB947" s="6"/>
      <c r="AC947" s="6"/>
      <c r="AD947" s="7"/>
    </row>
    <row r="948" spans="1:30" ht="13">
      <c r="A948" s="20"/>
      <c r="B948" s="20"/>
      <c r="C948" s="23"/>
      <c r="D948" s="17"/>
      <c r="E948" s="6"/>
      <c r="F948" s="6"/>
      <c r="G948" s="6"/>
      <c r="H948" s="6"/>
      <c r="I948" s="17"/>
      <c r="J948" s="6"/>
      <c r="K948" s="6"/>
      <c r="L948" s="17"/>
      <c r="M948" s="6"/>
      <c r="N948" s="6"/>
      <c r="O948" s="6"/>
      <c r="P948" s="6"/>
      <c r="Q948" s="6"/>
      <c r="R948" s="6"/>
      <c r="S948" s="6"/>
      <c r="T948" s="6"/>
      <c r="U948" s="6"/>
      <c r="V948" s="6"/>
      <c r="W948" s="6"/>
      <c r="X948" s="6"/>
      <c r="Y948" s="6"/>
      <c r="Z948" s="6"/>
      <c r="AA948" s="6"/>
      <c r="AB948" s="6"/>
      <c r="AC948" s="6"/>
      <c r="AD948" s="7"/>
    </row>
    <row r="949" spans="1:30" ht="13">
      <c r="A949" s="20"/>
      <c r="B949" s="20"/>
      <c r="C949" s="23"/>
      <c r="D949" s="17"/>
      <c r="E949" s="6"/>
      <c r="F949" s="6"/>
      <c r="G949" s="6"/>
      <c r="H949" s="6"/>
      <c r="I949" s="17"/>
      <c r="J949" s="6"/>
      <c r="K949" s="6"/>
      <c r="L949" s="17"/>
      <c r="M949" s="6"/>
      <c r="N949" s="6"/>
      <c r="O949" s="6"/>
      <c r="P949" s="6"/>
      <c r="Q949" s="6"/>
      <c r="R949" s="6"/>
      <c r="S949" s="6"/>
      <c r="T949" s="6"/>
      <c r="U949" s="6"/>
      <c r="V949" s="6"/>
      <c r="W949" s="6"/>
      <c r="X949" s="6"/>
      <c r="Y949" s="6"/>
      <c r="Z949" s="6"/>
      <c r="AA949" s="6"/>
      <c r="AB949" s="6"/>
      <c r="AC949" s="6"/>
      <c r="AD949" s="7"/>
    </row>
    <row r="950" spans="1:30" ht="13">
      <c r="A950" s="20"/>
      <c r="B950" s="20"/>
      <c r="C950" s="23"/>
      <c r="D950" s="17"/>
      <c r="E950" s="6"/>
      <c r="F950" s="6"/>
      <c r="G950" s="6"/>
      <c r="H950" s="6"/>
      <c r="I950" s="17"/>
      <c r="J950" s="6"/>
      <c r="K950" s="6"/>
      <c r="L950" s="17"/>
      <c r="M950" s="6"/>
      <c r="N950" s="6"/>
      <c r="O950" s="6"/>
      <c r="P950" s="6"/>
      <c r="Q950" s="6"/>
      <c r="R950" s="6"/>
      <c r="S950" s="6"/>
      <c r="T950" s="6"/>
      <c r="U950" s="6"/>
      <c r="V950" s="6"/>
      <c r="W950" s="6"/>
      <c r="X950" s="6"/>
      <c r="Y950" s="6"/>
      <c r="Z950" s="6"/>
      <c r="AA950" s="6"/>
      <c r="AB950" s="6"/>
      <c r="AC950" s="6"/>
      <c r="AD950" s="7"/>
    </row>
    <row r="951" spans="1:30" ht="13">
      <c r="A951" s="20"/>
      <c r="B951" s="20"/>
      <c r="C951" s="23"/>
      <c r="D951" s="17"/>
      <c r="E951" s="6"/>
      <c r="F951" s="6"/>
      <c r="G951" s="6"/>
      <c r="H951" s="6"/>
      <c r="I951" s="17"/>
      <c r="J951" s="6"/>
      <c r="K951" s="6"/>
      <c r="L951" s="17"/>
      <c r="M951" s="6"/>
      <c r="N951" s="6"/>
      <c r="O951" s="6"/>
      <c r="P951" s="6"/>
      <c r="Q951" s="6"/>
      <c r="R951" s="6"/>
      <c r="S951" s="6"/>
      <c r="T951" s="6"/>
      <c r="U951" s="6"/>
      <c r="V951" s="6"/>
      <c r="W951" s="6"/>
      <c r="X951" s="6"/>
      <c r="Y951" s="6"/>
      <c r="Z951" s="6"/>
      <c r="AA951" s="6"/>
      <c r="AB951" s="6"/>
      <c r="AC951" s="6"/>
      <c r="AD951" s="7"/>
    </row>
    <row r="952" spans="1:30" ht="13">
      <c r="A952" s="20"/>
      <c r="B952" s="20"/>
      <c r="C952" s="23"/>
      <c r="D952" s="17"/>
      <c r="E952" s="6"/>
      <c r="F952" s="6"/>
      <c r="G952" s="6"/>
      <c r="H952" s="6"/>
      <c r="I952" s="17"/>
      <c r="J952" s="6"/>
      <c r="K952" s="6"/>
      <c r="L952" s="17"/>
      <c r="M952" s="6"/>
      <c r="N952" s="6"/>
      <c r="O952" s="6"/>
      <c r="P952" s="6"/>
      <c r="Q952" s="6"/>
      <c r="R952" s="6"/>
      <c r="S952" s="6"/>
      <c r="T952" s="6"/>
      <c r="U952" s="6"/>
      <c r="V952" s="6"/>
      <c r="W952" s="6"/>
      <c r="X952" s="6"/>
      <c r="Y952" s="6"/>
      <c r="Z952" s="6"/>
      <c r="AA952" s="6"/>
      <c r="AB952" s="6"/>
      <c r="AC952" s="6"/>
      <c r="AD952" s="7"/>
    </row>
    <row r="953" spans="1:30" ht="13">
      <c r="A953" s="20"/>
      <c r="B953" s="20"/>
      <c r="C953" s="23"/>
      <c r="D953" s="17"/>
      <c r="E953" s="6"/>
      <c r="F953" s="6"/>
      <c r="G953" s="6"/>
      <c r="H953" s="6"/>
      <c r="I953" s="17"/>
      <c r="J953" s="6"/>
      <c r="K953" s="6"/>
      <c r="L953" s="17"/>
      <c r="M953" s="6"/>
      <c r="N953" s="6"/>
      <c r="O953" s="6"/>
      <c r="P953" s="6"/>
      <c r="Q953" s="6"/>
      <c r="R953" s="6"/>
      <c r="S953" s="6"/>
      <c r="T953" s="6"/>
      <c r="U953" s="6"/>
      <c r="V953" s="6"/>
      <c r="W953" s="6"/>
      <c r="X953" s="6"/>
      <c r="Y953" s="6"/>
      <c r="Z953" s="6"/>
      <c r="AA953" s="6"/>
      <c r="AB953" s="6"/>
      <c r="AC953" s="6"/>
      <c r="AD953" s="7"/>
    </row>
    <row r="954" spans="1:30" ht="13">
      <c r="A954" s="20"/>
      <c r="B954" s="20"/>
      <c r="C954" s="23"/>
      <c r="D954" s="17"/>
      <c r="E954" s="6"/>
      <c r="F954" s="6"/>
      <c r="G954" s="6"/>
      <c r="H954" s="6"/>
      <c r="I954" s="17"/>
      <c r="J954" s="6"/>
      <c r="K954" s="6"/>
      <c r="L954" s="17"/>
      <c r="M954" s="6"/>
      <c r="N954" s="6"/>
      <c r="O954" s="6"/>
      <c r="P954" s="6"/>
      <c r="Q954" s="6"/>
      <c r="R954" s="6"/>
      <c r="S954" s="6"/>
      <c r="T954" s="6"/>
      <c r="U954" s="6"/>
      <c r="V954" s="6"/>
      <c r="W954" s="6"/>
      <c r="X954" s="6"/>
      <c r="Y954" s="6"/>
      <c r="Z954" s="6"/>
      <c r="AA954" s="6"/>
      <c r="AB954" s="6"/>
      <c r="AC954" s="6"/>
      <c r="AD954" s="7"/>
    </row>
    <row r="955" spans="1:30" ht="13">
      <c r="A955" s="20"/>
      <c r="B955" s="20"/>
      <c r="C955" s="23"/>
      <c r="D955" s="17"/>
      <c r="E955" s="6"/>
      <c r="F955" s="6"/>
      <c r="G955" s="6"/>
      <c r="H955" s="6"/>
      <c r="I955" s="17"/>
      <c r="J955" s="6"/>
      <c r="K955" s="6"/>
      <c r="L955" s="17"/>
      <c r="M955" s="6"/>
      <c r="N955" s="6"/>
      <c r="O955" s="6"/>
      <c r="P955" s="6"/>
      <c r="Q955" s="6"/>
      <c r="R955" s="6"/>
      <c r="S955" s="6"/>
      <c r="T955" s="6"/>
      <c r="U955" s="6"/>
      <c r="V955" s="6"/>
      <c r="W955" s="6"/>
      <c r="X955" s="6"/>
      <c r="Y955" s="6"/>
      <c r="Z955" s="6"/>
      <c r="AA955" s="6"/>
      <c r="AB955" s="6"/>
      <c r="AC955" s="6"/>
      <c r="AD955" s="7"/>
    </row>
    <row r="956" spans="1:30" ht="13">
      <c r="A956" s="20"/>
      <c r="B956" s="20"/>
      <c r="C956" s="23"/>
      <c r="D956" s="17"/>
      <c r="E956" s="6"/>
      <c r="F956" s="6"/>
      <c r="G956" s="6"/>
      <c r="H956" s="6"/>
      <c r="I956" s="17"/>
      <c r="J956" s="6"/>
      <c r="K956" s="6"/>
      <c r="L956" s="17"/>
      <c r="M956" s="6"/>
      <c r="N956" s="6"/>
      <c r="O956" s="6"/>
      <c r="P956" s="6"/>
      <c r="Q956" s="6"/>
      <c r="R956" s="6"/>
      <c r="S956" s="6"/>
      <c r="T956" s="6"/>
      <c r="U956" s="6"/>
      <c r="V956" s="6"/>
      <c r="W956" s="6"/>
      <c r="X956" s="6"/>
      <c r="Y956" s="6"/>
      <c r="Z956" s="6"/>
      <c r="AA956" s="6"/>
      <c r="AB956" s="6"/>
      <c r="AC956" s="6"/>
      <c r="AD956" s="7"/>
    </row>
    <row r="957" spans="1:30" ht="13">
      <c r="A957" s="20"/>
      <c r="B957" s="20"/>
      <c r="C957" s="23"/>
      <c r="D957" s="17"/>
      <c r="E957" s="6"/>
      <c r="F957" s="6"/>
      <c r="G957" s="6"/>
      <c r="H957" s="6"/>
      <c r="I957" s="17"/>
      <c r="J957" s="6"/>
      <c r="K957" s="6"/>
      <c r="L957" s="17"/>
      <c r="M957" s="6"/>
      <c r="N957" s="6"/>
      <c r="O957" s="6"/>
      <c r="P957" s="6"/>
      <c r="Q957" s="6"/>
      <c r="R957" s="6"/>
      <c r="S957" s="6"/>
      <c r="T957" s="6"/>
      <c r="U957" s="6"/>
      <c r="V957" s="6"/>
      <c r="W957" s="6"/>
      <c r="X957" s="6"/>
      <c r="Y957" s="6"/>
      <c r="Z957" s="6"/>
      <c r="AA957" s="6"/>
      <c r="AB957" s="6"/>
      <c r="AC957" s="6"/>
      <c r="AD957" s="7"/>
    </row>
    <row r="958" spans="1:30" ht="13">
      <c r="A958" s="20"/>
      <c r="B958" s="20"/>
      <c r="C958" s="23"/>
      <c r="D958" s="17"/>
      <c r="E958" s="6"/>
      <c r="F958" s="6"/>
      <c r="G958" s="6"/>
      <c r="H958" s="6"/>
      <c r="I958" s="17"/>
      <c r="J958" s="6"/>
      <c r="K958" s="6"/>
      <c r="L958" s="17"/>
      <c r="M958" s="6"/>
      <c r="N958" s="6"/>
      <c r="O958" s="6"/>
      <c r="P958" s="6"/>
      <c r="Q958" s="6"/>
      <c r="R958" s="6"/>
      <c r="S958" s="6"/>
      <c r="T958" s="6"/>
      <c r="U958" s="6"/>
      <c r="V958" s="6"/>
      <c r="W958" s="6"/>
      <c r="X958" s="6"/>
      <c r="Y958" s="6"/>
      <c r="Z958" s="6"/>
      <c r="AA958" s="6"/>
      <c r="AB958" s="6"/>
      <c r="AC958" s="6"/>
      <c r="AD958" s="7"/>
    </row>
    <row r="959" spans="1:30" ht="13">
      <c r="A959" s="20"/>
      <c r="B959" s="20"/>
      <c r="C959" s="23"/>
      <c r="D959" s="17"/>
      <c r="E959" s="6"/>
      <c r="F959" s="6"/>
      <c r="G959" s="6"/>
      <c r="H959" s="6"/>
      <c r="I959" s="17"/>
      <c r="J959" s="6"/>
      <c r="K959" s="6"/>
      <c r="L959" s="17"/>
      <c r="M959" s="6"/>
      <c r="N959" s="6"/>
      <c r="O959" s="6"/>
      <c r="P959" s="6"/>
      <c r="Q959" s="6"/>
      <c r="R959" s="6"/>
      <c r="S959" s="6"/>
      <c r="T959" s="6"/>
      <c r="U959" s="6"/>
      <c r="V959" s="6"/>
      <c r="W959" s="6"/>
      <c r="X959" s="6"/>
      <c r="Y959" s="6"/>
      <c r="Z959" s="6"/>
      <c r="AA959" s="6"/>
      <c r="AB959" s="6"/>
      <c r="AC959" s="6"/>
      <c r="AD959" s="7"/>
    </row>
    <row r="960" spans="1:30" ht="13">
      <c r="A960" s="20"/>
      <c r="B960" s="20"/>
      <c r="C960" s="23"/>
      <c r="D960" s="17"/>
      <c r="E960" s="6"/>
      <c r="F960" s="6"/>
      <c r="G960" s="6"/>
      <c r="H960" s="6"/>
      <c r="I960" s="17"/>
      <c r="J960" s="6"/>
      <c r="K960" s="6"/>
      <c r="L960" s="17"/>
      <c r="M960" s="6"/>
      <c r="N960" s="6"/>
      <c r="O960" s="6"/>
      <c r="P960" s="6"/>
      <c r="Q960" s="6"/>
      <c r="R960" s="6"/>
      <c r="S960" s="6"/>
      <c r="T960" s="6"/>
      <c r="U960" s="6"/>
      <c r="V960" s="6"/>
      <c r="W960" s="6"/>
      <c r="X960" s="6"/>
      <c r="Y960" s="6"/>
      <c r="Z960" s="6"/>
      <c r="AA960" s="6"/>
      <c r="AB960" s="6"/>
      <c r="AC960" s="6"/>
      <c r="AD960" s="7"/>
    </row>
    <row r="961" spans="1:30" ht="13">
      <c r="A961" s="20"/>
      <c r="B961" s="20"/>
      <c r="C961" s="23"/>
      <c r="D961" s="17"/>
      <c r="E961" s="6"/>
      <c r="F961" s="6"/>
      <c r="G961" s="6"/>
      <c r="H961" s="6"/>
      <c r="I961" s="17"/>
      <c r="J961" s="6"/>
      <c r="K961" s="6"/>
      <c r="L961" s="17"/>
      <c r="M961" s="6"/>
      <c r="N961" s="6"/>
      <c r="O961" s="6"/>
      <c r="P961" s="6"/>
      <c r="Q961" s="6"/>
      <c r="R961" s="6"/>
      <c r="S961" s="6"/>
      <c r="T961" s="6"/>
      <c r="U961" s="6"/>
      <c r="V961" s="6"/>
      <c r="W961" s="6"/>
      <c r="X961" s="6"/>
      <c r="Y961" s="6"/>
      <c r="Z961" s="6"/>
      <c r="AA961" s="6"/>
      <c r="AB961" s="6"/>
      <c r="AC961" s="6"/>
      <c r="AD961" s="7"/>
    </row>
    <row r="962" spans="1:30" ht="13">
      <c r="A962" s="20"/>
      <c r="B962" s="20"/>
      <c r="C962" s="23"/>
      <c r="D962" s="17"/>
      <c r="E962" s="6"/>
      <c r="F962" s="6"/>
      <c r="G962" s="6"/>
      <c r="H962" s="6"/>
      <c r="I962" s="17"/>
      <c r="J962" s="6"/>
      <c r="K962" s="6"/>
      <c r="L962" s="17"/>
      <c r="M962" s="6"/>
      <c r="N962" s="6"/>
      <c r="O962" s="6"/>
      <c r="P962" s="6"/>
      <c r="Q962" s="6"/>
      <c r="R962" s="6"/>
      <c r="S962" s="6"/>
      <c r="T962" s="6"/>
      <c r="U962" s="6"/>
      <c r="V962" s="6"/>
      <c r="W962" s="6"/>
      <c r="X962" s="6"/>
      <c r="Y962" s="6"/>
      <c r="Z962" s="6"/>
      <c r="AA962" s="6"/>
      <c r="AB962" s="6"/>
      <c r="AC962" s="6"/>
      <c r="AD962" s="7"/>
    </row>
    <row r="963" spans="1:30" ht="13">
      <c r="A963" s="20"/>
      <c r="B963" s="20"/>
      <c r="C963" s="23"/>
      <c r="D963" s="17"/>
      <c r="E963" s="6"/>
      <c r="F963" s="6"/>
      <c r="G963" s="6"/>
      <c r="H963" s="6"/>
      <c r="I963" s="17"/>
      <c r="J963" s="6"/>
      <c r="K963" s="6"/>
      <c r="L963" s="17"/>
      <c r="M963" s="6"/>
      <c r="N963" s="6"/>
      <c r="O963" s="6"/>
      <c r="P963" s="6"/>
      <c r="Q963" s="6"/>
      <c r="R963" s="6"/>
      <c r="S963" s="6"/>
      <c r="T963" s="6"/>
      <c r="U963" s="6"/>
      <c r="V963" s="6"/>
      <c r="W963" s="6"/>
      <c r="X963" s="6"/>
      <c r="Y963" s="6"/>
      <c r="Z963" s="6"/>
      <c r="AA963" s="6"/>
      <c r="AB963" s="6"/>
      <c r="AC963" s="6"/>
      <c r="AD963" s="7"/>
    </row>
    <row r="964" spans="1:30" ht="13">
      <c r="A964" s="20"/>
      <c r="B964" s="20"/>
      <c r="C964" s="23"/>
      <c r="D964" s="17"/>
      <c r="E964" s="6"/>
      <c r="F964" s="6"/>
      <c r="G964" s="6"/>
      <c r="H964" s="6"/>
      <c r="I964" s="17"/>
      <c r="J964" s="6"/>
      <c r="K964" s="6"/>
      <c r="L964" s="17"/>
      <c r="M964" s="6"/>
      <c r="N964" s="6"/>
      <c r="O964" s="6"/>
      <c r="P964" s="6"/>
      <c r="Q964" s="6"/>
      <c r="R964" s="6"/>
      <c r="S964" s="6"/>
      <c r="T964" s="6"/>
      <c r="U964" s="6"/>
      <c r="V964" s="6"/>
      <c r="W964" s="6"/>
      <c r="X964" s="6"/>
      <c r="Y964" s="6"/>
      <c r="Z964" s="6"/>
      <c r="AA964" s="6"/>
      <c r="AB964" s="6"/>
      <c r="AC964" s="6"/>
      <c r="AD964" s="7"/>
    </row>
    <row r="965" spans="1:30" ht="13">
      <c r="A965" s="20"/>
      <c r="B965" s="20"/>
      <c r="C965" s="23"/>
      <c r="D965" s="17"/>
      <c r="E965" s="6"/>
      <c r="F965" s="6"/>
      <c r="G965" s="6"/>
      <c r="H965" s="6"/>
      <c r="I965" s="17"/>
      <c r="J965" s="6"/>
      <c r="K965" s="6"/>
      <c r="L965" s="17"/>
      <c r="M965" s="6"/>
      <c r="N965" s="6"/>
      <c r="O965" s="6"/>
      <c r="P965" s="6"/>
      <c r="Q965" s="6"/>
      <c r="R965" s="6"/>
      <c r="S965" s="6"/>
      <c r="T965" s="6"/>
      <c r="U965" s="6"/>
      <c r="V965" s="6"/>
      <c r="W965" s="6"/>
      <c r="X965" s="6"/>
      <c r="Y965" s="6"/>
      <c r="Z965" s="6"/>
      <c r="AA965" s="6"/>
      <c r="AB965" s="6"/>
      <c r="AC965" s="6"/>
      <c r="AD965" s="7"/>
    </row>
    <row r="966" spans="1:30" ht="13">
      <c r="A966" s="20"/>
      <c r="B966" s="20"/>
      <c r="C966" s="23"/>
      <c r="D966" s="17"/>
      <c r="E966" s="6"/>
      <c r="F966" s="6"/>
      <c r="G966" s="6"/>
      <c r="H966" s="6"/>
      <c r="I966" s="17"/>
      <c r="J966" s="6"/>
      <c r="K966" s="6"/>
      <c r="L966" s="17"/>
      <c r="M966" s="6"/>
      <c r="N966" s="6"/>
      <c r="O966" s="6"/>
      <c r="P966" s="6"/>
      <c r="Q966" s="6"/>
      <c r="R966" s="6"/>
      <c r="S966" s="6"/>
      <c r="T966" s="6"/>
      <c r="U966" s="6"/>
      <c r="V966" s="6"/>
      <c r="W966" s="6"/>
      <c r="X966" s="6"/>
      <c r="Y966" s="6"/>
      <c r="Z966" s="6"/>
      <c r="AA966" s="6"/>
      <c r="AB966" s="6"/>
      <c r="AC966" s="6"/>
      <c r="AD966" s="7"/>
    </row>
    <row r="967" spans="1:30" ht="13">
      <c r="A967" s="20"/>
      <c r="B967" s="20"/>
      <c r="C967" s="23"/>
      <c r="D967" s="17"/>
      <c r="E967" s="6"/>
      <c r="F967" s="6"/>
      <c r="G967" s="6"/>
      <c r="H967" s="6"/>
      <c r="I967" s="17"/>
      <c r="J967" s="6"/>
      <c r="K967" s="6"/>
      <c r="L967" s="17"/>
      <c r="M967" s="6"/>
      <c r="N967" s="6"/>
      <c r="O967" s="6"/>
      <c r="P967" s="6"/>
      <c r="Q967" s="6"/>
      <c r="R967" s="6"/>
      <c r="S967" s="6"/>
      <c r="T967" s="6"/>
      <c r="U967" s="6"/>
      <c r="V967" s="6"/>
      <c r="W967" s="6"/>
      <c r="X967" s="6"/>
      <c r="Y967" s="6"/>
      <c r="Z967" s="6"/>
      <c r="AA967" s="6"/>
      <c r="AB967" s="6"/>
      <c r="AC967" s="6"/>
      <c r="AD967" s="7"/>
    </row>
    <row r="968" spans="1:30" ht="13">
      <c r="A968" s="20"/>
      <c r="B968" s="20"/>
      <c r="C968" s="23"/>
      <c r="D968" s="17"/>
      <c r="E968" s="6"/>
      <c r="F968" s="6"/>
      <c r="G968" s="6"/>
      <c r="H968" s="6"/>
      <c r="I968" s="17"/>
      <c r="J968" s="6"/>
      <c r="K968" s="6"/>
      <c r="L968" s="17"/>
      <c r="M968" s="6"/>
      <c r="N968" s="6"/>
      <c r="O968" s="6"/>
      <c r="P968" s="6"/>
      <c r="Q968" s="6"/>
      <c r="R968" s="6"/>
      <c r="S968" s="6"/>
      <c r="T968" s="6"/>
      <c r="U968" s="6"/>
      <c r="V968" s="6"/>
      <c r="W968" s="6"/>
      <c r="X968" s="6"/>
      <c r="Y968" s="6"/>
      <c r="Z968" s="6"/>
      <c r="AA968" s="6"/>
      <c r="AB968" s="6"/>
      <c r="AC968" s="6"/>
      <c r="AD968" s="7"/>
    </row>
    <row r="969" spans="1:30" ht="13">
      <c r="A969" s="20"/>
      <c r="B969" s="20"/>
      <c r="C969" s="23"/>
      <c r="D969" s="17"/>
      <c r="E969" s="6"/>
      <c r="F969" s="6"/>
      <c r="G969" s="6"/>
      <c r="H969" s="6"/>
      <c r="I969" s="17"/>
      <c r="J969" s="6"/>
      <c r="K969" s="6"/>
      <c r="L969" s="17"/>
      <c r="M969" s="6"/>
      <c r="N969" s="6"/>
      <c r="O969" s="6"/>
      <c r="P969" s="6"/>
      <c r="Q969" s="6"/>
      <c r="R969" s="6"/>
      <c r="S969" s="6"/>
      <c r="T969" s="6"/>
      <c r="U969" s="6"/>
      <c r="V969" s="6"/>
      <c r="W969" s="6"/>
      <c r="X969" s="6"/>
      <c r="Y969" s="6"/>
      <c r="Z969" s="6"/>
      <c r="AA969" s="6"/>
      <c r="AB969" s="6"/>
      <c r="AC969" s="6"/>
      <c r="AD969" s="7"/>
    </row>
    <row r="970" spans="1:30" ht="13">
      <c r="A970" s="20"/>
      <c r="B970" s="20"/>
      <c r="C970" s="23"/>
      <c r="D970" s="17"/>
      <c r="E970" s="6"/>
      <c r="F970" s="6"/>
      <c r="G970" s="6"/>
      <c r="H970" s="6"/>
      <c r="I970" s="17"/>
      <c r="J970" s="6"/>
      <c r="K970" s="6"/>
      <c r="L970" s="17"/>
      <c r="M970" s="6"/>
      <c r="N970" s="6"/>
      <c r="O970" s="6"/>
      <c r="P970" s="6"/>
      <c r="Q970" s="6"/>
      <c r="R970" s="6"/>
      <c r="S970" s="6"/>
      <c r="T970" s="6"/>
      <c r="U970" s="6"/>
      <c r="V970" s="6"/>
      <c r="W970" s="6"/>
      <c r="X970" s="6"/>
      <c r="Y970" s="6"/>
      <c r="Z970" s="6"/>
      <c r="AA970" s="6"/>
      <c r="AB970" s="6"/>
      <c r="AC970" s="6"/>
      <c r="AD970" s="7"/>
    </row>
    <row r="971" spans="1:30" ht="13">
      <c r="A971" s="20"/>
      <c r="B971" s="20"/>
      <c r="C971" s="23"/>
      <c r="D971" s="17"/>
      <c r="E971" s="6"/>
      <c r="F971" s="6"/>
      <c r="G971" s="6"/>
      <c r="H971" s="6"/>
      <c r="I971" s="17"/>
      <c r="J971" s="6"/>
      <c r="K971" s="6"/>
      <c r="L971" s="17"/>
      <c r="M971" s="6"/>
      <c r="N971" s="6"/>
      <c r="O971" s="6"/>
      <c r="P971" s="6"/>
      <c r="Q971" s="6"/>
      <c r="R971" s="6"/>
      <c r="S971" s="6"/>
      <c r="T971" s="6"/>
      <c r="U971" s="6"/>
      <c r="V971" s="6"/>
      <c r="W971" s="6"/>
      <c r="X971" s="6"/>
      <c r="Y971" s="6"/>
      <c r="Z971" s="6"/>
      <c r="AA971" s="6"/>
      <c r="AB971" s="6"/>
      <c r="AC971" s="6"/>
      <c r="AD971" s="7"/>
    </row>
    <row r="972" spans="1:30" ht="13">
      <c r="A972" s="20"/>
      <c r="B972" s="20"/>
      <c r="C972" s="23"/>
      <c r="D972" s="17"/>
      <c r="E972" s="6"/>
      <c r="F972" s="6"/>
      <c r="G972" s="6"/>
      <c r="H972" s="6"/>
      <c r="I972" s="17"/>
      <c r="J972" s="6"/>
      <c r="K972" s="6"/>
      <c r="L972" s="17"/>
      <c r="M972" s="6"/>
      <c r="N972" s="6"/>
      <c r="O972" s="6"/>
      <c r="P972" s="6"/>
      <c r="Q972" s="6"/>
      <c r="R972" s="6"/>
      <c r="S972" s="6"/>
      <c r="T972" s="6"/>
      <c r="U972" s="6"/>
      <c r="V972" s="6"/>
      <c r="W972" s="6"/>
      <c r="X972" s="6"/>
      <c r="Y972" s="6"/>
      <c r="Z972" s="6"/>
      <c r="AA972" s="6"/>
      <c r="AB972" s="6"/>
      <c r="AC972" s="6"/>
      <c r="AD972" s="7"/>
    </row>
    <row r="973" spans="1:30" ht="13">
      <c r="A973" s="20"/>
      <c r="B973" s="20"/>
      <c r="C973" s="23"/>
      <c r="D973" s="17"/>
      <c r="E973" s="6"/>
      <c r="F973" s="6"/>
      <c r="G973" s="6"/>
      <c r="H973" s="6"/>
      <c r="I973" s="17"/>
      <c r="J973" s="6"/>
      <c r="K973" s="6"/>
      <c r="L973" s="17"/>
      <c r="M973" s="6"/>
      <c r="N973" s="6"/>
      <c r="O973" s="6"/>
      <c r="P973" s="6"/>
      <c r="Q973" s="6"/>
      <c r="R973" s="6"/>
      <c r="S973" s="6"/>
      <c r="T973" s="6"/>
      <c r="U973" s="6"/>
      <c r="V973" s="6"/>
      <c r="W973" s="6"/>
      <c r="X973" s="6"/>
      <c r="Y973" s="6"/>
      <c r="Z973" s="6"/>
      <c r="AA973" s="6"/>
      <c r="AB973" s="6"/>
      <c r="AC973" s="6"/>
      <c r="AD973" s="7"/>
    </row>
    <row r="974" spans="1:30" ht="13">
      <c r="A974" s="20"/>
      <c r="B974" s="20"/>
      <c r="C974" s="23"/>
      <c r="D974" s="17"/>
      <c r="E974" s="6"/>
      <c r="F974" s="6"/>
      <c r="G974" s="6"/>
      <c r="H974" s="6"/>
      <c r="I974" s="17"/>
      <c r="J974" s="6"/>
      <c r="K974" s="6"/>
      <c r="L974" s="17"/>
      <c r="M974" s="6"/>
      <c r="N974" s="6"/>
      <c r="O974" s="6"/>
      <c r="P974" s="6"/>
      <c r="Q974" s="6"/>
      <c r="R974" s="6"/>
      <c r="S974" s="6"/>
      <c r="T974" s="6"/>
      <c r="U974" s="6"/>
      <c r="V974" s="6"/>
      <c r="W974" s="6"/>
      <c r="X974" s="6"/>
      <c r="Y974" s="6"/>
      <c r="Z974" s="6"/>
      <c r="AA974" s="6"/>
      <c r="AB974" s="6"/>
      <c r="AC974" s="6"/>
      <c r="AD974" s="7"/>
    </row>
    <row r="975" spans="1:30" ht="13">
      <c r="A975" s="20"/>
      <c r="B975" s="20"/>
      <c r="C975" s="23"/>
      <c r="D975" s="17"/>
      <c r="E975" s="6"/>
      <c r="F975" s="6"/>
      <c r="G975" s="6"/>
      <c r="H975" s="6"/>
      <c r="I975" s="17"/>
      <c r="J975" s="6"/>
      <c r="K975" s="6"/>
      <c r="L975" s="17"/>
      <c r="M975" s="6"/>
      <c r="N975" s="6"/>
      <c r="O975" s="6"/>
      <c r="P975" s="6"/>
      <c r="Q975" s="6"/>
      <c r="R975" s="6"/>
      <c r="S975" s="6"/>
      <c r="T975" s="6"/>
      <c r="U975" s="6"/>
      <c r="V975" s="6"/>
      <c r="W975" s="6"/>
      <c r="X975" s="6"/>
      <c r="Y975" s="6"/>
      <c r="Z975" s="6"/>
      <c r="AA975" s="6"/>
      <c r="AB975" s="6"/>
      <c r="AC975" s="6"/>
      <c r="AD975" s="7"/>
    </row>
    <row r="976" spans="1:30" ht="13">
      <c r="A976" s="20"/>
      <c r="B976" s="20"/>
      <c r="C976" s="23"/>
      <c r="D976" s="17"/>
      <c r="E976" s="6"/>
      <c r="F976" s="6"/>
      <c r="G976" s="6"/>
      <c r="H976" s="6"/>
      <c r="I976" s="17"/>
      <c r="J976" s="6"/>
      <c r="K976" s="6"/>
      <c r="L976" s="17"/>
      <c r="M976" s="6"/>
      <c r="N976" s="6"/>
      <c r="O976" s="6"/>
      <c r="P976" s="6"/>
      <c r="Q976" s="6"/>
      <c r="R976" s="6"/>
      <c r="S976" s="6"/>
      <c r="T976" s="6"/>
      <c r="U976" s="6"/>
      <c r="V976" s="6"/>
      <c r="W976" s="6"/>
      <c r="X976" s="6"/>
      <c r="Y976" s="6"/>
      <c r="Z976" s="6"/>
      <c r="AA976" s="6"/>
      <c r="AB976" s="6"/>
      <c r="AC976" s="6"/>
      <c r="AD976" s="7"/>
    </row>
    <row r="977" spans="1:30" ht="13">
      <c r="A977" s="20"/>
      <c r="B977" s="20"/>
      <c r="C977" s="23"/>
      <c r="D977" s="17"/>
      <c r="E977" s="6"/>
      <c r="F977" s="6"/>
      <c r="G977" s="6"/>
      <c r="H977" s="6"/>
      <c r="I977" s="17"/>
      <c r="J977" s="6"/>
      <c r="K977" s="6"/>
      <c r="L977" s="17"/>
      <c r="M977" s="6"/>
      <c r="N977" s="6"/>
      <c r="O977" s="6"/>
      <c r="P977" s="6"/>
      <c r="Q977" s="6"/>
      <c r="R977" s="6"/>
      <c r="S977" s="6"/>
      <c r="T977" s="6"/>
      <c r="U977" s="6"/>
      <c r="V977" s="6"/>
      <c r="W977" s="6"/>
      <c r="X977" s="6"/>
      <c r="Y977" s="6"/>
      <c r="Z977" s="6"/>
      <c r="AA977" s="6"/>
      <c r="AB977" s="6"/>
      <c r="AC977" s="6"/>
      <c r="AD977" s="7"/>
    </row>
    <row r="978" spans="1:30" ht="13">
      <c r="A978" s="20"/>
      <c r="B978" s="20"/>
      <c r="C978" s="23"/>
      <c r="D978" s="17"/>
      <c r="E978" s="6"/>
      <c r="F978" s="6"/>
      <c r="G978" s="6"/>
      <c r="H978" s="6"/>
      <c r="I978" s="17"/>
      <c r="J978" s="6"/>
      <c r="K978" s="6"/>
      <c r="L978" s="17"/>
      <c r="M978" s="6"/>
      <c r="N978" s="6"/>
      <c r="O978" s="6"/>
      <c r="P978" s="6"/>
      <c r="Q978" s="6"/>
      <c r="R978" s="6"/>
      <c r="S978" s="6"/>
      <c r="T978" s="6"/>
      <c r="U978" s="6"/>
      <c r="V978" s="6"/>
      <c r="W978" s="6"/>
      <c r="X978" s="6"/>
      <c r="Y978" s="6"/>
      <c r="Z978" s="6"/>
      <c r="AA978" s="6"/>
      <c r="AB978" s="6"/>
      <c r="AC978" s="6"/>
      <c r="AD978" s="7"/>
    </row>
    <row r="979" spans="1:30" ht="13">
      <c r="A979" s="20"/>
      <c r="B979" s="20"/>
      <c r="C979" s="23"/>
      <c r="D979" s="17"/>
      <c r="E979" s="6"/>
      <c r="F979" s="6"/>
      <c r="G979" s="6"/>
      <c r="H979" s="6"/>
      <c r="I979" s="17"/>
      <c r="J979" s="6"/>
      <c r="K979" s="6"/>
      <c r="L979" s="17"/>
      <c r="M979" s="6"/>
      <c r="N979" s="6"/>
      <c r="O979" s="6"/>
      <c r="P979" s="6"/>
      <c r="Q979" s="6"/>
      <c r="R979" s="6"/>
      <c r="S979" s="6"/>
      <c r="T979" s="6"/>
      <c r="U979" s="6"/>
      <c r="V979" s="6"/>
      <c r="W979" s="6"/>
      <c r="X979" s="6"/>
      <c r="Y979" s="6"/>
      <c r="Z979" s="6"/>
      <c r="AA979" s="6"/>
      <c r="AB979" s="6"/>
      <c r="AC979" s="6"/>
      <c r="AD979" s="7"/>
    </row>
    <row r="980" spans="1:30" ht="13">
      <c r="A980" s="20"/>
      <c r="B980" s="20"/>
      <c r="C980" s="23"/>
      <c r="D980" s="17"/>
      <c r="E980" s="6"/>
      <c r="F980" s="6"/>
      <c r="G980" s="6"/>
      <c r="H980" s="6"/>
      <c r="I980" s="17"/>
      <c r="J980" s="6"/>
      <c r="K980" s="6"/>
      <c r="L980" s="17"/>
      <c r="M980" s="6"/>
      <c r="N980" s="6"/>
      <c r="O980" s="6"/>
      <c r="P980" s="6"/>
      <c r="Q980" s="6"/>
      <c r="R980" s="6"/>
      <c r="S980" s="6"/>
      <c r="T980" s="6"/>
      <c r="U980" s="6"/>
      <c r="V980" s="6"/>
      <c r="W980" s="6"/>
      <c r="X980" s="6"/>
      <c r="Y980" s="6"/>
      <c r="Z980" s="6"/>
      <c r="AA980" s="6"/>
      <c r="AB980" s="6"/>
      <c r="AC980" s="6"/>
      <c r="AD980" s="7"/>
    </row>
    <row r="981" spans="1:30" ht="13">
      <c r="A981" s="20"/>
      <c r="B981" s="20"/>
      <c r="C981" s="23"/>
      <c r="D981" s="17"/>
      <c r="E981" s="6"/>
      <c r="F981" s="6"/>
      <c r="G981" s="6"/>
      <c r="H981" s="6"/>
      <c r="I981" s="17"/>
      <c r="J981" s="6"/>
      <c r="K981" s="6"/>
      <c r="L981" s="17"/>
      <c r="M981" s="6"/>
      <c r="N981" s="6"/>
      <c r="O981" s="6"/>
      <c r="P981" s="6"/>
      <c r="Q981" s="6"/>
      <c r="R981" s="6"/>
      <c r="S981" s="6"/>
      <c r="T981" s="6"/>
      <c r="U981" s="6"/>
      <c r="V981" s="6"/>
      <c r="W981" s="6"/>
      <c r="X981" s="6"/>
      <c r="Y981" s="6"/>
      <c r="Z981" s="6"/>
      <c r="AA981" s="6"/>
      <c r="AB981" s="6"/>
      <c r="AC981" s="6"/>
      <c r="AD981" s="7"/>
    </row>
    <row r="982" spans="1:30" ht="13">
      <c r="A982" s="20"/>
      <c r="B982" s="20"/>
      <c r="C982" s="23"/>
      <c r="D982" s="17"/>
      <c r="E982" s="6"/>
      <c r="F982" s="6"/>
      <c r="G982" s="6"/>
      <c r="H982" s="6"/>
      <c r="I982" s="17"/>
      <c r="J982" s="6"/>
      <c r="K982" s="6"/>
      <c r="L982" s="17"/>
      <c r="M982" s="6"/>
      <c r="N982" s="6"/>
      <c r="O982" s="6"/>
      <c r="P982" s="6"/>
      <c r="Q982" s="6"/>
      <c r="R982" s="6"/>
      <c r="S982" s="6"/>
      <c r="T982" s="6"/>
      <c r="U982" s="6"/>
      <c r="V982" s="6"/>
      <c r="W982" s="6"/>
      <c r="X982" s="6"/>
      <c r="Y982" s="6"/>
      <c r="Z982" s="6"/>
      <c r="AA982" s="6"/>
      <c r="AB982" s="6"/>
      <c r="AC982" s="6"/>
      <c r="AD982" s="7"/>
    </row>
    <row r="983" spans="1:30" ht="13">
      <c r="A983" s="20"/>
      <c r="B983" s="20"/>
      <c r="C983" s="23"/>
      <c r="D983" s="17"/>
      <c r="E983" s="6"/>
      <c r="F983" s="6"/>
      <c r="G983" s="6"/>
      <c r="H983" s="6"/>
      <c r="I983" s="17"/>
      <c r="J983" s="6"/>
      <c r="K983" s="6"/>
      <c r="L983" s="17"/>
      <c r="M983" s="6"/>
      <c r="N983" s="6"/>
      <c r="O983" s="6"/>
      <c r="P983" s="6"/>
      <c r="Q983" s="6"/>
      <c r="R983" s="6"/>
      <c r="S983" s="6"/>
      <c r="T983" s="6"/>
      <c r="U983" s="6"/>
      <c r="V983" s="6"/>
      <c r="W983" s="6"/>
      <c r="X983" s="6"/>
      <c r="Y983" s="6"/>
      <c r="Z983" s="6"/>
      <c r="AA983" s="6"/>
      <c r="AB983" s="6"/>
      <c r="AC983" s="6"/>
      <c r="AD983" s="7"/>
    </row>
    <row r="984" spans="1:30" ht="13">
      <c r="A984" s="20"/>
      <c r="B984" s="20"/>
      <c r="C984" s="23"/>
      <c r="D984" s="17"/>
      <c r="E984" s="6"/>
      <c r="F984" s="6"/>
      <c r="G984" s="6"/>
      <c r="H984" s="6"/>
      <c r="I984" s="17"/>
      <c r="J984" s="6"/>
      <c r="K984" s="6"/>
      <c r="L984" s="17"/>
      <c r="M984" s="6"/>
      <c r="N984" s="6"/>
      <c r="O984" s="6"/>
      <c r="P984" s="6"/>
      <c r="Q984" s="6"/>
      <c r="R984" s="6"/>
      <c r="S984" s="6"/>
      <c r="T984" s="6"/>
      <c r="U984" s="6"/>
      <c r="V984" s="6"/>
      <c r="W984" s="6"/>
      <c r="X984" s="6"/>
      <c r="Y984" s="6"/>
      <c r="Z984" s="6"/>
      <c r="AA984" s="6"/>
      <c r="AB984" s="6"/>
      <c r="AC984" s="6"/>
      <c r="AD984" s="7"/>
    </row>
    <row r="985" spans="1:30" ht="13">
      <c r="A985" s="20"/>
      <c r="B985" s="20"/>
      <c r="C985" s="23"/>
      <c r="D985" s="17"/>
      <c r="E985" s="6"/>
      <c r="F985" s="6"/>
      <c r="G985" s="6"/>
      <c r="H985" s="6"/>
      <c r="I985" s="17"/>
      <c r="J985" s="6"/>
      <c r="K985" s="6"/>
      <c r="L985" s="17"/>
      <c r="M985" s="6"/>
      <c r="N985" s="6"/>
      <c r="O985" s="6"/>
      <c r="P985" s="6"/>
      <c r="Q985" s="6"/>
      <c r="R985" s="6"/>
      <c r="S985" s="6"/>
      <c r="T985" s="6"/>
      <c r="U985" s="6"/>
      <c r="V985" s="6"/>
      <c r="W985" s="6"/>
      <c r="X985" s="6"/>
      <c r="Y985" s="6"/>
      <c r="Z985" s="6"/>
      <c r="AA985" s="6"/>
      <c r="AB985" s="6"/>
      <c r="AC985" s="6"/>
      <c r="AD985" s="7"/>
    </row>
    <row r="986" spans="1:30" ht="13">
      <c r="A986" s="20"/>
      <c r="B986" s="20"/>
      <c r="C986" s="23"/>
      <c r="D986" s="17"/>
      <c r="E986" s="6"/>
      <c r="F986" s="6"/>
      <c r="G986" s="6"/>
      <c r="H986" s="6"/>
      <c r="I986" s="17"/>
      <c r="J986" s="6"/>
      <c r="K986" s="6"/>
      <c r="L986" s="17"/>
      <c r="M986" s="6"/>
      <c r="N986" s="6"/>
      <c r="O986" s="6"/>
      <c r="P986" s="6"/>
      <c r="Q986" s="6"/>
      <c r="R986" s="6"/>
      <c r="S986" s="6"/>
      <c r="T986" s="6"/>
      <c r="U986" s="6"/>
      <c r="V986" s="6"/>
      <c r="W986" s="6"/>
      <c r="X986" s="6"/>
      <c r="Y986" s="6"/>
      <c r="Z986" s="6"/>
      <c r="AA986" s="6"/>
      <c r="AB986" s="6"/>
      <c r="AC986" s="6"/>
      <c r="AD986" s="7"/>
    </row>
    <row r="987" spans="1:30" ht="13">
      <c r="A987" s="20"/>
      <c r="B987" s="20"/>
      <c r="C987" s="23"/>
      <c r="D987" s="17"/>
      <c r="E987" s="6"/>
      <c r="F987" s="6"/>
      <c r="G987" s="6"/>
      <c r="H987" s="6"/>
      <c r="I987" s="17"/>
      <c r="J987" s="6"/>
      <c r="K987" s="6"/>
      <c r="L987" s="17"/>
      <c r="M987" s="6"/>
      <c r="N987" s="6"/>
      <c r="O987" s="6"/>
      <c r="P987" s="6"/>
      <c r="Q987" s="6"/>
      <c r="R987" s="6"/>
      <c r="S987" s="6"/>
      <c r="T987" s="6"/>
      <c r="U987" s="6"/>
      <c r="V987" s="6"/>
      <c r="W987" s="6"/>
      <c r="X987" s="6"/>
      <c r="Y987" s="6"/>
      <c r="Z987" s="6"/>
      <c r="AA987" s="6"/>
      <c r="AB987" s="6"/>
      <c r="AC987" s="6"/>
      <c r="AD987" s="7"/>
    </row>
    <row r="988" spans="1:30" ht="13">
      <c r="A988" s="20"/>
      <c r="B988" s="20"/>
      <c r="C988" s="23"/>
      <c r="D988" s="17"/>
      <c r="E988" s="6"/>
      <c r="F988" s="6"/>
      <c r="G988" s="6"/>
      <c r="H988" s="6"/>
      <c r="I988" s="17"/>
      <c r="J988" s="6"/>
      <c r="K988" s="6"/>
      <c r="L988" s="17"/>
      <c r="M988" s="6"/>
      <c r="N988" s="6"/>
      <c r="O988" s="6"/>
      <c r="P988" s="6"/>
      <c r="Q988" s="6"/>
      <c r="R988" s="6"/>
      <c r="S988" s="6"/>
      <c r="T988" s="6"/>
      <c r="U988" s="6"/>
      <c r="V988" s="6"/>
      <c r="W988" s="6"/>
      <c r="X988" s="6"/>
      <c r="Y988" s="6"/>
      <c r="Z988" s="6"/>
      <c r="AA988" s="6"/>
      <c r="AB988" s="6"/>
      <c r="AC988" s="6"/>
      <c r="AD988" s="7"/>
    </row>
    <row r="989" spans="1:30" ht="13">
      <c r="A989" s="20"/>
      <c r="B989" s="20"/>
      <c r="C989" s="23"/>
      <c r="D989" s="17"/>
      <c r="E989" s="6"/>
      <c r="F989" s="6"/>
      <c r="G989" s="6"/>
      <c r="H989" s="6"/>
      <c r="I989" s="17"/>
      <c r="J989" s="6"/>
      <c r="K989" s="6"/>
      <c r="L989" s="17"/>
      <c r="M989" s="6"/>
      <c r="N989" s="6"/>
      <c r="O989" s="6"/>
      <c r="P989" s="6"/>
      <c r="Q989" s="6"/>
      <c r="R989" s="6"/>
      <c r="S989" s="6"/>
      <c r="T989" s="6"/>
      <c r="U989" s="6"/>
      <c r="V989" s="6"/>
      <c r="W989" s="6"/>
      <c r="X989" s="6"/>
      <c r="Y989" s="6"/>
      <c r="Z989" s="6"/>
      <c r="AA989" s="6"/>
      <c r="AB989" s="6"/>
      <c r="AC989" s="6"/>
      <c r="AD989" s="7"/>
    </row>
    <row r="990" spans="1:30" ht="13">
      <c r="A990" s="20"/>
      <c r="B990" s="20"/>
      <c r="C990" s="23"/>
      <c r="D990" s="17"/>
      <c r="E990" s="6"/>
      <c r="F990" s="6"/>
      <c r="G990" s="6"/>
      <c r="H990" s="6"/>
      <c r="I990" s="17"/>
      <c r="J990" s="6"/>
      <c r="K990" s="6"/>
      <c r="L990" s="17"/>
      <c r="M990" s="6"/>
      <c r="N990" s="6"/>
      <c r="O990" s="6"/>
      <c r="P990" s="6"/>
      <c r="Q990" s="6"/>
      <c r="R990" s="6"/>
      <c r="S990" s="6"/>
      <c r="T990" s="6"/>
      <c r="U990" s="6"/>
      <c r="V990" s="6"/>
      <c r="W990" s="6"/>
      <c r="X990" s="6"/>
      <c r="Y990" s="6"/>
      <c r="Z990" s="6"/>
      <c r="AA990" s="6"/>
      <c r="AB990" s="6"/>
      <c r="AC990" s="6"/>
      <c r="AD990" s="7"/>
    </row>
    <row r="991" spans="1:30" ht="13">
      <c r="A991" s="20"/>
      <c r="B991" s="20"/>
      <c r="C991" s="23"/>
      <c r="D991" s="17"/>
      <c r="E991" s="6"/>
      <c r="F991" s="6"/>
      <c r="G991" s="6"/>
      <c r="H991" s="6"/>
      <c r="I991" s="17"/>
      <c r="J991" s="6"/>
      <c r="K991" s="6"/>
      <c r="L991" s="17"/>
      <c r="M991" s="6"/>
      <c r="N991" s="6"/>
      <c r="O991" s="6"/>
      <c r="P991" s="6"/>
      <c r="Q991" s="6"/>
      <c r="R991" s="6"/>
      <c r="S991" s="6"/>
      <c r="T991" s="6"/>
      <c r="U991" s="6"/>
      <c r="V991" s="6"/>
      <c r="W991" s="6"/>
      <c r="X991" s="6"/>
      <c r="Y991" s="6"/>
      <c r="Z991" s="6"/>
      <c r="AA991" s="6"/>
      <c r="AB991" s="6"/>
      <c r="AC991" s="6"/>
      <c r="AD991" s="7"/>
    </row>
    <row r="992" spans="1:30" ht="13">
      <c r="A992" s="20"/>
      <c r="B992" s="20"/>
      <c r="C992" s="23"/>
      <c r="D992" s="17"/>
      <c r="E992" s="6"/>
      <c r="F992" s="6"/>
      <c r="G992" s="6"/>
      <c r="H992" s="6"/>
      <c r="I992" s="17"/>
      <c r="J992" s="6"/>
      <c r="K992" s="6"/>
      <c r="L992" s="17"/>
      <c r="M992" s="6"/>
      <c r="N992" s="6"/>
      <c r="O992" s="6"/>
      <c r="P992" s="6"/>
      <c r="Q992" s="6"/>
      <c r="R992" s="6"/>
      <c r="S992" s="6"/>
      <c r="T992" s="6"/>
      <c r="U992" s="6"/>
      <c r="V992" s="6"/>
      <c r="W992" s="6"/>
      <c r="X992" s="6"/>
      <c r="Y992" s="6"/>
      <c r="Z992" s="6"/>
      <c r="AA992" s="6"/>
      <c r="AB992" s="6"/>
      <c r="AC992" s="6"/>
      <c r="AD992" s="7"/>
    </row>
    <row r="993" spans="1:30" ht="13">
      <c r="A993" s="20"/>
      <c r="B993" s="20"/>
      <c r="C993" s="23"/>
      <c r="D993" s="17"/>
      <c r="E993" s="6"/>
      <c r="F993" s="6"/>
      <c r="G993" s="6"/>
      <c r="H993" s="6"/>
      <c r="I993" s="17"/>
      <c r="J993" s="6"/>
      <c r="K993" s="6"/>
      <c r="L993" s="17"/>
      <c r="M993" s="6"/>
      <c r="N993" s="6"/>
      <c r="O993" s="6"/>
      <c r="P993" s="6"/>
      <c r="Q993" s="6"/>
      <c r="R993" s="6"/>
      <c r="S993" s="6"/>
      <c r="T993" s="6"/>
      <c r="U993" s="6"/>
      <c r="V993" s="6"/>
      <c r="W993" s="6"/>
      <c r="X993" s="6"/>
      <c r="Y993" s="6"/>
      <c r="Z993" s="6"/>
      <c r="AA993" s="6"/>
      <c r="AB993" s="6"/>
      <c r="AC993" s="6"/>
      <c r="AD993" s="7"/>
    </row>
    <row r="994" spans="1:30" ht="13">
      <c r="A994" s="20"/>
      <c r="B994" s="20"/>
      <c r="C994" s="23"/>
      <c r="D994" s="17"/>
      <c r="E994" s="6"/>
      <c r="F994" s="6"/>
      <c r="G994" s="6"/>
      <c r="H994" s="6"/>
      <c r="I994" s="17"/>
      <c r="J994" s="6"/>
      <c r="K994" s="6"/>
      <c r="L994" s="17"/>
      <c r="M994" s="6"/>
      <c r="N994" s="6"/>
      <c r="O994" s="6"/>
      <c r="P994" s="6"/>
      <c r="Q994" s="6"/>
      <c r="R994" s="6"/>
      <c r="S994" s="6"/>
      <c r="T994" s="6"/>
      <c r="U994" s="6"/>
      <c r="V994" s="6"/>
      <c r="W994" s="6"/>
      <c r="X994" s="6"/>
      <c r="Y994" s="6"/>
      <c r="Z994" s="6"/>
      <c r="AA994" s="6"/>
      <c r="AB994" s="6"/>
      <c r="AC994" s="6"/>
      <c r="AD994" s="7"/>
    </row>
    <row r="995" spans="1:30" ht="13">
      <c r="A995" s="20"/>
      <c r="B995" s="20"/>
      <c r="C995" s="23"/>
      <c r="D995" s="17"/>
      <c r="E995" s="6"/>
      <c r="F995" s="6"/>
      <c r="G995" s="6"/>
      <c r="H995" s="6"/>
      <c r="I995" s="17"/>
      <c r="J995" s="6"/>
      <c r="K995" s="6"/>
      <c r="L995" s="17"/>
      <c r="M995" s="6"/>
      <c r="N995" s="6"/>
      <c r="O995" s="6"/>
      <c r="P995" s="6"/>
      <c r="Q995" s="6"/>
      <c r="R995" s="6"/>
      <c r="S995" s="6"/>
      <c r="T995" s="6"/>
      <c r="U995" s="6"/>
      <c r="V995" s="6"/>
      <c r="W995" s="6"/>
      <c r="X995" s="6"/>
      <c r="Y995" s="6"/>
      <c r="Z995" s="6"/>
      <c r="AA995" s="6"/>
      <c r="AB995" s="6"/>
      <c r="AC995" s="6"/>
      <c r="AD995" s="7"/>
    </row>
    <row r="996" spans="1:30" ht="13">
      <c r="A996" s="20"/>
      <c r="B996" s="20"/>
      <c r="C996" s="23"/>
      <c r="D996" s="17"/>
      <c r="E996" s="6"/>
      <c r="F996" s="6"/>
      <c r="G996" s="6"/>
      <c r="H996" s="6"/>
      <c r="I996" s="17"/>
      <c r="J996" s="6"/>
      <c r="K996" s="6"/>
      <c r="L996" s="17"/>
      <c r="M996" s="6"/>
      <c r="N996" s="6"/>
      <c r="O996" s="6"/>
      <c r="P996" s="6"/>
      <c r="Q996" s="6"/>
      <c r="R996" s="6"/>
      <c r="S996" s="6"/>
      <c r="T996" s="6"/>
      <c r="U996" s="6"/>
      <c r="V996" s="6"/>
      <c r="W996" s="6"/>
      <c r="X996" s="6"/>
      <c r="Y996" s="6"/>
      <c r="Z996" s="6"/>
      <c r="AA996" s="6"/>
      <c r="AB996" s="6"/>
      <c r="AC996" s="6"/>
      <c r="AD996" s="7"/>
    </row>
    <row r="997" spans="1:30" ht="13">
      <c r="A997" s="20"/>
      <c r="B997" s="20"/>
      <c r="C997" s="23"/>
      <c r="D997" s="17"/>
      <c r="E997" s="6"/>
      <c r="F997" s="6"/>
      <c r="G997" s="6"/>
      <c r="H997" s="6"/>
      <c r="I997" s="17"/>
      <c r="J997" s="6"/>
      <c r="K997" s="6"/>
      <c r="L997" s="17"/>
      <c r="M997" s="6"/>
      <c r="N997" s="6"/>
      <c r="O997" s="6"/>
      <c r="P997" s="6"/>
      <c r="Q997" s="6"/>
      <c r="R997" s="6"/>
      <c r="S997" s="6"/>
      <c r="T997" s="6"/>
      <c r="U997" s="6"/>
      <c r="V997" s="6"/>
      <c r="W997" s="6"/>
      <c r="X997" s="6"/>
      <c r="Y997" s="6"/>
      <c r="Z997" s="6"/>
      <c r="AA997" s="6"/>
      <c r="AB997" s="6"/>
      <c r="AC997" s="6"/>
      <c r="AD997" s="7"/>
    </row>
    <row r="998" spans="1:30" ht="13">
      <c r="A998" s="20"/>
      <c r="B998" s="20"/>
      <c r="C998" s="23"/>
      <c r="D998" s="17"/>
      <c r="E998" s="6"/>
      <c r="F998" s="6"/>
      <c r="G998" s="6"/>
      <c r="H998" s="6"/>
      <c r="I998" s="17"/>
      <c r="J998" s="6"/>
      <c r="K998" s="6"/>
      <c r="L998" s="17"/>
      <c r="M998" s="6"/>
      <c r="N998" s="6"/>
      <c r="O998" s="6"/>
      <c r="P998" s="6"/>
      <c r="Q998" s="6"/>
      <c r="R998" s="6"/>
      <c r="S998" s="6"/>
      <c r="T998" s="6"/>
      <c r="U998" s="6"/>
      <c r="V998" s="6"/>
      <c r="W998" s="6"/>
      <c r="X998" s="6"/>
      <c r="Y998" s="6"/>
      <c r="Z998" s="6"/>
      <c r="AA998" s="6"/>
      <c r="AB998" s="6"/>
      <c r="AC998" s="6"/>
      <c r="AD998" s="7"/>
    </row>
    <row r="999" spans="1:30" ht="13">
      <c r="A999" s="20"/>
      <c r="B999" s="20"/>
      <c r="C999" s="23"/>
      <c r="D999" s="17"/>
      <c r="E999" s="6"/>
      <c r="F999" s="6"/>
      <c r="G999" s="6"/>
      <c r="H999" s="6"/>
      <c r="I999" s="17"/>
      <c r="J999" s="6"/>
      <c r="K999" s="6"/>
      <c r="L999" s="17"/>
      <c r="M999" s="6"/>
      <c r="N999" s="6"/>
      <c r="O999" s="6"/>
      <c r="P999" s="6"/>
      <c r="Q999" s="6"/>
      <c r="R999" s="6"/>
      <c r="S999" s="6"/>
      <c r="T999" s="6"/>
      <c r="U999" s="6"/>
      <c r="V999" s="6"/>
      <c r="W999" s="6"/>
      <c r="X999" s="6"/>
      <c r="Y999" s="6"/>
      <c r="Z999" s="6"/>
      <c r="AA999" s="6"/>
      <c r="AB999" s="6"/>
      <c r="AC999" s="6"/>
      <c r="AD999" s="7"/>
    </row>
    <row r="1000" spans="1:30" ht="13">
      <c r="A1000" s="20"/>
      <c r="B1000" s="20"/>
      <c r="C1000" s="23"/>
      <c r="D1000" s="17"/>
      <c r="E1000" s="6"/>
      <c r="F1000" s="6"/>
      <c r="G1000" s="6"/>
      <c r="H1000" s="6"/>
      <c r="I1000" s="17"/>
      <c r="J1000" s="6"/>
      <c r="K1000" s="6"/>
      <c r="L1000" s="17"/>
      <c r="M1000" s="6"/>
      <c r="N1000" s="6"/>
      <c r="O1000" s="6"/>
      <c r="P1000" s="6"/>
      <c r="Q1000" s="6"/>
      <c r="R1000" s="6"/>
      <c r="S1000" s="6"/>
      <c r="T1000" s="6"/>
      <c r="U1000" s="6"/>
      <c r="V1000" s="6"/>
      <c r="W1000" s="6"/>
      <c r="X1000" s="6"/>
      <c r="Y1000" s="6"/>
      <c r="Z1000" s="6"/>
      <c r="AA1000" s="6"/>
      <c r="AB1000" s="6"/>
      <c r="AC1000" s="6"/>
      <c r="AD1000" s="7"/>
    </row>
    <row r="1001" spans="1:30" ht="13">
      <c r="A1001" s="20"/>
      <c r="B1001" s="20"/>
      <c r="C1001" s="23"/>
      <c r="D1001" s="17"/>
      <c r="E1001" s="6"/>
      <c r="F1001" s="6"/>
      <c r="G1001" s="6"/>
      <c r="H1001" s="6"/>
      <c r="I1001" s="17"/>
      <c r="J1001" s="6"/>
      <c r="K1001" s="6"/>
      <c r="L1001" s="17"/>
      <c r="M1001" s="6"/>
      <c r="N1001" s="6"/>
      <c r="O1001" s="6"/>
      <c r="P1001" s="6"/>
      <c r="Q1001" s="6"/>
      <c r="R1001" s="6"/>
      <c r="S1001" s="6"/>
      <c r="T1001" s="6"/>
      <c r="U1001" s="6"/>
      <c r="V1001" s="6"/>
      <c r="W1001" s="6"/>
      <c r="X1001" s="6"/>
      <c r="Y1001" s="6"/>
      <c r="Z1001" s="6"/>
      <c r="AA1001" s="6"/>
      <c r="AB1001" s="6"/>
      <c r="AC1001" s="6"/>
      <c r="AD1001" s="7"/>
    </row>
    <row r="1002" spans="1:30" ht="13">
      <c r="A1002" s="20"/>
      <c r="B1002" s="20"/>
      <c r="C1002" s="23"/>
      <c r="D1002" s="17"/>
      <c r="E1002" s="6"/>
      <c r="F1002" s="6"/>
      <c r="G1002" s="6"/>
      <c r="H1002" s="6"/>
      <c r="I1002" s="17"/>
      <c r="J1002" s="6"/>
      <c r="K1002" s="6"/>
      <c r="L1002" s="17"/>
      <c r="M1002" s="6"/>
      <c r="N1002" s="6"/>
      <c r="O1002" s="6"/>
      <c r="P1002" s="6"/>
      <c r="Q1002" s="6"/>
      <c r="R1002" s="6"/>
      <c r="S1002" s="6"/>
      <c r="T1002" s="6"/>
      <c r="U1002" s="6"/>
      <c r="V1002" s="6"/>
      <c r="W1002" s="6"/>
      <c r="X1002" s="6"/>
      <c r="Y1002" s="6"/>
      <c r="Z1002" s="6"/>
      <c r="AA1002" s="6"/>
      <c r="AB1002" s="6"/>
      <c r="AC1002" s="6"/>
      <c r="AD1002" s="7"/>
    </row>
    <row r="1003" spans="1:30" ht="13">
      <c r="A1003" s="20"/>
      <c r="B1003" s="20"/>
      <c r="C1003" s="23"/>
      <c r="D1003" s="17"/>
      <c r="E1003" s="6"/>
      <c r="F1003" s="6"/>
      <c r="G1003" s="6"/>
      <c r="H1003" s="6"/>
      <c r="I1003" s="17"/>
      <c r="J1003" s="6"/>
      <c r="K1003" s="6"/>
      <c r="L1003" s="17"/>
      <c r="M1003" s="6"/>
      <c r="N1003" s="6"/>
      <c r="O1003" s="6"/>
      <c r="P1003" s="6"/>
      <c r="Q1003" s="6"/>
      <c r="R1003" s="6"/>
      <c r="S1003" s="6"/>
      <c r="T1003" s="6"/>
      <c r="U1003" s="6"/>
      <c r="V1003" s="6"/>
      <c r="W1003" s="6"/>
      <c r="X1003" s="6"/>
      <c r="Y1003" s="6"/>
      <c r="Z1003" s="6"/>
      <c r="AA1003" s="6"/>
      <c r="AB1003" s="6"/>
      <c r="AC1003" s="6"/>
      <c r="AD1003" s="7"/>
    </row>
    <row r="1004" spans="1:30" ht="13">
      <c r="A1004" s="20"/>
      <c r="B1004" s="20"/>
      <c r="C1004" s="23"/>
      <c r="D1004" s="17"/>
      <c r="E1004" s="6"/>
      <c r="F1004" s="6"/>
      <c r="G1004" s="6"/>
      <c r="H1004" s="6"/>
      <c r="I1004" s="17"/>
      <c r="J1004" s="6"/>
      <c r="K1004" s="6"/>
      <c r="L1004" s="17"/>
      <c r="M1004" s="6"/>
      <c r="N1004" s="6"/>
      <c r="O1004" s="6"/>
      <c r="P1004" s="6"/>
      <c r="Q1004" s="6"/>
      <c r="R1004" s="6"/>
      <c r="S1004" s="6"/>
      <c r="T1004" s="6"/>
      <c r="U1004" s="6"/>
      <c r="V1004" s="6"/>
      <c r="W1004" s="6"/>
      <c r="X1004" s="6"/>
      <c r="Y1004" s="6"/>
      <c r="Z1004" s="6"/>
      <c r="AA1004" s="6"/>
      <c r="AB1004" s="6"/>
      <c r="AC1004" s="6"/>
      <c r="AD1004" s="7"/>
    </row>
    <row r="1005" spans="1:30" ht="13">
      <c r="A1005" s="20"/>
      <c r="B1005" s="20"/>
      <c r="C1005" s="23"/>
      <c r="D1005" s="17"/>
      <c r="E1005" s="6"/>
      <c r="F1005" s="6"/>
      <c r="G1005" s="6"/>
      <c r="H1005" s="6"/>
      <c r="I1005" s="17"/>
      <c r="J1005" s="6"/>
      <c r="K1005" s="6"/>
      <c r="L1005" s="17"/>
      <c r="M1005" s="6"/>
      <c r="N1005" s="6"/>
      <c r="O1005" s="6"/>
      <c r="P1005" s="6"/>
      <c r="Q1005" s="6"/>
      <c r="R1005" s="6"/>
      <c r="S1005" s="6"/>
      <c r="T1005" s="6"/>
      <c r="U1005" s="6"/>
      <c r="V1005" s="6"/>
      <c r="W1005" s="6"/>
      <c r="X1005" s="6"/>
      <c r="Y1005" s="6"/>
      <c r="Z1005" s="6"/>
      <c r="AA1005" s="6"/>
      <c r="AB1005" s="6"/>
      <c r="AC1005" s="6"/>
      <c r="AD1005" s="7"/>
    </row>
    <row r="1006" spans="1:30" ht="13">
      <c r="A1006" s="20"/>
      <c r="B1006" s="20"/>
      <c r="C1006" s="23"/>
      <c r="D1006" s="17"/>
      <c r="E1006" s="6"/>
      <c r="F1006" s="6"/>
      <c r="G1006" s="6"/>
      <c r="H1006" s="6"/>
      <c r="I1006" s="17"/>
      <c r="J1006" s="6"/>
      <c r="K1006" s="6"/>
      <c r="L1006" s="17"/>
      <c r="M1006" s="6"/>
      <c r="N1006" s="6"/>
      <c r="O1006" s="6"/>
      <c r="P1006" s="6"/>
      <c r="Q1006" s="6"/>
      <c r="R1006" s="6"/>
      <c r="S1006" s="6"/>
      <c r="T1006" s="6"/>
      <c r="U1006" s="6"/>
      <c r="V1006" s="6"/>
      <c r="W1006" s="6"/>
      <c r="X1006" s="6"/>
      <c r="Y1006" s="6"/>
      <c r="Z1006" s="6"/>
      <c r="AA1006" s="6"/>
      <c r="AB1006" s="6"/>
      <c r="AC1006" s="6"/>
      <c r="AD1006" s="7"/>
    </row>
    <row r="1007" spans="1:30" ht="13">
      <c r="A1007" s="20"/>
      <c r="B1007" s="20"/>
      <c r="C1007" s="23"/>
      <c r="D1007" s="17"/>
      <c r="E1007" s="6"/>
      <c r="F1007" s="6"/>
      <c r="G1007" s="6"/>
      <c r="H1007" s="6"/>
      <c r="I1007" s="17"/>
      <c r="J1007" s="6"/>
      <c r="K1007" s="6"/>
      <c r="L1007" s="17"/>
      <c r="M1007" s="6"/>
      <c r="N1007" s="6"/>
      <c r="O1007" s="6"/>
      <c r="P1007" s="6"/>
      <c r="Q1007" s="6"/>
      <c r="R1007" s="6"/>
      <c r="S1007" s="6"/>
      <c r="T1007" s="6"/>
      <c r="U1007" s="6"/>
      <c r="V1007" s="6"/>
      <c r="W1007" s="6"/>
      <c r="X1007" s="6"/>
      <c r="Y1007" s="6"/>
      <c r="Z1007" s="6"/>
      <c r="AA1007" s="6"/>
      <c r="AB1007" s="6"/>
      <c r="AC1007" s="6"/>
      <c r="AD1007" s="7"/>
    </row>
  </sheetData>
  <dataValidations count="1">
    <dataValidation type="list" allowBlank="1" sqref="A2:A1007" xr:uid="{00000000-0002-0000-0000-000000000000}">
      <formula1>"Currently Accepting Volunteers,Currently Accepting with Conditions,Currently NOT Accepting Volunteers"</formula1>
    </dataValidation>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AC2"/>
  <sheetViews>
    <sheetView workbookViewId="0"/>
  </sheetViews>
  <sheetFormatPr baseColWidth="10" defaultColWidth="14.5" defaultRowHeight="15.75" customHeight="1"/>
  <cols>
    <col min="1" max="1" width="35.6640625" customWidth="1"/>
    <col min="2" max="2" width="16.6640625" customWidth="1"/>
    <col min="6" max="6" width="22.33203125" customWidth="1"/>
    <col min="8" max="8" width="20.1640625" customWidth="1"/>
    <col min="9" max="9" width="19" customWidth="1"/>
    <col min="12" max="12" width="49.5" customWidth="1"/>
  </cols>
  <sheetData>
    <row r="2" spans="1:29" ht="15.75" customHeight="1">
      <c r="A2" s="8" t="s">
        <v>14</v>
      </c>
      <c r="B2" s="8" t="s">
        <v>15</v>
      </c>
      <c r="C2" s="8"/>
      <c r="D2" s="10" t="s">
        <v>16</v>
      </c>
      <c r="E2" s="12" t="s">
        <v>18</v>
      </c>
      <c r="F2" s="14" t="s">
        <v>20</v>
      </c>
      <c r="G2" s="14" t="s">
        <v>24</v>
      </c>
      <c r="H2" s="14" t="s">
        <v>25</v>
      </c>
      <c r="I2" s="16" t="s">
        <v>26</v>
      </c>
      <c r="J2" s="14" t="s">
        <v>28</v>
      </c>
      <c r="K2" s="14"/>
      <c r="L2" s="18" t="s">
        <v>29</v>
      </c>
      <c r="M2" s="19"/>
      <c r="N2" s="19"/>
      <c r="O2" s="19"/>
      <c r="P2" s="19"/>
      <c r="Q2" s="19"/>
      <c r="R2" s="19"/>
      <c r="S2" s="19"/>
      <c r="T2" s="19"/>
      <c r="U2" s="19"/>
      <c r="V2" s="19"/>
      <c r="W2" s="19"/>
      <c r="X2" s="19"/>
      <c r="Y2" s="19"/>
      <c r="Z2" s="19"/>
      <c r="AA2" s="19"/>
      <c r="AB2" s="19"/>
      <c r="AC2" s="19"/>
    </row>
  </sheetData>
  <dataValidations count="1">
    <dataValidation type="list" allowBlank="1" sqref="A2" xr:uid="{00000000-0002-0000-0100-000000000000}">
      <formula1>"Currently Accepting Volunteers,Currently Accepting with Conditions,Currently Not Accepting Volunteers"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AO989"/>
  <sheetViews>
    <sheetView tabSelected="1" workbookViewId="0">
      <pane ySplit="2" topLeftCell="A3" activePane="bottomLeft" state="frozen"/>
      <selection pane="bottomLeft" activeCell="D2" sqref="D2"/>
    </sheetView>
  </sheetViews>
  <sheetFormatPr baseColWidth="10" defaultColWidth="14.5" defaultRowHeight="15.75" customHeight="1"/>
  <cols>
    <col min="1" max="1" width="20.3320312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s>
  <sheetData>
    <row r="1" spans="1:41" ht="30">
      <c r="A1" s="2"/>
      <c r="B1" s="177" t="s">
        <v>7</v>
      </c>
      <c r="C1" s="178"/>
      <c r="D1" s="178"/>
      <c r="E1" s="178"/>
      <c r="F1" s="178"/>
      <c r="G1" s="178"/>
      <c r="H1" s="179"/>
      <c r="I1" s="21"/>
      <c r="J1" s="177" t="s">
        <v>32</v>
      </c>
      <c r="K1" s="179"/>
      <c r="L1" s="177" t="s">
        <v>38</v>
      </c>
      <c r="M1" s="178"/>
      <c r="N1" s="179"/>
      <c r="O1" s="24" t="s">
        <v>41</v>
      </c>
      <c r="P1" s="177" t="s">
        <v>42</v>
      </c>
      <c r="Q1" s="178"/>
      <c r="R1" s="178"/>
      <c r="S1" s="178"/>
      <c r="T1" s="179"/>
      <c r="U1" s="26"/>
      <c r="V1" s="27"/>
      <c r="W1" s="180" t="s">
        <v>55</v>
      </c>
      <c r="X1" s="30"/>
      <c r="Y1" s="32"/>
      <c r="Z1" s="30"/>
      <c r="AA1" s="30"/>
      <c r="AB1" s="30"/>
      <c r="AC1" s="30"/>
      <c r="AD1" s="30"/>
      <c r="AE1" s="30"/>
      <c r="AF1" s="30"/>
      <c r="AG1" s="30"/>
      <c r="AH1" s="30"/>
      <c r="AI1" s="30"/>
      <c r="AJ1" s="30"/>
      <c r="AK1" s="30"/>
      <c r="AL1" s="30"/>
      <c r="AM1" s="30"/>
      <c r="AN1" s="30"/>
      <c r="AO1" s="30"/>
    </row>
    <row r="2" spans="1:41" ht="60">
      <c r="A2" s="35" t="s">
        <v>58</v>
      </c>
      <c r="B2" s="36" t="s">
        <v>0</v>
      </c>
      <c r="C2" s="36" t="s">
        <v>72</v>
      </c>
      <c r="D2" s="36" t="s">
        <v>73</v>
      </c>
      <c r="E2" s="38" t="s">
        <v>74</v>
      </c>
      <c r="F2" s="38" t="s">
        <v>75</v>
      </c>
      <c r="G2" s="36" t="s">
        <v>76</v>
      </c>
      <c r="H2" s="38" t="s">
        <v>77</v>
      </c>
      <c r="I2" s="38" t="s">
        <v>78</v>
      </c>
      <c r="J2" s="38" t="s">
        <v>79</v>
      </c>
      <c r="K2" s="38" t="s">
        <v>80</v>
      </c>
      <c r="L2" s="38" t="s">
        <v>81</v>
      </c>
      <c r="M2" s="36" t="s">
        <v>82</v>
      </c>
      <c r="N2" s="36" t="s">
        <v>83</v>
      </c>
      <c r="O2" s="38" t="s">
        <v>84</v>
      </c>
      <c r="P2" s="35" t="s">
        <v>85</v>
      </c>
      <c r="Q2" s="38" t="s">
        <v>87</v>
      </c>
      <c r="R2" s="38" t="s">
        <v>89</v>
      </c>
      <c r="S2" s="38" t="s">
        <v>90</v>
      </c>
      <c r="T2" s="38" t="s">
        <v>91</v>
      </c>
      <c r="U2" s="26" t="s">
        <v>92</v>
      </c>
      <c r="V2" s="35" t="s">
        <v>93</v>
      </c>
      <c r="W2" s="181"/>
      <c r="X2" s="40" t="s">
        <v>98</v>
      </c>
      <c r="Y2" s="41" t="s">
        <v>102</v>
      </c>
      <c r="Z2" s="32"/>
      <c r="AA2" s="32"/>
      <c r="AB2" s="32"/>
      <c r="AC2" s="32"/>
      <c r="AD2" s="32"/>
      <c r="AE2" s="32"/>
      <c r="AF2" s="32"/>
      <c r="AG2" s="32"/>
      <c r="AH2" s="32"/>
      <c r="AI2" s="32"/>
      <c r="AJ2" s="32"/>
      <c r="AK2" s="32"/>
      <c r="AL2" s="32"/>
      <c r="AM2" s="32"/>
      <c r="AN2" s="32"/>
      <c r="AO2" s="32"/>
    </row>
    <row r="3" spans="1:41" ht="14">
      <c r="A3" s="44">
        <f ca="1">IFERROR(__xludf.DUMMYFUNCTION("QUERY('Volunteer Survey'!A2)"),43442.517321412)</f>
        <v>43442.517321412</v>
      </c>
      <c r="B3" s="42" t="s">
        <v>125</v>
      </c>
      <c r="C3" s="47"/>
      <c r="D3" s="49"/>
      <c r="E3" s="42" t="s">
        <v>130</v>
      </c>
      <c r="F3" s="42" t="s">
        <v>130</v>
      </c>
      <c r="G3" s="42" t="s">
        <v>136</v>
      </c>
      <c r="H3" s="45" t="s">
        <v>138</v>
      </c>
      <c r="I3" s="45" t="s">
        <v>139</v>
      </c>
      <c r="J3" s="49"/>
      <c r="K3" s="49"/>
      <c r="L3" s="49" t="str">
        <f ca="1">IFERROR(__xludf.DUMMYFUNCTION("QUERY('Volunteer Survey'!B2)"),"Suneeta Mandava")</f>
        <v>Suneeta Mandava</v>
      </c>
      <c r="M3" s="49" t="str">
        <f ca="1">IFERROR(__xludf.DUMMYFUNCTION("QUERY('Volunteer Survey'!E2)"),"suneeta.mandava@gmail.com")</f>
        <v>suneeta.mandava@gmail.com</v>
      </c>
      <c r="N3" s="49" t="str">
        <f ca="1">IFERROR(__xludf.DUMMYFUNCTION("QUERY('Volunteer Survey'!F2)"),"Variant Analyst/Scientist")</f>
        <v>Variant Analyst/Scientist</v>
      </c>
      <c r="O3" s="42" t="str">
        <f ca="1">IFERROR(__xludf.DUMMYFUNCTION("QUERY('Volunteer Survey'!H2)"),"Comprehensive")</f>
        <v>Comprehensive</v>
      </c>
      <c r="P3" s="49" t="str">
        <f ca="1">IFERROR(__xludf.DUMMYFUNCTION("QUERY('Volunteer Survey'!I2)"),"Somatic Cancer")</f>
        <v>Somatic Cancer</v>
      </c>
      <c r="Q3" s="54" t="str">
        <f ca="1">IFERROR(__xludf.DUMMYFUNCTION("QUERY('Volunteer Survey'!J2)"),"Gene-Disease Validity")</f>
        <v>Gene-Disease Validity</v>
      </c>
      <c r="R3" s="49" t="str">
        <f ca="1">IFERROR(__xludf.DUMMYFUNCTION("QUERY('Volunteer Survey'!K2)"),"Variant Pathogenicity")</f>
        <v>Variant Pathogenicity</v>
      </c>
      <c r="S3" s="49" t="str">
        <f ca="1">IFERROR(__xludf.DUMMYFUNCTION("QUERY('Volunteer Survey'!L2)"),"Clinical Actionability")</f>
        <v>Clinical Actionability</v>
      </c>
      <c r="T3" s="49" t="str">
        <f ca="1">IFERROR(__xludf.DUMMYFUNCTION("QUERY('Volunteer Survey'!M2)"),"Dosage Sensitivity")</f>
        <v>Dosage Sensitivity</v>
      </c>
      <c r="U3" s="58" t="str">
        <f ca="1">IFERROR(__xludf.DUMMYFUNCTION("QUERY('Volunteer Survey'!N2)"),"I am clinical genomics variant scientist in somatic cancers for the last almost 5 years")</f>
        <v>I am clinical genomics variant scientist in somatic cancers for the last almost 5 years</v>
      </c>
      <c r="V3" s="49" t="str">
        <f ca="1">IFERROR(__xludf.DUMMYFUNCTION("QUERY('Volunteer Survey'!O2)"),"Possibly")</f>
        <v>Possibly</v>
      </c>
      <c r="W3" s="60" t="str">
        <f ca="1">IFERROR(__xludf.DUMMYFUNCTION("QUERY('Volunteer Survey'!P2)"),"somatic cancer TP53")</f>
        <v>somatic cancer TP53</v>
      </c>
      <c r="X3" s="58" t="str">
        <f ca="1">IFERROR(__xludf.DUMMYFUNCTION("QUERY('Volunteer Survey'!R2)"),"Maybe -- please contact me with other options, and I will decide based on what is available")</f>
        <v>Maybe -- please contact me with other options, and I will decide based on what is available</v>
      </c>
      <c r="Y3" s="47"/>
      <c r="Z3" s="62"/>
      <c r="AA3" s="49"/>
      <c r="AB3" s="49"/>
      <c r="AC3" s="49"/>
      <c r="AD3" s="49"/>
      <c r="AE3" s="49"/>
      <c r="AF3" s="49"/>
      <c r="AG3" s="49"/>
      <c r="AH3" s="49"/>
      <c r="AI3" s="49"/>
      <c r="AJ3" s="49"/>
      <c r="AK3" s="49"/>
      <c r="AL3" s="49"/>
      <c r="AM3" s="49"/>
      <c r="AN3" s="49"/>
      <c r="AO3" s="49"/>
    </row>
    <row r="4" spans="1:41" ht="14">
      <c r="A4" s="44">
        <f ca="1">IFERROR(__xludf.DUMMYFUNCTION("QUERY('Volunteer Survey'!A3)"),43444.7572406944)</f>
        <v>43444.757240694402</v>
      </c>
      <c r="B4" s="42" t="s">
        <v>168</v>
      </c>
      <c r="C4" s="47"/>
      <c r="D4" s="49"/>
      <c r="E4" s="42" t="s">
        <v>130</v>
      </c>
      <c r="F4" s="42" t="s">
        <v>130</v>
      </c>
      <c r="G4" s="42" t="s">
        <v>19</v>
      </c>
      <c r="H4" s="63"/>
      <c r="I4" s="63" t="s">
        <v>139</v>
      </c>
      <c r="J4" s="49"/>
      <c r="K4" s="49"/>
      <c r="L4" s="49" t="str">
        <f ca="1">IFERROR(__xludf.DUMMYFUNCTION("QUERY('Volunteer Survey'!B3)"),"Edwin Kim")</f>
        <v>Edwin Kim</v>
      </c>
      <c r="M4" s="49" t="str">
        <f ca="1">IFERROR(__xludf.DUMMYFUNCTION("QUERY('Volunteer Survey'!E3)"),"Edwinkimmd@gmail.com")</f>
        <v>Edwinkimmd@gmail.com</v>
      </c>
      <c r="N4" s="49" t="str">
        <f ca="1">IFERROR(__xludf.DUMMYFUNCTION("QUERY('Volunteer Survey'!F3)"),"Physician (Non-geneticist)")</f>
        <v>Physician (Non-geneticist)</v>
      </c>
      <c r="O4" s="42" t="str">
        <f ca="1">IFERROR(__xludf.DUMMYFUNCTION("QUERY('Volunteer Survey'!H3)"),"Comprehensive")</f>
        <v>Comprehensive</v>
      </c>
      <c r="P4" s="49" t="str">
        <f ca="1">IFERROR(__xludf.DUMMYFUNCTION("QUERY('Volunteer Survey'!I3)"),"Clinical Actionability")</f>
        <v>Clinical Actionability</v>
      </c>
      <c r="Q4" s="54" t="str">
        <f ca="1">IFERROR(__xludf.DUMMYFUNCTION("QUERY('Volunteer Survey'!J3)"),"Dosage Sensitivity")</f>
        <v>Dosage Sensitivity</v>
      </c>
      <c r="R4" s="49" t="str">
        <f ca="1">IFERROR(__xludf.DUMMYFUNCTION("QUERY('Volunteer Survey'!K3)"),"Gene-Disease Validity")</f>
        <v>Gene-Disease Validity</v>
      </c>
      <c r="S4" s="49" t="str">
        <f ca="1">IFERROR(__xludf.DUMMYFUNCTION("QUERY('Volunteer Survey'!L3)"),"Variant Pathogenicity")</f>
        <v>Variant Pathogenicity</v>
      </c>
      <c r="T4" s="49" t="str">
        <f ca="1">IFERROR(__xludf.DUMMYFUNCTION("QUERY('Volunteer Survey'!M3)"),"Somatic Cancer")</f>
        <v>Somatic Cancer</v>
      </c>
      <c r="U4" s="58" t="str">
        <f ca="1">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49" t="str">
        <f ca="1">IFERROR(__xludf.DUMMYFUNCTION("QUERY('Volunteer Survey'!O3)"),"Possibly")</f>
        <v>Possibly</v>
      </c>
      <c r="W4" s="60" t="str">
        <f ca="1">IFERROR(__xludf.DUMMYFUNCTION("QUERY('Volunteer Survey'!P3)"),"Possibly after gaining some more exposure and increasing experience.")</f>
        <v>Possibly after gaining some more exposure and increasing experience.</v>
      </c>
      <c r="X4" s="58" t="str">
        <f ca="1">IFERROR(__xludf.DUMMYFUNCTION("QUERY('Volunteer Survey'!R3)"),"Maybe -- please contact me with other options, and I will decide based on what is available")</f>
        <v>Maybe -- please contact me with other options, and I will decide based on what is available</v>
      </c>
      <c r="Y4" s="47"/>
      <c r="Z4" s="62"/>
      <c r="AA4" s="49"/>
      <c r="AB4" s="49"/>
      <c r="AC4" s="49"/>
      <c r="AD4" s="49"/>
      <c r="AE4" s="49"/>
      <c r="AF4" s="49"/>
      <c r="AG4" s="49"/>
      <c r="AH4" s="49"/>
      <c r="AI4" s="49"/>
      <c r="AJ4" s="49"/>
      <c r="AK4" s="49"/>
      <c r="AL4" s="49"/>
      <c r="AM4" s="49"/>
      <c r="AN4" s="49"/>
      <c r="AO4" s="49"/>
    </row>
    <row r="5" spans="1:41" ht="14">
      <c r="A5" s="44">
        <f ca="1">IFERROR(__xludf.DUMMYFUNCTION("QUERY('Volunteer Survey'!A4)"),43446.432197662)</f>
        <v>43446.432197661998</v>
      </c>
      <c r="B5" s="42" t="s">
        <v>108</v>
      </c>
      <c r="C5" s="47"/>
      <c r="D5" s="49"/>
      <c r="E5" s="42" t="s">
        <v>130</v>
      </c>
      <c r="F5" s="42" t="s">
        <v>130</v>
      </c>
      <c r="G5" s="42" t="s">
        <v>202</v>
      </c>
      <c r="H5" s="47"/>
      <c r="I5" s="45" t="s">
        <v>139</v>
      </c>
      <c r="J5" s="49"/>
      <c r="K5" s="49"/>
      <c r="L5" s="49" t="str">
        <f ca="1">IFERROR(__xludf.DUMMYFUNCTION("QUERY('Volunteer Survey'!B4)"),"Julyann Pérez Mayoral")</f>
        <v>Julyann Pérez Mayoral</v>
      </c>
      <c r="M5" s="49" t="str">
        <f ca="1">IFERROR(__xludf.DUMMYFUNCTION("QUERY('Volunteer Survey'!E4)"),"julyann.perez@upr.edu")</f>
        <v>julyann.perez@upr.edu</v>
      </c>
      <c r="N5" s="49" t="str">
        <f ca="1">IFERROR(__xludf.DUMMYFUNCTION("QUERY('Volunteer Survey'!F4)"),"Post Doc/Resident/Fellow (MD and/or PhD)")</f>
        <v>Post Doc/Resident/Fellow (MD and/or PhD)</v>
      </c>
      <c r="O5" s="42" t="str">
        <f ca="1">IFERROR(__xludf.DUMMYFUNCTION("QUERY('Volunteer Survey'!H4)"),"Baseline")</f>
        <v>Baseline</v>
      </c>
      <c r="P5" s="49" t="str">
        <f ca="1">IFERROR(__xludf.DUMMYFUNCTION("QUERY('Volunteer Survey'!I4)"),"Variant Pathogenicity")</f>
        <v>Variant Pathogenicity</v>
      </c>
      <c r="Q5" s="54" t="str">
        <f ca="1">IFERROR(__xludf.DUMMYFUNCTION("QUERY('Volunteer Survey'!J4)"),"Somatic Cancer")</f>
        <v>Somatic Cancer</v>
      </c>
      <c r="R5" s="49" t="str">
        <f ca="1">IFERROR(__xludf.DUMMYFUNCTION("QUERY('Volunteer Survey'!K4)"),"")</f>
        <v/>
      </c>
      <c r="S5" s="49" t="str">
        <f ca="1">IFERROR(__xludf.DUMMYFUNCTION("QUERY('Volunteer Survey'!L4)"),"")</f>
        <v/>
      </c>
      <c r="T5" s="49" t="str">
        <f ca="1">IFERROR(__xludf.DUMMYFUNCTION("QUERY('Volunteer Survey'!M4)"),"")</f>
        <v/>
      </c>
      <c r="U5" s="58" t="str">
        <f ca="1">IFERROR(__xludf.DUMMYFUNCTION("QUERY('Volunteer Survey'!N4)"),"No")</f>
        <v>No</v>
      </c>
      <c r="V5" s="49" t="str">
        <f ca="1">IFERROR(__xludf.DUMMYFUNCTION("QUERY('Volunteer Survey'!O4)"),"Possibly")</f>
        <v>Possibly</v>
      </c>
      <c r="W5" s="60" t="str">
        <f ca="1">IFERROR(__xludf.DUMMYFUNCTION("QUERY('Volunteer Survey'!P4)"),"Variant Curation Panel")</f>
        <v>Variant Curation Panel</v>
      </c>
      <c r="X5" s="58" t="str">
        <f ca="1">IFERROR(__xludf.DUMMYFUNCTION("QUERY('Volunteer Survey'!R4)"),"Maybe -- please contact me with other options, and I will decide based on what is available")</f>
        <v>Maybe -- please contact me with other options, and I will decide based on what is available</v>
      </c>
      <c r="Y5" s="47"/>
      <c r="Z5" s="62"/>
      <c r="AA5" s="49"/>
      <c r="AB5" s="49"/>
      <c r="AC5" s="49"/>
      <c r="AD5" s="49"/>
      <c r="AE5" s="49"/>
      <c r="AF5" s="49"/>
      <c r="AG5" s="49"/>
      <c r="AH5" s="49"/>
      <c r="AI5" s="49"/>
      <c r="AJ5" s="49"/>
      <c r="AK5" s="49"/>
      <c r="AL5" s="49"/>
      <c r="AM5" s="49"/>
      <c r="AN5" s="49"/>
      <c r="AO5" s="49"/>
    </row>
    <row r="6" spans="1:41" ht="14">
      <c r="A6" s="44">
        <f ca="1">IFERROR(__xludf.DUMMYFUNCTION("QUERY('Volunteer Survey'!A5)"),43446.6507934143)</f>
        <v>43446.650793414301</v>
      </c>
      <c r="B6" s="42" t="s">
        <v>108</v>
      </c>
      <c r="C6" s="47"/>
      <c r="D6" s="43">
        <v>43570</v>
      </c>
      <c r="E6" s="42" t="s">
        <v>117</v>
      </c>
      <c r="F6" s="42" t="s">
        <v>117</v>
      </c>
      <c r="G6" s="42" t="s">
        <v>122</v>
      </c>
      <c r="H6" s="45" t="s">
        <v>123</v>
      </c>
      <c r="I6" s="45" t="s">
        <v>139</v>
      </c>
      <c r="J6" s="50">
        <v>43712</v>
      </c>
      <c r="K6" s="50"/>
      <c r="L6" s="49" t="str">
        <f ca="1">IFERROR(__xludf.DUMMYFUNCTION("QUERY('Volunteer Survey'!B5)"),"Xiaodong Wang")</f>
        <v>Xiaodong Wang</v>
      </c>
      <c r="M6" s="49" t="str">
        <f ca="1">IFERROR(__xludf.DUMMYFUNCTION("QUERY('Volunteer Survey'!E5)"),"xdwang@ciphergene.com")</f>
        <v>xdwang@ciphergene.com</v>
      </c>
      <c r="N6" s="49" t="str">
        <f ca="1">IFERROR(__xludf.DUMMYFUNCTION("QUERY('Volunteer Survey'!F5)"),"Variant Analyst/Scientist")</f>
        <v>Variant Analyst/Scientist</v>
      </c>
      <c r="O6" s="42" t="str">
        <f ca="1">IFERROR(__xludf.DUMMYFUNCTION("QUERY('Volunteer Survey'!H5)"),"Comprehensive")</f>
        <v>Comprehensive</v>
      </c>
      <c r="P6" s="49" t="str">
        <f ca="1">IFERROR(__xludf.DUMMYFUNCTION("QUERY('Volunteer Survey'!I5)"),"Gene-Disease Validity")</f>
        <v>Gene-Disease Validity</v>
      </c>
      <c r="Q6" s="54" t="str">
        <f ca="1">IFERROR(__xludf.DUMMYFUNCTION("QUERY('Volunteer Survey'!J5)"),"Variant Pathogenicity")</f>
        <v>Variant Pathogenicity</v>
      </c>
      <c r="R6" s="49" t="str">
        <f ca="1">IFERROR(__xludf.DUMMYFUNCTION("QUERY('Volunteer Survey'!K5)"),"Clinical Actionability")</f>
        <v>Clinical Actionability</v>
      </c>
      <c r="S6" s="49" t="str">
        <f ca="1">IFERROR(__xludf.DUMMYFUNCTION("QUERY('Volunteer Survey'!L5)"),"")</f>
        <v/>
      </c>
      <c r="T6" s="49" t="str">
        <f ca="1">IFERROR(__xludf.DUMMYFUNCTION("QUERY('Volunteer Survey'!M5)"),"")</f>
        <v/>
      </c>
      <c r="U6" s="58" t="str">
        <f ca="1">IFERROR(__xludf.DUMMYFUNCTION("QUERY('Volunteer Survey'!N5)"),"I am familiar with ACMG for variant classification, which I do daily. ")</f>
        <v xml:space="preserve">I am familiar with ACMG for variant classification, which I do daily. </v>
      </c>
      <c r="V6" s="49" t="str">
        <f ca="1">IFERROR(__xludf.DUMMYFUNCTION("QUERY('Volunteer Survey'!O5)"),"Possibly")</f>
        <v>Possibly</v>
      </c>
      <c r="W6" s="60" t="str">
        <f ca="1">IFERROR(__xludf.DUMMYFUNCTION("QUERY('Volunteer Survey'!P5)"),"Epilepsy group")</f>
        <v>Epilepsy group</v>
      </c>
      <c r="X6" s="58" t="str">
        <f ca="1">IFERROR(__xludf.DUMMYFUNCTION("QUERY('Volunteer Survey'!R5)"),"Maybe -- please contact me with other options, and I will decide based on what is available")</f>
        <v>Maybe -- please contact me with other options, and I will decide based on what is available</v>
      </c>
      <c r="Y6" s="47"/>
      <c r="Z6" s="62"/>
      <c r="AA6" s="49"/>
      <c r="AB6" s="49"/>
      <c r="AC6" s="49"/>
      <c r="AD6" s="49"/>
      <c r="AE6" s="49"/>
      <c r="AF6" s="49"/>
      <c r="AG6" s="49"/>
      <c r="AH6" s="49"/>
      <c r="AI6" s="49"/>
      <c r="AJ6" s="49"/>
      <c r="AK6" s="49"/>
      <c r="AL6" s="49"/>
      <c r="AM6" s="49"/>
      <c r="AN6" s="49"/>
      <c r="AO6" s="49"/>
    </row>
    <row r="7" spans="1:41" ht="14">
      <c r="A7" s="44">
        <f ca="1">IFERROR(__xludf.DUMMYFUNCTION("QUERY('Volunteer Survey'!A6)"),43446.7035869328)</f>
        <v>43446.703586932803</v>
      </c>
      <c r="B7" s="42" t="s">
        <v>108</v>
      </c>
      <c r="C7" s="47"/>
      <c r="D7" s="49"/>
      <c r="E7" s="42" t="s">
        <v>130</v>
      </c>
      <c r="F7" s="42" t="s">
        <v>130</v>
      </c>
      <c r="G7" s="42" t="s">
        <v>202</v>
      </c>
      <c r="H7" s="47"/>
      <c r="I7" s="45" t="s">
        <v>139</v>
      </c>
      <c r="J7" s="49"/>
      <c r="K7" s="49"/>
      <c r="L7" s="49" t="str">
        <f ca="1">IFERROR(__xludf.DUMMYFUNCTION("QUERY('Volunteer Survey'!B6)"),"Jun Shen")</f>
        <v>Jun Shen</v>
      </c>
      <c r="M7" s="49" t="str">
        <f ca="1">IFERROR(__xludf.DUMMYFUNCTION("QUERY('Volunteer Survey'!E6)"),"jshen5@bwh.harvard.edu")</f>
        <v>jshen5@bwh.harvard.edu</v>
      </c>
      <c r="N7" s="49" t="str">
        <f ca="1">IFERROR(__xludf.DUMMYFUNCTION("QUERY('Volunteer Survey'!F6)"),"Clinical laboratory geneticist")</f>
        <v>Clinical laboratory geneticist</v>
      </c>
      <c r="O7" s="42" t="str">
        <f ca="1">IFERROR(__xludf.DUMMYFUNCTION("QUERY('Volunteer Survey'!H6)"),"Baseline")</f>
        <v>Baseline</v>
      </c>
      <c r="P7" s="49" t="str">
        <f ca="1">IFERROR(__xludf.DUMMYFUNCTION("QUERY('Volunteer Survey'!I6)"),"Variant Pathogenicity")</f>
        <v>Variant Pathogenicity</v>
      </c>
      <c r="Q7" s="54" t="str">
        <f ca="1">IFERROR(__xludf.DUMMYFUNCTION("QUERY('Volunteer Survey'!J6)"),"Gene-Disease Validity")</f>
        <v>Gene-Disease Validity</v>
      </c>
      <c r="R7" s="49" t="str">
        <f ca="1">IFERROR(__xludf.DUMMYFUNCTION("QUERY('Volunteer Survey'!K6)"),"Clinical Actionability")</f>
        <v>Clinical Actionability</v>
      </c>
      <c r="S7" s="49" t="str">
        <f ca="1">IFERROR(__xludf.DUMMYFUNCTION("QUERY('Volunteer Survey'!L6)"),"Dosage Sensitivity")</f>
        <v>Dosage Sensitivity</v>
      </c>
      <c r="T7" s="49" t="str">
        <f ca="1">IFERROR(__xludf.DUMMYFUNCTION("QUERY('Volunteer Survey'!M6)"),"Somatic Cancer")</f>
        <v>Somatic Cancer</v>
      </c>
      <c r="U7" s="58" t="str">
        <f ca="1">IFERROR(__xludf.DUMMYFUNCTION("QUERY('Volunteer Survey'!N6)"),"I work on the HL-EP")</f>
        <v>I work on the HL-EP</v>
      </c>
      <c r="V7" s="49" t="str">
        <f ca="1">IFERROR(__xludf.DUMMYFUNCTION("QUERY('Volunteer Survey'!O6)"),"Yes")</f>
        <v>Yes</v>
      </c>
      <c r="W7" s="60" t="str">
        <f ca="1">IFERROR(__xludf.DUMMYFUNCTION("QUERY('Volunteer Survey'!P6)"),"I'm already on the HL-EP")</f>
        <v>I'm already on the HL-EP</v>
      </c>
      <c r="X7" s="58" t="str">
        <f ca="1">IFERROR(__xludf.DUMMYFUNCTION("QUERY('Volunteer Survey'!R6)"),"Maybe -- please contact me with other options, and I will decide based on what is available")</f>
        <v>Maybe -- please contact me with other options, and I will decide based on what is available</v>
      </c>
      <c r="Y7" s="47"/>
      <c r="Z7" s="62"/>
      <c r="AA7" s="49"/>
      <c r="AB7" s="49"/>
      <c r="AC7" s="49"/>
      <c r="AD7" s="49"/>
      <c r="AE7" s="49"/>
      <c r="AF7" s="49"/>
      <c r="AG7" s="49"/>
      <c r="AH7" s="49"/>
      <c r="AI7" s="49"/>
      <c r="AJ7" s="49"/>
      <c r="AK7" s="49"/>
      <c r="AL7" s="49"/>
      <c r="AM7" s="49"/>
      <c r="AN7" s="49"/>
      <c r="AO7" s="49"/>
    </row>
    <row r="8" spans="1:41" ht="37.5" customHeight="1">
      <c r="A8" s="44">
        <f ca="1">IFERROR(__xludf.DUMMYFUNCTION("QUERY('Volunteer Survey'!A7)"),43447.4211071527)</f>
        <v>43447.421107152702</v>
      </c>
      <c r="B8" s="42" t="s">
        <v>125</v>
      </c>
      <c r="C8" s="73">
        <v>43437</v>
      </c>
      <c r="D8" s="50">
        <v>43446</v>
      </c>
      <c r="E8" s="42" t="s">
        <v>117</v>
      </c>
      <c r="F8" s="42" t="s">
        <v>117</v>
      </c>
      <c r="G8" s="42" t="s">
        <v>122</v>
      </c>
      <c r="H8" s="45" t="s">
        <v>143</v>
      </c>
      <c r="I8" s="45" t="s">
        <v>139</v>
      </c>
      <c r="J8" s="50">
        <v>43592</v>
      </c>
      <c r="K8" s="50">
        <v>43713</v>
      </c>
      <c r="L8" s="49" t="str">
        <f ca="1">IFERROR(__xludf.DUMMYFUNCTION("QUERY('Volunteer Survey'!B7)"),"Jennifer Howe")</f>
        <v>Jennifer Howe</v>
      </c>
      <c r="M8" s="49" t="str">
        <f ca="1">IFERROR(__xludf.DUMMYFUNCTION("QUERY('Volunteer Survey'!E7)"),"jhowe@sickkids.ca")</f>
        <v>jhowe@sickkids.ca</v>
      </c>
      <c r="N8" s="49" t="str">
        <f ca="1">IFERROR(__xludf.DUMMYFUNCTION("QUERY('Volunteer Survey'!F7)"),"Senior Project Manager")</f>
        <v>Senior Project Manager</v>
      </c>
      <c r="O8" s="42" t="str">
        <f ca="1">IFERROR(__xludf.DUMMYFUNCTION("QUERY('Volunteer Survey'!H7)"),"Comprehensive")</f>
        <v>Comprehensive</v>
      </c>
      <c r="P8" s="49" t="str">
        <f ca="1">IFERROR(__xludf.DUMMYFUNCTION("QUERY('Volunteer Survey'!I7)"),"Gene-Disease Validity")</f>
        <v>Gene-Disease Validity</v>
      </c>
      <c r="Q8" s="54" t="str">
        <f ca="1">IFERROR(__xludf.DUMMYFUNCTION("QUERY('Volunteer Survey'!J7)"),"")</f>
        <v/>
      </c>
      <c r="R8" s="49" t="str">
        <f ca="1">IFERROR(__xludf.DUMMYFUNCTION("QUERY('Volunteer Survey'!K7)"),"")</f>
        <v/>
      </c>
      <c r="S8" s="49" t="str">
        <f ca="1">IFERROR(__xludf.DUMMYFUNCTION("QUERY('Volunteer Survey'!L7)"),"")</f>
        <v/>
      </c>
      <c r="T8" s="49" t="str">
        <f ca="1">IFERROR(__xludf.DUMMYFUNCTION("QUERY('Volunteer Survey'!M7)"),"")</f>
        <v/>
      </c>
      <c r="U8" s="58" t="str">
        <f ca="1">IFERROR(__xludf.DUMMYFUNCTION("QUERY('Volunteer Survey'!N7)"),"")</f>
        <v/>
      </c>
      <c r="V8" s="49" t="str">
        <f ca="1">IFERROR(__xludf.DUMMYFUNCTION("QUERY('Volunteer Survey'!O7)"),"No")</f>
        <v>No</v>
      </c>
      <c r="W8" s="60" t="str">
        <f ca="1">IFERROR(__xludf.DUMMYFUNCTION("QUERY('Volunteer Survey'!P7)"),"Autism and Intellectual Disability")</f>
        <v>Autism and Intellectual Disability</v>
      </c>
      <c r="X8" s="58" t="str">
        <f ca="1">IFERROR(__xludf.DUMMYFUNCTION("QUERY('Volunteer Survey'!R7)"),"No - I am only interested in the group(s) I previously indicated")</f>
        <v>No - I am only interested in the group(s) I previously indicated</v>
      </c>
      <c r="Y8" s="45" t="s">
        <v>292</v>
      </c>
      <c r="Z8" s="62"/>
      <c r="AA8" s="49"/>
      <c r="AB8" s="49"/>
      <c r="AC8" s="49"/>
      <c r="AD8" s="49"/>
      <c r="AE8" s="49"/>
      <c r="AF8" s="49"/>
      <c r="AG8" s="49"/>
      <c r="AH8" s="49"/>
      <c r="AI8" s="49"/>
      <c r="AJ8" s="49"/>
      <c r="AK8" s="49"/>
      <c r="AL8" s="49"/>
      <c r="AM8" s="49"/>
      <c r="AN8" s="49"/>
      <c r="AO8" s="49"/>
    </row>
    <row r="9" spans="1:41" ht="14">
      <c r="A9" s="44">
        <f ca="1">IFERROR(__xludf.DUMMYFUNCTION("QUERY('Volunteer Survey'!A8)"),43378.4807523148)</f>
        <v>43378.480752314797</v>
      </c>
      <c r="B9" s="42" t="s">
        <v>125</v>
      </c>
      <c r="C9" s="73">
        <v>43411</v>
      </c>
      <c r="D9" s="50">
        <v>43446</v>
      </c>
      <c r="E9" s="42" t="s">
        <v>117</v>
      </c>
      <c r="F9" s="42" t="s">
        <v>117</v>
      </c>
      <c r="G9" s="42" t="s">
        <v>122</v>
      </c>
      <c r="H9" s="45" t="s">
        <v>20</v>
      </c>
      <c r="I9" s="45" t="s">
        <v>139</v>
      </c>
      <c r="J9" s="50">
        <v>43592</v>
      </c>
      <c r="K9" s="50">
        <v>43713</v>
      </c>
      <c r="L9" s="49" t="str">
        <f ca="1">IFERROR(__xludf.DUMMYFUNCTION("QUERY('Volunteer Survey'!B8)"),"Kalpana Panneerselvam")</f>
        <v>Kalpana Panneerselvam</v>
      </c>
      <c r="M9" s="49" t="str">
        <f ca="1">IFERROR(__xludf.DUMMYFUNCTION("QUERY('Volunteer Survey'!E8)"),"kalpanarpanneerselvam@gmail.com")</f>
        <v>kalpanarpanneerselvam@gmail.com</v>
      </c>
      <c r="N9" s="49" t="str">
        <f ca="1">IFERROR(__xludf.DUMMYFUNCTION("QUERY('Volunteer Survey'!F8)"),"Biocurator")</f>
        <v>Biocurator</v>
      </c>
      <c r="O9" s="42" t="str">
        <f ca="1">IFERROR(__xludf.DUMMYFUNCTION("QUERY('Volunteer Survey'!H8)"),"Comprehensive")</f>
        <v>Comprehensive</v>
      </c>
      <c r="P9" s="49" t="str">
        <f ca="1">IFERROR(__xludf.DUMMYFUNCTION("QUERY('Volunteer Survey'!I8)"),"Gene-Disease Validity")</f>
        <v>Gene-Disease Validity</v>
      </c>
      <c r="Q9" s="54" t="str">
        <f ca="1">IFERROR(__xludf.DUMMYFUNCTION("QUERY('Volunteer Survey'!J8)"),"Clinical Actionability")</f>
        <v>Clinical Actionability</v>
      </c>
      <c r="R9" s="49" t="str">
        <f ca="1">IFERROR(__xludf.DUMMYFUNCTION("QUERY('Volunteer Survey'!K8)"),"Variant Pathogenicity")</f>
        <v>Variant Pathogenicity</v>
      </c>
      <c r="S9" s="49" t="str">
        <f ca="1">IFERROR(__xludf.DUMMYFUNCTION("QUERY('Volunteer Survey'!L8)"),"Dosage Sensitivity")</f>
        <v>Dosage Sensitivity</v>
      </c>
      <c r="T9" s="49" t="str">
        <f ca="1">IFERROR(__xludf.DUMMYFUNCTION("QUERY('Volunteer Survey'!M8)"),"Somatic Cancer")</f>
        <v>Somatic Cancer</v>
      </c>
      <c r="U9" s="58" t="str">
        <f ca="1">IFERROR(__xludf.DUMMYFUNCTION("QUERY('Volunteer Survey'!N8)"),"I have worked as curator for Ingenuity Variant Analysis product by Qiagen ")</f>
        <v xml:space="preserve">I have worked as curator for Ingenuity Variant Analysis product by Qiagen </v>
      </c>
      <c r="V9" s="49" t="str">
        <f ca="1">IFERROR(__xludf.DUMMYFUNCTION("QUERY('Volunteer Survey'!O8)"),"Possibly")</f>
        <v>Possibly</v>
      </c>
      <c r="W9" s="60" t="str">
        <f ca="1">IFERROR(__xludf.DUMMYFUNCTION("QUERY('Volunteer Survey'!P8)"),"Mitochondrial diseases ")</f>
        <v xml:space="preserve">Mitochondrial diseases </v>
      </c>
      <c r="X9" s="58" t="str">
        <f ca="1">IFERROR(__xludf.DUMMYFUNCTION("QUERY('Volunteer Survey'!R8)"),"Yes- I am willing to volunteer with any available ClinGen group")</f>
        <v>Yes- I am willing to volunteer with any available ClinGen group</v>
      </c>
      <c r="Y9" s="45" t="s">
        <v>295</v>
      </c>
      <c r="Z9" s="62"/>
      <c r="AA9" s="49"/>
      <c r="AB9" s="49"/>
      <c r="AC9" s="49"/>
      <c r="AD9" s="49"/>
      <c r="AE9" s="49"/>
      <c r="AF9" s="49"/>
      <c r="AG9" s="49"/>
      <c r="AH9" s="49"/>
      <c r="AI9" s="49"/>
      <c r="AJ9" s="49"/>
      <c r="AK9" s="49"/>
      <c r="AL9" s="49"/>
      <c r="AM9" s="49"/>
      <c r="AN9" s="49"/>
      <c r="AO9" s="49"/>
    </row>
    <row r="10" spans="1:41" ht="14">
      <c r="A10" s="44">
        <f ca="1">IFERROR(__xludf.DUMMYFUNCTION("QUERY('Volunteer Survey'!A9)"),43447.7193945254)</f>
        <v>43447.719394525397</v>
      </c>
      <c r="B10" s="42" t="s">
        <v>160</v>
      </c>
      <c r="C10" s="47"/>
      <c r="D10" s="59">
        <v>43580</v>
      </c>
      <c r="E10" s="42" t="s">
        <v>117</v>
      </c>
      <c r="F10" s="42" t="s">
        <v>117</v>
      </c>
      <c r="G10" s="42" t="s">
        <v>163</v>
      </c>
      <c r="H10" s="45" t="s">
        <v>164</v>
      </c>
      <c r="I10" s="45" t="s">
        <v>139</v>
      </c>
      <c r="J10" s="50">
        <v>43712</v>
      </c>
      <c r="K10" s="50"/>
      <c r="L10" s="49" t="str">
        <f ca="1">IFERROR(__xludf.DUMMYFUNCTION("QUERY('Volunteer Survey'!B9)"),"Justin Schleede Phd")</f>
        <v>Justin Schleede Phd</v>
      </c>
      <c r="M10" s="49" t="str">
        <f ca="1">IFERROR(__xludf.DUMMYFUNCTION("QUERY('Volunteer Survey'!E9)"),"schleej@labcorp.com")</f>
        <v>schleej@labcorp.com</v>
      </c>
      <c r="N10" s="49" t="str">
        <f ca="1">IFERROR(__xludf.DUMMYFUNCTION("QUERY('Volunteer Survey'!F9)"),"Clinical laboratory geneticist")</f>
        <v>Clinical laboratory geneticist</v>
      </c>
      <c r="O10" s="42" t="str">
        <f ca="1">IFERROR(__xludf.DUMMYFUNCTION("QUERY('Volunteer Survey'!H9)"),"Comprehensive")</f>
        <v>Comprehensive</v>
      </c>
      <c r="P10" s="49" t="str">
        <f ca="1">IFERROR(__xludf.DUMMYFUNCTION("QUERY('Volunteer Survey'!I9)"),"Dosage Sensitivity")</f>
        <v>Dosage Sensitivity</v>
      </c>
      <c r="Q10" s="54" t="str">
        <f ca="1">IFERROR(__xludf.DUMMYFUNCTION("QUERY('Volunteer Survey'!J9)"),"Variant Pathogenicity")</f>
        <v>Variant Pathogenicity</v>
      </c>
      <c r="R10" s="49" t="str">
        <f ca="1">IFERROR(__xludf.DUMMYFUNCTION("QUERY('Volunteer Survey'!K9)"),"Somatic Cancer")</f>
        <v>Somatic Cancer</v>
      </c>
      <c r="S10" s="49" t="str">
        <f ca="1">IFERROR(__xludf.DUMMYFUNCTION("QUERY('Volunteer Survey'!L9)"),"Clinical Actionability")</f>
        <v>Clinical Actionability</v>
      </c>
      <c r="T10" s="49" t="str">
        <f ca="1">IFERROR(__xludf.DUMMYFUNCTION("QUERY('Volunteer Survey'!M9)"),"Gene-Disease Validity")</f>
        <v>Gene-Disease Validity</v>
      </c>
      <c r="U10" s="58" t="str">
        <f ca="1">IFERROR(__xludf.DUMMYFUNCTION("QUERY('Volunteer Survey'!N9)"),"Yes, I review literature and classify genes as part of my daily workflow")</f>
        <v>Yes, I review literature and classify genes as part of my daily workflow</v>
      </c>
      <c r="V10" s="49" t="str">
        <f ca="1">IFERROR(__xludf.DUMMYFUNCTION("QUERY('Volunteer Survey'!O9)"),"No")</f>
        <v>No</v>
      </c>
      <c r="W10" s="60" t="str">
        <f ca="1">IFERROR(__xludf.DUMMYFUNCTION("QUERY('Volunteer Survey'!P9)"),"")</f>
        <v/>
      </c>
      <c r="X10" s="58" t="str">
        <f ca="1">IFERROR(__xludf.DUMMYFUNCTION("QUERY('Volunteer Survey'!R9)"),"Maybe -- please contact me with other options, and I will decide based on what is available")</f>
        <v>Maybe -- please contact me with other options, and I will decide based on what is available</v>
      </c>
      <c r="Y10" s="47"/>
      <c r="Z10" s="62"/>
      <c r="AA10" s="49"/>
      <c r="AB10" s="49"/>
      <c r="AC10" s="49"/>
      <c r="AD10" s="49"/>
      <c r="AE10" s="49"/>
      <c r="AF10" s="49"/>
      <c r="AG10" s="49"/>
      <c r="AH10" s="49"/>
      <c r="AI10" s="49"/>
      <c r="AJ10" s="49"/>
      <c r="AK10" s="49"/>
      <c r="AL10" s="49"/>
      <c r="AM10" s="49"/>
      <c r="AN10" s="49"/>
      <c r="AO10" s="49"/>
    </row>
    <row r="11" spans="1:41" ht="14">
      <c r="A11" s="44">
        <f ca="1">IFERROR(__xludf.DUMMYFUNCTION("QUERY('Volunteer Survey'!A11)"),43452.6249173148)</f>
        <v>43452.624917314803</v>
      </c>
      <c r="B11" s="42" t="s">
        <v>108</v>
      </c>
      <c r="C11" s="47"/>
      <c r="D11" s="59">
        <v>43678</v>
      </c>
      <c r="E11" s="42" t="s">
        <v>117</v>
      </c>
      <c r="F11" s="42" t="s">
        <v>130</v>
      </c>
      <c r="G11" s="42" t="s">
        <v>19</v>
      </c>
      <c r="H11" s="63"/>
      <c r="I11" s="63" t="s">
        <v>139</v>
      </c>
      <c r="J11" s="49"/>
      <c r="K11" s="49"/>
      <c r="L11" s="49" t="str">
        <f ca="1">IFERROR(__xludf.DUMMYFUNCTION("QUERY('Volunteer Survey'!B11)"),"Juan Carlos Diaz ")</f>
        <v xml:space="preserve">Juan Carlos Diaz </v>
      </c>
      <c r="M11" s="49" t="str">
        <f ca="1">IFERROR(__xludf.DUMMYFUNCTION("QUERY('Volunteer Survey'!E11)"),"cuallijuan@hotmail.com ")</f>
        <v xml:space="preserve">cuallijuan@hotmail.com </v>
      </c>
      <c r="N11" s="49" t="str">
        <f ca="1">IFERROR(__xludf.DUMMYFUNCTION("QUERY('Volunteer Survey'!F11)"),"Scientific Researcher")</f>
        <v>Scientific Researcher</v>
      </c>
      <c r="O11" s="42" t="str">
        <f ca="1">IFERROR(__xludf.DUMMYFUNCTION("QUERY('Volunteer Survey'!H11)"),"Comprehensive")</f>
        <v>Comprehensive</v>
      </c>
      <c r="P11" s="49" t="str">
        <f ca="1">IFERROR(__xludf.DUMMYFUNCTION("QUERY('Volunteer Survey'!I11)"),"Clinical Actionability")</f>
        <v>Clinical Actionability</v>
      </c>
      <c r="Q11" s="54" t="str">
        <f ca="1">IFERROR(__xludf.DUMMYFUNCTION("QUERY('Volunteer Survey'!J11)"),"Dosage Sensitivity")</f>
        <v>Dosage Sensitivity</v>
      </c>
      <c r="R11" s="49" t="str">
        <f ca="1">IFERROR(__xludf.DUMMYFUNCTION("QUERY('Volunteer Survey'!K11)"),"Somatic Cancer")</f>
        <v>Somatic Cancer</v>
      </c>
      <c r="S11" s="49" t="str">
        <f ca="1">IFERROR(__xludf.DUMMYFUNCTION("QUERY('Volunteer Survey'!L11)"),"Gene-Disease Validity")</f>
        <v>Gene-Disease Validity</v>
      </c>
      <c r="T11" s="49" t="str">
        <f ca="1">IFERROR(__xludf.DUMMYFUNCTION("QUERY('Volunteer Survey'!M11)"),"Variant Pathogenicity")</f>
        <v>Variant Pathogenicity</v>
      </c>
      <c r="U11" s="58" t="str">
        <f ca="1">IFERROR(__xludf.DUMMYFUNCTION("QUERY('Volunteer Survey'!N11)"),"No ")</f>
        <v xml:space="preserve">No </v>
      </c>
      <c r="V11" s="49" t="str">
        <f ca="1">IFERROR(__xludf.DUMMYFUNCTION("QUERY('Volunteer Survey'!O11)"),"Yes")</f>
        <v>Yes</v>
      </c>
      <c r="W11" s="60" t="str">
        <f ca="1">IFERROR(__xludf.DUMMYFUNCTION("QUERY('Volunteer Survey'!P11)"),"Gene Curation Expert Panels")</f>
        <v>Gene Curation Expert Panels</v>
      </c>
      <c r="X11" s="58" t="str">
        <f ca="1">IFERROR(__xludf.DUMMYFUNCTION("QUERY('Volunteer Survey'!R11)"),"Yes- I am willing to volunteer with any available ClinGen group")</f>
        <v>Yes- I am willing to volunteer with any available ClinGen group</v>
      </c>
      <c r="Y11" s="47"/>
      <c r="Z11" s="62"/>
      <c r="AA11" s="49"/>
      <c r="AB11" s="49"/>
      <c r="AC11" s="49"/>
      <c r="AD11" s="49"/>
      <c r="AE11" s="49"/>
      <c r="AF11" s="49"/>
      <c r="AG11" s="49"/>
      <c r="AH11" s="49"/>
      <c r="AI11" s="49"/>
      <c r="AJ11" s="49"/>
      <c r="AK11" s="49"/>
      <c r="AL11" s="49"/>
      <c r="AM11" s="49"/>
      <c r="AN11" s="49"/>
      <c r="AO11" s="49"/>
    </row>
    <row r="12" spans="1:41" ht="14">
      <c r="A12" s="44">
        <f ca="1">IFERROR(__xludf.DUMMYFUNCTION("QUERY('Volunteer Survey'!A12)"),43453.1768565162)</f>
        <v>43453.176856516198</v>
      </c>
      <c r="B12" s="42" t="s">
        <v>108</v>
      </c>
      <c r="C12" s="47"/>
      <c r="D12" s="49"/>
      <c r="E12" s="42" t="s">
        <v>130</v>
      </c>
      <c r="F12" s="42" t="s">
        <v>130</v>
      </c>
      <c r="G12" s="42" t="s">
        <v>202</v>
      </c>
      <c r="H12" s="47"/>
      <c r="I12" s="45" t="s">
        <v>139</v>
      </c>
      <c r="J12" s="49"/>
      <c r="K12" s="49"/>
      <c r="L12" s="49" t="str">
        <f ca="1">IFERROR(__xludf.DUMMYFUNCTION("QUERY('Volunteer Survey'!B12)"),"Indu Raja")</f>
        <v>Indu Raja</v>
      </c>
      <c r="M12" s="49" t="str">
        <f ca="1">IFERROR(__xludf.DUMMYFUNCTION("QUERY('Volunteer Survey'!E12)"),"indudraja@gmail.com")</f>
        <v>indudraja@gmail.com</v>
      </c>
      <c r="N12" s="49" t="str">
        <f ca="1">IFERROR(__xludf.DUMMYFUNCTION("QUERY('Volunteer Survey'!F12)"),"laboratory technologist")</f>
        <v>laboratory technologist</v>
      </c>
      <c r="O12" s="42" t="str">
        <f ca="1">IFERROR(__xludf.DUMMYFUNCTION("QUERY('Volunteer Survey'!H12)"),"Baseline")</f>
        <v>Baseline</v>
      </c>
      <c r="P12" s="49" t="str">
        <f ca="1">IFERROR(__xludf.DUMMYFUNCTION("QUERY('Volunteer Survey'!I12)"),"Clinical Actionability")</f>
        <v>Clinical Actionability</v>
      </c>
      <c r="Q12" s="54" t="str">
        <f ca="1">IFERROR(__xludf.DUMMYFUNCTION("QUERY('Volunteer Survey'!J12)"),"Variant Pathogenicity")</f>
        <v>Variant Pathogenicity</v>
      </c>
      <c r="R12" s="49" t="str">
        <f ca="1">IFERROR(__xludf.DUMMYFUNCTION("QUERY('Volunteer Survey'!K12)"),"Dosage Sensitivity")</f>
        <v>Dosage Sensitivity</v>
      </c>
      <c r="S12" s="49" t="str">
        <f ca="1">IFERROR(__xludf.DUMMYFUNCTION("QUERY('Volunteer Survey'!L12)"),"Gene-Disease Validity")</f>
        <v>Gene-Disease Validity</v>
      </c>
      <c r="T12" s="49" t="str">
        <f ca="1">IFERROR(__xludf.DUMMYFUNCTION("QUERY('Volunteer Survey'!M12)"),"")</f>
        <v/>
      </c>
      <c r="U12" s="58" t="str">
        <f ca="1">IFERROR(__xludf.DUMMYFUNCTION("QUERY('Volunteer Survey'!N12)"),"No")</f>
        <v>No</v>
      </c>
      <c r="V12" s="49" t="str">
        <f ca="1">IFERROR(__xludf.DUMMYFUNCTION("QUERY('Volunteer Survey'!O12)"),"Possibly")</f>
        <v>Possibly</v>
      </c>
      <c r="W12" s="60" t="str">
        <f ca="1">IFERROR(__xludf.DUMMYFUNCTION("QUERY('Volunteer Survey'!P12)"),"")</f>
        <v/>
      </c>
      <c r="X12" s="58" t="str">
        <f ca="1">IFERROR(__xludf.DUMMYFUNCTION("QUERY('Volunteer Survey'!R12)"),"Maybe -- please contact me with other options, and I will decide based on what is available")</f>
        <v>Maybe -- please contact me with other options, and I will decide based on what is available</v>
      </c>
      <c r="Y12" s="47"/>
      <c r="Z12" s="62"/>
      <c r="AA12" s="49"/>
      <c r="AB12" s="49"/>
      <c r="AC12" s="49"/>
      <c r="AD12" s="49"/>
      <c r="AE12" s="49"/>
      <c r="AF12" s="49"/>
      <c r="AG12" s="49"/>
      <c r="AH12" s="49"/>
      <c r="AI12" s="49"/>
      <c r="AJ12" s="49"/>
      <c r="AK12" s="49"/>
      <c r="AL12" s="49"/>
      <c r="AM12" s="49"/>
      <c r="AN12" s="49"/>
      <c r="AO12" s="49"/>
    </row>
    <row r="13" spans="1:41" ht="28">
      <c r="A13" s="44">
        <f ca="1">IFERROR(__xludf.DUMMYFUNCTION("QUERY('Volunteer Survey'!A13)"),43453.5543628703)</f>
        <v>43453.554362870302</v>
      </c>
      <c r="B13" s="42" t="s">
        <v>108</v>
      </c>
      <c r="C13" s="47"/>
      <c r="D13" s="59">
        <v>43570</v>
      </c>
      <c r="E13" s="42" t="s">
        <v>117</v>
      </c>
      <c r="F13" s="42" t="s">
        <v>117</v>
      </c>
      <c r="G13" s="42" t="s">
        <v>122</v>
      </c>
      <c r="H13" s="45" t="s">
        <v>173</v>
      </c>
      <c r="I13" s="45" t="s">
        <v>299</v>
      </c>
      <c r="J13" s="50">
        <v>43712</v>
      </c>
      <c r="K13" s="50"/>
      <c r="L13" s="49" t="str">
        <f ca="1">IFERROR(__xludf.DUMMYFUNCTION("QUERY('Volunteer Survey'!B13)"),"Tomohiko Ai")</f>
        <v>Tomohiko Ai</v>
      </c>
      <c r="M13" s="49" t="str">
        <f ca="1">IFERROR(__xludf.DUMMYFUNCTION("QUERY('Volunteer Survey'!E13)"),"Tomohiko.Ai@osumc.edu")</f>
        <v>Tomohiko.Ai@osumc.edu</v>
      </c>
      <c r="N13" s="49" t="str">
        <f ca="1">IFERROR(__xludf.DUMMYFUNCTION("QUERY('Volunteer Survey'!F13)"),"Scientific Researcher")</f>
        <v>Scientific Researcher</v>
      </c>
      <c r="O13" s="42" t="str">
        <f ca="1">IFERROR(__xludf.DUMMYFUNCTION("QUERY('Volunteer Survey'!H13)"),"Comprehensive")</f>
        <v>Comprehensive</v>
      </c>
      <c r="P13" s="49" t="str">
        <f ca="1">IFERROR(__xludf.DUMMYFUNCTION("QUERY('Volunteer Survey'!I13)"),"Gene-Disease Validity")</f>
        <v>Gene-Disease Validity</v>
      </c>
      <c r="Q13" s="54" t="str">
        <f ca="1">IFERROR(__xludf.DUMMYFUNCTION("QUERY('Volunteer Survey'!J13)"),"Variant Pathogenicity")</f>
        <v>Variant Pathogenicity</v>
      </c>
      <c r="R13" s="49" t="str">
        <f ca="1">IFERROR(__xludf.DUMMYFUNCTION("QUERY('Volunteer Survey'!K13)"),"")</f>
        <v/>
      </c>
      <c r="S13" s="49" t="str">
        <f ca="1">IFERROR(__xludf.DUMMYFUNCTION("QUERY('Volunteer Survey'!L13)"),"")</f>
        <v/>
      </c>
      <c r="T13" s="49" t="str">
        <f ca="1">IFERROR(__xludf.DUMMYFUNCTION("QUERY('Volunteer Survey'!M13)"),"")</f>
        <v/>
      </c>
      <c r="U13" s="58" t="str">
        <f ca="1">IFERROR(__xludf.DUMMYFUNCTION("QUERY('Volunteer Survey'!N13)"),"I have experiences with variant pathogenicity.")</f>
        <v>I have experiences with variant pathogenicity.</v>
      </c>
      <c r="V13" s="49" t="str">
        <f ca="1">IFERROR(__xludf.DUMMYFUNCTION("QUERY('Volunteer Survey'!O13)"),"Possibly")</f>
        <v>Possibly</v>
      </c>
      <c r="W13" s="60" t="str">
        <f ca="1">IFERROR(__xludf.DUMMYFUNCTION("QUERY('Volunteer Survey'!P13)"),"Cardiovascular")</f>
        <v>Cardiovascular</v>
      </c>
      <c r="X13" s="58" t="str">
        <f ca="1">IFERROR(__xludf.DUMMYFUNCTION("QUERY('Volunteer Survey'!R13)"),"Maybe -- please contact me with other options, and I will decide based on what is available")</f>
        <v>Maybe -- please contact me with other options, and I will decide based on what is available</v>
      </c>
      <c r="Y13" s="47"/>
      <c r="Z13" s="62"/>
      <c r="AA13" s="49"/>
      <c r="AB13" s="49"/>
      <c r="AC13" s="49"/>
      <c r="AD13" s="49"/>
      <c r="AE13" s="49"/>
      <c r="AF13" s="49"/>
      <c r="AG13" s="49"/>
      <c r="AH13" s="49"/>
      <c r="AI13" s="49"/>
      <c r="AJ13" s="49"/>
      <c r="AK13" s="49"/>
      <c r="AL13" s="49"/>
      <c r="AM13" s="49"/>
      <c r="AN13" s="49"/>
      <c r="AO13" s="49"/>
    </row>
    <row r="14" spans="1:41" ht="14">
      <c r="A14" s="44">
        <f ca="1">IFERROR(__xludf.DUMMYFUNCTION("QUERY('Volunteer Survey'!A14)"),43404.8743634259)</f>
        <v>43404.874363425901</v>
      </c>
      <c r="B14" s="42" t="s">
        <v>168</v>
      </c>
      <c r="C14" s="73">
        <v>43474</v>
      </c>
      <c r="D14" s="43">
        <v>43476</v>
      </c>
      <c r="E14" s="42" t="s">
        <v>117</v>
      </c>
      <c r="F14" s="42" t="s">
        <v>130</v>
      </c>
      <c r="G14" s="42" t="s">
        <v>136</v>
      </c>
      <c r="H14" s="45" t="s">
        <v>179</v>
      </c>
      <c r="I14" s="45" t="s">
        <v>139</v>
      </c>
      <c r="J14" s="50">
        <v>43592</v>
      </c>
      <c r="K14" s="42" t="s">
        <v>300</v>
      </c>
      <c r="L14" s="49" t="str">
        <f ca="1">IFERROR(__xludf.DUMMYFUNCTION("QUERY('Volunteer Survey'!B14)"),"Rajavarman Kittu")</f>
        <v>Rajavarman Kittu</v>
      </c>
      <c r="M14" s="49" t="str">
        <f ca="1">IFERROR(__xludf.DUMMYFUNCTION("QUERY('Volunteer Survey'!E14)"),"rajavarman21@gmail.com")</f>
        <v>rajavarman21@gmail.com</v>
      </c>
      <c r="N14" s="49" t="str">
        <f ca="1">IFERROR(__xludf.DUMMYFUNCTION("QUERY('Volunteer Survey'!F14)"),"Variant Analyst/Scientist")</f>
        <v>Variant Analyst/Scientist</v>
      </c>
      <c r="O14" s="42" t="str">
        <f ca="1">IFERROR(__xludf.DUMMYFUNCTION("QUERY('Volunteer Survey'!H14)"),"Comprehensive")</f>
        <v>Comprehensive</v>
      </c>
      <c r="P14" s="42" t="s">
        <v>136</v>
      </c>
      <c r="Q14" s="75" t="s">
        <v>251</v>
      </c>
      <c r="R14" s="49" t="str">
        <f ca="1">IFERROR(__xludf.DUMMYFUNCTION("QUERY('Volunteer Survey'!K14)"),"Clinical Actionability")</f>
        <v>Clinical Actionability</v>
      </c>
      <c r="S14" s="49" t="str">
        <f ca="1">IFERROR(__xludf.DUMMYFUNCTION("QUERY('Volunteer Survey'!L14)"),"Gene-Disease Validity")</f>
        <v>Gene-Disease Validity</v>
      </c>
      <c r="T14" s="49" t="str">
        <f ca="1">IFERROR(__xludf.DUMMYFUNCTION("QUERY('Volunteer Survey'!M14)"),"Dosage Sensitivity")</f>
        <v>Dosage Sensitivity</v>
      </c>
      <c r="U14" s="58" t="str">
        <f ca="1">IFERROR(__xludf.DUMMYFUNCTION("QUERY('Volunteer Survey'!N14)"),"Yea being variant analyst I'm doing curation in and out before reporting any patient observed in patient")</f>
        <v>Yea being variant analyst I'm doing curation in and out before reporting any patient observed in patient</v>
      </c>
      <c r="V14" s="49" t="str">
        <f ca="1">IFERROR(__xludf.DUMMYFUNCTION("QUERY('Volunteer Survey'!O14)"),"Possibly")</f>
        <v>Possibly</v>
      </c>
      <c r="W14" s="60" t="str">
        <f ca="1">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58" t="str">
        <f ca="1">IFERROR(__xludf.DUMMYFUNCTION("QUERY('Volunteer Survey'!R14)"),"Yes- I am willing to volunteer with any available ClinGen group")</f>
        <v>Yes- I am willing to volunteer with any available ClinGen group</v>
      </c>
      <c r="Y14" s="74" t="s">
        <v>301</v>
      </c>
      <c r="Z14" s="62"/>
      <c r="AA14" s="49"/>
      <c r="AB14" s="49"/>
      <c r="AC14" s="49"/>
      <c r="AD14" s="49"/>
      <c r="AE14" s="49"/>
      <c r="AF14" s="49"/>
      <c r="AG14" s="49"/>
      <c r="AH14" s="49"/>
      <c r="AI14" s="49"/>
      <c r="AJ14" s="49"/>
      <c r="AK14" s="49"/>
      <c r="AL14" s="49"/>
      <c r="AM14" s="49"/>
      <c r="AN14" s="49"/>
      <c r="AO14" s="49"/>
    </row>
    <row r="15" spans="1:41" ht="14">
      <c r="A15" s="44">
        <f ca="1">IFERROR(__xludf.DUMMYFUNCTION("QUERY('Volunteer Survey'!A15)"),43454.6513332638)</f>
        <v>43454.651333263799</v>
      </c>
      <c r="B15" s="42" t="s">
        <v>108</v>
      </c>
      <c r="C15" s="47"/>
      <c r="D15" s="59">
        <v>43678</v>
      </c>
      <c r="E15" s="42" t="s">
        <v>117</v>
      </c>
      <c r="F15" s="42" t="s">
        <v>130</v>
      </c>
      <c r="G15" s="42" t="s">
        <v>19</v>
      </c>
      <c r="H15" s="63"/>
      <c r="I15" s="63" t="s">
        <v>139</v>
      </c>
      <c r="J15" s="49"/>
      <c r="K15" s="49"/>
      <c r="L15" s="49" t="str">
        <f ca="1">IFERROR(__xludf.DUMMYFUNCTION("QUERY('Volunteer Survey'!B15)"),"Rhea Vallente")</f>
        <v>Rhea Vallente</v>
      </c>
      <c r="M15" s="49" t="str">
        <f ca="1">IFERROR(__xludf.DUMMYFUNCTION("QUERY('Volunteer Survey'!E15)"),"rvallente@fulgentgenetics.com")</f>
        <v>rvallente@fulgentgenetics.com</v>
      </c>
      <c r="N15" s="49" t="str">
        <f ca="1">IFERROR(__xludf.DUMMYFUNCTION("QUERY('Volunteer Survey'!F15)"),"Variant Analyst/Scientist")</f>
        <v>Variant Analyst/Scientist</v>
      </c>
      <c r="O15" s="42" t="str">
        <f ca="1">IFERROR(__xludf.DUMMYFUNCTION("QUERY('Volunteer Survey'!H15)"),"Comprehensive")</f>
        <v>Comprehensive</v>
      </c>
      <c r="P15" s="49" t="str">
        <f ca="1">IFERROR(__xludf.DUMMYFUNCTION("QUERY('Volunteer Survey'!I15)"),"Clinical Actionability")</f>
        <v>Clinical Actionability</v>
      </c>
      <c r="Q15" s="54" t="str">
        <f ca="1">IFERROR(__xludf.DUMMYFUNCTION("QUERY('Volunteer Survey'!J15)"),"Gene-Disease Validity")</f>
        <v>Gene-Disease Validity</v>
      </c>
      <c r="R15" s="49" t="str">
        <f ca="1">IFERROR(__xludf.DUMMYFUNCTION("QUERY('Volunteer Survey'!K15)"),"Variant Pathogenicity")</f>
        <v>Variant Pathogenicity</v>
      </c>
      <c r="S15" s="49" t="str">
        <f ca="1">IFERROR(__xludf.DUMMYFUNCTION("QUERY('Volunteer Survey'!L15)"),"Dosage Sensitivity")</f>
        <v>Dosage Sensitivity</v>
      </c>
      <c r="T15" s="49" t="str">
        <f ca="1">IFERROR(__xludf.DUMMYFUNCTION("QUERY('Volunteer Survey'!M15)"),"Somatic Cancer")</f>
        <v>Somatic Cancer</v>
      </c>
      <c r="U15" s="58" t="str">
        <f ca="1">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49" t="str">
        <f ca="1">IFERROR(__xludf.DUMMYFUNCTION("QUERY('Volunteer Survey'!O15)"),"Yes")</f>
        <v>Yes</v>
      </c>
      <c r="W15" s="60" t="str">
        <f ca="1">IFERROR(__xludf.DUMMYFUNCTION("QUERY('Volunteer Survey'!P15)"),"Hearing loss")</f>
        <v>Hearing loss</v>
      </c>
      <c r="X15" s="58" t="str">
        <f ca="1">IFERROR(__xludf.DUMMYFUNCTION("QUERY('Volunteer Survey'!R15)"),"Yes- I am willing to volunteer with any available ClinGen group")</f>
        <v>Yes- I am willing to volunteer with any available ClinGen group</v>
      </c>
      <c r="Y15" s="47"/>
      <c r="Z15" s="62"/>
      <c r="AA15" s="49"/>
      <c r="AB15" s="49"/>
      <c r="AC15" s="49"/>
      <c r="AD15" s="49"/>
      <c r="AE15" s="49"/>
      <c r="AF15" s="49"/>
      <c r="AG15" s="49"/>
      <c r="AH15" s="49"/>
      <c r="AI15" s="49"/>
      <c r="AJ15" s="49"/>
      <c r="AK15" s="49"/>
      <c r="AL15" s="49"/>
      <c r="AM15" s="49"/>
      <c r="AN15" s="49"/>
      <c r="AO15" s="49"/>
    </row>
    <row r="16" spans="1:41" ht="14">
      <c r="A16" s="44">
        <f ca="1">IFERROR(__xludf.DUMMYFUNCTION("QUERY('Volunteer Survey'!A16)"),43462.7220768287)</f>
        <v>43462.722076828701</v>
      </c>
      <c r="B16" s="42" t="s">
        <v>125</v>
      </c>
      <c r="C16" s="47"/>
      <c r="D16" s="50">
        <v>43585</v>
      </c>
      <c r="E16" s="42" t="s">
        <v>117</v>
      </c>
      <c r="F16" s="42" t="s">
        <v>117</v>
      </c>
      <c r="G16" s="42" t="s">
        <v>122</v>
      </c>
      <c r="H16" s="45" t="s">
        <v>197</v>
      </c>
      <c r="I16" s="45" t="s">
        <v>139</v>
      </c>
      <c r="J16" s="50">
        <v>43712</v>
      </c>
      <c r="K16" s="50"/>
      <c r="L16" s="49" t="str">
        <f ca="1">IFERROR(__xludf.DUMMYFUNCTION("QUERY('Volunteer Survey'!B16)"),"Caitlin Hale")</f>
        <v>Caitlin Hale</v>
      </c>
      <c r="M16" s="49" t="str">
        <f ca="1">IFERROR(__xludf.DUMMYFUNCTION("QUERY('Volunteer Survey'!E16)"),"CHale@stanfordchildrens.org")</f>
        <v>CHale@stanfordchildrens.org</v>
      </c>
      <c r="N16" s="49" t="str">
        <f ca="1">IFERROR(__xludf.DUMMYFUNCTION("QUERY('Volunteer Survey'!F16)"),"Genetic counselor")</f>
        <v>Genetic counselor</v>
      </c>
      <c r="O16" s="42" t="str">
        <f ca="1">IFERROR(__xludf.DUMMYFUNCTION("QUERY('Volunteer Survey'!H16)"),"Comprehensive")</f>
        <v>Comprehensive</v>
      </c>
      <c r="P16" s="49" t="str">
        <f ca="1">IFERROR(__xludf.DUMMYFUNCTION("QUERY('Volunteer Survey'!I16)"),"Gene-Disease Validity")</f>
        <v>Gene-Disease Validity</v>
      </c>
      <c r="Q16" s="54" t="str">
        <f ca="1">IFERROR(__xludf.DUMMYFUNCTION("QUERY('Volunteer Survey'!J16)"),"Variant Pathogenicity")</f>
        <v>Variant Pathogenicity</v>
      </c>
      <c r="R16" s="49" t="str">
        <f ca="1">IFERROR(__xludf.DUMMYFUNCTION("QUERY('Volunteer Survey'!K16)"),"Dosage Sensitivity")</f>
        <v>Dosage Sensitivity</v>
      </c>
      <c r="S16" s="49" t="str">
        <f ca="1">IFERROR(__xludf.DUMMYFUNCTION("QUERY('Volunteer Survey'!L16)"),"Clinical Actionability")</f>
        <v>Clinical Actionability</v>
      </c>
      <c r="T16" s="49" t="str">
        <f ca="1">IFERROR(__xludf.DUMMYFUNCTION("QUERY('Volunteer Survey'!M16)"),"Somatic Cancer")</f>
        <v>Somatic Cancer</v>
      </c>
      <c r="U16" s="58" t="str">
        <f ca="1">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49" t="str">
        <f ca="1">IFERROR(__xludf.DUMMYFUNCTION("QUERY('Volunteer Survey'!O16)"),"Possibly")</f>
        <v>Possibly</v>
      </c>
      <c r="W16" s="60" t="str">
        <f ca="1">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58" t="str">
        <f ca="1">IFERROR(__xludf.DUMMYFUNCTION("QUERY('Volunteer Survey'!R16)"),"Yes- I am willing to volunteer with any available ClinGen group")</f>
        <v>Yes- I am willing to volunteer with any available ClinGen group</v>
      </c>
      <c r="Y16" s="47"/>
      <c r="Z16" s="62"/>
      <c r="AA16" s="49"/>
      <c r="AB16" s="49"/>
      <c r="AC16" s="49"/>
      <c r="AD16" s="49"/>
      <c r="AE16" s="49"/>
      <c r="AF16" s="49"/>
      <c r="AG16" s="49"/>
      <c r="AH16" s="49"/>
      <c r="AI16" s="49"/>
      <c r="AJ16" s="49"/>
      <c r="AK16" s="49"/>
      <c r="AL16" s="49"/>
      <c r="AM16" s="49"/>
      <c r="AN16" s="49"/>
      <c r="AO16" s="49"/>
    </row>
    <row r="17" spans="1:41" ht="14">
      <c r="A17" s="44">
        <f ca="1">IFERROR(__xludf.DUMMYFUNCTION("QUERY('Volunteer Survey'!A17)"),43465.4694648842)</f>
        <v>43465.469464884198</v>
      </c>
      <c r="B17" s="42" t="s">
        <v>108</v>
      </c>
      <c r="C17" s="47"/>
      <c r="D17" s="67">
        <v>43567</v>
      </c>
      <c r="E17" s="42" t="s">
        <v>117</v>
      </c>
      <c r="F17" s="42" t="s">
        <v>117</v>
      </c>
      <c r="G17" s="42" t="s">
        <v>19</v>
      </c>
      <c r="H17" s="63" t="s">
        <v>19</v>
      </c>
      <c r="I17" s="63" t="s">
        <v>139</v>
      </c>
      <c r="J17" s="50">
        <v>43712</v>
      </c>
      <c r="K17" s="50"/>
      <c r="L17" s="49" t="str">
        <f ca="1">IFERROR(__xludf.DUMMYFUNCTION("QUERY('Volunteer Survey'!B17)"),"Melissa Murfin")</f>
        <v>Melissa Murfin</v>
      </c>
      <c r="M17" s="49" t="str">
        <f ca="1">IFERROR(__xludf.DUMMYFUNCTION("QUERY('Volunteer Survey'!E17)"),"mmurfin@elon.edu")</f>
        <v>mmurfin@elon.edu</v>
      </c>
      <c r="N17" s="49" t="str">
        <f ca="1">IFERROR(__xludf.DUMMYFUNCTION("QUERY('Volunteer Survey'!F17)"),"Pharmacist/PA-C, PA program director")</f>
        <v>Pharmacist/PA-C, PA program director</v>
      </c>
      <c r="O17" s="42" t="str">
        <f ca="1">IFERROR(__xludf.DUMMYFUNCTION("QUERY('Volunteer Survey'!H17)"),"Comprehensive")</f>
        <v>Comprehensive</v>
      </c>
      <c r="P17" s="49" t="str">
        <f ca="1">IFERROR(__xludf.DUMMYFUNCTION("QUERY('Volunteer Survey'!I17)"),"Clinical Actionability")</f>
        <v>Clinical Actionability</v>
      </c>
      <c r="Q17" s="54" t="str">
        <f ca="1">IFERROR(__xludf.DUMMYFUNCTION("QUERY('Volunteer Survey'!J17)"),"Dosage Sensitivity")</f>
        <v>Dosage Sensitivity</v>
      </c>
      <c r="R17" s="49" t="str">
        <f ca="1">IFERROR(__xludf.DUMMYFUNCTION("QUERY('Volunteer Survey'!K17)"),"Gene-Disease Validity")</f>
        <v>Gene-Disease Validity</v>
      </c>
      <c r="S17" s="49" t="str">
        <f ca="1">IFERROR(__xludf.DUMMYFUNCTION("QUERY('Volunteer Survey'!L17)"),"Variant Pathogenicity")</f>
        <v>Variant Pathogenicity</v>
      </c>
      <c r="T17" s="49" t="str">
        <f ca="1">IFERROR(__xludf.DUMMYFUNCTION("QUERY('Volunteer Survey'!M17)"),"Somatic Cancer")</f>
        <v>Somatic Cancer</v>
      </c>
      <c r="U17" s="58" t="str">
        <f ca="1">IFERROR(__xludf.DUMMYFUNCTION("QUERY('Volunteer Survey'!N17)"),"")</f>
        <v/>
      </c>
      <c r="V17" s="49" t="str">
        <f ca="1">IFERROR(__xludf.DUMMYFUNCTION("QUERY('Volunteer Survey'!O17)"),"Possibly")</f>
        <v>Possibly</v>
      </c>
      <c r="W17" s="60" t="str">
        <f ca="1">IFERROR(__xludf.DUMMYFUNCTION("QUERY('Volunteer Survey'!P17)"),"I am open to any opportunity")</f>
        <v>I am open to any opportunity</v>
      </c>
      <c r="X17" s="58" t="str">
        <f ca="1">IFERROR(__xludf.DUMMYFUNCTION("QUERY('Volunteer Survey'!R17)"),"Yes- I am willing to volunteer with any available ClinGen group")</f>
        <v>Yes- I am willing to volunteer with any available ClinGen group</v>
      </c>
      <c r="Y17" s="47"/>
      <c r="Z17" s="62"/>
      <c r="AA17" s="49"/>
      <c r="AB17" s="49"/>
      <c r="AC17" s="49"/>
      <c r="AD17" s="49"/>
      <c r="AE17" s="49"/>
      <c r="AF17" s="49"/>
      <c r="AG17" s="49"/>
      <c r="AH17" s="49"/>
      <c r="AI17" s="49"/>
      <c r="AJ17" s="49"/>
      <c r="AK17" s="49"/>
      <c r="AL17" s="49"/>
      <c r="AM17" s="49"/>
      <c r="AN17" s="49"/>
      <c r="AO17" s="49"/>
    </row>
    <row r="18" spans="1:41" ht="14">
      <c r="A18" s="44">
        <f ca="1">IFERROR(__xludf.DUMMYFUNCTION("QUERY('Volunteer Survey'!A18)"),43467.2898761111)</f>
        <v>43467.289876111099</v>
      </c>
      <c r="B18" s="42" t="s">
        <v>108</v>
      </c>
      <c r="C18" s="47"/>
      <c r="D18" s="59">
        <v>43585</v>
      </c>
      <c r="E18" s="42" t="s">
        <v>117</v>
      </c>
      <c r="F18" s="42" t="s">
        <v>117</v>
      </c>
      <c r="G18" s="42" t="s">
        <v>122</v>
      </c>
      <c r="H18" s="45" t="s">
        <v>220</v>
      </c>
      <c r="I18" s="45" t="s">
        <v>139</v>
      </c>
      <c r="J18" s="50">
        <v>43712</v>
      </c>
      <c r="K18" s="50"/>
      <c r="L18" s="49" t="str">
        <f ca="1">IFERROR(__xludf.DUMMYFUNCTION("QUERY('Volunteer Survey'!B18)"),"Ana León")</f>
        <v>Ana León</v>
      </c>
      <c r="M18" s="49" t="str">
        <f ca="1">IFERROR(__xludf.DUMMYFUNCTION("QUERY('Volunteer Survey'!E18)"),"aleon@pros.upv.es")</f>
        <v>aleon@pros.upv.es</v>
      </c>
      <c r="N18" s="49" t="str">
        <f ca="1">IFERROR(__xludf.DUMMYFUNCTION("QUERY('Volunteer Survey'!F18)"),"PhD Student")</f>
        <v>PhD Student</v>
      </c>
      <c r="O18" s="42" t="str">
        <f ca="1">IFERROR(__xludf.DUMMYFUNCTION("QUERY('Volunteer Survey'!H18)"),"Comprehensive")</f>
        <v>Comprehensive</v>
      </c>
      <c r="P18" s="49" t="str">
        <f ca="1">IFERROR(__xludf.DUMMYFUNCTION("QUERY('Volunteer Survey'!I18)"),"Gene-Disease Validity")</f>
        <v>Gene-Disease Validity</v>
      </c>
      <c r="Q18" s="54" t="str">
        <f ca="1">IFERROR(__xludf.DUMMYFUNCTION("QUERY('Volunteer Survey'!J18)"),"")</f>
        <v/>
      </c>
      <c r="R18" s="49" t="str">
        <f ca="1">IFERROR(__xludf.DUMMYFUNCTION("QUERY('Volunteer Survey'!K18)"),"")</f>
        <v/>
      </c>
      <c r="S18" s="49" t="str">
        <f ca="1">IFERROR(__xludf.DUMMYFUNCTION("QUERY('Volunteer Survey'!L18)"),"")</f>
        <v/>
      </c>
      <c r="T18" s="49" t="str">
        <f ca="1">IFERROR(__xludf.DUMMYFUNCTION("QUERY('Volunteer Survey'!M18)"),"")</f>
        <v/>
      </c>
      <c r="U18" s="58" t="str">
        <f ca="1">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49" t="str">
        <f ca="1">IFERROR(__xludf.DUMMYFUNCTION("QUERY('Volunteer Survey'!O18)"),"Yes")</f>
        <v>Yes</v>
      </c>
      <c r="W18" s="60" t="str">
        <f ca="1">IFERROR(__xludf.DUMMYFUNCTION("QUERY('Volunteer Survey'!P18)"),"")</f>
        <v/>
      </c>
      <c r="X18" s="58" t="str">
        <f ca="1">IFERROR(__xludf.DUMMYFUNCTION("QUERY('Volunteer Survey'!R18)"),"Maybe -- please contact me with other options, and I will decide based on what is available")</f>
        <v>Maybe -- please contact me with other options, and I will decide based on what is available</v>
      </c>
      <c r="Y18" s="47"/>
      <c r="Z18" s="62"/>
      <c r="AA18" s="49"/>
      <c r="AB18" s="49"/>
      <c r="AC18" s="49"/>
      <c r="AD18" s="49"/>
      <c r="AE18" s="49"/>
      <c r="AF18" s="49"/>
      <c r="AG18" s="49"/>
      <c r="AH18" s="49"/>
      <c r="AI18" s="49"/>
      <c r="AJ18" s="49"/>
      <c r="AK18" s="49"/>
      <c r="AL18" s="49"/>
      <c r="AM18" s="49"/>
      <c r="AN18" s="49"/>
      <c r="AO18" s="49"/>
    </row>
    <row r="19" spans="1:41" ht="14">
      <c r="A19" s="44">
        <f ca="1">IFERROR(__xludf.DUMMYFUNCTION("QUERY('Volunteer Survey'!A19)"),43469.322247662)</f>
        <v>43469.322247661999</v>
      </c>
      <c r="B19" s="42" t="s">
        <v>160</v>
      </c>
      <c r="C19" s="73">
        <v>43437</v>
      </c>
      <c r="D19" s="50">
        <v>43446</v>
      </c>
      <c r="E19" s="42" t="s">
        <v>117</v>
      </c>
      <c r="F19" s="42" t="s">
        <v>117</v>
      </c>
      <c r="G19" s="42" t="s">
        <v>122</v>
      </c>
      <c r="H19" s="45" t="s">
        <v>143</v>
      </c>
      <c r="I19" s="45" t="s">
        <v>139</v>
      </c>
      <c r="J19" s="42"/>
      <c r="K19" s="42"/>
      <c r="L19" s="49" t="str">
        <f ca="1">IFERROR(__xludf.DUMMYFUNCTION("QUERY('Volunteer Survey'!B19)"),"Catalina Betancur")</f>
        <v>Catalina Betancur</v>
      </c>
      <c r="M19" s="49" t="str">
        <f ca="1">IFERROR(__xludf.DUMMYFUNCTION("QUERY('Volunteer Survey'!E19)"),"Catalina.Betancur@inserm.fr")</f>
        <v>Catalina.Betancur@inserm.fr</v>
      </c>
      <c r="N19" s="49" t="str">
        <f ca="1">IFERROR(__xludf.DUMMYFUNCTION("QUERY('Volunteer Survey'!F19)"),"NA")</f>
        <v>NA</v>
      </c>
      <c r="O19" s="42" t="str">
        <f ca="1">IFERROR(__xludf.DUMMYFUNCTION("QUERY('Volunteer Survey'!H19)"),"Comprehensive")</f>
        <v>Comprehensive</v>
      </c>
      <c r="P19" s="49" t="str">
        <f ca="1">IFERROR(__xludf.DUMMYFUNCTION("QUERY('Volunteer Survey'!I19)"),"Gene-Disease Validity")</f>
        <v>Gene-Disease Validity</v>
      </c>
      <c r="Q19" s="54" t="str">
        <f ca="1">IFERROR(__xludf.DUMMYFUNCTION("QUERY('Volunteer Survey'!J19)"),"")</f>
        <v/>
      </c>
      <c r="R19" s="49" t="str">
        <f ca="1">IFERROR(__xludf.DUMMYFUNCTION("QUERY('Volunteer Survey'!K19)"),"")</f>
        <v/>
      </c>
      <c r="S19" s="49" t="str">
        <f ca="1">IFERROR(__xludf.DUMMYFUNCTION("QUERY('Volunteer Survey'!L19)"),"")</f>
        <v/>
      </c>
      <c r="T19" s="49" t="str">
        <f ca="1">IFERROR(__xludf.DUMMYFUNCTION("QUERY('Volunteer Survey'!M19)"),"")</f>
        <v/>
      </c>
      <c r="U19" s="58" t="str">
        <f ca="1">IFERROR(__xludf.DUMMYFUNCTION("QUERY('Volunteer Survey'!N19)"),"")</f>
        <v/>
      </c>
      <c r="V19" s="49" t="str">
        <f ca="1">IFERROR(__xludf.DUMMYFUNCTION("QUERY('Volunteer Survey'!O19)"),"")</f>
        <v/>
      </c>
      <c r="W19" s="60" t="str">
        <f ca="1">IFERROR(__xludf.DUMMYFUNCTION("QUERY('Volunteer Survey'!P19)"),"ID Autism")</f>
        <v>ID Autism</v>
      </c>
      <c r="X19" s="58" t="str">
        <f ca="1">IFERROR(__xludf.DUMMYFUNCTION("QUERY('Volunteer Survey'!R19)"),"")</f>
        <v/>
      </c>
      <c r="Y19" s="45" t="s">
        <v>307</v>
      </c>
      <c r="Z19" s="62"/>
      <c r="AA19" s="49"/>
      <c r="AB19" s="49"/>
      <c r="AC19" s="49"/>
      <c r="AD19" s="49"/>
      <c r="AE19" s="49"/>
      <c r="AF19" s="49"/>
      <c r="AG19" s="49"/>
      <c r="AH19" s="49"/>
      <c r="AI19" s="49"/>
      <c r="AJ19" s="49"/>
      <c r="AK19" s="49"/>
      <c r="AL19" s="49"/>
      <c r="AM19" s="49"/>
      <c r="AN19" s="49"/>
      <c r="AO19" s="49"/>
    </row>
    <row r="20" spans="1:41" ht="14">
      <c r="A20" s="44">
        <f ca="1">IFERROR(__xludf.DUMMYFUNCTION("QUERY('Volunteer Survey'!A20)"),43469.4706938657)</f>
        <v>43469.470693865696</v>
      </c>
      <c r="B20" s="42" t="s">
        <v>108</v>
      </c>
      <c r="C20" s="47"/>
      <c r="D20" s="49"/>
      <c r="E20" s="42" t="s">
        <v>130</v>
      </c>
      <c r="F20" s="42" t="s">
        <v>130</v>
      </c>
      <c r="G20" s="42" t="s">
        <v>202</v>
      </c>
      <c r="H20" s="47"/>
      <c r="I20" s="45" t="s">
        <v>139</v>
      </c>
      <c r="J20" s="49"/>
      <c r="K20" s="49"/>
      <c r="L20" s="49" t="str">
        <f ca="1">IFERROR(__xludf.DUMMYFUNCTION("QUERY('Volunteer Survey'!B20)"),"Casey Brew")</f>
        <v>Casey Brew</v>
      </c>
      <c r="M20" s="49" t="str">
        <f ca="1">IFERROR(__xludf.DUMMYFUNCTION("QUERY('Volunteer Survey'!E20)"),"cbrew@luriechildrens.org")</f>
        <v>cbrew@luriechildrens.org</v>
      </c>
      <c r="N20" s="49" t="str">
        <f ca="1">IFERROR(__xludf.DUMMYFUNCTION("QUERY('Volunteer Survey'!F20)"),"Genetic counselor")</f>
        <v>Genetic counselor</v>
      </c>
      <c r="O20" s="42" t="str">
        <f ca="1">IFERROR(__xludf.DUMMYFUNCTION("QUERY('Volunteer Survey'!H20)"),"Baseline")</f>
        <v>Baseline</v>
      </c>
      <c r="P20" s="49" t="str">
        <f ca="1">IFERROR(__xludf.DUMMYFUNCTION("QUERY('Volunteer Survey'!I20)"),"Variant Pathogenicity")</f>
        <v>Variant Pathogenicity</v>
      </c>
      <c r="Q20" s="54" t="str">
        <f ca="1">IFERROR(__xludf.DUMMYFUNCTION("QUERY('Volunteer Survey'!J20)"),"Gene-Disease Validity")</f>
        <v>Gene-Disease Validity</v>
      </c>
      <c r="R20" s="49" t="str">
        <f ca="1">IFERROR(__xludf.DUMMYFUNCTION("QUERY('Volunteer Survey'!K20)"),"Clinical Actionability")</f>
        <v>Clinical Actionability</v>
      </c>
      <c r="S20" s="49" t="str">
        <f ca="1">IFERROR(__xludf.DUMMYFUNCTION("QUERY('Volunteer Survey'!L20)"),"")</f>
        <v/>
      </c>
      <c r="T20" s="49" t="str">
        <f ca="1">IFERROR(__xludf.DUMMYFUNCTION("QUERY('Volunteer Survey'!M20)"),"")</f>
        <v/>
      </c>
      <c r="U20" s="58" t="str">
        <f ca="1">IFERROR(__xludf.DUMMYFUNCTION("QUERY('Volunteer Survey'!N20)"),"I have experience in sequence variant interpretation and report writing for clinical cases through our in-house molecular diagnostics lab. ")</f>
        <v xml:space="preserve">I have experience in sequence variant interpretation and report writing for clinical cases through our in-house molecular diagnostics lab. </v>
      </c>
      <c r="V20" s="49" t="str">
        <f ca="1">IFERROR(__xludf.DUMMYFUNCTION("QUERY('Volunteer Survey'!O20)"),"Possibly")</f>
        <v>Possibly</v>
      </c>
      <c r="W20" s="60" t="str">
        <f ca="1">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58" t="str">
        <f ca="1">IFERROR(__xludf.DUMMYFUNCTION("QUERY('Volunteer Survey'!R20)"),"Yes- I am willing to volunteer with any available ClinGen group")</f>
        <v>Yes- I am willing to volunteer with any available ClinGen group</v>
      </c>
      <c r="Y20" s="47"/>
      <c r="Z20" s="62"/>
      <c r="AA20" s="49"/>
      <c r="AB20" s="49"/>
      <c r="AC20" s="49"/>
      <c r="AD20" s="49"/>
      <c r="AE20" s="49"/>
      <c r="AF20" s="49"/>
      <c r="AG20" s="49"/>
      <c r="AH20" s="49"/>
      <c r="AI20" s="49"/>
      <c r="AJ20" s="49"/>
      <c r="AK20" s="49"/>
      <c r="AL20" s="49"/>
      <c r="AM20" s="49"/>
      <c r="AN20" s="49"/>
      <c r="AO20" s="49"/>
    </row>
    <row r="21" spans="1:41" ht="14">
      <c r="A21" s="44">
        <f ca="1">IFERROR(__xludf.DUMMYFUNCTION("QUERY('Volunteer Survey'!A21)"),43472.4257775925)</f>
        <v>43472.4257775925</v>
      </c>
      <c r="B21" s="42" t="s">
        <v>108</v>
      </c>
      <c r="C21" s="47"/>
      <c r="D21" s="59">
        <v>43580</v>
      </c>
      <c r="E21" s="42" t="s">
        <v>117</v>
      </c>
      <c r="F21" s="42" t="s">
        <v>117</v>
      </c>
      <c r="G21" s="42" t="s">
        <v>163</v>
      </c>
      <c r="H21" s="47"/>
      <c r="I21" s="45" t="s">
        <v>139</v>
      </c>
      <c r="J21" s="50">
        <v>43712</v>
      </c>
      <c r="K21" s="50"/>
      <c r="L21" s="49" t="str">
        <f ca="1">IFERROR(__xludf.DUMMYFUNCTION("QUERY('Volunteer Survey'!B21)"),"Shulin Zhang")</f>
        <v>Shulin Zhang</v>
      </c>
      <c r="M21" s="49" t="str">
        <f ca="1">IFERROR(__xludf.DUMMYFUNCTION("QUERY('Volunteer Survey'!E21)"),"shulin.zhang@uky.edu")</f>
        <v>shulin.zhang@uky.edu</v>
      </c>
      <c r="N21" s="49" t="str">
        <f ca="1">IFERROR(__xludf.DUMMYFUNCTION("QUERY('Volunteer Survey'!F21)"),"Clinical laboratory geneticist")</f>
        <v>Clinical laboratory geneticist</v>
      </c>
      <c r="O21" s="42" t="str">
        <f ca="1">IFERROR(__xludf.DUMMYFUNCTION("QUERY('Volunteer Survey'!H21)"),"Comprehensive")</f>
        <v>Comprehensive</v>
      </c>
      <c r="P21" s="49" t="str">
        <f ca="1">IFERROR(__xludf.DUMMYFUNCTION("QUERY('Volunteer Survey'!I21)"),"Dosage Sensitivity")</f>
        <v>Dosage Sensitivity</v>
      </c>
      <c r="Q21" s="54" t="str">
        <f ca="1">IFERROR(__xludf.DUMMYFUNCTION("QUERY('Volunteer Survey'!J21)"),"Variant Pathogenicity")</f>
        <v>Variant Pathogenicity</v>
      </c>
      <c r="R21" s="49" t="str">
        <f ca="1">IFERROR(__xludf.DUMMYFUNCTION("QUERY('Volunteer Survey'!K21)"),"Gene-Disease Validity")</f>
        <v>Gene-Disease Validity</v>
      </c>
      <c r="S21" s="49" t="str">
        <f ca="1">IFERROR(__xludf.DUMMYFUNCTION("QUERY('Volunteer Survey'!L21)"),"Somatic Cancer")</f>
        <v>Somatic Cancer</v>
      </c>
      <c r="T21" s="49" t="str">
        <f ca="1">IFERROR(__xludf.DUMMYFUNCTION("QUERY('Volunteer Survey'!M21)"),"Clinical Actionability")</f>
        <v>Clinical Actionability</v>
      </c>
      <c r="U21" s="58" t="str">
        <f ca="1">IFERROR(__xludf.DUMMYFUNCTION("QUERY('Volunteer Survey'!N21)"),"No")</f>
        <v>No</v>
      </c>
      <c r="V21" s="49" t="str">
        <f ca="1">IFERROR(__xludf.DUMMYFUNCTION("QUERY('Volunteer Survey'!O21)"),"No")</f>
        <v>No</v>
      </c>
      <c r="W21" s="60" t="str">
        <f ca="1">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58" t="str">
        <f ca="1">IFERROR(__xludf.DUMMYFUNCTION("QUERY('Volunteer Survey'!R21)"),"Maybe -- please contact me with other options, and I will decide based on what is available")</f>
        <v>Maybe -- please contact me with other options, and I will decide based on what is available</v>
      </c>
      <c r="Y21" s="47"/>
      <c r="Z21" s="62"/>
      <c r="AA21" s="49"/>
      <c r="AB21" s="49"/>
      <c r="AC21" s="49"/>
      <c r="AD21" s="49"/>
      <c r="AE21" s="49"/>
      <c r="AF21" s="49"/>
      <c r="AG21" s="49"/>
      <c r="AH21" s="49"/>
      <c r="AI21" s="49"/>
      <c r="AJ21" s="49"/>
      <c r="AK21" s="49"/>
      <c r="AL21" s="49"/>
      <c r="AM21" s="49"/>
      <c r="AN21" s="49"/>
      <c r="AO21" s="49"/>
    </row>
    <row r="22" spans="1:41" ht="14">
      <c r="A22" s="44">
        <f ca="1">IFERROR(__xludf.DUMMYFUNCTION("QUERY('Volunteer Survey'!A22)"),43472.5372556018)</f>
        <v>43472.537255601797</v>
      </c>
      <c r="B22" s="42" t="s">
        <v>108</v>
      </c>
      <c r="C22" s="47"/>
      <c r="D22" s="67">
        <v>43567</v>
      </c>
      <c r="E22" s="42" t="s">
        <v>117</v>
      </c>
      <c r="F22" s="42" t="s">
        <v>130</v>
      </c>
      <c r="G22" s="42" t="s">
        <v>19</v>
      </c>
      <c r="H22" s="63"/>
      <c r="I22" s="63" t="s">
        <v>139</v>
      </c>
      <c r="J22" s="49"/>
      <c r="K22" s="49"/>
      <c r="L22" s="49" t="str">
        <f ca="1">IFERROR(__xludf.DUMMYFUNCTION("QUERY('Volunteer Survey'!B22)"),"Marwan Shinawi")</f>
        <v>Marwan Shinawi</v>
      </c>
      <c r="M22" s="49" t="str">
        <f ca="1">IFERROR(__xludf.DUMMYFUNCTION("QUERY('Volunteer Survey'!E22)"),"mshinawi@wustl.edu")</f>
        <v>mshinawi@wustl.edu</v>
      </c>
      <c r="N22" s="49" t="str">
        <f ca="1">IFERROR(__xludf.DUMMYFUNCTION("QUERY('Volunteer Survey'!F22)"),"Clinical Medical Geneticist")</f>
        <v>Clinical Medical Geneticist</v>
      </c>
      <c r="O22" s="42" t="str">
        <f ca="1">IFERROR(__xludf.DUMMYFUNCTION("QUERY('Volunteer Survey'!H22)"),"Comprehensive")</f>
        <v>Comprehensive</v>
      </c>
      <c r="P22" s="49" t="str">
        <f ca="1">IFERROR(__xludf.DUMMYFUNCTION("QUERY('Volunteer Survey'!I22)"),"Clinical Actionability")</f>
        <v>Clinical Actionability</v>
      </c>
      <c r="Q22" s="54" t="str">
        <f ca="1">IFERROR(__xludf.DUMMYFUNCTION("QUERY('Volunteer Survey'!J22)"),"Gene-Disease Validity")</f>
        <v>Gene-Disease Validity</v>
      </c>
      <c r="R22" s="49" t="str">
        <f ca="1">IFERROR(__xludf.DUMMYFUNCTION("QUERY('Volunteer Survey'!K22)"),"Variant Pathogenicity")</f>
        <v>Variant Pathogenicity</v>
      </c>
      <c r="S22" s="49" t="str">
        <f ca="1">IFERROR(__xludf.DUMMYFUNCTION("QUERY('Volunteer Survey'!L22)"),"Dosage Sensitivity")</f>
        <v>Dosage Sensitivity</v>
      </c>
      <c r="T22" s="49" t="str">
        <f ca="1">IFERROR(__xludf.DUMMYFUNCTION("QUERY('Volunteer Survey'!M22)"),"Somatic Cancer")</f>
        <v>Somatic Cancer</v>
      </c>
      <c r="U22" s="58" t="str">
        <f ca="1">IFERROR(__xludf.DUMMYFUNCTION("QUERY('Volunteer Survey'!N22)"),"To some extent")</f>
        <v>To some extent</v>
      </c>
      <c r="V22" s="49" t="str">
        <f ca="1">IFERROR(__xludf.DUMMYFUNCTION("QUERY('Volunteer Survey'!O22)"),"Yes")</f>
        <v>Yes</v>
      </c>
      <c r="W22" s="60" t="str">
        <f ca="1">IFERROR(__xludf.DUMMYFUNCTION("QUERY('Volunteer Survey'!P22)"),"Autism and Intellectual Disability Gene Curation Expert Panel")</f>
        <v>Autism and Intellectual Disability Gene Curation Expert Panel</v>
      </c>
      <c r="X22" s="58" t="str">
        <f ca="1">IFERROR(__xludf.DUMMYFUNCTION("QUERY('Volunteer Survey'!R22)"),"No - I am only interested in the group(s) I previously indicated")</f>
        <v>No - I am only interested in the group(s) I previously indicated</v>
      </c>
      <c r="Y22" s="47"/>
      <c r="Z22" s="62"/>
      <c r="AA22" s="49"/>
      <c r="AB22" s="49"/>
      <c r="AC22" s="49"/>
      <c r="AD22" s="49"/>
      <c r="AE22" s="49"/>
      <c r="AF22" s="49"/>
      <c r="AG22" s="49"/>
      <c r="AH22" s="49"/>
      <c r="AI22" s="49"/>
      <c r="AJ22" s="49"/>
      <c r="AK22" s="49"/>
      <c r="AL22" s="49"/>
      <c r="AM22" s="49"/>
      <c r="AN22" s="49"/>
      <c r="AO22" s="49"/>
    </row>
    <row r="23" spans="1:41" ht="14">
      <c r="A23" s="44">
        <f ca="1">IFERROR(__xludf.DUMMYFUNCTION("QUERY('Volunteer Survey'!A23)"),43473.390765081)</f>
        <v>43473.390765081</v>
      </c>
      <c r="B23" s="42" t="s">
        <v>108</v>
      </c>
      <c r="C23" s="47"/>
      <c r="D23" s="59">
        <v>43605</v>
      </c>
      <c r="E23" s="42" t="s">
        <v>117</v>
      </c>
      <c r="F23" s="42" t="s">
        <v>117</v>
      </c>
      <c r="G23" s="42" t="s">
        <v>251</v>
      </c>
      <c r="H23" s="45" t="s">
        <v>252</v>
      </c>
      <c r="I23" s="45" t="s">
        <v>139</v>
      </c>
      <c r="J23" s="50">
        <v>43712</v>
      </c>
      <c r="K23" s="50"/>
      <c r="L23" s="49" t="str">
        <f ca="1">IFERROR(__xludf.DUMMYFUNCTION("QUERY('Volunteer Survey'!B23)"),"Adam Coovadia")</f>
        <v>Adam Coovadia</v>
      </c>
      <c r="M23" s="49" t="str">
        <f ca="1">IFERROR(__xludf.DUMMYFUNCTION("QUERY('Volunteer Survey'!E23)"),"coovadiaa@gmail.com")</f>
        <v>coovadiaa@gmail.com</v>
      </c>
      <c r="N23" s="49" t="str">
        <f ca="1">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42" t="str">
        <f ca="1">IFERROR(__xludf.DUMMYFUNCTION("QUERY('Volunteer Survey'!H23)"),"Comprehensive")</f>
        <v>Comprehensive</v>
      </c>
      <c r="P23" s="49" t="str">
        <f ca="1">IFERROR(__xludf.DUMMYFUNCTION("QUERY('Volunteer Survey'!I23)"),"Variant Pathogenicity")</f>
        <v>Variant Pathogenicity</v>
      </c>
      <c r="Q23" s="54" t="str">
        <f ca="1">IFERROR(__xludf.DUMMYFUNCTION("QUERY('Volunteer Survey'!J23)"),"Gene-Disease Validity")</f>
        <v>Gene-Disease Validity</v>
      </c>
      <c r="R23" s="49" t="str">
        <f ca="1">IFERROR(__xludf.DUMMYFUNCTION("QUERY('Volunteer Survey'!K23)"),"Somatic Cancer")</f>
        <v>Somatic Cancer</v>
      </c>
      <c r="S23" s="49" t="str">
        <f ca="1">IFERROR(__xludf.DUMMYFUNCTION("QUERY('Volunteer Survey'!L23)"),"Clinical Actionability")</f>
        <v>Clinical Actionability</v>
      </c>
      <c r="T23" s="49" t="str">
        <f ca="1">IFERROR(__xludf.DUMMYFUNCTION("QUERY('Volunteer Survey'!M23)"),"Dosage Sensitivity")</f>
        <v>Dosage Sensitivity</v>
      </c>
      <c r="U23" s="58" t="str">
        <f ca="1">IFERROR(__xludf.DUMMYFUNCTION("QUERY('Volunteer Survey'!N23)"),"")</f>
        <v/>
      </c>
      <c r="V23" s="49" t="str">
        <f ca="1">IFERROR(__xludf.DUMMYFUNCTION("QUERY('Volunteer Survey'!O23)"),"Yes")</f>
        <v>Yes</v>
      </c>
      <c r="W23" s="60" t="str">
        <f ca="1">IFERROR(__xludf.DUMMYFUNCTION("QUERY('Volunteer Survey'!P23)"),"")</f>
        <v/>
      </c>
      <c r="X23" s="58" t="str">
        <f ca="1">IFERROR(__xludf.DUMMYFUNCTION("QUERY('Volunteer Survey'!R23)"),"Yes- I am willing to volunteer with any available ClinGen group")</f>
        <v>Yes- I am willing to volunteer with any available ClinGen group</v>
      </c>
      <c r="Y23" s="47"/>
      <c r="Z23" s="62"/>
      <c r="AA23" s="49"/>
      <c r="AB23" s="49"/>
      <c r="AC23" s="49"/>
      <c r="AD23" s="49"/>
      <c r="AE23" s="49"/>
      <c r="AF23" s="49"/>
      <c r="AG23" s="49"/>
      <c r="AH23" s="49"/>
      <c r="AI23" s="49"/>
      <c r="AJ23" s="49"/>
      <c r="AK23" s="49"/>
      <c r="AL23" s="49"/>
      <c r="AM23" s="49"/>
      <c r="AN23" s="49"/>
      <c r="AO23" s="49"/>
    </row>
    <row r="24" spans="1:41" ht="14">
      <c r="A24" s="44">
        <f ca="1">IFERROR(__xludf.DUMMYFUNCTION("QUERY('Volunteer Survey'!A24)"),43332.5812152777)</f>
        <v>43332.5812152777</v>
      </c>
      <c r="B24" s="42" t="s">
        <v>160</v>
      </c>
      <c r="C24" s="73">
        <v>43446</v>
      </c>
      <c r="D24" s="50">
        <v>43446</v>
      </c>
      <c r="E24" s="42" t="s">
        <v>117</v>
      </c>
      <c r="F24" s="42" t="s">
        <v>117</v>
      </c>
      <c r="G24" s="42" t="s">
        <v>122</v>
      </c>
      <c r="H24" s="45" t="s">
        <v>20</v>
      </c>
      <c r="I24" s="45" t="s">
        <v>139</v>
      </c>
      <c r="J24" s="50">
        <v>43592</v>
      </c>
      <c r="K24" s="50">
        <v>43713</v>
      </c>
      <c r="L24" s="49" t="str">
        <f ca="1">IFERROR(__xludf.DUMMYFUNCTION("QUERY('Volunteer Survey'!B24)"),"Volkan Okur")</f>
        <v>Volkan Okur</v>
      </c>
      <c r="M24" s="49" t="str">
        <f ca="1">IFERROR(__xludf.DUMMYFUNCTION("QUERY('Volunteer Survey'!E24)"),"vokur@bcm.edu")</f>
        <v>vokur@bcm.edu</v>
      </c>
      <c r="N24" s="49" t="str">
        <f ca="1">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42" t="str">
        <f ca="1">IFERROR(__xludf.DUMMYFUNCTION("QUERY('Volunteer Survey'!H24)"),"Comprehensive")</f>
        <v>Comprehensive</v>
      </c>
      <c r="P24" s="49" t="str">
        <f ca="1">IFERROR(__xludf.DUMMYFUNCTION("QUERY('Volunteer Survey'!I24)"),"Gene-Disease Validity")</f>
        <v>Gene-Disease Validity</v>
      </c>
      <c r="Q24" s="54" t="str">
        <f ca="1">IFERROR(__xludf.DUMMYFUNCTION("QUERY('Volunteer Survey'!J24)"),"Variant Pathogenicity")</f>
        <v>Variant Pathogenicity</v>
      </c>
      <c r="R24" s="49" t="str">
        <f ca="1">IFERROR(__xludf.DUMMYFUNCTION("QUERY('Volunteer Survey'!K24)"),"Actionability")</f>
        <v>Actionability</v>
      </c>
      <c r="S24" s="49" t="str">
        <f ca="1">IFERROR(__xludf.DUMMYFUNCTION("QUERY('Volunteer Survey'!L24)"),"Somatic Cancer")</f>
        <v>Somatic Cancer</v>
      </c>
      <c r="T24" s="49" t="str">
        <f ca="1">IFERROR(__xludf.DUMMYFUNCTION("QUERY('Volunteer Survey'!M24)"),"Dosage Sensitivity")</f>
        <v>Dosage Sensitivity</v>
      </c>
      <c r="U24" s="58" t="str">
        <f ca="1">IFERROR(__xludf.DUMMYFUNCTION("QUERY('Volunteer Survey'!N24)"),"Yes")</f>
        <v>Yes</v>
      </c>
      <c r="V24" s="49" t="str">
        <f ca="1">IFERROR(__xludf.DUMMYFUNCTION("QUERY('Volunteer Survey'!O24)"),"")</f>
        <v/>
      </c>
      <c r="W24" s="60" t="str">
        <f ca="1">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58" t="str">
        <f ca="1">IFERROR(__xludf.DUMMYFUNCTION("QUERY('Volunteer Survey'!R24)"),"")</f>
        <v/>
      </c>
      <c r="Y24" s="47"/>
      <c r="Z24" s="62"/>
      <c r="AA24" s="49"/>
      <c r="AB24" s="49"/>
      <c r="AC24" s="49"/>
      <c r="AD24" s="49"/>
      <c r="AE24" s="49"/>
      <c r="AF24" s="49"/>
      <c r="AG24" s="49"/>
      <c r="AH24" s="49"/>
      <c r="AI24" s="49"/>
      <c r="AJ24" s="49"/>
      <c r="AK24" s="49"/>
      <c r="AL24" s="49"/>
      <c r="AM24" s="49"/>
      <c r="AN24" s="49"/>
      <c r="AO24" s="49"/>
    </row>
    <row r="25" spans="1:41" ht="14">
      <c r="A25" s="44">
        <f ca="1">IFERROR(__xludf.DUMMYFUNCTION("QUERY('Volunteer Survey'!A25)"),43332.5822685185)</f>
        <v>43332.582268518498</v>
      </c>
      <c r="B25" s="42" t="s">
        <v>160</v>
      </c>
      <c r="C25" s="73">
        <v>43411</v>
      </c>
      <c r="D25" s="50">
        <v>43446</v>
      </c>
      <c r="E25" s="42" t="s">
        <v>117</v>
      </c>
      <c r="F25" s="42" t="s">
        <v>117</v>
      </c>
      <c r="G25" s="42" t="s">
        <v>122</v>
      </c>
      <c r="H25" s="45" t="s">
        <v>197</v>
      </c>
      <c r="I25" s="45" t="s">
        <v>139</v>
      </c>
      <c r="J25" s="50">
        <v>43592</v>
      </c>
      <c r="K25" s="50">
        <v>43713</v>
      </c>
      <c r="L25" s="49" t="str">
        <f ca="1">IFERROR(__xludf.DUMMYFUNCTION("QUERY('Volunteer Survey'!B25)"),"Mythily Ganapathi")</f>
        <v>Mythily Ganapathi</v>
      </c>
      <c r="M25" s="49" t="str">
        <f ca="1">IFERROR(__xludf.DUMMYFUNCTION("QUERY('Volunteer Survey'!E25)"),"mg3560@cumc.columbia.edu")</f>
        <v>mg3560@cumc.columbia.edu</v>
      </c>
      <c r="N25" s="49" t="str">
        <f ca="1">IFERROR(__xludf.DUMMYFUNCTION("QUERY('Volunteer Survey'!F25)"),"Clinical laboratory geneticist")</f>
        <v>Clinical laboratory geneticist</v>
      </c>
      <c r="O25" s="42" t="str">
        <f ca="1">IFERROR(__xludf.DUMMYFUNCTION("QUERY('Volunteer Survey'!H25)"),"Comprehensive")</f>
        <v>Comprehensive</v>
      </c>
      <c r="P25" s="49" t="str">
        <f ca="1">IFERROR(__xludf.DUMMYFUNCTION("QUERY('Volunteer Survey'!I25)"),"Gene-Disease Validity")</f>
        <v>Gene-Disease Validity</v>
      </c>
      <c r="Q25" s="54" t="str">
        <f ca="1">IFERROR(__xludf.DUMMYFUNCTION("QUERY('Volunteer Survey'!J25)"),"Variant Pathogenicity")</f>
        <v>Variant Pathogenicity</v>
      </c>
      <c r="R25" s="49" t="str">
        <f ca="1">IFERROR(__xludf.DUMMYFUNCTION("QUERY('Volunteer Survey'!K25)"),"Actionability")</f>
        <v>Actionability</v>
      </c>
      <c r="S25" s="49" t="str">
        <f ca="1">IFERROR(__xludf.DUMMYFUNCTION("QUERY('Volunteer Survey'!L25)"),"")</f>
        <v/>
      </c>
      <c r="T25" s="49" t="str">
        <f ca="1">IFERROR(__xludf.DUMMYFUNCTION("QUERY('Volunteer Survey'!M25)"),"")</f>
        <v/>
      </c>
      <c r="U25" s="58" t="str">
        <f ca="1">IFERROR(__xludf.DUMMYFUNCTION("QUERY('Volunteer Survey'!N25)"),"Yes")</f>
        <v>Yes</v>
      </c>
      <c r="V25" s="49" t="str">
        <f ca="1">IFERROR(__xludf.DUMMYFUNCTION("QUERY('Volunteer Survey'!O25)"),"")</f>
        <v/>
      </c>
      <c r="W25" s="60" t="str">
        <f ca="1">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58" t="str">
        <f ca="1">IFERROR(__xludf.DUMMYFUNCTION("QUERY('Volunteer Survey'!R25)"),"")</f>
        <v/>
      </c>
      <c r="Y25" s="47"/>
      <c r="Z25" s="62"/>
      <c r="AA25" s="49"/>
      <c r="AB25" s="49"/>
      <c r="AC25" s="49"/>
      <c r="AD25" s="49"/>
      <c r="AE25" s="49"/>
      <c r="AF25" s="49"/>
      <c r="AG25" s="49"/>
      <c r="AH25" s="49"/>
      <c r="AI25" s="49"/>
      <c r="AJ25" s="49"/>
      <c r="AK25" s="49"/>
      <c r="AL25" s="49"/>
      <c r="AM25" s="49"/>
      <c r="AN25" s="49"/>
      <c r="AO25" s="49"/>
    </row>
    <row r="26" spans="1:41" ht="14">
      <c r="A26" s="80">
        <f ca="1">IFERROR(__xludf.DUMMYFUNCTION("QUERY('Volunteer Survey'!A26)"),43332.5831597222)</f>
        <v>43332.583159722199</v>
      </c>
      <c r="B26" s="42" t="s">
        <v>168</v>
      </c>
      <c r="C26" s="81"/>
      <c r="D26" s="59">
        <v>43585</v>
      </c>
      <c r="E26" s="42" t="s">
        <v>117</v>
      </c>
      <c r="F26" s="42" t="s">
        <v>130</v>
      </c>
      <c r="G26" s="42" t="s">
        <v>122</v>
      </c>
      <c r="H26" s="47"/>
      <c r="I26" s="45" t="s">
        <v>139</v>
      </c>
      <c r="J26" s="49"/>
      <c r="K26" s="49"/>
      <c r="L26" s="49" t="str">
        <f ca="1">IFERROR(__xludf.DUMMYFUNCTION("QUERY('Volunteer Survey'!B26)"),"Leslie Oldfield")</f>
        <v>Leslie Oldfield</v>
      </c>
      <c r="M26" s="49" t="str">
        <f ca="1">IFERROR(__xludf.DUMMYFUNCTION("QUERY('Volunteer Survey'!E26)"),"leslie.oldfield@gmail.com")</f>
        <v>leslie.oldfield@gmail.com</v>
      </c>
      <c r="N26" s="49" t="str">
        <f ca="1">IFERROR(__xludf.DUMMYFUNCTION("QUERY('Volunteer Survey'!F26)"),"Research Associate")</f>
        <v>Research Associate</v>
      </c>
      <c r="O26" s="42" t="str">
        <f ca="1">IFERROR(__xludf.DUMMYFUNCTION("QUERY('Volunteer Survey'!H26)"),"Comprehensive")</f>
        <v>Comprehensive</v>
      </c>
      <c r="P26" s="49" t="str">
        <f ca="1">IFERROR(__xludf.DUMMYFUNCTION("QUERY('Volunteer Survey'!I26)"),"Gene-Disease Validity")</f>
        <v>Gene-Disease Validity</v>
      </c>
      <c r="Q26" s="54" t="str">
        <f ca="1">IFERROR(__xludf.DUMMYFUNCTION("QUERY('Volunteer Survey'!J26)"),"Variant Pathogenicity")</f>
        <v>Variant Pathogenicity</v>
      </c>
      <c r="R26" s="49" t="str">
        <f ca="1">IFERROR(__xludf.DUMMYFUNCTION("QUERY('Volunteer Survey'!K26)"),"Actionability")</f>
        <v>Actionability</v>
      </c>
      <c r="S26" s="49" t="str">
        <f ca="1">IFERROR(__xludf.DUMMYFUNCTION("QUERY('Volunteer Survey'!L26)"),"Somatic Cancer")</f>
        <v>Somatic Cancer</v>
      </c>
      <c r="T26" s="49" t="str">
        <f ca="1">IFERROR(__xludf.DUMMYFUNCTION("QUERY('Volunteer Survey'!M26)"),"")</f>
        <v/>
      </c>
      <c r="U26" s="58" t="str">
        <f ca="1">IFERROR(__xludf.DUMMYFUNCTION("QUERY('Volunteer Survey'!N26)"),"Yes")</f>
        <v>Yes</v>
      </c>
      <c r="V26" s="49" t="str">
        <f ca="1">IFERROR(__xludf.DUMMYFUNCTION("QUERY('Volunteer Survey'!O26)"),"")</f>
        <v/>
      </c>
      <c r="W26" s="60" t="str">
        <f ca="1">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58" t="str">
        <f ca="1">IFERROR(__xludf.DUMMYFUNCTION("QUERY('Volunteer Survey'!R26)"),"")</f>
        <v/>
      </c>
      <c r="Y26" s="47"/>
      <c r="Z26" s="62"/>
      <c r="AA26" s="49"/>
      <c r="AB26" s="49"/>
      <c r="AC26" s="49"/>
      <c r="AD26" s="49"/>
      <c r="AE26" s="49"/>
      <c r="AF26" s="49"/>
      <c r="AG26" s="49"/>
      <c r="AH26" s="49"/>
      <c r="AI26" s="49"/>
      <c r="AJ26" s="49"/>
      <c r="AK26" s="49"/>
      <c r="AL26" s="49"/>
      <c r="AM26" s="49"/>
      <c r="AN26" s="49"/>
      <c r="AO26" s="49"/>
    </row>
    <row r="27" spans="1:41" ht="14">
      <c r="A27" s="44">
        <f ca="1">IFERROR(__xludf.DUMMYFUNCTION("QUERY('Volunteer Survey'!A27)"),43333.5866782407)</f>
        <v>43333.586678240703</v>
      </c>
      <c r="B27" s="42" t="s">
        <v>160</v>
      </c>
      <c r="C27" s="81">
        <v>43411</v>
      </c>
      <c r="D27" s="50">
        <v>43446</v>
      </c>
      <c r="E27" s="42" t="s">
        <v>117</v>
      </c>
      <c r="F27" s="42" t="s">
        <v>117</v>
      </c>
      <c r="G27" s="42" t="s">
        <v>122</v>
      </c>
      <c r="H27" s="45" t="s">
        <v>287</v>
      </c>
      <c r="I27" s="45" t="s">
        <v>139</v>
      </c>
      <c r="J27" s="50">
        <v>43592</v>
      </c>
      <c r="K27" s="50">
        <v>43713</v>
      </c>
      <c r="L27" s="49" t="str">
        <f ca="1">IFERROR(__xludf.DUMMYFUNCTION("QUERY('Volunteer Survey'!B27)"),"John Shoffner")</f>
        <v>John Shoffner</v>
      </c>
      <c r="M27" s="49" t="str">
        <f ca="1">IFERROR(__xludf.DUMMYFUNCTION("QUERY('Volunteer Survey'!E27)"),"jmsiv9903@icloud.com")</f>
        <v>jmsiv9903@icloud.com</v>
      </c>
      <c r="N27" s="49" t="str">
        <f ca="1">IFERROR(__xludf.DUMMYFUNCTION("QUERY('Volunteer Survey'!F27)"),"Clinical medical geneticist/Clinical laboratory geneticist and Neurology, Biochemical and Molecular Genetics")</f>
        <v>Clinical medical geneticist/Clinical laboratory geneticist and Neurology, Biochemical and Molecular Genetics</v>
      </c>
      <c r="O27" s="42" t="str">
        <f ca="1">IFERROR(__xludf.DUMMYFUNCTION("QUERY('Volunteer Survey'!H27)"),"Comprehensive")</f>
        <v>Comprehensive</v>
      </c>
      <c r="P27" s="49" t="str">
        <f ca="1">IFERROR(__xludf.DUMMYFUNCTION("QUERY('Volunteer Survey'!I27)"),"Gene-Disease Validity")</f>
        <v>Gene-Disease Validity</v>
      </c>
      <c r="Q27" s="54" t="str">
        <f ca="1">IFERROR(__xludf.DUMMYFUNCTION("QUERY('Volunteer Survey'!J27)"),"Variant Pathogenicity")</f>
        <v>Variant Pathogenicity</v>
      </c>
      <c r="R27" s="49" t="str">
        <f ca="1">IFERROR(__xludf.DUMMYFUNCTION("QUERY('Volunteer Survey'!K27)"),"Actionability")</f>
        <v>Actionability</v>
      </c>
      <c r="S27" s="49" t="str">
        <f ca="1">IFERROR(__xludf.DUMMYFUNCTION("QUERY('Volunteer Survey'!L27)"),"Dosage Sensitivity")</f>
        <v>Dosage Sensitivity</v>
      </c>
      <c r="T27" s="49" t="str">
        <f ca="1">IFERROR(__xludf.DUMMYFUNCTION("QUERY('Volunteer Survey'!M27)"),"")</f>
        <v/>
      </c>
      <c r="U27" s="58" t="str">
        <f ca="1">IFERROR(__xludf.DUMMYFUNCTION("QUERY('Volunteer Survey'!N27)"),"Yes")</f>
        <v>Yes</v>
      </c>
      <c r="V27" s="49" t="str">
        <f ca="1">IFERROR(__xludf.DUMMYFUNCTION("QUERY('Volunteer Survey'!O27)"),"")</f>
        <v/>
      </c>
      <c r="W27" s="60" t="str">
        <f ca="1">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58" t="str">
        <f ca="1">IFERROR(__xludf.DUMMYFUNCTION("QUERY('Volunteer Survey'!R27)"),"")</f>
        <v/>
      </c>
      <c r="Y27" s="47"/>
      <c r="Z27" s="62"/>
      <c r="AA27" s="49"/>
      <c r="AB27" s="49"/>
      <c r="AC27" s="49"/>
      <c r="AD27" s="49"/>
      <c r="AE27" s="49"/>
      <c r="AF27" s="49"/>
      <c r="AG27" s="49"/>
      <c r="AH27" s="49"/>
      <c r="AI27" s="49"/>
      <c r="AJ27" s="49"/>
      <c r="AK27" s="49"/>
      <c r="AL27" s="49"/>
      <c r="AM27" s="49"/>
      <c r="AN27" s="49"/>
      <c r="AO27" s="49"/>
    </row>
    <row r="28" spans="1:41" ht="14">
      <c r="A28" s="44">
        <f ca="1">IFERROR(__xludf.DUMMYFUNCTION("QUERY('Volunteer Survey'!A28)"),43335.5874884259)</f>
        <v>43335.587488425903</v>
      </c>
      <c r="B28" s="42" t="s">
        <v>160</v>
      </c>
      <c r="C28" s="81">
        <v>43411</v>
      </c>
      <c r="D28" s="50">
        <v>43446</v>
      </c>
      <c r="E28" s="42" t="s">
        <v>117</v>
      </c>
      <c r="F28" s="42" t="s">
        <v>117</v>
      </c>
      <c r="G28" s="42" t="s">
        <v>122</v>
      </c>
      <c r="H28" s="45" t="s">
        <v>287</v>
      </c>
      <c r="I28" s="45" t="s">
        <v>139</v>
      </c>
      <c r="J28" s="50">
        <v>43592</v>
      </c>
      <c r="K28" s="50">
        <v>43713</v>
      </c>
      <c r="L28" s="49" t="str">
        <f ca="1">IFERROR(__xludf.DUMMYFUNCTION("QUERY('Volunteer Survey'!B28)"),"Isabelle Thiffault")</f>
        <v>Isabelle Thiffault</v>
      </c>
      <c r="M28" s="49" t="str">
        <f ca="1">IFERROR(__xludf.DUMMYFUNCTION("QUERY('Volunteer Survey'!E28)"),"ithiffault@cmh.edu")</f>
        <v>ithiffault@cmh.edu</v>
      </c>
      <c r="N28" s="49" t="str">
        <f ca="1">IFERROR(__xludf.DUMMYFUNCTION("QUERY('Volunteer Survey'!F28)"),"Undergraduate")</f>
        <v>Undergraduate</v>
      </c>
      <c r="O28" s="42" t="str">
        <f ca="1">IFERROR(__xludf.DUMMYFUNCTION("QUERY('Volunteer Survey'!H28)"),"Comprehensive")</f>
        <v>Comprehensive</v>
      </c>
      <c r="P28" s="49" t="str">
        <f ca="1">IFERROR(__xludf.DUMMYFUNCTION("QUERY('Volunteer Survey'!I28)"),"Gene-Disease Validity")</f>
        <v>Gene-Disease Validity</v>
      </c>
      <c r="Q28" s="54" t="str">
        <f ca="1">IFERROR(__xludf.DUMMYFUNCTION("QUERY('Volunteer Survey'!J28)"),"Variant Pathogenicity")</f>
        <v>Variant Pathogenicity</v>
      </c>
      <c r="R28" s="49" t="str">
        <f ca="1">IFERROR(__xludf.DUMMYFUNCTION("QUERY('Volunteer Survey'!K28)"),"Actionability")</f>
        <v>Actionability</v>
      </c>
      <c r="S28" s="49" t="str">
        <f ca="1">IFERROR(__xludf.DUMMYFUNCTION("QUERY('Volunteer Survey'!L28)"),"Dosage Sensitivity")</f>
        <v>Dosage Sensitivity</v>
      </c>
      <c r="T28" s="49" t="str">
        <f ca="1">IFERROR(__xludf.DUMMYFUNCTION("QUERY('Volunteer Survey'!M28)"),"Somatic Cancer")</f>
        <v>Somatic Cancer</v>
      </c>
      <c r="U28" s="58" t="str">
        <f ca="1">IFERROR(__xludf.DUMMYFUNCTION("QUERY('Volunteer Survey'!N28)"),"Yes")</f>
        <v>Yes</v>
      </c>
      <c r="V28" s="49" t="str">
        <f ca="1">IFERROR(__xludf.DUMMYFUNCTION("QUERY('Volunteer Survey'!O28)"),"")</f>
        <v/>
      </c>
      <c r="W28" s="60" t="str">
        <f ca="1">IFERROR(__xludf.DUMMYFUNCTION("QUERY('Volunteer Survey'!P28)"),"Mitochondrial or ASD/ID")</f>
        <v>Mitochondrial or ASD/ID</v>
      </c>
      <c r="X28" s="58" t="str">
        <f ca="1">IFERROR(__xludf.DUMMYFUNCTION("QUERY('Volunteer Survey'!R28)"),"")</f>
        <v/>
      </c>
      <c r="Y28" s="47"/>
      <c r="Z28" s="62"/>
      <c r="AA28" s="49"/>
      <c r="AB28" s="49"/>
      <c r="AC28" s="49"/>
      <c r="AD28" s="49"/>
      <c r="AE28" s="49"/>
      <c r="AF28" s="49"/>
      <c r="AG28" s="49"/>
      <c r="AH28" s="49"/>
      <c r="AI28" s="49"/>
      <c r="AJ28" s="49"/>
      <c r="AK28" s="49"/>
      <c r="AL28" s="49"/>
      <c r="AM28" s="49"/>
      <c r="AN28" s="49"/>
      <c r="AO28" s="49"/>
    </row>
    <row r="29" spans="1:41" ht="14">
      <c r="A29" s="44">
        <f ca="1">IFERROR(__xludf.DUMMYFUNCTION("QUERY('Volunteer Survey'!A29)"),43339.5881944444)</f>
        <v>43339.588194444397</v>
      </c>
      <c r="B29" s="42" t="s">
        <v>160</v>
      </c>
      <c r="C29" s="45" t="s">
        <v>315</v>
      </c>
      <c r="D29" s="42" t="s">
        <v>291</v>
      </c>
      <c r="E29" s="42" t="s">
        <v>130</v>
      </c>
      <c r="F29" s="42" t="s">
        <v>130</v>
      </c>
      <c r="G29" s="42" t="s">
        <v>122</v>
      </c>
      <c r="H29" s="45" t="s">
        <v>20</v>
      </c>
      <c r="I29" s="45" t="s">
        <v>139</v>
      </c>
      <c r="J29" s="50">
        <v>43592</v>
      </c>
      <c r="K29" s="50">
        <v>43713</v>
      </c>
      <c r="L29" s="49" t="str">
        <f ca="1">IFERROR(__xludf.DUMMYFUNCTION("QUERY('Volunteer Survey'!B29)"),"Ye Cao")</f>
        <v>Ye Cao</v>
      </c>
      <c r="M29" s="49" t="str">
        <f ca="1">IFERROR(__xludf.DUMMYFUNCTION("QUERY('Volunteer Survey'!E29)"),"ye.cao@bcm.edu")</f>
        <v>ye.cao@bcm.edu</v>
      </c>
      <c r="N29" s="49" t="str">
        <f ca="1">IFERROR(__xludf.DUMMYFUNCTION("QUERY('Volunteer Survey'!F29)"),"Clinical laboratory geneticist and Post Doc/Resident/Fellow (MD and/or PhD)")</f>
        <v>Clinical laboratory geneticist and Post Doc/Resident/Fellow (MD and/or PhD)</v>
      </c>
      <c r="O29" s="42" t="str">
        <f ca="1">IFERROR(__xludf.DUMMYFUNCTION("QUERY('Volunteer Survey'!H29)"),"Comprehensive")</f>
        <v>Comprehensive</v>
      </c>
      <c r="P29" s="49" t="str">
        <f ca="1">IFERROR(__xludf.DUMMYFUNCTION("QUERY('Volunteer Survey'!I29)"),"Gene-Disease Validity")</f>
        <v>Gene-Disease Validity</v>
      </c>
      <c r="Q29" s="54" t="str">
        <f ca="1">IFERROR(__xludf.DUMMYFUNCTION("QUERY('Volunteer Survey'!J29)"),"Dosage Sensitivity")</f>
        <v>Dosage Sensitivity</v>
      </c>
      <c r="R29" s="49" t="str">
        <f ca="1">IFERROR(__xludf.DUMMYFUNCTION("QUERY('Volunteer Survey'!K29)"),"")</f>
        <v/>
      </c>
      <c r="S29" s="49" t="str">
        <f ca="1">IFERROR(__xludf.DUMMYFUNCTION("QUERY('Volunteer Survey'!L29)"),"")</f>
        <v/>
      </c>
      <c r="T29" s="49" t="str">
        <f ca="1">IFERROR(__xludf.DUMMYFUNCTION("QUERY('Volunteer Survey'!M29)"),"")</f>
        <v/>
      </c>
      <c r="U29" s="58" t="str">
        <f ca="1">IFERROR(__xludf.DUMMYFUNCTION("QUERY('Volunteer Survey'!N29)"),"Yes")</f>
        <v>Yes</v>
      </c>
      <c r="V29" s="49" t="str">
        <f ca="1">IFERROR(__xludf.DUMMYFUNCTION("QUERY('Volunteer Survey'!O29)"),"")</f>
        <v/>
      </c>
      <c r="W29" s="60" t="str">
        <f ca="1">IFERROR(__xludf.DUMMYFUNCTION("QUERY('Volunteer Survey'!P29)"),"Hereditary Cancer Gene Curation Expert Panel")</f>
        <v>Hereditary Cancer Gene Curation Expert Panel</v>
      </c>
      <c r="X29" s="58" t="str">
        <f ca="1">IFERROR(__xludf.DUMMYFUNCTION("QUERY('Volunteer Survey'!R29)"),"")</f>
        <v/>
      </c>
      <c r="Y29" s="47"/>
      <c r="Z29" s="62"/>
      <c r="AA29" s="49"/>
      <c r="AB29" s="49"/>
      <c r="AC29" s="49"/>
      <c r="AD29" s="49"/>
      <c r="AE29" s="49"/>
      <c r="AF29" s="49"/>
      <c r="AG29" s="49"/>
      <c r="AH29" s="49"/>
      <c r="AI29" s="49"/>
      <c r="AJ29" s="49"/>
      <c r="AK29" s="49"/>
      <c r="AL29" s="49"/>
      <c r="AM29" s="49"/>
      <c r="AN29" s="49"/>
      <c r="AO29" s="49"/>
    </row>
    <row r="30" spans="1:41" ht="14">
      <c r="A30" s="44">
        <f ca="1">IFERROR(__xludf.DUMMYFUNCTION("QUERY('Volunteer Survey'!A30)"),43343.5896412037)</f>
        <v>43343.589641203696</v>
      </c>
      <c r="B30" s="42" t="s">
        <v>168</v>
      </c>
      <c r="C30" s="81">
        <v>43411</v>
      </c>
      <c r="D30" s="50">
        <v>43446</v>
      </c>
      <c r="E30" s="42" t="s">
        <v>130</v>
      </c>
      <c r="F30" s="42" t="s">
        <v>130</v>
      </c>
      <c r="G30" s="42" t="s">
        <v>122</v>
      </c>
      <c r="H30" s="47"/>
      <c r="I30" s="45" t="s">
        <v>139</v>
      </c>
      <c r="J30" s="49"/>
      <c r="K30" s="49"/>
      <c r="L30" s="49" t="str">
        <f ca="1">IFERROR(__xludf.DUMMYFUNCTION("QUERY('Volunteer Survey'!B30)"),"Samar Khalefa")</f>
        <v>Samar Khalefa</v>
      </c>
      <c r="M30" s="49" t="str">
        <f ca="1">IFERROR(__xludf.DUMMYFUNCTION("QUERY('Volunteer Survey'!E30)"),"samarkhalifa@hotmail.com")</f>
        <v>samarkhalifa@hotmail.com</v>
      </c>
      <c r="N30" s="49" t="str">
        <f ca="1">IFERROR(__xludf.DUMMYFUNCTION("QUERY('Volunteer Survey'!F30)"),"High School Student")</f>
        <v>High School Student</v>
      </c>
      <c r="O30" s="42" t="str">
        <f ca="1">IFERROR(__xludf.DUMMYFUNCTION("QUERY('Volunteer Survey'!H30)"),"Comprehensive")</f>
        <v>Comprehensive</v>
      </c>
      <c r="P30" s="49" t="str">
        <f ca="1">IFERROR(__xludf.DUMMYFUNCTION("QUERY('Volunteer Survey'!I30)"),"Gene-Disease Validity")</f>
        <v>Gene-Disease Validity</v>
      </c>
      <c r="Q30" s="54" t="str">
        <f ca="1">IFERROR(__xludf.DUMMYFUNCTION("QUERY('Volunteer Survey'!J30)"),"Actionability")</f>
        <v>Actionability</v>
      </c>
      <c r="R30" s="49" t="str">
        <f ca="1">IFERROR(__xludf.DUMMYFUNCTION("QUERY('Volunteer Survey'!K30)"),"Dosage Sensitivity")</f>
        <v>Dosage Sensitivity</v>
      </c>
      <c r="S30" s="49" t="str">
        <f ca="1">IFERROR(__xludf.DUMMYFUNCTION("QUERY('Volunteer Survey'!L30)"),"Somatic Cancer")</f>
        <v>Somatic Cancer</v>
      </c>
      <c r="T30" s="49" t="str">
        <f ca="1">IFERROR(__xludf.DUMMYFUNCTION("QUERY('Volunteer Survey'!M30)"),"Variant Pathogenicity")</f>
        <v>Variant Pathogenicity</v>
      </c>
      <c r="U30" s="58" t="str">
        <f ca="1">IFERROR(__xludf.DUMMYFUNCTION("QUERY('Volunteer Survey'!N30)"),"No")</f>
        <v>No</v>
      </c>
      <c r="V30" s="49" t="str">
        <f ca="1">IFERROR(__xludf.DUMMYFUNCTION("QUERY('Volunteer Survey'!O30)"),"")</f>
        <v/>
      </c>
      <c r="W30" s="60" t="str">
        <f ca="1">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58" t="str">
        <f ca="1">IFERROR(__xludf.DUMMYFUNCTION("QUERY('Volunteer Survey'!R30)"),"")</f>
        <v/>
      </c>
      <c r="Y30" s="45" t="s">
        <v>316</v>
      </c>
      <c r="Z30" s="62"/>
      <c r="AA30" s="49"/>
      <c r="AB30" s="49"/>
      <c r="AC30" s="49"/>
      <c r="AD30" s="49"/>
      <c r="AE30" s="49"/>
      <c r="AF30" s="49"/>
      <c r="AG30" s="49"/>
      <c r="AH30" s="49"/>
      <c r="AI30" s="49"/>
      <c r="AJ30" s="49"/>
      <c r="AK30" s="49"/>
      <c r="AL30" s="49"/>
      <c r="AM30" s="49"/>
      <c r="AN30" s="49"/>
      <c r="AO30" s="49"/>
    </row>
    <row r="31" spans="1:41" ht="14">
      <c r="A31" s="44">
        <f ca="1">IFERROR(__xludf.DUMMYFUNCTION("QUERY('Volunteer Survey'!A31)"),43350.5902777777)</f>
        <v>43350.590277777701</v>
      </c>
      <c r="B31" s="42" t="s">
        <v>160</v>
      </c>
      <c r="C31" s="81">
        <v>43350</v>
      </c>
      <c r="D31" s="50">
        <v>43446</v>
      </c>
      <c r="E31" s="42" t="s">
        <v>117</v>
      </c>
      <c r="F31" s="42" t="s">
        <v>117</v>
      </c>
      <c r="G31" s="42" t="s">
        <v>122</v>
      </c>
      <c r="H31" s="45" t="s">
        <v>104</v>
      </c>
      <c r="I31" s="45" t="s">
        <v>139</v>
      </c>
      <c r="J31" s="50">
        <v>43592</v>
      </c>
      <c r="K31" s="50">
        <v>43713</v>
      </c>
      <c r="L31" s="49" t="str">
        <f ca="1">IFERROR(__xludf.DUMMYFUNCTION("QUERY('Volunteer Survey'!B31)"),"Colin Ellis")</f>
        <v>Colin Ellis</v>
      </c>
      <c r="M31" s="49" t="str">
        <f ca="1">IFERROR(__xludf.DUMMYFUNCTION("QUERY('Volunteer Survey'!E31)"),"colin.ellis@uphs.upenn.edu")</f>
        <v>colin.ellis@uphs.upenn.edu</v>
      </c>
      <c r="N31" s="49" t="str">
        <f ca="1">IFERROR(__xludf.DUMMYFUNCTION("QUERY('Volunteer Survey'!F31)"),"Physician (Non-geneticist)")</f>
        <v>Physician (Non-geneticist)</v>
      </c>
      <c r="O31" s="42" t="str">
        <f ca="1">IFERROR(__xludf.DUMMYFUNCTION("QUERY('Volunteer Survey'!H31)"),"Comprehensive")</f>
        <v>Comprehensive</v>
      </c>
      <c r="P31" s="49" t="str">
        <f ca="1">IFERROR(__xludf.DUMMYFUNCTION("QUERY('Volunteer Survey'!I31)"),"Gene-Disease Validity")</f>
        <v>Gene-Disease Validity</v>
      </c>
      <c r="Q31" s="54" t="str">
        <f ca="1">IFERROR(__xludf.DUMMYFUNCTION("QUERY('Volunteer Survey'!J31)"),"Dosage Sensitivity")</f>
        <v>Dosage Sensitivity</v>
      </c>
      <c r="R31" s="49" t="str">
        <f ca="1">IFERROR(__xludf.DUMMYFUNCTION("QUERY('Volunteer Survey'!K31)"),"Variant Pathogenicity")</f>
        <v>Variant Pathogenicity</v>
      </c>
      <c r="S31" s="49" t="str">
        <f ca="1">IFERROR(__xludf.DUMMYFUNCTION("QUERY('Volunteer Survey'!L31)"),"")</f>
        <v/>
      </c>
      <c r="T31" s="49" t="str">
        <f ca="1">IFERROR(__xludf.DUMMYFUNCTION("QUERY('Volunteer Survey'!M31)"),"")</f>
        <v/>
      </c>
      <c r="U31" s="58" t="str">
        <f ca="1">IFERROR(__xludf.DUMMYFUNCTION("QUERY('Volunteer Survey'!N31)"),"Yes")</f>
        <v>Yes</v>
      </c>
      <c r="V31" s="49" t="str">
        <f ca="1">IFERROR(__xludf.DUMMYFUNCTION("QUERY('Volunteer Survey'!O31)"),"")</f>
        <v/>
      </c>
      <c r="W31" s="60" t="str">
        <f ca="1">IFERROR(__xludf.DUMMYFUNCTION("QUERY('Volunteer Survey'!P31)"),"Epilepsy WG")</f>
        <v>Epilepsy WG</v>
      </c>
      <c r="X31" s="58" t="str">
        <f ca="1">IFERROR(__xludf.DUMMYFUNCTION("QUERY('Volunteer Survey'!R31)"),"")</f>
        <v/>
      </c>
      <c r="Y31" s="47"/>
      <c r="Z31" s="62"/>
      <c r="AA31" s="49"/>
      <c r="AB31" s="49"/>
      <c r="AC31" s="49"/>
      <c r="AD31" s="49"/>
      <c r="AE31" s="49"/>
      <c r="AF31" s="49"/>
      <c r="AG31" s="49"/>
      <c r="AH31" s="49"/>
      <c r="AI31" s="49"/>
      <c r="AJ31" s="49"/>
      <c r="AK31" s="49"/>
      <c r="AL31" s="49"/>
      <c r="AM31" s="49"/>
      <c r="AN31" s="49"/>
      <c r="AO31" s="49"/>
    </row>
    <row r="32" spans="1:41" ht="14">
      <c r="A32" s="44">
        <f ca="1">IFERROR(__xludf.DUMMYFUNCTION("QUERY('Volunteer Survey'!A32)"),43354.5908796296)</f>
        <v>43354.590879629599</v>
      </c>
      <c r="B32" s="42" t="s">
        <v>125</v>
      </c>
      <c r="C32" s="81">
        <v>43411</v>
      </c>
      <c r="D32" s="50">
        <v>43446</v>
      </c>
      <c r="E32" s="42" t="s">
        <v>117</v>
      </c>
      <c r="F32" s="42" t="s">
        <v>117</v>
      </c>
      <c r="G32" s="42" t="s">
        <v>122</v>
      </c>
      <c r="H32" s="45" t="s">
        <v>20</v>
      </c>
      <c r="I32" s="45" t="s">
        <v>139</v>
      </c>
      <c r="J32" s="50">
        <v>43592</v>
      </c>
      <c r="K32" s="50">
        <v>43713</v>
      </c>
      <c r="L32" s="49" t="str">
        <f ca="1">IFERROR(__xludf.DUMMYFUNCTION("QUERY('Volunteer Survey'!B32)"),"Mansour Zamanpoor")</f>
        <v>Mansour Zamanpoor</v>
      </c>
      <c r="M32" s="49" t="str">
        <f ca="1">IFERROR(__xludf.DUMMYFUNCTION("QUERY('Volunteer Survey'!E32)"),"mansour.zamanpoor@ccdhb.org.nz")</f>
        <v>mansour.zamanpoor@ccdhb.org.nz</v>
      </c>
      <c r="N32" s="49" t="str">
        <f ca="1">IFERROR(__xludf.DUMMYFUNCTION("QUERY('Volunteer Survey'!F32)"),"Clinical laboratory genetist, PhD candidate")</f>
        <v>Clinical laboratory genetist, PhD candidate</v>
      </c>
      <c r="O32" s="42" t="str">
        <f ca="1">IFERROR(__xludf.DUMMYFUNCTION("QUERY('Volunteer Survey'!H32)"),"Comprehensive")</f>
        <v>Comprehensive</v>
      </c>
      <c r="P32" s="49" t="str">
        <f ca="1">IFERROR(__xludf.DUMMYFUNCTION("QUERY('Volunteer Survey'!I32)"),"Gene-Disease Validity")</f>
        <v>Gene-Disease Validity</v>
      </c>
      <c r="Q32" s="54" t="str">
        <f ca="1">IFERROR(__xludf.DUMMYFUNCTION("QUERY('Volunteer Survey'!J32)"),"Variant Pathogenicity")</f>
        <v>Variant Pathogenicity</v>
      </c>
      <c r="R32" s="49" t="str">
        <f ca="1">IFERROR(__xludf.DUMMYFUNCTION("QUERY('Volunteer Survey'!K32)"),"")</f>
        <v/>
      </c>
      <c r="S32" s="49" t="str">
        <f ca="1">IFERROR(__xludf.DUMMYFUNCTION("QUERY('Volunteer Survey'!L32)"),"")</f>
        <v/>
      </c>
      <c r="T32" s="49" t="str">
        <f ca="1">IFERROR(__xludf.DUMMYFUNCTION("QUERY('Volunteer Survey'!M32)"),"")</f>
        <v/>
      </c>
      <c r="U32" s="58" t="str">
        <f ca="1">IFERROR(__xludf.DUMMYFUNCTION("QUERY('Volunteer Survey'!N32)"),"Yes")</f>
        <v>Yes</v>
      </c>
      <c r="V32" s="49" t="str">
        <f ca="1">IFERROR(__xludf.DUMMYFUNCTION("QUERY('Volunteer Survey'!O32)"),"")</f>
        <v/>
      </c>
      <c r="W32" s="60" t="str">
        <f ca="1">IFERROR(__xludf.DUMMYFUNCTION("QUERY('Volunteer Survey'!P32)"),"Hereditary cancer and neuro-developmental disorders")</f>
        <v>Hereditary cancer and neuro-developmental disorders</v>
      </c>
      <c r="X32" s="58" t="str">
        <f ca="1">IFERROR(__xludf.DUMMYFUNCTION("QUERY('Volunteer Survey'!R32)"),"")</f>
        <v/>
      </c>
      <c r="Y32" s="82" t="s">
        <v>318</v>
      </c>
      <c r="Z32" s="62"/>
      <c r="AA32" s="49"/>
      <c r="AB32" s="49"/>
      <c r="AC32" s="49"/>
      <c r="AD32" s="49"/>
      <c r="AE32" s="49"/>
      <c r="AF32" s="49"/>
      <c r="AG32" s="49"/>
      <c r="AH32" s="49"/>
      <c r="AI32" s="49"/>
      <c r="AJ32" s="49"/>
      <c r="AK32" s="49"/>
      <c r="AL32" s="49"/>
      <c r="AM32" s="49"/>
      <c r="AN32" s="49"/>
      <c r="AO32" s="49"/>
    </row>
    <row r="33" spans="1:41" ht="14">
      <c r="A33" s="44">
        <f ca="1">IFERROR(__xludf.DUMMYFUNCTION("QUERY('Volunteer Survey'!A33)"),43356.5915972222)</f>
        <v>43356.591597222199</v>
      </c>
      <c r="B33" s="42" t="s">
        <v>160</v>
      </c>
      <c r="C33" s="81">
        <v>43411</v>
      </c>
      <c r="D33" s="50">
        <v>43446</v>
      </c>
      <c r="E33" s="42" t="s">
        <v>117</v>
      </c>
      <c r="F33" s="42" t="s">
        <v>117</v>
      </c>
      <c r="G33" s="42" t="s">
        <v>122</v>
      </c>
      <c r="H33" s="45" t="s">
        <v>293</v>
      </c>
      <c r="I33" s="45" t="s">
        <v>139</v>
      </c>
      <c r="J33" s="50">
        <v>43592</v>
      </c>
      <c r="K33" s="50">
        <v>43713</v>
      </c>
      <c r="L33" s="49" t="str">
        <f ca="1">IFERROR(__xludf.DUMMYFUNCTION("QUERY('Volunteer Survey'!B33)"),"Benjamin Kang")</f>
        <v>Benjamin Kang</v>
      </c>
      <c r="M33" s="49" t="str">
        <f ca="1">IFERROR(__xludf.DUMMYFUNCTION("QUERY('Volunteer Survey'!E33)"),"bekang@emory.edu")</f>
        <v>bekang@emory.edu</v>
      </c>
      <c r="N33" s="49" t="str">
        <f ca="1">IFERROR(__xludf.DUMMYFUNCTION("QUERY('Volunteer Survey'!F33)"),"Post Doc/Resident/Fellow (MD and/or PhD)")</f>
        <v>Post Doc/Resident/Fellow (MD and/or PhD)</v>
      </c>
      <c r="O33" s="42" t="str">
        <f ca="1">IFERROR(__xludf.DUMMYFUNCTION("QUERY('Volunteer Survey'!H33)"),"Comprehensive")</f>
        <v>Comprehensive</v>
      </c>
      <c r="P33" s="49" t="str">
        <f ca="1">IFERROR(__xludf.DUMMYFUNCTION("QUERY('Volunteer Survey'!I33)"),"Gene-Disease Validity")</f>
        <v>Gene-Disease Validity</v>
      </c>
      <c r="Q33" s="54" t="str">
        <f ca="1">IFERROR(__xludf.DUMMYFUNCTION("QUERY('Volunteer Survey'!J33)"),"Variant Pathogenicity")</f>
        <v>Variant Pathogenicity</v>
      </c>
      <c r="R33" s="49" t="str">
        <f ca="1">IFERROR(__xludf.DUMMYFUNCTION("QUERY('Volunteer Survey'!K33)"),"Dosage Sensitivity")</f>
        <v>Dosage Sensitivity</v>
      </c>
      <c r="S33" s="49" t="str">
        <f ca="1">IFERROR(__xludf.DUMMYFUNCTION("QUERY('Volunteer Survey'!L33)"),"Actionability")</f>
        <v>Actionability</v>
      </c>
      <c r="T33" s="49" t="str">
        <f ca="1">IFERROR(__xludf.DUMMYFUNCTION("QUERY('Volunteer Survey'!M33)"),"Somatic Cancer")</f>
        <v>Somatic Cancer</v>
      </c>
      <c r="U33" s="58" t="str">
        <f ca="1">IFERROR(__xludf.DUMMYFUNCTION("QUERY('Volunteer Survey'!N33)"),"Yes")</f>
        <v>Yes</v>
      </c>
      <c r="V33" s="49" t="str">
        <f ca="1">IFERROR(__xludf.DUMMYFUNCTION("QUERY('Volunteer Survey'!O33)"),"")</f>
        <v/>
      </c>
      <c r="W33" s="60" t="str">
        <f ca="1">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58" t="str">
        <f ca="1">IFERROR(__xludf.DUMMYFUNCTION("QUERY('Volunteer Survey'!R33)"),"")</f>
        <v/>
      </c>
      <c r="Y33" s="47"/>
      <c r="Z33" s="62"/>
      <c r="AA33" s="49"/>
      <c r="AB33" s="49"/>
      <c r="AC33" s="49"/>
      <c r="AD33" s="49"/>
      <c r="AE33" s="49"/>
      <c r="AF33" s="49"/>
      <c r="AG33" s="49"/>
      <c r="AH33" s="49"/>
      <c r="AI33" s="49"/>
      <c r="AJ33" s="49"/>
      <c r="AK33" s="49"/>
      <c r="AL33" s="49"/>
      <c r="AM33" s="49"/>
      <c r="AN33" s="49"/>
      <c r="AO33" s="49"/>
    </row>
    <row r="34" spans="1:41" ht="14">
      <c r="A34" s="44">
        <f ca="1">IFERROR(__xludf.DUMMYFUNCTION("QUERY('Volunteer Survey'!A34)"),43357.5930671296)</f>
        <v>43357.593067129601</v>
      </c>
      <c r="B34" s="42" t="s">
        <v>108</v>
      </c>
      <c r="C34" s="47"/>
      <c r="D34" s="50">
        <v>43585</v>
      </c>
      <c r="E34" s="42" t="s">
        <v>117</v>
      </c>
      <c r="F34" s="42" t="s">
        <v>117</v>
      </c>
      <c r="G34" s="42" t="s">
        <v>122</v>
      </c>
      <c r="H34" s="45" t="s">
        <v>294</v>
      </c>
      <c r="I34" s="45" t="s">
        <v>299</v>
      </c>
      <c r="J34" s="49"/>
      <c r="K34" s="49"/>
      <c r="L34" s="49" t="str">
        <f ca="1">IFERROR(__xludf.DUMMYFUNCTION("QUERY('Volunteer Survey'!B34)"),"Ljubica Caldovic")</f>
        <v>Ljubica Caldovic</v>
      </c>
      <c r="M34" s="49" t="str">
        <f ca="1">IFERROR(__xludf.DUMMYFUNCTION("QUERY('Volunteer Survey'!E34)"),"lcaldovic@childrensnational.org")</f>
        <v>lcaldovic@childrensnational.org</v>
      </c>
      <c r="N34" s="49" t="str">
        <f ca="1">IFERROR(__xludf.DUMMYFUNCTION("QUERY('Volunteer Survey'!F34)"),"Scientific Researcher, Variant Analyst/Scientist")</f>
        <v>Scientific Researcher, Variant Analyst/Scientist</v>
      </c>
      <c r="O34" s="42" t="str">
        <f ca="1">IFERROR(__xludf.DUMMYFUNCTION("QUERY('Volunteer Survey'!H34)"),"Comprehensive")</f>
        <v>Comprehensive</v>
      </c>
      <c r="P34" s="49" t="str">
        <f ca="1">IFERROR(__xludf.DUMMYFUNCTION("QUERY('Volunteer Survey'!I34)"),"Gene-Disease Validity")</f>
        <v>Gene-Disease Validity</v>
      </c>
      <c r="Q34" s="54" t="str">
        <f ca="1">IFERROR(__xludf.DUMMYFUNCTION("QUERY('Volunteer Survey'!J34)"),"Variant Pathogenicity")</f>
        <v>Variant Pathogenicity</v>
      </c>
      <c r="R34" s="49" t="str">
        <f ca="1">IFERROR(__xludf.DUMMYFUNCTION("QUERY('Volunteer Survey'!K34)"),"Dosage Sensitivity")</f>
        <v>Dosage Sensitivity</v>
      </c>
      <c r="S34" s="49" t="str">
        <f ca="1">IFERROR(__xludf.DUMMYFUNCTION("QUERY('Volunteer Survey'!L34)"),"")</f>
        <v/>
      </c>
      <c r="T34" s="49" t="str">
        <f ca="1">IFERROR(__xludf.DUMMYFUNCTION("QUERY('Volunteer Survey'!M34)"),"")</f>
        <v/>
      </c>
      <c r="U34" s="58" t="str">
        <f ca="1">IFERROR(__xludf.DUMMYFUNCTION("QUERY('Volunteer Survey'!N34)"),"No")</f>
        <v>No</v>
      </c>
      <c r="V34" s="49" t="str">
        <f ca="1">IFERROR(__xludf.DUMMYFUNCTION("QUERY('Volunteer Survey'!O34)"),"")</f>
        <v/>
      </c>
      <c r="W34" s="60" t="str">
        <f ca="1">IFERROR(__xludf.DUMMYFUNCTION("QUERY('Volunteer Survey'!P34)"),"Aminoacidopathy working group/expert panel; Metabolism expert panel")</f>
        <v>Aminoacidopathy working group/expert panel; Metabolism expert panel</v>
      </c>
      <c r="X34" s="58" t="str">
        <f ca="1">IFERROR(__xludf.DUMMYFUNCTION("QUERY('Volunteer Survey'!R34)"),"")</f>
        <v/>
      </c>
      <c r="Y34" s="47"/>
      <c r="Z34" s="62"/>
      <c r="AA34" s="49"/>
      <c r="AB34" s="49"/>
      <c r="AC34" s="49"/>
      <c r="AD34" s="49"/>
      <c r="AE34" s="49"/>
      <c r="AF34" s="49"/>
      <c r="AG34" s="49"/>
      <c r="AH34" s="49"/>
      <c r="AI34" s="49"/>
      <c r="AJ34" s="49"/>
      <c r="AK34" s="49"/>
      <c r="AL34" s="49"/>
      <c r="AM34" s="49"/>
      <c r="AN34" s="49"/>
      <c r="AO34" s="49"/>
    </row>
    <row r="35" spans="1:41" ht="14">
      <c r="A35" s="44">
        <f ca="1">IFERROR(__xludf.DUMMYFUNCTION("QUERY('Volunteer Survey'!A35)"),43359.5939004629)</f>
        <v>43359.593900462904</v>
      </c>
      <c r="B35" s="42" t="s">
        <v>160</v>
      </c>
      <c r="C35" s="81">
        <v>43347</v>
      </c>
      <c r="D35" s="50">
        <v>43446</v>
      </c>
      <c r="E35" s="42" t="s">
        <v>130</v>
      </c>
      <c r="F35" s="42" t="s">
        <v>130</v>
      </c>
      <c r="G35" s="42" t="s">
        <v>122</v>
      </c>
      <c r="H35" s="45" t="s">
        <v>293</v>
      </c>
      <c r="I35" s="45" t="s">
        <v>139</v>
      </c>
      <c r="J35" s="42"/>
      <c r="K35" s="42"/>
      <c r="L35" s="49" t="str">
        <f ca="1">IFERROR(__xludf.DUMMYFUNCTION("QUERY('Volunteer Survey'!B35)"),"John Millichap")</f>
        <v>John Millichap</v>
      </c>
      <c r="M35" s="49" t="str">
        <f ca="1">IFERROR(__xludf.DUMMYFUNCTION("QUERY('Volunteer Survey'!E35)"),"jmillichap@luriechildrens.org")</f>
        <v>jmillichap@luriechildrens.org</v>
      </c>
      <c r="N35" s="49" t="str">
        <f ca="1">IFERROR(__xludf.DUMMYFUNCTION("QUERY('Volunteer Survey'!F35)"),"Physician (Non-geneticist)")</f>
        <v>Physician (Non-geneticist)</v>
      </c>
      <c r="O35" s="42" t="str">
        <f ca="1">IFERROR(__xludf.DUMMYFUNCTION("QUERY('Volunteer Survey'!H35)"),"Comprehensive")</f>
        <v>Comprehensive</v>
      </c>
      <c r="P35" s="49" t="str">
        <f ca="1">IFERROR(__xludf.DUMMYFUNCTION("QUERY('Volunteer Survey'!I35)"),"Gene-Disease Validity")</f>
        <v>Gene-Disease Validity</v>
      </c>
      <c r="Q35" s="54" t="str">
        <f ca="1">IFERROR(__xludf.DUMMYFUNCTION("QUERY('Volunteer Survey'!J35)"),"Actionability")</f>
        <v>Actionability</v>
      </c>
      <c r="R35" s="49" t="str">
        <f ca="1">IFERROR(__xludf.DUMMYFUNCTION("QUERY('Volunteer Survey'!K35)"),"Variant Pathogenicity")</f>
        <v>Variant Pathogenicity</v>
      </c>
      <c r="S35" s="49" t="str">
        <f ca="1">IFERROR(__xludf.DUMMYFUNCTION("QUERY('Volunteer Survey'!L35)"),"Dosage Sensitivity")</f>
        <v>Dosage Sensitivity</v>
      </c>
      <c r="T35" s="49" t="str">
        <f ca="1">IFERROR(__xludf.DUMMYFUNCTION("QUERY('Volunteer Survey'!M35)"),"")</f>
        <v/>
      </c>
      <c r="U35" s="58" t="str">
        <f ca="1">IFERROR(__xludf.DUMMYFUNCTION("QUERY('Volunteer Survey'!N35)"),"Yes")</f>
        <v>Yes</v>
      </c>
      <c r="V35" s="49" t="str">
        <f ca="1">IFERROR(__xludf.DUMMYFUNCTION("QUERY('Volunteer Survey'!O35)"),"")</f>
        <v/>
      </c>
      <c r="W35" s="60" t="str">
        <f ca="1">IFERROR(__xludf.DUMMYFUNCTION("QUERY('Volunteer Survey'!P35)"),"Epilepsy WG/EP")</f>
        <v>Epilepsy WG/EP</v>
      </c>
      <c r="X35" s="58" t="str">
        <f ca="1">IFERROR(__xludf.DUMMYFUNCTION("QUERY('Volunteer Survey'!R35)"),"")</f>
        <v/>
      </c>
      <c r="Y35" s="45" t="s">
        <v>323</v>
      </c>
      <c r="Z35" s="62"/>
      <c r="AA35" s="49"/>
      <c r="AB35" s="49"/>
      <c r="AC35" s="49"/>
      <c r="AD35" s="49"/>
      <c r="AE35" s="49"/>
      <c r="AF35" s="49"/>
      <c r="AG35" s="49"/>
      <c r="AH35" s="49"/>
      <c r="AI35" s="49"/>
      <c r="AJ35" s="49"/>
      <c r="AK35" s="49"/>
      <c r="AL35" s="49"/>
      <c r="AM35" s="49"/>
      <c r="AN35" s="49"/>
      <c r="AO35" s="49"/>
    </row>
    <row r="36" spans="1:41" ht="14">
      <c r="A36" s="44">
        <f ca="1">IFERROR(__xludf.DUMMYFUNCTION("QUERY('Volunteer Survey'!A36)"),43363.595162037)</f>
        <v>43363.595162037003</v>
      </c>
      <c r="B36" s="42" t="s">
        <v>108</v>
      </c>
      <c r="C36" s="81">
        <v>43411</v>
      </c>
      <c r="D36" s="50">
        <v>43446</v>
      </c>
      <c r="E36" s="42" t="s">
        <v>130</v>
      </c>
      <c r="F36" s="42" t="s">
        <v>130</v>
      </c>
      <c r="G36" s="42" t="s">
        <v>313</v>
      </c>
      <c r="H36" s="47"/>
      <c r="I36" s="45" t="s">
        <v>139</v>
      </c>
      <c r="J36" s="49"/>
      <c r="K36" s="49"/>
      <c r="L36" s="49" t="str">
        <f ca="1">IFERROR(__xludf.DUMMYFUNCTION("QUERY('Volunteer Survey'!B36)"),"Vladimir Lialine")</f>
        <v>Vladimir Lialine</v>
      </c>
      <c r="M36" s="49" t="str">
        <f ca="1">IFERROR(__xludf.DUMMYFUNCTION("QUERY('Volunteer Survey'!E36)"),"vlad@twixsoft.com")</f>
        <v>vlad@twixsoft.com</v>
      </c>
      <c r="N36" s="49" t="str">
        <f ca="1">IFERROR(__xludf.DUMMYFUNCTION("QUERY('Volunteer Survey'!F36)"),"Scientific Researcher, Graduate Student, Citizen Scientist/Patient Advocate")</f>
        <v>Scientific Researcher, Graduate Student, Citizen Scientist/Patient Advocate</v>
      </c>
      <c r="O36" s="49" t="str">
        <f ca="1">IFERROR(__xludf.DUMMYFUNCTION("QUERY('Volunteer Survey'!H36)"),"Comprehensive")</f>
        <v>Comprehensive</v>
      </c>
      <c r="P36" s="49" t="str">
        <f ca="1">IFERROR(__xludf.DUMMYFUNCTION("QUERY('Volunteer Survey'!I36)"),"Gene-Disease Validity")</f>
        <v>Gene-Disease Validity</v>
      </c>
      <c r="Q36" s="54" t="str">
        <f ca="1">IFERROR(__xludf.DUMMYFUNCTION("QUERY('Volunteer Survey'!J36)"),"Somatic Cancer")</f>
        <v>Somatic Cancer</v>
      </c>
      <c r="R36" s="49" t="str">
        <f ca="1">IFERROR(__xludf.DUMMYFUNCTION("QUERY('Volunteer Survey'!K36)"),"Dosage Sensitivity")</f>
        <v>Dosage Sensitivity</v>
      </c>
      <c r="S36" s="49" t="str">
        <f ca="1">IFERROR(__xludf.DUMMYFUNCTION("QUERY('Volunteer Survey'!L36)"),"Actionability")</f>
        <v>Actionability</v>
      </c>
      <c r="T36" s="49" t="str">
        <f ca="1">IFERROR(__xludf.DUMMYFUNCTION("QUERY('Volunteer Survey'!M36)"),"Variant Pathogenicity")</f>
        <v>Variant Pathogenicity</v>
      </c>
      <c r="U36" s="58" t="str">
        <f ca="1">IFERROR(__xludf.DUMMYFUNCTION("QUERY('Volunteer Survey'!N36)"),"No")</f>
        <v>No</v>
      </c>
      <c r="V36" s="49" t="str">
        <f ca="1">IFERROR(__xludf.DUMMYFUNCTION("QUERY('Volunteer Survey'!O36)"),"Yes")</f>
        <v>Yes</v>
      </c>
      <c r="W36" s="60" t="str">
        <f ca="1">IFERROR(__xludf.DUMMYFUNCTION("QUERY('Volunteer Survey'!P36)"),"No")</f>
        <v>No</v>
      </c>
      <c r="X36" s="58" t="str">
        <f ca="1">IFERROR(__xludf.DUMMYFUNCTION("QUERY('Volunteer Survey'!R36)"),"")</f>
        <v/>
      </c>
      <c r="Y36" s="47"/>
      <c r="Z36" s="62"/>
      <c r="AA36" s="49"/>
      <c r="AB36" s="49"/>
      <c r="AC36" s="49"/>
      <c r="AD36" s="49"/>
      <c r="AE36" s="49"/>
      <c r="AF36" s="49"/>
      <c r="AG36" s="49"/>
      <c r="AH36" s="49"/>
      <c r="AI36" s="49"/>
      <c r="AJ36" s="49"/>
      <c r="AK36" s="49"/>
      <c r="AL36" s="49"/>
      <c r="AM36" s="49"/>
      <c r="AN36" s="49"/>
      <c r="AO36" s="49"/>
    </row>
    <row r="37" spans="1:41" ht="14">
      <c r="A37" s="44">
        <f ca="1">IFERROR(__xludf.DUMMYFUNCTION("QUERY('Volunteer Survey'!A38)"),43384.5971412037)</f>
        <v>43384.597141203703</v>
      </c>
      <c r="B37" s="42" t="s">
        <v>108</v>
      </c>
      <c r="C37" s="73">
        <v>43430</v>
      </c>
      <c r="D37" s="50">
        <v>43446</v>
      </c>
      <c r="E37" s="42" t="s">
        <v>117</v>
      </c>
      <c r="F37" s="42" t="s">
        <v>130</v>
      </c>
      <c r="G37" s="42" t="s">
        <v>122</v>
      </c>
      <c r="H37" s="47"/>
      <c r="I37" s="45" t="s">
        <v>139</v>
      </c>
      <c r="J37" s="49"/>
      <c r="K37" s="49"/>
      <c r="L37" s="49" t="str">
        <f ca="1">IFERROR(__xludf.DUMMYFUNCTION("QUERY('Volunteer Survey'!B38)"),"Vaidehi Jobanputra")</f>
        <v>Vaidehi Jobanputra</v>
      </c>
      <c r="M37" s="49" t="str">
        <f ca="1">IFERROR(__xludf.DUMMYFUNCTION("QUERY('Volunteer Survey'!E38)"),"vjobanputra@nygenome.org")</f>
        <v>vjobanputra@nygenome.org</v>
      </c>
      <c r="N37" s="49" t="str">
        <f ca="1">IFERROR(__xludf.DUMMYFUNCTION("QUERY('Volunteer Survey'!F38)"),"Clinical laboratory geneticist")</f>
        <v>Clinical laboratory geneticist</v>
      </c>
      <c r="O37" s="42" t="str">
        <f ca="1">IFERROR(__xludf.DUMMYFUNCTION("QUERY('Volunteer Survey'!H38)"),"Comprehensive")</f>
        <v>Comprehensive</v>
      </c>
      <c r="P37" s="49" t="str">
        <f ca="1">IFERROR(__xludf.DUMMYFUNCTION("QUERY('Volunteer Survey'!I38)"),"Gene-Disease Validity")</f>
        <v>Gene-Disease Validity</v>
      </c>
      <c r="Q37" s="54" t="str">
        <f ca="1">IFERROR(__xludf.DUMMYFUNCTION("QUERY('Volunteer Survey'!J38)"),"")</f>
        <v/>
      </c>
      <c r="R37" s="49" t="str">
        <f ca="1">IFERROR(__xludf.DUMMYFUNCTION("QUERY('Volunteer Survey'!K38)"),"")</f>
        <v/>
      </c>
      <c r="S37" s="49" t="str">
        <f ca="1">IFERROR(__xludf.DUMMYFUNCTION("QUERY('Volunteer Survey'!L38)"),"")</f>
        <v/>
      </c>
      <c r="T37" s="49" t="str">
        <f ca="1">IFERROR(__xludf.DUMMYFUNCTION("QUERY('Volunteer Survey'!M38)"),"")</f>
        <v/>
      </c>
      <c r="U37" s="58" t="str">
        <f ca="1">IFERROR(__xludf.DUMMYFUNCTION("QUERY('Volunteer Survey'!N38)"),"Yes")</f>
        <v>Yes</v>
      </c>
      <c r="V37" s="49" t="str">
        <f ca="1">IFERROR(__xludf.DUMMYFUNCTION("QUERY('Volunteer Survey'!O38)"),"")</f>
        <v/>
      </c>
      <c r="W37" s="60" t="str">
        <f ca="1">IFERROR(__xludf.DUMMYFUNCTION("QUERY('Volunteer Survey'!P38)"),"No")</f>
        <v>No</v>
      </c>
      <c r="X37" s="58" t="str">
        <f ca="1">IFERROR(__xludf.DUMMYFUNCTION("QUERY('Volunteer Survey'!R38)"),"")</f>
        <v/>
      </c>
      <c r="Y37" s="47"/>
      <c r="Z37" s="62"/>
      <c r="AA37" s="49"/>
      <c r="AB37" s="49"/>
      <c r="AC37" s="49"/>
      <c r="AD37" s="49"/>
      <c r="AE37" s="49"/>
      <c r="AF37" s="49"/>
      <c r="AG37" s="49"/>
      <c r="AH37" s="49"/>
      <c r="AI37" s="49"/>
      <c r="AJ37" s="49"/>
      <c r="AK37" s="49"/>
      <c r="AL37" s="49"/>
      <c r="AM37" s="49"/>
      <c r="AN37" s="49"/>
      <c r="AO37" s="49"/>
    </row>
    <row r="38" spans="1:41" ht="98">
      <c r="A38" s="44">
        <f ca="1">IFERROR(__xludf.DUMMYFUNCTION("QUERY('Volunteer Survey'!A39)"),43401.5984837963)</f>
        <v>43401.598483796297</v>
      </c>
      <c r="B38" s="42" t="s">
        <v>108</v>
      </c>
      <c r="C38" s="45" t="s">
        <v>324</v>
      </c>
      <c r="D38" s="50">
        <v>43446</v>
      </c>
      <c r="E38" s="42" t="s">
        <v>130</v>
      </c>
      <c r="F38" s="42" t="s">
        <v>130</v>
      </c>
      <c r="G38" s="42" t="s">
        <v>122</v>
      </c>
      <c r="H38" s="47"/>
      <c r="I38" s="45" t="s">
        <v>139</v>
      </c>
      <c r="J38" s="49"/>
      <c r="K38" s="49"/>
      <c r="L38" s="49" t="str">
        <f ca="1">IFERROR(__xludf.DUMMYFUNCTION("QUERY('Volunteer Survey'!B39)"),"Khushnooda Ramzan")</f>
        <v>Khushnooda Ramzan</v>
      </c>
      <c r="M38" s="49" t="str">
        <f ca="1">IFERROR(__xludf.DUMMYFUNCTION("QUERY('Volunteer Survey'!E39)"),"khushnooda@gmail.com")</f>
        <v>khushnooda@gmail.com</v>
      </c>
      <c r="N38" s="49" t="str">
        <f ca="1">IFERROR(__xludf.DUMMYFUNCTION("QUERY('Volunteer Survey'!F39)"),"Scientific Research/ Variant Analyst")</f>
        <v>Scientific Research/ Variant Analyst</v>
      </c>
      <c r="O38" s="42" t="str">
        <f ca="1">IFERROR(__xludf.DUMMYFUNCTION("QUERY('Volunteer Survey'!H39)"),"Comprehensive")</f>
        <v>Comprehensive</v>
      </c>
      <c r="P38" s="49" t="str">
        <f ca="1">IFERROR(__xludf.DUMMYFUNCTION("QUERY('Volunteer Survey'!I39)"),"Gene-Disease Validity")</f>
        <v>Gene-Disease Validity</v>
      </c>
      <c r="Q38" s="54" t="str">
        <f ca="1">IFERROR(__xludf.DUMMYFUNCTION("QUERY('Volunteer Survey'!J39)"),"Variant Pathogenicity")</f>
        <v>Variant Pathogenicity</v>
      </c>
      <c r="R38" s="49" t="str">
        <f ca="1">IFERROR(__xludf.DUMMYFUNCTION("QUERY('Volunteer Survey'!K39)"),"")</f>
        <v/>
      </c>
      <c r="S38" s="49" t="str">
        <f ca="1">IFERROR(__xludf.DUMMYFUNCTION("QUERY('Volunteer Survey'!L39)"),"")</f>
        <v/>
      </c>
      <c r="T38" s="49" t="str">
        <f ca="1">IFERROR(__xludf.DUMMYFUNCTION("QUERY('Volunteer Survey'!M39)"),"")</f>
        <v/>
      </c>
      <c r="U38" s="58" t="str">
        <f ca="1">IFERROR(__xludf.DUMMYFUNCTION("QUERY('Volunteer Survey'!N39)"),"")</f>
        <v/>
      </c>
      <c r="V38" s="49" t="str">
        <f ca="1">IFERROR(__xludf.DUMMYFUNCTION("QUERY('Volunteer Survey'!O39)"),"")</f>
        <v/>
      </c>
      <c r="W38" s="60" t="str">
        <f ca="1">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58" t="str">
        <f ca="1">IFERROR(__xludf.DUMMYFUNCTION("QUERY('Volunteer Survey'!R39)"),"")</f>
        <v/>
      </c>
      <c r="Y38" s="47"/>
      <c r="Z38" s="62"/>
      <c r="AA38" s="49"/>
      <c r="AB38" s="49"/>
      <c r="AC38" s="49"/>
      <c r="AD38" s="49"/>
      <c r="AE38" s="49"/>
      <c r="AF38" s="49"/>
      <c r="AG38" s="49"/>
      <c r="AH38" s="49"/>
      <c r="AI38" s="49"/>
      <c r="AJ38" s="49"/>
      <c r="AK38" s="49"/>
      <c r="AL38" s="49"/>
      <c r="AM38" s="49"/>
      <c r="AN38" s="49"/>
      <c r="AO38" s="49"/>
    </row>
    <row r="39" spans="1:41" ht="14">
      <c r="A39" s="44">
        <f ca="1">IFERROR(__xludf.DUMMYFUNCTION("QUERY('Volunteer Survey'!A40)"),43413.5994675925)</f>
        <v>43413.599467592503</v>
      </c>
      <c r="B39" s="42" t="s">
        <v>108</v>
      </c>
      <c r="C39" s="73"/>
      <c r="D39" s="59">
        <v>43585</v>
      </c>
      <c r="E39" s="42" t="s">
        <v>117</v>
      </c>
      <c r="F39" s="42" t="s">
        <v>130</v>
      </c>
      <c r="G39" s="42" t="s">
        <v>122</v>
      </c>
      <c r="H39" s="45" t="s">
        <v>123</v>
      </c>
      <c r="I39" s="45" t="s">
        <v>139</v>
      </c>
      <c r="J39" s="50">
        <v>43712</v>
      </c>
      <c r="K39" s="50"/>
      <c r="L39" s="49" t="str">
        <f ca="1">IFERROR(__xludf.DUMMYFUNCTION("QUERY('Volunteer Survey'!B40)"),"Erik Thorland")</f>
        <v>Erik Thorland</v>
      </c>
      <c r="M39" s="49" t="str">
        <f ca="1">IFERROR(__xludf.DUMMYFUNCTION("QUERY('Volunteer Survey'!E40)"),"thorland.erik@mayo.edu")</f>
        <v>thorland.erik@mayo.edu</v>
      </c>
      <c r="N39" s="49" t="str">
        <f ca="1">IFERROR(__xludf.DUMMYFUNCTION("QUERY('Volunteer Survey'!F40)"),"Clinical laboratory geneticist")</f>
        <v>Clinical laboratory geneticist</v>
      </c>
      <c r="O39" s="42" t="str">
        <f ca="1">IFERROR(__xludf.DUMMYFUNCTION("QUERY('Volunteer Survey'!H40)"),"Comprehensive")</f>
        <v>Comprehensive</v>
      </c>
      <c r="P39" s="49" t="str">
        <f ca="1">IFERROR(__xludf.DUMMYFUNCTION("QUERY('Volunteer Survey'!I40)"),"Gene-Disease Validity")</f>
        <v>Gene-Disease Validity</v>
      </c>
      <c r="Q39" s="54" t="str">
        <f ca="1">IFERROR(__xludf.DUMMYFUNCTION("QUERY('Volunteer Survey'!J40)"),"Variant Pathogenicity")</f>
        <v>Variant Pathogenicity</v>
      </c>
      <c r="R39" s="49" t="str">
        <f ca="1">IFERROR(__xludf.DUMMYFUNCTION("QUERY('Volunteer Survey'!K40)"),"")</f>
        <v/>
      </c>
      <c r="S39" s="49" t="str">
        <f ca="1">IFERROR(__xludf.DUMMYFUNCTION("QUERY('Volunteer Survey'!L40)"),"")</f>
        <v/>
      </c>
      <c r="T39" s="49" t="str">
        <f ca="1">IFERROR(__xludf.DUMMYFUNCTION("QUERY('Volunteer Survey'!M40)"),"")</f>
        <v/>
      </c>
      <c r="U39" s="58" t="str">
        <f ca="1">IFERROR(__xludf.DUMMYFUNCTION("QUERY('Volunteer Survey'!N40)"),"Yes")</f>
        <v>Yes</v>
      </c>
      <c r="V39" s="49" t="str">
        <f ca="1">IFERROR(__xludf.DUMMYFUNCTION("QUERY('Volunteer Survey'!O40)"),"")</f>
        <v/>
      </c>
      <c r="W39" s="60" t="str">
        <f ca="1">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58" t="str">
        <f ca="1">IFERROR(__xludf.DUMMYFUNCTION("QUERY('Volunteer Survey'!R40)"),"")</f>
        <v/>
      </c>
      <c r="Y39" s="45" t="s">
        <v>325</v>
      </c>
      <c r="Z39" s="62"/>
      <c r="AA39" s="49"/>
      <c r="AB39" s="49"/>
      <c r="AC39" s="49"/>
      <c r="AD39" s="49"/>
      <c r="AE39" s="49"/>
      <c r="AF39" s="49"/>
      <c r="AG39" s="49"/>
      <c r="AH39" s="49"/>
      <c r="AI39" s="49"/>
      <c r="AJ39" s="49"/>
      <c r="AK39" s="49"/>
      <c r="AL39" s="49"/>
      <c r="AM39" s="49"/>
      <c r="AN39" s="49"/>
      <c r="AO39" s="49"/>
    </row>
    <row r="40" spans="1:41" ht="14">
      <c r="A40" s="44">
        <f ca="1">IFERROR(__xludf.DUMMYFUNCTION("QUERY('Volunteer Survey'!A41)"),43434.6006134259)</f>
        <v>43434.600613425901</v>
      </c>
      <c r="B40" s="42" t="s">
        <v>160</v>
      </c>
      <c r="C40" s="81">
        <v>43437</v>
      </c>
      <c r="D40" s="50">
        <v>43446</v>
      </c>
      <c r="E40" s="42" t="s">
        <v>117</v>
      </c>
      <c r="F40" s="42" t="s">
        <v>117</v>
      </c>
      <c r="G40" s="42" t="s">
        <v>122</v>
      </c>
      <c r="H40" s="45" t="s">
        <v>143</v>
      </c>
      <c r="I40" s="45" t="s">
        <v>299</v>
      </c>
      <c r="J40" s="50">
        <v>43592</v>
      </c>
      <c r="K40" s="50">
        <v>43713</v>
      </c>
      <c r="L40" s="49" t="str">
        <f ca="1">IFERROR(__xludf.DUMMYFUNCTION("QUERY('Volunteer Survey'!B41)"),"Olivia Rennie")</f>
        <v>Olivia Rennie</v>
      </c>
      <c r="M40" s="49" t="str">
        <f ca="1">IFERROR(__xludf.DUMMYFUNCTION("QUERY('Volunteer Survey'!E41)"),"olivia.rennie@sickkids.ca")</f>
        <v>olivia.rennie@sickkids.ca</v>
      </c>
      <c r="N40" s="49" t="str">
        <f ca="1">IFERROR(__xludf.DUMMYFUNCTION("QUERY('Volunteer Survey'!F41)"),"Variant Analyst/Scientist")</f>
        <v>Variant Analyst/Scientist</v>
      </c>
      <c r="O40" s="42" t="str">
        <f ca="1">IFERROR(__xludf.DUMMYFUNCTION("QUERY('Volunteer Survey'!H41)"),"Comprehensive")</f>
        <v>Comprehensive</v>
      </c>
      <c r="P40" s="49" t="str">
        <f ca="1">IFERROR(__xludf.DUMMYFUNCTION("QUERY('Volunteer Survey'!I41)"),"Gene-Disease Validity")</f>
        <v>Gene-Disease Validity</v>
      </c>
      <c r="Q40" s="54" t="str">
        <f ca="1">IFERROR(__xludf.DUMMYFUNCTION("QUERY('Volunteer Survey'!J41)"),"Somatic Cancer")</f>
        <v>Somatic Cancer</v>
      </c>
      <c r="R40" s="49" t="str">
        <f ca="1">IFERROR(__xludf.DUMMYFUNCTION("QUERY('Volunteer Survey'!K41)"),"Dosage Sensitivity")</f>
        <v>Dosage Sensitivity</v>
      </c>
      <c r="S40" s="49" t="str">
        <f ca="1">IFERROR(__xludf.DUMMYFUNCTION("QUERY('Volunteer Survey'!L41)"),"Variant Pathogenicity")</f>
        <v>Variant Pathogenicity</v>
      </c>
      <c r="T40" s="49" t="str">
        <f ca="1">IFERROR(__xludf.DUMMYFUNCTION("QUERY('Volunteer Survey'!M41)"),"Actionability")</f>
        <v>Actionability</v>
      </c>
      <c r="U40" s="58" t="str">
        <f ca="1">IFERROR(__xludf.DUMMYFUNCTION("QUERY('Volunteer Survey'!N41)"),"No")</f>
        <v>No</v>
      </c>
      <c r="V40" s="49" t="str">
        <f ca="1">IFERROR(__xludf.DUMMYFUNCTION("QUERY('Volunteer Survey'!O41)"),"")</f>
        <v/>
      </c>
      <c r="W40" s="60" t="str">
        <f ca="1">IFERROR(__xludf.DUMMYFUNCTION("QUERY('Volunteer Survey'!P41)"),"ID/Autism Gene Curation Expert Panel")</f>
        <v>ID/Autism Gene Curation Expert Panel</v>
      </c>
      <c r="X40" s="58" t="str">
        <f ca="1">IFERROR(__xludf.DUMMYFUNCTION("QUERY('Volunteer Survey'!R41)"),"")</f>
        <v/>
      </c>
      <c r="Y40" s="47"/>
      <c r="Z40" s="62"/>
      <c r="AA40" s="49"/>
      <c r="AB40" s="49"/>
      <c r="AC40" s="49"/>
      <c r="AD40" s="49"/>
      <c r="AE40" s="49"/>
      <c r="AF40" s="49"/>
      <c r="AG40" s="49"/>
      <c r="AH40" s="49"/>
      <c r="AI40" s="49"/>
      <c r="AJ40" s="49"/>
      <c r="AK40" s="49"/>
      <c r="AL40" s="49"/>
      <c r="AM40" s="49"/>
      <c r="AN40" s="49"/>
      <c r="AO40" s="49"/>
    </row>
    <row r="41" spans="1:41" ht="14">
      <c r="A41" s="44">
        <f ca="1">IFERROR(__xludf.DUMMYFUNCTION("QUERY('Volunteer Survey'!A42)"),43473.6013753472)</f>
        <v>43473.6013753472</v>
      </c>
      <c r="B41" s="42" t="s">
        <v>125</v>
      </c>
      <c r="C41" s="81">
        <v>43437</v>
      </c>
      <c r="D41" s="50">
        <v>43446</v>
      </c>
      <c r="E41" s="42" t="s">
        <v>117</v>
      </c>
      <c r="F41" s="42" t="s">
        <v>117</v>
      </c>
      <c r="G41" s="42" t="s">
        <v>122</v>
      </c>
      <c r="H41" s="45" t="s">
        <v>143</v>
      </c>
      <c r="I41" s="45" t="s">
        <v>139</v>
      </c>
      <c r="J41" s="50">
        <v>43592</v>
      </c>
      <c r="K41" s="50">
        <v>43713</v>
      </c>
      <c r="L41" s="49" t="str">
        <f ca="1">IFERROR(__xludf.DUMMYFUNCTION("QUERY('Volunteer Survey'!B42)"),"Kira Dies")</f>
        <v>Kira Dies</v>
      </c>
      <c r="M41" s="49" t="str">
        <f ca="1">IFERROR(__xludf.DUMMYFUNCTION("QUERY('Volunteer Survey'!E42)"),"Kira.Dies@childrens.harvard.edu")</f>
        <v>Kira.Dies@childrens.harvard.edu</v>
      </c>
      <c r="N41" s="49" t="str">
        <f ca="1">IFERROR(__xludf.DUMMYFUNCTION("QUERY('Volunteer Survey'!F42)"),"Genetic counselor")</f>
        <v>Genetic counselor</v>
      </c>
      <c r="O41" s="42" t="s">
        <v>63</v>
      </c>
      <c r="P41" s="49" t="str">
        <f ca="1">IFERROR(__xludf.DUMMYFUNCTION("QUERY('Volunteer Survey'!I42)"),"Gene-Disease Validity")</f>
        <v>Gene-Disease Validity</v>
      </c>
      <c r="Q41" s="54" t="str">
        <f ca="1">IFERROR(__xludf.DUMMYFUNCTION("QUERY('Volunteer Survey'!J42)"),"Actionability")</f>
        <v>Actionability</v>
      </c>
      <c r="R41" s="49" t="str">
        <f ca="1">IFERROR(__xludf.DUMMYFUNCTION("QUERY('Volunteer Survey'!K42)"),"")</f>
        <v/>
      </c>
      <c r="S41" s="49" t="str">
        <f ca="1">IFERROR(__xludf.DUMMYFUNCTION("QUERY('Volunteer Survey'!L42)"),"")</f>
        <v/>
      </c>
      <c r="T41" s="49" t="str">
        <f ca="1">IFERROR(__xludf.DUMMYFUNCTION("QUERY('Volunteer Survey'!M42)"),"")</f>
        <v/>
      </c>
      <c r="U41" s="58" t="str">
        <f ca="1">IFERROR(__xludf.DUMMYFUNCTION("QUERY('Volunteer Survey'!N42)"),"No")</f>
        <v>No</v>
      </c>
      <c r="V41" s="49" t="str">
        <f ca="1">IFERROR(__xludf.DUMMYFUNCTION("QUERY('Volunteer Survey'!O42)"),"")</f>
        <v/>
      </c>
      <c r="W41" s="60" t="str">
        <f ca="1">IFERROR(__xludf.DUMMYFUNCTION("QUERY('Volunteer Survey'!P42)"),"ASD/NDD")</f>
        <v>ASD/NDD</v>
      </c>
      <c r="X41" s="58" t="str">
        <f ca="1">IFERROR(__xludf.DUMMYFUNCTION("QUERY('Volunteer Survey'!R42)"),"")</f>
        <v/>
      </c>
      <c r="Y41" s="45" t="s">
        <v>326</v>
      </c>
      <c r="Z41" s="62"/>
      <c r="AA41" s="49"/>
      <c r="AB41" s="49"/>
      <c r="AC41" s="49"/>
      <c r="AD41" s="49"/>
      <c r="AE41" s="49"/>
      <c r="AF41" s="49"/>
      <c r="AG41" s="49"/>
      <c r="AH41" s="49"/>
      <c r="AI41" s="49"/>
      <c r="AJ41" s="49"/>
      <c r="AK41" s="49"/>
      <c r="AL41" s="49"/>
      <c r="AM41" s="49"/>
      <c r="AN41" s="49"/>
      <c r="AO41" s="49"/>
    </row>
    <row r="42" spans="1:41" ht="14">
      <c r="A42" s="44">
        <f ca="1">IFERROR(__xludf.DUMMYFUNCTION("QUERY('Volunteer Survey'!A46)"),43335.6058796296)</f>
        <v>43335.605879629598</v>
      </c>
      <c r="B42" s="42" t="s">
        <v>160</v>
      </c>
      <c r="C42" s="81">
        <v>43341</v>
      </c>
      <c r="D42" s="67">
        <v>43341</v>
      </c>
      <c r="E42" s="42" t="s">
        <v>117</v>
      </c>
      <c r="F42" s="42" t="s">
        <v>117</v>
      </c>
      <c r="G42" s="42" t="s">
        <v>122</v>
      </c>
      <c r="H42" s="74" t="s">
        <v>20</v>
      </c>
      <c r="I42" s="74" t="s">
        <v>139</v>
      </c>
      <c r="J42" s="83">
        <v>43592</v>
      </c>
      <c r="K42" s="50">
        <v>43713</v>
      </c>
      <c r="L42" s="49" t="str">
        <f ca="1">IFERROR(__xludf.DUMMYFUNCTION("QUERY('Volunteer Survey'!B46)"),"Sainan Wei")</f>
        <v>Sainan Wei</v>
      </c>
      <c r="M42" s="49" t="str">
        <f ca="1">IFERROR(__xludf.DUMMYFUNCTION("QUERY('Volunteer Survey'!E46)"),"sainan.wei@uky.edu ")</f>
        <v xml:space="preserve">sainan.wei@uky.edu </v>
      </c>
      <c r="N42" s="49" t="str">
        <f ca="1">IFERROR(__xludf.DUMMYFUNCTION("QUERY('Volunteer Survey'!F46)"),"Clinical laboratory geneticist")</f>
        <v>Clinical laboratory geneticist</v>
      </c>
      <c r="O42" s="42" t="str">
        <f ca="1">IFERROR(__xludf.DUMMYFUNCTION("QUERY('Volunteer Survey'!H46)"),"Comprehensive")</f>
        <v>Comprehensive</v>
      </c>
      <c r="P42" s="49" t="str">
        <f ca="1">IFERROR(__xludf.DUMMYFUNCTION("QUERY('Volunteer Survey'!I46)"),"Gene-Disease Validity")</f>
        <v>Gene-Disease Validity</v>
      </c>
      <c r="Q42" s="54" t="str">
        <f ca="1">IFERROR(__xludf.DUMMYFUNCTION("QUERY('Volunteer Survey'!J46)"),"Dosage Sensitivity")</f>
        <v>Dosage Sensitivity</v>
      </c>
      <c r="R42" s="49" t="str">
        <f ca="1">IFERROR(__xludf.DUMMYFUNCTION("QUERY('Volunteer Survey'!K46)"),"Variant Pathogenicity")</f>
        <v>Variant Pathogenicity</v>
      </c>
      <c r="S42" s="49" t="str">
        <f ca="1">IFERROR(__xludf.DUMMYFUNCTION("QUERY('Volunteer Survey'!L46)"),"Actionability")</f>
        <v>Actionability</v>
      </c>
      <c r="T42" s="49" t="str">
        <f ca="1">IFERROR(__xludf.DUMMYFUNCTION("QUERY('Volunteer Survey'!M46)"),"Somatic Cancer")</f>
        <v>Somatic Cancer</v>
      </c>
      <c r="U42" s="58" t="str">
        <f ca="1">IFERROR(__xludf.DUMMYFUNCTION("QUERY('Volunteer Survey'!N46)"),"No")</f>
        <v>No</v>
      </c>
      <c r="V42" s="49" t="str">
        <f ca="1">IFERROR(__xludf.DUMMYFUNCTION("QUERY('Volunteer Survey'!O46)"),"")</f>
        <v/>
      </c>
      <c r="W42" s="60" t="str">
        <f ca="1">IFERROR(__xludf.DUMMYFUNCTION("QUERY('Volunteer Survey'!P46)"),"Hereditary cancer gene Aminoacidopathy gene fatty acid oxidation gene")</f>
        <v>Hereditary cancer gene Aminoacidopathy gene fatty acid oxidation gene</v>
      </c>
      <c r="X42" s="58" t="str">
        <f ca="1">IFERROR(__xludf.DUMMYFUNCTION("QUERY('Volunteer Survey'!R46)"),"")</f>
        <v/>
      </c>
      <c r="Y42" s="47"/>
      <c r="Z42" s="62"/>
      <c r="AA42" s="49"/>
      <c r="AB42" s="49"/>
      <c r="AC42" s="49"/>
      <c r="AD42" s="49"/>
      <c r="AE42" s="49"/>
      <c r="AF42" s="49"/>
      <c r="AG42" s="49"/>
      <c r="AH42" s="49"/>
      <c r="AI42" s="49"/>
      <c r="AJ42" s="49"/>
      <c r="AK42" s="49"/>
      <c r="AL42" s="49"/>
      <c r="AM42" s="49"/>
      <c r="AN42" s="49"/>
      <c r="AO42" s="49"/>
    </row>
    <row r="43" spans="1:41" ht="14">
      <c r="A43" s="44">
        <f ca="1">IFERROR(__xludf.DUMMYFUNCTION("QUERY('Volunteer Survey'!A47)"),43339.6066319444)</f>
        <v>43339.6066319444</v>
      </c>
      <c r="B43" s="42" t="s">
        <v>160</v>
      </c>
      <c r="C43" s="81">
        <v>43411</v>
      </c>
      <c r="D43" s="50">
        <v>43453</v>
      </c>
      <c r="E43" s="42" t="s">
        <v>117</v>
      </c>
      <c r="F43" s="42" t="s">
        <v>117</v>
      </c>
      <c r="G43" s="42" t="s">
        <v>163</v>
      </c>
      <c r="H43" s="47"/>
      <c r="I43" s="45" t="s">
        <v>139</v>
      </c>
      <c r="J43" s="50">
        <v>43592</v>
      </c>
      <c r="K43" s="50">
        <v>43713</v>
      </c>
      <c r="L43" s="49" t="str">
        <f ca="1">IFERROR(__xludf.DUMMYFUNCTION("QUERY('Volunteer Survey'!B47)"),"Preti Jain")</f>
        <v>Preti Jain</v>
      </c>
      <c r="M43" s="49" t="str">
        <f ca="1">IFERROR(__xludf.DUMMYFUNCTION("QUERY('Volunteer Survey'!E47)"),"preti.jain@yale.edu")</f>
        <v>preti.jain@yale.edu</v>
      </c>
      <c r="N43" s="49" t="str">
        <f ca="1">IFERROR(__xludf.DUMMYFUNCTION("QUERY('Volunteer Survey'!F47)"),"Clinical laboratory geneticist")</f>
        <v>Clinical laboratory geneticist</v>
      </c>
      <c r="O43" s="42" t="str">
        <f ca="1">IFERROR(__xludf.DUMMYFUNCTION("QUERY('Volunteer Survey'!H47)"),"Comprehensive")</f>
        <v>Comprehensive</v>
      </c>
      <c r="P43" s="49" t="str">
        <f ca="1">IFERROR(__xludf.DUMMYFUNCTION("QUERY('Volunteer Survey'!I47)"),"Dosage Sensitivity")</f>
        <v>Dosage Sensitivity</v>
      </c>
      <c r="Q43" s="54" t="str">
        <f ca="1">IFERROR(__xludf.DUMMYFUNCTION("QUERY('Volunteer Survey'!J47)"),"")</f>
        <v/>
      </c>
      <c r="R43" s="49" t="str">
        <f ca="1">IFERROR(__xludf.DUMMYFUNCTION("QUERY('Volunteer Survey'!K47)"),"")</f>
        <v/>
      </c>
      <c r="S43" s="49" t="str">
        <f ca="1">IFERROR(__xludf.DUMMYFUNCTION("QUERY('Volunteer Survey'!L47)"),"")</f>
        <v/>
      </c>
      <c r="T43" s="49" t="str">
        <f ca="1">IFERROR(__xludf.DUMMYFUNCTION("QUERY('Volunteer Survey'!M47)"),"")</f>
        <v/>
      </c>
      <c r="U43" s="58" t="str">
        <f ca="1">IFERROR(__xludf.DUMMYFUNCTION("QUERY('Volunteer Survey'!N47)"),"Yes")</f>
        <v>Yes</v>
      </c>
      <c r="V43" s="49" t="str">
        <f ca="1">IFERROR(__xludf.DUMMYFUNCTION("QUERY('Volunteer Survey'!O47)"),"")</f>
        <v/>
      </c>
      <c r="W43" s="60" t="str">
        <f ca="1">IFERROR(__xludf.DUMMYFUNCTION("QUERY('Volunteer Survey'!P47)"),"cardiomyopathy, Somatic/Germline Variant Curation, Hereditary Cancer")</f>
        <v>cardiomyopathy, Somatic/Germline Variant Curation, Hereditary Cancer</v>
      </c>
      <c r="X43" s="58" t="str">
        <f ca="1">IFERROR(__xludf.DUMMYFUNCTION("QUERY('Volunteer Survey'!R47)"),"")</f>
        <v/>
      </c>
      <c r="Y43" s="47"/>
      <c r="Z43" s="62"/>
      <c r="AA43" s="49"/>
      <c r="AB43" s="49"/>
      <c r="AC43" s="49"/>
      <c r="AD43" s="49"/>
      <c r="AE43" s="49"/>
      <c r="AF43" s="49"/>
      <c r="AG43" s="49"/>
      <c r="AH43" s="49"/>
      <c r="AI43" s="49"/>
      <c r="AJ43" s="49"/>
      <c r="AK43" s="49"/>
      <c r="AL43" s="49"/>
      <c r="AM43" s="49"/>
      <c r="AN43" s="49"/>
      <c r="AO43" s="49"/>
    </row>
    <row r="44" spans="1:41" ht="14">
      <c r="A44" s="44">
        <f ca="1">IFERROR(__xludf.DUMMYFUNCTION("QUERY('Volunteer Survey'!A48)"),43355.6103819444)</f>
        <v>43355.610381944403</v>
      </c>
      <c r="B44" s="42" t="s">
        <v>160</v>
      </c>
      <c r="C44" s="81">
        <v>43356</v>
      </c>
      <c r="D44" s="67">
        <v>43341</v>
      </c>
      <c r="E44" s="42" t="s">
        <v>117</v>
      </c>
      <c r="F44" s="42" t="s">
        <v>117</v>
      </c>
      <c r="G44" s="42" t="s">
        <v>163</v>
      </c>
      <c r="H44" s="47"/>
      <c r="I44" s="45" t="s">
        <v>139</v>
      </c>
      <c r="J44" s="50">
        <v>43592</v>
      </c>
      <c r="K44" s="50">
        <v>43713</v>
      </c>
      <c r="L44" s="49" t="str">
        <f ca="1">IFERROR(__xludf.DUMMYFUNCTION("QUERY('Volunteer Survey'!B48)"),"Andrea Vaags")</f>
        <v>Andrea Vaags</v>
      </c>
      <c r="M44" s="49" t="str">
        <f ca="1">IFERROR(__xludf.DUMMYFUNCTION("QUERY('Volunteer Survey'!E48)"),"andrea.vaags@thp.ca")</f>
        <v>andrea.vaags@thp.ca</v>
      </c>
      <c r="N44" s="49" t="str">
        <f ca="1">IFERROR(__xludf.DUMMYFUNCTION("QUERY('Volunteer Survey'!F48)"),"Clinical laboratory geneticist")</f>
        <v>Clinical laboratory geneticist</v>
      </c>
      <c r="O44" s="42" t="str">
        <f ca="1">IFERROR(__xludf.DUMMYFUNCTION("QUERY('Volunteer Survey'!H48)"),"Comprehensive")</f>
        <v>Comprehensive</v>
      </c>
      <c r="P44" s="49" t="str">
        <f ca="1">IFERROR(__xludf.DUMMYFUNCTION("QUERY('Volunteer Survey'!I48)"),"Dosage Sensitivity")</f>
        <v>Dosage Sensitivity</v>
      </c>
      <c r="Q44" s="54" t="str">
        <f ca="1">IFERROR(__xludf.DUMMYFUNCTION("QUERY('Volunteer Survey'!J48)"),"")</f>
        <v/>
      </c>
      <c r="R44" s="49" t="str">
        <f ca="1">IFERROR(__xludf.DUMMYFUNCTION("QUERY('Volunteer Survey'!K48)"),"")</f>
        <v/>
      </c>
      <c r="S44" s="49" t="str">
        <f ca="1">IFERROR(__xludf.DUMMYFUNCTION("QUERY('Volunteer Survey'!L48)"),"")</f>
        <v/>
      </c>
      <c r="T44" s="49" t="str">
        <f ca="1">IFERROR(__xludf.DUMMYFUNCTION("QUERY('Volunteer Survey'!M48)"),"")</f>
        <v/>
      </c>
      <c r="U44" s="58" t="str">
        <f ca="1">IFERROR(__xludf.DUMMYFUNCTION("QUERY('Volunteer Survey'!N48)"),"Yes")</f>
        <v>Yes</v>
      </c>
      <c r="V44" s="49" t="str">
        <f ca="1">IFERROR(__xludf.DUMMYFUNCTION("QUERY('Volunteer Survey'!O48)"),"")</f>
        <v/>
      </c>
      <c r="W44" s="60" t="str">
        <f ca="1">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58" t="str">
        <f ca="1">IFERROR(__xludf.DUMMYFUNCTION("QUERY('Volunteer Survey'!R48)"),"")</f>
        <v/>
      </c>
      <c r="Y44" s="47"/>
      <c r="Z44" s="62"/>
      <c r="AA44" s="49"/>
      <c r="AB44" s="49"/>
      <c r="AC44" s="49"/>
      <c r="AD44" s="49"/>
      <c r="AE44" s="49"/>
      <c r="AF44" s="49"/>
      <c r="AG44" s="49"/>
      <c r="AH44" s="49"/>
      <c r="AI44" s="49"/>
      <c r="AJ44" s="49"/>
      <c r="AK44" s="49"/>
      <c r="AL44" s="49"/>
      <c r="AM44" s="49"/>
      <c r="AN44" s="49"/>
      <c r="AO44" s="49"/>
    </row>
    <row r="45" spans="1:41" ht="14">
      <c r="A45" s="44">
        <f ca="1">IFERROR(__xludf.DUMMYFUNCTION("QUERY('Volunteer Survey'!A49)"),43402.6114351851)</f>
        <v>43402.611435185099</v>
      </c>
      <c r="B45" s="42" t="s">
        <v>160</v>
      </c>
      <c r="C45" s="81">
        <v>43411</v>
      </c>
      <c r="D45" s="50">
        <v>43453</v>
      </c>
      <c r="E45" s="42" t="s">
        <v>117</v>
      </c>
      <c r="F45" s="42" t="s">
        <v>117</v>
      </c>
      <c r="G45" s="42" t="s">
        <v>163</v>
      </c>
      <c r="H45" s="47"/>
      <c r="I45" s="45" t="s">
        <v>139</v>
      </c>
      <c r="J45" s="50">
        <v>43592</v>
      </c>
      <c r="K45" s="50">
        <v>43713</v>
      </c>
      <c r="L45" s="49" t="str">
        <f ca="1">IFERROR(__xludf.DUMMYFUNCTION("QUERY('Volunteer Survey'!B49)"),"George Burghel")</f>
        <v>George Burghel</v>
      </c>
      <c r="M45" s="49" t="str">
        <f ca="1">IFERROR(__xludf.DUMMYFUNCTION("QUERY('Volunteer Survey'!E49)"),"george.burghel@mft.nhs.uk")</f>
        <v>george.burghel@mft.nhs.uk</v>
      </c>
      <c r="N45" s="49" t="str">
        <f ca="1">IFERROR(__xludf.DUMMYFUNCTION("QUERY('Volunteer Survey'!F49)"),"Clinical laboratory geneticist")</f>
        <v>Clinical laboratory geneticist</v>
      </c>
      <c r="O45" s="42" t="str">
        <f ca="1">IFERROR(__xludf.DUMMYFUNCTION("QUERY('Volunteer Survey'!H49)"),"Comprehensive")</f>
        <v>Comprehensive</v>
      </c>
      <c r="P45" s="49" t="str">
        <f ca="1">IFERROR(__xludf.DUMMYFUNCTION("QUERY('Volunteer Survey'!I49)"),"Dosage Sensitivity")</f>
        <v>Dosage Sensitivity</v>
      </c>
      <c r="Q45" s="54" t="str">
        <f ca="1">IFERROR(__xludf.DUMMYFUNCTION("QUERY('Volunteer Survey'!J49)"),"")</f>
        <v/>
      </c>
      <c r="R45" s="49" t="str">
        <f ca="1">IFERROR(__xludf.DUMMYFUNCTION("QUERY('Volunteer Survey'!K49)"),"")</f>
        <v/>
      </c>
      <c r="S45" s="49" t="str">
        <f ca="1">IFERROR(__xludf.DUMMYFUNCTION("QUERY('Volunteer Survey'!L49)"),"")</f>
        <v/>
      </c>
      <c r="T45" s="49" t="str">
        <f ca="1">IFERROR(__xludf.DUMMYFUNCTION("QUERY('Volunteer Survey'!M49)"),"")</f>
        <v/>
      </c>
      <c r="U45" s="58" t="str">
        <f ca="1">IFERROR(__xludf.DUMMYFUNCTION("QUERY('Volunteer Survey'!N49)"),"Yes")</f>
        <v>Yes</v>
      </c>
      <c r="V45" s="49" t="str">
        <f ca="1">IFERROR(__xludf.DUMMYFUNCTION("QUERY('Volunteer Survey'!O49)"),"")</f>
        <v/>
      </c>
      <c r="W45" s="60" t="str">
        <f ca="1">IFERROR(__xludf.DUMMYFUNCTION("QUERY('Volunteer Survey'!P49)"),"Experience with Dosage sensistivy but not curation. ")</f>
        <v xml:space="preserve">Experience with Dosage sensistivy but not curation. </v>
      </c>
      <c r="X45" s="58" t="str">
        <f ca="1">IFERROR(__xludf.DUMMYFUNCTION("QUERY('Volunteer Survey'!R49)"),"")</f>
        <v/>
      </c>
      <c r="Y45" s="47"/>
      <c r="Z45" s="62"/>
      <c r="AA45" s="49"/>
      <c r="AB45" s="49"/>
      <c r="AC45" s="49"/>
      <c r="AD45" s="49"/>
      <c r="AE45" s="49"/>
      <c r="AF45" s="49"/>
      <c r="AG45" s="49"/>
      <c r="AH45" s="49"/>
      <c r="AI45" s="49"/>
      <c r="AJ45" s="49"/>
      <c r="AK45" s="49"/>
      <c r="AL45" s="49"/>
      <c r="AM45" s="49"/>
      <c r="AN45" s="49"/>
      <c r="AO45" s="49"/>
    </row>
    <row r="46" spans="1:41" ht="14">
      <c r="A46" s="44">
        <f ca="1">IFERROR(__xludf.DUMMYFUNCTION("QUERY('Volunteer Survey'!A50)"),43417.6121643518)</f>
        <v>43417.612164351798</v>
      </c>
      <c r="B46" s="42" t="s">
        <v>160</v>
      </c>
      <c r="C46" s="73">
        <v>43430</v>
      </c>
      <c r="D46" s="50">
        <v>43453</v>
      </c>
      <c r="E46" s="42" t="s">
        <v>117</v>
      </c>
      <c r="F46" s="42" t="s">
        <v>117</v>
      </c>
      <c r="G46" s="42" t="s">
        <v>163</v>
      </c>
      <c r="H46" s="45"/>
      <c r="I46" s="45" t="s">
        <v>299</v>
      </c>
      <c r="J46" s="50">
        <v>43592</v>
      </c>
      <c r="K46" s="50">
        <v>43713</v>
      </c>
      <c r="L46" s="49" t="str">
        <f ca="1">IFERROR(__xludf.DUMMYFUNCTION("QUERY('Volunteer Survey'!B50)"),"Coumarane Mani")</f>
        <v>Coumarane Mani</v>
      </c>
      <c r="M46" s="49" t="str">
        <f ca="1">IFERROR(__xludf.DUMMYFUNCTION("QUERY('Volunteer Survey'!E50)"),"coumarane.mani@aruplab.com")</f>
        <v>coumarane.mani@aruplab.com</v>
      </c>
      <c r="N46" s="49" t="str">
        <f ca="1">IFERROR(__xludf.DUMMYFUNCTION("QUERY('Volunteer Survey'!F50)"),"Variant Analyst/Scientist")</f>
        <v>Variant Analyst/Scientist</v>
      </c>
      <c r="O46" s="42" t="str">
        <f ca="1">IFERROR(__xludf.DUMMYFUNCTION("QUERY('Volunteer Survey'!H50)"),"Comprehensive")</f>
        <v>Comprehensive</v>
      </c>
      <c r="P46" s="49" t="str">
        <f ca="1">IFERROR(__xludf.DUMMYFUNCTION("QUERY('Volunteer Survey'!I50)"),"Dosage Sensitivity")</f>
        <v>Dosage Sensitivity</v>
      </c>
      <c r="Q46" s="54" t="str">
        <f ca="1">IFERROR(__xludf.DUMMYFUNCTION("QUERY('Volunteer Survey'!J50)"),"")</f>
        <v/>
      </c>
      <c r="R46" s="49" t="str">
        <f ca="1">IFERROR(__xludf.DUMMYFUNCTION("QUERY('Volunteer Survey'!K50)"),"")</f>
        <v/>
      </c>
      <c r="S46" s="49" t="str">
        <f ca="1">IFERROR(__xludf.DUMMYFUNCTION("QUERY('Volunteer Survey'!L50)"),"")</f>
        <v/>
      </c>
      <c r="T46" s="49" t="str">
        <f ca="1">IFERROR(__xludf.DUMMYFUNCTION("QUERY('Volunteer Survey'!M50)"),"")</f>
        <v/>
      </c>
      <c r="U46" s="58" t="str">
        <f ca="1">IFERROR(__xludf.DUMMYFUNCTION("QUERY('Volunteer Survey'!N50)"),"Yes")</f>
        <v>Yes</v>
      </c>
      <c r="V46" s="49" t="str">
        <f ca="1">IFERROR(__xludf.DUMMYFUNCTION("QUERY('Volunteer Survey'!O50)"),"")</f>
        <v/>
      </c>
      <c r="W46" s="60" t="str">
        <f ca="1">IFERROR(__xludf.DUMMYFUNCTION("QUERY('Volunteer Survey'!P50)"),"1. Somatic/Germline Variant Curation Group 2. Myeloid Malignancy Variant Curation Expert Panel")</f>
        <v>1. Somatic/Germline Variant Curation Group 2. Myeloid Malignancy Variant Curation Expert Panel</v>
      </c>
      <c r="X46" s="58" t="str">
        <f ca="1">IFERROR(__xludf.DUMMYFUNCTION("QUERY('Volunteer Survey'!R50)"),"")</f>
        <v/>
      </c>
      <c r="Y46" s="47"/>
      <c r="Z46" s="62"/>
      <c r="AA46" s="49"/>
      <c r="AB46" s="49"/>
      <c r="AC46" s="49"/>
      <c r="AD46" s="49"/>
      <c r="AE46" s="49"/>
      <c r="AF46" s="49"/>
      <c r="AG46" s="49"/>
      <c r="AH46" s="49"/>
      <c r="AI46" s="49"/>
      <c r="AJ46" s="49"/>
      <c r="AK46" s="49"/>
      <c r="AL46" s="49"/>
      <c r="AM46" s="49"/>
      <c r="AN46" s="49"/>
      <c r="AO46" s="49"/>
    </row>
    <row r="47" spans="1:41" ht="14">
      <c r="A47" s="44">
        <f ca="1">IFERROR(__xludf.DUMMYFUNCTION("QUERY('Volunteer Survey'!A51)"),43438.613125)</f>
        <v>43438.613125000003</v>
      </c>
      <c r="B47" s="42" t="s">
        <v>160</v>
      </c>
      <c r="C47" s="47"/>
      <c r="D47" s="50">
        <v>43453</v>
      </c>
      <c r="E47" s="42" t="s">
        <v>117</v>
      </c>
      <c r="F47" s="42" t="s">
        <v>117</v>
      </c>
      <c r="G47" s="42" t="s">
        <v>163</v>
      </c>
      <c r="H47" s="47"/>
      <c r="I47" s="45" t="s">
        <v>139</v>
      </c>
      <c r="J47" s="50">
        <v>43592</v>
      </c>
      <c r="K47" s="50">
        <v>43713</v>
      </c>
      <c r="L47" s="49" t="str">
        <f ca="1">IFERROR(__xludf.DUMMYFUNCTION("QUERY('Volunteer Survey'!B51)"),"Mahesh Iddawela")</f>
        <v>Mahesh Iddawela</v>
      </c>
      <c r="M47" s="49" t="str">
        <f ca="1">IFERROR(__xludf.DUMMYFUNCTION("QUERY('Volunteer Survey'!E51)"),"mahesh.iddawela@monash.edu")</f>
        <v>mahesh.iddawela@monash.edu</v>
      </c>
      <c r="N47" s="49" t="str">
        <f ca="1">IFERROR(__xludf.DUMMYFUNCTION("QUERY('Volunteer Survey'!F51)"),"Clinician Scientist Medical Oncology")</f>
        <v>Clinician Scientist Medical Oncology</v>
      </c>
      <c r="O47" s="42" t="str">
        <f ca="1">IFERROR(__xludf.DUMMYFUNCTION("QUERY('Volunteer Survey'!H51)"),"Comprehensive")</f>
        <v>Comprehensive</v>
      </c>
      <c r="P47" s="49" t="str">
        <f ca="1">IFERROR(__xludf.DUMMYFUNCTION("QUERY('Volunteer Survey'!I51)"),"Dosage Sensitivity")</f>
        <v>Dosage Sensitivity</v>
      </c>
      <c r="Q47" s="54" t="str">
        <f ca="1">IFERROR(__xludf.DUMMYFUNCTION("QUERY('Volunteer Survey'!J51)"),"")</f>
        <v/>
      </c>
      <c r="R47" s="49" t="str">
        <f ca="1">IFERROR(__xludf.DUMMYFUNCTION("QUERY('Volunteer Survey'!K51)"),"")</f>
        <v/>
      </c>
      <c r="S47" s="49" t="str">
        <f ca="1">IFERROR(__xludf.DUMMYFUNCTION("QUERY('Volunteer Survey'!L51)"),"")</f>
        <v/>
      </c>
      <c r="T47" s="49" t="str">
        <f ca="1">IFERROR(__xludf.DUMMYFUNCTION("QUERY('Volunteer Survey'!M51)"),"")</f>
        <v/>
      </c>
      <c r="U47" s="58" t="str">
        <f ca="1">IFERROR(__xludf.DUMMYFUNCTION("QUERY('Volunteer Survey'!N51)"),"No")</f>
        <v>No</v>
      </c>
      <c r="V47" s="49" t="str">
        <f ca="1">IFERROR(__xludf.DUMMYFUNCTION("QUERY('Volunteer Survey'!O51)"),"")</f>
        <v/>
      </c>
      <c r="W47" s="60" t="str">
        <f ca="1">IFERROR(__xludf.DUMMYFUNCTION("QUERY('Volunteer Survey'!P51)"),"Somatic Cancer (TP53), Breast/Ovarian cancer")</f>
        <v>Somatic Cancer (TP53), Breast/Ovarian cancer</v>
      </c>
      <c r="X47" s="58" t="str">
        <f ca="1">IFERROR(__xludf.DUMMYFUNCTION("QUERY('Volunteer Survey'!R51)"),"")</f>
        <v/>
      </c>
      <c r="Y47" s="47"/>
      <c r="Z47" s="62"/>
      <c r="AA47" s="49"/>
      <c r="AB47" s="49"/>
      <c r="AC47" s="49"/>
      <c r="AD47" s="49"/>
      <c r="AE47" s="49"/>
      <c r="AF47" s="49"/>
      <c r="AG47" s="49"/>
      <c r="AH47" s="49"/>
      <c r="AI47" s="49"/>
      <c r="AJ47" s="49"/>
      <c r="AK47" s="49"/>
      <c r="AL47" s="49"/>
      <c r="AM47" s="49"/>
      <c r="AN47" s="49"/>
      <c r="AO47" s="49"/>
    </row>
    <row r="48" spans="1:41" ht="14">
      <c r="A48" s="44">
        <f ca="1">IFERROR(__xludf.DUMMYFUNCTION("QUERY('Volunteer Survey'!A52)"),43440.6138657407)</f>
        <v>43440.613865740699</v>
      </c>
      <c r="B48" s="42" t="s">
        <v>160</v>
      </c>
      <c r="C48" s="47"/>
      <c r="D48" s="50">
        <v>43453</v>
      </c>
      <c r="E48" s="42" t="s">
        <v>117</v>
      </c>
      <c r="F48" s="42" t="s">
        <v>117</v>
      </c>
      <c r="G48" s="42" t="s">
        <v>163</v>
      </c>
      <c r="H48" s="45"/>
      <c r="I48" s="45" t="s">
        <v>299</v>
      </c>
      <c r="J48" s="50">
        <v>43592</v>
      </c>
      <c r="K48" s="50">
        <v>43713</v>
      </c>
      <c r="L48" s="49" t="str">
        <f ca="1">IFERROR(__xludf.DUMMYFUNCTION("QUERY('Volunteer Survey'!B52)"),"Diogo Ventura Lovato")</f>
        <v>Diogo Ventura Lovato</v>
      </c>
      <c r="M48" s="49" t="str">
        <f ca="1">IFERROR(__xludf.DUMMYFUNCTION("QUERY('Volunteer Survey'!E52)"),"diogo.v.lovato@gmail.com")</f>
        <v>diogo.v.lovato@gmail.com</v>
      </c>
      <c r="N48" s="49" t="str">
        <f ca="1">IFERROR(__xludf.DUMMYFUNCTION("QUERY('Volunteer Survey'!F52)"),"Clinical laboratory geneticist, Scientific Researcher, Biocurator, Variant Analyst/Scientist")</f>
        <v>Clinical laboratory geneticist, Scientific Researcher, Biocurator, Variant Analyst/Scientist</v>
      </c>
      <c r="O48" s="42" t="str">
        <f ca="1">IFERROR(__xludf.DUMMYFUNCTION("QUERY('Volunteer Survey'!H52)"),"Comprehensive")</f>
        <v>Comprehensive</v>
      </c>
      <c r="P48" s="49" t="str">
        <f ca="1">IFERROR(__xludf.DUMMYFUNCTION("QUERY('Volunteer Survey'!I52)"),"Dosage Sensitivity")</f>
        <v>Dosage Sensitivity</v>
      </c>
      <c r="Q48" s="54" t="str">
        <f ca="1">IFERROR(__xludf.DUMMYFUNCTION("QUERY('Volunteer Survey'!J52)"),"")</f>
        <v/>
      </c>
      <c r="R48" s="49" t="str">
        <f ca="1">IFERROR(__xludf.DUMMYFUNCTION("QUERY('Volunteer Survey'!K52)"),"")</f>
        <v/>
      </c>
      <c r="S48" s="49" t="str">
        <f ca="1">IFERROR(__xludf.DUMMYFUNCTION("QUERY('Volunteer Survey'!L52)"),"")</f>
        <v/>
      </c>
      <c r="T48" s="49" t="str">
        <f ca="1">IFERROR(__xludf.DUMMYFUNCTION("QUERY('Volunteer Survey'!M52)"),"")</f>
        <v/>
      </c>
      <c r="U48" s="58" t="str">
        <f ca="1">IFERROR(__xludf.DUMMYFUNCTION("QUERY('Volunteer Survey'!N52)"),"Yes")</f>
        <v>Yes</v>
      </c>
      <c r="V48" s="49" t="str">
        <f ca="1">IFERROR(__xludf.DUMMYFUNCTION("QUERY('Volunteer Survey'!O52)"),"")</f>
        <v/>
      </c>
      <c r="W48" s="60" t="str">
        <f ca="1">IFERROR(__xludf.DUMMYFUNCTION("QUERY('Volunteer Survey'!P52)"),"Autism and Intellectual Disability, Epilepsy")</f>
        <v>Autism and Intellectual Disability, Epilepsy</v>
      </c>
      <c r="X48" s="58" t="str">
        <f ca="1">IFERROR(__xludf.DUMMYFUNCTION("QUERY('Volunteer Survey'!R52)"),"")</f>
        <v/>
      </c>
      <c r="Y48" s="47"/>
      <c r="Z48" s="62"/>
      <c r="AA48" s="49"/>
      <c r="AB48" s="49"/>
      <c r="AC48" s="49"/>
      <c r="AD48" s="49"/>
      <c r="AE48" s="49"/>
      <c r="AF48" s="49"/>
      <c r="AG48" s="49"/>
      <c r="AH48" s="49"/>
      <c r="AI48" s="49"/>
      <c r="AJ48" s="49"/>
      <c r="AK48" s="49"/>
      <c r="AL48" s="49"/>
      <c r="AM48" s="49"/>
      <c r="AN48" s="49"/>
      <c r="AO48" s="49"/>
    </row>
    <row r="49" spans="1:41" ht="28">
      <c r="A49" s="44">
        <f ca="1">IFERROR(__xludf.DUMMYFUNCTION("QUERY('Volunteer Survey'!A54)"),43343.3983217592)</f>
        <v>43343.398321759203</v>
      </c>
      <c r="B49" s="42" t="s">
        <v>168</v>
      </c>
      <c r="C49" s="84">
        <v>43476</v>
      </c>
      <c r="D49" s="43">
        <v>43476</v>
      </c>
      <c r="E49" s="42" t="s">
        <v>117</v>
      </c>
      <c r="F49" s="42" t="s">
        <v>130</v>
      </c>
      <c r="G49" s="42" t="s">
        <v>136</v>
      </c>
      <c r="H49" s="45" t="s">
        <v>296</v>
      </c>
      <c r="I49" s="45" t="s">
        <v>139</v>
      </c>
      <c r="J49" s="50">
        <v>43592</v>
      </c>
      <c r="K49" s="42" t="s">
        <v>300</v>
      </c>
      <c r="L49" s="49" t="str">
        <f ca="1">IFERROR(__xludf.DUMMYFUNCTION("QUERY('Volunteer Survey'!B54)"),"Sameeha Shirwadkar")</f>
        <v>Sameeha Shirwadkar</v>
      </c>
      <c r="M49" s="49" t="str">
        <f ca="1">IFERROR(__xludf.DUMMYFUNCTION("QUERY('Volunteer Survey'!E54)"),"sameeha9@gmail.com")</f>
        <v>sameeha9@gmail.com</v>
      </c>
      <c r="N49" s="49" t="str">
        <f ca="1">IFERROR(__xludf.DUMMYFUNCTION("QUERY('Volunteer Survey'!F54)"),"Biocurator and Variant Analyst Scientist")</f>
        <v>Biocurator and Variant Analyst Scientist</v>
      </c>
      <c r="O49" s="42" t="str">
        <f ca="1">IFERROR(__xludf.DUMMYFUNCTION("QUERY('Volunteer Survey'!H54)"),"Comprehensive")</f>
        <v>Comprehensive</v>
      </c>
      <c r="P49" s="49" t="str">
        <f ca="1">IFERROR(__xludf.DUMMYFUNCTION("QUERY('Volunteer Survey'!I54)"),"Somatic Cancer")</f>
        <v>Somatic Cancer</v>
      </c>
      <c r="Q49" s="54" t="str">
        <f ca="1">IFERROR(__xludf.DUMMYFUNCTION("QUERY('Volunteer Survey'!J54)"),"Clinical Actionability")</f>
        <v>Clinical Actionability</v>
      </c>
      <c r="R49" s="49" t="str">
        <f ca="1">IFERROR(__xludf.DUMMYFUNCTION("QUERY('Volunteer Survey'!K54)"),"Variant Pathogenicity")</f>
        <v>Variant Pathogenicity</v>
      </c>
      <c r="S49" s="49" t="str">
        <f ca="1">IFERROR(__xludf.DUMMYFUNCTION("QUERY('Volunteer Survey'!L54)"),"Gene-Disease Validity")</f>
        <v>Gene-Disease Validity</v>
      </c>
      <c r="T49" s="49" t="str">
        <f ca="1">IFERROR(__xludf.DUMMYFUNCTION("QUERY('Volunteer Survey'!M54)"),"")</f>
        <v/>
      </c>
      <c r="U49" s="58" t="str">
        <f ca="1">IFERROR(__xludf.DUMMYFUNCTION("QUERY('Volunteer Survey'!N54)"),"yes")</f>
        <v>yes</v>
      </c>
      <c r="V49" s="49" t="str">
        <f ca="1">IFERROR(__xludf.DUMMYFUNCTION("QUERY('Volunteer Survey'!O54)"),"Yes")</f>
        <v>Yes</v>
      </c>
      <c r="W49" s="60" t="str">
        <f ca="1">IFERROR(__xludf.DUMMYFUNCTION("QUERY('Volunteer Survey'!P54)"),"Somatic/Germline Variant Curation Group and TP53 Variant Curation Expert Panel")</f>
        <v>Somatic/Germline Variant Curation Group and TP53 Variant Curation Expert Panel</v>
      </c>
      <c r="X49" s="58" t="str">
        <f ca="1">IFERROR(__xludf.DUMMYFUNCTION("QUERY('Volunteer Survey'!R54)"),"Maybe -- please contact me with other options, and I will decide based on what is available")</f>
        <v>Maybe -- please contact me with other options, and I will decide based on what is available</v>
      </c>
      <c r="Y49" s="47"/>
      <c r="Z49" s="62"/>
      <c r="AA49" s="49"/>
      <c r="AB49" s="49"/>
      <c r="AC49" s="49"/>
      <c r="AD49" s="49"/>
      <c r="AE49" s="49"/>
      <c r="AF49" s="49"/>
      <c r="AG49" s="49"/>
      <c r="AH49" s="49"/>
      <c r="AI49" s="49"/>
      <c r="AJ49" s="49"/>
      <c r="AK49" s="49"/>
      <c r="AL49" s="49"/>
      <c r="AM49" s="49"/>
      <c r="AN49" s="49"/>
      <c r="AO49" s="49"/>
    </row>
    <row r="50" spans="1:41" ht="28">
      <c r="A50" s="44">
        <f ca="1">IFERROR(__xludf.DUMMYFUNCTION("QUERY('Volunteer Survey'!A55)"),43365.4006134259)</f>
        <v>43365.400613425903</v>
      </c>
      <c r="B50" s="42" t="s">
        <v>168</v>
      </c>
      <c r="C50" s="47"/>
      <c r="D50" s="43"/>
      <c r="E50" s="42" t="s">
        <v>130</v>
      </c>
      <c r="F50" s="42" t="s">
        <v>130</v>
      </c>
      <c r="G50" s="42" t="s">
        <v>136</v>
      </c>
      <c r="H50" s="45" t="s">
        <v>297</v>
      </c>
      <c r="I50" s="45" t="s">
        <v>139</v>
      </c>
      <c r="J50" s="49"/>
      <c r="K50" s="49"/>
      <c r="L50" s="49" t="str">
        <f ca="1">IFERROR(__xludf.DUMMYFUNCTION("QUERY('Volunteer Survey'!B55)"),"Heather Williams")</f>
        <v>Heather Williams</v>
      </c>
      <c r="M50" s="49" t="str">
        <f ca="1">IFERROR(__xludf.DUMMYFUNCTION("QUERY('Volunteer Survey'!E55)"),"heather.williams30@nhs.net")</f>
        <v>heather.williams30@nhs.net</v>
      </c>
      <c r="N50" s="49" t="str">
        <f ca="1">IFERROR(__xludf.DUMMYFUNCTION("QUERY('Volunteer Survey'!F55)"),"Clinical laboratory geneticist")</f>
        <v>Clinical laboratory geneticist</v>
      </c>
      <c r="O50" s="42" t="str">
        <f ca="1">IFERROR(__xludf.DUMMYFUNCTION("QUERY('Volunteer Survey'!H55)"),"Comprehensive")</f>
        <v>Comprehensive</v>
      </c>
      <c r="P50" s="49" t="str">
        <f ca="1">IFERROR(__xludf.DUMMYFUNCTION("QUERY('Volunteer Survey'!I55)"),"Somatic Cancer")</f>
        <v>Somatic Cancer</v>
      </c>
      <c r="Q50" s="54" t="str">
        <f ca="1">IFERROR(__xludf.DUMMYFUNCTION("QUERY('Volunteer Survey'!J55)"),"Variant Pathogenicity")</f>
        <v>Variant Pathogenicity</v>
      </c>
      <c r="R50" s="49" t="str">
        <f ca="1">IFERROR(__xludf.DUMMYFUNCTION("QUERY('Volunteer Survey'!K55)"),"Clinical Actionability")</f>
        <v>Clinical Actionability</v>
      </c>
      <c r="S50" s="49" t="str">
        <f ca="1">IFERROR(__xludf.DUMMYFUNCTION("QUERY('Volunteer Survey'!L55)"),"Gene-Disease Validity")</f>
        <v>Gene-Disease Validity</v>
      </c>
      <c r="T50" s="49" t="str">
        <f ca="1">IFERROR(__xludf.DUMMYFUNCTION("QUERY('Volunteer Survey'!M55)"),"Dosage Sensitivity")</f>
        <v>Dosage Sensitivity</v>
      </c>
      <c r="U50" s="58" t="str">
        <f ca="1">IFERROR(__xludf.DUMMYFUNCTION("QUERY('Volunteer Survey'!N55)"),"yes")</f>
        <v>yes</v>
      </c>
      <c r="V50" s="49" t="str">
        <f ca="1">IFERROR(__xludf.DUMMYFUNCTION("QUERY('Volunteer Survey'!O55)"),"Yes")</f>
        <v>Yes</v>
      </c>
      <c r="W50" s="60" t="str">
        <f ca="1">IFERROR(__xludf.DUMMYFUNCTION("QUERY('Volunteer Survey'!P55)"),"Myeloid Malignancy Variant Curation Expert Panel Somatic/Germline Variant Curation Group")</f>
        <v>Myeloid Malignancy Variant Curation Expert Panel Somatic/Germline Variant Curation Group</v>
      </c>
      <c r="X50" s="58" t="str">
        <f ca="1">IFERROR(__xludf.DUMMYFUNCTION("QUERY('Volunteer Survey'!R55)"),"Yes- I am willing to volunteer with any available ClinGen group")</f>
        <v>Yes- I am willing to volunteer with any available ClinGen group</v>
      </c>
      <c r="Y50" s="47"/>
      <c r="Z50" s="62"/>
      <c r="AA50" s="49"/>
      <c r="AB50" s="49"/>
      <c r="AC50" s="49"/>
      <c r="AD50" s="49"/>
      <c r="AE50" s="49"/>
      <c r="AF50" s="49"/>
      <c r="AG50" s="49"/>
      <c r="AH50" s="49"/>
      <c r="AI50" s="49"/>
      <c r="AJ50" s="49"/>
      <c r="AK50" s="49"/>
      <c r="AL50" s="49"/>
      <c r="AM50" s="49"/>
      <c r="AN50" s="49"/>
      <c r="AO50" s="49"/>
    </row>
    <row r="51" spans="1:41" ht="28">
      <c r="A51" s="44">
        <f ca="1">IFERROR(__xludf.DUMMYFUNCTION("QUERY('Volunteer Survey'!A56)"),43368.4021643518)</f>
        <v>43368.402164351799</v>
      </c>
      <c r="B51" s="42" t="s">
        <v>168</v>
      </c>
      <c r="C51" s="81">
        <v>43411</v>
      </c>
      <c r="D51" s="43">
        <v>43476</v>
      </c>
      <c r="E51" s="42" t="s">
        <v>117</v>
      </c>
      <c r="F51" s="42" t="s">
        <v>130</v>
      </c>
      <c r="G51" s="42" t="s">
        <v>136</v>
      </c>
      <c r="H51" s="45" t="s">
        <v>297</v>
      </c>
      <c r="I51" s="45" t="s">
        <v>139</v>
      </c>
      <c r="J51" s="50">
        <v>43592</v>
      </c>
      <c r="K51" s="50">
        <v>43713</v>
      </c>
      <c r="L51" s="49" t="str">
        <f ca="1">IFERROR(__xludf.DUMMYFUNCTION("QUERY('Volunteer Survey'!B56)"),"Laura Richards")</f>
        <v>Laura Richards</v>
      </c>
      <c r="M51" s="49" t="str">
        <f ca="1">IFERROR(__xludf.DUMMYFUNCTION("QUERY('Volunteer Survey'!E56)"),"lauram.richards@mail.utoronto.ca")</f>
        <v>lauram.richards@mail.utoronto.ca</v>
      </c>
      <c r="N51" s="49" t="str">
        <f ca="1">IFERROR(__xludf.DUMMYFUNCTION("QUERY('Volunteer Survey'!F56)"),"Graduate Student")</f>
        <v>Graduate Student</v>
      </c>
      <c r="O51" s="42" t="str">
        <f ca="1">IFERROR(__xludf.DUMMYFUNCTION("QUERY('Volunteer Survey'!H56)"),"Comprehensive")</f>
        <v>Comprehensive</v>
      </c>
      <c r="P51" s="49" t="str">
        <f ca="1">IFERROR(__xludf.DUMMYFUNCTION("QUERY('Volunteer Survey'!I56)"),"Somatic Cancer")</f>
        <v>Somatic Cancer</v>
      </c>
      <c r="Q51" s="54" t="str">
        <f ca="1">IFERROR(__xludf.DUMMYFUNCTION("QUERY('Volunteer Survey'!J56)"),"Clinical Actionability")</f>
        <v>Clinical Actionability</v>
      </c>
      <c r="R51" s="49" t="str">
        <f ca="1">IFERROR(__xludf.DUMMYFUNCTION("QUERY('Volunteer Survey'!K56)"),"Variant Pathogenicity")</f>
        <v>Variant Pathogenicity</v>
      </c>
      <c r="S51" s="49" t="str">
        <f ca="1">IFERROR(__xludf.DUMMYFUNCTION("QUERY('Volunteer Survey'!L56)"),"Gene-Disease Validity")</f>
        <v>Gene-Disease Validity</v>
      </c>
      <c r="T51" s="49" t="str">
        <f ca="1">IFERROR(__xludf.DUMMYFUNCTION("QUERY('Volunteer Survey'!M56)"),"Dosage Sensitivity")</f>
        <v>Dosage Sensitivity</v>
      </c>
      <c r="U51" s="58" t="str">
        <f ca="1">IFERROR(__xludf.DUMMYFUNCTION("QUERY('Volunteer Survey'!N56)"),"yes")</f>
        <v>yes</v>
      </c>
      <c r="V51" s="49" t="str">
        <f ca="1">IFERROR(__xludf.DUMMYFUNCTION("QUERY('Volunteer Survey'!O56)"),"Yes")</f>
        <v>Yes</v>
      </c>
      <c r="W51" s="60" t="str">
        <f ca="1">IFERROR(__xludf.DUMMYFUNCTION("QUERY('Volunteer Survey'!P56)"),"All expert panels in Hereditary Cancer CDWG")</f>
        <v>All expert panels in Hereditary Cancer CDWG</v>
      </c>
      <c r="X51" s="58" t="str">
        <f ca="1">IFERROR(__xludf.DUMMYFUNCTION("QUERY('Volunteer Survey'!R56)"),"Yes- I am willing to volunteer with any available ClinGen group")</f>
        <v>Yes- I am willing to volunteer with any available ClinGen group</v>
      </c>
      <c r="Y51" s="86" t="s">
        <v>328</v>
      </c>
      <c r="Z51" s="62"/>
      <c r="AA51" s="49"/>
      <c r="AB51" s="49"/>
      <c r="AC51" s="49"/>
      <c r="AD51" s="49"/>
      <c r="AE51" s="49"/>
      <c r="AF51" s="49"/>
      <c r="AG51" s="49"/>
      <c r="AH51" s="49"/>
      <c r="AI51" s="49"/>
      <c r="AJ51" s="49"/>
      <c r="AK51" s="49"/>
      <c r="AL51" s="49"/>
      <c r="AM51" s="49"/>
      <c r="AN51" s="49"/>
      <c r="AO51" s="49"/>
    </row>
    <row r="52" spans="1:41" ht="14">
      <c r="A52" s="44">
        <f ca="1">IFERROR(__xludf.DUMMYFUNCTION("QUERY('Volunteer Survey'!A57)"),43370.4042013888)</f>
        <v>43370.404201388803</v>
      </c>
      <c r="B52" s="42" t="s">
        <v>168</v>
      </c>
      <c r="C52" s="81">
        <v>43411</v>
      </c>
      <c r="D52" s="43"/>
      <c r="E52" s="42" t="s">
        <v>130</v>
      </c>
      <c r="F52" s="42" t="s">
        <v>130</v>
      </c>
      <c r="G52" s="42" t="s">
        <v>136</v>
      </c>
      <c r="H52" s="47"/>
      <c r="I52" s="45" t="s">
        <v>139</v>
      </c>
      <c r="J52" s="49"/>
      <c r="K52" s="49"/>
      <c r="L52" s="49" t="str">
        <f ca="1">IFERROR(__xludf.DUMMYFUNCTION("QUERY('Volunteer Survey'!B57)"),"Aysegul Ozanturk")</f>
        <v>Aysegul Ozanturk</v>
      </c>
      <c r="M52" s="49" t="str">
        <f ca="1">IFERROR(__xludf.DUMMYFUNCTION("QUERY('Volunteer Survey'!E57)"),"aozanturk@gmail.com")</f>
        <v>aozanturk@gmail.com</v>
      </c>
      <c r="N52" s="49" t="str">
        <f ca="1">IFERROR(__xludf.DUMMYFUNCTION("QUERY('Volunteer Survey'!F57)"),"Scientific Researcher, Variant Analyst/Scientist")</f>
        <v>Scientific Researcher, Variant Analyst/Scientist</v>
      </c>
      <c r="O52" s="42" t="str">
        <f ca="1">IFERROR(__xludf.DUMMYFUNCTION("QUERY('Volunteer Survey'!H57)"),"Comprehensive")</f>
        <v>Comprehensive</v>
      </c>
      <c r="P52" s="49" t="str">
        <f ca="1">IFERROR(__xludf.DUMMYFUNCTION("QUERY('Volunteer Survey'!I57)"),"Somatic Cancer")</f>
        <v>Somatic Cancer</v>
      </c>
      <c r="Q52" s="54" t="str">
        <f ca="1">IFERROR(__xludf.DUMMYFUNCTION("QUERY('Volunteer Survey'!J57)"),"Dosage Sensitivity")</f>
        <v>Dosage Sensitivity</v>
      </c>
      <c r="R52" s="49" t="str">
        <f ca="1">IFERROR(__xludf.DUMMYFUNCTION("QUERY('Volunteer Survey'!K57)"),"Clinical Actionability")</f>
        <v>Clinical Actionability</v>
      </c>
      <c r="S52" s="49" t="str">
        <f ca="1">IFERROR(__xludf.DUMMYFUNCTION("QUERY('Volunteer Survey'!L57)"),"")</f>
        <v/>
      </c>
      <c r="T52" s="49" t="str">
        <f ca="1">IFERROR(__xludf.DUMMYFUNCTION("QUERY('Volunteer Survey'!M57)"),"")</f>
        <v/>
      </c>
      <c r="U52" s="58" t="str">
        <f ca="1">IFERROR(__xludf.DUMMYFUNCTION("QUERY('Volunteer Survey'!N57)"),"yes")</f>
        <v>yes</v>
      </c>
      <c r="V52" s="49" t="str">
        <f ca="1">IFERROR(__xludf.DUMMYFUNCTION("QUERY('Volunteer Survey'!O57)"),"Possibly")</f>
        <v>Possibly</v>
      </c>
      <c r="W52" s="60" t="str">
        <f ca="1">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58" t="str">
        <f ca="1">IFERROR(__xludf.DUMMYFUNCTION("QUERY('Volunteer Survey'!R57)"),"Yes- I am willing to volunteer with any available ClinGen group")</f>
        <v>Yes- I am willing to volunteer with any available ClinGen group</v>
      </c>
      <c r="Y52" s="47"/>
      <c r="Z52" s="62"/>
      <c r="AA52" s="49"/>
      <c r="AB52" s="49"/>
      <c r="AC52" s="49"/>
      <c r="AD52" s="49"/>
      <c r="AE52" s="49"/>
      <c r="AF52" s="49"/>
      <c r="AG52" s="49"/>
      <c r="AH52" s="49"/>
      <c r="AI52" s="49"/>
      <c r="AJ52" s="49"/>
      <c r="AK52" s="49"/>
      <c r="AL52" s="49"/>
      <c r="AM52" s="49"/>
      <c r="AN52" s="49"/>
      <c r="AO52" s="49"/>
    </row>
    <row r="53" spans="1:41" ht="28">
      <c r="A53" s="44">
        <f ca="1">IFERROR(__xludf.DUMMYFUNCTION("QUERY('Volunteer Survey'!A58)"),43382.4137731481)</f>
        <v>43382.413773148102</v>
      </c>
      <c r="B53" s="42" t="s">
        <v>125</v>
      </c>
      <c r="C53" s="81">
        <v>43411</v>
      </c>
      <c r="D53" s="43">
        <v>43476</v>
      </c>
      <c r="E53" s="42" t="s">
        <v>117</v>
      </c>
      <c r="F53" s="42" t="s">
        <v>130</v>
      </c>
      <c r="G53" s="42" t="s">
        <v>136</v>
      </c>
      <c r="H53" s="45" t="s">
        <v>296</v>
      </c>
      <c r="I53" s="45" t="s">
        <v>139</v>
      </c>
      <c r="J53" s="50">
        <v>43592</v>
      </c>
      <c r="K53" s="42" t="s">
        <v>300</v>
      </c>
      <c r="L53" s="49" t="str">
        <f ca="1">IFERROR(__xludf.DUMMYFUNCTION("QUERY('Volunteer Survey'!B58)"),"Kaylee Barber")</f>
        <v>Kaylee Barber</v>
      </c>
      <c r="M53" s="49" t="str">
        <f ca="1">IFERROR(__xludf.DUMMYFUNCTION("QUERY('Volunteer Survey'!E58)"),"kbarber@bioreference.com")</f>
        <v>kbarber@bioreference.com</v>
      </c>
      <c r="N53" s="49" t="str">
        <f ca="1">IFERROR(__xludf.DUMMYFUNCTION("QUERY('Volunteer Survey'!F58)"),"Genetic counselor")</f>
        <v>Genetic counselor</v>
      </c>
      <c r="O53" s="42" t="str">
        <f ca="1">IFERROR(__xludf.DUMMYFUNCTION("QUERY('Volunteer Survey'!H58)"),"Comprehensive")</f>
        <v>Comprehensive</v>
      </c>
      <c r="P53" s="49" t="str">
        <f ca="1">IFERROR(__xludf.DUMMYFUNCTION("QUERY('Volunteer Survey'!I58)"),"Somatic Cancer")</f>
        <v>Somatic Cancer</v>
      </c>
      <c r="Q53" s="54" t="str">
        <f ca="1">IFERROR(__xludf.DUMMYFUNCTION("QUERY('Volunteer Survey'!J58)"),"Clinical Actionability")</f>
        <v>Clinical Actionability</v>
      </c>
      <c r="R53" s="49" t="str">
        <f ca="1">IFERROR(__xludf.DUMMYFUNCTION("QUERY('Volunteer Survey'!K58)"),"Gene-Disease Validity")</f>
        <v>Gene-Disease Validity</v>
      </c>
      <c r="S53" s="49" t="str">
        <f ca="1">IFERROR(__xludf.DUMMYFUNCTION("QUERY('Volunteer Survey'!L58)"),"")</f>
        <v/>
      </c>
      <c r="T53" s="49" t="str">
        <f ca="1">IFERROR(__xludf.DUMMYFUNCTION("QUERY('Volunteer Survey'!M58)"),"")</f>
        <v/>
      </c>
      <c r="U53" s="58" t="str">
        <f ca="1">IFERROR(__xludf.DUMMYFUNCTION("QUERY('Volunteer Survey'!N58)"),"yes")</f>
        <v>yes</v>
      </c>
      <c r="V53" s="49" t="str">
        <f ca="1">IFERROR(__xludf.DUMMYFUNCTION("QUERY('Volunteer Survey'!O58)"),"Possibly")</f>
        <v>Possibly</v>
      </c>
      <c r="W53" s="60" t="str">
        <f ca="1">IFERROR(__xludf.DUMMYFUNCTION("QUERY('Volunteer Survey'!P58)"),"Somatic Cancer Working Group, Somatic/Germline Variant Curation Group")</f>
        <v>Somatic Cancer Working Group, Somatic/Germline Variant Curation Group</v>
      </c>
      <c r="X53" s="58" t="str">
        <f ca="1">IFERROR(__xludf.DUMMYFUNCTION("QUERY('Volunteer Survey'!R58)"),"No - I am only interested in the group(s) I previously indicated")</f>
        <v>No - I am only interested in the group(s) I previously indicated</v>
      </c>
      <c r="Y53" s="86" t="s">
        <v>318</v>
      </c>
      <c r="Z53" s="62"/>
      <c r="AA53" s="49"/>
      <c r="AB53" s="49"/>
      <c r="AC53" s="49"/>
      <c r="AD53" s="49"/>
      <c r="AE53" s="49"/>
      <c r="AF53" s="49"/>
      <c r="AG53" s="49"/>
      <c r="AH53" s="49"/>
      <c r="AI53" s="49"/>
      <c r="AJ53" s="49"/>
      <c r="AK53" s="49"/>
      <c r="AL53" s="49"/>
      <c r="AM53" s="49"/>
      <c r="AN53" s="49"/>
      <c r="AO53" s="49"/>
    </row>
    <row r="54" spans="1:41" ht="42">
      <c r="A54" s="44">
        <f ca="1">IFERROR(__xludf.DUMMYFUNCTION("QUERY('Volunteer Survey'!A59)"),43395.4167361111)</f>
        <v>43395.416736111103</v>
      </c>
      <c r="B54" s="42" t="s">
        <v>160</v>
      </c>
      <c r="C54" s="81">
        <v>43411</v>
      </c>
      <c r="D54" s="43">
        <v>43476</v>
      </c>
      <c r="E54" s="42" t="s">
        <v>117</v>
      </c>
      <c r="F54" s="42" t="s">
        <v>130</v>
      </c>
      <c r="G54" s="42" t="s">
        <v>136</v>
      </c>
      <c r="H54" s="45" t="s">
        <v>298</v>
      </c>
      <c r="I54" s="45" t="s">
        <v>139</v>
      </c>
      <c r="J54" s="50">
        <v>43592</v>
      </c>
      <c r="K54" s="50">
        <v>43713</v>
      </c>
      <c r="L54" s="49" t="str">
        <f ca="1">IFERROR(__xludf.DUMMYFUNCTION("QUERY('Volunteer Survey'!B59)"),"Wan-Hsin Lin")</f>
        <v>Wan-Hsin Lin</v>
      </c>
      <c r="M54" s="49" t="str">
        <f ca="1">IFERROR(__xludf.DUMMYFUNCTION("QUERY('Volunteer Survey'!E59)"),"lin.wanhsin@mayo.edu")</f>
        <v>lin.wanhsin@mayo.edu</v>
      </c>
      <c r="N54" s="49" t="str">
        <f ca="1">IFERROR(__xludf.DUMMYFUNCTION("QUERY('Volunteer Survey'!F59)"),"Post Doc/Resident/Fellow (MD and/or PhD)")</f>
        <v>Post Doc/Resident/Fellow (MD and/or PhD)</v>
      </c>
      <c r="O54" s="42" t="str">
        <f ca="1">IFERROR(__xludf.DUMMYFUNCTION("QUERY('Volunteer Survey'!H59)"),"Comprehensive")</f>
        <v>Comprehensive</v>
      </c>
      <c r="P54" s="49" t="str">
        <f ca="1">IFERROR(__xludf.DUMMYFUNCTION("QUERY('Volunteer Survey'!I59)"),"Somatic Cancer")</f>
        <v>Somatic Cancer</v>
      </c>
      <c r="Q54" s="54" t="str">
        <f ca="1">IFERROR(__xludf.DUMMYFUNCTION("QUERY('Volunteer Survey'!J59)"),"Variant Pathogenicity")</f>
        <v>Variant Pathogenicity</v>
      </c>
      <c r="R54" s="49" t="str">
        <f ca="1">IFERROR(__xludf.DUMMYFUNCTION("QUERY('Volunteer Survey'!K59)"),"Clinical Actionability")</f>
        <v>Clinical Actionability</v>
      </c>
      <c r="S54" s="49" t="str">
        <f ca="1">IFERROR(__xludf.DUMMYFUNCTION("QUERY('Volunteer Survey'!L59)"),"Gene-Disease Validity")</f>
        <v>Gene-Disease Validity</v>
      </c>
      <c r="T54" s="49" t="str">
        <f ca="1">IFERROR(__xludf.DUMMYFUNCTION("QUERY('Volunteer Survey'!M59)"),"")</f>
        <v/>
      </c>
      <c r="U54" s="58" t="str">
        <f ca="1">IFERROR(__xludf.DUMMYFUNCTION("QUERY('Volunteer Survey'!N59)"),"no")</f>
        <v>no</v>
      </c>
      <c r="V54" s="49" t="str">
        <f ca="1">IFERROR(__xludf.DUMMYFUNCTION("QUERY('Volunteer Survey'!O59)"),"Possibly")</f>
        <v>Possibly</v>
      </c>
      <c r="W54" s="60" t="str">
        <f ca="1">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58" t="str">
        <f ca="1">IFERROR(__xludf.DUMMYFUNCTION("QUERY('Volunteer Survey'!R59)"),"Maybe -- please contact me with other options, and I will decide based on what is available")</f>
        <v>Maybe -- please contact me with other options, and I will decide based on what is available</v>
      </c>
      <c r="Y54" s="47"/>
      <c r="Z54" s="62"/>
      <c r="AA54" s="49"/>
      <c r="AB54" s="49"/>
      <c r="AC54" s="49"/>
      <c r="AD54" s="49"/>
      <c r="AE54" s="49"/>
      <c r="AF54" s="49"/>
      <c r="AG54" s="49"/>
      <c r="AH54" s="49"/>
      <c r="AI54" s="49"/>
      <c r="AJ54" s="49"/>
      <c r="AK54" s="49"/>
      <c r="AL54" s="49"/>
      <c r="AM54" s="49"/>
      <c r="AN54" s="49"/>
      <c r="AO54" s="49"/>
    </row>
    <row r="55" spans="1:41" ht="20.25" customHeight="1">
      <c r="A55" s="44">
        <f ca="1">IFERROR(__xludf.DUMMYFUNCTION("QUERY('Volunteer Survey'!A60)"),43398.4188425926)</f>
        <v>43398.418842592597</v>
      </c>
      <c r="B55" s="42" t="s">
        <v>168</v>
      </c>
      <c r="C55" s="81">
        <v>43411</v>
      </c>
      <c r="D55" s="43">
        <v>43476</v>
      </c>
      <c r="E55" s="42" t="s">
        <v>117</v>
      </c>
      <c r="F55" s="42" t="s">
        <v>130</v>
      </c>
      <c r="G55" s="42" t="s">
        <v>136</v>
      </c>
      <c r="H55" s="45" t="s">
        <v>297</v>
      </c>
      <c r="I55" s="45" t="s">
        <v>139</v>
      </c>
      <c r="J55" s="50">
        <v>43592</v>
      </c>
      <c r="K55" s="50">
        <v>43713</v>
      </c>
      <c r="L55" s="49" t="str">
        <f ca="1">IFERROR(__xludf.DUMMYFUNCTION("QUERY('Volunteer Survey'!B60)"),"Stefan Rentas")</f>
        <v>Stefan Rentas</v>
      </c>
      <c r="M55" s="49" t="str">
        <f ca="1">IFERROR(__xludf.DUMMYFUNCTION("QUERY('Volunteer Survey'!E60)"),"rentass@email.chop.edu")</f>
        <v>rentass@email.chop.edu</v>
      </c>
      <c r="N55" s="49" t="str">
        <f ca="1">IFERROR(__xludf.DUMMYFUNCTION("QUERY('Volunteer Survey'!F60)"),"Post Doc/Resident/Fellow (MD and/or PhD)")</f>
        <v>Post Doc/Resident/Fellow (MD and/or PhD)</v>
      </c>
      <c r="O55" s="42" t="str">
        <f ca="1">IFERROR(__xludf.DUMMYFUNCTION("QUERY('Volunteer Survey'!H60)"),"Comprehensive")</f>
        <v>Comprehensive</v>
      </c>
      <c r="P55" s="49" t="str">
        <f ca="1">IFERROR(__xludf.DUMMYFUNCTION("QUERY('Volunteer Survey'!I60)"),"Somatic Cancer")</f>
        <v>Somatic Cancer</v>
      </c>
      <c r="Q55" s="54" t="str">
        <f ca="1">IFERROR(__xludf.DUMMYFUNCTION("QUERY('Volunteer Survey'!J60)"),"Dosage Sensitivity")</f>
        <v>Dosage Sensitivity</v>
      </c>
      <c r="R55" s="49" t="str">
        <f ca="1">IFERROR(__xludf.DUMMYFUNCTION("QUERY('Volunteer Survey'!K60)"),"Gene-Disease Validity")</f>
        <v>Gene-Disease Validity</v>
      </c>
      <c r="S55" s="49" t="str">
        <f ca="1">IFERROR(__xludf.DUMMYFUNCTION("QUERY('Volunteer Survey'!L60)"),"Variant Pathogenicity")</f>
        <v>Variant Pathogenicity</v>
      </c>
      <c r="T55" s="49" t="str">
        <f ca="1">IFERROR(__xludf.DUMMYFUNCTION("QUERY('Volunteer Survey'!M60)"),"Clinical Actionability")</f>
        <v>Clinical Actionability</v>
      </c>
      <c r="U55" s="58" t="str">
        <f ca="1">IFERROR(__xludf.DUMMYFUNCTION("QUERY('Volunteer Survey'!N60)"),"yes")</f>
        <v>yes</v>
      </c>
      <c r="V55" s="49" t="str">
        <f ca="1">IFERROR(__xludf.DUMMYFUNCTION("QUERY('Volunteer Survey'!O60)"),"Possibly")</f>
        <v>Possibly</v>
      </c>
      <c r="W55" s="60" t="str">
        <f ca="1">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58" t="str">
        <f ca="1">IFERROR(__xludf.DUMMYFUNCTION("QUERY('Volunteer Survey'!R60)"),"Maybe -- please contact me with other options, and I will decide based on what is available")</f>
        <v>Maybe -- please contact me with other options, and I will decide based on what is available</v>
      </c>
      <c r="Y55" s="86" t="s">
        <v>328</v>
      </c>
      <c r="Z55" s="62"/>
      <c r="AA55" s="49"/>
      <c r="AB55" s="49"/>
      <c r="AC55" s="49"/>
      <c r="AD55" s="49"/>
      <c r="AE55" s="49"/>
      <c r="AF55" s="49"/>
      <c r="AG55" s="49"/>
      <c r="AH55" s="49"/>
      <c r="AI55" s="49"/>
      <c r="AJ55" s="49"/>
      <c r="AK55" s="49"/>
      <c r="AL55" s="49"/>
      <c r="AM55" s="49"/>
      <c r="AN55" s="49"/>
      <c r="AO55" s="49"/>
    </row>
    <row r="56" spans="1:41" ht="14">
      <c r="A56" s="44">
        <f ca="1">IFERROR(__xludf.DUMMYFUNCTION("QUERY('Volunteer Survey'!A61)"),43414.4204629629)</f>
        <v>43414.420462962902</v>
      </c>
      <c r="B56" s="42" t="s">
        <v>168</v>
      </c>
      <c r="C56" s="73">
        <v>43434</v>
      </c>
      <c r="D56" s="43"/>
      <c r="E56" s="42" t="s">
        <v>130</v>
      </c>
      <c r="F56" s="42" t="s">
        <v>130</v>
      </c>
      <c r="G56" s="42" t="s">
        <v>136</v>
      </c>
      <c r="H56" s="47"/>
      <c r="I56" s="45" t="s">
        <v>139</v>
      </c>
      <c r="J56" s="49"/>
      <c r="K56" s="49"/>
      <c r="L56" s="49" t="str">
        <f ca="1">IFERROR(__xludf.DUMMYFUNCTION("QUERY('Volunteer Survey'!B61)"),"Willonie Mendonca")</f>
        <v>Willonie Mendonca</v>
      </c>
      <c r="M56" s="49" t="str">
        <f ca="1">IFERROR(__xludf.DUMMYFUNCTION("QUERY('Volunteer Survey'!E61)"),"willonie@gmail.com")</f>
        <v>willonie@gmail.com</v>
      </c>
      <c r="N56" s="49" t="str">
        <f ca="1">IFERROR(__xludf.DUMMYFUNCTION("QUERY('Volunteer Survey'!F61)"),"Genetic counselor")</f>
        <v>Genetic counselor</v>
      </c>
      <c r="O56" s="42" t="str">
        <f ca="1">IFERROR(__xludf.DUMMYFUNCTION("QUERY('Volunteer Survey'!H61)"),"Comprehensive")</f>
        <v>Comprehensive</v>
      </c>
      <c r="P56" s="49" t="str">
        <f ca="1">IFERROR(__xludf.DUMMYFUNCTION("QUERY('Volunteer Survey'!I61)"),"Somatic Cancer")</f>
        <v>Somatic Cancer</v>
      </c>
      <c r="Q56" s="54" t="str">
        <f ca="1">IFERROR(__xludf.DUMMYFUNCTION("QUERY('Volunteer Survey'!J61)"),"Variant Pathogenicity")</f>
        <v>Variant Pathogenicity</v>
      </c>
      <c r="R56" s="49" t="str">
        <f ca="1">IFERROR(__xludf.DUMMYFUNCTION("QUERY('Volunteer Survey'!K61)"),"Clinical Actionability")</f>
        <v>Clinical Actionability</v>
      </c>
      <c r="S56" s="49" t="str">
        <f ca="1">IFERROR(__xludf.DUMMYFUNCTION("QUERY('Volunteer Survey'!L61)"),"Gene-Disease Validity")</f>
        <v>Gene-Disease Validity</v>
      </c>
      <c r="T56" s="49" t="str">
        <f ca="1">IFERROR(__xludf.DUMMYFUNCTION("QUERY('Volunteer Survey'!M61)"),"Dosage Sensitivity")</f>
        <v>Dosage Sensitivity</v>
      </c>
      <c r="U56" s="58" t="str">
        <f ca="1">IFERROR(__xludf.DUMMYFUNCTION("QUERY('Volunteer Survey'!N61)"),"yes")</f>
        <v>yes</v>
      </c>
      <c r="V56" s="49" t="str">
        <f ca="1">IFERROR(__xludf.DUMMYFUNCTION("QUERY('Volunteer Survey'!O61)"),"Possibly")</f>
        <v>Possibly</v>
      </c>
      <c r="W56" s="60" t="str">
        <f ca="1">IFERROR(__xludf.DUMMYFUNCTION("QUERY('Volunteer Survey'!P61)"),"Somatic cancer working groupHereditary cancer working group")</f>
        <v>Somatic cancer working groupHereditary cancer working group</v>
      </c>
      <c r="X56" s="58" t="str">
        <f ca="1">IFERROR(__xludf.DUMMYFUNCTION("QUERY('Volunteer Survey'!R61)"),"Maybe -- please contact me with other options, and I will decide based on what is available")</f>
        <v>Maybe -- please contact me with other options, and I will decide based on what is available</v>
      </c>
      <c r="Y56" s="47"/>
      <c r="Z56" s="62"/>
      <c r="AA56" s="49"/>
      <c r="AB56" s="49"/>
      <c r="AC56" s="49"/>
      <c r="AD56" s="49"/>
      <c r="AE56" s="49"/>
      <c r="AF56" s="49"/>
      <c r="AG56" s="49"/>
      <c r="AH56" s="49"/>
      <c r="AI56" s="49"/>
      <c r="AJ56" s="49"/>
      <c r="AK56" s="49"/>
      <c r="AL56" s="49"/>
      <c r="AM56" s="49"/>
      <c r="AN56" s="49"/>
      <c r="AO56" s="49"/>
    </row>
    <row r="57" spans="1:41" ht="18.75" customHeight="1">
      <c r="A57" s="44">
        <f ca="1">IFERROR(__xludf.DUMMYFUNCTION("QUERY('Volunteer Survey'!A62)"),43422.4216203703)</f>
        <v>43422.421620370304</v>
      </c>
      <c r="B57" s="42" t="s">
        <v>168</v>
      </c>
      <c r="C57" s="73">
        <v>43434</v>
      </c>
      <c r="D57" s="43">
        <v>43476</v>
      </c>
      <c r="E57" s="42" t="s">
        <v>117</v>
      </c>
      <c r="F57" s="42" t="s">
        <v>130</v>
      </c>
      <c r="G57" s="42" t="s">
        <v>136</v>
      </c>
      <c r="H57" s="45" t="s">
        <v>296</v>
      </c>
      <c r="I57" s="45" t="s">
        <v>139</v>
      </c>
      <c r="J57" s="50">
        <v>43592</v>
      </c>
      <c r="K57" s="42" t="s">
        <v>300</v>
      </c>
      <c r="L57" s="49" t="str">
        <f ca="1">IFERROR(__xludf.DUMMYFUNCTION("QUERY('Volunteer Survey'!B62)"),"Iman Haroun")</f>
        <v>Iman Haroun</v>
      </c>
      <c r="M57" s="49" t="str">
        <f ca="1">IFERROR(__xludf.DUMMYFUNCTION("QUERY('Volunteer Survey'!E62)"),"iman.haroun@readinghealth.org")</f>
        <v>iman.haroun@readinghealth.org</v>
      </c>
      <c r="N57" s="49" t="str">
        <f ca="1">IFERROR(__xludf.DUMMYFUNCTION("QUERY('Volunteer Survey'!F62)"),"Genetic counselor")</f>
        <v>Genetic counselor</v>
      </c>
      <c r="O57" s="42" t="str">
        <f ca="1">IFERROR(__xludf.DUMMYFUNCTION("QUERY('Volunteer Survey'!H62)"),"Comprehensive")</f>
        <v>Comprehensive</v>
      </c>
      <c r="P57" s="49" t="str">
        <f ca="1">IFERROR(__xludf.DUMMYFUNCTION("QUERY('Volunteer Survey'!I62)"),"Somatic Cancer")</f>
        <v>Somatic Cancer</v>
      </c>
      <c r="Q57" s="54" t="str">
        <f ca="1">IFERROR(__xludf.DUMMYFUNCTION("QUERY('Volunteer Survey'!J62)"),"Variant Pathogenicity")</f>
        <v>Variant Pathogenicity</v>
      </c>
      <c r="R57" s="49" t="str">
        <f ca="1">IFERROR(__xludf.DUMMYFUNCTION("QUERY('Volunteer Survey'!K62)"),"Gene-Disease Validity")</f>
        <v>Gene-Disease Validity</v>
      </c>
      <c r="S57" s="49" t="str">
        <f ca="1">IFERROR(__xludf.DUMMYFUNCTION("QUERY('Volunteer Survey'!L62)"),"Dosage Sensitivity")</f>
        <v>Dosage Sensitivity</v>
      </c>
      <c r="T57" s="49" t="str">
        <f ca="1">IFERROR(__xludf.DUMMYFUNCTION("QUERY('Volunteer Survey'!M62)"),"")</f>
        <v/>
      </c>
      <c r="U57" s="58" t="str">
        <f ca="1">IFERROR(__xludf.DUMMYFUNCTION("QUERY('Volunteer Survey'!N62)"),"No")</f>
        <v>No</v>
      </c>
      <c r="V57" s="49" t="str">
        <f ca="1">IFERROR(__xludf.DUMMYFUNCTION("QUERY('Volunteer Survey'!O62)"),"Possibly")</f>
        <v>Possibly</v>
      </c>
      <c r="W57" s="60" t="str">
        <f ca="1">IFERROR(__xludf.DUMMYFUNCTION("QUERY('Volunteer Survey'!P62)"),"Somatic Cancer, Pancreatic")</f>
        <v>Somatic Cancer, Pancreatic</v>
      </c>
      <c r="X57" s="58" t="str">
        <f ca="1">IFERROR(__xludf.DUMMYFUNCTION("QUERY('Volunteer Survey'!R62)"),"Yes- I am willing to volunteer with any available ClinGen group")</f>
        <v>Yes- I am willing to volunteer with any available ClinGen group</v>
      </c>
      <c r="Y57" s="47"/>
      <c r="Z57" s="62"/>
      <c r="AA57" s="49"/>
      <c r="AB57" s="49"/>
      <c r="AC57" s="49"/>
      <c r="AD57" s="49"/>
      <c r="AE57" s="49"/>
      <c r="AF57" s="49"/>
      <c r="AG57" s="49"/>
      <c r="AH57" s="49"/>
      <c r="AI57" s="49"/>
      <c r="AJ57" s="49"/>
      <c r="AK57" s="49"/>
      <c r="AL57" s="49"/>
      <c r="AM57" s="49"/>
      <c r="AN57" s="49"/>
      <c r="AO57" s="49"/>
    </row>
    <row r="58" spans="1:41" ht="14">
      <c r="A58" s="44">
        <f ca="1">IFERROR(__xludf.DUMMYFUNCTION("QUERY('Volunteer Survey'!A63)"),43357.4285532407)</f>
        <v>43357.428553240701</v>
      </c>
      <c r="B58" s="42" t="s">
        <v>168</v>
      </c>
      <c r="C58" s="81">
        <v>43439</v>
      </c>
      <c r="D58" s="49"/>
      <c r="E58" s="42" t="s">
        <v>130</v>
      </c>
      <c r="F58" s="42" t="s">
        <v>130</v>
      </c>
      <c r="G58" s="42" t="s">
        <v>251</v>
      </c>
      <c r="H58" s="47"/>
      <c r="I58" s="45" t="s">
        <v>139</v>
      </c>
      <c r="J58" s="49"/>
      <c r="K58" s="49"/>
      <c r="L58" s="49" t="str">
        <f ca="1">IFERROR(__xludf.DUMMYFUNCTION("QUERY('Volunteer Survey'!B63)"),"Daniel Bellissimo")</f>
        <v>Daniel Bellissimo</v>
      </c>
      <c r="M58" s="49" t="str">
        <f ca="1">IFERROR(__xludf.DUMMYFUNCTION("QUERY('Volunteer Survey'!E63)"),"BELLISSIMOD@MAIL.MAGEE.EDU")</f>
        <v>BELLISSIMOD@MAIL.MAGEE.EDU</v>
      </c>
      <c r="N58" s="49" t="str">
        <f ca="1">IFERROR(__xludf.DUMMYFUNCTION("QUERY('Volunteer Survey'!F63)"),"Clinical laboratory geneticist")</f>
        <v>Clinical laboratory geneticist</v>
      </c>
      <c r="O58" s="42" t="str">
        <f ca="1">IFERROR(__xludf.DUMMYFUNCTION("QUERY('Volunteer Survey'!H63)"),"Comprehensive")</f>
        <v>Comprehensive</v>
      </c>
      <c r="P58" s="49" t="str">
        <f ca="1">IFERROR(__xludf.DUMMYFUNCTION("QUERY('Volunteer Survey'!I63)"),"Variant Pathogenicity")</f>
        <v>Variant Pathogenicity</v>
      </c>
      <c r="Q58" s="54" t="str">
        <f ca="1">IFERROR(__xludf.DUMMYFUNCTION("QUERY('Volunteer Survey'!J63)"),"Gene-Disease Validity")</f>
        <v>Gene-Disease Validity</v>
      </c>
      <c r="R58" s="49" t="str">
        <f ca="1">IFERROR(__xludf.DUMMYFUNCTION("QUERY('Volunteer Survey'!K63)"),"Clinical Actionability")</f>
        <v>Clinical Actionability</v>
      </c>
      <c r="S58" s="49" t="str">
        <f ca="1">IFERROR(__xludf.DUMMYFUNCTION("QUERY('Volunteer Survey'!L63)"),"Dosage Sensitivity")</f>
        <v>Dosage Sensitivity</v>
      </c>
      <c r="T58" s="49" t="str">
        <f ca="1">IFERROR(__xludf.DUMMYFUNCTION("QUERY('Volunteer Survey'!M63)"),"Somatic Cancer")</f>
        <v>Somatic Cancer</v>
      </c>
      <c r="U58" s="58" t="str">
        <f ca="1">IFERROR(__xludf.DUMMYFUNCTION("QUERY('Volunteer Survey'!N63)"),"yes")</f>
        <v>yes</v>
      </c>
      <c r="V58" s="49" t="str">
        <f ca="1">IFERROR(__xludf.DUMMYFUNCTION("QUERY('Volunteer Survey'!O63)"),"No")</f>
        <v>No</v>
      </c>
      <c r="W58" s="60" t="str">
        <f ca="1">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58" t="str">
        <f ca="1">IFERROR(__xludf.DUMMYFUNCTION("QUERY('Volunteer Survey'!R63)"),"Maybe -- please contact me with other options, and I will decide based on what is available")</f>
        <v>Maybe -- please contact me with other options, and I will decide based on what is available</v>
      </c>
      <c r="Y58" s="47"/>
      <c r="Z58" s="62"/>
      <c r="AA58" s="49"/>
      <c r="AB58" s="49"/>
      <c r="AC58" s="49"/>
      <c r="AD58" s="49"/>
      <c r="AE58" s="49"/>
      <c r="AF58" s="49"/>
      <c r="AG58" s="49"/>
      <c r="AH58" s="49"/>
      <c r="AI58" s="49"/>
      <c r="AJ58" s="49"/>
      <c r="AK58" s="49"/>
      <c r="AL58" s="49"/>
      <c r="AM58" s="49"/>
      <c r="AN58" s="49"/>
      <c r="AO58" s="49"/>
    </row>
    <row r="59" spans="1:41" ht="14">
      <c r="A59" s="44">
        <f ca="1">IFERROR(__xludf.DUMMYFUNCTION("QUERY('Volunteer Survey'!A64)"),43332.4316782407)</f>
        <v>43332.431678240697</v>
      </c>
      <c r="B59" s="42" t="s">
        <v>108</v>
      </c>
      <c r="C59" s="81">
        <v>43439</v>
      </c>
      <c r="D59" s="49"/>
      <c r="E59" s="42" t="s">
        <v>130</v>
      </c>
      <c r="F59" s="42" t="s">
        <v>130</v>
      </c>
      <c r="G59" s="42" t="s">
        <v>251</v>
      </c>
      <c r="H59" s="47"/>
      <c r="I59" s="45" t="s">
        <v>139</v>
      </c>
      <c r="J59" s="49"/>
      <c r="K59" s="49"/>
      <c r="L59" s="49" t="str">
        <f ca="1">IFERROR(__xludf.DUMMYFUNCTION("QUERY('Volunteer Survey'!B64)"),"Alexa Dickson ")</f>
        <v xml:space="preserve">Alexa Dickson </v>
      </c>
      <c r="M59" s="49" t="str">
        <f ca="1">IFERROR(__xludf.DUMMYFUNCTION("QUERY('Volunteer Survey'!E64)"),"alexa.dickson@aruplab.com")</f>
        <v>alexa.dickson@aruplab.com</v>
      </c>
      <c r="N59" s="49" t="str">
        <f ca="1">IFERROR(__xludf.DUMMYFUNCTION("QUERY('Volunteer Survey'!F64)"),"Clinical laboratory geneticist")</f>
        <v>Clinical laboratory geneticist</v>
      </c>
      <c r="O59" s="42" t="str">
        <f ca="1">IFERROR(__xludf.DUMMYFUNCTION("QUERY('Volunteer Survey'!H64)"),"Comprehensive")</f>
        <v>Comprehensive</v>
      </c>
      <c r="P59" s="49" t="str">
        <f ca="1">IFERROR(__xludf.DUMMYFUNCTION("QUERY('Volunteer Survey'!I64)"),"Variant Pathogenicity")</f>
        <v>Variant Pathogenicity</v>
      </c>
      <c r="Q59" s="54" t="str">
        <f ca="1">IFERROR(__xludf.DUMMYFUNCTION("QUERY('Volunteer Survey'!J64)"),"Gene-Disease Validity")</f>
        <v>Gene-Disease Validity</v>
      </c>
      <c r="R59" s="49" t="str">
        <f ca="1">IFERROR(__xludf.DUMMYFUNCTION("QUERY('Volunteer Survey'!K64)"),"Clinical Actionability")</f>
        <v>Clinical Actionability</v>
      </c>
      <c r="S59" s="49" t="str">
        <f ca="1">IFERROR(__xludf.DUMMYFUNCTION("QUERY('Volunteer Survey'!L64)"),"Dosage Sensitivity")</f>
        <v>Dosage Sensitivity</v>
      </c>
      <c r="T59" s="49" t="str">
        <f ca="1">IFERROR(__xludf.DUMMYFUNCTION("QUERY('Volunteer Survey'!M64)"),"Somatic Cancer")</f>
        <v>Somatic Cancer</v>
      </c>
      <c r="U59" s="58" t="str">
        <f ca="1">IFERROR(__xludf.DUMMYFUNCTION("QUERY('Volunteer Survey'!N64)"),"yes")</f>
        <v>yes</v>
      </c>
      <c r="V59" s="49" t="str">
        <f ca="1">IFERROR(__xludf.DUMMYFUNCTION("QUERY('Volunteer Survey'!O64)"),"Yes")</f>
        <v>Yes</v>
      </c>
      <c r="W59" s="60" t="str">
        <f ca="1">IFERROR(__xludf.DUMMYFUNCTION("QUERY('Volunteer Survey'!P64)"),"retinal disease working group")</f>
        <v>retinal disease working group</v>
      </c>
      <c r="X59" s="58" t="str">
        <f ca="1">IFERROR(__xludf.DUMMYFUNCTION("QUERY('Volunteer Survey'!R64)"),"Yes- I am willing to volunteer with any available ClinGen group")</f>
        <v>Yes- I am willing to volunteer with any available ClinGen group</v>
      </c>
      <c r="Y59" s="47"/>
      <c r="Z59" s="62"/>
      <c r="AA59" s="49"/>
      <c r="AB59" s="49"/>
      <c r="AC59" s="49"/>
      <c r="AD59" s="49"/>
      <c r="AE59" s="49"/>
      <c r="AF59" s="49"/>
      <c r="AG59" s="49"/>
      <c r="AH59" s="49"/>
      <c r="AI59" s="49"/>
      <c r="AJ59" s="49"/>
      <c r="AK59" s="49"/>
      <c r="AL59" s="49"/>
      <c r="AM59" s="49"/>
      <c r="AN59" s="49"/>
      <c r="AO59" s="49"/>
    </row>
    <row r="60" spans="1:41" ht="14">
      <c r="A60" s="44">
        <f ca="1">IFERROR(__xludf.DUMMYFUNCTION("QUERY('Volunteer Survey'!A65)"),43334.4335879629)</f>
        <v>43334.4335879629</v>
      </c>
      <c r="B60" s="42" t="s">
        <v>168</v>
      </c>
      <c r="C60" s="81">
        <v>43439</v>
      </c>
      <c r="D60" s="59">
        <v>43605</v>
      </c>
      <c r="E60" s="42" t="s">
        <v>117</v>
      </c>
      <c r="F60" s="42" t="s">
        <v>117</v>
      </c>
      <c r="G60" s="42" t="s">
        <v>251</v>
      </c>
      <c r="H60" s="47"/>
      <c r="I60" s="45" t="s">
        <v>139</v>
      </c>
      <c r="J60" s="49"/>
      <c r="K60" s="49"/>
      <c r="L60" s="49" t="str">
        <f ca="1">IFERROR(__xludf.DUMMYFUNCTION("QUERY('Volunteer Survey'!B65)"),"Luke Drury")</f>
        <v>Luke Drury</v>
      </c>
      <c r="M60" s="49" t="str">
        <f ca="1">IFERROR(__xludf.DUMMYFUNCTION("QUERY('Volunteer Survey'!E65)"),"luke.drury@preventiongenetics.com")</f>
        <v>luke.drury@preventiongenetics.com</v>
      </c>
      <c r="N60" s="49" t="str">
        <f ca="1">IFERROR(__xludf.DUMMYFUNCTION("QUERY('Volunteer Survey'!F65)"),"Variant Analyst/Scientist")</f>
        <v>Variant Analyst/Scientist</v>
      </c>
      <c r="O60" s="42" t="str">
        <f ca="1">IFERROR(__xludf.DUMMYFUNCTION("QUERY('Volunteer Survey'!H65)"),"Comprehensive")</f>
        <v>Comprehensive</v>
      </c>
      <c r="P60" s="49" t="str">
        <f ca="1">IFERROR(__xludf.DUMMYFUNCTION("QUERY('Volunteer Survey'!I65)"),"Variant Pathogenicity")</f>
        <v>Variant Pathogenicity</v>
      </c>
      <c r="Q60" s="54" t="str">
        <f ca="1">IFERROR(__xludf.DUMMYFUNCTION("QUERY('Volunteer Survey'!J65)"),"Gene-Disease Validity")</f>
        <v>Gene-Disease Validity</v>
      </c>
      <c r="R60" s="49" t="str">
        <f ca="1">IFERROR(__xludf.DUMMYFUNCTION("QUERY('Volunteer Survey'!K65)"),"Clinical Actionability")</f>
        <v>Clinical Actionability</v>
      </c>
      <c r="S60" s="49" t="str">
        <f ca="1">IFERROR(__xludf.DUMMYFUNCTION("QUERY('Volunteer Survey'!L65)"),"Dosage Sensitivity")</f>
        <v>Dosage Sensitivity</v>
      </c>
      <c r="T60" s="49" t="str">
        <f ca="1">IFERROR(__xludf.DUMMYFUNCTION("QUERY('Volunteer Survey'!M65)"),"Somatic Cancer")</f>
        <v>Somatic Cancer</v>
      </c>
      <c r="U60" s="58" t="str">
        <f ca="1">IFERROR(__xludf.DUMMYFUNCTION("QUERY('Volunteer Survey'!N65)"),"yes")</f>
        <v>yes</v>
      </c>
      <c r="V60" s="49" t="str">
        <f ca="1">IFERROR(__xludf.DUMMYFUNCTION("QUERY('Volunteer Survey'!O65)"),"No")</f>
        <v>No</v>
      </c>
      <c r="W60" s="60" t="str">
        <f ca="1">IFERROR(__xludf.DUMMYFUNCTION("QUERY('Volunteer Survey'!P65)"),"any WG")</f>
        <v>any WG</v>
      </c>
      <c r="X60" s="58" t="str">
        <f ca="1">IFERROR(__xludf.DUMMYFUNCTION("QUERY('Volunteer Survey'!R65)"),"Maybe -- please contact me with other options, and I will decide based on what is available")</f>
        <v>Maybe -- please contact me with other options, and I will decide based on what is available</v>
      </c>
      <c r="Y60" s="47"/>
      <c r="Z60" s="62"/>
      <c r="AA60" s="49"/>
      <c r="AB60" s="49"/>
      <c r="AC60" s="49"/>
      <c r="AD60" s="49"/>
      <c r="AE60" s="49"/>
      <c r="AF60" s="49"/>
      <c r="AG60" s="49"/>
      <c r="AH60" s="49"/>
      <c r="AI60" s="49"/>
      <c r="AJ60" s="49"/>
      <c r="AK60" s="49"/>
      <c r="AL60" s="49"/>
      <c r="AM60" s="49"/>
      <c r="AN60" s="49"/>
      <c r="AO60" s="49"/>
    </row>
    <row r="61" spans="1:41" ht="14">
      <c r="A61" s="44">
        <f ca="1">IFERROR(__xludf.DUMMYFUNCTION("QUERY('Volunteer Survey'!A66)"),43336.4358333333)</f>
        <v>43336.4358333333</v>
      </c>
      <c r="B61" s="42" t="s">
        <v>160</v>
      </c>
      <c r="C61" s="81">
        <v>43439</v>
      </c>
      <c r="D61" s="59">
        <v>43605</v>
      </c>
      <c r="E61" s="42" t="s">
        <v>117</v>
      </c>
      <c r="F61" s="42" t="s">
        <v>117</v>
      </c>
      <c r="G61" s="42" t="s">
        <v>251</v>
      </c>
      <c r="H61" s="45" t="s">
        <v>248</v>
      </c>
      <c r="I61" s="45" t="s">
        <v>139</v>
      </c>
      <c r="J61" s="50">
        <v>43712</v>
      </c>
      <c r="K61" s="50"/>
      <c r="L61" s="49" t="str">
        <f ca="1">IFERROR(__xludf.DUMMYFUNCTION("QUERY('Volunteer Survey'!B66)"),"Lynne Rosenblum")</f>
        <v>Lynne Rosenblum</v>
      </c>
      <c r="M61" s="49" t="str">
        <f ca="1">IFERROR(__xludf.DUMMYFUNCTION("QUERY('Volunteer Survey'!E66)"),"lynne.rosenblum@integratedgenetics.com")</f>
        <v>lynne.rosenblum@integratedgenetics.com</v>
      </c>
      <c r="N61" s="49" t="str">
        <f ca="1">IFERROR(__xludf.DUMMYFUNCTION("QUERY('Volunteer Survey'!F66)"),"Clinical laboratory geneticist")</f>
        <v>Clinical laboratory geneticist</v>
      </c>
      <c r="O61" s="42" t="str">
        <f ca="1">IFERROR(__xludf.DUMMYFUNCTION("QUERY('Volunteer Survey'!H66)"),"Comprehensive")</f>
        <v>Comprehensive</v>
      </c>
      <c r="P61" s="49" t="str">
        <f ca="1">IFERROR(__xludf.DUMMYFUNCTION("QUERY('Volunteer Survey'!I66)"),"Variant Pathogenicity")</f>
        <v>Variant Pathogenicity</v>
      </c>
      <c r="Q61" s="54" t="str">
        <f ca="1">IFERROR(__xludf.DUMMYFUNCTION("QUERY('Volunteer Survey'!J66)"),"Clinical Actionability")</f>
        <v>Clinical Actionability</v>
      </c>
      <c r="R61" s="49" t="str">
        <f ca="1">IFERROR(__xludf.DUMMYFUNCTION("QUERY('Volunteer Survey'!K66)"),"Dosage Sensitivity")</f>
        <v>Dosage Sensitivity</v>
      </c>
      <c r="S61" s="49" t="str">
        <f ca="1">IFERROR(__xludf.DUMMYFUNCTION("QUERY('Volunteer Survey'!L66)"),"Gene-Disease Validity")</f>
        <v>Gene-Disease Validity</v>
      </c>
      <c r="T61" s="49" t="str">
        <f ca="1">IFERROR(__xludf.DUMMYFUNCTION("QUERY('Volunteer Survey'!M66)"),"Somatic Cancer")</f>
        <v>Somatic Cancer</v>
      </c>
      <c r="U61" s="58" t="str">
        <f ca="1">IFERROR(__xludf.DUMMYFUNCTION("QUERY('Volunteer Survey'!N66)"),"yes")</f>
        <v>yes</v>
      </c>
      <c r="V61" s="49" t="str">
        <f ca="1">IFERROR(__xludf.DUMMYFUNCTION("QUERY('Volunteer Survey'!O66)"),"Possibly")</f>
        <v>Possibly</v>
      </c>
      <c r="W61" s="60" t="str">
        <f ca="1">IFERROR(__xludf.DUMMYFUNCTION("QUERY('Volunteer Survey'!P66)"),"storage disease and somatic/germline working groups, but am open to other opportunities.")</f>
        <v>storage disease and somatic/germline working groups, but am open to other opportunities.</v>
      </c>
      <c r="X61" s="58" t="str">
        <f ca="1">IFERROR(__xludf.DUMMYFUNCTION("QUERY('Volunteer Survey'!R66)"),"Maybe -- please contact me with other options, and I will decide based on what is available")</f>
        <v>Maybe -- please contact me with other options, and I will decide based on what is available</v>
      </c>
      <c r="Y61" s="47"/>
      <c r="Z61" s="62"/>
      <c r="AA61" s="49"/>
      <c r="AB61" s="49"/>
      <c r="AC61" s="49"/>
      <c r="AD61" s="49"/>
      <c r="AE61" s="49"/>
      <c r="AF61" s="49"/>
      <c r="AG61" s="49"/>
      <c r="AH61" s="49"/>
      <c r="AI61" s="49"/>
      <c r="AJ61" s="49"/>
      <c r="AK61" s="49"/>
      <c r="AL61" s="49"/>
      <c r="AM61" s="49"/>
      <c r="AN61" s="49"/>
      <c r="AO61" s="49"/>
    </row>
    <row r="62" spans="1:41" ht="14">
      <c r="A62" s="44">
        <f ca="1">IFERROR(__xludf.DUMMYFUNCTION("QUERY('Volunteer Survey'!A67)"),43340.4389236111)</f>
        <v>43340.438923611102</v>
      </c>
      <c r="B62" s="42" t="s">
        <v>160</v>
      </c>
      <c r="C62" s="81">
        <v>43439</v>
      </c>
      <c r="D62" s="59">
        <v>43605</v>
      </c>
      <c r="E62" s="42" t="s">
        <v>117</v>
      </c>
      <c r="F62" s="42" t="s">
        <v>130</v>
      </c>
      <c r="G62" s="42" t="s">
        <v>251</v>
      </c>
      <c r="H62" s="45" t="s">
        <v>169</v>
      </c>
      <c r="I62" s="45" t="s">
        <v>139</v>
      </c>
      <c r="J62" s="50">
        <v>43712</v>
      </c>
      <c r="K62" s="50"/>
      <c r="L62" s="49" t="str">
        <f ca="1">IFERROR(__xludf.DUMMYFUNCTION("QUERY('Volunteer Survey'!B67)"),"Yang Wang")</f>
        <v>Yang Wang</v>
      </c>
      <c r="M62" s="49" t="str">
        <f ca="1">IFERROR(__xludf.DUMMYFUNCTION("QUERY('Volunteer Survey'!E67)"),"yangwangcmg@gmail.com")</f>
        <v>yangwangcmg@gmail.com</v>
      </c>
      <c r="N62" s="49" t="str">
        <f ca="1">IFERROR(__xludf.DUMMYFUNCTION("QUERY('Volunteer Survey'!F67)"),"Clinical laboratory geneticist")</f>
        <v>Clinical laboratory geneticist</v>
      </c>
      <c r="O62" s="42" t="str">
        <f ca="1">IFERROR(__xludf.DUMMYFUNCTION("QUERY('Volunteer Survey'!H67)"),"Comprehensive")</f>
        <v>Comprehensive</v>
      </c>
      <c r="P62" s="49" t="str">
        <f ca="1">IFERROR(__xludf.DUMMYFUNCTION("QUERY('Volunteer Survey'!I67)"),"Variant Pathogenicity")</f>
        <v>Variant Pathogenicity</v>
      </c>
      <c r="Q62" s="54" t="str">
        <f ca="1">IFERROR(__xludf.DUMMYFUNCTION("QUERY('Volunteer Survey'!J67)"),"Gene-Disease Validity")</f>
        <v>Gene-Disease Validity</v>
      </c>
      <c r="R62" s="49" t="str">
        <f ca="1">IFERROR(__xludf.DUMMYFUNCTION("QUERY('Volunteer Survey'!K67)"),"Clinical Actionability")</f>
        <v>Clinical Actionability</v>
      </c>
      <c r="S62" s="49" t="str">
        <f ca="1">IFERROR(__xludf.DUMMYFUNCTION("QUERY('Volunteer Survey'!L67)"),"Dosage Sensitivity")</f>
        <v>Dosage Sensitivity</v>
      </c>
      <c r="T62" s="49" t="str">
        <f ca="1">IFERROR(__xludf.DUMMYFUNCTION("QUERY('Volunteer Survey'!M67)"),"Somatic Cancer")</f>
        <v>Somatic Cancer</v>
      </c>
      <c r="U62" s="58" t="str">
        <f ca="1">IFERROR(__xludf.DUMMYFUNCTION("QUERY('Volunteer Survey'!N67)"),"yes")</f>
        <v>yes</v>
      </c>
      <c r="V62" s="49" t="str">
        <f ca="1">IFERROR(__xludf.DUMMYFUNCTION("QUERY('Volunteer Survey'!O67)"),"Possibly")</f>
        <v>Possibly</v>
      </c>
      <c r="W62" s="60" t="str">
        <f ca="1">IFERROR(__xludf.DUMMYFUNCTION("QUERY('Volunteer Survey'!P67)"),"hereditary cancer panel and inborn error of metabolism, if not a Baseline Biocurator")</f>
        <v>hereditary cancer panel and inborn error of metabolism, if not a Baseline Biocurator</v>
      </c>
      <c r="X62" s="58" t="str">
        <f ca="1">IFERROR(__xludf.DUMMYFUNCTION("QUERY('Volunteer Survey'!R67)"),"Yes- I am willing to volunteer with any available ClinGen group")</f>
        <v>Yes- I am willing to volunteer with any available ClinGen group</v>
      </c>
      <c r="Y62" s="47"/>
      <c r="Z62" s="62"/>
      <c r="AA62" s="49"/>
      <c r="AB62" s="49"/>
      <c r="AC62" s="49"/>
      <c r="AD62" s="49"/>
      <c r="AE62" s="49"/>
      <c r="AF62" s="49"/>
      <c r="AG62" s="49"/>
      <c r="AH62" s="49"/>
      <c r="AI62" s="49"/>
      <c r="AJ62" s="49"/>
      <c r="AK62" s="49"/>
      <c r="AL62" s="49"/>
      <c r="AM62" s="49"/>
      <c r="AN62" s="49"/>
      <c r="AO62" s="49"/>
    </row>
    <row r="63" spans="1:41" ht="14">
      <c r="A63" s="89">
        <f ca="1">IFERROR(__xludf.DUMMYFUNCTION("QUERY('Volunteer Survey'!A68)"),43340.4416666666)</f>
        <v>43340.4416666666</v>
      </c>
      <c r="B63" s="76" t="s">
        <v>108</v>
      </c>
      <c r="C63" s="90">
        <v>43439</v>
      </c>
      <c r="D63" s="77">
        <v>43446</v>
      </c>
      <c r="E63" s="76" t="s">
        <v>117</v>
      </c>
      <c r="F63" s="76" t="s">
        <v>130</v>
      </c>
      <c r="G63" s="76" t="s">
        <v>122</v>
      </c>
      <c r="H63" s="78"/>
      <c r="I63" s="78" t="s">
        <v>299</v>
      </c>
      <c r="J63" s="79"/>
      <c r="K63" s="79"/>
      <c r="L63" s="79" t="str">
        <f ca="1">IFERROR(__xludf.DUMMYFUNCTION("QUERY('Volunteer Survey'!B68)"),"Elaine Spector ")</f>
        <v xml:space="preserve">Elaine Spector </v>
      </c>
      <c r="M63" s="79" t="str">
        <f ca="1">IFERROR(__xludf.DUMMYFUNCTION("QUERY('Volunteer Survey'!E68)"),"elaine.spector@childrenscolorado.org")</f>
        <v>elaine.spector@childrenscolorado.org</v>
      </c>
      <c r="N63" s="79" t="str">
        <f ca="1">IFERROR(__xludf.DUMMYFUNCTION("QUERY('Volunteer Survey'!F68)"),"Clinical laboratory geneticist")</f>
        <v>Clinical laboratory geneticist</v>
      </c>
      <c r="O63" s="76" t="str">
        <f ca="1">IFERROR(__xludf.DUMMYFUNCTION("QUERY('Volunteer Survey'!H68)"),"Comprehensive")</f>
        <v>Comprehensive</v>
      </c>
      <c r="P63" s="79" t="str">
        <f ca="1">IFERROR(__xludf.DUMMYFUNCTION("QUERY('Volunteer Survey'!I68)"),"Gene-Disease Validity")</f>
        <v>Gene-Disease Validity</v>
      </c>
      <c r="Q63" s="91" t="str">
        <f ca="1">IFERROR(__xludf.DUMMYFUNCTION("QUERY('Volunteer Survey'!J68)"),"Variant Pathogenicity")</f>
        <v>Variant Pathogenicity</v>
      </c>
      <c r="R63" s="79" t="str">
        <f ca="1">IFERROR(__xludf.DUMMYFUNCTION("QUERY('Volunteer Survey'!K68)"),"Clinical Actionability")</f>
        <v>Clinical Actionability</v>
      </c>
      <c r="S63" s="79" t="str">
        <f ca="1">IFERROR(__xludf.DUMMYFUNCTION("QUERY('Volunteer Survey'!L68)"),"Dosage Sensitivity")</f>
        <v>Dosage Sensitivity</v>
      </c>
      <c r="T63" s="79" t="str">
        <f ca="1">IFERROR(__xludf.DUMMYFUNCTION("QUERY('Volunteer Survey'!M68)"),"Somatic Cancer")</f>
        <v>Somatic Cancer</v>
      </c>
      <c r="U63" s="92" t="str">
        <f ca="1">IFERROR(__xludf.DUMMYFUNCTION("QUERY('Volunteer Survey'!N68)"),"yes")</f>
        <v>yes</v>
      </c>
      <c r="V63" s="79" t="str">
        <f ca="1">IFERROR(__xludf.DUMMYFUNCTION("QUERY('Volunteer Survey'!O68)"),"")</f>
        <v/>
      </c>
      <c r="W63" s="93" t="str">
        <f ca="1">IFERROR(__xludf.DUMMYFUNCTION("QUERY('Volunteer Survey'!P68)"),"Inborn Errors of Metabolism Clinical Domain Working Group . Amino Acid and Fatty Acid Working Groups.")</f>
        <v>Inborn Errors of Metabolism Clinical Domain Working Group . Amino Acid and Fatty Acid Working Groups.</v>
      </c>
      <c r="X63" s="92" t="str">
        <f ca="1">IFERROR(__xludf.DUMMYFUNCTION("QUERY('Volunteer Survey'!R68)"),"Yes- I am willing to volunteer with any available ClinGen group")</f>
        <v>Yes- I am willing to volunteer with any available ClinGen group</v>
      </c>
      <c r="Y63" s="94"/>
      <c r="Z63" s="62"/>
      <c r="AA63" s="79"/>
      <c r="AB63" s="79"/>
      <c r="AC63" s="79"/>
      <c r="AD63" s="79"/>
      <c r="AE63" s="79"/>
      <c r="AF63" s="79"/>
      <c r="AG63" s="79"/>
      <c r="AH63" s="79"/>
      <c r="AI63" s="79"/>
      <c r="AJ63" s="79"/>
      <c r="AK63" s="79"/>
      <c r="AL63" s="79"/>
      <c r="AM63" s="79"/>
      <c r="AN63" s="79"/>
      <c r="AO63" s="79"/>
    </row>
    <row r="64" spans="1:41" ht="14">
      <c r="A64" s="44">
        <f ca="1">IFERROR(__xludf.DUMMYFUNCTION("QUERY('Volunteer Survey'!A69)"),43349.4431712963)</f>
        <v>43349.443171296298</v>
      </c>
      <c r="B64" s="42" t="s">
        <v>168</v>
      </c>
      <c r="C64" s="81">
        <v>43439</v>
      </c>
      <c r="D64" s="49"/>
      <c r="E64" s="42" t="s">
        <v>130</v>
      </c>
      <c r="F64" s="42" t="s">
        <v>130</v>
      </c>
      <c r="G64" s="42" t="s">
        <v>251</v>
      </c>
      <c r="H64" s="47"/>
      <c r="I64" s="47"/>
      <c r="J64" s="49"/>
      <c r="K64" s="49"/>
      <c r="L64" s="49" t="str">
        <f ca="1">IFERROR(__xludf.DUMMYFUNCTION("QUERY('Volunteer Survey'!B69)"),"Samya Chakravorty")</f>
        <v>Samya Chakravorty</v>
      </c>
      <c r="M64" s="49" t="str">
        <f ca="1">IFERROR(__xludf.DUMMYFUNCTION("QUERY('Volunteer Survey'!E69)"),"samya.chakravorty@emory.edu")</f>
        <v>samya.chakravorty@emory.edu</v>
      </c>
      <c r="N64" s="49" t="str">
        <f ca="1">IFERROR(__xludf.DUMMYFUNCTION("QUERY('Volunteer Survey'!F69)"),"Post Doc/Resident/Fellow (MD and/or PhD)")</f>
        <v>Post Doc/Resident/Fellow (MD and/or PhD)</v>
      </c>
      <c r="O64" s="42" t="str">
        <f ca="1">IFERROR(__xludf.DUMMYFUNCTION("QUERY('Volunteer Survey'!H69)"),"Comprehensive")</f>
        <v>Comprehensive</v>
      </c>
      <c r="P64" s="49" t="str">
        <f ca="1">IFERROR(__xludf.DUMMYFUNCTION("QUERY('Volunteer Survey'!I69)"),"Variant Pathogenicity")</f>
        <v>Variant Pathogenicity</v>
      </c>
      <c r="Q64" s="54" t="str">
        <f ca="1">IFERROR(__xludf.DUMMYFUNCTION("QUERY('Volunteer Survey'!J69)"),"Gene-Disease Validity")</f>
        <v>Gene-Disease Validity</v>
      </c>
      <c r="R64" s="49" t="str">
        <f ca="1">IFERROR(__xludf.DUMMYFUNCTION("QUERY('Volunteer Survey'!K69)"),"Dosage Sensitivity")</f>
        <v>Dosage Sensitivity</v>
      </c>
      <c r="S64" s="49" t="str">
        <f ca="1">IFERROR(__xludf.DUMMYFUNCTION("QUERY('Volunteer Survey'!L69)"),"Somatic Cancer")</f>
        <v>Somatic Cancer</v>
      </c>
      <c r="T64" s="49" t="str">
        <f ca="1">IFERROR(__xludf.DUMMYFUNCTION("QUERY('Volunteer Survey'!M69)"),"Clinical Actionability")</f>
        <v>Clinical Actionability</v>
      </c>
      <c r="U64" s="58" t="str">
        <f ca="1">IFERROR(__xludf.DUMMYFUNCTION("QUERY('Volunteer Survey'!N69)"),"yes")</f>
        <v>yes</v>
      </c>
      <c r="V64" s="49" t="str">
        <f ca="1">IFERROR(__xludf.DUMMYFUNCTION("QUERY('Volunteer Survey'!O69)"),"Yes")</f>
        <v>Yes</v>
      </c>
      <c r="W64" s="60" t="str">
        <f ca="1">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58" t="str">
        <f ca="1">IFERROR(__xludf.DUMMYFUNCTION("QUERY('Volunteer Survey'!R69)"),"Maybe -- please contact me with other options, and I will decide based on what is available")</f>
        <v>Maybe -- please contact me with other options, and I will decide based on what is available</v>
      </c>
      <c r="Y64" s="47"/>
      <c r="Z64" s="62"/>
      <c r="AA64" s="49"/>
      <c r="AB64" s="49"/>
      <c r="AC64" s="49"/>
      <c r="AD64" s="49"/>
      <c r="AE64" s="49"/>
      <c r="AF64" s="49"/>
      <c r="AG64" s="49"/>
      <c r="AH64" s="49"/>
      <c r="AI64" s="49"/>
      <c r="AJ64" s="49"/>
      <c r="AK64" s="49"/>
      <c r="AL64" s="49"/>
      <c r="AM64" s="49"/>
      <c r="AN64" s="49"/>
      <c r="AO64" s="49"/>
    </row>
    <row r="65" spans="1:41" ht="14">
      <c r="A65" s="44">
        <f ca="1">IFERROR(__xludf.DUMMYFUNCTION("QUERY('Volunteer Survey'!A70)"),43362.4448379629)</f>
        <v>43362.444837962903</v>
      </c>
      <c r="B65" s="42" t="s">
        <v>168</v>
      </c>
      <c r="C65" s="81">
        <v>43439</v>
      </c>
      <c r="D65" s="49"/>
      <c r="E65" s="42" t="s">
        <v>130</v>
      </c>
      <c r="F65" s="42" t="s">
        <v>130</v>
      </c>
      <c r="G65" s="42" t="s">
        <v>251</v>
      </c>
      <c r="H65" s="47"/>
      <c r="I65" s="45" t="s">
        <v>139</v>
      </c>
      <c r="J65" s="49"/>
      <c r="K65" s="49"/>
      <c r="L65" s="49" t="str">
        <f ca="1">IFERROR(__xludf.DUMMYFUNCTION("QUERY('Volunteer Survey'!B70)"),"Marco Leung")</f>
        <v>Marco Leung</v>
      </c>
      <c r="M65" s="49" t="str">
        <f ca="1">IFERROR(__xludf.DUMMYFUNCTION("QUERY('Volunteer Survey'!E70)"),"leungm@email.chop.edu")</f>
        <v>leungm@email.chop.edu</v>
      </c>
      <c r="N65" s="49" t="str">
        <f ca="1">IFERROR(__xludf.DUMMYFUNCTION("QUERY('Volunteer Survey'!F70)"),"Clinical laboratory geneticist")</f>
        <v>Clinical laboratory geneticist</v>
      </c>
      <c r="O65" s="42" t="str">
        <f ca="1">IFERROR(__xludf.DUMMYFUNCTION("QUERY('Volunteer Survey'!H70)"),"Comprehensive")</f>
        <v>Comprehensive</v>
      </c>
      <c r="P65" s="49" t="str">
        <f ca="1">IFERROR(__xludf.DUMMYFUNCTION("QUERY('Volunteer Survey'!I70)"),"Variant Pathogenicity")</f>
        <v>Variant Pathogenicity</v>
      </c>
      <c r="Q65" s="54" t="str">
        <f ca="1">IFERROR(__xludf.DUMMYFUNCTION("QUERY('Volunteer Survey'!J70)"),"Gene-Disease Validity")</f>
        <v>Gene-Disease Validity</v>
      </c>
      <c r="R65" s="49" t="str">
        <f ca="1">IFERROR(__xludf.DUMMYFUNCTION("QUERY('Volunteer Survey'!K70)"),"Dosage Sensitivity")</f>
        <v>Dosage Sensitivity</v>
      </c>
      <c r="S65" s="49" t="str">
        <f ca="1">IFERROR(__xludf.DUMMYFUNCTION("QUERY('Volunteer Survey'!L70)"),"Clinical Actionability")</f>
        <v>Clinical Actionability</v>
      </c>
      <c r="T65" s="49" t="str">
        <f ca="1">IFERROR(__xludf.DUMMYFUNCTION("QUERY('Volunteer Survey'!M70)"),"Somatic Cancer")</f>
        <v>Somatic Cancer</v>
      </c>
      <c r="U65" s="58" t="str">
        <f ca="1">IFERROR(__xludf.DUMMYFUNCTION("QUERY('Volunteer Survey'!N70)"),"yes")</f>
        <v>yes</v>
      </c>
      <c r="V65" s="49" t="str">
        <f ca="1">IFERROR(__xludf.DUMMYFUNCTION("QUERY('Volunteer Survey'!O70)"),"Yes")</f>
        <v>Yes</v>
      </c>
      <c r="W65" s="60" t="str">
        <f ca="1">IFERROR(__xludf.DUMMYFUNCTION("QUERY('Volunteer Survey'!P70)"),"Hereditary cancers; neurodevelopmental disorders; polivy making")</f>
        <v>Hereditary cancers; neurodevelopmental disorders; polivy making</v>
      </c>
      <c r="X65" s="58" t="str">
        <f ca="1">IFERROR(__xludf.DUMMYFUNCTION("QUERY('Volunteer Survey'!R70)"),"Yes- I am willing to volunteer with any available ClinGen group")</f>
        <v>Yes- I am willing to volunteer with any available ClinGen group</v>
      </c>
      <c r="Y65" s="47"/>
      <c r="Z65" s="62"/>
      <c r="AA65" s="49"/>
      <c r="AB65" s="49"/>
      <c r="AC65" s="49"/>
      <c r="AD65" s="49"/>
      <c r="AE65" s="49"/>
      <c r="AF65" s="49"/>
      <c r="AG65" s="49"/>
      <c r="AH65" s="49"/>
      <c r="AI65" s="49"/>
      <c r="AJ65" s="49"/>
      <c r="AK65" s="49"/>
      <c r="AL65" s="49"/>
      <c r="AM65" s="49"/>
      <c r="AN65" s="49"/>
      <c r="AO65" s="49"/>
    </row>
    <row r="66" spans="1:41" ht="14">
      <c r="A66" s="44">
        <f ca="1">IFERROR(__xludf.DUMMYFUNCTION("QUERY('Volunteer Survey'!A71)"),43364.4461458333)</f>
        <v>43364.446145833303</v>
      </c>
      <c r="B66" s="42" t="s">
        <v>168</v>
      </c>
      <c r="C66" s="81">
        <v>43439</v>
      </c>
      <c r="D66" s="49"/>
      <c r="E66" s="42" t="s">
        <v>130</v>
      </c>
      <c r="F66" s="42" t="s">
        <v>130</v>
      </c>
      <c r="G66" s="42" t="s">
        <v>251</v>
      </c>
      <c r="H66" s="47"/>
      <c r="I66" s="45" t="s">
        <v>139</v>
      </c>
      <c r="J66" s="49"/>
      <c r="K66" s="49"/>
      <c r="L66" s="49" t="str">
        <f ca="1">IFERROR(__xludf.DUMMYFUNCTION("QUERY('Volunteer Survey'!B71)"),"Emily Groopman")</f>
        <v>Emily Groopman</v>
      </c>
      <c r="M66" s="49" t="str">
        <f ca="1">IFERROR(__xludf.DUMMYFUNCTION("QUERY('Volunteer Survey'!E71)"),"ee.groopman@gmail.com")</f>
        <v>ee.groopman@gmail.com</v>
      </c>
      <c r="N66" s="49" t="str">
        <f ca="1">IFERROR(__xludf.DUMMYFUNCTION("QUERY('Volunteer Survey'!F71)"),"Post Doc/Resident/Fellow (MD and/or PhD)")</f>
        <v>Post Doc/Resident/Fellow (MD and/or PhD)</v>
      </c>
      <c r="O66" s="42" t="str">
        <f ca="1">IFERROR(__xludf.DUMMYFUNCTION("QUERY('Volunteer Survey'!H71)"),"Comprehensive")</f>
        <v>Comprehensive</v>
      </c>
      <c r="P66" s="49" t="str">
        <f ca="1">IFERROR(__xludf.DUMMYFUNCTION("QUERY('Volunteer Survey'!I71)"),"Variant Pathogenicity")</f>
        <v>Variant Pathogenicity</v>
      </c>
      <c r="Q66" s="54" t="str">
        <f ca="1">IFERROR(__xludf.DUMMYFUNCTION("QUERY('Volunteer Survey'!J71)"),"Gene-Disease Validity")</f>
        <v>Gene-Disease Validity</v>
      </c>
      <c r="R66" s="49" t="str">
        <f ca="1">IFERROR(__xludf.DUMMYFUNCTION("QUERY('Volunteer Survey'!K71)"),"Dosage Sensitivity")</f>
        <v>Dosage Sensitivity</v>
      </c>
      <c r="S66" s="49" t="str">
        <f ca="1">IFERROR(__xludf.DUMMYFUNCTION("QUERY('Volunteer Survey'!L71)"),"Clinical Actionability")</f>
        <v>Clinical Actionability</v>
      </c>
      <c r="T66" s="49" t="str">
        <f ca="1">IFERROR(__xludf.DUMMYFUNCTION("QUERY('Volunteer Survey'!M71)"),"Somatic Cancer")</f>
        <v>Somatic Cancer</v>
      </c>
      <c r="U66" s="58" t="str">
        <f ca="1">IFERROR(__xludf.DUMMYFUNCTION("QUERY('Volunteer Survey'!N71)"),"yes")</f>
        <v>yes</v>
      </c>
      <c r="V66" s="49" t="str">
        <f ca="1">IFERROR(__xludf.DUMMYFUNCTION("QUERY('Volunteer Survey'!O71)"),"Yes")</f>
        <v>Yes</v>
      </c>
      <c r="W66" s="60" t="str">
        <f ca="1">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58" t="str">
        <f ca="1">IFERROR(__xludf.DUMMYFUNCTION("QUERY('Volunteer Survey'!R71)"),"Yes- I am willing to volunteer with any available ClinGen group")</f>
        <v>Yes- I am willing to volunteer with any available ClinGen group</v>
      </c>
      <c r="Y66" s="47"/>
      <c r="Z66" s="62"/>
      <c r="AA66" s="49"/>
      <c r="AB66" s="49"/>
      <c r="AC66" s="49"/>
      <c r="AD66" s="49"/>
      <c r="AE66" s="49"/>
      <c r="AF66" s="49"/>
      <c r="AG66" s="49"/>
      <c r="AH66" s="49"/>
      <c r="AI66" s="49"/>
      <c r="AJ66" s="49"/>
      <c r="AK66" s="49"/>
      <c r="AL66" s="49"/>
      <c r="AM66" s="49"/>
      <c r="AN66" s="49"/>
      <c r="AO66" s="49"/>
    </row>
    <row r="67" spans="1:41" ht="14">
      <c r="A67" s="44">
        <f ca="1">IFERROR(__xludf.DUMMYFUNCTION("QUERY('Volunteer Survey'!A72)"),43369.4483449074)</f>
        <v>43369.448344907403</v>
      </c>
      <c r="B67" s="42" t="s">
        <v>160</v>
      </c>
      <c r="C67" s="81">
        <v>43439</v>
      </c>
      <c r="D67" s="59">
        <v>43608</v>
      </c>
      <c r="E67" s="42" t="s">
        <v>117</v>
      </c>
      <c r="F67" s="42" t="s">
        <v>117</v>
      </c>
      <c r="G67" s="42" t="s">
        <v>251</v>
      </c>
      <c r="H67" s="45" t="s">
        <v>302</v>
      </c>
      <c r="I67" s="45" t="s">
        <v>139</v>
      </c>
      <c r="J67" s="50">
        <v>43712</v>
      </c>
      <c r="K67" s="50"/>
      <c r="L67" s="49" t="str">
        <f ca="1">IFERROR(__xludf.DUMMYFUNCTION("QUERY('Volunteer Survey'!B72)"),"Rhonda Lassiter ")</f>
        <v xml:space="preserve">Rhonda Lassiter </v>
      </c>
      <c r="M67" s="49" t="str">
        <f ca="1">IFERROR(__xludf.DUMMYFUNCTION("QUERY('Volunteer Survey'!E72)"),"rlassiter@ambrygen.com")</f>
        <v>rlassiter@ambrygen.com</v>
      </c>
      <c r="N67" s="49" t="str">
        <f ca="1">IFERROR(__xludf.DUMMYFUNCTION("QUERY('Volunteer Survey'!F72)"),"Variant Analyst/Scientist")</f>
        <v>Variant Analyst/Scientist</v>
      </c>
      <c r="O67" s="42" t="str">
        <f ca="1">IFERROR(__xludf.DUMMYFUNCTION("QUERY('Volunteer Survey'!H72)"),"Comprehensive")</f>
        <v>Comprehensive</v>
      </c>
      <c r="P67" s="49" t="str">
        <f ca="1">IFERROR(__xludf.DUMMYFUNCTION("QUERY('Volunteer Survey'!I72)"),"Variant Pathogenicity")</f>
        <v>Variant Pathogenicity</v>
      </c>
      <c r="Q67" s="95" t="str">
        <f ca="1">IFERROR(__xludf.DUMMYFUNCTION("QUERY('Volunteer Survey'!J72)"),"Gene-Disease Validity")</f>
        <v>Gene-Disease Validity</v>
      </c>
      <c r="R67" s="49" t="str">
        <f ca="1">IFERROR(__xludf.DUMMYFUNCTION("QUERY('Volunteer Survey'!K72)"),"Dosage Sensitivity")</f>
        <v>Dosage Sensitivity</v>
      </c>
      <c r="S67" s="49" t="str">
        <f ca="1">IFERROR(__xludf.DUMMYFUNCTION("QUERY('Volunteer Survey'!L72)"),"Clinical Actionability")</f>
        <v>Clinical Actionability</v>
      </c>
      <c r="T67" s="49" t="str">
        <f ca="1">IFERROR(__xludf.DUMMYFUNCTION("QUERY('Volunteer Survey'!M72)"),"Somatic Cancer")</f>
        <v>Somatic Cancer</v>
      </c>
      <c r="U67" s="58" t="str">
        <f ca="1">IFERROR(__xludf.DUMMYFUNCTION("QUERY('Volunteer Survey'!N72)"),"yes")</f>
        <v>yes</v>
      </c>
      <c r="V67" s="49" t="str">
        <f ca="1">IFERROR(__xludf.DUMMYFUNCTION("QUERY('Volunteer Survey'!O72)"),"Yes")</f>
        <v>Yes</v>
      </c>
      <c r="W67" s="96" t="str">
        <f ca="1">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58" t="str">
        <f ca="1">IFERROR(__xludf.DUMMYFUNCTION("QUERY('Volunteer Survey'!R72)"),"Yes- I am willing to volunteer with any available ClinGen group")</f>
        <v>Yes- I am willing to volunteer with any available ClinGen group</v>
      </c>
      <c r="Y67" s="47"/>
      <c r="Z67" s="62"/>
      <c r="AA67" s="49"/>
      <c r="AB67" s="49"/>
      <c r="AC67" s="49"/>
      <c r="AD67" s="49"/>
      <c r="AE67" s="49"/>
      <c r="AF67" s="49"/>
      <c r="AG67" s="49"/>
      <c r="AH67" s="49"/>
      <c r="AI67" s="49"/>
      <c r="AJ67" s="49"/>
      <c r="AK67" s="49"/>
      <c r="AL67" s="49"/>
      <c r="AM67" s="49"/>
      <c r="AN67" s="49"/>
      <c r="AO67" s="49"/>
    </row>
    <row r="68" spans="1:41" ht="14">
      <c r="A68" s="44">
        <f ca="1">IFERROR(__xludf.DUMMYFUNCTION("QUERY('Volunteer Survey'!A74)"),43389.4523379629)</f>
        <v>43389.452337962903</v>
      </c>
      <c r="B68" s="42" t="s">
        <v>108</v>
      </c>
      <c r="C68" s="81">
        <v>43439</v>
      </c>
      <c r="D68" s="59">
        <v>43608</v>
      </c>
      <c r="E68" s="42" t="s">
        <v>117</v>
      </c>
      <c r="F68" s="42" t="s">
        <v>117</v>
      </c>
      <c r="G68" s="42" t="s">
        <v>251</v>
      </c>
      <c r="H68" s="45" t="s">
        <v>303</v>
      </c>
      <c r="I68" s="45" t="s">
        <v>299</v>
      </c>
      <c r="J68" s="50">
        <v>43712</v>
      </c>
      <c r="K68" s="50"/>
      <c r="L68" s="49" t="str">
        <f ca="1">IFERROR(__xludf.DUMMYFUNCTION("QUERY('Volunteer Survey'!B74)"),"Emma Reble ")</f>
        <v xml:space="preserve">Emma Reble </v>
      </c>
      <c r="M68" s="49" t="str">
        <f ca="1">IFERROR(__xludf.DUMMYFUNCTION("QUERY('Volunteer Survey'!E74)"),"reblee@smh.ca")</f>
        <v>reblee@smh.ca</v>
      </c>
      <c r="N68" s="49" t="str">
        <f ca="1">IFERROR(__xludf.DUMMYFUNCTION("QUERY('Volunteer Survey'!F74)"),"Variant Analyst/Scientist")</f>
        <v>Variant Analyst/Scientist</v>
      </c>
      <c r="O68" s="42" t="str">
        <f ca="1">IFERROR(__xludf.DUMMYFUNCTION("QUERY('Volunteer Survey'!H74)"),"Comprehensive")</f>
        <v>Comprehensive</v>
      </c>
      <c r="P68" s="49" t="str">
        <f ca="1">IFERROR(__xludf.DUMMYFUNCTION("QUERY('Volunteer Survey'!I74)"),"Variant Pathogenicity")</f>
        <v>Variant Pathogenicity</v>
      </c>
      <c r="Q68" s="54" t="str">
        <f ca="1">IFERROR(__xludf.DUMMYFUNCTION("QUERY('Volunteer Survey'!J74)"),"Gene-Disease Validity")</f>
        <v>Gene-Disease Validity</v>
      </c>
      <c r="R68" s="49" t="str">
        <f ca="1">IFERROR(__xludf.DUMMYFUNCTION("QUERY('Volunteer Survey'!K74)"),"Clinical Actionability")</f>
        <v>Clinical Actionability</v>
      </c>
      <c r="S68" s="49" t="str">
        <f ca="1">IFERROR(__xludf.DUMMYFUNCTION("QUERY('Volunteer Survey'!L74)"),"Dosage Sensitivity")</f>
        <v>Dosage Sensitivity</v>
      </c>
      <c r="T68" s="49" t="str">
        <f ca="1">IFERROR(__xludf.DUMMYFUNCTION("QUERY('Volunteer Survey'!M74)"),"Somatic Cancer")</f>
        <v>Somatic Cancer</v>
      </c>
      <c r="U68" s="58" t="str">
        <f ca="1">IFERROR(__xludf.DUMMYFUNCTION("QUERY('Volunteer Survey'!N74)"),"yes")</f>
        <v>yes</v>
      </c>
      <c r="V68" s="49" t="str">
        <f ca="1">IFERROR(__xludf.DUMMYFUNCTION("QUERY('Volunteer Survey'!O74)"),"Yes")</f>
        <v>Yes</v>
      </c>
      <c r="W68" s="60" t="str">
        <f ca="1">IFERROR(__xludf.DUMMYFUNCTION("QUERY('Volunteer Survey'!P74)"),"I am interest in the neurodevelopmental disorder CDWG, particularly the Autism and ID group.")</f>
        <v>I am interest in the neurodevelopmental disorder CDWG, particularly the Autism and ID group.</v>
      </c>
      <c r="X68" s="58" t="str">
        <f ca="1">IFERROR(__xludf.DUMMYFUNCTION("QUERY('Volunteer Survey'!R74)"),"Maybe -- please contact me with other options, and I will decide based on what is available")</f>
        <v>Maybe -- please contact me with other options, and I will decide based on what is available</v>
      </c>
      <c r="Y68" s="47"/>
      <c r="Z68" s="62"/>
      <c r="AA68" s="49"/>
      <c r="AB68" s="49"/>
      <c r="AC68" s="49"/>
      <c r="AD68" s="49"/>
      <c r="AE68" s="49"/>
      <c r="AF68" s="49"/>
      <c r="AG68" s="49"/>
      <c r="AH68" s="49"/>
      <c r="AI68" s="49"/>
      <c r="AJ68" s="49"/>
      <c r="AK68" s="49"/>
      <c r="AL68" s="49"/>
      <c r="AM68" s="49"/>
      <c r="AN68" s="49"/>
      <c r="AO68" s="49"/>
    </row>
    <row r="69" spans="1:41" ht="14">
      <c r="A69" s="44">
        <f ca="1">IFERROR(__xludf.DUMMYFUNCTION("QUERY('Volunteer Survey'!A75)"),43373.450949074)</f>
        <v>43373.450949074002</v>
      </c>
      <c r="B69" s="42" t="s">
        <v>168</v>
      </c>
      <c r="C69" s="81">
        <v>43439</v>
      </c>
      <c r="D69" s="59"/>
      <c r="E69" s="42" t="s">
        <v>130</v>
      </c>
      <c r="F69" s="42" t="s">
        <v>130</v>
      </c>
      <c r="G69" s="42" t="s">
        <v>251</v>
      </c>
      <c r="H69" s="47"/>
      <c r="I69" s="45" t="s">
        <v>139</v>
      </c>
      <c r="J69" s="49"/>
      <c r="K69" s="49"/>
      <c r="L69" s="49" t="str">
        <f ca="1">IFERROR(__xludf.DUMMYFUNCTION("QUERY('Volunteer Survey'!B75)"),"Bryony Thompson")</f>
        <v>Bryony Thompson</v>
      </c>
      <c r="M69" s="49" t="str">
        <f ca="1">IFERROR(__xludf.DUMMYFUNCTION("QUERY('Volunteer Survey'!E75)"),"Bryony.Thompson@mh.org.au")</f>
        <v>Bryony.Thompson@mh.org.au</v>
      </c>
      <c r="N69" s="49" t="str">
        <f ca="1">IFERROR(__xludf.DUMMYFUNCTION("QUERY('Volunteer Survey'!F75)"),"Post Doc/Resident/Fellow (MD and/or PhD)")</f>
        <v>Post Doc/Resident/Fellow (MD and/or PhD)</v>
      </c>
      <c r="O69" s="42" t="str">
        <f ca="1">IFERROR(__xludf.DUMMYFUNCTION("QUERY('Volunteer Survey'!H75)"),"Comprehensive")</f>
        <v>Comprehensive</v>
      </c>
      <c r="P69" s="49" t="str">
        <f ca="1">IFERROR(__xludf.DUMMYFUNCTION("QUERY('Volunteer Survey'!I75)"),"Variant Pathogenicity")</f>
        <v>Variant Pathogenicity</v>
      </c>
      <c r="Q69" s="54" t="str">
        <f ca="1">IFERROR(__xludf.DUMMYFUNCTION("QUERY('Volunteer Survey'!J75)"),"")</f>
        <v/>
      </c>
      <c r="R69" s="49" t="str">
        <f ca="1">IFERROR(__xludf.DUMMYFUNCTION("QUERY('Volunteer Survey'!K75)"),"")</f>
        <v/>
      </c>
      <c r="S69" s="49" t="str">
        <f ca="1">IFERROR(__xludf.DUMMYFUNCTION("QUERY('Volunteer Survey'!L75)"),"")</f>
        <v/>
      </c>
      <c r="T69" s="49" t="str">
        <f ca="1">IFERROR(__xludf.DUMMYFUNCTION("QUERY('Volunteer Survey'!M75)"),"")</f>
        <v/>
      </c>
      <c r="U69" s="58" t="str">
        <f ca="1">IFERROR(__xludf.DUMMYFUNCTION("QUERY('Volunteer Survey'!N75)"),"yes")</f>
        <v>yes</v>
      </c>
      <c r="V69" s="49" t="str">
        <f ca="1">IFERROR(__xludf.DUMMYFUNCTION("QUERY('Volunteer Survey'!O75)"),"No")</f>
        <v>No</v>
      </c>
      <c r="W69" s="60" t="str">
        <f ca="1">IFERROR(__xludf.DUMMYFUNCTION("QUERY('Volunteer Survey'!P75)"),"CDH1 Variant Curation Expert Panel")</f>
        <v>CDH1 Variant Curation Expert Panel</v>
      </c>
      <c r="X69" s="58" t="str">
        <f ca="1">IFERROR(__xludf.DUMMYFUNCTION("QUERY('Volunteer Survey'!R75)"),"No - I am only interested in the group(s) I previously indicated")</f>
        <v>No - I am only interested in the group(s) I previously indicated</v>
      </c>
      <c r="Y69" s="47"/>
      <c r="Z69" s="62"/>
      <c r="AA69" s="49"/>
      <c r="AB69" s="49"/>
      <c r="AC69" s="49"/>
      <c r="AD69" s="49"/>
      <c r="AE69" s="49"/>
      <c r="AF69" s="49"/>
      <c r="AG69" s="49"/>
      <c r="AH69" s="49"/>
      <c r="AI69" s="49"/>
      <c r="AJ69" s="49"/>
      <c r="AK69" s="49"/>
      <c r="AL69" s="49"/>
      <c r="AM69" s="49"/>
      <c r="AN69" s="49"/>
      <c r="AO69" s="49"/>
    </row>
    <row r="70" spans="1:41" ht="28">
      <c r="A70" s="44">
        <f ca="1">IFERROR(__xludf.DUMMYFUNCTION("QUERY('Volunteer Survey'!A76)"),43395.4551967592)</f>
        <v>43395.455196759198</v>
      </c>
      <c r="B70" s="42" t="s">
        <v>160</v>
      </c>
      <c r="C70" s="81">
        <v>43439</v>
      </c>
      <c r="D70" s="59">
        <v>43608</v>
      </c>
      <c r="E70" s="42" t="s">
        <v>117</v>
      </c>
      <c r="F70" s="42" t="s">
        <v>117</v>
      </c>
      <c r="G70" s="42" t="s">
        <v>251</v>
      </c>
      <c r="H70" s="45" t="s">
        <v>304</v>
      </c>
      <c r="I70" s="45" t="s">
        <v>139</v>
      </c>
      <c r="J70" s="50">
        <v>43712</v>
      </c>
      <c r="K70" s="50"/>
      <c r="L70" s="49" t="str">
        <f ca="1">IFERROR(__xludf.DUMMYFUNCTION("QUERY('Volunteer Survey'!B76)"),"Qiliang Ding")</f>
        <v>Qiliang Ding</v>
      </c>
      <c r="M70" s="49" t="str">
        <f ca="1">IFERROR(__xludf.DUMMYFUNCTION("QUERY('Volunteer Survey'!E76)"),"qd29@cornell.edu")</f>
        <v>qd29@cornell.edu</v>
      </c>
      <c r="N70" s="49" t="str">
        <f ca="1">IFERROR(__xludf.DUMMYFUNCTION("QUERY('Volunteer Survey'!F76)"),"Graduate Student")</f>
        <v>Graduate Student</v>
      </c>
      <c r="O70" s="42" t="str">
        <f ca="1">IFERROR(__xludf.DUMMYFUNCTION("QUERY('Volunteer Survey'!H76)"),"Comprehensive")</f>
        <v>Comprehensive</v>
      </c>
      <c r="P70" s="49" t="str">
        <f ca="1">IFERROR(__xludf.DUMMYFUNCTION("QUERY('Volunteer Survey'!I76)"),"Variant Pathogenicity")</f>
        <v>Variant Pathogenicity</v>
      </c>
      <c r="Q70" s="54" t="str">
        <f ca="1">IFERROR(__xludf.DUMMYFUNCTION("QUERY('Volunteer Survey'!J76)"),"Somatic Cancer")</f>
        <v>Somatic Cancer</v>
      </c>
      <c r="R70" s="49" t="str">
        <f ca="1">IFERROR(__xludf.DUMMYFUNCTION("QUERY('Volunteer Survey'!K76)"),"Gene-Disease Validity")</f>
        <v>Gene-Disease Validity</v>
      </c>
      <c r="S70" s="49" t="str">
        <f ca="1">IFERROR(__xludf.DUMMYFUNCTION("QUERY('Volunteer Survey'!L76)"),"Clinical Actionability")</f>
        <v>Clinical Actionability</v>
      </c>
      <c r="T70" s="49" t="str">
        <f ca="1">IFERROR(__xludf.DUMMYFUNCTION("QUERY('Volunteer Survey'!M76)"),"Dosage Sensitivity")</f>
        <v>Dosage Sensitivity</v>
      </c>
      <c r="U70" s="58" t="str">
        <f ca="1">IFERROR(__xludf.DUMMYFUNCTION("QUERY('Volunteer Survey'!N76)"),"yes")</f>
        <v>yes</v>
      </c>
      <c r="V70" s="49" t="str">
        <f ca="1">IFERROR(__xludf.DUMMYFUNCTION("QUERY('Volunteer Survey'!O76)"),"Yes")</f>
        <v>Yes</v>
      </c>
      <c r="W70" s="60" t="str">
        <f ca="1">IFERROR(__xludf.DUMMYFUNCTION("QUERY('Volunteer Survey'!P76)"),"I am interested in all working groups.")</f>
        <v>I am interested in all working groups.</v>
      </c>
      <c r="X70" s="58" t="str">
        <f ca="1">IFERROR(__xludf.DUMMYFUNCTION("QUERY('Volunteer Survey'!R76)"),"Yes- I am willing to volunteer with any available ClinGen group")</f>
        <v>Yes- I am willing to volunteer with any available ClinGen group</v>
      </c>
      <c r="Y70" s="47"/>
      <c r="Z70" s="62"/>
      <c r="AA70" s="49"/>
      <c r="AB70" s="49"/>
      <c r="AC70" s="49"/>
      <c r="AD70" s="49"/>
      <c r="AE70" s="49"/>
      <c r="AF70" s="49"/>
      <c r="AG70" s="49"/>
      <c r="AH70" s="49"/>
      <c r="AI70" s="49"/>
      <c r="AJ70" s="49"/>
      <c r="AK70" s="49"/>
      <c r="AL70" s="49"/>
      <c r="AM70" s="49"/>
      <c r="AN70" s="49"/>
      <c r="AO70" s="49"/>
    </row>
    <row r="71" spans="1:41" ht="14">
      <c r="A71" s="44">
        <f ca="1">IFERROR(__xludf.DUMMYFUNCTION("QUERY('Volunteer Survey'!A77)"),43398.4593402777)</f>
        <v>43398.459340277703</v>
      </c>
      <c r="B71" s="42" t="s">
        <v>108</v>
      </c>
      <c r="C71" s="81">
        <v>43439</v>
      </c>
      <c r="D71" s="59">
        <v>43608</v>
      </c>
      <c r="E71" s="42" t="s">
        <v>117</v>
      </c>
      <c r="F71" s="42" t="s">
        <v>130</v>
      </c>
      <c r="G71" s="42" t="s">
        <v>251</v>
      </c>
      <c r="H71" s="47"/>
      <c r="I71" s="45" t="s">
        <v>139</v>
      </c>
      <c r="J71" s="49"/>
      <c r="K71" s="49"/>
      <c r="L71" s="49" t="str">
        <f ca="1">IFERROR(__xludf.DUMMYFUNCTION("QUERY('Volunteer Survey'!B77)"),"Amy Donahue")</f>
        <v>Amy Donahue</v>
      </c>
      <c r="M71" s="49" t="str">
        <f ca="1">IFERROR(__xludf.DUMMYFUNCTION("QUERY('Volunteer Survey'!E77)"),"adonahue@mcw.edu")</f>
        <v>adonahue@mcw.edu</v>
      </c>
      <c r="N71" s="49" t="str">
        <f ca="1">IFERROR(__xludf.DUMMYFUNCTION("QUERY('Volunteer Survey'!F77)"),"Genetic counselor")</f>
        <v>Genetic counselor</v>
      </c>
      <c r="O71" s="42" t="str">
        <f ca="1">IFERROR(__xludf.DUMMYFUNCTION("QUERY('Volunteer Survey'!H77)"),"Comprehensive")</f>
        <v>Comprehensive</v>
      </c>
      <c r="P71" s="49" t="str">
        <f ca="1">IFERROR(__xludf.DUMMYFUNCTION("QUERY('Volunteer Survey'!I77)"),"Variant Pathogenicity")</f>
        <v>Variant Pathogenicity</v>
      </c>
      <c r="Q71" s="54" t="str">
        <f ca="1">IFERROR(__xludf.DUMMYFUNCTION("QUERY('Volunteer Survey'!J77)"),"Gene-Disease Validity")</f>
        <v>Gene-Disease Validity</v>
      </c>
      <c r="R71" s="49" t="str">
        <f ca="1">IFERROR(__xludf.DUMMYFUNCTION("QUERY('Volunteer Survey'!K77)"),"Clinical Actionability")</f>
        <v>Clinical Actionability</v>
      </c>
      <c r="S71" s="49" t="str">
        <f ca="1">IFERROR(__xludf.DUMMYFUNCTION("QUERY('Volunteer Survey'!L77)"),"Dosage Sensitivity")</f>
        <v>Dosage Sensitivity</v>
      </c>
      <c r="T71" s="49" t="str">
        <f ca="1">IFERROR(__xludf.DUMMYFUNCTION("QUERY('Volunteer Survey'!M77)"),"Somatic Cancer")</f>
        <v>Somatic Cancer</v>
      </c>
      <c r="U71" s="58" t="str">
        <f ca="1">IFERROR(__xludf.DUMMYFUNCTION("QUERY('Volunteer Survey'!N77)"),"yes")</f>
        <v>yes</v>
      </c>
      <c r="V71" s="49" t="str">
        <f ca="1">IFERROR(__xludf.DUMMYFUNCTION("QUERY('Volunteer Survey'!O77)"),"Possibly")</f>
        <v>Possibly</v>
      </c>
      <c r="W71" s="60" t="str">
        <f ca="1">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58" t="str">
        <f ca="1">IFERROR(__xludf.DUMMYFUNCTION("QUERY('Volunteer Survey'!R77)"),"Maybe -- please contact me with other options, and I will decide based on what is available")</f>
        <v>Maybe -- please contact me with other options, and I will decide based on what is available</v>
      </c>
      <c r="Y71" s="45" t="s">
        <v>329</v>
      </c>
      <c r="Z71" s="62"/>
      <c r="AA71" s="49"/>
      <c r="AB71" s="49"/>
      <c r="AC71" s="49"/>
      <c r="AD71" s="49"/>
      <c r="AE71" s="49"/>
      <c r="AF71" s="49"/>
      <c r="AG71" s="49"/>
      <c r="AH71" s="49"/>
      <c r="AI71" s="49"/>
      <c r="AJ71" s="49"/>
      <c r="AK71" s="49"/>
      <c r="AL71" s="49"/>
      <c r="AM71" s="49"/>
      <c r="AN71" s="49"/>
      <c r="AO71" s="49"/>
    </row>
    <row r="72" spans="1:41" ht="14">
      <c r="A72" s="44">
        <f ca="1">IFERROR(__xludf.DUMMYFUNCTION("QUERY('Volunteer Survey'!A78)"),43409.4609143518)</f>
        <v>43409.460914351803</v>
      </c>
      <c r="B72" s="42" t="s">
        <v>160</v>
      </c>
      <c r="C72" s="81">
        <v>43109</v>
      </c>
      <c r="D72" s="59">
        <v>43605</v>
      </c>
      <c r="E72" s="42" t="s">
        <v>117</v>
      </c>
      <c r="F72" s="42" t="s">
        <v>117</v>
      </c>
      <c r="G72" s="42" t="s">
        <v>251</v>
      </c>
      <c r="H72" s="45" t="s">
        <v>303</v>
      </c>
      <c r="I72" s="45" t="s">
        <v>139</v>
      </c>
      <c r="J72" s="50">
        <v>43712</v>
      </c>
      <c r="K72" s="50"/>
      <c r="L72" s="49" t="str">
        <f ca="1">IFERROR(__xludf.DUMMYFUNCTION("QUERY('Volunteer Survey'!B78)"),"Dave Ferguson")</f>
        <v>Dave Ferguson</v>
      </c>
      <c r="M72" s="49" t="str">
        <f ca="1">IFERROR(__xludf.DUMMYFUNCTION("QUERY('Volunteer Survey'!E78)"),"dferguso@uci.edu")</f>
        <v>dferguso@uci.edu</v>
      </c>
      <c r="N72" s="49" t="str">
        <f ca="1">IFERROR(__xludf.DUMMYFUNCTION("QUERY('Volunteer Survey'!F78)"),"Scientific Researcher")</f>
        <v>Scientific Researcher</v>
      </c>
      <c r="O72" s="42" t="str">
        <f ca="1">IFERROR(__xludf.DUMMYFUNCTION("QUERY('Volunteer Survey'!H78)"),"Comprehensive")</f>
        <v>Comprehensive</v>
      </c>
      <c r="P72" s="49" t="str">
        <f ca="1">IFERROR(__xludf.DUMMYFUNCTION("QUERY('Volunteer Survey'!I78)"),"Variant Pathogenicity")</f>
        <v>Variant Pathogenicity</v>
      </c>
      <c r="Q72" s="54" t="str">
        <f ca="1">IFERROR(__xludf.DUMMYFUNCTION("QUERY('Volunteer Survey'!J78)"),"Clinical Actionability")</f>
        <v>Clinical Actionability</v>
      </c>
      <c r="R72" s="49" t="str">
        <f ca="1">IFERROR(__xludf.DUMMYFUNCTION("QUERY('Volunteer Survey'!K78)"),"Gene-Disease Validity")</f>
        <v>Gene-Disease Validity</v>
      </c>
      <c r="S72" s="49" t="str">
        <f ca="1">IFERROR(__xludf.DUMMYFUNCTION("QUERY('Volunteer Survey'!L78)"),"Dosage Sensitivity")</f>
        <v>Dosage Sensitivity</v>
      </c>
      <c r="T72" s="49" t="str">
        <f ca="1">IFERROR(__xludf.DUMMYFUNCTION("QUERY('Volunteer Survey'!M78)"),"Somatic Cancer")</f>
        <v>Somatic Cancer</v>
      </c>
      <c r="U72" s="58" t="str">
        <f ca="1">IFERROR(__xludf.DUMMYFUNCTION("QUERY('Volunteer Survey'!N78)"),"No")</f>
        <v>No</v>
      </c>
      <c r="V72" s="49" t="str">
        <f ca="1">IFERROR(__xludf.DUMMYFUNCTION("QUERY('Volunteer Survey'!O78)"),"Yes")</f>
        <v>Yes</v>
      </c>
      <c r="W72" s="60" t="str">
        <f ca="1">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58" t="str">
        <f ca="1">IFERROR(__xludf.DUMMYFUNCTION("QUERY('Volunteer Survey'!R78)"),"Yes- I am willing to volunteer with any available ClinGen group")</f>
        <v>Yes- I am willing to volunteer with any available ClinGen group</v>
      </c>
      <c r="Y72" s="47"/>
      <c r="Z72" s="62"/>
      <c r="AA72" s="49"/>
      <c r="AB72" s="49"/>
      <c r="AC72" s="49"/>
      <c r="AD72" s="49"/>
      <c r="AE72" s="49"/>
      <c r="AF72" s="49"/>
      <c r="AG72" s="49"/>
      <c r="AH72" s="49"/>
      <c r="AI72" s="49"/>
      <c r="AJ72" s="49"/>
      <c r="AK72" s="49"/>
      <c r="AL72" s="49"/>
      <c r="AM72" s="49"/>
      <c r="AN72" s="49"/>
      <c r="AO72" s="49"/>
    </row>
    <row r="73" spans="1:41" ht="14">
      <c r="A73" s="44">
        <f ca="1">IFERROR(__xludf.DUMMYFUNCTION("QUERY('Volunteer Survey'!A79)"),43413.4621412037)</f>
        <v>43413.462141203701</v>
      </c>
      <c r="B73" s="42" t="s">
        <v>168</v>
      </c>
      <c r="C73" s="81">
        <v>43109</v>
      </c>
      <c r="D73" s="49"/>
      <c r="E73" s="42" t="s">
        <v>130</v>
      </c>
      <c r="F73" s="42" t="s">
        <v>130</v>
      </c>
      <c r="G73" s="42" t="s">
        <v>251</v>
      </c>
      <c r="H73" s="47"/>
      <c r="I73" s="45" t="s">
        <v>139</v>
      </c>
      <c r="J73" s="49"/>
      <c r="K73" s="49"/>
      <c r="L73" s="49" t="str">
        <f ca="1">IFERROR(__xludf.DUMMYFUNCTION("QUERY('Volunteer Survey'!B79)"),"Santhi Ramachandran")</f>
        <v>Santhi Ramachandran</v>
      </c>
      <c r="M73" s="49" t="str">
        <f ca="1">IFERROR(__xludf.DUMMYFUNCTION("QUERY('Volunteer Survey'!E79)"),"santhialways4u@gmail.com")</f>
        <v>santhialways4u@gmail.com</v>
      </c>
      <c r="N73" s="49" t="str">
        <f ca="1">IFERROR(__xludf.DUMMYFUNCTION("QUERY('Volunteer Survey'!F79)"),"Biocurator")</f>
        <v>Biocurator</v>
      </c>
      <c r="O73" s="42" t="str">
        <f ca="1">IFERROR(__xludf.DUMMYFUNCTION("QUERY('Volunteer Survey'!H79)"),"Comprehensive")</f>
        <v>Comprehensive</v>
      </c>
      <c r="P73" s="49" t="str">
        <f ca="1">IFERROR(__xludf.DUMMYFUNCTION("QUERY('Volunteer Survey'!I79)"),"Variant Pathogenicity")</f>
        <v>Variant Pathogenicity</v>
      </c>
      <c r="Q73" s="54" t="str">
        <f ca="1">IFERROR(__xludf.DUMMYFUNCTION("QUERY('Volunteer Survey'!J79)"),"Gene-Disease Validity")</f>
        <v>Gene-Disease Validity</v>
      </c>
      <c r="R73" s="49" t="str">
        <f ca="1">IFERROR(__xludf.DUMMYFUNCTION("QUERY('Volunteer Survey'!K79)"),"Clinical Actionability")</f>
        <v>Clinical Actionability</v>
      </c>
      <c r="S73" s="49" t="str">
        <f ca="1">IFERROR(__xludf.DUMMYFUNCTION("QUERY('Volunteer Survey'!L79)"),"Dosage Sensitivity")</f>
        <v>Dosage Sensitivity</v>
      </c>
      <c r="T73" s="49" t="str">
        <f ca="1">IFERROR(__xludf.DUMMYFUNCTION("QUERY('Volunteer Survey'!M79)"),"Somatic Cancer")</f>
        <v>Somatic Cancer</v>
      </c>
      <c r="U73" s="58" t="str">
        <f ca="1">IFERROR(__xludf.DUMMYFUNCTION("QUERY('Volunteer Survey'!N79)"),"yes")</f>
        <v>yes</v>
      </c>
      <c r="V73" s="49" t="str">
        <f ca="1">IFERROR(__xludf.DUMMYFUNCTION("QUERY('Volunteer Survey'!O79)"),"Possibly")</f>
        <v>Possibly</v>
      </c>
      <c r="W73" s="60" t="str">
        <f ca="1">IFERROR(__xludf.DUMMYFUNCTION("QUERY('Volunteer Survey'!P79)"),"I would like to work with variant curation expert panel or gene curation expert panel")</f>
        <v>I would like to work with variant curation expert panel or gene curation expert panel</v>
      </c>
      <c r="X73" s="58" t="str">
        <f ca="1">IFERROR(__xludf.DUMMYFUNCTION("QUERY('Volunteer Survey'!R79)"),"Yes- I am willing to volunteer with any available ClinGen group")</f>
        <v>Yes- I am willing to volunteer with any available ClinGen group</v>
      </c>
      <c r="Y73" s="47"/>
      <c r="Z73" s="62"/>
      <c r="AA73" s="49"/>
      <c r="AB73" s="49"/>
      <c r="AC73" s="49"/>
      <c r="AD73" s="49"/>
      <c r="AE73" s="49"/>
      <c r="AF73" s="49"/>
      <c r="AG73" s="49"/>
      <c r="AH73" s="49"/>
      <c r="AI73" s="49"/>
      <c r="AJ73" s="49"/>
      <c r="AK73" s="49"/>
      <c r="AL73" s="49"/>
      <c r="AM73" s="49"/>
      <c r="AN73" s="49"/>
      <c r="AO73" s="49"/>
    </row>
    <row r="74" spans="1:41" ht="14">
      <c r="A74" s="44">
        <f ca="1">IFERROR(__xludf.DUMMYFUNCTION("QUERY('Volunteer Survey'!A80)"),43413.4633564814)</f>
        <v>43413.463356481399</v>
      </c>
      <c r="B74" s="42" t="s">
        <v>168</v>
      </c>
      <c r="C74" s="81">
        <v>43439</v>
      </c>
      <c r="D74" s="49"/>
      <c r="E74" s="42" t="s">
        <v>130</v>
      </c>
      <c r="F74" s="42" t="s">
        <v>130</v>
      </c>
      <c r="G74" s="42" t="s">
        <v>251</v>
      </c>
      <c r="H74" s="47"/>
      <c r="I74" s="45" t="s">
        <v>139</v>
      </c>
      <c r="J74" s="49"/>
      <c r="K74" s="49"/>
      <c r="L74" s="49" t="str">
        <f ca="1">IFERROR(__xludf.DUMMYFUNCTION("QUERY('Volunteer Survey'!B80)"),"Megan Nathan")</f>
        <v>Megan Nathan</v>
      </c>
      <c r="M74" s="49" t="str">
        <f ca="1">IFERROR(__xludf.DUMMYFUNCTION("QUERY('Volunteer Survey'!E80)"),"mlnathan.genetics@gmail.com")</f>
        <v>mlnathan.genetics@gmail.com</v>
      </c>
      <c r="N74" s="49" t="str">
        <f ca="1">IFERROR(__xludf.DUMMYFUNCTION("QUERY('Volunteer Survey'!F80)"),"Genetic counselor")</f>
        <v>Genetic counselor</v>
      </c>
      <c r="O74" s="42" t="str">
        <f ca="1">IFERROR(__xludf.DUMMYFUNCTION("QUERY('Volunteer Survey'!H80)"),"Comprehensive")</f>
        <v>Comprehensive</v>
      </c>
      <c r="P74" s="49" t="str">
        <f ca="1">IFERROR(__xludf.DUMMYFUNCTION("QUERY('Volunteer Survey'!I80)"),"Variant Pathogenicity")</f>
        <v>Variant Pathogenicity</v>
      </c>
      <c r="Q74" s="54" t="str">
        <f ca="1">IFERROR(__xludf.DUMMYFUNCTION("QUERY('Volunteer Survey'!J80)"),"Somatic Cancer")</f>
        <v>Somatic Cancer</v>
      </c>
      <c r="R74" s="49" t="str">
        <f ca="1">IFERROR(__xludf.DUMMYFUNCTION("QUERY('Volunteer Survey'!K80)"),"Dosage Sensitivity")</f>
        <v>Dosage Sensitivity</v>
      </c>
      <c r="S74" s="49" t="str">
        <f ca="1">IFERROR(__xludf.DUMMYFUNCTION("QUERY('Volunteer Survey'!L80)"),"Gene-Disease Validity")</f>
        <v>Gene-Disease Validity</v>
      </c>
      <c r="T74" s="49" t="str">
        <f ca="1">IFERROR(__xludf.DUMMYFUNCTION("QUERY('Volunteer Survey'!M80)"),"Clinical Actionability")</f>
        <v>Clinical Actionability</v>
      </c>
      <c r="U74" s="58" t="str">
        <f ca="1">IFERROR(__xludf.DUMMYFUNCTION("QUERY('Volunteer Survey'!N80)"),"yes")</f>
        <v>yes</v>
      </c>
      <c r="V74" s="49" t="str">
        <f ca="1">IFERROR(__xludf.DUMMYFUNCTION("QUERY('Volunteer Survey'!O80)"),"")</f>
        <v/>
      </c>
      <c r="W74" s="60" t="str">
        <f ca="1">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58" t="str">
        <f ca="1">IFERROR(__xludf.DUMMYFUNCTION("QUERY('Volunteer Survey'!R80)"),"Maybe -- please contact me with other options, and I will decide based on what is available")</f>
        <v>Maybe -- please contact me with other options, and I will decide based on what is available</v>
      </c>
      <c r="Y74" s="47"/>
      <c r="Z74" s="62"/>
      <c r="AA74" s="49"/>
      <c r="AB74" s="49"/>
      <c r="AC74" s="49"/>
      <c r="AD74" s="49"/>
      <c r="AE74" s="49"/>
      <c r="AF74" s="49"/>
      <c r="AG74" s="49"/>
      <c r="AH74" s="49"/>
      <c r="AI74" s="49"/>
      <c r="AJ74" s="49"/>
      <c r="AK74" s="49"/>
      <c r="AL74" s="49"/>
      <c r="AM74" s="49"/>
      <c r="AN74" s="49"/>
      <c r="AO74" s="49"/>
    </row>
    <row r="75" spans="1:41" ht="56">
      <c r="A75" s="44">
        <f ca="1">IFERROR(__xludf.DUMMYFUNCTION("QUERY('Volunteer Survey'!A81)"),43416.4644560185)</f>
        <v>43416.464456018497</v>
      </c>
      <c r="B75" s="42" t="s">
        <v>168</v>
      </c>
      <c r="C75" s="45" t="s">
        <v>330</v>
      </c>
      <c r="D75" s="49"/>
      <c r="E75" s="42" t="s">
        <v>130</v>
      </c>
      <c r="F75" s="42" t="s">
        <v>130</v>
      </c>
      <c r="G75" s="42" t="s">
        <v>251</v>
      </c>
      <c r="H75" s="47"/>
      <c r="I75" s="45" t="s">
        <v>139</v>
      </c>
      <c r="J75" s="49"/>
      <c r="K75" s="49"/>
      <c r="L75" s="49" t="str">
        <f ca="1">IFERROR(__xludf.DUMMYFUNCTION("QUERY('Volunteer Survey'!B81)"),"Ellen Xu")</f>
        <v>Ellen Xu</v>
      </c>
      <c r="M75" s="49" t="str">
        <f ca="1">IFERROR(__xludf.DUMMYFUNCTION("QUERY('Volunteer Survey'!E81)"),"")</f>
        <v/>
      </c>
      <c r="N75" s="49" t="str">
        <f ca="1">IFERROR(__xludf.DUMMYFUNCTION("QUERY('Volunteer Survey'!F81)"),"Genetic counselor")</f>
        <v>Genetic counselor</v>
      </c>
      <c r="O75" s="42" t="str">
        <f ca="1">IFERROR(__xludf.DUMMYFUNCTION("QUERY('Volunteer Survey'!H81)"),"Comprehensive")</f>
        <v>Comprehensive</v>
      </c>
      <c r="P75" s="49" t="str">
        <f ca="1">IFERROR(__xludf.DUMMYFUNCTION("QUERY('Volunteer Survey'!I81)"),"Variant Pathogenicity")</f>
        <v>Variant Pathogenicity</v>
      </c>
      <c r="Q75" s="54" t="str">
        <f ca="1">IFERROR(__xludf.DUMMYFUNCTION("QUERY('Volunteer Survey'!J81)"),"Clinical Actionability")</f>
        <v>Clinical Actionability</v>
      </c>
      <c r="R75" s="49" t="str">
        <f ca="1">IFERROR(__xludf.DUMMYFUNCTION("QUERY('Volunteer Survey'!K81)"),"Gene-Disease Validity")</f>
        <v>Gene-Disease Validity</v>
      </c>
      <c r="S75" s="49" t="str">
        <f ca="1">IFERROR(__xludf.DUMMYFUNCTION("QUERY('Volunteer Survey'!L81)"),"Dosage Sensitivity")</f>
        <v>Dosage Sensitivity</v>
      </c>
      <c r="T75" s="49" t="str">
        <f ca="1">IFERROR(__xludf.DUMMYFUNCTION("QUERY('Volunteer Survey'!M81)"),"Somatic Cancer")</f>
        <v>Somatic Cancer</v>
      </c>
      <c r="U75" s="58" t="str">
        <f ca="1">IFERROR(__xludf.DUMMYFUNCTION("QUERY('Volunteer Survey'!N81)"),"yes")</f>
        <v>yes</v>
      </c>
      <c r="V75" s="49" t="str">
        <f ca="1">IFERROR(__xludf.DUMMYFUNCTION("QUERY('Volunteer Survey'!O81)"),"Possibly")</f>
        <v>Possibly</v>
      </c>
      <c r="W75" s="60" t="str">
        <f ca="1">IFERROR(__xludf.DUMMYFUNCTION("QUERY('Volunteer Survey'!P81)"),"Dosage sensitivity, hereditary cancer")</f>
        <v>Dosage sensitivity, hereditary cancer</v>
      </c>
      <c r="X75" s="58" t="str">
        <f ca="1">IFERROR(__xludf.DUMMYFUNCTION("QUERY('Volunteer Survey'!R81)"),"Yes- I am willing to volunteer with any available ClinGen group")</f>
        <v>Yes- I am willing to volunteer with any available ClinGen group</v>
      </c>
      <c r="Y75" s="97" t="s">
        <v>331</v>
      </c>
      <c r="Z75" s="62"/>
      <c r="AA75" s="49"/>
      <c r="AB75" s="49"/>
      <c r="AC75" s="49"/>
      <c r="AD75" s="49"/>
      <c r="AE75" s="49"/>
      <c r="AF75" s="49"/>
      <c r="AG75" s="49"/>
      <c r="AH75" s="49"/>
      <c r="AI75" s="49"/>
      <c r="AJ75" s="49"/>
      <c r="AK75" s="49"/>
      <c r="AL75" s="49"/>
      <c r="AM75" s="49"/>
      <c r="AN75" s="49"/>
      <c r="AO75" s="49"/>
    </row>
    <row r="76" spans="1:41" ht="14">
      <c r="A76" s="44">
        <f ca="1">IFERROR(__xludf.DUMMYFUNCTION("QUERY('Volunteer Survey'!A82)"),43418.4655555555)</f>
        <v>43418.4655555555</v>
      </c>
      <c r="B76" s="42" t="s">
        <v>160</v>
      </c>
      <c r="C76" s="81">
        <v>43109</v>
      </c>
      <c r="D76" s="59">
        <v>43608</v>
      </c>
      <c r="E76" s="42" t="s">
        <v>117</v>
      </c>
      <c r="F76" s="42" t="s">
        <v>117</v>
      </c>
      <c r="G76" s="42" t="s">
        <v>251</v>
      </c>
      <c r="H76" s="45" t="s">
        <v>305</v>
      </c>
      <c r="I76" s="45" t="s">
        <v>139</v>
      </c>
      <c r="J76" s="50">
        <v>43712</v>
      </c>
      <c r="K76" s="50"/>
      <c r="L76" s="49" t="str">
        <f ca="1">IFERROR(__xludf.DUMMYFUNCTION("QUERY('Volunteer Survey'!B82)"),"Alisdair Philp")</f>
        <v>Alisdair Philp</v>
      </c>
      <c r="M76" s="49" t="str">
        <f ca="1">IFERROR(__xludf.DUMMYFUNCTION("QUERY('Volunteer Survey'!E82)"),"arphilp@gmail.com")</f>
        <v>arphilp@gmail.com</v>
      </c>
      <c r="N76" s="49" t="str">
        <f ca="1">IFERROR(__xludf.DUMMYFUNCTION("QUERY('Volunteer Survey'!F82)"),"Genetic counselor")</f>
        <v>Genetic counselor</v>
      </c>
      <c r="O76" s="42" t="str">
        <f ca="1">IFERROR(__xludf.DUMMYFUNCTION("QUERY('Volunteer Survey'!H82)"),"Comprehensive")</f>
        <v>Comprehensive</v>
      </c>
      <c r="P76" s="49" t="str">
        <f ca="1">IFERROR(__xludf.DUMMYFUNCTION("QUERY('Volunteer Survey'!I82)"),"Variant Pathogenicity")</f>
        <v>Variant Pathogenicity</v>
      </c>
      <c r="Q76" s="54" t="str">
        <f ca="1">IFERROR(__xludf.DUMMYFUNCTION("QUERY('Volunteer Survey'!J82)"),"Gene-Disease Validity")</f>
        <v>Gene-Disease Validity</v>
      </c>
      <c r="R76" s="49" t="str">
        <f ca="1">IFERROR(__xludf.DUMMYFUNCTION("QUERY('Volunteer Survey'!K82)"),"Clinical Actionability")</f>
        <v>Clinical Actionability</v>
      </c>
      <c r="S76" s="49" t="str">
        <f ca="1">IFERROR(__xludf.DUMMYFUNCTION("QUERY('Volunteer Survey'!L82)"),"Dosage Sensitivity")</f>
        <v>Dosage Sensitivity</v>
      </c>
      <c r="T76" s="49" t="str">
        <f ca="1">IFERROR(__xludf.DUMMYFUNCTION("QUERY('Volunteer Survey'!M82)"),"Somatic Cancer")</f>
        <v>Somatic Cancer</v>
      </c>
      <c r="U76" s="58" t="str">
        <f ca="1">IFERROR(__xludf.DUMMYFUNCTION("QUERY('Volunteer Survey'!N82)"),"yes")</f>
        <v>yes</v>
      </c>
      <c r="V76" s="49" t="str">
        <f ca="1">IFERROR(__xludf.DUMMYFUNCTION("QUERY('Volunteer Survey'!O82)"),"No")</f>
        <v>No</v>
      </c>
      <c r="W76" s="60" t="str">
        <f ca="1">IFERROR(__xludf.DUMMYFUNCTION("QUERY('Volunteer Survey'!P82)"),"Cnv")</f>
        <v>Cnv</v>
      </c>
      <c r="X76" s="58" t="str">
        <f ca="1">IFERROR(__xludf.DUMMYFUNCTION("QUERY('Volunteer Survey'!R82)"),"Yes- I am willing to volunteer with any available ClinGen group")</f>
        <v>Yes- I am willing to volunteer with any available ClinGen group</v>
      </c>
      <c r="Y76" s="47"/>
      <c r="Z76" s="62"/>
      <c r="AA76" s="49"/>
      <c r="AB76" s="49"/>
      <c r="AC76" s="49"/>
      <c r="AD76" s="49"/>
      <c r="AE76" s="49"/>
      <c r="AF76" s="49"/>
      <c r="AG76" s="49"/>
      <c r="AH76" s="49"/>
      <c r="AI76" s="49"/>
      <c r="AJ76" s="49"/>
      <c r="AK76" s="49"/>
      <c r="AL76" s="49"/>
      <c r="AM76" s="49"/>
      <c r="AN76" s="49"/>
      <c r="AO76" s="49"/>
    </row>
    <row r="77" spans="1:41" ht="14">
      <c r="A77" s="44">
        <f ca="1">IFERROR(__xludf.DUMMYFUNCTION("QUERY('Volunteer Survey'!A83)"),43418.4674537037)</f>
        <v>43418.467453703699</v>
      </c>
      <c r="B77" s="42" t="s">
        <v>168</v>
      </c>
      <c r="C77" s="81">
        <v>43109</v>
      </c>
      <c r="D77" s="49"/>
      <c r="E77" s="42" t="s">
        <v>130</v>
      </c>
      <c r="F77" s="42" t="s">
        <v>130</v>
      </c>
      <c r="G77" s="42" t="s">
        <v>163</v>
      </c>
      <c r="H77" s="47"/>
      <c r="I77" s="45" t="s">
        <v>139</v>
      </c>
      <c r="J77" s="49"/>
      <c r="K77" s="49"/>
      <c r="L77" s="49" t="str">
        <f ca="1">IFERROR(__xludf.DUMMYFUNCTION("QUERY('Volunteer Survey'!B83)"),"Jenna Guiltinan")</f>
        <v>Jenna Guiltinan</v>
      </c>
      <c r="M77" s="49" t="str">
        <f ca="1">IFERROR(__xludf.DUMMYFUNCTION("QUERY('Volunteer Survey'!E83)"),"jenna.guiltinan@invitae.com")</f>
        <v>jenna.guiltinan@invitae.com</v>
      </c>
      <c r="N77" s="49" t="str">
        <f ca="1">IFERROR(__xludf.DUMMYFUNCTION("QUERY('Volunteer Survey'!F83)"),"Variant Analyst/Scientist")</f>
        <v>Variant Analyst/Scientist</v>
      </c>
      <c r="O77" s="42" t="str">
        <f ca="1">IFERROR(__xludf.DUMMYFUNCTION("QUERY('Volunteer Survey'!H83)"),"Comprehensive")</f>
        <v>Comprehensive</v>
      </c>
      <c r="P77" s="49" t="str">
        <f ca="1">IFERROR(__xludf.DUMMYFUNCTION("QUERY('Volunteer Survey'!I83)"),"Dosage Sensitivity")</f>
        <v>Dosage Sensitivity</v>
      </c>
      <c r="Q77" s="54" t="str">
        <f ca="1">IFERROR(__xludf.DUMMYFUNCTION("QUERY('Volunteer Survey'!J83)"),"Variant Pathogenicity")</f>
        <v>Variant Pathogenicity</v>
      </c>
      <c r="R77" s="49" t="str">
        <f ca="1">IFERROR(__xludf.DUMMYFUNCTION("QUERY('Volunteer Survey'!K83)"),"Clinical Actionability")</f>
        <v>Clinical Actionability</v>
      </c>
      <c r="S77" s="49" t="str">
        <f ca="1">IFERROR(__xludf.DUMMYFUNCTION("QUERY('Volunteer Survey'!L83)"),"Gene-Disease Validity")</f>
        <v>Gene-Disease Validity</v>
      </c>
      <c r="T77" s="49" t="str">
        <f ca="1">IFERROR(__xludf.DUMMYFUNCTION("QUERY('Volunteer Survey'!M83)"),"Somatic Cancer")</f>
        <v>Somatic Cancer</v>
      </c>
      <c r="U77" s="58" t="str">
        <f ca="1">IFERROR(__xludf.DUMMYFUNCTION("QUERY('Volunteer Survey'!N83)"),"yes")</f>
        <v>yes</v>
      </c>
      <c r="V77" s="49" t="str">
        <f ca="1">IFERROR(__xludf.DUMMYFUNCTION("QUERY('Volunteer Survey'!O83)"),"No")</f>
        <v>No</v>
      </c>
      <c r="W77" s="60" t="str">
        <f ca="1">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58" t="str">
        <f ca="1">IFERROR(__xludf.DUMMYFUNCTION("QUERY('Volunteer Survey'!R83)"),"Yes- I am willing to volunteer with any available ClinGen group")</f>
        <v>Yes- I am willing to volunteer with any available ClinGen group</v>
      </c>
      <c r="Y77" s="47"/>
      <c r="Z77" s="62"/>
      <c r="AA77" s="49"/>
      <c r="AB77" s="49"/>
      <c r="AC77" s="49"/>
      <c r="AD77" s="49"/>
      <c r="AE77" s="49"/>
      <c r="AF77" s="49"/>
      <c r="AG77" s="49"/>
      <c r="AH77" s="49"/>
      <c r="AI77" s="49"/>
      <c r="AJ77" s="49"/>
      <c r="AK77" s="49"/>
      <c r="AL77" s="49"/>
      <c r="AM77" s="49"/>
      <c r="AN77" s="49"/>
      <c r="AO77" s="49"/>
    </row>
    <row r="78" spans="1:41" ht="14">
      <c r="A78" s="44">
        <f ca="1">IFERROR(__xludf.DUMMYFUNCTION("QUERY('Volunteer Survey'!A84)"),43483.526094074)</f>
        <v>43483.526094073997</v>
      </c>
      <c r="B78" s="42" t="s">
        <v>168</v>
      </c>
      <c r="C78" s="47"/>
      <c r="D78" s="49"/>
      <c r="E78" s="42" t="s">
        <v>130</v>
      </c>
      <c r="F78" s="42" t="s">
        <v>130</v>
      </c>
      <c r="G78" s="42" t="s">
        <v>251</v>
      </c>
      <c r="H78" s="47"/>
      <c r="I78" s="45" t="s">
        <v>139</v>
      </c>
      <c r="J78" s="49"/>
      <c r="K78" s="49"/>
      <c r="L78" s="49" t="str">
        <f ca="1">IFERROR(__xludf.DUMMYFUNCTION("QUERY('Volunteer Survey'!B84)"),"Ron Agatep")</f>
        <v>Ron Agatep</v>
      </c>
      <c r="M78" s="49" t="str">
        <f ca="1">IFERROR(__xludf.DUMMYFUNCTION("QUERY('Volunteer Survey'!E84)"),"ragatep@sharedhealthmb.ca")</f>
        <v>ragatep@sharedhealthmb.ca</v>
      </c>
      <c r="N78" s="49" t="str">
        <f ca="1">IFERROR(__xludf.DUMMYFUNCTION("QUERY('Volunteer Survey'!F84)"),"Clinical laboratory geneticist")</f>
        <v>Clinical laboratory geneticist</v>
      </c>
      <c r="O78" s="42" t="str">
        <f ca="1">IFERROR(__xludf.DUMMYFUNCTION("QUERY('Volunteer Survey'!H84)"),"Comprehensive")</f>
        <v>Comprehensive</v>
      </c>
      <c r="P78" s="49" t="str">
        <f ca="1">IFERROR(__xludf.DUMMYFUNCTION("QUERY('Volunteer Survey'!I84)"),"Variant Pathogenicity")</f>
        <v>Variant Pathogenicity</v>
      </c>
      <c r="Q78" s="54" t="str">
        <f ca="1">IFERROR(__xludf.DUMMYFUNCTION("QUERY('Volunteer Survey'!J84)"),"Gene-Disease Validity, Somatic Cancer")</f>
        <v>Gene-Disease Validity, Somatic Cancer</v>
      </c>
      <c r="R78" s="49" t="str">
        <f ca="1">IFERROR(__xludf.DUMMYFUNCTION("QUERY('Volunteer Survey'!K84)"),"")</f>
        <v/>
      </c>
      <c r="S78" s="49" t="str">
        <f ca="1">IFERROR(__xludf.DUMMYFUNCTION("QUERY('Volunteer Survey'!L84)"),"")</f>
        <v/>
      </c>
      <c r="T78" s="49" t="str">
        <f ca="1">IFERROR(__xludf.DUMMYFUNCTION("QUERY('Volunteer Survey'!M84)"),"")</f>
        <v/>
      </c>
      <c r="U78" s="58" t="str">
        <f ca="1">IFERROR(__xludf.DUMMYFUNCTION("QUERY('Volunteer Survey'!N84)"),"")</f>
        <v/>
      </c>
      <c r="V78" s="49" t="str">
        <f ca="1">IFERROR(__xludf.DUMMYFUNCTION("QUERY('Volunteer Survey'!O84)"),"Possibly")</f>
        <v>Possibly</v>
      </c>
      <c r="W78" s="60" t="str">
        <f ca="1">IFERROR(__xludf.DUMMYFUNCTION("QUERY('Volunteer Survey'!P84)"),"Hereditary Breast and Ovarian Cancer")</f>
        <v>Hereditary Breast and Ovarian Cancer</v>
      </c>
      <c r="X78" s="58" t="str">
        <f ca="1">IFERROR(__xludf.DUMMYFUNCTION("QUERY('Volunteer Survey'!R84)"),"Maybe -- please contact me with other options, and I will decide based on what is available")</f>
        <v>Maybe -- please contact me with other options, and I will decide based on what is available</v>
      </c>
      <c r="Y78" s="47"/>
      <c r="Z78" s="62"/>
      <c r="AA78" s="49"/>
      <c r="AB78" s="49"/>
      <c r="AC78" s="49"/>
      <c r="AD78" s="49"/>
      <c r="AE78" s="49"/>
      <c r="AF78" s="49"/>
      <c r="AG78" s="49"/>
      <c r="AH78" s="49"/>
      <c r="AI78" s="49"/>
      <c r="AJ78" s="49"/>
      <c r="AK78" s="49"/>
      <c r="AL78" s="49"/>
      <c r="AM78" s="49"/>
      <c r="AN78" s="49"/>
      <c r="AO78" s="49"/>
    </row>
    <row r="79" spans="1:41" ht="14">
      <c r="A79" s="44">
        <f ca="1">IFERROR(__xludf.DUMMYFUNCTION("QUERY('Volunteer Survey'!A85)"),43342.526261574)</f>
        <v>43342.526261573999</v>
      </c>
      <c r="B79" s="42" t="s">
        <v>108</v>
      </c>
      <c r="C79" s="47"/>
      <c r="D79" s="49"/>
      <c r="E79" s="42" t="s">
        <v>130</v>
      </c>
      <c r="F79" s="42" t="s">
        <v>130</v>
      </c>
      <c r="G79" s="42" t="s">
        <v>202</v>
      </c>
      <c r="H79" s="47"/>
      <c r="I79" s="45" t="s">
        <v>139</v>
      </c>
      <c r="J79" s="49"/>
      <c r="K79" s="49"/>
      <c r="L79" s="49" t="str">
        <f ca="1">IFERROR(__xludf.DUMMYFUNCTION("QUERY('Volunteer Survey'!B85)"),"Danielle Croucher")</f>
        <v>Danielle Croucher</v>
      </c>
      <c r="M79" s="49" t="str">
        <f ca="1">IFERROR(__xludf.DUMMYFUNCTION("QUERY('Volunteer Survey'!E85)"),"d.croucher@mail.utoronto.ca")</f>
        <v>d.croucher@mail.utoronto.ca</v>
      </c>
      <c r="N79" s="49" t="str">
        <f ca="1">IFERROR(__xludf.DUMMYFUNCTION("QUERY('Volunteer Survey'!F85)"),"Graduate Student")</f>
        <v>Graduate Student</v>
      </c>
      <c r="O79" s="42" t="str">
        <f ca="1">IFERROR(__xludf.DUMMYFUNCTION("QUERY('Volunteer Survey'!H85)"),"Baseline")</f>
        <v>Baseline</v>
      </c>
      <c r="P79" s="49" t="str">
        <f ca="1">IFERROR(__xludf.DUMMYFUNCTION("QUERY('Volunteer Survey'!I85)"),"Clinical Actionability")</f>
        <v>Clinical Actionability</v>
      </c>
      <c r="Q79" s="54" t="str">
        <f ca="1">IFERROR(__xludf.DUMMYFUNCTION("QUERY('Volunteer Survey'!J85)"),"Gene-Disease Validity")</f>
        <v>Gene-Disease Validity</v>
      </c>
      <c r="R79" s="49" t="str">
        <f ca="1">IFERROR(__xludf.DUMMYFUNCTION("QUERY('Volunteer Survey'!K85)"),"Variant Pathogenicity")</f>
        <v>Variant Pathogenicity</v>
      </c>
      <c r="S79" s="49" t="str">
        <f ca="1">IFERROR(__xludf.DUMMYFUNCTION("QUERY('Volunteer Survey'!L85)"),"Somatic Cancer")</f>
        <v>Somatic Cancer</v>
      </c>
      <c r="T79" s="49" t="str">
        <f ca="1">IFERROR(__xludf.DUMMYFUNCTION("QUERY('Volunteer Survey'!M85)"),"")</f>
        <v/>
      </c>
      <c r="U79" s="58" t="str">
        <f ca="1">IFERROR(__xludf.DUMMYFUNCTION("QUERY('Volunteer Survey'!N85)"),"yes")</f>
        <v>yes</v>
      </c>
      <c r="V79" s="49" t="str">
        <f ca="1">IFERROR(__xludf.DUMMYFUNCTION("QUERY('Volunteer Survey'!O85)"),"Possibly")</f>
        <v>Possibly</v>
      </c>
      <c r="W79" s="60" t="str">
        <f ca="1">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58" t="str">
        <f ca="1">IFERROR(__xludf.DUMMYFUNCTION("QUERY('Volunteer Survey'!R85)"),"Maybe -- please contact me with other options, and I will decide based on what is available")</f>
        <v>Maybe -- please contact me with other options, and I will decide based on what is available</v>
      </c>
      <c r="Y79" s="47"/>
      <c r="Z79" s="62"/>
      <c r="AA79" s="49"/>
      <c r="AB79" s="49"/>
      <c r="AC79" s="49"/>
      <c r="AD79" s="49"/>
      <c r="AE79" s="49"/>
      <c r="AF79" s="49"/>
      <c r="AG79" s="49"/>
      <c r="AH79" s="49"/>
      <c r="AI79" s="49"/>
      <c r="AJ79" s="49"/>
      <c r="AK79" s="49"/>
      <c r="AL79" s="49"/>
      <c r="AM79" s="49"/>
      <c r="AN79" s="49"/>
      <c r="AO79" s="49"/>
    </row>
    <row r="80" spans="1:41" ht="14">
      <c r="A80" s="44">
        <f ca="1">IFERROR(__xludf.DUMMYFUNCTION("QUERY('Volunteer Survey'!A86)"),43339.5275231481)</f>
        <v>43339.527523148099</v>
      </c>
      <c r="B80" s="42" t="s">
        <v>108</v>
      </c>
      <c r="C80" s="47"/>
      <c r="D80" s="49"/>
      <c r="E80" s="42" t="s">
        <v>130</v>
      </c>
      <c r="F80" s="42" t="s">
        <v>130</v>
      </c>
      <c r="G80" s="42" t="s">
        <v>202</v>
      </c>
      <c r="H80" s="47"/>
      <c r="I80" s="45" t="s">
        <v>139</v>
      </c>
      <c r="J80" s="49"/>
      <c r="K80" s="49"/>
      <c r="L80" s="49" t="str">
        <f ca="1">IFERROR(__xludf.DUMMYFUNCTION("QUERY('Volunteer Survey'!B86)"),"Fadel Alyaquob")</f>
        <v>Fadel Alyaquob</v>
      </c>
      <c r="M80" s="49" t="str">
        <f ca="1">IFERROR(__xludf.DUMMYFUNCTION("QUERY('Volunteer Survey'!E86)"),"falyaqoub1@yahoo.com")</f>
        <v>falyaqoub1@yahoo.com</v>
      </c>
      <c r="N80" s="49" t="str">
        <f ca="1">IFERROR(__xludf.DUMMYFUNCTION("QUERY('Volunteer Survey'!F86)"),"Variant Analyst/Scientist")</f>
        <v>Variant Analyst/Scientist</v>
      </c>
      <c r="O80" s="42" t="str">
        <f ca="1">IFERROR(__xludf.DUMMYFUNCTION("QUERY('Volunteer Survey'!H86)"),"Baseline")</f>
        <v>Baseline</v>
      </c>
      <c r="P80" s="49" t="str">
        <f ca="1">IFERROR(__xludf.DUMMYFUNCTION("QUERY('Volunteer Survey'!I86)"),"Clinical Actionability")</f>
        <v>Clinical Actionability</v>
      </c>
      <c r="Q80" s="54" t="str">
        <f ca="1">IFERROR(__xludf.DUMMYFUNCTION("QUERY('Volunteer Survey'!J86)"),"Gene-Disease Validity")</f>
        <v>Gene-Disease Validity</v>
      </c>
      <c r="R80" s="49" t="str">
        <f ca="1">IFERROR(__xludf.DUMMYFUNCTION("QUERY('Volunteer Survey'!K86)"),"Variant Pathogenicity")</f>
        <v>Variant Pathogenicity</v>
      </c>
      <c r="S80" s="49" t="str">
        <f ca="1">IFERROR(__xludf.DUMMYFUNCTION("QUERY('Volunteer Survey'!L86)"),"Somatic Cancer")</f>
        <v>Somatic Cancer</v>
      </c>
      <c r="T80" s="49" t="str">
        <f ca="1">IFERROR(__xludf.DUMMYFUNCTION("QUERY('Volunteer Survey'!M86)"),"")</f>
        <v/>
      </c>
      <c r="U80" s="58" t="str">
        <f ca="1">IFERROR(__xludf.DUMMYFUNCTION("QUERY('Volunteer Survey'!N86)"),"yes")</f>
        <v>yes</v>
      </c>
      <c r="V80" s="49" t="str">
        <f ca="1">IFERROR(__xludf.DUMMYFUNCTION("QUERY('Volunteer Survey'!O86)"),"Possibly")</f>
        <v>Possibly</v>
      </c>
      <c r="W80" s="60" t="str">
        <f ca="1">IFERROR(__xludf.DUMMYFUNCTION("QUERY('Volunteer Survey'!P86)"),"No")</f>
        <v>No</v>
      </c>
      <c r="X80" s="58" t="str">
        <f ca="1">IFERROR(__xludf.DUMMYFUNCTION("QUERY('Volunteer Survey'!R86)"),"Maybe -- please contact me with other options, and I will decide based on what is available")</f>
        <v>Maybe -- please contact me with other options, and I will decide based on what is available</v>
      </c>
      <c r="Y80" s="47"/>
      <c r="Z80" s="62"/>
      <c r="AA80" s="49"/>
      <c r="AB80" s="49"/>
      <c r="AC80" s="49"/>
      <c r="AD80" s="49"/>
      <c r="AE80" s="49"/>
      <c r="AF80" s="49"/>
      <c r="AG80" s="49"/>
      <c r="AH80" s="49"/>
      <c r="AI80" s="49"/>
      <c r="AJ80" s="49"/>
      <c r="AK80" s="49"/>
      <c r="AL80" s="49"/>
      <c r="AM80" s="49"/>
      <c r="AN80" s="49"/>
      <c r="AO80" s="49"/>
    </row>
    <row r="81" spans="1:41" ht="14">
      <c r="A81" s="44">
        <f ca="1">IFERROR(__xludf.DUMMYFUNCTION("QUERY('Volunteer Survey'!A87)"),43332.5285648148)</f>
        <v>43332.528564814798</v>
      </c>
      <c r="B81" s="42" t="s">
        <v>108</v>
      </c>
      <c r="C81" s="47"/>
      <c r="D81" s="49"/>
      <c r="E81" s="42" t="s">
        <v>130</v>
      </c>
      <c r="F81" s="42" t="s">
        <v>130</v>
      </c>
      <c r="G81" s="42" t="s">
        <v>202</v>
      </c>
      <c r="H81" s="47"/>
      <c r="I81" s="45" t="s">
        <v>139</v>
      </c>
      <c r="J81" s="49"/>
      <c r="K81" s="49"/>
      <c r="L81" s="49" t="str">
        <f ca="1">IFERROR(__xludf.DUMMYFUNCTION("QUERY('Volunteer Survey'!B87)"),"Hilary Racher")</f>
        <v>Hilary Racher</v>
      </c>
      <c r="M81" s="49" t="str">
        <f ca="1">IFERROR(__xludf.DUMMYFUNCTION("QUERY('Volunteer Survey'!E87)"),"racherh@dynacare.ca")</f>
        <v>racherh@dynacare.ca</v>
      </c>
      <c r="N81" s="49" t="str">
        <f ca="1">IFERROR(__xludf.DUMMYFUNCTION("QUERY('Volunteer Survey'!F87)"),"Clinical laboratory geneticist")</f>
        <v>Clinical laboratory geneticist</v>
      </c>
      <c r="O81" s="42" t="str">
        <f ca="1">IFERROR(__xludf.DUMMYFUNCTION("QUERY('Volunteer Survey'!H87)"),"Baseline")</f>
        <v>Baseline</v>
      </c>
      <c r="P81" s="49" t="str">
        <f ca="1">IFERROR(__xludf.DUMMYFUNCTION("QUERY('Volunteer Survey'!I87)"),"Variant Pathogenicity")</f>
        <v>Variant Pathogenicity</v>
      </c>
      <c r="Q81" s="54" t="str">
        <f ca="1">IFERROR(__xludf.DUMMYFUNCTION("QUERY('Volunteer Survey'!J87)"),"Somatic Cancer")</f>
        <v>Somatic Cancer</v>
      </c>
      <c r="R81" s="49" t="str">
        <f ca="1">IFERROR(__xludf.DUMMYFUNCTION("QUERY('Volunteer Survey'!K87)"),"")</f>
        <v/>
      </c>
      <c r="S81" s="49" t="str">
        <f ca="1">IFERROR(__xludf.DUMMYFUNCTION("QUERY('Volunteer Survey'!L87)"),"")</f>
        <v/>
      </c>
      <c r="T81" s="49" t="str">
        <f ca="1">IFERROR(__xludf.DUMMYFUNCTION("QUERY('Volunteer Survey'!M87)"),"")</f>
        <v/>
      </c>
      <c r="U81" s="58" t="str">
        <f ca="1">IFERROR(__xludf.DUMMYFUNCTION("QUERY('Volunteer Survey'!N87)"),"Yes")</f>
        <v>Yes</v>
      </c>
      <c r="V81" s="49" t="str">
        <f ca="1">IFERROR(__xludf.DUMMYFUNCTION("QUERY('Volunteer Survey'!O87)"),"Possibly")</f>
        <v>Possibly</v>
      </c>
      <c r="W81" s="60" t="str">
        <f ca="1">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58" t="str">
        <f ca="1">IFERROR(__xludf.DUMMYFUNCTION("QUERY('Volunteer Survey'!R87)"),"Maybe -- please contact me with other options, and I will decide based on what is available")</f>
        <v>Maybe -- please contact me with other options, and I will decide based on what is available</v>
      </c>
      <c r="Y81" s="47"/>
      <c r="Z81" s="62"/>
      <c r="AA81" s="49"/>
      <c r="AB81" s="49"/>
      <c r="AC81" s="49"/>
      <c r="AD81" s="49"/>
      <c r="AE81" s="49"/>
      <c r="AF81" s="49"/>
      <c r="AG81" s="49"/>
      <c r="AH81" s="49"/>
      <c r="AI81" s="49"/>
      <c r="AJ81" s="49"/>
      <c r="AK81" s="49"/>
      <c r="AL81" s="49"/>
      <c r="AM81" s="49"/>
      <c r="AN81" s="49"/>
      <c r="AO81" s="49"/>
    </row>
    <row r="82" spans="1:41" ht="14">
      <c r="A82" s="44">
        <f ca="1">IFERROR(__xludf.DUMMYFUNCTION("QUERY('Volunteer Survey'!A88)"),43332.5297800925)</f>
        <v>43332.529780092496</v>
      </c>
      <c r="B82" s="42" t="s">
        <v>108</v>
      </c>
      <c r="C82" s="47"/>
      <c r="D82" s="49"/>
      <c r="E82" s="42" t="s">
        <v>130</v>
      </c>
      <c r="F82" s="42" t="s">
        <v>130</v>
      </c>
      <c r="G82" s="42" t="s">
        <v>202</v>
      </c>
      <c r="H82" s="47"/>
      <c r="I82" s="45" t="s">
        <v>139</v>
      </c>
      <c r="J82" s="49"/>
      <c r="K82" s="49"/>
      <c r="L82" s="49" t="str">
        <f ca="1">IFERROR(__xludf.DUMMYFUNCTION("QUERY('Volunteer Survey'!B88)"),"Juan Dong")</f>
        <v>Juan Dong</v>
      </c>
      <c r="M82" s="49" t="str">
        <f ca="1">IFERROR(__xludf.DUMMYFUNCTION("QUERY('Volunteer Survey'!E88)"),"juan.dong@preventiongenetics.com")</f>
        <v>juan.dong@preventiongenetics.com</v>
      </c>
      <c r="N82" s="49" t="str">
        <f ca="1">IFERROR(__xludf.DUMMYFUNCTION("QUERY('Volunteer Survey'!F88)"),"Clinical laboratory geneticist")</f>
        <v>Clinical laboratory geneticist</v>
      </c>
      <c r="O82" s="42" t="str">
        <f ca="1">IFERROR(__xludf.DUMMYFUNCTION("QUERY('Volunteer Survey'!H88)"),"Baseline")</f>
        <v>Baseline</v>
      </c>
      <c r="P82" s="49" t="str">
        <f ca="1">IFERROR(__xludf.DUMMYFUNCTION("QUERY('Volunteer Survey'!I88)"),"Gene-Disease Validity")</f>
        <v>Gene-Disease Validity</v>
      </c>
      <c r="Q82" s="54" t="str">
        <f ca="1">IFERROR(__xludf.DUMMYFUNCTION("QUERY('Volunteer Survey'!J88)"),"Variant Pathogenicity")</f>
        <v>Variant Pathogenicity</v>
      </c>
      <c r="R82" s="49" t="str">
        <f ca="1">IFERROR(__xludf.DUMMYFUNCTION("QUERY('Volunteer Survey'!K88)"),"")</f>
        <v/>
      </c>
      <c r="S82" s="49" t="str">
        <f ca="1">IFERROR(__xludf.DUMMYFUNCTION("QUERY('Volunteer Survey'!L88)"),"")</f>
        <v/>
      </c>
      <c r="T82" s="49" t="str">
        <f ca="1">IFERROR(__xludf.DUMMYFUNCTION("QUERY('Volunteer Survey'!M88)"),"")</f>
        <v/>
      </c>
      <c r="U82" s="58" t="str">
        <f ca="1">IFERROR(__xludf.DUMMYFUNCTION("QUERY('Volunteer Survey'!N88)"),"Yes")</f>
        <v>Yes</v>
      </c>
      <c r="V82" s="49" t="str">
        <f ca="1">IFERROR(__xludf.DUMMYFUNCTION("QUERY('Volunteer Survey'!O88)"),"Possibly")</f>
        <v>Possibly</v>
      </c>
      <c r="W82" s="60" t="str">
        <f ca="1">IFERROR(__xludf.DUMMYFUNCTION("QUERY('Volunteer Survey'!P88)"),"Familial Thoracic Aortic Aneurysm and Dissection Gene Curation Expert Pane")</f>
        <v>Familial Thoracic Aortic Aneurysm and Dissection Gene Curation Expert Pane</v>
      </c>
      <c r="X82" s="58" t="str">
        <f ca="1">IFERROR(__xludf.DUMMYFUNCTION("QUERY('Volunteer Survey'!R88)"),"Maybe -- please contact me with other options, and I will decide based on what is available")</f>
        <v>Maybe -- please contact me with other options, and I will decide based on what is available</v>
      </c>
      <c r="Y82" s="47"/>
      <c r="Z82" s="62"/>
      <c r="AA82" s="49"/>
      <c r="AB82" s="49"/>
      <c r="AC82" s="49"/>
      <c r="AD82" s="49"/>
      <c r="AE82" s="49"/>
      <c r="AF82" s="49"/>
      <c r="AG82" s="49"/>
      <c r="AH82" s="49"/>
      <c r="AI82" s="49"/>
      <c r="AJ82" s="49"/>
      <c r="AK82" s="49"/>
      <c r="AL82" s="49"/>
      <c r="AM82" s="49"/>
      <c r="AN82" s="49"/>
      <c r="AO82" s="49"/>
    </row>
    <row r="83" spans="1:41" ht="14">
      <c r="A83" s="44">
        <f ca="1">IFERROR(__xludf.DUMMYFUNCTION("QUERY('Volunteer Survey'!A89)"),43332.5310879629)</f>
        <v>43332.531087962903</v>
      </c>
      <c r="B83" s="42" t="s">
        <v>108</v>
      </c>
      <c r="C83" s="47"/>
      <c r="D83" s="49"/>
      <c r="E83" s="42" t="s">
        <v>130</v>
      </c>
      <c r="F83" s="42" t="s">
        <v>130</v>
      </c>
      <c r="G83" s="42" t="s">
        <v>202</v>
      </c>
      <c r="H83" s="47"/>
      <c r="I83" s="45" t="s">
        <v>139</v>
      </c>
      <c r="J83" s="49"/>
      <c r="K83" s="49"/>
      <c r="L83" s="49" t="str">
        <f ca="1">IFERROR(__xludf.DUMMYFUNCTION("QUERY('Volunteer Survey'!B89)"),"Julie Kaylor")</f>
        <v>Julie Kaylor</v>
      </c>
      <c r="M83" s="49" t="str">
        <f ca="1">IFERROR(__xludf.DUMMYFUNCTION("QUERY('Volunteer Survey'!E89)"),"jkaylor@informeddna.com")</f>
        <v>jkaylor@informeddna.com</v>
      </c>
      <c r="N83" s="49" t="str">
        <f ca="1">IFERROR(__xludf.DUMMYFUNCTION("QUERY('Volunteer Survey'!F89)"),"Genetic counselor")</f>
        <v>Genetic counselor</v>
      </c>
      <c r="O83" s="42" t="str">
        <f ca="1">IFERROR(__xludf.DUMMYFUNCTION("QUERY('Volunteer Survey'!H89)"),"Baseline")</f>
        <v>Baseline</v>
      </c>
      <c r="P83" s="49" t="str">
        <f ca="1">IFERROR(__xludf.DUMMYFUNCTION("QUERY('Volunteer Survey'!I89)"),"Clinical Actionability")</f>
        <v>Clinical Actionability</v>
      </c>
      <c r="Q83" s="54" t="str">
        <f ca="1">IFERROR(__xludf.DUMMYFUNCTION("QUERY('Volunteer Survey'!J89)"),"Gene-Disease Validity")</f>
        <v>Gene-Disease Validity</v>
      </c>
      <c r="R83" s="49" t="str">
        <f ca="1">IFERROR(__xludf.DUMMYFUNCTION("QUERY('Volunteer Survey'!K89)"),"Variant Pathogenicity")</f>
        <v>Variant Pathogenicity</v>
      </c>
      <c r="S83" s="49" t="str">
        <f ca="1">IFERROR(__xludf.DUMMYFUNCTION("QUERY('Volunteer Survey'!L89)"),"")</f>
        <v/>
      </c>
      <c r="T83" s="49" t="str">
        <f ca="1">IFERROR(__xludf.DUMMYFUNCTION("QUERY('Volunteer Survey'!M89)"),"")</f>
        <v/>
      </c>
      <c r="U83" s="58" t="str">
        <f ca="1">IFERROR(__xludf.DUMMYFUNCTION("QUERY('Volunteer Survey'!N89)"),"Yes")</f>
        <v>Yes</v>
      </c>
      <c r="V83" s="49" t="str">
        <f ca="1">IFERROR(__xludf.DUMMYFUNCTION("QUERY('Volunteer Survey'!O89)"),"Possibly")</f>
        <v>Possibly</v>
      </c>
      <c r="W83" s="60" t="str">
        <f ca="1">IFERROR(__xludf.DUMMYFUNCTION("QUERY('Volunteer Survey'!P89)"),"NA")</f>
        <v>NA</v>
      </c>
      <c r="X83" s="58" t="str">
        <f ca="1">IFERROR(__xludf.DUMMYFUNCTION("QUERY('Volunteer Survey'!R89)"),"Maybe -- please contact me with other options, and I will decide based on what is available")</f>
        <v>Maybe -- please contact me with other options, and I will decide based on what is available</v>
      </c>
      <c r="Y83" s="47"/>
      <c r="Z83" s="62"/>
      <c r="AA83" s="49"/>
      <c r="AB83" s="49"/>
      <c r="AC83" s="49"/>
      <c r="AD83" s="49"/>
      <c r="AE83" s="49"/>
      <c r="AF83" s="49"/>
      <c r="AG83" s="49"/>
      <c r="AH83" s="49"/>
      <c r="AI83" s="49"/>
      <c r="AJ83" s="49"/>
      <c r="AK83" s="49"/>
      <c r="AL83" s="49"/>
      <c r="AM83" s="49"/>
      <c r="AN83" s="49"/>
      <c r="AO83" s="49"/>
    </row>
    <row r="84" spans="1:41" ht="14">
      <c r="A84" s="44">
        <f ca="1">IFERROR(__xludf.DUMMYFUNCTION("QUERY('Volunteer Survey'!A90)"),43332.5328472222)</f>
        <v>43332.532847222203</v>
      </c>
      <c r="B84" s="42" t="s">
        <v>108</v>
      </c>
      <c r="C84" s="47"/>
      <c r="D84" s="49"/>
      <c r="E84" s="42" t="s">
        <v>130</v>
      </c>
      <c r="F84" s="42" t="s">
        <v>130</v>
      </c>
      <c r="G84" s="42" t="s">
        <v>202</v>
      </c>
      <c r="H84" s="47"/>
      <c r="I84" s="45" t="s">
        <v>139</v>
      </c>
      <c r="J84" s="49"/>
      <c r="K84" s="49"/>
      <c r="L84" s="49" t="str">
        <f ca="1">IFERROR(__xludf.DUMMYFUNCTION("QUERY('Volunteer Survey'!B90)"),"David Ng")</f>
        <v>David Ng</v>
      </c>
      <c r="M84" s="49" t="str">
        <f ca="1">IFERROR(__xludf.DUMMYFUNCTION("QUERY('Volunteer Survey'!E90)"),"davidng@mail.nih.gov")</f>
        <v>davidng@mail.nih.gov</v>
      </c>
      <c r="N84" s="49" t="str">
        <f ca="1">IFERROR(__xludf.DUMMYFUNCTION("QUERY('Volunteer Survey'!F90)"),"Clinical medical geneticist/Variant Analyst/Scientist")</f>
        <v>Clinical medical geneticist/Variant Analyst/Scientist</v>
      </c>
      <c r="O84" s="42" t="str">
        <f ca="1">IFERROR(__xludf.DUMMYFUNCTION("QUERY('Volunteer Survey'!H90)"),"Baseline")</f>
        <v>Baseline</v>
      </c>
      <c r="P84" s="49" t="str">
        <f ca="1">IFERROR(__xludf.DUMMYFUNCTION("QUERY('Volunteer Survey'!I90)"),"Clinical Actionability")</f>
        <v>Clinical Actionability</v>
      </c>
      <c r="Q84" s="54" t="str">
        <f ca="1">IFERROR(__xludf.DUMMYFUNCTION("QUERY('Volunteer Survey'!J90)"),"Gene-Disease Validity")</f>
        <v>Gene-Disease Validity</v>
      </c>
      <c r="R84" s="49" t="str">
        <f ca="1">IFERROR(__xludf.DUMMYFUNCTION("QUERY('Volunteer Survey'!K90)"),"Variant Pathogenicity")</f>
        <v>Variant Pathogenicity</v>
      </c>
      <c r="S84" s="49" t="str">
        <f ca="1">IFERROR(__xludf.DUMMYFUNCTION("QUERY('Volunteer Survey'!L90)"),"")</f>
        <v/>
      </c>
      <c r="T84" s="49" t="str">
        <f ca="1">IFERROR(__xludf.DUMMYFUNCTION("QUERY('Volunteer Survey'!M90)"),"")</f>
        <v/>
      </c>
      <c r="U84" s="58" t="str">
        <f ca="1">IFERROR(__xludf.DUMMYFUNCTION("QUERY('Volunteer Survey'!N90)"),"Yes")</f>
        <v>Yes</v>
      </c>
      <c r="V84" s="49" t="str">
        <f ca="1">IFERROR(__xludf.DUMMYFUNCTION("QUERY('Volunteer Survey'!O90)"),"Possibly")</f>
        <v>Possibly</v>
      </c>
      <c r="W84" s="60" t="str">
        <f ca="1">IFERROR(__xludf.DUMMYFUNCTION("QUERY('Volunteer Survey'!P90)"),"Cardiology.")</f>
        <v>Cardiology.</v>
      </c>
      <c r="X84" s="58" t="str">
        <f ca="1">IFERROR(__xludf.DUMMYFUNCTION("QUERY('Volunteer Survey'!R90)"),"Maybe -- please contact me with other options, and I will decide based on what is available")</f>
        <v>Maybe -- please contact me with other options, and I will decide based on what is available</v>
      </c>
      <c r="Y84" s="47"/>
      <c r="Z84" s="62"/>
      <c r="AA84" s="49"/>
      <c r="AB84" s="49"/>
      <c r="AC84" s="49"/>
      <c r="AD84" s="49"/>
      <c r="AE84" s="49"/>
      <c r="AF84" s="49"/>
      <c r="AG84" s="49"/>
      <c r="AH84" s="49"/>
      <c r="AI84" s="49"/>
      <c r="AJ84" s="49"/>
      <c r="AK84" s="49"/>
      <c r="AL84" s="49"/>
      <c r="AM84" s="49"/>
      <c r="AN84" s="49"/>
      <c r="AO84" s="49"/>
    </row>
    <row r="85" spans="1:41" ht="14">
      <c r="A85" s="44">
        <f ca="1">IFERROR(__xludf.DUMMYFUNCTION("QUERY('Volunteer Survey'!A91)"),43483.533421493)</f>
        <v>43483.533421492997</v>
      </c>
      <c r="B85" s="42" t="s">
        <v>108</v>
      </c>
      <c r="C85" s="47"/>
      <c r="D85" s="59">
        <v>43580</v>
      </c>
      <c r="E85" s="42" t="s">
        <v>117</v>
      </c>
      <c r="F85" s="42" t="s">
        <v>117</v>
      </c>
      <c r="G85" s="42" t="s">
        <v>163</v>
      </c>
      <c r="H85" s="47"/>
      <c r="I85" s="45" t="s">
        <v>139</v>
      </c>
      <c r="J85" s="50">
        <v>43712</v>
      </c>
      <c r="K85" s="50"/>
      <c r="L85" s="49" t="str">
        <f ca="1">IFERROR(__xludf.DUMMYFUNCTION("QUERY('Volunteer Survey'!B91)"),"Nan Jiang")</f>
        <v>Nan Jiang</v>
      </c>
      <c r="M85" s="49" t="str">
        <f ca="1">IFERROR(__xludf.DUMMYFUNCTION("QUERY('Volunteer Survey'!E91)"),"naj018@ucsd.edu")</f>
        <v>naj018@ucsd.edu</v>
      </c>
      <c r="N85" s="49" t="str">
        <f ca="1">IFERROR(__xludf.DUMMYFUNCTION("QUERY('Volunteer Survey'!F91)"),"Post Doc/Resident/Fellow (MD and/or PhD)")</f>
        <v>Post Doc/Resident/Fellow (MD and/or PhD)</v>
      </c>
      <c r="O85" s="42" t="str">
        <f ca="1">IFERROR(__xludf.DUMMYFUNCTION("QUERY('Volunteer Survey'!H91)"),"Comprehensive")</f>
        <v>Comprehensive</v>
      </c>
      <c r="P85" s="49" t="str">
        <f ca="1">IFERROR(__xludf.DUMMYFUNCTION("QUERY('Volunteer Survey'!I91)"),"Dosage Sensitivity")</f>
        <v>Dosage Sensitivity</v>
      </c>
      <c r="Q85" s="54" t="str">
        <f ca="1">IFERROR(__xludf.DUMMYFUNCTION("QUERY('Volunteer Survey'!J91)"),"")</f>
        <v/>
      </c>
      <c r="R85" s="49" t="str">
        <f ca="1">IFERROR(__xludf.DUMMYFUNCTION("QUERY('Volunteer Survey'!K91)"),"Gene-Disease Validity")</f>
        <v>Gene-Disease Validity</v>
      </c>
      <c r="S85" s="49" t="str">
        <f ca="1">IFERROR(__xludf.DUMMYFUNCTION("QUERY('Volunteer Survey'!L91)"),"Somatic Cancer")</f>
        <v>Somatic Cancer</v>
      </c>
      <c r="T85" s="49" t="str">
        <f ca="1">IFERROR(__xludf.DUMMYFUNCTION("QUERY('Volunteer Survey'!M91)"),"Variant Pathogenicity")</f>
        <v>Variant Pathogenicity</v>
      </c>
      <c r="U85" s="58" t="str">
        <f ca="1">IFERROR(__xludf.DUMMYFUNCTION("QUERY('Volunteer Survey'!N91)"),"Yes. I work in a clinical genetics research lab identifying disease genes in pediatric neurological disorders using whole exome and whole genome sequencing. I do variants pathogenicity curation in daily bases. ")</f>
        <v xml:space="preserve">Yes. I work in a clinical genetics research lab identifying disease genes in pediatric neurological disorders using whole exome and whole genome sequencing. I do variants pathogenicity curation in daily bases. </v>
      </c>
      <c r="V85" s="49" t="str">
        <f ca="1">IFERROR(__xludf.DUMMYFUNCTION("QUERY('Volunteer Survey'!O91)"),"Possibly")</f>
        <v>Possibly</v>
      </c>
      <c r="W85" s="60" t="str">
        <f ca="1">IFERROR(__xludf.DUMMYFUNCTION("QUERY('Volunteer Survey'!P91)"),"I am particularly interested in the variant and gene curation expert panels under dosage sensitivity working group. ")</f>
        <v xml:space="preserve">I am particularly interested in the variant and gene curation expert panels under dosage sensitivity working group. </v>
      </c>
      <c r="X85" s="58" t="str">
        <f ca="1">IFERROR(__xludf.DUMMYFUNCTION("QUERY('Volunteer Survey'!R91)"),"Yes- I am willing to volunteer with any available ClinGen group")</f>
        <v>Yes- I am willing to volunteer with any available ClinGen group</v>
      </c>
      <c r="Y85" s="47"/>
      <c r="Z85" s="62"/>
      <c r="AA85" s="49"/>
      <c r="AB85" s="49"/>
      <c r="AC85" s="49"/>
      <c r="AD85" s="49"/>
      <c r="AE85" s="49"/>
      <c r="AF85" s="49"/>
      <c r="AG85" s="49"/>
      <c r="AH85" s="49"/>
      <c r="AI85" s="49"/>
      <c r="AJ85" s="49"/>
      <c r="AK85" s="49"/>
      <c r="AL85" s="49"/>
      <c r="AM85" s="49"/>
      <c r="AN85" s="49"/>
      <c r="AO85" s="49"/>
    </row>
    <row r="86" spans="1:41" ht="14">
      <c r="A86" s="44">
        <f ca="1">IFERROR(__xludf.DUMMYFUNCTION("QUERY('Volunteer Survey'!A92)"),43366.5359259259)</f>
        <v>43366.535925925898</v>
      </c>
      <c r="B86" s="42" t="s">
        <v>108</v>
      </c>
      <c r="C86" s="47"/>
      <c r="D86" s="49"/>
      <c r="E86" s="42" t="s">
        <v>130</v>
      </c>
      <c r="F86" s="42" t="s">
        <v>130</v>
      </c>
      <c r="G86" s="42" t="s">
        <v>202</v>
      </c>
      <c r="H86" s="47"/>
      <c r="I86" s="47"/>
      <c r="J86" s="49"/>
      <c r="K86" s="49"/>
      <c r="L86" s="49" t="str">
        <f ca="1">IFERROR(__xludf.DUMMYFUNCTION("QUERY('Volunteer Survey'!B92)"),"Michelle Green")</f>
        <v>Michelle Green</v>
      </c>
      <c r="M86" s="49" t="str">
        <f ca="1">IFERROR(__xludf.DUMMYFUNCTION("QUERY('Volunteer Survey'!E92)"),"Michelle.green@n-of-one.com")</f>
        <v>Michelle.green@n-of-one.com</v>
      </c>
      <c r="N86" s="49" t="str">
        <f ca="1">IFERROR(__xludf.DUMMYFUNCTION("QUERY('Volunteer Survey'!F92)"),"Biocurator, Variant Analyst/Scientist")</f>
        <v>Biocurator, Variant Analyst/Scientist</v>
      </c>
      <c r="O86" s="42" t="str">
        <f ca="1">IFERROR(__xludf.DUMMYFUNCTION("QUERY('Volunteer Survey'!H92)"),"Baseline")</f>
        <v>Baseline</v>
      </c>
      <c r="P86" s="49" t="str">
        <f ca="1">IFERROR(__xludf.DUMMYFUNCTION("QUERY('Volunteer Survey'!I92)"),"Variant Pathogenicity")</f>
        <v>Variant Pathogenicity</v>
      </c>
      <c r="Q86" s="54" t="str">
        <f ca="1">IFERROR(__xludf.DUMMYFUNCTION("QUERY('Volunteer Survey'!J92)"),"")</f>
        <v/>
      </c>
      <c r="R86" s="49" t="str">
        <f ca="1">IFERROR(__xludf.DUMMYFUNCTION("QUERY('Volunteer Survey'!K92)"),"")</f>
        <v/>
      </c>
      <c r="S86" s="49" t="str">
        <f ca="1">IFERROR(__xludf.DUMMYFUNCTION("QUERY('Volunteer Survey'!L92)"),"")</f>
        <v/>
      </c>
      <c r="T86" s="49" t="str">
        <f ca="1">IFERROR(__xludf.DUMMYFUNCTION("QUERY('Volunteer Survey'!M92)"),"")</f>
        <v/>
      </c>
      <c r="U86" s="58" t="str">
        <f ca="1">IFERROR(__xludf.DUMMYFUNCTION("QUERY('Volunteer Survey'!N92)"),"Yes")</f>
        <v>Yes</v>
      </c>
      <c r="V86" s="49" t="str">
        <f ca="1">IFERROR(__xludf.DUMMYFUNCTION("QUERY('Volunteer Survey'!O92)"),"Possibly")</f>
        <v>Possibly</v>
      </c>
      <c r="W86" s="60" t="str">
        <f ca="1">IFERROR(__xludf.DUMMYFUNCTION("QUERY('Volunteer Survey'!P92)"),"NA")</f>
        <v>NA</v>
      </c>
      <c r="X86" s="58" t="str">
        <f ca="1">IFERROR(__xludf.DUMMYFUNCTION("QUERY('Volunteer Survey'!R92)"),"Maybe -- please contact me with other options, and I will decide based on what is available")</f>
        <v>Maybe -- please contact me with other options, and I will decide based on what is available</v>
      </c>
      <c r="Y86" s="47"/>
      <c r="Z86" s="62"/>
      <c r="AA86" s="49"/>
      <c r="AB86" s="49"/>
      <c r="AC86" s="49"/>
      <c r="AD86" s="49"/>
      <c r="AE86" s="49"/>
      <c r="AF86" s="49"/>
      <c r="AG86" s="49"/>
      <c r="AH86" s="49"/>
      <c r="AI86" s="49"/>
      <c r="AJ86" s="49"/>
      <c r="AK86" s="49"/>
      <c r="AL86" s="49"/>
      <c r="AM86" s="49"/>
      <c r="AN86" s="49"/>
      <c r="AO86" s="49"/>
    </row>
    <row r="87" spans="1:41" ht="14">
      <c r="A87" s="44">
        <f ca="1">IFERROR(__xludf.DUMMYFUNCTION("QUERY('Volunteer Survey'!A93)"),43371.539386574)</f>
        <v>43371.539386573997</v>
      </c>
      <c r="B87" s="42" t="s">
        <v>108</v>
      </c>
      <c r="C87" s="47"/>
      <c r="D87" s="49"/>
      <c r="E87" s="42" t="s">
        <v>130</v>
      </c>
      <c r="F87" s="42" t="s">
        <v>130</v>
      </c>
      <c r="G87" s="42" t="s">
        <v>202</v>
      </c>
      <c r="H87" s="47"/>
      <c r="I87" s="45" t="s">
        <v>139</v>
      </c>
      <c r="J87" s="49"/>
      <c r="K87" s="49"/>
      <c r="L87" s="49" t="str">
        <f ca="1">IFERROR(__xludf.DUMMYFUNCTION("QUERY('Volunteer Survey'!B93)"),"Mahsa")</f>
        <v>Mahsa</v>
      </c>
      <c r="M87" s="49" t="str">
        <f ca="1">IFERROR(__xludf.DUMMYFUNCTION("QUERY('Volunteer Survey'!E93)"),"mahsash@nmsu.edu")</f>
        <v>mahsash@nmsu.edu</v>
      </c>
      <c r="N87" s="49" t="str">
        <f ca="1">IFERROR(__xludf.DUMMYFUNCTION("QUERY('Volunteer Survey'!F93)"),"Graduate Student")</f>
        <v>Graduate Student</v>
      </c>
      <c r="O87" s="42" t="str">
        <f ca="1">IFERROR(__xludf.DUMMYFUNCTION("QUERY('Volunteer Survey'!H93)"),"Baseline")</f>
        <v>Baseline</v>
      </c>
      <c r="P87" s="49" t="str">
        <f ca="1">IFERROR(__xludf.DUMMYFUNCTION("QUERY('Volunteer Survey'!I93)"),"")</f>
        <v/>
      </c>
      <c r="Q87" s="54" t="str">
        <f ca="1">IFERROR(__xludf.DUMMYFUNCTION("QUERY('Volunteer Survey'!J93)"),"")</f>
        <v/>
      </c>
      <c r="R87" s="49" t="str">
        <f ca="1">IFERROR(__xludf.DUMMYFUNCTION("QUERY('Volunteer Survey'!K93)"),"")</f>
        <v/>
      </c>
      <c r="S87" s="49" t="str">
        <f ca="1">IFERROR(__xludf.DUMMYFUNCTION("QUERY('Volunteer Survey'!L93)"),"")</f>
        <v/>
      </c>
      <c r="T87" s="49" t="str">
        <f ca="1">IFERROR(__xludf.DUMMYFUNCTION("QUERY('Volunteer Survey'!M93)"),"")</f>
        <v/>
      </c>
      <c r="U87" s="58" t="str">
        <f ca="1">IFERROR(__xludf.DUMMYFUNCTION("QUERY('Volunteer Survey'!N93)"),"No")</f>
        <v>No</v>
      </c>
      <c r="V87" s="49" t="str">
        <f ca="1">IFERROR(__xludf.DUMMYFUNCTION("QUERY('Volunteer Survey'!O93)"),"Possibly")</f>
        <v>Possibly</v>
      </c>
      <c r="W87" s="60" t="str">
        <f ca="1">IFERROR(__xludf.DUMMYFUNCTION("QUERY('Volunteer Survey'!P93)"),"NA")</f>
        <v>NA</v>
      </c>
      <c r="X87" s="58" t="str">
        <f ca="1">IFERROR(__xludf.DUMMYFUNCTION("QUERY('Volunteer Survey'!R93)"),"Maybe -- please contact me with other options, and I will decide based on what is available")</f>
        <v>Maybe -- please contact me with other options, and I will decide based on what is available</v>
      </c>
      <c r="Y87" s="47"/>
      <c r="Z87" s="62"/>
      <c r="AA87" s="49"/>
      <c r="AB87" s="49"/>
      <c r="AC87" s="49"/>
      <c r="AD87" s="49"/>
      <c r="AE87" s="49"/>
      <c r="AF87" s="49"/>
      <c r="AG87" s="49"/>
      <c r="AH87" s="49"/>
      <c r="AI87" s="49"/>
      <c r="AJ87" s="49"/>
      <c r="AK87" s="49"/>
      <c r="AL87" s="49"/>
      <c r="AM87" s="49"/>
      <c r="AN87" s="49"/>
      <c r="AO87" s="49"/>
    </row>
    <row r="88" spans="1:41" ht="14">
      <c r="A88" s="44">
        <f ca="1">IFERROR(__xludf.DUMMYFUNCTION("QUERY('Volunteer Survey'!A94)"),43372.5490509259)</f>
        <v>43372.549050925903</v>
      </c>
      <c r="B88" s="42" t="s">
        <v>108</v>
      </c>
      <c r="C88" s="47"/>
      <c r="D88" s="49"/>
      <c r="E88" s="42" t="s">
        <v>130</v>
      </c>
      <c r="F88" s="42" t="s">
        <v>130</v>
      </c>
      <c r="G88" s="42" t="s">
        <v>202</v>
      </c>
      <c r="H88" s="47"/>
      <c r="I88" s="47"/>
      <c r="J88" s="49"/>
      <c r="K88" s="49"/>
      <c r="L88" s="49" t="str">
        <f ca="1">IFERROR(__xludf.DUMMYFUNCTION("QUERY('Volunteer Survey'!B94)"),"Michelle Green")</f>
        <v>Michelle Green</v>
      </c>
      <c r="M88" s="49" t="str">
        <f ca="1">IFERROR(__xludf.DUMMYFUNCTION("QUERY('Volunteer Survey'!E94)"),"mfgreen14@gmail.com")</f>
        <v>mfgreen14@gmail.com</v>
      </c>
      <c r="N88" s="49" t="str">
        <f ca="1">IFERROR(__xludf.DUMMYFUNCTION("QUERY('Volunteer Survey'!F94)"),"Biocurator, Variant Analyst/Scientist")</f>
        <v>Biocurator, Variant Analyst/Scientist</v>
      </c>
      <c r="O88" s="42" t="str">
        <f ca="1">IFERROR(__xludf.DUMMYFUNCTION("QUERY('Volunteer Survey'!H94)"),"Baseline")</f>
        <v>Baseline</v>
      </c>
      <c r="P88" s="49" t="str">
        <f ca="1">IFERROR(__xludf.DUMMYFUNCTION("QUERY('Volunteer Survey'!I94)"),"")</f>
        <v/>
      </c>
      <c r="Q88" s="54" t="str">
        <f ca="1">IFERROR(__xludf.DUMMYFUNCTION("QUERY('Volunteer Survey'!J94)"),"")</f>
        <v/>
      </c>
      <c r="R88" s="49" t="str">
        <f ca="1">IFERROR(__xludf.DUMMYFUNCTION("QUERY('Volunteer Survey'!K94)"),"")</f>
        <v/>
      </c>
      <c r="S88" s="49" t="str">
        <f ca="1">IFERROR(__xludf.DUMMYFUNCTION("QUERY('Volunteer Survey'!L94)"),"")</f>
        <v/>
      </c>
      <c r="T88" s="49" t="str">
        <f ca="1">IFERROR(__xludf.DUMMYFUNCTION("QUERY('Volunteer Survey'!M94)"),"")</f>
        <v/>
      </c>
      <c r="U88" s="58" t="str">
        <f ca="1">IFERROR(__xludf.DUMMYFUNCTION("QUERY('Volunteer Survey'!N94)"),"Yes")</f>
        <v>Yes</v>
      </c>
      <c r="V88" s="49" t="str">
        <f ca="1">IFERROR(__xludf.DUMMYFUNCTION("QUERY('Volunteer Survey'!O94)"),"Possibly")</f>
        <v>Possibly</v>
      </c>
      <c r="W88" s="60" t="str">
        <f ca="1">IFERROR(__xludf.DUMMYFUNCTION("QUERY('Volunteer Survey'!P94)"),"NA")</f>
        <v>NA</v>
      </c>
      <c r="X88" s="58" t="str">
        <f ca="1">IFERROR(__xludf.DUMMYFUNCTION("QUERY('Volunteer Survey'!R94)"),"Maybe -- please contact me with other options, and I will decide based on what is available")</f>
        <v>Maybe -- please contact me with other options, and I will decide based on what is available</v>
      </c>
      <c r="Y88" s="47"/>
      <c r="Z88" s="62"/>
      <c r="AA88" s="49"/>
      <c r="AB88" s="49"/>
      <c r="AC88" s="49"/>
      <c r="AD88" s="49"/>
      <c r="AE88" s="49"/>
      <c r="AF88" s="49"/>
      <c r="AG88" s="49"/>
      <c r="AH88" s="49"/>
      <c r="AI88" s="49"/>
      <c r="AJ88" s="49"/>
      <c r="AK88" s="49"/>
      <c r="AL88" s="49"/>
      <c r="AM88" s="49"/>
      <c r="AN88" s="49"/>
      <c r="AO88" s="49"/>
    </row>
    <row r="89" spans="1:41" ht="14">
      <c r="A89" s="44">
        <f ca="1">IFERROR(__xludf.DUMMYFUNCTION("QUERY('Volunteer Survey'!A95)"),43389.5503356481)</f>
        <v>43389.550335648099</v>
      </c>
      <c r="B89" s="42" t="s">
        <v>108</v>
      </c>
      <c r="C89" s="47"/>
      <c r="D89" s="49"/>
      <c r="E89" s="42" t="s">
        <v>130</v>
      </c>
      <c r="F89" s="42" t="s">
        <v>130</v>
      </c>
      <c r="G89" s="42" t="s">
        <v>202</v>
      </c>
      <c r="H89" s="47"/>
      <c r="I89" s="45" t="s">
        <v>139</v>
      </c>
      <c r="J89" s="49"/>
      <c r="K89" s="49"/>
      <c r="L89" s="49" t="str">
        <f ca="1">IFERROR(__xludf.DUMMYFUNCTION("QUERY('Volunteer Survey'!B95)"),"Xinkun ""Sequen"" Wang")</f>
        <v>Xinkun "Sequen" Wang</v>
      </c>
      <c r="M89" s="49" t="str">
        <f ca="1">IFERROR(__xludf.DUMMYFUNCTION("QUERY('Volunteer Survey'!E95)"),"xinkun.wang@northwestern.edu")</f>
        <v>xinkun.wang@northwestern.edu</v>
      </c>
      <c r="N89" s="49" t="str">
        <f ca="1">IFERROR(__xludf.DUMMYFUNCTION("QUERY('Volunteer Survey'!F95)"),"Scientific Researcher")</f>
        <v>Scientific Researcher</v>
      </c>
      <c r="O89" s="42" t="str">
        <f ca="1">IFERROR(__xludf.DUMMYFUNCTION("QUERY('Volunteer Survey'!H95)"),"Baseline")</f>
        <v>Baseline</v>
      </c>
      <c r="P89" s="49" t="str">
        <f ca="1">IFERROR(__xludf.DUMMYFUNCTION("QUERY('Volunteer Survey'!I95)"),"")</f>
        <v/>
      </c>
      <c r="Q89" s="54" t="str">
        <f ca="1">IFERROR(__xludf.DUMMYFUNCTION("QUERY('Volunteer Survey'!J95)"),"")</f>
        <v/>
      </c>
      <c r="R89" s="49" t="str">
        <f ca="1">IFERROR(__xludf.DUMMYFUNCTION("QUERY('Volunteer Survey'!K95)"),"")</f>
        <v/>
      </c>
      <c r="S89" s="49" t="str">
        <f ca="1">IFERROR(__xludf.DUMMYFUNCTION("QUERY('Volunteer Survey'!L95)"),"")</f>
        <v/>
      </c>
      <c r="T89" s="49" t="str">
        <f ca="1">IFERROR(__xludf.DUMMYFUNCTION("QUERY('Volunteer Survey'!M95)"),"")</f>
        <v/>
      </c>
      <c r="U89" s="58" t="str">
        <f ca="1">IFERROR(__xludf.DUMMYFUNCTION("QUERY('Volunteer Survey'!N95)"),"No")</f>
        <v>No</v>
      </c>
      <c r="V89" s="49" t="str">
        <f ca="1">IFERROR(__xludf.DUMMYFUNCTION("QUERY('Volunteer Survey'!O95)"),"Possibly")</f>
        <v>Possibly</v>
      </c>
      <c r="W89" s="60" t="str">
        <f ca="1">IFERROR(__xludf.DUMMYFUNCTION("QUERY('Volunteer Survey'!P95)"),"Epilepsy Gene Curation Expert Panel Autism and Intellectual Disability Gene Curation Expert Panel")</f>
        <v>Epilepsy Gene Curation Expert Panel Autism and Intellectual Disability Gene Curation Expert Panel</v>
      </c>
      <c r="X89" s="58" t="str">
        <f ca="1">IFERROR(__xludf.DUMMYFUNCTION("QUERY('Volunteer Survey'!R95)"),"Maybe -- please contact me with other options, and I will decide based on what is available")</f>
        <v>Maybe -- please contact me with other options, and I will decide based on what is available</v>
      </c>
      <c r="Y89" s="47"/>
      <c r="Z89" s="62"/>
      <c r="AA89" s="49"/>
      <c r="AB89" s="49"/>
      <c r="AC89" s="49"/>
      <c r="AD89" s="49"/>
      <c r="AE89" s="49"/>
      <c r="AF89" s="49"/>
      <c r="AG89" s="49"/>
      <c r="AH89" s="49"/>
      <c r="AI89" s="49"/>
      <c r="AJ89" s="49"/>
      <c r="AK89" s="49"/>
      <c r="AL89" s="49"/>
      <c r="AM89" s="49"/>
      <c r="AN89" s="49"/>
      <c r="AO89" s="49"/>
    </row>
    <row r="90" spans="1:41" ht="14">
      <c r="A90" s="44">
        <f ca="1">IFERROR(__xludf.DUMMYFUNCTION("QUERY('Volunteer Survey'!A96)"),43402.551099537)</f>
        <v>43402.551099536999</v>
      </c>
      <c r="B90" s="42" t="s">
        <v>108</v>
      </c>
      <c r="C90" s="47"/>
      <c r="D90" s="49"/>
      <c r="E90" s="42" t="s">
        <v>130</v>
      </c>
      <c r="F90" s="42" t="s">
        <v>130</v>
      </c>
      <c r="G90" s="42" t="s">
        <v>202</v>
      </c>
      <c r="H90" s="47"/>
      <c r="I90" s="45" t="s">
        <v>139</v>
      </c>
      <c r="J90" s="49"/>
      <c r="K90" s="49"/>
      <c r="L90" s="49" t="str">
        <f ca="1">IFERROR(__xludf.DUMMYFUNCTION("QUERY('Volunteer Survey'!B96)"),"Siddharth Banka")</f>
        <v>Siddharth Banka</v>
      </c>
      <c r="M90" s="49" t="str">
        <f ca="1">IFERROR(__xludf.DUMMYFUNCTION("QUERY('Volunteer Survey'!E96)"),"Siddharth.Banka@manchester.ac.uk")</f>
        <v>Siddharth.Banka@manchester.ac.uk</v>
      </c>
      <c r="N90" s="49" t="str">
        <f ca="1">IFERROR(__xludf.DUMMYFUNCTION("QUERY('Volunteer Survey'!F96)"),"Clinical Medical Geneticist")</f>
        <v>Clinical Medical Geneticist</v>
      </c>
      <c r="O90" s="42" t="str">
        <f ca="1">IFERROR(__xludf.DUMMYFUNCTION("QUERY('Volunteer Survey'!H96)"),"Baseline")</f>
        <v>Baseline</v>
      </c>
      <c r="P90" s="49" t="str">
        <f ca="1">IFERROR(__xludf.DUMMYFUNCTION("QUERY('Volunteer Survey'!I96)"),"")</f>
        <v/>
      </c>
      <c r="Q90" s="54" t="str">
        <f ca="1">IFERROR(__xludf.DUMMYFUNCTION("QUERY('Volunteer Survey'!J96)"),"")</f>
        <v/>
      </c>
      <c r="R90" s="49" t="str">
        <f ca="1">IFERROR(__xludf.DUMMYFUNCTION("QUERY('Volunteer Survey'!K96)"),"")</f>
        <v/>
      </c>
      <c r="S90" s="49" t="str">
        <f ca="1">IFERROR(__xludf.DUMMYFUNCTION("QUERY('Volunteer Survey'!L96)"),"")</f>
        <v/>
      </c>
      <c r="T90" s="49" t="str">
        <f ca="1">IFERROR(__xludf.DUMMYFUNCTION("QUERY('Volunteer Survey'!M96)"),"")</f>
        <v/>
      </c>
      <c r="U90" s="58" t="str">
        <f ca="1">IFERROR(__xludf.DUMMYFUNCTION("QUERY('Volunteer Survey'!N96)"),"Yes")</f>
        <v>Yes</v>
      </c>
      <c r="V90" s="49" t="str">
        <f ca="1">IFERROR(__xludf.DUMMYFUNCTION("QUERY('Volunteer Survey'!O96)"),"Possibly")</f>
        <v>Possibly</v>
      </c>
      <c r="W90" s="60" t="str">
        <f ca="1">IFERROR(__xludf.DUMMYFUNCTION("QUERY('Volunteer Survey'!P96)"),"Neurodevelopmental Disorders, experience with curating CNVs (potentially Dosage)")</f>
        <v>Neurodevelopmental Disorders, experience with curating CNVs (potentially Dosage)</v>
      </c>
      <c r="X90" s="58" t="str">
        <f ca="1">IFERROR(__xludf.DUMMYFUNCTION("QUERY('Volunteer Survey'!R96)"),"Maybe -- please contact me with other options, and I will decide based on what is available")</f>
        <v>Maybe -- please contact me with other options, and I will decide based on what is available</v>
      </c>
      <c r="Y90" s="47"/>
      <c r="Z90" s="62"/>
      <c r="AA90" s="49"/>
      <c r="AB90" s="49"/>
      <c r="AC90" s="49"/>
      <c r="AD90" s="49"/>
      <c r="AE90" s="49"/>
      <c r="AF90" s="49"/>
      <c r="AG90" s="49"/>
      <c r="AH90" s="49"/>
      <c r="AI90" s="49"/>
      <c r="AJ90" s="49"/>
      <c r="AK90" s="49"/>
      <c r="AL90" s="49"/>
      <c r="AM90" s="49"/>
      <c r="AN90" s="49"/>
      <c r="AO90" s="49"/>
    </row>
    <row r="91" spans="1:41" ht="14">
      <c r="A91" s="44">
        <f ca="1">IFERROR(__xludf.DUMMYFUNCTION("QUERY('Volunteer Survey'!A97)"),43426.5519328703)</f>
        <v>43426.551932870301</v>
      </c>
      <c r="B91" s="42" t="s">
        <v>168</v>
      </c>
      <c r="C91" s="47"/>
      <c r="D91" s="49"/>
      <c r="E91" s="42" t="s">
        <v>130</v>
      </c>
      <c r="F91" s="42" t="s">
        <v>130</v>
      </c>
      <c r="G91" s="42" t="s">
        <v>136</v>
      </c>
      <c r="H91" s="47"/>
      <c r="I91" s="45" t="s">
        <v>139</v>
      </c>
      <c r="J91" s="49"/>
      <c r="K91" s="49"/>
      <c r="L91" s="49" t="str">
        <f ca="1">IFERROR(__xludf.DUMMYFUNCTION("QUERY('Volunteer Survey'!B97)"),"Anna Tanska")</f>
        <v>Anna Tanska</v>
      </c>
      <c r="M91" s="49" t="str">
        <f ca="1">IFERROR(__xludf.DUMMYFUNCTION("QUERY('Volunteer Survey'!E97)"),"""anna.tanska@petermac.org """)</f>
        <v>"anna.tanska@petermac.org "</v>
      </c>
      <c r="N91" s="49" t="str">
        <f ca="1">IFERROR(__xludf.DUMMYFUNCTION("QUERY('Volunteer Survey'!F97)"),"Variant Analyst/Scientist")</f>
        <v>Variant Analyst/Scientist</v>
      </c>
      <c r="O91" s="42" t="str">
        <f ca="1">IFERROR(__xludf.DUMMYFUNCTION("QUERY('Volunteer Survey'!H97)"),"Comprehensive")</f>
        <v>Comprehensive</v>
      </c>
      <c r="P91" s="49" t="str">
        <f ca="1">IFERROR(__xludf.DUMMYFUNCTION("QUERY('Volunteer Survey'!I97)"),"")</f>
        <v/>
      </c>
      <c r="Q91" s="54" t="str">
        <f ca="1">IFERROR(__xludf.DUMMYFUNCTION("QUERY('Volunteer Survey'!J97)"),"")</f>
        <v/>
      </c>
      <c r="R91" s="49" t="str">
        <f ca="1">IFERROR(__xludf.DUMMYFUNCTION("QUERY('Volunteer Survey'!K97)"),"")</f>
        <v/>
      </c>
      <c r="S91" s="49" t="str">
        <f ca="1">IFERROR(__xludf.DUMMYFUNCTION("QUERY('Volunteer Survey'!L97)"),"")</f>
        <v/>
      </c>
      <c r="T91" s="49" t="str">
        <f ca="1">IFERROR(__xludf.DUMMYFUNCTION("QUERY('Volunteer Survey'!M97)"),"")</f>
        <v/>
      </c>
      <c r="U91" s="58" t="str">
        <f ca="1">IFERROR(__xludf.DUMMYFUNCTION("QUERY('Volunteer Survey'!N97)"),"Yes")</f>
        <v>Yes</v>
      </c>
      <c r="V91" s="49" t="str">
        <f ca="1">IFERROR(__xludf.DUMMYFUNCTION("QUERY('Volunteer Survey'!O97)"),"Possibly")</f>
        <v>Possibly</v>
      </c>
      <c r="W91" s="60" t="str">
        <f ca="1">IFERROR(__xludf.DUMMYFUNCTION("QUERY('Volunteer Survey'!P97)"),"Somatic cancer WG")</f>
        <v>Somatic cancer WG</v>
      </c>
      <c r="X91" s="58" t="str">
        <f ca="1">IFERROR(__xludf.DUMMYFUNCTION("QUERY('Volunteer Survey'!R97)"),"Maybe -- please contact me with other options, and I will decide based on what is available")</f>
        <v>Maybe -- please contact me with other options, and I will decide based on what is available</v>
      </c>
      <c r="Y91" s="47"/>
      <c r="Z91" s="62"/>
      <c r="AA91" s="49"/>
      <c r="AB91" s="49"/>
      <c r="AC91" s="49"/>
      <c r="AD91" s="49"/>
      <c r="AE91" s="49"/>
      <c r="AF91" s="49"/>
      <c r="AG91" s="49"/>
      <c r="AH91" s="49"/>
      <c r="AI91" s="49"/>
      <c r="AJ91" s="49"/>
      <c r="AK91" s="49"/>
      <c r="AL91" s="49"/>
      <c r="AM91" s="49"/>
      <c r="AN91" s="49"/>
      <c r="AO91" s="49"/>
    </row>
    <row r="92" spans="1:41" ht="14">
      <c r="A92" s="44">
        <f ca="1">IFERROR(__xludf.DUMMYFUNCTION("QUERY('Volunteer Survey'!A98)"),43427.5528703703)</f>
        <v>43427.552870370302</v>
      </c>
      <c r="B92" s="42" t="s">
        <v>108</v>
      </c>
      <c r="C92" s="47"/>
      <c r="D92" s="49"/>
      <c r="E92" s="42" t="s">
        <v>130</v>
      </c>
      <c r="F92" s="42" t="s">
        <v>130</v>
      </c>
      <c r="G92" s="42" t="s">
        <v>202</v>
      </c>
      <c r="H92" s="47"/>
      <c r="I92" s="45" t="s">
        <v>139</v>
      </c>
      <c r="J92" s="49"/>
      <c r="K92" s="49"/>
      <c r="L92" s="49" t="str">
        <f ca="1">IFERROR(__xludf.DUMMYFUNCTION("QUERY('Volunteer Survey'!B98)"),"Amanda Fortier")</f>
        <v>Amanda Fortier</v>
      </c>
      <c r="M92" s="49" t="str">
        <f ca="1">IFERROR(__xludf.DUMMYFUNCTION("QUERY('Volunteer Survey'!E98)"),"amanda.fortier@advocatehealth.com")</f>
        <v>amanda.fortier@advocatehealth.com</v>
      </c>
      <c r="N92" s="49" t="str">
        <f ca="1">IFERROR(__xludf.DUMMYFUNCTION("QUERY('Volunteer Survey'!F98)"),"Clinical laboratory geneticist")</f>
        <v>Clinical laboratory geneticist</v>
      </c>
      <c r="O92" s="42" t="str">
        <f ca="1">IFERROR(__xludf.DUMMYFUNCTION("QUERY('Volunteer Survey'!H98)"),"Baseline")</f>
        <v>Baseline</v>
      </c>
      <c r="P92" s="49" t="str">
        <f ca="1">IFERROR(__xludf.DUMMYFUNCTION("QUERY('Volunteer Survey'!I98)"),"")</f>
        <v/>
      </c>
      <c r="Q92" s="54" t="str">
        <f ca="1">IFERROR(__xludf.DUMMYFUNCTION("QUERY('Volunteer Survey'!J98)"),"")</f>
        <v/>
      </c>
      <c r="R92" s="49" t="str">
        <f ca="1">IFERROR(__xludf.DUMMYFUNCTION("QUERY('Volunteer Survey'!K98)"),"")</f>
        <v/>
      </c>
      <c r="S92" s="49" t="str">
        <f ca="1">IFERROR(__xludf.DUMMYFUNCTION("QUERY('Volunteer Survey'!L98)"),"")</f>
        <v/>
      </c>
      <c r="T92" s="49" t="str">
        <f ca="1">IFERROR(__xludf.DUMMYFUNCTION("QUERY('Volunteer Survey'!M98)"),"")</f>
        <v/>
      </c>
      <c r="U92" s="58" t="str">
        <f ca="1">IFERROR(__xludf.DUMMYFUNCTION("QUERY('Volunteer Survey'!N98)"),"No")</f>
        <v>No</v>
      </c>
      <c r="V92" s="49" t="str">
        <f ca="1">IFERROR(__xludf.DUMMYFUNCTION("QUERY('Volunteer Survey'!O98)"),"Possibly")</f>
        <v>Possibly</v>
      </c>
      <c r="W92" s="60" t="str">
        <f ca="1">IFERROR(__xludf.DUMMYFUNCTION("QUERY('Volunteer Survey'!P98)"),"Yes, if needed. I am open to considering this type of activity.")</f>
        <v>Yes, if needed. I am open to considering this type of activity.</v>
      </c>
      <c r="X92" s="58" t="str">
        <f ca="1">IFERROR(__xludf.DUMMYFUNCTION("QUERY('Volunteer Survey'!R98)"),"Maybe -- please contact me with other options, and I will decide based on what is available")</f>
        <v>Maybe -- please contact me with other options, and I will decide based on what is available</v>
      </c>
      <c r="Y92" s="47"/>
      <c r="Z92" s="62"/>
      <c r="AA92" s="49"/>
      <c r="AB92" s="49"/>
      <c r="AC92" s="49"/>
      <c r="AD92" s="49"/>
      <c r="AE92" s="49"/>
      <c r="AF92" s="49"/>
      <c r="AG92" s="49"/>
      <c r="AH92" s="49"/>
      <c r="AI92" s="49"/>
      <c r="AJ92" s="49"/>
      <c r="AK92" s="49"/>
      <c r="AL92" s="49"/>
      <c r="AM92" s="49"/>
      <c r="AN92" s="49"/>
      <c r="AO92" s="49"/>
    </row>
    <row r="93" spans="1:41" ht="14">
      <c r="A93" s="44">
        <f ca="1">IFERROR(__xludf.DUMMYFUNCTION("QUERY('Volunteer Survey'!A100)"),43483.5545959027)</f>
        <v>43483.5545959027</v>
      </c>
      <c r="B93" s="42" t="s">
        <v>125</v>
      </c>
      <c r="C93" s="81">
        <v>43437</v>
      </c>
      <c r="D93" s="50">
        <v>43446</v>
      </c>
      <c r="E93" s="42" t="s">
        <v>117</v>
      </c>
      <c r="F93" s="42" t="s">
        <v>117</v>
      </c>
      <c r="G93" s="42" t="s">
        <v>122</v>
      </c>
      <c r="H93" s="45" t="s">
        <v>143</v>
      </c>
      <c r="I93" s="45" t="s">
        <v>139</v>
      </c>
      <c r="J93" s="50">
        <v>43592</v>
      </c>
      <c r="K93" s="50">
        <v>43713</v>
      </c>
      <c r="L93" s="49" t="str">
        <f ca="1">IFERROR(__xludf.DUMMYFUNCTION("QUERY('Volunteer Survey'!B100)"),"Ny Hoang")</f>
        <v>Ny Hoang</v>
      </c>
      <c r="M93" s="49" t="str">
        <f ca="1">IFERROR(__xludf.DUMMYFUNCTION("QUERY('Volunteer Survey'!E100)"),"ny.hoang@sickkids.ca")</f>
        <v>ny.hoang@sickkids.ca</v>
      </c>
      <c r="N93" s="49" t="str">
        <f ca="1">IFERROR(__xludf.DUMMYFUNCTION("QUERY('Volunteer Survey'!F100)"),"Genetic counselor")</f>
        <v>Genetic counselor</v>
      </c>
      <c r="O93" s="42" t="s">
        <v>63</v>
      </c>
      <c r="P93" s="49" t="str">
        <f ca="1">IFERROR(__xludf.DUMMYFUNCTION("QUERY('Volunteer Survey'!I100)"),"Gene-Disease Validity")</f>
        <v>Gene-Disease Validity</v>
      </c>
      <c r="Q93" s="54" t="str">
        <f ca="1">IFERROR(__xludf.DUMMYFUNCTION("QUERY('Volunteer Survey'!J100)"),"")</f>
        <v/>
      </c>
      <c r="R93" s="49" t="str">
        <f ca="1">IFERROR(__xludf.DUMMYFUNCTION("QUERY('Volunteer Survey'!K100)"),"")</f>
        <v/>
      </c>
      <c r="S93" s="49" t="str">
        <f ca="1">IFERROR(__xludf.DUMMYFUNCTION("QUERY('Volunteer Survey'!L100)"),"")</f>
        <v/>
      </c>
      <c r="T93" s="49" t="str">
        <f ca="1">IFERROR(__xludf.DUMMYFUNCTION("QUERY('Volunteer Survey'!M100)"),"")</f>
        <v/>
      </c>
      <c r="U93" s="58" t="str">
        <f ca="1">IFERROR(__xludf.DUMMYFUNCTION("QUERY('Volunteer Survey'!N100)"),"Yes")</f>
        <v>Yes</v>
      </c>
      <c r="V93" s="49" t="str">
        <f ca="1">IFERROR(__xludf.DUMMYFUNCTION("QUERY('Volunteer Survey'!O100)"),"Possibly")</f>
        <v>Possibly</v>
      </c>
      <c r="W93" s="60" t="str">
        <f ca="1">IFERROR(__xludf.DUMMYFUNCTION("QUERY('Volunteer Survey'!P100)"),"Autism and ID working group")</f>
        <v>Autism and ID working group</v>
      </c>
      <c r="X93" s="58" t="str">
        <f ca="1">IFERROR(__xludf.DUMMYFUNCTION("QUERY('Volunteer Survey'!R100)"),"Maybe -- please contact me with other options, and I will decide based on what is available")</f>
        <v>Maybe -- please contact me with other options, and I will decide based on what is available</v>
      </c>
      <c r="Y93" s="45" t="s">
        <v>318</v>
      </c>
      <c r="Z93" s="62"/>
      <c r="AA93" s="49"/>
      <c r="AB93" s="49"/>
      <c r="AC93" s="49"/>
      <c r="AD93" s="49"/>
      <c r="AE93" s="49"/>
      <c r="AF93" s="49"/>
      <c r="AG93" s="49"/>
      <c r="AH93" s="49"/>
      <c r="AI93" s="49"/>
      <c r="AJ93" s="49"/>
      <c r="AK93" s="49"/>
      <c r="AL93" s="49"/>
      <c r="AM93" s="49"/>
      <c r="AN93" s="49"/>
      <c r="AO93" s="49"/>
    </row>
    <row r="94" spans="1:41" ht="14">
      <c r="A94" s="44">
        <f ca="1">IFERROR(__xludf.DUMMYFUNCTION("QUERY('Volunteer Survey'!A101)"),43434.5553472222)</f>
        <v>43434.555347222202</v>
      </c>
      <c r="B94" s="42" t="s">
        <v>160</v>
      </c>
      <c r="C94" s="81">
        <v>43437</v>
      </c>
      <c r="D94" s="50">
        <v>43446</v>
      </c>
      <c r="E94" s="42" t="s">
        <v>130</v>
      </c>
      <c r="F94" s="42" t="s">
        <v>130</v>
      </c>
      <c r="G94" s="42" t="s">
        <v>122</v>
      </c>
      <c r="H94" s="45" t="s">
        <v>143</v>
      </c>
      <c r="I94" s="45" t="s">
        <v>139</v>
      </c>
      <c r="J94" s="42"/>
      <c r="K94" s="42"/>
      <c r="L94" s="49" t="str">
        <f ca="1">IFERROR(__xludf.DUMMYFUNCTION("QUERY('Volunteer Survey'!B101)"),"Jacob Vorstman")</f>
        <v>Jacob Vorstman</v>
      </c>
      <c r="M94" s="49" t="str">
        <f ca="1">IFERROR(__xludf.DUMMYFUNCTION("QUERY('Volunteer Survey'!E101)"),"jacob.vorstman@sickkids.ca")</f>
        <v>jacob.vorstman@sickkids.ca</v>
      </c>
      <c r="N94" s="49" t="str">
        <f ca="1">IFERROR(__xludf.DUMMYFUNCTION("QUERY('Volunteer Survey'!F101)"),"Post Doc/Resident/Fellow (MD and/or Phd), Scientific Researcher, Physician (non-geneticist)")</f>
        <v>Post Doc/Resident/Fellow (MD and/or Phd), Scientific Researcher, Physician (non-geneticist)</v>
      </c>
      <c r="O94" s="42" t="s">
        <v>63</v>
      </c>
      <c r="P94" s="49" t="str">
        <f ca="1">IFERROR(__xludf.DUMMYFUNCTION("QUERY('Volunteer Survey'!I101)"),"Gene-Disease Validity")</f>
        <v>Gene-Disease Validity</v>
      </c>
      <c r="Q94" s="54" t="str">
        <f ca="1">IFERROR(__xludf.DUMMYFUNCTION("QUERY('Volunteer Survey'!J101)"),"")</f>
        <v/>
      </c>
      <c r="R94" s="49" t="str">
        <f ca="1">IFERROR(__xludf.DUMMYFUNCTION("QUERY('Volunteer Survey'!K101)"),"")</f>
        <v/>
      </c>
      <c r="S94" s="49" t="str">
        <f ca="1">IFERROR(__xludf.DUMMYFUNCTION("QUERY('Volunteer Survey'!L101)"),"")</f>
        <v/>
      </c>
      <c r="T94" s="49" t="str">
        <f ca="1">IFERROR(__xludf.DUMMYFUNCTION("QUERY('Volunteer Survey'!M101)"),"")</f>
        <v/>
      </c>
      <c r="U94" s="58" t="str">
        <f ca="1">IFERROR(__xludf.DUMMYFUNCTION("QUERY('Volunteer Survey'!N101)"),"Yes")</f>
        <v>Yes</v>
      </c>
      <c r="V94" s="49" t="str">
        <f ca="1">IFERROR(__xludf.DUMMYFUNCTION("QUERY('Volunteer Survey'!O101)"),"Possibly")</f>
        <v>Possibly</v>
      </c>
      <c r="W94" s="60" t="str">
        <f ca="1">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58" t="str">
        <f ca="1">IFERROR(__xludf.DUMMYFUNCTION("QUERY('Volunteer Survey'!R101)"),"Maybe -- please contact me with other options, and I will decide based on what is available")</f>
        <v>Maybe -- please contact me with other options, and I will decide based on what is available</v>
      </c>
      <c r="Y94" s="47"/>
      <c r="Z94" s="62"/>
      <c r="AA94" s="49"/>
      <c r="AB94" s="49"/>
      <c r="AC94" s="49"/>
      <c r="AD94" s="49"/>
      <c r="AE94" s="49"/>
      <c r="AF94" s="49"/>
      <c r="AG94" s="49"/>
      <c r="AH94" s="49"/>
      <c r="AI94" s="49"/>
      <c r="AJ94" s="49"/>
      <c r="AK94" s="49"/>
      <c r="AL94" s="49"/>
      <c r="AM94" s="49"/>
      <c r="AN94" s="49"/>
      <c r="AO94" s="49"/>
    </row>
    <row r="95" spans="1:41" ht="14">
      <c r="A95" s="44">
        <f ca="1">IFERROR(__xludf.DUMMYFUNCTION("QUERY('Volunteer Survey'!A102)"),43485.6961549652)</f>
        <v>43485.696154965197</v>
      </c>
      <c r="B95" s="42" t="s">
        <v>108</v>
      </c>
      <c r="C95" s="47"/>
      <c r="D95" s="43">
        <v>43598</v>
      </c>
      <c r="E95" s="42" t="s">
        <v>117</v>
      </c>
      <c r="F95" s="42" t="s">
        <v>130</v>
      </c>
      <c r="G95" s="42" t="s">
        <v>136</v>
      </c>
      <c r="H95" s="47"/>
      <c r="I95" s="45" t="s">
        <v>139</v>
      </c>
      <c r="J95" s="50">
        <v>43712</v>
      </c>
      <c r="K95" s="50"/>
      <c r="L95" s="49" t="str">
        <f ca="1">IFERROR(__xludf.DUMMYFUNCTION("QUERY('Volunteer Survey'!B102)"),"Qiuxiang Ou")</f>
        <v>Qiuxiang Ou</v>
      </c>
      <c r="M95" s="49" t="str">
        <f ca="1">IFERROR(__xludf.DUMMYFUNCTION("QUERY('Volunteer Survey'!E102)"),"dorothy.ou@gmail.com")</f>
        <v>dorothy.ou@gmail.com</v>
      </c>
      <c r="N95" s="49" t="str">
        <f ca="1">IFERROR(__xludf.DUMMYFUNCTION("QUERY('Volunteer Survey'!F102)"),"Scientific Researcher")</f>
        <v>Scientific Researcher</v>
      </c>
      <c r="O95" s="42" t="str">
        <f ca="1">IFERROR(__xludf.DUMMYFUNCTION("QUERY('Volunteer Survey'!H102)"),"Comprehensive")</f>
        <v>Comprehensive</v>
      </c>
      <c r="P95" s="49" t="str">
        <f ca="1">IFERROR(__xludf.DUMMYFUNCTION("QUERY('Volunteer Survey'!I102)"),"Somatic Cancer")</f>
        <v>Somatic Cancer</v>
      </c>
      <c r="Q95" s="54" t="str">
        <f ca="1">IFERROR(__xludf.DUMMYFUNCTION("QUERY('Volunteer Survey'!J102)"),"Variant Pathogenicity")</f>
        <v>Variant Pathogenicity</v>
      </c>
      <c r="R95" s="49" t="str">
        <f ca="1">IFERROR(__xludf.DUMMYFUNCTION("QUERY('Volunteer Survey'!K102)"),"Clinical Actionability")</f>
        <v>Clinical Actionability</v>
      </c>
      <c r="S95" s="49" t="str">
        <f ca="1">IFERROR(__xludf.DUMMYFUNCTION("QUERY('Volunteer Survey'!L102)"),"Gene-Disease Validity")</f>
        <v>Gene-Disease Validity</v>
      </c>
      <c r="T95" s="49" t="str">
        <f ca="1">IFERROR(__xludf.DUMMYFUNCTION("QUERY('Volunteer Survey'!M102)"),"Dosage Sensitivity")</f>
        <v>Dosage Sensitivity</v>
      </c>
      <c r="U95" s="58" t="str">
        <f ca="1">IFERROR(__xludf.DUMMYFUNCTION("QUERY('Volunteer Survey'!N102)"),"")</f>
        <v/>
      </c>
      <c r="V95" s="49" t="str">
        <f ca="1">IFERROR(__xludf.DUMMYFUNCTION("QUERY('Volunteer Survey'!O102)"),"Possibly")</f>
        <v>Possibly</v>
      </c>
      <c r="W95" s="60" t="str">
        <f ca="1">IFERROR(__xludf.DUMMYFUNCTION("QUERY('Volunteer Survey'!P102)"),"Somatic Cancer Working Group")</f>
        <v>Somatic Cancer Working Group</v>
      </c>
      <c r="X95" s="58" t="str">
        <f ca="1">IFERROR(__xludf.DUMMYFUNCTION("QUERY('Volunteer Survey'!R102)"),"Yes- I am willing to volunteer with any available ClinGen group")</f>
        <v>Yes- I am willing to volunteer with any available ClinGen group</v>
      </c>
      <c r="Y95" s="47"/>
      <c r="Z95" s="62"/>
      <c r="AA95" s="49"/>
      <c r="AB95" s="49"/>
      <c r="AC95" s="49"/>
      <c r="AD95" s="49"/>
      <c r="AE95" s="49"/>
      <c r="AF95" s="49"/>
      <c r="AG95" s="49"/>
      <c r="AH95" s="49"/>
      <c r="AI95" s="49"/>
      <c r="AJ95" s="49"/>
      <c r="AK95" s="49"/>
      <c r="AL95" s="49"/>
      <c r="AM95" s="49"/>
      <c r="AN95" s="49"/>
      <c r="AO95" s="49"/>
    </row>
    <row r="96" spans="1:41" ht="14">
      <c r="A96" s="44">
        <f ca="1">IFERROR(__xludf.DUMMYFUNCTION("QUERY('Volunteer Survey'!A103)"),43416.3743634259)</f>
        <v>43416.374363425901</v>
      </c>
      <c r="B96" s="42" t="s">
        <v>160</v>
      </c>
      <c r="C96" s="73">
        <v>43434</v>
      </c>
      <c r="D96" s="67">
        <v>43522</v>
      </c>
      <c r="E96" s="42" t="s">
        <v>117</v>
      </c>
      <c r="F96" s="42" t="s">
        <v>117</v>
      </c>
      <c r="G96" s="42" t="s">
        <v>19</v>
      </c>
      <c r="H96" s="45" t="s">
        <v>19</v>
      </c>
      <c r="I96" s="45" t="s">
        <v>139</v>
      </c>
      <c r="J96" s="42"/>
      <c r="K96" s="42"/>
      <c r="L96" s="49" t="str">
        <f ca="1">IFERROR(__xludf.DUMMYFUNCTION("QUERY('Volunteer Survey'!B103)"),"Kylin Boehler")</f>
        <v>Kylin Boehler</v>
      </c>
      <c r="M96" s="49" t="str">
        <f ca="1">IFERROR(__xludf.DUMMYFUNCTION("QUERY('Volunteer Survey'!E103)"),"kylin.y.boehler@questdiagnostics.com")</f>
        <v>kylin.y.boehler@questdiagnostics.com</v>
      </c>
      <c r="N96" s="49" t="str">
        <f ca="1">IFERROR(__xludf.DUMMYFUNCTION("QUERY('Volunteer Survey'!F103)"),"Genetic counselor")</f>
        <v>Genetic counselor</v>
      </c>
      <c r="O96" s="42" t="str">
        <f ca="1">IFERROR(__xludf.DUMMYFUNCTION("QUERY('Volunteer Survey'!H103)"),"Comprehensive")</f>
        <v>Comprehensive</v>
      </c>
      <c r="P96" s="49" t="str">
        <f ca="1">IFERROR(__xludf.DUMMYFUNCTION("QUERY('Volunteer Survey'!I103)"),"Clinical Actionability")</f>
        <v>Clinical Actionability</v>
      </c>
      <c r="Q96" s="54" t="str">
        <f ca="1">IFERROR(__xludf.DUMMYFUNCTION("QUERY('Volunteer Survey'!J103)"),"Dosage Sensitivity")</f>
        <v>Dosage Sensitivity</v>
      </c>
      <c r="R96" s="49" t="str">
        <f ca="1">IFERROR(__xludf.DUMMYFUNCTION("QUERY('Volunteer Survey'!K103)"),"Gene-Disease Validity")</f>
        <v>Gene-Disease Validity</v>
      </c>
      <c r="S96" s="49" t="str">
        <f ca="1">IFERROR(__xludf.DUMMYFUNCTION("QUERY('Volunteer Survey'!L103)"),"Variant Pathogenicity")</f>
        <v>Variant Pathogenicity</v>
      </c>
      <c r="T96" s="49" t="str">
        <f ca="1">IFERROR(__xludf.DUMMYFUNCTION("QUERY('Volunteer Survey'!M103)"),"Somatic Cancer")</f>
        <v>Somatic Cancer</v>
      </c>
      <c r="U96" s="58" t="str">
        <f ca="1">IFERROR(__xludf.DUMMYFUNCTION("QUERY('Volunteer Survey'!N103)"),"Yes")</f>
        <v>Yes</v>
      </c>
      <c r="V96" s="49" t="str">
        <f ca="1">IFERROR(__xludf.DUMMYFUNCTION("QUERY('Volunteer Survey'!O103)"),"No")</f>
        <v>No</v>
      </c>
      <c r="W96" s="60" t="str">
        <f ca="1">IFERROR(__xludf.DUMMYFUNCTION("QUERY('Volunteer Survey'!P103)"),"I am mainly interested in the Hereditary Cancer Gene Dosage Sensitivity Curation group.")</f>
        <v>I am mainly interested in the Hereditary Cancer Gene Dosage Sensitivity Curation group.</v>
      </c>
      <c r="X96" s="58" t="str">
        <f ca="1">IFERROR(__xludf.DUMMYFUNCTION("QUERY('Volunteer Survey'!R103)"),"Maybe -- please contact me with other options, and I will decide based on what is available")</f>
        <v>Maybe -- please contact me with other options, and I will decide based on what is available</v>
      </c>
      <c r="Y96" s="45" t="s">
        <v>332</v>
      </c>
      <c r="Z96" s="62"/>
      <c r="AA96" s="49"/>
      <c r="AB96" s="49"/>
      <c r="AC96" s="49"/>
      <c r="AD96" s="49"/>
      <c r="AE96" s="49"/>
      <c r="AF96" s="49"/>
      <c r="AG96" s="49"/>
      <c r="AH96" s="49"/>
      <c r="AI96" s="49"/>
      <c r="AJ96" s="49"/>
      <c r="AK96" s="49"/>
      <c r="AL96" s="49"/>
      <c r="AM96" s="49"/>
      <c r="AN96" s="49"/>
      <c r="AO96" s="49"/>
    </row>
    <row r="97" spans="1:41" ht="14">
      <c r="A97" s="44">
        <f ca="1">IFERROR(__xludf.DUMMYFUNCTION("QUERY('Volunteer Survey'!A104)"),43347.3795486111)</f>
        <v>43347.379548611098</v>
      </c>
      <c r="B97" s="42" t="s">
        <v>168</v>
      </c>
      <c r="C97" s="73">
        <v>43434</v>
      </c>
      <c r="D97" s="49"/>
      <c r="E97" s="42" t="s">
        <v>130</v>
      </c>
      <c r="F97" s="42" t="s">
        <v>130</v>
      </c>
      <c r="G97" s="42" t="s">
        <v>19</v>
      </c>
      <c r="H97" s="45"/>
      <c r="I97" s="45" t="s">
        <v>139</v>
      </c>
      <c r="J97" s="42"/>
      <c r="K97" s="42"/>
      <c r="L97" s="49" t="str">
        <f ca="1">IFERROR(__xludf.DUMMYFUNCTION("QUERY('Volunteer Survey'!B104)"),"Lisa Diller")</f>
        <v>Lisa Diller</v>
      </c>
      <c r="M97" s="49" t="str">
        <f ca="1">IFERROR(__xludf.DUMMYFUNCTION("QUERY('Volunteer Survey'!E104)"),"lisa_diller@dfci.harvard.edu")</f>
        <v>lisa_diller@dfci.harvard.edu</v>
      </c>
      <c r="N97" s="49" t="str">
        <f ca="1">IFERROR(__xludf.DUMMYFUNCTION("QUERY('Volunteer Survey'!F104)"),"Physician (Non-geneticist)")</f>
        <v>Physician (Non-geneticist)</v>
      </c>
      <c r="O97" s="42" t="str">
        <f ca="1">IFERROR(__xludf.DUMMYFUNCTION("QUERY('Volunteer Survey'!H104)"),"Comprehensive")</f>
        <v>Comprehensive</v>
      </c>
      <c r="P97" s="49" t="str">
        <f ca="1">IFERROR(__xludf.DUMMYFUNCTION("QUERY('Volunteer Survey'!I104)"),"Clinical Actionability")</f>
        <v>Clinical Actionability</v>
      </c>
      <c r="Q97" s="54" t="str">
        <f ca="1">IFERROR(__xludf.DUMMYFUNCTION("QUERY('Volunteer Survey'!J104)"),"Gene-Disease Validity")</f>
        <v>Gene-Disease Validity</v>
      </c>
      <c r="R97" s="49" t="str">
        <f ca="1">IFERROR(__xludf.DUMMYFUNCTION("QUERY('Volunteer Survey'!K104)"),"Somatic Cancer")</f>
        <v>Somatic Cancer</v>
      </c>
      <c r="S97" s="49" t="str">
        <f ca="1">IFERROR(__xludf.DUMMYFUNCTION("QUERY('Volunteer Survey'!L104)"),"Variant Pathogenicity")</f>
        <v>Variant Pathogenicity</v>
      </c>
      <c r="T97" s="49" t="str">
        <f ca="1">IFERROR(__xludf.DUMMYFUNCTION("QUERY('Volunteer Survey'!M104)"),"Dosage Sensitivity")</f>
        <v>Dosage Sensitivity</v>
      </c>
      <c r="U97" s="58" t="str">
        <f ca="1">IFERROR(__xludf.DUMMYFUNCTION("QUERY('Volunteer Survey'!N104)"),"No")</f>
        <v>No</v>
      </c>
      <c r="V97" s="49" t="str">
        <f ca="1">IFERROR(__xludf.DUMMYFUNCTION("QUERY('Volunteer Survey'!O104)"),"Yes")</f>
        <v>Yes</v>
      </c>
      <c r="W97" s="60" t="str">
        <f ca="1">IFERROR(__xludf.DUMMYFUNCTION("QUERY('Volunteer Survey'!P104)"),"Hereditary Cancer")</f>
        <v>Hereditary Cancer</v>
      </c>
      <c r="X97" s="58" t="str">
        <f ca="1">IFERROR(__xludf.DUMMYFUNCTION("QUERY('Volunteer Survey'!R104)"),"No - I am only interested in the group(s) I previously indicated")</f>
        <v>No - I am only interested in the group(s) I previously indicated</v>
      </c>
      <c r="Y97" s="47"/>
      <c r="Z97" s="62"/>
      <c r="AA97" s="49"/>
      <c r="AB97" s="49"/>
      <c r="AC97" s="49"/>
      <c r="AD97" s="49"/>
      <c r="AE97" s="49"/>
      <c r="AF97" s="49"/>
      <c r="AG97" s="49"/>
      <c r="AH97" s="49"/>
      <c r="AI97" s="49"/>
      <c r="AJ97" s="49"/>
      <c r="AK97" s="49"/>
      <c r="AL97" s="49"/>
      <c r="AM97" s="49"/>
      <c r="AN97" s="49"/>
      <c r="AO97" s="49"/>
    </row>
    <row r="98" spans="1:41" ht="14">
      <c r="A98" s="44">
        <f ca="1">IFERROR(__xludf.DUMMYFUNCTION("QUERY('Volunteer Survey'!A105)"),43378.381261574)</f>
        <v>43378.381261574003</v>
      </c>
      <c r="B98" s="42" t="s">
        <v>168</v>
      </c>
      <c r="C98" s="73">
        <v>43434</v>
      </c>
      <c r="D98" s="67">
        <v>43567</v>
      </c>
      <c r="E98" s="42" t="s">
        <v>117</v>
      </c>
      <c r="F98" s="42" t="s">
        <v>130</v>
      </c>
      <c r="G98" s="42" t="s">
        <v>19</v>
      </c>
      <c r="H98" s="45"/>
      <c r="I98" s="45" t="s">
        <v>139</v>
      </c>
      <c r="J98" s="42"/>
      <c r="K98" s="42"/>
      <c r="L98" s="49" t="str">
        <f ca="1">IFERROR(__xludf.DUMMYFUNCTION("QUERY('Volunteer Survey'!B105)"),"Nharimann Azima")</f>
        <v>Nharimann Azima</v>
      </c>
      <c r="M98" s="49" t="str">
        <f ca="1">IFERROR(__xludf.DUMMYFUNCTION("QUERY('Volunteer Survey'!E105)"),"naa3f@gwu.edu")</f>
        <v>naa3f@gwu.edu</v>
      </c>
      <c r="N98" s="49" t="str">
        <f ca="1">IFERROR(__xludf.DUMMYFUNCTION("QUERY('Volunteer Survey'!F105)"),"Analyst")</f>
        <v>Analyst</v>
      </c>
      <c r="O98" s="42" t="str">
        <f ca="1">IFERROR(__xludf.DUMMYFUNCTION("QUERY('Volunteer Survey'!H105)"),"Comprehensive")</f>
        <v>Comprehensive</v>
      </c>
      <c r="P98" s="49" t="str">
        <f ca="1">IFERROR(__xludf.DUMMYFUNCTION("QUERY('Volunteer Survey'!I105)"),"Clinical Actionability")</f>
        <v>Clinical Actionability</v>
      </c>
      <c r="Q98" s="54" t="str">
        <f ca="1">IFERROR(__xludf.DUMMYFUNCTION("QUERY('Volunteer Survey'!J105)"),"Somatic Cancer")</f>
        <v>Somatic Cancer</v>
      </c>
      <c r="R98" s="49" t="str">
        <f ca="1">IFERROR(__xludf.DUMMYFUNCTION("QUERY('Volunteer Survey'!K105)"),"Gene-Disease Validity")</f>
        <v>Gene-Disease Validity</v>
      </c>
      <c r="S98" s="49" t="str">
        <f ca="1">IFERROR(__xludf.DUMMYFUNCTION("QUERY('Volunteer Survey'!L105)"),"Variant Pathogenicity")</f>
        <v>Variant Pathogenicity</v>
      </c>
      <c r="T98" s="49" t="str">
        <f ca="1">IFERROR(__xludf.DUMMYFUNCTION("QUERY('Volunteer Survey'!M105)"),"Dosage Sensitivity")</f>
        <v>Dosage Sensitivity</v>
      </c>
      <c r="U98" s="58" t="str">
        <f ca="1">IFERROR(__xludf.DUMMYFUNCTION("QUERY('Volunteer Survey'!N105)"),"Yes")</f>
        <v>Yes</v>
      </c>
      <c r="V98" s="49" t="str">
        <f ca="1">IFERROR(__xludf.DUMMYFUNCTION("QUERY('Volunteer Survey'!O105)"),"Yes")</f>
        <v>Yes</v>
      </c>
      <c r="W98" s="60" t="str">
        <f ca="1">IFERROR(__xludf.DUMMYFUNCTION("QUERY('Volunteer Survey'!P105)"),"I am flexible")</f>
        <v>I am flexible</v>
      </c>
      <c r="X98" s="58" t="str">
        <f ca="1">IFERROR(__xludf.DUMMYFUNCTION("QUERY('Volunteer Survey'!R105)"),"Yes- I am willing to volunteer with any available ClinGen group")</f>
        <v>Yes- I am willing to volunteer with any available ClinGen group</v>
      </c>
      <c r="Y98" s="45" t="s">
        <v>339</v>
      </c>
      <c r="Z98" s="62"/>
      <c r="AA98" s="49"/>
      <c r="AB98" s="49"/>
      <c r="AC98" s="49"/>
      <c r="AD98" s="49"/>
      <c r="AE98" s="49"/>
      <c r="AF98" s="49"/>
      <c r="AG98" s="49"/>
      <c r="AH98" s="49"/>
      <c r="AI98" s="49"/>
      <c r="AJ98" s="49"/>
      <c r="AK98" s="49"/>
      <c r="AL98" s="49"/>
      <c r="AM98" s="49"/>
      <c r="AN98" s="49"/>
      <c r="AO98" s="49"/>
    </row>
    <row r="99" spans="1:41" ht="14">
      <c r="A99" s="44">
        <f ca="1">IFERROR(__xludf.DUMMYFUNCTION("QUERY('Volunteer Survey'!A106)"),43415.383449074)</f>
        <v>43415.383449073997</v>
      </c>
      <c r="B99" s="42" t="s">
        <v>160</v>
      </c>
      <c r="C99" s="73">
        <v>43434</v>
      </c>
      <c r="D99" s="59">
        <v>43678</v>
      </c>
      <c r="E99" s="42" t="s">
        <v>117</v>
      </c>
      <c r="F99" s="42" t="s">
        <v>117</v>
      </c>
      <c r="G99" s="42" t="s">
        <v>19</v>
      </c>
      <c r="H99" s="45" t="s">
        <v>19</v>
      </c>
      <c r="I99" s="45" t="s">
        <v>139</v>
      </c>
      <c r="J99" s="42"/>
      <c r="K99" s="42"/>
      <c r="L99" s="49" t="str">
        <f ca="1">IFERROR(__xludf.DUMMYFUNCTION("QUERY('Volunteer Survey'!B106)"),"Krzysztof Szczaluba")</f>
        <v>Krzysztof Szczaluba</v>
      </c>
      <c r="M99" s="49" t="str">
        <f ca="1">IFERROR(__xludf.DUMMYFUNCTION("QUERY('Volunteer Survey'!E106)"),"krzysztof.szczaluba@gmail.com")</f>
        <v>krzysztof.szczaluba@gmail.com</v>
      </c>
      <c r="N99" s="49" t="str">
        <f ca="1">IFERROR(__xludf.DUMMYFUNCTION("QUERY('Volunteer Survey'!F106)"),"Clinical Medical Geneticist")</f>
        <v>Clinical Medical Geneticist</v>
      </c>
      <c r="O99" s="42" t="str">
        <f ca="1">IFERROR(__xludf.DUMMYFUNCTION("QUERY('Volunteer Survey'!H106)"),"Comprehensive")</f>
        <v>Comprehensive</v>
      </c>
      <c r="P99" s="49" t="str">
        <f ca="1">IFERROR(__xludf.DUMMYFUNCTION("QUERY('Volunteer Survey'!I106)"),"Clinical Actionability")</f>
        <v>Clinical Actionability</v>
      </c>
      <c r="Q99" s="54" t="str">
        <f ca="1">IFERROR(__xludf.DUMMYFUNCTION("QUERY('Volunteer Survey'!J106)"),"Gene-Disease Validity")</f>
        <v>Gene-Disease Validity</v>
      </c>
      <c r="R99" s="49" t="str">
        <f ca="1">IFERROR(__xludf.DUMMYFUNCTION("QUERY('Volunteer Survey'!K106)"),"Variant Pathogenicity")</f>
        <v>Variant Pathogenicity</v>
      </c>
      <c r="S99" s="49" t="str">
        <f ca="1">IFERROR(__xludf.DUMMYFUNCTION("QUERY('Volunteer Survey'!L106)"),"Dosage Sensitivity")</f>
        <v>Dosage Sensitivity</v>
      </c>
      <c r="T99" s="49" t="str">
        <f ca="1">IFERROR(__xludf.DUMMYFUNCTION("QUERY('Volunteer Survey'!M106)"),"Somatic Cancer")</f>
        <v>Somatic Cancer</v>
      </c>
      <c r="U99" s="58" t="str">
        <f ca="1">IFERROR(__xludf.DUMMYFUNCTION("QUERY('Volunteer Survey'!N106)"),"No")</f>
        <v>No</v>
      </c>
      <c r="V99" s="49" t="str">
        <f ca="1">IFERROR(__xludf.DUMMYFUNCTION("QUERY('Volunteer Survey'!O106)"),"Possibly")</f>
        <v>Possibly</v>
      </c>
      <c r="W99" s="60" t="str">
        <f ca="1">IFERROR(__xludf.DUMMYFUNCTION("QUERY('Volunteer Survey'!P106)"),"autism/ID, epi, brovca")</f>
        <v>autism/ID, epi, brovca</v>
      </c>
      <c r="X99" s="58" t="str">
        <f ca="1">IFERROR(__xludf.DUMMYFUNCTION("QUERY('Volunteer Survey'!R106)"),"Maybe -- please contact me with other options, and I will decide based on what is available")</f>
        <v>Maybe -- please contact me with other options, and I will decide based on what is available</v>
      </c>
      <c r="Y99" s="45" t="s">
        <v>340</v>
      </c>
      <c r="Z99" s="62"/>
      <c r="AA99" s="49"/>
      <c r="AB99" s="49"/>
      <c r="AC99" s="49"/>
      <c r="AD99" s="49"/>
      <c r="AE99" s="49"/>
      <c r="AF99" s="49"/>
      <c r="AG99" s="49"/>
      <c r="AH99" s="49"/>
      <c r="AI99" s="49"/>
      <c r="AJ99" s="49"/>
      <c r="AK99" s="49"/>
      <c r="AL99" s="49"/>
      <c r="AM99" s="49"/>
      <c r="AN99" s="49"/>
      <c r="AO99" s="49"/>
    </row>
    <row r="100" spans="1:41" ht="14">
      <c r="A100" s="44">
        <f ca="1">IFERROR(__xludf.DUMMYFUNCTION("QUERY('Volunteer Survey'!A107)"),43416.3851273148)</f>
        <v>43416.385127314803</v>
      </c>
      <c r="B100" s="42" t="s">
        <v>168</v>
      </c>
      <c r="C100" s="73">
        <v>43434</v>
      </c>
      <c r="D100" s="49"/>
      <c r="E100" s="42" t="s">
        <v>130</v>
      </c>
      <c r="F100" s="42" t="s">
        <v>130</v>
      </c>
      <c r="G100" s="42" t="s">
        <v>19</v>
      </c>
      <c r="H100" s="45"/>
      <c r="I100" s="45" t="s">
        <v>139</v>
      </c>
      <c r="J100" s="42"/>
      <c r="K100" s="42"/>
      <c r="L100" s="49" t="str">
        <f ca="1">IFERROR(__xludf.DUMMYFUNCTION("QUERY('Volunteer Survey'!B107)"),"Robin Bennett")</f>
        <v>Robin Bennett</v>
      </c>
      <c r="M100" s="49" t="str">
        <f ca="1">IFERROR(__xludf.DUMMYFUNCTION("QUERY('Volunteer Survey'!E107)"),"robinb@uw.edu")</f>
        <v>robinb@uw.edu</v>
      </c>
      <c r="N100" s="49" t="str">
        <f ca="1">IFERROR(__xludf.DUMMYFUNCTION("QUERY('Volunteer Survey'!F107)"),"Genetic counselor")</f>
        <v>Genetic counselor</v>
      </c>
      <c r="O100" s="42" t="str">
        <f ca="1">IFERROR(__xludf.DUMMYFUNCTION("QUERY('Volunteer Survey'!H107)"),"Comprehensive")</f>
        <v>Comprehensive</v>
      </c>
      <c r="P100" s="49" t="str">
        <f ca="1">IFERROR(__xludf.DUMMYFUNCTION("QUERY('Volunteer Survey'!I107)"),"Clinical Actionability")</f>
        <v>Clinical Actionability</v>
      </c>
      <c r="Q100" s="54" t="str">
        <f ca="1">IFERROR(__xludf.DUMMYFUNCTION("QUERY('Volunteer Survey'!J107)"),"Variant Pathogenicity")</f>
        <v>Variant Pathogenicity</v>
      </c>
      <c r="R100" s="49" t="str">
        <f ca="1">IFERROR(__xludf.DUMMYFUNCTION("QUERY('Volunteer Survey'!K107)"),"Gene-Disease Validity")</f>
        <v>Gene-Disease Validity</v>
      </c>
      <c r="S100" s="49" t="str">
        <f ca="1">IFERROR(__xludf.DUMMYFUNCTION("QUERY('Volunteer Survey'!L107)"),"Somatic Cancer")</f>
        <v>Somatic Cancer</v>
      </c>
      <c r="T100" s="49" t="str">
        <f ca="1">IFERROR(__xludf.DUMMYFUNCTION("QUERY('Volunteer Survey'!M107)"),"Dosage Sensitivity")</f>
        <v>Dosage Sensitivity</v>
      </c>
      <c r="U100" s="58" t="str">
        <f ca="1">IFERROR(__xludf.DUMMYFUNCTION("QUERY('Volunteer Survey'!N107)"),"Yes")</f>
        <v>Yes</v>
      </c>
      <c r="V100" s="49" t="str">
        <f ca="1">IFERROR(__xludf.DUMMYFUNCTION("QUERY('Volunteer Survey'!O107)"),"Possibly")</f>
        <v>Possibly</v>
      </c>
      <c r="W100" s="60" t="str">
        <f ca="1">IFERROR(__xludf.DUMMYFUNCTION("QUERY('Volunteer Survey'!P107)"),"Variant curation expert panels: PTEN, VHL, CDH1, Colorectal cancer, breast-ovarian")</f>
        <v>Variant curation expert panels: PTEN, VHL, CDH1, Colorectal cancer, breast-ovarian</v>
      </c>
      <c r="X100" s="58" t="str">
        <f ca="1">IFERROR(__xludf.DUMMYFUNCTION("QUERY('Volunteer Survey'!R107)"),"Maybe -- please contact me with other options, and I will decide based on what is available")</f>
        <v>Maybe -- please contact me with other options, and I will decide based on what is available</v>
      </c>
      <c r="Y100" s="47"/>
      <c r="Z100" s="62"/>
      <c r="AA100" s="49"/>
      <c r="AB100" s="49"/>
      <c r="AC100" s="49"/>
      <c r="AD100" s="49"/>
      <c r="AE100" s="49"/>
      <c r="AF100" s="49"/>
      <c r="AG100" s="49"/>
      <c r="AH100" s="49"/>
      <c r="AI100" s="49"/>
      <c r="AJ100" s="49"/>
      <c r="AK100" s="49"/>
      <c r="AL100" s="49"/>
      <c r="AM100" s="49"/>
      <c r="AN100" s="49"/>
      <c r="AO100" s="49"/>
    </row>
    <row r="101" spans="1:41" ht="14">
      <c r="A101" s="44">
        <f ca="1">IFERROR(__xludf.DUMMYFUNCTION("QUERY('Volunteer Survey'!A108)"),43418.3868287037)</f>
        <v>43418.386828703697</v>
      </c>
      <c r="B101" s="42" t="s">
        <v>168</v>
      </c>
      <c r="C101" s="73">
        <v>43434</v>
      </c>
      <c r="D101" s="67">
        <v>43522</v>
      </c>
      <c r="E101" s="42" t="s">
        <v>117</v>
      </c>
      <c r="F101" s="42" t="s">
        <v>130</v>
      </c>
      <c r="G101" s="42" t="s">
        <v>19</v>
      </c>
      <c r="H101" s="45" t="s">
        <v>19</v>
      </c>
      <c r="I101" s="45" t="s">
        <v>139</v>
      </c>
      <c r="J101" s="42"/>
      <c r="K101" s="42"/>
      <c r="L101" s="49" t="str">
        <f ca="1">IFERROR(__xludf.DUMMYFUNCTION("QUERY('Volunteer Survey'!B108)"),"Fiona Curtis")</f>
        <v>Fiona Curtis</v>
      </c>
      <c r="M101" s="49" t="str">
        <f ca="1">IFERROR(__xludf.DUMMYFUNCTION("QUERY('Volunteer Survey'!E108)"),"fionakatherinecurtis@yahoo.ca")</f>
        <v>fionakatherinecurtis@yahoo.ca</v>
      </c>
      <c r="N101" s="49" t="str">
        <f ca="1">IFERROR(__xludf.DUMMYFUNCTION("QUERY('Volunteer Survey'!F108)"),"Genetic counselor")</f>
        <v>Genetic counselor</v>
      </c>
      <c r="O101" s="42" t="str">
        <f ca="1">IFERROR(__xludf.DUMMYFUNCTION("QUERY('Volunteer Survey'!H108)"),"Comprehensive")</f>
        <v>Comprehensive</v>
      </c>
      <c r="P101" s="49" t="str">
        <f ca="1">IFERROR(__xludf.DUMMYFUNCTION("QUERY('Volunteer Survey'!I108)"),"Clinical Actionability")</f>
        <v>Clinical Actionability</v>
      </c>
      <c r="Q101" s="54" t="str">
        <f ca="1">IFERROR(__xludf.DUMMYFUNCTION("QUERY('Volunteer Survey'!J108)"),"Gene-Disease Validity")</f>
        <v>Gene-Disease Validity</v>
      </c>
      <c r="R101" s="49" t="str">
        <f ca="1">IFERROR(__xludf.DUMMYFUNCTION("QUERY('Volunteer Survey'!K108)"),"Variant Pathogenicity")</f>
        <v>Variant Pathogenicity</v>
      </c>
      <c r="S101" s="49" t="str">
        <f ca="1">IFERROR(__xludf.DUMMYFUNCTION("QUERY('Volunteer Survey'!L108)"),"Dosage Sensitivity")</f>
        <v>Dosage Sensitivity</v>
      </c>
      <c r="T101" s="49" t="str">
        <f ca="1">IFERROR(__xludf.DUMMYFUNCTION("QUERY('Volunteer Survey'!M108)"),"Somatic Cancer")</f>
        <v>Somatic Cancer</v>
      </c>
      <c r="U101" s="58" t="str">
        <f ca="1">IFERROR(__xludf.DUMMYFUNCTION("QUERY('Volunteer Survey'!N108)"),"No")</f>
        <v>No</v>
      </c>
      <c r="V101" s="49" t="str">
        <f ca="1">IFERROR(__xludf.DUMMYFUNCTION("QUERY('Volunteer Survey'!O108)"),"Possibly")</f>
        <v>Possibly</v>
      </c>
      <c r="W101" s="60" t="str">
        <f ca="1">IFERROR(__xludf.DUMMYFUNCTION("QUERY('Volunteer Survey'!P108)"),"inherited cardiomyopathy or other CV diseases")</f>
        <v>inherited cardiomyopathy or other CV diseases</v>
      </c>
      <c r="X101" s="58" t="str">
        <f ca="1">IFERROR(__xludf.DUMMYFUNCTION("QUERY('Volunteer Survey'!R108)"),"Maybe -- please contact me with other options, and I will decide based on what is available")</f>
        <v>Maybe -- please contact me with other options, and I will decide based on what is available</v>
      </c>
      <c r="Y101" s="45" t="s">
        <v>341</v>
      </c>
      <c r="Z101" s="62"/>
      <c r="AA101" s="49"/>
      <c r="AB101" s="49"/>
      <c r="AC101" s="49"/>
      <c r="AD101" s="49"/>
      <c r="AE101" s="49"/>
      <c r="AF101" s="49"/>
      <c r="AG101" s="49"/>
      <c r="AH101" s="49"/>
      <c r="AI101" s="49"/>
      <c r="AJ101" s="49"/>
      <c r="AK101" s="49"/>
      <c r="AL101" s="49"/>
      <c r="AM101" s="49"/>
      <c r="AN101" s="49"/>
      <c r="AO101" s="49"/>
    </row>
    <row r="102" spans="1:41" ht="14">
      <c r="A102" s="44">
        <f ca="1">IFERROR(__xludf.DUMMYFUNCTION("QUERY('Volunteer Survey'!A109)"),43419.3945254629)</f>
        <v>43419.3945254629</v>
      </c>
      <c r="B102" s="42" t="s">
        <v>168</v>
      </c>
      <c r="C102" s="73">
        <v>43434</v>
      </c>
      <c r="D102" s="49"/>
      <c r="E102" s="42" t="s">
        <v>130</v>
      </c>
      <c r="F102" s="42" t="s">
        <v>130</v>
      </c>
      <c r="G102" s="42" t="s">
        <v>19</v>
      </c>
      <c r="H102" s="45"/>
      <c r="I102" s="45" t="s">
        <v>139</v>
      </c>
      <c r="J102" s="42"/>
      <c r="K102" s="42"/>
      <c r="L102" s="49" t="str">
        <f ca="1">IFERROR(__xludf.DUMMYFUNCTION("QUERY('Volunteer Survey'!B109)"),"Jennifer Marie Lee")</f>
        <v>Jennifer Marie Lee</v>
      </c>
      <c r="M102" s="49" t="str">
        <f ca="1">IFERROR(__xludf.DUMMYFUNCTION("QUERY('Volunteer Survey'!E109)"),"Jennifer.Lee2@nih.gov")</f>
        <v>Jennifer.Lee2@nih.gov</v>
      </c>
      <c r="N102" s="49" t="str">
        <f ca="1">IFERROR(__xludf.DUMMYFUNCTION("QUERY('Volunteer Survey'!F109)"),"Scientific Researcher")</f>
        <v>Scientific Researcher</v>
      </c>
      <c r="O102" s="42" t="str">
        <f ca="1">IFERROR(__xludf.DUMMYFUNCTION("QUERY('Volunteer Survey'!H109)"),"Comprehensive")</f>
        <v>Comprehensive</v>
      </c>
      <c r="P102" s="49" t="str">
        <f ca="1">IFERROR(__xludf.DUMMYFUNCTION("QUERY('Volunteer Survey'!I109)"),"Clinical Actionability")</f>
        <v>Clinical Actionability</v>
      </c>
      <c r="Q102" s="54" t="str">
        <f ca="1">IFERROR(__xludf.DUMMYFUNCTION("QUERY('Volunteer Survey'!J109)"),"Somatic Cancer")</f>
        <v>Somatic Cancer</v>
      </c>
      <c r="R102" s="49" t="str">
        <f ca="1">IFERROR(__xludf.DUMMYFUNCTION("QUERY('Volunteer Survey'!K109)"),"Gene-Disease Validity")</f>
        <v>Gene-Disease Validity</v>
      </c>
      <c r="S102" s="49" t="str">
        <f ca="1">IFERROR(__xludf.DUMMYFUNCTION("QUERY('Volunteer Survey'!L109)"),"Variant Pathogenicity")</f>
        <v>Variant Pathogenicity</v>
      </c>
      <c r="T102" s="49" t="str">
        <f ca="1">IFERROR(__xludf.DUMMYFUNCTION("QUERY('Volunteer Survey'!M109)"),"")</f>
        <v/>
      </c>
      <c r="U102" s="58" t="str">
        <f ca="1">IFERROR(__xludf.DUMMYFUNCTION("QUERY('Volunteer Survey'!N109)"),"Yes")</f>
        <v>Yes</v>
      </c>
      <c r="V102" s="49" t="str">
        <f ca="1">IFERROR(__xludf.DUMMYFUNCTION("QUERY('Volunteer Survey'!O109)"),"Possibly")</f>
        <v>Possibly</v>
      </c>
      <c r="W102" s="60" t="str">
        <f ca="1">IFERROR(__xludf.DUMMYFUNCTION("QUERY('Volunteer Survey'!P109)"),"NA")</f>
        <v>NA</v>
      </c>
      <c r="X102" s="58" t="str">
        <f ca="1">IFERROR(__xludf.DUMMYFUNCTION("QUERY('Volunteer Survey'!R109)"),"")</f>
        <v/>
      </c>
      <c r="Y102" s="47"/>
      <c r="Z102" s="62"/>
      <c r="AA102" s="49"/>
      <c r="AB102" s="49"/>
      <c r="AC102" s="49"/>
      <c r="AD102" s="49"/>
      <c r="AE102" s="49"/>
      <c r="AF102" s="49"/>
      <c r="AG102" s="49"/>
      <c r="AH102" s="49"/>
      <c r="AI102" s="49"/>
      <c r="AJ102" s="49"/>
      <c r="AK102" s="49"/>
      <c r="AL102" s="49"/>
      <c r="AM102" s="49"/>
      <c r="AN102" s="49"/>
      <c r="AO102" s="49"/>
    </row>
    <row r="103" spans="1:41" ht="14">
      <c r="A103" s="44">
        <f ca="1">IFERROR(__xludf.DUMMYFUNCTION("QUERY('Volunteer Survey'!A110)"),43430.4000462963)</f>
        <v>43430.400046296301</v>
      </c>
      <c r="B103" s="42" t="s">
        <v>160</v>
      </c>
      <c r="C103" s="81">
        <v>43467</v>
      </c>
      <c r="D103" s="50">
        <v>43476</v>
      </c>
      <c r="E103" s="42" t="s">
        <v>117</v>
      </c>
      <c r="F103" s="42" t="s">
        <v>130</v>
      </c>
      <c r="G103" s="42" t="s">
        <v>19</v>
      </c>
      <c r="H103" s="45" t="s">
        <v>19</v>
      </c>
      <c r="I103" s="45" t="s">
        <v>299</v>
      </c>
      <c r="J103" s="50">
        <v>43593</v>
      </c>
      <c r="K103" s="50">
        <v>43713</v>
      </c>
      <c r="L103" s="49" t="str">
        <f ca="1">IFERROR(__xludf.DUMMYFUNCTION("QUERY('Volunteer Survey'!B110)"),"Laura Fuqua")</f>
        <v>Laura Fuqua</v>
      </c>
      <c r="M103" s="49" t="str">
        <f ca="1">IFERROR(__xludf.DUMMYFUNCTION("QUERY('Volunteer Survey'!E110)"),"laura.fuqua@gmail.com")</f>
        <v>laura.fuqua@gmail.com</v>
      </c>
      <c r="N103" s="49" t="str">
        <f ca="1">IFERROR(__xludf.DUMMYFUNCTION("QUERY('Volunteer Survey'!F110)"),"Genetic counselor")</f>
        <v>Genetic counselor</v>
      </c>
      <c r="O103" s="42" t="str">
        <f ca="1">IFERROR(__xludf.DUMMYFUNCTION("QUERY('Volunteer Survey'!H110)"),"Comprehensive")</f>
        <v>Comprehensive</v>
      </c>
      <c r="P103" s="42" t="str">
        <f ca="1">IFERROR(__xludf.DUMMYFUNCTION("QUERY('Volunteer Survey'!I110)"),"Somatic Cancer")</f>
        <v>Somatic Cancer</v>
      </c>
      <c r="Q103" s="54" t="str">
        <f ca="1">IFERROR(__xludf.DUMMYFUNCTION("QUERY('Volunteer Survey'!J110)"),"Variant Pathogenicity")</f>
        <v>Variant Pathogenicity</v>
      </c>
      <c r="R103" s="42" t="str">
        <f ca="1">IFERROR(__xludf.DUMMYFUNCTION("QUERY('Volunteer Survey'!K110)"),"Clinical Actionability")</f>
        <v>Clinical Actionability</v>
      </c>
      <c r="S103" s="49" t="str">
        <f ca="1">IFERROR(__xludf.DUMMYFUNCTION("QUERY('Volunteer Survey'!L110)"),"Dosage Sensitivity")</f>
        <v>Dosage Sensitivity</v>
      </c>
      <c r="T103" s="49" t="str">
        <f ca="1">IFERROR(__xludf.DUMMYFUNCTION("QUERY('Volunteer Survey'!M110)"),"Gene-Disease Validity")</f>
        <v>Gene-Disease Validity</v>
      </c>
      <c r="U103" s="58" t="str">
        <f ca="1">IFERROR(__xludf.DUMMYFUNCTION("QUERY('Volunteer Survey'!N110)"),"Yes")</f>
        <v>Yes</v>
      </c>
      <c r="V103" s="49" t="str">
        <f ca="1">IFERROR(__xludf.DUMMYFUNCTION("QUERY('Volunteer Survey'!O110)"),"Yes")</f>
        <v>Yes</v>
      </c>
      <c r="W103" s="60" t="str">
        <f ca="1">IFERROR(__xludf.DUMMYFUNCTION("QUERY('Volunteer Survey'!P110)"),"NA")</f>
        <v>NA</v>
      </c>
      <c r="X103" s="58" t="str">
        <f ca="1">IFERROR(__xludf.DUMMYFUNCTION("QUERY('Volunteer Survey'!R110)"),"Yes- I am willing to volunteer with any available ClinGen group")</f>
        <v>Yes- I am willing to volunteer with any available ClinGen group</v>
      </c>
      <c r="Y103" s="86" t="s">
        <v>342</v>
      </c>
      <c r="Z103" s="62"/>
      <c r="AA103" s="49"/>
      <c r="AB103" s="49"/>
      <c r="AC103" s="49"/>
      <c r="AD103" s="49"/>
      <c r="AE103" s="49"/>
      <c r="AF103" s="49"/>
      <c r="AG103" s="49"/>
      <c r="AH103" s="49"/>
      <c r="AI103" s="49"/>
      <c r="AJ103" s="49"/>
      <c r="AK103" s="49"/>
      <c r="AL103" s="49"/>
      <c r="AM103" s="49"/>
      <c r="AN103" s="49"/>
      <c r="AO103" s="49"/>
    </row>
    <row r="104" spans="1:41" ht="98">
      <c r="A104" s="44">
        <f ca="1">IFERROR(__xludf.DUMMYFUNCTION("QUERY('Volunteer Survey'!A111)"),43437.4019097222)</f>
        <v>43437.401909722197</v>
      </c>
      <c r="B104" s="42" t="s">
        <v>343</v>
      </c>
      <c r="C104" s="45" t="s">
        <v>344</v>
      </c>
      <c r="D104" s="59">
        <v>43769</v>
      </c>
      <c r="E104" s="42" t="s">
        <v>117</v>
      </c>
      <c r="F104" s="42" t="s">
        <v>117</v>
      </c>
      <c r="G104" s="42" t="s">
        <v>19</v>
      </c>
      <c r="H104" s="45" t="s">
        <v>19</v>
      </c>
      <c r="I104" s="45" t="s">
        <v>139</v>
      </c>
      <c r="J104" s="42"/>
      <c r="K104" s="42"/>
      <c r="L104" s="49" t="str">
        <f ca="1">IFERROR(__xludf.DUMMYFUNCTION("QUERY('Volunteer Survey'!B111)"),"Morgan Similuk")</f>
        <v>Morgan Similuk</v>
      </c>
      <c r="M104" s="49" t="str">
        <f ca="1">IFERROR(__xludf.DUMMYFUNCTION("QUERY('Volunteer Survey'!E111)"),"Morgan.similuk@nih.gov")</f>
        <v>Morgan.similuk@nih.gov</v>
      </c>
      <c r="N104" s="49" t="str">
        <f ca="1">IFERROR(__xludf.DUMMYFUNCTION("QUERY('Volunteer Survey'!F111)"),"Genetic counselor")</f>
        <v>Genetic counselor</v>
      </c>
      <c r="O104" s="42" t="str">
        <f ca="1">IFERROR(__xludf.DUMMYFUNCTION("QUERY('Volunteer Survey'!H111)"),"Comprehensive")</f>
        <v>Comprehensive</v>
      </c>
      <c r="P104" s="49" t="str">
        <f ca="1">IFERROR(__xludf.DUMMYFUNCTION("QUERY('Volunteer Survey'!I111)"),"Clinical Actionability")</f>
        <v>Clinical Actionability</v>
      </c>
      <c r="Q104" s="54" t="str">
        <f ca="1">IFERROR(__xludf.DUMMYFUNCTION("QUERY('Volunteer Survey'!J111)"),"Gene-Disease Validity")</f>
        <v>Gene-Disease Validity</v>
      </c>
      <c r="R104" s="49" t="str">
        <f ca="1">IFERROR(__xludf.DUMMYFUNCTION("QUERY('Volunteer Survey'!K111)"),"Variant Pathogenicity")</f>
        <v>Variant Pathogenicity</v>
      </c>
      <c r="S104" s="49" t="str">
        <f ca="1">IFERROR(__xludf.DUMMYFUNCTION("QUERY('Volunteer Survey'!L111)"),"Dosage Sensitivity")</f>
        <v>Dosage Sensitivity</v>
      </c>
      <c r="T104" s="49" t="str">
        <f ca="1">IFERROR(__xludf.DUMMYFUNCTION("QUERY('Volunteer Survey'!M111)"),"Somatic Cancer")</f>
        <v>Somatic Cancer</v>
      </c>
      <c r="U104" s="58" t="str">
        <f ca="1">IFERROR(__xludf.DUMMYFUNCTION("QUERY('Volunteer Survey'!N111)"),"Yes")</f>
        <v>Yes</v>
      </c>
      <c r="V104" s="49" t="str">
        <f ca="1">IFERROR(__xludf.DUMMYFUNCTION("QUERY('Volunteer Survey'!O111)"),"No")</f>
        <v>No</v>
      </c>
      <c r="W104" s="60" t="str">
        <f ca="1">IFERROR(__xludf.DUMMYFUNCTION("QUERY('Volunteer Survey'!P111)"),"NA")</f>
        <v>NA</v>
      </c>
      <c r="X104" s="58" t="str">
        <f ca="1">IFERROR(__xludf.DUMMYFUNCTION("QUERY('Volunteer Survey'!R111)"),"Maybe -- please contact me with other options, and I will decide based on what is available")</f>
        <v>Maybe -- please contact me with other options, and I will decide based on what is available</v>
      </c>
      <c r="Y104" s="47"/>
      <c r="Z104" s="62"/>
      <c r="AA104" s="49"/>
      <c r="AB104" s="49"/>
      <c r="AC104" s="49"/>
      <c r="AD104" s="49"/>
      <c r="AE104" s="49"/>
      <c r="AF104" s="49"/>
      <c r="AG104" s="49"/>
      <c r="AH104" s="49"/>
      <c r="AI104" s="49"/>
      <c r="AJ104" s="49"/>
      <c r="AK104" s="49"/>
      <c r="AL104" s="49"/>
      <c r="AM104" s="49"/>
      <c r="AN104" s="49"/>
      <c r="AO104" s="49"/>
    </row>
    <row r="105" spans="1:41" ht="14">
      <c r="A105" s="44">
        <f ca="1">IFERROR(__xludf.DUMMYFUNCTION("QUERY('Volunteer Survey'!A112)"),43439.406574074)</f>
        <v>43439.406574073997</v>
      </c>
      <c r="B105" s="42" t="s">
        <v>168</v>
      </c>
      <c r="C105" s="73">
        <v>43452</v>
      </c>
      <c r="D105" s="59">
        <v>43678</v>
      </c>
      <c r="E105" s="42" t="s">
        <v>117</v>
      </c>
      <c r="F105" s="42" t="s">
        <v>130</v>
      </c>
      <c r="G105" s="42" t="s">
        <v>19</v>
      </c>
      <c r="H105" s="45"/>
      <c r="I105" s="45" t="s">
        <v>139</v>
      </c>
      <c r="J105" s="42"/>
      <c r="K105" s="42"/>
      <c r="L105" s="49" t="str">
        <f ca="1">IFERROR(__xludf.DUMMYFUNCTION("QUERY('Volunteer Survey'!B112)"),"Sandra P Smieszek")</f>
        <v>Sandra P Smieszek</v>
      </c>
      <c r="M105" s="49" t="str">
        <f ca="1">IFERROR(__xludf.DUMMYFUNCTION("QUERY('Volunteer Survey'!E112)"),"sps92@case.edu")</f>
        <v>sps92@case.edu</v>
      </c>
      <c r="N105" s="49" t="str">
        <f ca="1">IFERROR(__xludf.DUMMYFUNCTION("QUERY('Volunteer Survey'!F112)"),"Post Doc/Resident/Fellow (MD and/or PhD)")</f>
        <v>Post Doc/Resident/Fellow (MD and/or PhD)</v>
      </c>
      <c r="O105" s="42" t="str">
        <f ca="1">IFERROR(__xludf.DUMMYFUNCTION("QUERY('Volunteer Survey'!H112)"),"Comprehensive")</f>
        <v>Comprehensive</v>
      </c>
      <c r="P105" s="49" t="str">
        <f ca="1">IFERROR(__xludf.DUMMYFUNCTION("QUERY('Volunteer Survey'!I112)"),"Clinical Actionability")</f>
        <v>Clinical Actionability</v>
      </c>
      <c r="Q105" s="54" t="str">
        <f ca="1">IFERROR(__xludf.DUMMYFUNCTION("QUERY('Volunteer Survey'!J112)"),"Gene-Disease Validity")</f>
        <v>Gene-Disease Validity</v>
      </c>
      <c r="R105" s="49" t="str">
        <f ca="1">IFERROR(__xludf.DUMMYFUNCTION("QUERY('Volunteer Survey'!K112)"),"Variant Pathogenicity")</f>
        <v>Variant Pathogenicity</v>
      </c>
      <c r="S105" s="49" t="str">
        <f ca="1">IFERROR(__xludf.DUMMYFUNCTION("QUERY('Volunteer Survey'!L112)"),"Dosage Sensitivity")</f>
        <v>Dosage Sensitivity</v>
      </c>
      <c r="T105" s="49" t="str">
        <f ca="1">IFERROR(__xludf.DUMMYFUNCTION("QUERY('Volunteer Survey'!M112)"),"Somatic Cancer")</f>
        <v>Somatic Cancer</v>
      </c>
      <c r="U105" s="58" t="str">
        <f ca="1">IFERROR(__xludf.DUMMYFUNCTION("QUERY('Volunteer Survey'!N112)"),"Yes")</f>
        <v>Yes</v>
      </c>
      <c r="V105" s="49" t="str">
        <f ca="1">IFERROR(__xludf.DUMMYFUNCTION("QUERY('Volunteer Survey'!O112)"),"No")</f>
        <v>No</v>
      </c>
      <c r="W105" s="60" t="str">
        <f ca="1">IFERROR(__xludf.DUMMYFUNCTION("QUERY('Volunteer Survey'!P112)"),"Autism")</f>
        <v>Autism</v>
      </c>
      <c r="X105" s="58" t="str">
        <f ca="1">IFERROR(__xludf.DUMMYFUNCTION("QUERY('Volunteer Survey'!R112)"),"Maybe -- please contact me with other options, and I will decide based on what is available")</f>
        <v>Maybe -- please contact me with other options, and I will decide based on what is available</v>
      </c>
      <c r="Y105" s="45" t="s">
        <v>345</v>
      </c>
      <c r="Z105" s="62"/>
      <c r="AA105" s="49"/>
      <c r="AB105" s="49"/>
      <c r="AC105" s="49"/>
      <c r="AD105" s="49"/>
      <c r="AE105" s="49"/>
      <c r="AF105" s="49"/>
      <c r="AG105" s="49"/>
      <c r="AH105" s="49"/>
      <c r="AI105" s="49"/>
      <c r="AJ105" s="49"/>
      <c r="AK105" s="49"/>
      <c r="AL105" s="49"/>
      <c r="AM105" s="49"/>
      <c r="AN105" s="49"/>
      <c r="AO105" s="49"/>
    </row>
    <row r="106" spans="1:41" ht="14">
      <c r="A106" s="44">
        <f ca="1">IFERROR(__xludf.DUMMYFUNCTION("QUERY('Volunteer Survey'!A113)"),43488.2157181597)</f>
        <v>43488.215718159699</v>
      </c>
      <c r="B106" s="42" t="s">
        <v>108</v>
      </c>
      <c r="C106" s="47"/>
      <c r="D106" s="49"/>
      <c r="E106" s="42" t="s">
        <v>130</v>
      </c>
      <c r="F106" s="42" t="s">
        <v>130</v>
      </c>
      <c r="G106" s="42" t="s">
        <v>202</v>
      </c>
      <c r="H106" s="47"/>
      <c r="I106" s="45" t="s">
        <v>139</v>
      </c>
      <c r="J106" s="49"/>
      <c r="K106" s="49"/>
      <c r="L106" s="49" t="str">
        <f ca="1">IFERROR(__xludf.DUMMYFUNCTION("QUERY('Volunteer Survey'!B113)"),"Can Ding")</f>
        <v>Can Ding</v>
      </c>
      <c r="M106" s="49" t="str">
        <f ca="1">IFERROR(__xludf.DUMMYFUNCTION("QUERY('Volunteer Survey'!E113)"),"can.ding@unimedizin-mainz.de")</f>
        <v>can.ding@unimedizin-mainz.de</v>
      </c>
      <c r="N106" s="49" t="str">
        <f ca="1">IFERROR(__xludf.DUMMYFUNCTION("QUERY('Volunteer Survey'!F113)"),"Clinical Medical Geneticist")</f>
        <v>Clinical Medical Geneticist</v>
      </c>
      <c r="O106" s="42" t="str">
        <f ca="1">IFERROR(__xludf.DUMMYFUNCTION("QUERY('Volunteer Survey'!H113)"),"Baseline")</f>
        <v>Baseline</v>
      </c>
      <c r="P106" s="49" t="str">
        <f ca="1">IFERROR(__xludf.DUMMYFUNCTION("QUERY('Volunteer Survey'!I113)"),"Gene-Disease Validity")</f>
        <v>Gene-Disease Validity</v>
      </c>
      <c r="Q106" s="54" t="str">
        <f ca="1">IFERROR(__xludf.DUMMYFUNCTION("QUERY('Volunteer Survey'!J113)"),"Variant Pathogenicity")</f>
        <v>Variant Pathogenicity</v>
      </c>
      <c r="R106" s="49" t="str">
        <f ca="1">IFERROR(__xludf.DUMMYFUNCTION("QUERY('Volunteer Survey'!K113)"),"Clinical Actionability")</f>
        <v>Clinical Actionability</v>
      </c>
      <c r="S106" s="49" t="str">
        <f ca="1">IFERROR(__xludf.DUMMYFUNCTION("QUERY('Volunteer Survey'!L113)"),"Dosage Sensitivity")</f>
        <v>Dosage Sensitivity</v>
      </c>
      <c r="T106" s="49" t="str">
        <f ca="1">IFERROR(__xludf.DUMMYFUNCTION("QUERY('Volunteer Survey'!M113)"),"Somatic Cancer")</f>
        <v>Somatic Cancer</v>
      </c>
      <c r="U106" s="58" t="str">
        <f ca="1">IFERROR(__xludf.DUMMYFUNCTION("QUERY('Volunteer Survey'!N113)"),"I have over two years experiences in variant classification.")</f>
        <v>I have over two years experiences in variant classification.</v>
      </c>
      <c r="V106" s="49" t="str">
        <f ca="1">IFERROR(__xludf.DUMMYFUNCTION("QUERY('Volunteer Survey'!O113)"),"Yes")</f>
        <v>Yes</v>
      </c>
      <c r="W106" s="60" t="str">
        <f ca="1">IFERROR(__xludf.DUMMYFUNCTION("QUERY('Volunteer Survey'!P113)"),"I would be interested in a muscular disorder group.")</f>
        <v>I would be interested in a muscular disorder group.</v>
      </c>
      <c r="X106" s="58" t="str">
        <f ca="1">IFERROR(__xludf.DUMMYFUNCTION("QUERY('Volunteer Survey'!R113)"),"Maybe -- please contact me with other options, and I will decide based on what is available")</f>
        <v>Maybe -- please contact me with other options, and I will decide based on what is available</v>
      </c>
      <c r="Y106" s="47"/>
      <c r="Z106" s="62"/>
      <c r="AA106" s="49"/>
      <c r="AB106" s="49"/>
      <c r="AC106" s="49"/>
      <c r="AD106" s="49"/>
      <c r="AE106" s="49"/>
      <c r="AF106" s="49"/>
      <c r="AG106" s="49"/>
      <c r="AH106" s="49"/>
      <c r="AI106" s="49"/>
      <c r="AJ106" s="49"/>
      <c r="AK106" s="49"/>
      <c r="AL106" s="49"/>
      <c r="AM106" s="49"/>
      <c r="AN106" s="49"/>
      <c r="AO106" s="49"/>
    </row>
    <row r="107" spans="1:41" ht="14">
      <c r="A107" s="44">
        <f ca="1">IFERROR(__xludf.DUMMYFUNCTION("QUERY('Volunteer Survey'!A114)"),43489.186652662)</f>
        <v>43489.186652662</v>
      </c>
      <c r="B107" s="42" t="s">
        <v>168</v>
      </c>
      <c r="C107" s="47"/>
      <c r="D107" s="49"/>
      <c r="E107" s="42" t="s">
        <v>130</v>
      </c>
      <c r="F107" s="42" t="s">
        <v>130</v>
      </c>
      <c r="G107" s="42" t="s">
        <v>136</v>
      </c>
      <c r="H107" s="47"/>
      <c r="I107" s="45" t="s">
        <v>139</v>
      </c>
      <c r="J107" s="49"/>
      <c r="K107" s="49"/>
      <c r="L107" s="49" t="str">
        <f ca="1">IFERROR(__xludf.DUMMYFUNCTION("QUERY('Volunteer Survey'!B114)"),"Milda Auglyte")</f>
        <v>Milda Auglyte</v>
      </c>
      <c r="M107" s="49" t="str">
        <f ca="1">IFERROR(__xludf.DUMMYFUNCTION("QUERY('Volunteer Survey'!E114)"),"mildaaug@gmail.com")</f>
        <v>mildaaug@gmail.com</v>
      </c>
      <c r="N107" s="49" t="str">
        <f ca="1">IFERROR(__xludf.DUMMYFUNCTION("QUERY('Volunteer Survey'!F114)"),"Graduate Student")</f>
        <v>Graduate Student</v>
      </c>
      <c r="O107" s="42" t="str">
        <f ca="1">IFERROR(__xludf.DUMMYFUNCTION("QUERY('Volunteer Survey'!H114)"),"Comprehensive")</f>
        <v>Comprehensive</v>
      </c>
      <c r="P107" s="49" t="str">
        <f ca="1">IFERROR(__xludf.DUMMYFUNCTION("QUERY('Volunteer Survey'!I114)"),"Somatic Cancer")</f>
        <v>Somatic Cancer</v>
      </c>
      <c r="Q107" s="54" t="str">
        <f ca="1">IFERROR(__xludf.DUMMYFUNCTION("QUERY('Volunteer Survey'!J114)"),"Clinical Actionability")</f>
        <v>Clinical Actionability</v>
      </c>
      <c r="R107" s="49" t="str">
        <f ca="1">IFERROR(__xludf.DUMMYFUNCTION("QUERY('Volunteer Survey'!K114)"),"Variant Pathogenicity")</f>
        <v>Variant Pathogenicity</v>
      </c>
      <c r="S107" s="49" t="str">
        <f ca="1">IFERROR(__xludf.DUMMYFUNCTION("QUERY('Volunteer Survey'!L114)"),"")</f>
        <v/>
      </c>
      <c r="T107" s="49" t="str">
        <f ca="1">IFERROR(__xludf.DUMMYFUNCTION("QUERY('Volunteer Survey'!M114)"),"")</f>
        <v/>
      </c>
      <c r="U107" s="58" t="str">
        <f ca="1">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49" t="str">
        <f ca="1">IFERROR(__xludf.DUMMYFUNCTION("QUERY('Volunteer Survey'!O114)"),"Possibly")</f>
        <v>Possibly</v>
      </c>
      <c r="W107" s="60" t="str">
        <f ca="1">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58" t="str">
        <f ca="1">IFERROR(__xludf.DUMMYFUNCTION("QUERY('Volunteer Survey'!R114)"),"Maybe -- please contact me with other options, and I will decide based on what is available")</f>
        <v>Maybe -- please contact me with other options, and I will decide based on what is available</v>
      </c>
      <c r="Y107" s="47"/>
      <c r="Z107" s="62"/>
      <c r="AA107" s="49"/>
      <c r="AB107" s="49"/>
      <c r="AC107" s="49"/>
      <c r="AD107" s="49"/>
      <c r="AE107" s="49"/>
      <c r="AF107" s="49"/>
      <c r="AG107" s="49"/>
      <c r="AH107" s="49"/>
      <c r="AI107" s="49"/>
      <c r="AJ107" s="49"/>
      <c r="AK107" s="49"/>
      <c r="AL107" s="49"/>
      <c r="AM107" s="49"/>
      <c r="AN107" s="49"/>
      <c r="AO107" s="49"/>
    </row>
    <row r="108" spans="1:41" ht="28">
      <c r="A108" s="44">
        <f ca="1">IFERROR(__xludf.DUMMYFUNCTION("QUERY('Volunteer Survey'!A115)"),43489.3104167824)</f>
        <v>43489.310416782399</v>
      </c>
      <c r="B108" s="42" t="s">
        <v>125</v>
      </c>
      <c r="C108" s="47"/>
      <c r="D108" s="49"/>
      <c r="E108" s="42" t="s">
        <v>130</v>
      </c>
      <c r="F108" s="42" t="s">
        <v>130</v>
      </c>
      <c r="G108" s="42" t="s">
        <v>136</v>
      </c>
      <c r="H108" s="45" t="s">
        <v>308</v>
      </c>
      <c r="I108" s="45" t="s">
        <v>139</v>
      </c>
      <c r="J108" s="50">
        <v>43592</v>
      </c>
      <c r="K108" s="50"/>
      <c r="L108" s="49" t="str">
        <f ca="1">IFERROR(__xludf.DUMMYFUNCTION("QUERY('Volunteer Survey'!B115)"),"Andres Ressia")</f>
        <v>Andres Ressia</v>
      </c>
      <c r="M108" s="49" t="str">
        <f ca="1">IFERROR(__xludf.DUMMYFUNCTION("QUERY('Volunteer Survey'!E115)"),"andresressiacolino@gmail.com")</f>
        <v>andresressiacolino@gmail.com</v>
      </c>
      <c r="N108" s="49" t="str">
        <f ca="1">IFERROR(__xludf.DUMMYFUNCTION("QUERY('Volunteer Survey'!F115)"),"Post-Bachelors")</f>
        <v>Post-Bachelors</v>
      </c>
      <c r="O108" s="42" t="str">
        <f ca="1">IFERROR(__xludf.DUMMYFUNCTION("QUERY('Volunteer Survey'!H115)"),"Comprehensive")</f>
        <v>Comprehensive</v>
      </c>
      <c r="P108" s="49" t="str">
        <f ca="1">IFERROR(__xludf.DUMMYFUNCTION("QUERY('Volunteer Survey'!I115)"),"Somatic Cancer")</f>
        <v>Somatic Cancer</v>
      </c>
      <c r="Q108" s="54" t="str">
        <f ca="1">IFERROR(__xludf.DUMMYFUNCTION("QUERY('Volunteer Survey'!J115)"),"Gene-Disease Validity")</f>
        <v>Gene-Disease Validity</v>
      </c>
      <c r="R108" s="49" t="str">
        <f ca="1">IFERROR(__xludf.DUMMYFUNCTION("QUERY('Volunteer Survey'!K115)"),"")</f>
        <v/>
      </c>
      <c r="S108" s="49" t="str">
        <f ca="1">IFERROR(__xludf.DUMMYFUNCTION("QUERY('Volunteer Survey'!L115)"),"")</f>
        <v/>
      </c>
      <c r="T108" s="49" t="str">
        <f ca="1">IFERROR(__xludf.DUMMYFUNCTION("QUERY('Volunteer Survey'!M115)"),"")</f>
        <v/>
      </c>
      <c r="U108" s="58" t="str">
        <f ca="1">IFERROR(__xludf.DUMMYFUNCTION("QUERY('Volunteer Survey'!N115)"),"No")</f>
        <v>No</v>
      </c>
      <c r="V108" s="49" t="str">
        <f ca="1">IFERROR(__xludf.DUMMYFUNCTION("QUERY('Volunteer Survey'!O115)"),"No")</f>
        <v>No</v>
      </c>
      <c r="W108" s="60" t="str">
        <f ca="1">IFERROR(__xludf.DUMMYFUNCTION("QUERY('Volunteer Survey'!P115)"),"Breast/Ovarian Cancer (newly forming)")</f>
        <v>Breast/Ovarian Cancer (newly forming)</v>
      </c>
      <c r="X108" s="58" t="str">
        <f ca="1">IFERROR(__xludf.DUMMYFUNCTION("QUERY('Volunteer Survey'!R115)"),"Maybe -- please contact me with other options, and I will decide based on what is available")</f>
        <v>Maybe -- please contact me with other options, and I will decide based on what is available</v>
      </c>
      <c r="Y108" s="47"/>
      <c r="Z108" s="62"/>
      <c r="AA108" s="49"/>
      <c r="AB108" s="49"/>
      <c r="AC108" s="49"/>
      <c r="AD108" s="49"/>
      <c r="AE108" s="49"/>
      <c r="AF108" s="49"/>
      <c r="AG108" s="49"/>
      <c r="AH108" s="49"/>
      <c r="AI108" s="49"/>
      <c r="AJ108" s="49"/>
      <c r="AK108" s="49"/>
      <c r="AL108" s="49"/>
      <c r="AM108" s="49"/>
      <c r="AN108" s="49"/>
      <c r="AO108" s="49"/>
    </row>
    <row r="109" spans="1:41" ht="28">
      <c r="A109" s="44">
        <f ca="1">IFERROR(__xludf.DUMMYFUNCTION("QUERY('Volunteer Survey'!A116)"),43354.4229282407)</f>
        <v>43354.422928240703</v>
      </c>
      <c r="B109" s="42" t="s">
        <v>160</v>
      </c>
      <c r="C109" s="73">
        <v>43452</v>
      </c>
      <c r="D109" s="43">
        <v>43581</v>
      </c>
      <c r="E109" s="42" t="s">
        <v>117</v>
      </c>
      <c r="F109" s="42" t="s">
        <v>130</v>
      </c>
      <c r="G109" s="42" t="s">
        <v>136</v>
      </c>
      <c r="H109" s="45" t="s">
        <v>306</v>
      </c>
      <c r="I109" s="45" t="s">
        <v>139</v>
      </c>
      <c r="J109" s="50">
        <v>43712</v>
      </c>
      <c r="K109" s="50"/>
      <c r="L109" s="49" t="str">
        <f ca="1">IFERROR(__xludf.DUMMYFUNCTION("QUERY('Volunteer Survey'!B116)"),"Parisa Lotfi")</f>
        <v>Parisa Lotfi</v>
      </c>
      <c r="M109" s="49" t="str">
        <f ca="1">IFERROR(__xludf.DUMMYFUNCTION("QUERY('Volunteer Survey'!E116)"),"Parisa_Lotfi@yahoo.com")</f>
        <v>Parisa_Lotfi@yahoo.com</v>
      </c>
      <c r="N109" s="49" t="str">
        <f ca="1">IFERROR(__xludf.DUMMYFUNCTION("QUERY('Volunteer Survey'!F116)"),"Post Doc/Resident/Fellow (MD and/or Phd), Scientific Researcher")</f>
        <v>Post Doc/Resident/Fellow (MD and/or Phd), Scientific Researcher</v>
      </c>
      <c r="O109" s="42" t="str">
        <f ca="1">IFERROR(__xludf.DUMMYFUNCTION("QUERY('Volunteer Survey'!H116)"),"Comprehensive")</f>
        <v>Comprehensive</v>
      </c>
      <c r="P109" s="49" t="str">
        <f ca="1">IFERROR(__xludf.DUMMYFUNCTION("QUERY('Volunteer Survey'!I116)"),"Somatic Cancer")</f>
        <v>Somatic Cancer</v>
      </c>
      <c r="Q109" s="54" t="str">
        <f ca="1">IFERROR(__xludf.DUMMYFUNCTION("QUERY('Volunteer Survey'!J116)"),"Dosage Sensitivity")</f>
        <v>Dosage Sensitivity</v>
      </c>
      <c r="R109" s="49" t="str">
        <f ca="1">IFERROR(__xludf.DUMMYFUNCTION("QUERY('Volunteer Survey'!K116)"),"Variant Pathogenicity")</f>
        <v>Variant Pathogenicity</v>
      </c>
      <c r="S109" s="49" t="str">
        <f ca="1">IFERROR(__xludf.DUMMYFUNCTION("QUERY('Volunteer Survey'!L116)"),"Gene-Disease Validity")</f>
        <v>Gene-Disease Validity</v>
      </c>
      <c r="T109" s="49" t="str">
        <f ca="1">IFERROR(__xludf.DUMMYFUNCTION("QUERY('Volunteer Survey'!M116)"),"")</f>
        <v/>
      </c>
      <c r="U109" s="58" t="str">
        <f ca="1">IFERROR(__xludf.DUMMYFUNCTION("QUERY('Volunteer Survey'!N116)"),"no")</f>
        <v>no</v>
      </c>
      <c r="V109" s="49" t="str">
        <f ca="1">IFERROR(__xludf.DUMMYFUNCTION("QUERY('Volunteer Survey'!O116)"),"Possibly")</f>
        <v>Possibly</v>
      </c>
      <c r="W109" s="60" t="str">
        <f ca="1">IFERROR(__xludf.DUMMYFUNCTION("QUERY('Volunteer Survey'!P116)"),"intellectual disability/autism group")</f>
        <v>intellectual disability/autism group</v>
      </c>
      <c r="X109" s="58" t="str">
        <f ca="1">IFERROR(__xludf.DUMMYFUNCTION("QUERY('Volunteer Survey'!R116)"),"Yes- I am willing to volunteer with any available ClinGen group")</f>
        <v>Yes- I am willing to volunteer with any available ClinGen group</v>
      </c>
      <c r="Y109" s="47"/>
      <c r="Z109" s="62"/>
      <c r="AA109" s="49"/>
      <c r="AB109" s="49"/>
      <c r="AC109" s="49"/>
      <c r="AD109" s="49"/>
      <c r="AE109" s="49"/>
      <c r="AF109" s="49"/>
      <c r="AG109" s="49"/>
      <c r="AH109" s="49"/>
      <c r="AI109" s="49"/>
      <c r="AJ109" s="49"/>
      <c r="AK109" s="49"/>
      <c r="AL109" s="49"/>
      <c r="AM109" s="49"/>
      <c r="AN109" s="49"/>
      <c r="AO109" s="49"/>
    </row>
    <row r="110" spans="1:41" ht="28">
      <c r="A110" s="44">
        <f ca="1">IFERROR(__xludf.DUMMYFUNCTION("QUERY('Volunteer Survey'!A117)"),43423.4245949074)</f>
        <v>43423.424594907403</v>
      </c>
      <c r="B110" s="42" t="s">
        <v>125</v>
      </c>
      <c r="C110" s="73">
        <v>43452</v>
      </c>
      <c r="D110" s="49"/>
      <c r="E110" s="42" t="s">
        <v>130</v>
      </c>
      <c r="F110" s="42" t="s">
        <v>130</v>
      </c>
      <c r="G110" s="42" t="s">
        <v>136</v>
      </c>
      <c r="H110" s="45" t="s">
        <v>308</v>
      </c>
      <c r="I110" s="45" t="s">
        <v>139</v>
      </c>
      <c r="J110" s="50">
        <v>43592</v>
      </c>
      <c r="K110" s="50">
        <v>43713</v>
      </c>
      <c r="L110" s="49" t="str">
        <f ca="1">IFERROR(__xludf.DUMMYFUNCTION("QUERY('Volunteer Survey'!B117)"),"Huei San Leong")</f>
        <v>Huei San Leong</v>
      </c>
      <c r="M110" s="49" t="str">
        <f ca="1">IFERROR(__xludf.DUMMYFUNCTION("QUERY('Volunteer Survey'!E117)"),"hueisan.leong@petermac.org")</f>
        <v>hueisan.leong@petermac.org</v>
      </c>
      <c r="N110" s="49" t="str">
        <f ca="1">IFERROR(__xludf.DUMMYFUNCTION("QUERY('Volunteer Survey'!F117)"),"Variant Analyst/Scientist")</f>
        <v>Variant Analyst/Scientist</v>
      </c>
      <c r="O110" s="42" t="str">
        <f ca="1">IFERROR(__xludf.DUMMYFUNCTION("QUERY('Volunteer Survey'!H117)"),"Comprehensive")</f>
        <v>Comprehensive</v>
      </c>
      <c r="P110" s="49" t="str">
        <f ca="1">IFERROR(__xludf.DUMMYFUNCTION("QUERY('Volunteer Survey'!I117)"),"Somatic Cancer")</f>
        <v>Somatic Cancer</v>
      </c>
      <c r="Q110" s="54" t="str">
        <f ca="1">IFERROR(__xludf.DUMMYFUNCTION("QUERY('Volunteer Survey'!J117)"),"Variant Pathogenicity")</f>
        <v>Variant Pathogenicity</v>
      </c>
      <c r="R110" s="49" t="str">
        <f ca="1">IFERROR(__xludf.DUMMYFUNCTION("QUERY('Volunteer Survey'!K117)"),"Clinical Actionability")</f>
        <v>Clinical Actionability</v>
      </c>
      <c r="S110" s="49" t="str">
        <f ca="1">IFERROR(__xludf.DUMMYFUNCTION("QUERY('Volunteer Survey'!L117)"),"Gene-Disease Validity")</f>
        <v>Gene-Disease Validity</v>
      </c>
      <c r="T110" s="49" t="str">
        <f ca="1">IFERROR(__xludf.DUMMYFUNCTION("QUERY('Volunteer Survey'!M117)"),"")</f>
        <v/>
      </c>
      <c r="U110" s="58" t="str">
        <f ca="1">IFERROR(__xludf.DUMMYFUNCTION("QUERY('Volunteer Survey'!N117)"),"Yes")</f>
        <v>Yes</v>
      </c>
      <c r="V110" s="49" t="str">
        <f ca="1">IFERROR(__xludf.DUMMYFUNCTION("QUERY('Volunteer Survey'!O117)"),"Yes")</f>
        <v>Yes</v>
      </c>
      <c r="W110" s="60" t="str">
        <f ca="1">IFERROR(__xludf.DUMMYFUNCTION("QUERY('Volunteer Survey'!P117)"),"1) Breast/Ovarian Cancer 2) Colorectal Cancer 3) CDH1")</f>
        <v>1) Breast/Ovarian Cancer 2) Colorectal Cancer 3) CDH1</v>
      </c>
      <c r="X110" s="58" t="str">
        <f ca="1">IFERROR(__xludf.DUMMYFUNCTION("QUERY('Volunteer Survey'!R117)"),"Maybe -- please contact me with other options, and I will decide based on what is available")</f>
        <v>Maybe -- please contact me with other options, and I will decide based on what is available</v>
      </c>
      <c r="Y110" s="86" t="s">
        <v>318</v>
      </c>
      <c r="Z110" s="62"/>
      <c r="AA110" s="49"/>
      <c r="AB110" s="49"/>
      <c r="AC110" s="49"/>
      <c r="AD110" s="49"/>
      <c r="AE110" s="49"/>
      <c r="AF110" s="49"/>
      <c r="AG110" s="49"/>
      <c r="AH110" s="49"/>
      <c r="AI110" s="49"/>
      <c r="AJ110" s="49"/>
      <c r="AK110" s="49"/>
      <c r="AL110" s="49"/>
      <c r="AM110" s="49"/>
      <c r="AN110" s="49"/>
      <c r="AO110" s="49"/>
    </row>
    <row r="111" spans="1:41" ht="14">
      <c r="A111" s="44">
        <f ca="1">IFERROR(__xludf.DUMMYFUNCTION("QUERY('Volunteer Survey'!A118)"),43439.427199074)</f>
        <v>43439.427199074002</v>
      </c>
      <c r="B111" s="42" t="s">
        <v>168</v>
      </c>
      <c r="C111" s="73">
        <v>43452</v>
      </c>
      <c r="D111" s="49"/>
      <c r="E111" s="42" t="s">
        <v>130</v>
      </c>
      <c r="F111" s="42" t="s">
        <v>130</v>
      </c>
      <c r="G111" s="42" t="s">
        <v>136</v>
      </c>
      <c r="H111" s="47"/>
      <c r="I111" s="45" t="s">
        <v>139</v>
      </c>
      <c r="J111" s="49"/>
      <c r="K111" s="49"/>
      <c r="L111" s="49" t="str">
        <f ca="1">IFERROR(__xludf.DUMMYFUNCTION("QUERY('Volunteer Survey'!B118)"),"Pandurang Kolekar")</f>
        <v>Pandurang Kolekar</v>
      </c>
      <c r="M111" s="49" t="str">
        <f ca="1">IFERROR(__xludf.DUMMYFUNCTION("QUERY('Volunteer Survey'!E118)"),"pandurang.kolekar@gmail.com")</f>
        <v>pandurang.kolekar@gmail.com</v>
      </c>
      <c r="N111" s="49" t="str">
        <f ca="1">IFERROR(__xludf.DUMMYFUNCTION("QUERY('Volunteer Survey'!F118)"),"""Scientific Researcher, Biocurator, Variant Analyst/Scientist, Other (please specify): Bioinformatics Engineer""")</f>
        <v>"Scientific Researcher, Biocurator, Variant Analyst/Scientist, Other (please specify): Bioinformatics Engineer"</v>
      </c>
      <c r="O111" s="42" t="str">
        <f ca="1">IFERROR(__xludf.DUMMYFUNCTION("QUERY('Volunteer Survey'!H118)"),"Comprehensive")</f>
        <v>Comprehensive</v>
      </c>
      <c r="P111" s="49" t="str">
        <f ca="1">IFERROR(__xludf.DUMMYFUNCTION("QUERY('Volunteer Survey'!I118)"),"Somatic Cancer")</f>
        <v>Somatic Cancer</v>
      </c>
      <c r="Q111" s="54" t="str">
        <f ca="1">IFERROR(__xludf.DUMMYFUNCTION("QUERY('Volunteer Survey'!J118)"),"Variant Pathogenicity")</f>
        <v>Variant Pathogenicity</v>
      </c>
      <c r="R111" s="49" t="str">
        <f ca="1">IFERROR(__xludf.DUMMYFUNCTION("QUERY('Volunteer Survey'!K118)"),"Gene-Disease Validity")</f>
        <v>Gene-Disease Validity</v>
      </c>
      <c r="S111" s="49" t="str">
        <f ca="1">IFERROR(__xludf.DUMMYFUNCTION("QUERY('Volunteer Survey'!L118)"),"Clinical Actionability")</f>
        <v>Clinical Actionability</v>
      </c>
      <c r="T111" s="49" t="str">
        <f ca="1">IFERROR(__xludf.DUMMYFUNCTION("QUERY('Volunteer Survey'!M118)"),"Dosage Sensitivity")</f>
        <v>Dosage Sensitivity</v>
      </c>
      <c r="U111" s="58" t="str">
        <f ca="1">IFERROR(__xludf.DUMMYFUNCTION("QUERY('Volunteer Survey'!N118)"),"Yes")</f>
        <v>Yes</v>
      </c>
      <c r="V111" s="49" t="str">
        <f ca="1">IFERROR(__xludf.DUMMYFUNCTION("QUERY('Volunteer Survey'!O118)"),"Possibly")</f>
        <v>Possibly</v>
      </c>
      <c r="W111" s="60" t="str">
        <f ca="1">IFERROR(__xludf.DUMMYFUNCTION("QUERY('Volunteer Survey'!P118)"),"Somatic cancer WG")</f>
        <v>Somatic cancer WG</v>
      </c>
      <c r="X111" s="58" t="str">
        <f ca="1">IFERROR(__xludf.DUMMYFUNCTION("QUERY('Volunteer Survey'!R118)"),"Maybe -- please contact me with other options, and I will decide based on what is available")</f>
        <v>Maybe -- please contact me with other options, and I will decide based on what is available</v>
      </c>
      <c r="Y111" s="47"/>
      <c r="Z111" s="62"/>
      <c r="AA111" s="49"/>
      <c r="AB111" s="49"/>
      <c r="AC111" s="49"/>
      <c r="AD111" s="49"/>
      <c r="AE111" s="49"/>
      <c r="AF111" s="49"/>
      <c r="AG111" s="49"/>
      <c r="AH111" s="49"/>
      <c r="AI111" s="49"/>
      <c r="AJ111" s="49"/>
      <c r="AK111" s="49"/>
      <c r="AL111" s="49"/>
      <c r="AM111" s="49"/>
      <c r="AN111" s="49"/>
      <c r="AO111" s="49"/>
    </row>
    <row r="112" spans="1:41" ht="14">
      <c r="A112" s="44">
        <f ca="1">IFERROR(__xludf.DUMMYFUNCTION("QUERY('Volunteer Survey'!A119)"),43494.4564740856)</f>
        <v>43494.4564740856</v>
      </c>
      <c r="B112" s="42" t="s">
        <v>168</v>
      </c>
      <c r="C112" s="47"/>
      <c r="D112" s="49"/>
      <c r="E112" s="42" t="s">
        <v>130</v>
      </c>
      <c r="F112" s="42" t="s">
        <v>130</v>
      </c>
      <c r="G112" s="42" t="s">
        <v>19</v>
      </c>
      <c r="H112" s="63"/>
      <c r="I112" s="63" t="s">
        <v>139</v>
      </c>
      <c r="J112" s="49"/>
      <c r="K112" s="49"/>
      <c r="L112" s="49" t="str">
        <f ca="1">IFERROR(__xludf.DUMMYFUNCTION("QUERY('Volunteer Survey'!B119)"),"Samata Singhi")</f>
        <v>Samata Singhi</v>
      </c>
      <c r="M112" s="49" t="str">
        <f ca="1">IFERROR(__xludf.DUMMYFUNCTION("QUERY('Volunteer Survey'!E119)"),"samata.singhi@gmail.com")</f>
        <v>samata.singhi@gmail.com</v>
      </c>
      <c r="N112" s="49" t="str">
        <f ca="1">IFERROR(__xludf.DUMMYFUNCTION("QUERY('Volunteer Survey'!F119)"),"Physician (Non-geneticist)")</f>
        <v>Physician (Non-geneticist)</v>
      </c>
      <c r="O112" s="42" t="str">
        <f ca="1">IFERROR(__xludf.DUMMYFUNCTION("QUERY('Volunteer Survey'!H119)"),"Comprehensive")</f>
        <v>Comprehensive</v>
      </c>
      <c r="P112" s="49" t="str">
        <f ca="1">IFERROR(__xludf.DUMMYFUNCTION("QUERY('Volunteer Survey'!I119)"),"Clinical Actionability")</f>
        <v>Clinical Actionability</v>
      </c>
      <c r="Q112" s="54" t="str">
        <f ca="1">IFERROR(__xludf.DUMMYFUNCTION("QUERY('Volunteer Survey'!J119)"),"Gene-Disease Validity")</f>
        <v>Gene-Disease Validity</v>
      </c>
      <c r="R112" s="49" t="str">
        <f ca="1">IFERROR(__xludf.DUMMYFUNCTION("QUERY('Volunteer Survey'!K119)"),"")</f>
        <v/>
      </c>
      <c r="S112" s="49" t="str">
        <f ca="1">IFERROR(__xludf.DUMMYFUNCTION("QUERY('Volunteer Survey'!L119)"),"")</f>
        <v/>
      </c>
      <c r="T112" s="49" t="str">
        <f ca="1">IFERROR(__xludf.DUMMYFUNCTION("QUERY('Volunteer Survey'!M119)"),"")</f>
        <v/>
      </c>
      <c r="U112" s="58" t="str">
        <f ca="1">IFERROR(__xludf.DUMMYFUNCTION("QUERY('Volunteer Survey'!N119)"),"")</f>
        <v/>
      </c>
      <c r="V112" s="49" t="str">
        <f ca="1">IFERROR(__xludf.DUMMYFUNCTION("QUERY('Volunteer Survey'!O119)"),"Possibly")</f>
        <v>Possibly</v>
      </c>
      <c r="W112" s="60" t="str">
        <f ca="1">IFERROR(__xludf.DUMMYFUNCTION("QUERY('Volunteer Survey'!P119)"),"Epilepsy")</f>
        <v>Epilepsy</v>
      </c>
      <c r="X112" s="58" t="str">
        <f ca="1">IFERROR(__xludf.DUMMYFUNCTION("QUERY('Volunteer Survey'!R119)"),"Maybe -- please contact me with other options, and I will decide based on what is available")</f>
        <v>Maybe -- please contact me with other options, and I will decide based on what is available</v>
      </c>
      <c r="Y112" s="47"/>
      <c r="Z112" s="62"/>
      <c r="AA112" s="49"/>
      <c r="AB112" s="49"/>
      <c r="AC112" s="49"/>
      <c r="AD112" s="49"/>
      <c r="AE112" s="49"/>
      <c r="AF112" s="49"/>
      <c r="AG112" s="49"/>
      <c r="AH112" s="49"/>
      <c r="AI112" s="49"/>
      <c r="AJ112" s="49"/>
      <c r="AK112" s="49"/>
      <c r="AL112" s="49"/>
      <c r="AM112" s="49"/>
      <c r="AN112" s="49"/>
      <c r="AO112" s="49"/>
    </row>
    <row r="113" spans="1:41" ht="14">
      <c r="A113" s="44">
        <f ca="1">IFERROR(__xludf.DUMMYFUNCTION("QUERY('Volunteer Survey'!A120)"),43496.5735918171)</f>
        <v>43496.573591817098</v>
      </c>
      <c r="B113" s="42" t="s">
        <v>108</v>
      </c>
      <c r="C113" s="47"/>
      <c r="D113" s="59">
        <v>43692</v>
      </c>
      <c r="E113" s="42" t="s">
        <v>117</v>
      </c>
      <c r="F113" s="42" t="s">
        <v>130</v>
      </c>
      <c r="G113" s="42" t="s">
        <v>122</v>
      </c>
      <c r="H113" s="47"/>
      <c r="I113" s="45" t="s">
        <v>139</v>
      </c>
      <c r="J113" s="49"/>
      <c r="K113" s="49"/>
      <c r="L113" s="49" t="str">
        <f ca="1">IFERROR(__xludf.DUMMYFUNCTION("QUERY('Volunteer Survey'!B120)"),"Szabolcs Szelinger")</f>
        <v>Szabolcs Szelinger</v>
      </c>
      <c r="M113" s="49" t="str">
        <f ca="1">IFERROR(__xludf.DUMMYFUNCTION("QUERY('Volunteer Survey'!E120)"),"sszelinger@tgen.org")</f>
        <v>sszelinger@tgen.org</v>
      </c>
      <c r="N113" s="49" t="str">
        <f ca="1">IFERROR(__xludf.DUMMYFUNCTION("QUERY('Volunteer Survey'!F120)"),"Clinical laboratory geneticist")</f>
        <v>Clinical laboratory geneticist</v>
      </c>
      <c r="O113" s="42" t="str">
        <f ca="1">IFERROR(__xludf.DUMMYFUNCTION("QUERY('Volunteer Survey'!H120)"),"Comprehensive")</f>
        <v>Comprehensive</v>
      </c>
      <c r="P113" s="49" t="str">
        <f ca="1">IFERROR(__xludf.DUMMYFUNCTION("QUERY('Volunteer Survey'!I120)"),"Gene-Disease Validity")</f>
        <v>Gene-Disease Validity</v>
      </c>
      <c r="Q113" s="54" t="str">
        <f ca="1">IFERROR(__xludf.DUMMYFUNCTION("QUERY('Volunteer Survey'!J120)"),"Variant Pathogenicity")</f>
        <v>Variant Pathogenicity</v>
      </c>
      <c r="R113" s="49" t="str">
        <f ca="1">IFERROR(__xludf.DUMMYFUNCTION("QUERY('Volunteer Survey'!K120)"),"Somatic Cancer")</f>
        <v>Somatic Cancer</v>
      </c>
      <c r="S113" s="49" t="str">
        <f ca="1">IFERROR(__xludf.DUMMYFUNCTION("QUERY('Volunteer Survey'!L120)"),"Clinical Actionability")</f>
        <v>Clinical Actionability</v>
      </c>
      <c r="T113" s="49" t="str">
        <f ca="1">IFERROR(__xludf.DUMMYFUNCTION("QUERY('Volunteer Survey'!M120)"),"")</f>
        <v/>
      </c>
      <c r="U113" s="58" t="str">
        <f ca="1">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49" t="str">
        <f ca="1">IFERROR(__xludf.DUMMYFUNCTION("QUERY('Volunteer Survey'!O120)"),"Possibly")</f>
        <v>Possibly</v>
      </c>
      <c r="W113" s="60" t="str">
        <f ca="1">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58" t="str">
        <f ca="1">IFERROR(__xludf.DUMMYFUNCTION("QUERY('Volunteer Survey'!R120)"),"Yes- I am willing to volunteer with any available ClinGen group")</f>
        <v>Yes- I am willing to volunteer with any available ClinGen group</v>
      </c>
      <c r="Y113" s="47"/>
      <c r="Z113" s="62"/>
      <c r="AA113" s="49"/>
      <c r="AB113" s="49"/>
      <c r="AC113" s="49"/>
      <c r="AD113" s="49"/>
      <c r="AE113" s="49"/>
      <c r="AF113" s="49"/>
      <c r="AG113" s="49"/>
      <c r="AH113" s="49"/>
      <c r="AI113" s="49"/>
      <c r="AJ113" s="49"/>
      <c r="AK113" s="49"/>
      <c r="AL113" s="49"/>
      <c r="AM113" s="49"/>
      <c r="AN113" s="49"/>
      <c r="AO113" s="49"/>
    </row>
    <row r="114" spans="1:41" ht="14">
      <c r="A114" s="44">
        <f ca="1">IFERROR(__xludf.DUMMYFUNCTION("QUERY('Volunteer Survey'!A121)"),43431.4727662037)</f>
        <v>43431.472766203697</v>
      </c>
      <c r="B114" s="42" t="s">
        <v>168</v>
      </c>
      <c r="C114" s="73">
        <v>43452</v>
      </c>
      <c r="D114" s="49"/>
      <c r="E114" s="42" t="s">
        <v>130</v>
      </c>
      <c r="F114" s="42" t="s">
        <v>130</v>
      </c>
      <c r="G114" s="42" t="s">
        <v>136</v>
      </c>
      <c r="H114" s="47"/>
      <c r="I114" s="45" t="s">
        <v>139</v>
      </c>
      <c r="J114" s="49"/>
      <c r="K114" s="49"/>
      <c r="L114" s="49" t="str">
        <f ca="1">IFERROR(__xludf.DUMMYFUNCTION("QUERY('Volunteer Survey'!B121)"),"Jianhong Zhou")</f>
        <v>Jianhong Zhou</v>
      </c>
      <c r="M114" s="49" t="str">
        <f ca="1">IFERROR(__xludf.DUMMYFUNCTION("QUERY('Volunteer Survey'!E121)"),"jhzhou2008@hotmail.com")</f>
        <v>jhzhou2008@hotmail.com</v>
      </c>
      <c r="N114" s="49" t="str">
        <f ca="1">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42" t="str">
        <f ca="1">IFERROR(__xludf.DUMMYFUNCTION("QUERY('Volunteer Survey'!H121)"),"Comprehensive")</f>
        <v>Comprehensive</v>
      </c>
      <c r="P114" s="49" t="str">
        <f ca="1">IFERROR(__xludf.DUMMYFUNCTION("QUERY('Volunteer Survey'!I121)"),"Somatic Cancer")</f>
        <v>Somatic Cancer</v>
      </c>
      <c r="Q114" s="54" t="str">
        <f ca="1">IFERROR(__xludf.DUMMYFUNCTION("QUERY('Volunteer Survey'!J121)"),"Gene-Disease Validity")</f>
        <v>Gene-Disease Validity</v>
      </c>
      <c r="R114" s="49" t="str">
        <f ca="1">IFERROR(__xludf.DUMMYFUNCTION("QUERY('Volunteer Survey'!K121)"),"Variant Pathogenicity")</f>
        <v>Variant Pathogenicity</v>
      </c>
      <c r="S114" s="49" t="str">
        <f ca="1">IFERROR(__xludf.DUMMYFUNCTION("QUERY('Volunteer Survey'!L121)"),"Clinical Actionability")</f>
        <v>Clinical Actionability</v>
      </c>
      <c r="T114" s="49" t="str">
        <f ca="1">IFERROR(__xludf.DUMMYFUNCTION("QUERY('Volunteer Survey'!M121)"),"Dosage Sensitivity")</f>
        <v>Dosage Sensitivity</v>
      </c>
      <c r="U114" s="58" t="str">
        <f ca="1">IFERROR(__xludf.DUMMYFUNCTION("QUERY('Volunteer Survey'!N121)"),"No")</f>
        <v>No</v>
      </c>
      <c r="V114" s="49" t="str">
        <f ca="1">IFERROR(__xludf.DUMMYFUNCTION("QUERY('Volunteer Survey'!O121)"),"Yes")</f>
        <v>Yes</v>
      </c>
      <c r="W114" s="60" t="str">
        <f ca="1">IFERROR(__xludf.DUMMYFUNCTION("QUERY('Volunteer Survey'!P121)"),"Somatic Cancer WG")</f>
        <v>Somatic Cancer WG</v>
      </c>
      <c r="X114" s="58" t="str">
        <f ca="1">IFERROR(__xludf.DUMMYFUNCTION("QUERY('Volunteer Survey'!R121)"),"Yes- I am willing to volunteer with any available ClinGen group")</f>
        <v>Yes- I am willing to volunteer with any available ClinGen group</v>
      </c>
      <c r="Y114" s="47"/>
      <c r="Z114" s="62"/>
      <c r="AA114" s="49"/>
      <c r="AB114" s="49"/>
      <c r="AC114" s="49"/>
      <c r="AD114" s="49"/>
      <c r="AE114" s="49"/>
      <c r="AF114" s="49"/>
      <c r="AG114" s="49"/>
      <c r="AH114" s="49"/>
      <c r="AI114" s="49"/>
      <c r="AJ114" s="49"/>
      <c r="AK114" s="49"/>
      <c r="AL114" s="49"/>
      <c r="AM114" s="49"/>
      <c r="AN114" s="49"/>
      <c r="AO114" s="49"/>
    </row>
    <row r="115" spans="1:41" ht="14">
      <c r="A115" s="44">
        <f ca="1">IFERROR(__xludf.DUMMYFUNCTION("QUERY('Volunteer Survey'!A122)"),43498.5072570138)</f>
        <v>43498.5072570138</v>
      </c>
      <c r="B115" s="42" t="s">
        <v>168</v>
      </c>
      <c r="C115" s="47"/>
      <c r="D115" s="67">
        <v>43567</v>
      </c>
      <c r="E115" s="42" t="s">
        <v>117</v>
      </c>
      <c r="F115" s="42" t="s">
        <v>117</v>
      </c>
      <c r="G115" s="42" t="s">
        <v>19</v>
      </c>
      <c r="H115" s="63" t="s">
        <v>19</v>
      </c>
      <c r="I115" s="63" t="s">
        <v>139</v>
      </c>
      <c r="J115" s="50">
        <v>43712</v>
      </c>
      <c r="K115" s="50"/>
      <c r="L115" s="49" t="str">
        <f ca="1">IFERROR(__xludf.DUMMYFUNCTION("QUERY('Volunteer Survey'!B122)"),"Ramesh Vaidyanathan")</f>
        <v>Ramesh Vaidyanathan</v>
      </c>
      <c r="M115" s="49" t="str">
        <f ca="1">IFERROR(__xludf.DUMMYFUNCTION("QUERY('Volunteer Survey'!E122)"),"vaid@rocketmail.com")</f>
        <v>vaid@rocketmail.com</v>
      </c>
      <c r="N115" s="49" t="str">
        <f ca="1">IFERROR(__xludf.DUMMYFUNCTION("QUERY('Volunteer Survey'!F122)"),"Biotech Professional with Biochemistry and Genomics background and a Citizen Scientist")</f>
        <v>Biotech Professional with Biochemistry and Genomics background and a Citizen Scientist</v>
      </c>
      <c r="O115" s="42" t="str">
        <f ca="1">IFERROR(__xludf.DUMMYFUNCTION("QUERY('Volunteer Survey'!H122)"),"Comprehensive")</f>
        <v>Comprehensive</v>
      </c>
      <c r="P115" s="49" t="str">
        <f ca="1">IFERROR(__xludf.DUMMYFUNCTION("QUERY('Volunteer Survey'!I122)"),"Clinical Actionability")</f>
        <v>Clinical Actionability</v>
      </c>
      <c r="Q115" s="54" t="str">
        <f ca="1">IFERROR(__xludf.DUMMYFUNCTION("QUERY('Volunteer Survey'!J122)"),"Dosage Sensitivity")</f>
        <v>Dosage Sensitivity</v>
      </c>
      <c r="R115" s="49" t="str">
        <f ca="1">IFERROR(__xludf.DUMMYFUNCTION("QUERY('Volunteer Survey'!K122)"),"Somatic Cancer")</f>
        <v>Somatic Cancer</v>
      </c>
      <c r="S115" s="49" t="str">
        <f ca="1">IFERROR(__xludf.DUMMYFUNCTION("QUERY('Volunteer Survey'!L122)"),"Gene-Disease Validity")</f>
        <v>Gene-Disease Validity</v>
      </c>
      <c r="T115" s="49" t="str">
        <f ca="1">IFERROR(__xludf.DUMMYFUNCTION("QUERY('Volunteer Survey'!M122)"),"Variant Pathogenicity")</f>
        <v>Variant Pathogenicity</v>
      </c>
      <c r="U115" s="58" t="str">
        <f ca="1">IFERROR(__xludf.DUMMYFUNCTION("QUERY('Volunteer Survey'!N122)"),"No ")</f>
        <v xml:space="preserve">No </v>
      </c>
      <c r="V115" s="49" t="str">
        <f ca="1">IFERROR(__xludf.DUMMYFUNCTION("QUERY('Volunteer Survey'!O122)"),"Yes")</f>
        <v>Yes</v>
      </c>
      <c r="W115" s="60" t="str">
        <f ca="1">IFERROR(__xludf.DUMMYFUNCTION("QUERY('Volunteer Survey'!P122)"),"")</f>
        <v/>
      </c>
      <c r="X115" s="58" t="str">
        <f ca="1">IFERROR(__xludf.DUMMYFUNCTION("QUERY('Volunteer Survey'!R122)"),"Yes- I am willing to volunteer with any available ClinGen group")</f>
        <v>Yes- I am willing to volunteer with any available ClinGen group</v>
      </c>
      <c r="Y115" s="47"/>
      <c r="Z115" s="62"/>
      <c r="AA115" s="49"/>
      <c r="AB115" s="49"/>
      <c r="AC115" s="49"/>
      <c r="AD115" s="49"/>
      <c r="AE115" s="49"/>
      <c r="AF115" s="49"/>
      <c r="AG115" s="49"/>
      <c r="AH115" s="49"/>
      <c r="AI115" s="49"/>
      <c r="AJ115" s="49"/>
      <c r="AK115" s="49"/>
      <c r="AL115" s="49"/>
      <c r="AM115" s="49"/>
      <c r="AN115" s="49"/>
      <c r="AO115" s="49"/>
    </row>
    <row r="116" spans="1:41" ht="14">
      <c r="A116" s="44">
        <f ca="1">IFERROR(__xludf.DUMMYFUNCTION("QUERY('Volunteer Survey'!A123)"),43504.6443726967)</f>
        <v>43504.644372696697</v>
      </c>
      <c r="B116" s="42" t="s">
        <v>108</v>
      </c>
      <c r="C116" s="47"/>
      <c r="D116" s="43">
        <v>43598</v>
      </c>
      <c r="E116" s="42" t="s">
        <v>117</v>
      </c>
      <c r="F116" s="42" t="s">
        <v>130</v>
      </c>
      <c r="G116" s="42" t="s">
        <v>136</v>
      </c>
      <c r="H116" s="47"/>
      <c r="I116" s="45" t="s">
        <v>139</v>
      </c>
      <c r="J116" s="49"/>
      <c r="K116" s="49"/>
      <c r="L116" s="49" t="str">
        <f ca="1">IFERROR(__xludf.DUMMYFUNCTION("QUERY('Volunteer Survey'!B123)"),"Ranjit Shetty")</f>
        <v>Ranjit Shetty</v>
      </c>
      <c r="M116" s="49" t="str">
        <f ca="1">IFERROR(__xludf.DUMMYFUNCTION("QUERY('Volunteer Survey'!E123)"),"ranjit.shetty@novartis.com")</f>
        <v>ranjit.shetty@novartis.com</v>
      </c>
      <c r="N116" s="49" t="str">
        <f ca="1">IFERROR(__xludf.DUMMYFUNCTION("QUERY('Volunteer Survey'!F123)"),"Scientific Researcher")</f>
        <v>Scientific Researcher</v>
      </c>
      <c r="O116" s="42" t="str">
        <f ca="1">IFERROR(__xludf.DUMMYFUNCTION("QUERY('Volunteer Survey'!H123)"),"Comprehensive")</f>
        <v>Comprehensive</v>
      </c>
      <c r="P116" s="49" t="str">
        <f ca="1">IFERROR(__xludf.DUMMYFUNCTION("QUERY('Volunteer Survey'!I123)"),"Somatic Cancer")</f>
        <v>Somatic Cancer</v>
      </c>
      <c r="Q116" s="54" t="str">
        <f ca="1">IFERROR(__xludf.DUMMYFUNCTION("QUERY('Volunteer Survey'!J123)"),"Variant Pathogenicity")</f>
        <v>Variant Pathogenicity</v>
      </c>
      <c r="R116" s="49" t="str">
        <f ca="1">IFERROR(__xludf.DUMMYFUNCTION("QUERY('Volunteer Survey'!K123)"),"Gene-Disease Validity")</f>
        <v>Gene-Disease Validity</v>
      </c>
      <c r="S116" s="49" t="str">
        <f ca="1">IFERROR(__xludf.DUMMYFUNCTION("QUERY('Volunteer Survey'!L123)"),"Clinical Actionability")</f>
        <v>Clinical Actionability</v>
      </c>
      <c r="T116" s="49" t="str">
        <f ca="1">IFERROR(__xludf.DUMMYFUNCTION("QUERY('Volunteer Survey'!M123)"),"Dosage Sensitivity")</f>
        <v>Dosage Sensitivity</v>
      </c>
      <c r="U116" s="58" t="str">
        <f ca="1">IFERROR(__xludf.DUMMYFUNCTION("QUERY('Volunteer Survey'!N123)"),"Evaluating TP53 and NF2 variants from NGS data")</f>
        <v>Evaluating TP53 and NF2 variants from NGS data</v>
      </c>
      <c r="V116" s="49" t="str">
        <f ca="1">IFERROR(__xludf.DUMMYFUNCTION("QUERY('Volunteer Survey'!O123)"),"No")</f>
        <v>No</v>
      </c>
      <c r="W116" s="60" t="str">
        <f ca="1">IFERROR(__xludf.DUMMYFUNCTION("QUERY('Volunteer Survey'!P123)"),"")</f>
        <v/>
      </c>
      <c r="X116" s="58" t="str">
        <f ca="1">IFERROR(__xludf.DUMMYFUNCTION("QUERY('Volunteer Survey'!R123)"),"Maybe -- please contact me with other options, and I will decide based on what is available")</f>
        <v>Maybe -- please contact me with other options, and I will decide based on what is available</v>
      </c>
      <c r="Y116" s="45" t="s">
        <v>346</v>
      </c>
      <c r="Z116" s="62"/>
      <c r="AA116" s="49"/>
      <c r="AB116" s="49"/>
      <c r="AC116" s="49"/>
      <c r="AD116" s="49"/>
      <c r="AE116" s="49"/>
      <c r="AF116" s="49"/>
      <c r="AG116" s="49"/>
      <c r="AH116" s="49"/>
      <c r="AI116" s="49"/>
      <c r="AJ116" s="49"/>
      <c r="AK116" s="49"/>
      <c r="AL116" s="49"/>
      <c r="AM116" s="49"/>
      <c r="AN116" s="49"/>
      <c r="AO116" s="49"/>
    </row>
    <row r="117" spans="1:41" ht="14">
      <c r="A117" s="44">
        <f ca="1">IFERROR(__xludf.DUMMYFUNCTION("QUERY('Volunteer Survey'!A124)"),43510.1569569444)</f>
        <v>43510.156956944396</v>
      </c>
      <c r="B117" s="42" t="s">
        <v>108</v>
      </c>
      <c r="C117" s="47"/>
      <c r="D117" s="59">
        <v>43696</v>
      </c>
      <c r="E117" s="42" t="s">
        <v>117</v>
      </c>
      <c r="F117" s="42" t="s">
        <v>130</v>
      </c>
      <c r="G117" s="42" t="s">
        <v>122</v>
      </c>
      <c r="H117" s="47"/>
      <c r="I117" s="45" t="s">
        <v>139</v>
      </c>
      <c r="J117" s="49"/>
      <c r="K117" s="49"/>
      <c r="L117" s="49" t="str">
        <f ca="1">IFERROR(__xludf.DUMMYFUNCTION("QUERY('Volunteer Survey'!B124)"),"Brooke H. Miller")</f>
        <v>Brooke H. Miller</v>
      </c>
      <c r="M117" s="49" t="str">
        <f ca="1">IFERROR(__xludf.DUMMYFUNCTION("QUERY('Volunteer Survey'!E124)"),"brooke.h.miller@gmail.com")</f>
        <v>brooke.h.miller@gmail.com</v>
      </c>
      <c r="N117" s="49" t="str">
        <f ca="1">IFERROR(__xludf.DUMMYFUNCTION("QUERY('Volunteer Survey'!F124)"),"Scientific Researcher")</f>
        <v>Scientific Researcher</v>
      </c>
      <c r="O117" s="42" t="str">
        <f ca="1">IFERROR(__xludf.DUMMYFUNCTION("QUERY('Volunteer Survey'!H124)"),"Comprehensive")</f>
        <v>Comprehensive</v>
      </c>
      <c r="P117" s="49" t="str">
        <f ca="1">IFERROR(__xludf.DUMMYFUNCTION("QUERY('Volunteer Survey'!I124)"),"Gene-Disease Validity")</f>
        <v>Gene-Disease Validity</v>
      </c>
      <c r="Q117" s="54" t="str">
        <f ca="1">IFERROR(__xludf.DUMMYFUNCTION("QUERY('Volunteer Survey'!J124)"),"Variant Pathogenicity")</f>
        <v>Variant Pathogenicity</v>
      </c>
      <c r="R117" s="49" t="str">
        <f ca="1">IFERROR(__xludf.DUMMYFUNCTION("QUERY('Volunteer Survey'!K124)"),"Clinical Actionability")</f>
        <v>Clinical Actionability</v>
      </c>
      <c r="S117" s="49" t="str">
        <f ca="1">IFERROR(__xludf.DUMMYFUNCTION("QUERY('Volunteer Survey'!L124)"),"")</f>
        <v/>
      </c>
      <c r="T117" s="49" t="str">
        <f ca="1">IFERROR(__xludf.DUMMYFUNCTION("QUERY('Volunteer Survey'!M124)"),"")</f>
        <v/>
      </c>
      <c r="U117" s="58" t="str">
        <f ca="1">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49" t="str">
        <f ca="1">IFERROR(__xludf.DUMMYFUNCTION("QUERY('Volunteer Survey'!O124)"),"Possibly")</f>
        <v>Possibly</v>
      </c>
      <c r="W117" s="60" t="str">
        <f ca="1">IFERROR(__xludf.DUMMYFUNCTION("QUERY('Volunteer Survey'!P124)"),"Not at the moment, but wouldn't rule out future involvement")</f>
        <v>Not at the moment, but wouldn't rule out future involvement</v>
      </c>
      <c r="X117" s="58" t="str">
        <f ca="1">IFERROR(__xludf.DUMMYFUNCTION("QUERY('Volunteer Survey'!R124)"),"Yes- I am willing to volunteer with any available ClinGen group")</f>
        <v>Yes- I am willing to volunteer with any available ClinGen group</v>
      </c>
      <c r="Y117" s="47"/>
      <c r="Z117" s="62"/>
      <c r="AA117" s="49"/>
      <c r="AB117" s="49"/>
      <c r="AC117" s="49"/>
      <c r="AD117" s="49"/>
      <c r="AE117" s="49"/>
      <c r="AF117" s="49"/>
      <c r="AG117" s="49"/>
      <c r="AH117" s="49"/>
      <c r="AI117" s="49"/>
      <c r="AJ117" s="49"/>
      <c r="AK117" s="49"/>
      <c r="AL117" s="49"/>
      <c r="AM117" s="49"/>
      <c r="AN117" s="49"/>
      <c r="AO117" s="49"/>
    </row>
    <row r="118" spans="1:41" ht="14">
      <c r="A118" s="44">
        <f ca="1">IFERROR(__xludf.DUMMYFUNCTION("QUERY('Volunteer Survey'!A125)"),43510.645928368)</f>
        <v>43510.645928368001</v>
      </c>
      <c r="B118" s="42" t="s">
        <v>168</v>
      </c>
      <c r="C118" s="47"/>
      <c r="D118" s="49"/>
      <c r="E118" s="42" t="s">
        <v>130</v>
      </c>
      <c r="F118" s="42" t="s">
        <v>130</v>
      </c>
      <c r="G118" s="42" t="s">
        <v>163</v>
      </c>
      <c r="H118" s="47"/>
      <c r="I118" s="45" t="s">
        <v>139</v>
      </c>
      <c r="J118" s="49"/>
      <c r="K118" s="49"/>
      <c r="L118" s="49" t="str">
        <f ca="1">IFERROR(__xludf.DUMMYFUNCTION("QUERY('Volunteer Survey'!B125)"),"Elizabeth Spiteri")</f>
        <v>Elizabeth Spiteri</v>
      </c>
      <c r="M118" s="49" t="str">
        <f ca="1">IFERROR(__xludf.DUMMYFUNCTION("QUERY('Volunteer Survey'!E125)"),"espiteri@gmail.com")</f>
        <v>espiteri@gmail.com</v>
      </c>
      <c r="N118" s="49" t="str">
        <f ca="1">IFERROR(__xludf.DUMMYFUNCTION("QUERY('Volunteer Survey'!F125)"),"Clinical laboratory geneticist")</f>
        <v>Clinical laboratory geneticist</v>
      </c>
      <c r="O118" s="42" t="str">
        <f ca="1">IFERROR(__xludf.DUMMYFUNCTION("QUERY('Volunteer Survey'!H125)"),"Comprehensive")</f>
        <v>Comprehensive</v>
      </c>
      <c r="P118" s="49" t="str">
        <f ca="1">IFERROR(__xludf.DUMMYFUNCTION("QUERY('Volunteer Survey'!I125)"),"Dosage Sensitivity")</f>
        <v>Dosage Sensitivity</v>
      </c>
      <c r="Q118" s="54" t="str">
        <f ca="1">IFERROR(__xludf.DUMMYFUNCTION("QUERY('Volunteer Survey'!J125)"),"Somatic Cancer")</f>
        <v>Somatic Cancer</v>
      </c>
      <c r="R118" s="49" t="str">
        <f ca="1">IFERROR(__xludf.DUMMYFUNCTION("QUERY('Volunteer Survey'!K125)"),"Gene-Disease Validity")</f>
        <v>Gene-Disease Validity</v>
      </c>
      <c r="S118" s="49" t="str">
        <f ca="1">IFERROR(__xludf.DUMMYFUNCTION("QUERY('Volunteer Survey'!L125)"),"Variant Pathogenicity")</f>
        <v>Variant Pathogenicity</v>
      </c>
      <c r="T118" s="49" t="str">
        <f ca="1">IFERROR(__xludf.DUMMYFUNCTION("QUERY('Volunteer Survey'!M125)"),"")</f>
        <v/>
      </c>
      <c r="U118" s="58" t="str">
        <f ca="1">IFERROR(__xludf.DUMMYFUNCTION("QUERY('Volunteer Survey'!N125)"),"I have participated in a Clinical Genomics Consortium for Copy Number Variants")</f>
        <v>I have participated in a Clinical Genomics Consortium for Copy Number Variants</v>
      </c>
      <c r="V118" s="49" t="str">
        <f ca="1">IFERROR(__xludf.DUMMYFUNCTION("QUERY('Volunteer Survey'!O125)"),"Yes")</f>
        <v>Yes</v>
      </c>
      <c r="W118" s="60" t="str">
        <f ca="1">IFERROR(__xludf.DUMMYFUNCTION("QUERY('Volunteer Survey'!P125)"),"In addition to the somatic panel curation I would also be interested in Breast/Ovarian or Colon Cancer Expert panels ")</f>
        <v xml:space="preserve">In addition to the somatic panel curation I would also be interested in Breast/Ovarian or Colon Cancer Expert panels </v>
      </c>
      <c r="X118" s="58" t="str">
        <f ca="1">IFERROR(__xludf.DUMMYFUNCTION("QUERY('Volunteer Survey'!R125)"),"Yes- I am willing to volunteer with any available ClinGen group")</f>
        <v>Yes- I am willing to volunteer with any available ClinGen group</v>
      </c>
      <c r="Y118" s="47"/>
      <c r="Z118" s="62"/>
      <c r="AA118" s="49"/>
      <c r="AB118" s="49"/>
      <c r="AC118" s="49"/>
      <c r="AD118" s="49"/>
      <c r="AE118" s="49"/>
      <c r="AF118" s="49"/>
      <c r="AG118" s="49"/>
      <c r="AH118" s="49"/>
      <c r="AI118" s="49"/>
      <c r="AJ118" s="49"/>
      <c r="AK118" s="49"/>
      <c r="AL118" s="49"/>
      <c r="AM118" s="49"/>
      <c r="AN118" s="49"/>
      <c r="AO118" s="49"/>
    </row>
    <row r="119" spans="1:41" ht="14">
      <c r="A119" s="44">
        <f ca="1">IFERROR(__xludf.DUMMYFUNCTION("QUERY('Volunteer Survey'!A126)"),43511.5149267129)</f>
        <v>43511.514926712902</v>
      </c>
      <c r="B119" s="42" t="s">
        <v>168</v>
      </c>
      <c r="C119" s="47"/>
      <c r="D119" s="49"/>
      <c r="E119" s="42" t="s">
        <v>130</v>
      </c>
      <c r="F119" s="42" t="s">
        <v>130</v>
      </c>
      <c r="G119" s="42" t="s">
        <v>251</v>
      </c>
      <c r="H119" s="47"/>
      <c r="I119" s="47"/>
      <c r="J119" s="49"/>
      <c r="K119" s="49"/>
      <c r="L119" s="49" t="str">
        <f ca="1">IFERROR(__xludf.DUMMYFUNCTION("QUERY('Volunteer Survey'!B126)"),"Yasser Sullcahuaman")</f>
        <v>Yasser Sullcahuaman</v>
      </c>
      <c r="M119" s="49" t="str">
        <f ca="1">IFERROR(__xludf.DUMMYFUNCTION("QUERY('Volunteer Survey'!E126)"),"ysullcahuaman@gmail.com")</f>
        <v>ysullcahuaman@gmail.com</v>
      </c>
      <c r="N119" s="49" t="str">
        <f ca="1">IFERROR(__xludf.DUMMYFUNCTION("QUERY('Volunteer Survey'!F126)"),"Clinical Medical Geneticist")</f>
        <v>Clinical Medical Geneticist</v>
      </c>
      <c r="O119" s="42" t="str">
        <f ca="1">IFERROR(__xludf.DUMMYFUNCTION("QUERY('Volunteer Survey'!H126)"),"Comprehensive")</f>
        <v>Comprehensive</v>
      </c>
      <c r="P119" s="49" t="str">
        <f ca="1">IFERROR(__xludf.DUMMYFUNCTION("QUERY('Volunteer Survey'!I126)"),"Variant Pathogenicity")</f>
        <v>Variant Pathogenicity</v>
      </c>
      <c r="Q119" s="54" t="str">
        <f ca="1">IFERROR(__xludf.DUMMYFUNCTION("QUERY('Volunteer Survey'!J126)"),"Gene-Disease Validity")</f>
        <v>Gene-Disease Validity</v>
      </c>
      <c r="R119" s="49" t="str">
        <f ca="1">IFERROR(__xludf.DUMMYFUNCTION("QUERY('Volunteer Survey'!K126)"),"Clinical Actionability")</f>
        <v>Clinical Actionability</v>
      </c>
      <c r="S119" s="49" t="str">
        <f ca="1">IFERROR(__xludf.DUMMYFUNCTION("QUERY('Volunteer Survey'!L126)"),"Somatic Cancer")</f>
        <v>Somatic Cancer</v>
      </c>
      <c r="T119" s="49" t="str">
        <f ca="1">IFERROR(__xludf.DUMMYFUNCTION("QUERY('Volunteer Survey'!M126)"),"Dosage Sensitivity")</f>
        <v>Dosage Sensitivity</v>
      </c>
      <c r="U119" s="58" t="str">
        <f ca="1">IFERROR(__xludf.DUMMYFUNCTION("QUERY('Volunteer Survey'!N126)"),"")</f>
        <v/>
      </c>
      <c r="V119" s="49" t="str">
        <f ca="1">IFERROR(__xludf.DUMMYFUNCTION("QUERY('Volunteer Survey'!O126)"),"Possibly")</f>
        <v>Possibly</v>
      </c>
      <c r="W119" s="60" t="str">
        <f ca="1">IFERROR(__xludf.DUMMYFUNCTION("QUERY('Volunteer Survey'!P126)"),"")</f>
        <v/>
      </c>
      <c r="X119" s="58" t="str">
        <f ca="1">IFERROR(__xludf.DUMMYFUNCTION("QUERY('Volunteer Survey'!R126)"),"Maybe -- please contact me with other options, and I will decide based on what is available")</f>
        <v>Maybe -- please contact me with other options, and I will decide based on what is available</v>
      </c>
      <c r="Y119" s="47"/>
      <c r="Z119" s="62"/>
      <c r="AA119" s="49"/>
      <c r="AB119" s="49"/>
      <c r="AC119" s="49"/>
      <c r="AD119" s="49"/>
      <c r="AE119" s="49"/>
      <c r="AF119" s="49"/>
      <c r="AG119" s="49"/>
      <c r="AH119" s="49"/>
      <c r="AI119" s="49"/>
      <c r="AJ119" s="49"/>
      <c r="AK119" s="49"/>
      <c r="AL119" s="49"/>
      <c r="AM119" s="49"/>
      <c r="AN119" s="49"/>
      <c r="AO119" s="49"/>
    </row>
    <row r="120" spans="1:41" ht="16.5" customHeight="1">
      <c r="A120" s="44">
        <f ca="1">IFERROR(__xludf.DUMMYFUNCTION("QUERY('Volunteer Survey'!A127)"),43515.3258305902)</f>
        <v>43515.325830590198</v>
      </c>
      <c r="B120" s="42" t="s">
        <v>108</v>
      </c>
      <c r="C120" s="47"/>
      <c r="D120" s="43">
        <v>43581</v>
      </c>
      <c r="E120" s="42" t="s">
        <v>117</v>
      </c>
      <c r="F120" s="42" t="s">
        <v>130</v>
      </c>
      <c r="G120" s="42" t="s">
        <v>136</v>
      </c>
      <c r="H120" s="45" t="s">
        <v>308</v>
      </c>
      <c r="I120" s="45" t="s">
        <v>139</v>
      </c>
      <c r="J120" s="50">
        <v>43712</v>
      </c>
      <c r="K120" s="50"/>
      <c r="L120" s="49" t="str">
        <f ca="1">IFERROR(__xludf.DUMMYFUNCTION("QUERY('Volunteer Survey'!B127)"),"HUILING XU")</f>
        <v>HUILING XU</v>
      </c>
      <c r="M120" s="49" t="str">
        <f ca="1">IFERROR(__xludf.DUMMYFUNCTION("QUERY('Volunteer Survey'!E127)"),"huiling.xu@petermac.org")</f>
        <v>huiling.xu@petermac.org</v>
      </c>
      <c r="N120" s="49" t="str">
        <f ca="1">IFERROR(__xludf.DUMMYFUNCTION("QUERY('Volunteer Survey'!F127)"),"Variant Analyst/Scientist - Academic")</f>
        <v>Variant Analyst/Scientist - Academic</v>
      </c>
      <c r="O120" s="42" t="str">
        <f ca="1">IFERROR(__xludf.DUMMYFUNCTION("QUERY('Volunteer Survey'!H127)"),"Comprehensive")</f>
        <v>Comprehensive</v>
      </c>
      <c r="P120" s="49" t="str">
        <f ca="1">IFERROR(__xludf.DUMMYFUNCTION("QUERY('Volunteer Survey'!I127)"),"Somatic Cancer")</f>
        <v>Somatic Cancer</v>
      </c>
      <c r="Q120" s="54" t="str">
        <f ca="1">IFERROR(__xludf.DUMMYFUNCTION("QUERY('Volunteer Survey'!J127)"),"")</f>
        <v/>
      </c>
      <c r="R120" s="49" t="str">
        <f ca="1">IFERROR(__xludf.DUMMYFUNCTION("QUERY('Volunteer Survey'!K127)"),"")</f>
        <v/>
      </c>
      <c r="S120" s="49" t="str">
        <f ca="1">IFERROR(__xludf.DUMMYFUNCTION("QUERY('Volunteer Survey'!L127)"),"")</f>
        <v/>
      </c>
      <c r="T120" s="49" t="str">
        <f ca="1">IFERROR(__xludf.DUMMYFUNCTION("QUERY('Volunteer Survey'!M127)"),"")</f>
        <v/>
      </c>
      <c r="U120" s="58" t="str">
        <f ca="1">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49" t="str">
        <f ca="1">IFERROR(__xludf.DUMMYFUNCTION("QUERY('Volunteer Survey'!O127)"),"Yes")</f>
        <v>Yes</v>
      </c>
      <c r="W120" s="60" t="str">
        <f ca="1">IFERROR(__xludf.DUMMYFUNCTION("QUERY('Volunteer Survey'!P127)"),"Somatic cancer working groups")</f>
        <v>Somatic cancer working groups</v>
      </c>
      <c r="X120" s="58" t="str">
        <f ca="1">IFERROR(__xludf.DUMMYFUNCTION("QUERY('Volunteer Survey'!R127)"),"Yes- I am willing to volunteer with any available ClinGen group")</f>
        <v>Yes- I am willing to volunteer with any available ClinGen group</v>
      </c>
      <c r="Y120" s="47"/>
      <c r="Z120" s="62"/>
      <c r="AA120" s="49"/>
      <c r="AB120" s="49"/>
      <c r="AC120" s="49"/>
      <c r="AD120" s="49"/>
      <c r="AE120" s="49"/>
      <c r="AF120" s="49"/>
      <c r="AG120" s="49"/>
      <c r="AH120" s="49"/>
      <c r="AI120" s="49"/>
      <c r="AJ120" s="49"/>
      <c r="AK120" s="49"/>
      <c r="AL120" s="49"/>
      <c r="AM120" s="49"/>
      <c r="AN120" s="49"/>
      <c r="AO120" s="49"/>
    </row>
    <row r="121" spans="1:41" ht="14">
      <c r="A121" s="44">
        <f ca="1">IFERROR(__xludf.DUMMYFUNCTION("QUERY('Volunteer Survey'!A128)"),43524.4983121643)</f>
        <v>43524.498312164302</v>
      </c>
      <c r="B121" s="42" t="s">
        <v>108</v>
      </c>
      <c r="C121" s="47"/>
      <c r="D121" s="43">
        <v>43570</v>
      </c>
      <c r="E121" s="42" t="s">
        <v>117</v>
      </c>
      <c r="F121" s="42" t="s">
        <v>117</v>
      </c>
      <c r="G121" s="42" t="s">
        <v>122</v>
      </c>
      <c r="H121" s="45" t="s">
        <v>294</v>
      </c>
      <c r="I121" s="45" t="s">
        <v>139</v>
      </c>
      <c r="J121" s="50">
        <v>43712</v>
      </c>
      <c r="K121" s="50"/>
      <c r="L121" s="49" t="str">
        <f ca="1">IFERROR(__xludf.DUMMYFUNCTION("QUERY('Volunteer Survey'!B128)"),"Nilufar Inamdar")</f>
        <v>Nilufar Inamdar</v>
      </c>
      <c r="M121" s="49" t="str">
        <f ca="1">IFERROR(__xludf.DUMMYFUNCTION("QUERY('Volunteer Survey'!E128)"),"inamdar555@yahoo.com")</f>
        <v>inamdar555@yahoo.com</v>
      </c>
      <c r="N121" s="49" t="str">
        <f ca="1">IFERROR(__xludf.DUMMYFUNCTION("QUERY('Volunteer Survey'!F128)"),"Clinical laboratory geneticist")</f>
        <v>Clinical laboratory geneticist</v>
      </c>
      <c r="O121" s="42" t="str">
        <f ca="1">IFERROR(__xludf.DUMMYFUNCTION("QUERY('Volunteer Survey'!H128)"),"Comprehensive")</f>
        <v>Comprehensive</v>
      </c>
      <c r="P121" s="49" t="str">
        <f ca="1">IFERROR(__xludf.DUMMYFUNCTION("QUERY('Volunteer Survey'!I128)"),"Gene-Disease Validity")</f>
        <v>Gene-Disease Validity</v>
      </c>
      <c r="Q121" s="54" t="str">
        <f ca="1">IFERROR(__xludf.DUMMYFUNCTION("QUERY('Volunteer Survey'!J128)"),"Dosage Sensitivity")</f>
        <v>Dosage Sensitivity</v>
      </c>
      <c r="R121" s="49" t="str">
        <f ca="1">IFERROR(__xludf.DUMMYFUNCTION("QUERY('Volunteer Survey'!K128)"),"Variant Pathogenicity")</f>
        <v>Variant Pathogenicity</v>
      </c>
      <c r="S121" s="49" t="str">
        <f ca="1">IFERROR(__xludf.DUMMYFUNCTION("QUERY('Volunteer Survey'!L128)"),"Somatic Cancer")</f>
        <v>Somatic Cancer</v>
      </c>
      <c r="T121" s="49" t="str">
        <f ca="1">IFERROR(__xludf.DUMMYFUNCTION("QUERY('Volunteer Survey'!M128)"),"Clinical Actionability")</f>
        <v>Clinical Actionability</v>
      </c>
      <c r="U121" s="58" t="str">
        <f ca="1">IFERROR(__xludf.DUMMYFUNCTION("QUERY('Volunteer Survey'!N128)"),"No")</f>
        <v>No</v>
      </c>
      <c r="V121" s="49" t="str">
        <f ca="1">IFERROR(__xludf.DUMMYFUNCTION("QUERY('Volunteer Survey'!O128)"),"Yes")</f>
        <v>Yes</v>
      </c>
      <c r="W121" s="60" t="str">
        <f ca="1">IFERROR(__xludf.DUMMYFUNCTION("QUERY('Volunteer Survey'!P128)"),"Mitochondrial or Aminoaciopathy")</f>
        <v>Mitochondrial or Aminoaciopathy</v>
      </c>
      <c r="X121" s="58" t="str">
        <f ca="1">IFERROR(__xludf.DUMMYFUNCTION("QUERY('Volunteer Survey'!R128)"),"Yes- I am willing to volunteer with any available ClinGen group")</f>
        <v>Yes- I am willing to volunteer with any available ClinGen group</v>
      </c>
      <c r="Y121" s="47"/>
      <c r="Z121" s="62"/>
      <c r="AA121" s="49"/>
      <c r="AB121" s="49"/>
      <c r="AC121" s="49"/>
      <c r="AD121" s="49"/>
      <c r="AE121" s="49"/>
      <c r="AF121" s="49"/>
      <c r="AG121" s="49"/>
      <c r="AH121" s="49"/>
      <c r="AI121" s="49"/>
      <c r="AJ121" s="49"/>
      <c r="AK121" s="49"/>
      <c r="AL121" s="49"/>
      <c r="AM121" s="49"/>
      <c r="AN121" s="49"/>
      <c r="AO121" s="49"/>
    </row>
    <row r="122" spans="1:41" ht="14">
      <c r="A122" s="44">
        <f ca="1">IFERROR(__xludf.DUMMYFUNCTION("QUERY('Volunteer Survey'!A129)"),43525.5038873958)</f>
        <v>43525.503887395796</v>
      </c>
      <c r="B122" s="42" t="s">
        <v>108</v>
      </c>
      <c r="C122" s="47"/>
      <c r="D122" s="50">
        <v>43608</v>
      </c>
      <c r="E122" s="42" t="s">
        <v>117</v>
      </c>
      <c r="F122" s="42" t="s">
        <v>117</v>
      </c>
      <c r="G122" s="42" t="s">
        <v>251</v>
      </c>
      <c r="H122" s="45" t="s">
        <v>169</v>
      </c>
      <c r="I122" s="45" t="s">
        <v>139</v>
      </c>
      <c r="J122" s="50">
        <v>43712</v>
      </c>
      <c r="K122" s="50"/>
      <c r="L122" s="49" t="str">
        <f ca="1">IFERROR(__xludf.DUMMYFUNCTION("QUERY('Volunteer Survey'!B129)"),"Michael McLachlan")</f>
        <v>Michael McLachlan</v>
      </c>
      <c r="M122" s="49" t="str">
        <f ca="1">IFERROR(__xludf.DUMMYFUNCTION("QUERY('Volunteer Survey'!E129)"),"mikejmclachlan@gmail.com")</f>
        <v>mikejmclachlan@gmail.com</v>
      </c>
      <c r="N122" s="49" t="str">
        <f ca="1">IFERROR(__xludf.DUMMYFUNCTION("QUERY('Volunteer Survey'!F129)"),"Scientific Researcher")</f>
        <v>Scientific Researcher</v>
      </c>
      <c r="O122" s="42" t="str">
        <f ca="1">IFERROR(__xludf.DUMMYFUNCTION("QUERY('Volunteer Survey'!H129)"),"Comprehensive")</f>
        <v>Comprehensive</v>
      </c>
      <c r="P122" s="49" t="str">
        <f ca="1">IFERROR(__xludf.DUMMYFUNCTION("QUERY('Volunteer Survey'!I129)"),"Variant Pathogenicity")</f>
        <v>Variant Pathogenicity</v>
      </c>
      <c r="Q122" s="54" t="str">
        <f ca="1">IFERROR(__xludf.DUMMYFUNCTION("QUERY('Volunteer Survey'!J129)"),"Gene-Disease Validity")</f>
        <v>Gene-Disease Validity</v>
      </c>
      <c r="R122" s="49" t="str">
        <f ca="1">IFERROR(__xludf.DUMMYFUNCTION("QUERY('Volunteer Survey'!K129)"),"Dosage Sensitivity")</f>
        <v>Dosage Sensitivity</v>
      </c>
      <c r="S122" s="49" t="str">
        <f ca="1">IFERROR(__xludf.DUMMYFUNCTION("QUERY('Volunteer Survey'!L129)"),"")</f>
        <v/>
      </c>
      <c r="T122" s="49" t="str">
        <f ca="1">IFERROR(__xludf.DUMMYFUNCTION("QUERY('Volunteer Survey'!M129)"),"")</f>
        <v/>
      </c>
      <c r="U122" s="58" t="str">
        <f ca="1">IFERROR(__xludf.DUMMYFUNCTION("QUERY('Volunteer Survey'!N129)"),"No curation experience but professional experience with genome analysis and disease models")</f>
        <v>No curation experience but professional experience with genome analysis and disease models</v>
      </c>
      <c r="V122" s="49" t="str">
        <f ca="1">IFERROR(__xludf.DUMMYFUNCTION("QUERY('Volunteer Survey'!O129)"),"Yes")</f>
        <v>Yes</v>
      </c>
      <c r="W122" s="60" t="str">
        <f ca="1">IFERROR(__xludf.DUMMYFUNCTION("QUERY('Volunteer Survey'!P129)"),"")</f>
        <v/>
      </c>
      <c r="X122" s="58" t="str">
        <f ca="1">IFERROR(__xludf.DUMMYFUNCTION("QUERY('Volunteer Survey'!R129)"),"Yes- I am willing to volunteer with any available ClinGen group")</f>
        <v>Yes- I am willing to volunteer with any available ClinGen group</v>
      </c>
      <c r="Y122" s="47"/>
      <c r="Z122" s="62"/>
      <c r="AA122" s="49"/>
      <c r="AB122" s="49"/>
      <c r="AC122" s="49"/>
      <c r="AD122" s="49"/>
      <c r="AE122" s="49"/>
      <c r="AF122" s="49"/>
      <c r="AG122" s="49"/>
      <c r="AH122" s="49"/>
      <c r="AI122" s="49"/>
      <c r="AJ122" s="49"/>
      <c r="AK122" s="49"/>
      <c r="AL122" s="49"/>
      <c r="AM122" s="49"/>
      <c r="AN122" s="49"/>
      <c r="AO122" s="49"/>
    </row>
    <row r="123" spans="1:41" ht="14">
      <c r="A123" s="44">
        <f ca="1">IFERROR(__xludf.DUMMYFUNCTION("QUERY('Volunteer Survey'!A130)"),43530.323665868)</f>
        <v>43530.323665868003</v>
      </c>
      <c r="B123" s="42" t="s">
        <v>168</v>
      </c>
      <c r="C123" s="47"/>
      <c r="D123" s="49"/>
      <c r="E123" s="42" t="s">
        <v>130</v>
      </c>
      <c r="F123" s="42" t="s">
        <v>130</v>
      </c>
      <c r="G123" s="42" t="s">
        <v>122</v>
      </c>
      <c r="H123" s="47"/>
      <c r="I123" s="45" t="s">
        <v>139</v>
      </c>
      <c r="J123" s="49"/>
      <c r="K123" s="49"/>
      <c r="L123" s="49" t="str">
        <f ca="1">IFERROR(__xludf.DUMMYFUNCTION("QUERY('Volunteer Survey'!B130)"),"Anand Narayanan")</f>
        <v>Anand Narayanan</v>
      </c>
      <c r="M123" s="49" t="str">
        <f ca="1">IFERROR(__xludf.DUMMYFUNCTION("QUERY('Volunteer Survey'!E130)"),"anandnpillai@gmail.com")</f>
        <v>anandnpillai@gmail.com</v>
      </c>
      <c r="N123" s="49" t="str">
        <f ca="1">IFERROR(__xludf.DUMMYFUNCTION("QUERY('Volunteer Survey'!F130)"),"Post Doc/Resident/Fellow (MD and/or PhD)")</f>
        <v>Post Doc/Resident/Fellow (MD and/or PhD)</v>
      </c>
      <c r="O123" s="42" t="str">
        <f ca="1">IFERROR(__xludf.DUMMYFUNCTION("QUERY('Volunteer Survey'!H130)"),"Comprehensive")</f>
        <v>Comprehensive</v>
      </c>
      <c r="P123" s="49" t="str">
        <f ca="1">IFERROR(__xludf.DUMMYFUNCTION("QUERY('Volunteer Survey'!I130)"),"Gene-Disease Validity")</f>
        <v>Gene-Disease Validity</v>
      </c>
      <c r="Q123" s="54" t="str">
        <f ca="1">IFERROR(__xludf.DUMMYFUNCTION("QUERY('Volunteer Survey'!J130)"),"Variant Pathogenicity")</f>
        <v>Variant Pathogenicity</v>
      </c>
      <c r="R123" s="49" t="str">
        <f ca="1">IFERROR(__xludf.DUMMYFUNCTION("QUERY('Volunteer Survey'!K130)"),"Dosage Sensitivity")</f>
        <v>Dosage Sensitivity</v>
      </c>
      <c r="S123" s="49" t="str">
        <f ca="1">IFERROR(__xludf.DUMMYFUNCTION("QUERY('Volunteer Survey'!L130)"),"Clinical Actionability")</f>
        <v>Clinical Actionability</v>
      </c>
      <c r="T123" s="49" t="str">
        <f ca="1">IFERROR(__xludf.DUMMYFUNCTION("QUERY('Volunteer Survey'!M130)"),"Somatic Cancer")</f>
        <v>Somatic Cancer</v>
      </c>
      <c r="U123" s="58" t="str">
        <f ca="1">IFERROR(__xludf.DUMMYFUNCTION("QUERY('Volunteer Survey'!N130)"),"I have served as a liaison of groups comprising clinicians, genetic counselors, researchers and bioinformatic staff. I am involved in the novel gene discovery and characterization ")</f>
        <v xml:space="preserve">I have served as a liaison of groups comprising clinicians, genetic counselors, researchers and bioinformatic staff. I am involved in the novel gene discovery and characterization </v>
      </c>
      <c r="V123" s="49" t="str">
        <f ca="1">IFERROR(__xludf.DUMMYFUNCTION("QUERY('Volunteer Survey'!O130)"),"Yes")</f>
        <v>Yes</v>
      </c>
      <c r="W123" s="60" t="str">
        <f ca="1">IFERROR(__xludf.DUMMYFUNCTION("QUERY('Volunteer Survey'!P130)"),"No")</f>
        <v>No</v>
      </c>
      <c r="X123" s="58" t="str">
        <f ca="1">IFERROR(__xludf.DUMMYFUNCTION("QUERY('Volunteer Survey'!R130)"),"Yes- I am willing to volunteer with any available ClinGen group")</f>
        <v>Yes- I am willing to volunteer with any available ClinGen group</v>
      </c>
      <c r="Y123" s="47"/>
      <c r="Z123" s="62"/>
      <c r="AA123" s="49"/>
      <c r="AB123" s="49"/>
      <c r="AC123" s="49"/>
      <c r="AD123" s="49"/>
      <c r="AE123" s="49"/>
      <c r="AF123" s="49"/>
      <c r="AG123" s="49"/>
      <c r="AH123" s="49"/>
      <c r="AI123" s="49"/>
      <c r="AJ123" s="49"/>
      <c r="AK123" s="49"/>
      <c r="AL123" s="49"/>
      <c r="AM123" s="49"/>
      <c r="AN123" s="49"/>
      <c r="AO123" s="49"/>
    </row>
    <row r="124" spans="1:41" ht="14">
      <c r="A124" s="44">
        <f ca="1">IFERROR(__xludf.DUMMYFUNCTION("QUERY('Volunteer Survey'!A131)"),43531.5780772222)</f>
        <v>43531.578077222199</v>
      </c>
      <c r="B124" s="42" t="s">
        <v>108</v>
      </c>
      <c r="C124" s="47"/>
      <c r="D124" s="49"/>
      <c r="E124" s="42" t="s">
        <v>130</v>
      </c>
      <c r="F124" s="42" t="s">
        <v>130</v>
      </c>
      <c r="G124" s="42" t="s">
        <v>202</v>
      </c>
      <c r="H124" s="47"/>
      <c r="I124" s="45" t="s">
        <v>139</v>
      </c>
      <c r="J124" s="49"/>
      <c r="K124" s="49"/>
      <c r="L124" s="49" t="str">
        <f ca="1">IFERROR(__xludf.DUMMYFUNCTION("QUERY('Volunteer Survey'!B131)"),"Rebekah Waikel")</f>
        <v>Rebekah Waikel</v>
      </c>
      <c r="M124" s="49" t="str">
        <f ca="1">IFERROR(__xludf.DUMMYFUNCTION("QUERY('Volunteer Survey'!E131)"),"rebekah.waikel@uky.edu")</f>
        <v>rebekah.waikel@uky.edu</v>
      </c>
      <c r="N124" s="49" t="str">
        <f ca="1">IFERROR(__xludf.DUMMYFUNCTION("QUERY('Volunteer Survey'!F131)"),"Clinical laboratory geneticist")</f>
        <v>Clinical laboratory geneticist</v>
      </c>
      <c r="O124" s="42" t="str">
        <f ca="1">IFERROR(__xludf.DUMMYFUNCTION("QUERY('Volunteer Survey'!H131)"),"Baseline")</f>
        <v>Baseline</v>
      </c>
      <c r="P124" s="49" t="str">
        <f ca="1">IFERROR(__xludf.DUMMYFUNCTION("QUERY('Volunteer Survey'!I131)"),"")</f>
        <v/>
      </c>
      <c r="Q124" s="54" t="str">
        <f ca="1">IFERROR(__xludf.DUMMYFUNCTION("QUERY('Volunteer Survey'!J131)"),"")</f>
        <v/>
      </c>
      <c r="R124" s="49" t="str">
        <f ca="1">IFERROR(__xludf.DUMMYFUNCTION("QUERY('Volunteer Survey'!K131)"),"")</f>
        <v/>
      </c>
      <c r="S124" s="49" t="str">
        <f ca="1">IFERROR(__xludf.DUMMYFUNCTION("QUERY('Volunteer Survey'!L131)"),"")</f>
        <v/>
      </c>
      <c r="T124" s="49" t="str">
        <f ca="1">IFERROR(__xludf.DUMMYFUNCTION("QUERY('Volunteer Survey'!M131)"),"")</f>
        <v/>
      </c>
      <c r="U124" s="58" t="str">
        <f ca="1">IFERROR(__xludf.DUMMYFUNCTION("QUERY('Volunteer Survey'!N131)"),"")</f>
        <v/>
      </c>
      <c r="V124" s="49" t="str">
        <f ca="1">IFERROR(__xludf.DUMMYFUNCTION("QUERY('Volunteer Survey'!O131)"),"Yes")</f>
        <v>Yes</v>
      </c>
      <c r="W124" s="60" t="str">
        <f ca="1">IFERROR(__xludf.DUMMYFUNCTION("QUERY('Volunteer Survey'!P131)"),"Inherited cardiopathy")</f>
        <v>Inherited cardiopathy</v>
      </c>
      <c r="X124" s="58" t="str">
        <f ca="1">IFERROR(__xludf.DUMMYFUNCTION("QUERY('Volunteer Survey'!R131)"),"Maybe -- please contact me with other options, and I will decide based on what is available")</f>
        <v>Maybe -- please contact me with other options, and I will decide based on what is available</v>
      </c>
      <c r="Y124" s="47"/>
      <c r="Z124" s="62"/>
      <c r="AA124" s="49"/>
      <c r="AB124" s="49"/>
      <c r="AC124" s="49"/>
      <c r="AD124" s="49"/>
      <c r="AE124" s="49"/>
      <c r="AF124" s="49"/>
      <c r="AG124" s="49"/>
      <c r="AH124" s="49"/>
      <c r="AI124" s="49"/>
      <c r="AJ124" s="49"/>
      <c r="AK124" s="49"/>
      <c r="AL124" s="49"/>
      <c r="AM124" s="49"/>
      <c r="AN124" s="49"/>
      <c r="AO124" s="49"/>
    </row>
    <row r="125" spans="1:41" ht="14">
      <c r="A125" s="44">
        <f ca="1">IFERROR(__xludf.DUMMYFUNCTION("QUERY('Volunteer Survey'!A132)"),43531.6083638425)</f>
        <v>43531.608363842497</v>
      </c>
      <c r="B125" s="42" t="s">
        <v>108</v>
      </c>
      <c r="C125" s="47"/>
      <c r="D125" s="59">
        <v>43585</v>
      </c>
      <c r="E125" s="42" t="s">
        <v>117</v>
      </c>
      <c r="F125" s="42" t="s">
        <v>117</v>
      </c>
      <c r="G125" s="42" t="s">
        <v>122</v>
      </c>
      <c r="H125" s="47"/>
      <c r="I125" s="45" t="s">
        <v>139</v>
      </c>
      <c r="J125" s="50">
        <v>43712</v>
      </c>
      <c r="K125" s="50"/>
      <c r="L125" s="49" t="str">
        <f ca="1">IFERROR(__xludf.DUMMYFUNCTION("QUERY('Volunteer Survey'!B132)"),"Urjit Patel")</f>
        <v>Urjit Patel</v>
      </c>
      <c r="M125" s="49" t="str">
        <f ca="1">IFERROR(__xludf.DUMMYFUNCTION("QUERY('Volunteer Survey'!E132)"),"urjit.x.patel@questdiagnostics.com")</f>
        <v>urjit.x.patel@questdiagnostics.com</v>
      </c>
      <c r="N125" s="49" t="str">
        <f ca="1">IFERROR(__xludf.DUMMYFUNCTION("QUERY('Volunteer Survey'!F132)"),"Variant Analyst/Scientist - Industry")</f>
        <v>Variant Analyst/Scientist - Industry</v>
      </c>
      <c r="O125" s="42" t="str">
        <f ca="1">IFERROR(__xludf.DUMMYFUNCTION("QUERY('Volunteer Survey'!H132)"),"Comprehensive")</f>
        <v>Comprehensive</v>
      </c>
      <c r="P125" s="49" t="str">
        <f ca="1">IFERROR(__xludf.DUMMYFUNCTION("QUERY('Volunteer Survey'!I132)"),"Gene-Disease Validity")</f>
        <v>Gene-Disease Validity</v>
      </c>
      <c r="Q125" s="54" t="str">
        <f ca="1">IFERROR(__xludf.DUMMYFUNCTION("QUERY('Volunteer Survey'!J132)"),"Dosage Sensitivity")</f>
        <v>Dosage Sensitivity</v>
      </c>
      <c r="R125" s="49" t="str">
        <f ca="1">IFERROR(__xludf.DUMMYFUNCTION("QUERY('Volunteer Survey'!K132)"),"Variant Pathogenicity")</f>
        <v>Variant Pathogenicity</v>
      </c>
      <c r="S125" s="49" t="str">
        <f ca="1">IFERROR(__xludf.DUMMYFUNCTION("QUERY('Volunteer Survey'!L132)"),"")</f>
        <v/>
      </c>
      <c r="T125" s="49" t="str">
        <f ca="1">IFERROR(__xludf.DUMMYFUNCTION("QUERY('Volunteer Survey'!M132)"),"")</f>
        <v/>
      </c>
      <c r="U125" s="58" t="str">
        <f ca="1">IFERROR(__xludf.DUMMYFUNCTION("QUERY('Volunteer Survey'!N132)"),"")</f>
        <v/>
      </c>
      <c r="V125" s="49" t="str">
        <f ca="1">IFERROR(__xludf.DUMMYFUNCTION("QUERY('Volunteer Survey'!O132)"),"Possibly")</f>
        <v>Possibly</v>
      </c>
      <c r="W125" s="60" t="str">
        <f ca="1">IFERROR(__xludf.DUMMYFUNCTION("QUERY('Volunteer Survey'!P132)"),"")</f>
        <v/>
      </c>
      <c r="X125" s="58" t="str">
        <f ca="1">IFERROR(__xludf.DUMMYFUNCTION("QUERY('Volunteer Survey'!R132)"),"Maybe -- please contact me with other options, and I will decide based on what is available")</f>
        <v>Maybe -- please contact me with other options, and I will decide based on what is available</v>
      </c>
      <c r="Y125" s="47"/>
      <c r="Z125" s="62"/>
      <c r="AA125" s="49"/>
      <c r="AB125" s="49"/>
      <c r="AC125" s="49"/>
      <c r="AD125" s="49"/>
      <c r="AE125" s="49"/>
      <c r="AF125" s="49"/>
      <c r="AG125" s="49"/>
      <c r="AH125" s="49"/>
      <c r="AI125" s="49"/>
      <c r="AJ125" s="49"/>
      <c r="AK125" s="49"/>
      <c r="AL125" s="49"/>
      <c r="AM125" s="49"/>
      <c r="AN125" s="49"/>
      <c r="AO125" s="49"/>
    </row>
    <row r="126" spans="1:41" ht="14">
      <c r="A126" s="44">
        <f ca="1">IFERROR(__xludf.DUMMYFUNCTION("QUERY('Volunteer Survey'!A133)"),43531.6175765162)</f>
        <v>43531.617576516197</v>
      </c>
      <c r="B126" s="42" t="s">
        <v>168</v>
      </c>
      <c r="C126" s="47"/>
      <c r="D126" s="67">
        <v>43567</v>
      </c>
      <c r="E126" s="42" t="s">
        <v>117</v>
      </c>
      <c r="F126" s="42" t="s">
        <v>117</v>
      </c>
      <c r="G126" s="42" t="s">
        <v>19</v>
      </c>
      <c r="H126" s="63" t="s">
        <v>19</v>
      </c>
      <c r="I126" s="63" t="s">
        <v>139</v>
      </c>
      <c r="J126" s="50">
        <v>43712</v>
      </c>
      <c r="K126" s="50"/>
      <c r="L126" s="49" t="str">
        <f ca="1">IFERROR(__xludf.DUMMYFUNCTION("QUERY('Volunteer Survey'!B133)"),"Lesley Northrop")</f>
        <v>Lesley Northrop</v>
      </c>
      <c r="M126" s="49" t="str">
        <f ca="1">IFERROR(__xludf.DUMMYFUNCTION("QUERY('Volunteer Survey'!E133)"),"lesleyenorthrop@gmail.com")</f>
        <v>lesleyenorthrop@gmail.com</v>
      </c>
      <c r="N126" s="49" t="str">
        <f ca="1">IFERROR(__xludf.DUMMYFUNCTION("QUERY('Volunteer Survey'!F133)"),"Clinical laboratory geneticist")</f>
        <v>Clinical laboratory geneticist</v>
      </c>
      <c r="O126" s="42" t="str">
        <f ca="1">IFERROR(__xludf.DUMMYFUNCTION("QUERY('Volunteer Survey'!H133)"),"Comprehensive")</f>
        <v>Comprehensive</v>
      </c>
      <c r="P126" s="49" t="str">
        <f ca="1">IFERROR(__xludf.DUMMYFUNCTION("QUERY('Volunteer Survey'!I133)"),"Clinical Actionability")</f>
        <v>Clinical Actionability</v>
      </c>
      <c r="Q126" s="54" t="str">
        <f ca="1">IFERROR(__xludf.DUMMYFUNCTION("QUERY('Volunteer Survey'!J133)"),"Gene-Disease Validity")</f>
        <v>Gene-Disease Validity</v>
      </c>
      <c r="R126" s="49" t="str">
        <f ca="1">IFERROR(__xludf.DUMMYFUNCTION("QUERY('Volunteer Survey'!K133)"),"Variant Pathogenicity")</f>
        <v>Variant Pathogenicity</v>
      </c>
      <c r="S126" s="49" t="str">
        <f ca="1">IFERROR(__xludf.DUMMYFUNCTION("QUERY('Volunteer Survey'!L133)"),"Dosage Sensitivity")</f>
        <v>Dosage Sensitivity</v>
      </c>
      <c r="T126" s="49" t="str">
        <f ca="1">IFERROR(__xludf.DUMMYFUNCTION("QUERY('Volunteer Survey'!M133)"),"Somatic Cancer")</f>
        <v>Somatic Cancer</v>
      </c>
      <c r="U126" s="58" t="str">
        <f ca="1">IFERROR(__xludf.DUMMYFUNCTION("QUERY('Volunteer Survey'!N133)"),"within my own institution designing a panel following ClinGen guidelines")</f>
        <v>within my own institution designing a panel following ClinGen guidelines</v>
      </c>
      <c r="V126" s="49" t="str">
        <f ca="1">IFERROR(__xludf.DUMMYFUNCTION("QUERY('Volunteer Survey'!O133)"),"Yes")</f>
        <v>Yes</v>
      </c>
      <c r="W126" s="60" t="str">
        <f ca="1">IFERROR(__xludf.DUMMYFUNCTION("QUERY('Volunteer Survey'!P133)"),"Gene Curation - Epilepsy or Autism &amp; ID")</f>
        <v>Gene Curation - Epilepsy or Autism &amp; ID</v>
      </c>
      <c r="X126" s="58" t="str">
        <f ca="1">IFERROR(__xludf.DUMMYFUNCTION("QUERY('Volunteer Survey'!R133)"),"Yes- I am willing to volunteer with any available ClinGen group")</f>
        <v>Yes- I am willing to volunteer with any available ClinGen group</v>
      </c>
      <c r="Y126" s="47"/>
      <c r="Z126" s="62"/>
      <c r="AA126" s="49"/>
      <c r="AB126" s="49"/>
      <c r="AC126" s="49"/>
      <c r="AD126" s="49"/>
      <c r="AE126" s="49"/>
      <c r="AF126" s="49"/>
      <c r="AG126" s="49"/>
      <c r="AH126" s="49"/>
      <c r="AI126" s="49"/>
      <c r="AJ126" s="49"/>
      <c r="AK126" s="49"/>
      <c r="AL126" s="49"/>
      <c r="AM126" s="49"/>
      <c r="AN126" s="49"/>
      <c r="AO126" s="49"/>
    </row>
    <row r="127" spans="1:41" ht="18" customHeight="1">
      <c r="A127" s="44">
        <f ca="1">IFERROR(__xludf.DUMMYFUNCTION("QUERY('Volunteer Survey'!A134)"),43535.0067611458)</f>
        <v>43535.0067611458</v>
      </c>
      <c r="B127" s="42" t="s">
        <v>168</v>
      </c>
      <c r="C127" s="47"/>
      <c r="D127" s="49"/>
      <c r="E127" s="42" t="s">
        <v>130</v>
      </c>
      <c r="F127" s="42" t="s">
        <v>130</v>
      </c>
      <c r="G127" s="42" t="s">
        <v>163</v>
      </c>
      <c r="H127" s="47"/>
      <c r="I127" s="45" t="s">
        <v>139</v>
      </c>
      <c r="J127" s="49"/>
      <c r="K127" s="49"/>
      <c r="L127" s="49" t="str">
        <f ca="1">IFERROR(__xludf.DUMMYFUNCTION("QUERY('Volunteer Survey'!B134)"),"Hafsa Amtul")</f>
        <v>Hafsa Amtul</v>
      </c>
      <c r="M127" s="49" t="str">
        <f ca="1">IFERROR(__xludf.DUMMYFUNCTION("QUERY('Volunteer Survey'!E134)"),"hafsa.amtul2502@gmail.com")</f>
        <v>hafsa.amtul2502@gmail.com</v>
      </c>
      <c r="N127" s="49" t="str">
        <f ca="1">IFERROR(__xludf.DUMMYFUNCTION("QUERY('Volunteer Survey'!F134)"),"Scientific Researcher")</f>
        <v>Scientific Researcher</v>
      </c>
      <c r="O127" s="42" t="str">
        <f ca="1">IFERROR(__xludf.DUMMYFUNCTION("QUERY('Volunteer Survey'!H134)"),"Comprehensive")</f>
        <v>Comprehensive</v>
      </c>
      <c r="P127" s="49" t="str">
        <f ca="1">IFERROR(__xludf.DUMMYFUNCTION("QUERY('Volunteer Survey'!I134)"),"Dosage Sensitivity")</f>
        <v>Dosage Sensitivity</v>
      </c>
      <c r="Q127" s="54" t="str">
        <f ca="1">IFERROR(__xludf.DUMMYFUNCTION("QUERY('Volunteer Survey'!J134)"),"Clinical Actionability")</f>
        <v>Clinical Actionability</v>
      </c>
      <c r="R127" s="49" t="str">
        <f ca="1">IFERROR(__xludf.DUMMYFUNCTION("QUERY('Volunteer Survey'!K134)"),"Gene-Disease Validity")</f>
        <v>Gene-Disease Validity</v>
      </c>
      <c r="S127" s="49" t="str">
        <f ca="1">IFERROR(__xludf.DUMMYFUNCTION("QUERY('Volunteer Survey'!L134)"),"Somatic Cancer")</f>
        <v>Somatic Cancer</v>
      </c>
      <c r="T127" s="49" t="str">
        <f ca="1">IFERROR(__xludf.DUMMYFUNCTION("QUERY('Volunteer Survey'!M134)"),"Variant Pathogenicity")</f>
        <v>Variant Pathogenicity</v>
      </c>
      <c r="U127" s="58" t="str">
        <f ca="1">IFERROR(__xludf.DUMMYFUNCTION("QUERY('Volunteer Survey'!N134)"),"drug toxicity associated with tpmt genetic variants *1, *2, *3A, *3B")</f>
        <v>drug toxicity associated with tpmt genetic variants *1, *2, *3A, *3B</v>
      </c>
      <c r="V127" s="49" t="str">
        <f ca="1">IFERROR(__xludf.DUMMYFUNCTION("QUERY('Volunteer Survey'!O134)"),"Yes")</f>
        <v>Yes</v>
      </c>
      <c r="W127" s="60" t="str">
        <f ca="1">IFERROR(__xludf.DUMMYFUNCTION("QUERY('Volunteer Survey'!P134)"),"Dosage- Neurodevelopemental, Pediatric, Nonsmall cell lung cancer, 
Somatic TP53 ")</f>
        <v xml:space="preserve">Dosage- Neurodevelopemental, Pediatric, Nonsmall cell lung cancer, 
Somatic TP53 </v>
      </c>
      <c r="X127" s="58" t="str">
        <f ca="1">IFERROR(__xludf.DUMMYFUNCTION("QUERY('Volunteer Survey'!R134)"),"Maybe -- please contact me with other options, and I will decide based on what is available")</f>
        <v>Maybe -- please contact me with other options, and I will decide based on what is available</v>
      </c>
      <c r="Y127" s="47"/>
      <c r="Z127" s="62"/>
      <c r="AA127" s="49"/>
      <c r="AB127" s="49"/>
      <c r="AC127" s="49"/>
      <c r="AD127" s="49"/>
      <c r="AE127" s="49"/>
      <c r="AF127" s="49"/>
      <c r="AG127" s="49"/>
      <c r="AH127" s="49"/>
      <c r="AI127" s="49"/>
      <c r="AJ127" s="49"/>
      <c r="AK127" s="49"/>
      <c r="AL127" s="49"/>
      <c r="AM127" s="49"/>
      <c r="AN127" s="49"/>
      <c r="AO127" s="49"/>
    </row>
    <row r="128" spans="1:41" ht="14">
      <c r="A128" s="44">
        <f ca="1">IFERROR(__xludf.DUMMYFUNCTION("QUERY('Volunteer Survey'!A135)"),43537.387839074)</f>
        <v>43537.387839073999</v>
      </c>
      <c r="B128" s="42" t="s">
        <v>108</v>
      </c>
      <c r="C128" s="47"/>
      <c r="D128" s="49"/>
      <c r="E128" s="42" t="s">
        <v>130</v>
      </c>
      <c r="F128" s="42" t="s">
        <v>130</v>
      </c>
      <c r="G128" s="42" t="s">
        <v>202</v>
      </c>
      <c r="H128" s="47"/>
      <c r="I128" s="45" t="s">
        <v>139</v>
      </c>
      <c r="J128" s="49"/>
      <c r="K128" s="49"/>
      <c r="L128" s="49" t="str">
        <f ca="1">IFERROR(__xludf.DUMMYFUNCTION("QUERY('Volunteer Survey'!B135)"),"Manya Warrier")</f>
        <v>Manya Warrier</v>
      </c>
      <c r="M128" s="49" t="str">
        <f ca="1">IFERROR(__xludf.DUMMYFUNCTION("QUERY('Volunteer Survey'!E135)"),"manyawarrier@gmail.com")</f>
        <v>manyawarrier@gmail.com</v>
      </c>
      <c r="N128" s="49" t="str">
        <f ca="1">IFERROR(__xludf.DUMMYFUNCTION("QUERY('Volunteer Survey'!F135)"),"Variant Analyst/Scientist - Industry")</f>
        <v>Variant Analyst/Scientist - Industry</v>
      </c>
      <c r="O128" s="42" t="str">
        <f ca="1">IFERROR(__xludf.DUMMYFUNCTION("QUERY('Volunteer Survey'!H135)"),"Baseline")</f>
        <v>Baseline</v>
      </c>
      <c r="P128" s="49" t="str">
        <f ca="1">IFERROR(__xludf.DUMMYFUNCTION("QUERY('Volunteer Survey'!I135)"),"")</f>
        <v/>
      </c>
      <c r="Q128" s="54" t="str">
        <f ca="1">IFERROR(__xludf.DUMMYFUNCTION("QUERY('Volunteer Survey'!J135)"),"")</f>
        <v/>
      </c>
      <c r="R128" s="49" t="str">
        <f ca="1">IFERROR(__xludf.DUMMYFUNCTION("QUERY('Volunteer Survey'!K135)"),"")</f>
        <v/>
      </c>
      <c r="S128" s="49" t="str">
        <f ca="1">IFERROR(__xludf.DUMMYFUNCTION("QUERY('Volunteer Survey'!L135)"),"")</f>
        <v/>
      </c>
      <c r="T128" s="49" t="str">
        <f ca="1">IFERROR(__xludf.DUMMYFUNCTION("QUERY('Volunteer Survey'!M135)"),"")</f>
        <v/>
      </c>
      <c r="U128" s="58" t="str">
        <f ca="1">IFERROR(__xludf.DUMMYFUNCTION("QUERY('Volunteer Survey'!N135)"),"")</f>
        <v/>
      </c>
      <c r="V128" s="49" t="str">
        <f ca="1">IFERROR(__xludf.DUMMYFUNCTION("QUERY('Volunteer Survey'!O135)"),"Possibly")</f>
        <v>Possibly</v>
      </c>
      <c r="W128" s="60" t="str">
        <f ca="1">IFERROR(__xludf.DUMMYFUNCTION("QUERY('Volunteer Survey'!P135)"),"")</f>
        <v/>
      </c>
      <c r="X128" s="58" t="str">
        <f ca="1">IFERROR(__xludf.DUMMYFUNCTION("QUERY('Volunteer Survey'!R135)"),"Yes- I am willing to volunteer with any available ClinGen group")</f>
        <v>Yes- I am willing to volunteer with any available ClinGen group</v>
      </c>
      <c r="Y128" s="47"/>
      <c r="Z128" s="62"/>
      <c r="AA128" s="49"/>
      <c r="AB128" s="49"/>
      <c r="AC128" s="49"/>
      <c r="AD128" s="49"/>
      <c r="AE128" s="49"/>
      <c r="AF128" s="49"/>
      <c r="AG128" s="49"/>
      <c r="AH128" s="49"/>
      <c r="AI128" s="49"/>
      <c r="AJ128" s="49"/>
      <c r="AK128" s="49"/>
      <c r="AL128" s="49"/>
      <c r="AM128" s="49"/>
      <c r="AN128" s="49"/>
      <c r="AO128" s="49"/>
    </row>
    <row r="129" spans="1:41" ht="14">
      <c r="A129" s="44">
        <f ca="1">IFERROR(__xludf.DUMMYFUNCTION("QUERY('Volunteer Survey'!A136)"),43542.6378533333)</f>
        <v>43542.637853333297</v>
      </c>
      <c r="B129" s="42" t="s">
        <v>108</v>
      </c>
      <c r="C129" s="47"/>
      <c r="D129" s="43">
        <v>43570</v>
      </c>
      <c r="E129" s="42" t="s">
        <v>117</v>
      </c>
      <c r="F129" s="42" t="s">
        <v>117</v>
      </c>
      <c r="G129" s="42" t="s">
        <v>122</v>
      </c>
      <c r="H129" s="45" t="s">
        <v>123</v>
      </c>
      <c r="I129" s="45" t="s">
        <v>139</v>
      </c>
      <c r="J129" s="50">
        <v>43712</v>
      </c>
      <c r="K129" s="50"/>
      <c r="L129" s="49" t="str">
        <f ca="1">IFERROR(__xludf.DUMMYFUNCTION("QUERY('Volunteer Survey'!B136)"),"Angela Pickart")</f>
        <v>Angela Pickart</v>
      </c>
      <c r="M129" s="49" t="str">
        <f ca="1">IFERROR(__xludf.DUMMYFUNCTION("QUERY('Volunteer Survey'!E136)"),"pickart.angela@mayo.edu")</f>
        <v>pickart.angela@mayo.edu</v>
      </c>
      <c r="N129" s="49" t="str">
        <f ca="1">IFERROR(__xludf.DUMMYFUNCTION("QUERY('Volunteer Survey'!F136)"),"Genetic counselor")</f>
        <v>Genetic counselor</v>
      </c>
      <c r="O129" s="42" t="str">
        <f ca="1">IFERROR(__xludf.DUMMYFUNCTION("QUERY('Volunteer Survey'!H136)"),"Comprehensive")</f>
        <v>Comprehensive</v>
      </c>
      <c r="P129" s="49" t="str">
        <f ca="1">IFERROR(__xludf.DUMMYFUNCTION("QUERY('Volunteer Survey'!I136)"),"Gene-Disease Validity")</f>
        <v>Gene-Disease Validity</v>
      </c>
      <c r="Q129" s="54" t="str">
        <f ca="1">IFERROR(__xludf.DUMMYFUNCTION("QUERY('Volunteer Survey'!J136)"),"Variant Pathogenicity")</f>
        <v>Variant Pathogenicity</v>
      </c>
      <c r="R129" s="49" t="str">
        <f ca="1">IFERROR(__xludf.DUMMYFUNCTION("QUERY('Volunteer Survey'!K136)"),"")</f>
        <v/>
      </c>
      <c r="S129" s="49" t="str">
        <f ca="1">IFERROR(__xludf.DUMMYFUNCTION("QUERY('Volunteer Survey'!L136)"),"")</f>
        <v/>
      </c>
      <c r="T129" s="49" t="str">
        <f ca="1">IFERROR(__xludf.DUMMYFUNCTION("QUERY('Volunteer Survey'!M136)"),"")</f>
        <v/>
      </c>
      <c r="U129" s="58" t="str">
        <f ca="1">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49" t="str">
        <f ca="1">IFERROR(__xludf.DUMMYFUNCTION("QUERY('Volunteer Survey'!O136)"),"Possibly")</f>
        <v>Possibly</v>
      </c>
      <c r="W129" s="60" t="str">
        <f ca="1">IFERROR(__xludf.DUMMYFUNCTION("QUERY('Volunteer Survey'!P136)"),"Epilepsy")</f>
        <v>Epilepsy</v>
      </c>
      <c r="X129" s="58" t="str">
        <f ca="1">IFERROR(__xludf.DUMMYFUNCTION("QUERY('Volunteer Survey'!R136)"),"Maybe -- please contact me with other options, and I will decide based on what is available")</f>
        <v>Maybe -- please contact me with other options, and I will decide based on what is available</v>
      </c>
      <c r="Y129" s="47"/>
      <c r="Z129" s="62"/>
      <c r="AA129" s="49"/>
      <c r="AB129" s="49"/>
      <c r="AC129" s="49"/>
      <c r="AD129" s="49"/>
      <c r="AE129" s="49"/>
      <c r="AF129" s="49"/>
      <c r="AG129" s="49"/>
      <c r="AH129" s="49"/>
      <c r="AI129" s="49"/>
      <c r="AJ129" s="49"/>
      <c r="AK129" s="49"/>
      <c r="AL129" s="49"/>
      <c r="AM129" s="49"/>
      <c r="AN129" s="49"/>
      <c r="AO129" s="49"/>
    </row>
    <row r="130" spans="1:41" ht="14">
      <c r="A130" s="44">
        <f ca="1">IFERROR(__xludf.DUMMYFUNCTION("QUERY('Volunteer Survey'!A137)"),43543.4405140277)</f>
        <v>43543.440514027701</v>
      </c>
      <c r="B130" s="42" t="s">
        <v>160</v>
      </c>
      <c r="C130" s="47"/>
      <c r="D130" s="59">
        <v>43605</v>
      </c>
      <c r="E130" s="42" t="s">
        <v>117</v>
      </c>
      <c r="F130" s="42" t="s">
        <v>117</v>
      </c>
      <c r="G130" s="42" t="s">
        <v>251</v>
      </c>
      <c r="H130" s="45" t="s">
        <v>248</v>
      </c>
      <c r="I130" s="45" t="s">
        <v>139</v>
      </c>
      <c r="J130" s="50">
        <v>43712</v>
      </c>
      <c r="K130" s="50"/>
      <c r="L130" s="49" t="str">
        <f ca="1">IFERROR(__xludf.DUMMYFUNCTION("QUERY('Volunteer Survey'!B137)"),"Jing Xie")</f>
        <v>Jing Xie</v>
      </c>
      <c r="M130" s="49" t="str">
        <f ca="1">IFERROR(__xludf.DUMMYFUNCTION("QUERY('Volunteer Survey'!E137)"),"jingxiegene@gmail.com")</f>
        <v>jingxiegene@gmail.com</v>
      </c>
      <c r="N130" s="49" t="str">
        <f ca="1">IFERROR(__xludf.DUMMYFUNCTION("QUERY('Volunteer Survey'!F137)"),"Clinical laboratory geneticist")</f>
        <v>Clinical laboratory geneticist</v>
      </c>
      <c r="O130" s="42" t="str">
        <f ca="1">IFERROR(__xludf.DUMMYFUNCTION("QUERY('Volunteer Survey'!H137)"),"Comprehensive")</f>
        <v>Comprehensive</v>
      </c>
      <c r="P130" s="49" t="str">
        <f ca="1">IFERROR(__xludf.DUMMYFUNCTION("QUERY('Volunteer Survey'!I137)"),"Variant Pathogenicity")</f>
        <v>Variant Pathogenicity</v>
      </c>
      <c r="Q130" s="54" t="str">
        <f ca="1">IFERROR(__xludf.DUMMYFUNCTION("QUERY('Volunteer Survey'!J137)"),"Gene-Disease Validity")</f>
        <v>Gene-Disease Validity</v>
      </c>
      <c r="R130" s="49" t="str">
        <f ca="1">IFERROR(__xludf.DUMMYFUNCTION("QUERY('Volunteer Survey'!K137)"),"Clinical Actionability")</f>
        <v>Clinical Actionability</v>
      </c>
      <c r="S130" s="49" t="str">
        <f ca="1">IFERROR(__xludf.DUMMYFUNCTION("QUERY('Volunteer Survey'!L137)"),"Dosage Sensitivity")</f>
        <v>Dosage Sensitivity</v>
      </c>
      <c r="T130" s="49" t="str">
        <f ca="1">IFERROR(__xludf.DUMMYFUNCTION("QUERY('Volunteer Survey'!M137)"),"Somatic Cancer")</f>
        <v>Somatic Cancer</v>
      </c>
      <c r="U130" s="58" t="str">
        <f ca="1">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c r="V130" s="49" t="str">
        <f ca="1">IFERROR(__xludf.DUMMYFUNCTION("QUERY('Volunteer Survey'!O137)"),"Yes")</f>
        <v>Yes</v>
      </c>
      <c r="W130" s="60" t="str">
        <f ca="1">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58" t="str">
        <f ca="1">IFERROR(__xludf.DUMMYFUNCTION("QUERY('Volunteer Survey'!R137)"),"Yes- I am willing to volunteer with any available ClinGen group")</f>
        <v>Yes- I am willing to volunteer with any available ClinGen group</v>
      </c>
      <c r="Y130" s="45" t="s">
        <v>349</v>
      </c>
      <c r="Z130" s="62"/>
      <c r="AA130" s="49"/>
      <c r="AB130" s="49"/>
      <c r="AC130" s="49"/>
      <c r="AD130" s="49"/>
      <c r="AE130" s="49"/>
      <c r="AF130" s="49"/>
      <c r="AG130" s="49"/>
      <c r="AH130" s="49"/>
      <c r="AI130" s="49"/>
      <c r="AJ130" s="49"/>
      <c r="AK130" s="49"/>
      <c r="AL130" s="49"/>
      <c r="AM130" s="49"/>
      <c r="AN130" s="49"/>
      <c r="AO130" s="49"/>
    </row>
    <row r="131" spans="1:41" ht="14">
      <c r="A131" s="44">
        <f ca="1">IFERROR(__xludf.DUMMYFUNCTION("QUERY('Volunteer Survey'!A138)"),43549.5145897801)</f>
        <v>43549.514589780098</v>
      </c>
      <c r="B131" s="42" t="s">
        <v>108</v>
      </c>
      <c r="C131" s="47"/>
      <c r="D131" s="49"/>
      <c r="E131" s="42" t="s">
        <v>130</v>
      </c>
      <c r="F131" s="42" t="s">
        <v>130</v>
      </c>
      <c r="G131" s="42" t="s">
        <v>202</v>
      </c>
      <c r="H131" s="47"/>
      <c r="I131" s="45" t="s">
        <v>139</v>
      </c>
      <c r="J131" s="49"/>
      <c r="K131" s="49"/>
      <c r="L131" s="49" t="str">
        <f ca="1">IFERROR(__xludf.DUMMYFUNCTION("QUERY('Volunteer Survey'!B138)"),"Jianli Dong")</f>
        <v>Jianli Dong</v>
      </c>
      <c r="M131" s="49" t="str">
        <f ca="1">IFERROR(__xludf.DUMMYFUNCTION("QUERY('Volunteer Survey'!E138)"),"jidong@utmb.edu")</f>
        <v>jidong@utmb.edu</v>
      </c>
      <c r="N131" s="49" t="str">
        <f ca="1">IFERROR(__xludf.DUMMYFUNCTION("QUERY('Volunteer Survey'!F138)"),"Clinical laboratory geneticist")</f>
        <v>Clinical laboratory geneticist</v>
      </c>
      <c r="O131" s="42" t="str">
        <f ca="1">IFERROR(__xludf.DUMMYFUNCTION("QUERY('Volunteer Survey'!H138)"),"Baseline")</f>
        <v>Baseline</v>
      </c>
      <c r="P131" s="49" t="str">
        <f ca="1">IFERROR(__xludf.DUMMYFUNCTION("QUERY('Volunteer Survey'!I138)"),"")</f>
        <v/>
      </c>
      <c r="Q131" s="54" t="str">
        <f ca="1">IFERROR(__xludf.DUMMYFUNCTION("QUERY('Volunteer Survey'!J138)"),"")</f>
        <v/>
      </c>
      <c r="R131" s="49" t="str">
        <f ca="1">IFERROR(__xludf.DUMMYFUNCTION("QUERY('Volunteer Survey'!K138)"),"")</f>
        <v/>
      </c>
      <c r="S131" s="49" t="str">
        <f ca="1">IFERROR(__xludf.DUMMYFUNCTION("QUERY('Volunteer Survey'!L138)"),"")</f>
        <v/>
      </c>
      <c r="T131" s="49" t="str">
        <f ca="1">IFERROR(__xludf.DUMMYFUNCTION("QUERY('Volunteer Survey'!M138)"),"")</f>
        <v/>
      </c>
      <c r="U131" s="58" t="str">
        <f ca="1">IFERROR(__xludf.DUMMYFUNCTION("QUERY('Volunteer Survey'!N138)"),"")</f>
        <v/>
      </c>
      <c r="V131" s="49" t="str">
        <f ca="1">IFERROR(__xludf.DUMMYFUNCTION("QUERY('Volunteer Survey'!O138)"),"No")</f>
        <v>No</v>
      </c>
      <c r="W131" s="60" t="str">
        <f ca="1">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58" t="str">
        <f ca="1">IFERROR(__xludf.DUMMYFUNCTION("QUERY('Volunteer Survey'!R138)"),"Maybe -- please contact me with other options, and I will decide based on what is available")</f>
        <v>Maybe -- please contact me with other options, and I will decide based on what is available</v>
      </c>
      <c r="Y131" s="47"/>
      <c r="Z131" s="62"/>
      <c r="AA131" s="49"/>
      <c r="AB131" s="49"/>
      <c r="AC131" s="49"/>
      <c r="AD131" s="49"/>
      <c r="AE131" s="49"/>
      <c r="AF131" s="49"/>
      <c r="AG131" s="49"/>
      <c r="AH131" s="49"/>
      <c r="AI131" s="49"/>
      <c r="AJ131" s="49"/>
      <c r="AK131" s="49"/>
      <c r="AL131" s="49"/>
      <c r="AM131" s="49"/>
      <c r="AN131" s="49"/>
      <c r="AO131" s="49"/>
    </row>
    <row r="132" spans="1:41" ht="14">
      <c r="A132" s="44">
        <f ca="1">IFERROR(__xludf.DUMMYFUNCTION("QUERY('Volunteer Survey'!A139)"),43549.5304612731)</f>
        <v>43549.530461273098</v>
      </c>
      <c r="B132" s="42" t="s">
        <v>108</v>
      </c>
      <c r="C132" s="47"/>
      <c r="D132" s="59">
        <v>43605</v>
      </c>
      <c r="E132" s="42" t="s">
        <v>117</v>
      </c>
      <c r="F132" s="42" t="s">
        <v>117</v>
      </c>
      <c r="G132" s="42" t="s">
        <v>251</v>
      </c>
      <c r="H132" s="45" t="s">
        <v>242</v>
      </c>
      <c r="I132" s="45" t="s">
        <v>139</v>
      </c>
      <c r="J132" s="50">
        <v>43712</v>
      </c>
      <c r="K132" s="50"/>
      <c r="L132" s="49" t="str">
        <f ca="1">IFERROR(__xludf.DUMMYFUNCTION("QUERY('Volunteer Survey'!B139)"),"Kathryn Kronquist")</f>
        <v>Kathryn Kronquist</v>
      </c>
      <c r="M132" s="49" t="str">
        <f ca="1">IFERROR(__xludf.DUMMYFUNCTION("QUERY('Volunteer Survey'!E139)"),"Kathryn.Kronquist@childrenscolorado.org")</f>
        <v>Kathryn.Kronquist@childrenscolorado.org</v>
      </c>
      <c r="N132" s="49" t="str">
        <f ca="1">IFERROR(__xludf.DUMMYFUNCTION("QUERY('Volunteer Survey'!F139)"),"Clinical laboratory geneticist")</f>
        <v>Clinical laboratory geneticist</v>
      </c>
      <c r="O132" s="42" t="str">
        <f ca="1">IFERROR(__xludf.DUMMYFUNCTION("QUERY('Volunteer Survey'!H139)"),"Comprehensive")</f>
        <v>Comprehensive</v>
      </c>
      <c r="P132" s="49" t="str">
        <f ca="1">IFERROR(__xludf.DUMMYFUNCTION("QUERY('Volunteer Survey'!I139)"),"Variant Pathogenicity")</f>
        <v>Variant Pathogenicity</v>
      </c>
      <c r="Q132" s="54" t="str">
        <f ca="1">IFERROR(__xludf.DUMMYFUNCTION("QUERY('Volunteer Survey'!J139)"),"Dosage Sensitivity")</f>
        <v>Dosage Sensitivity</v>
      </c>
      <c r="R132" s="49" t="str">
        <f ca="1">IFERROR(__xludf.DUMMYFUNCTION("QUERY('Volunteer Survey'!K139)"),"")</f>
        <v/>
      </c>
      <c r="S132" s="49" t="str">
        <f ca="1">IFERROR(__xludf.DUMMYFUNCTION("QUERY('Volunteer Survey'!L139)"),"")</f>
        <v/>
      </c>
      <c r="T132" s="49" t="str">
        <f ca="1">IFERROR(__xludf.DUMMYFUNCTION("QUERY('Volunteer Survey'!M139)"),"")</f>
        <v/>
      </c>
      <c r="U132" s="58" t="str">
        <f ca="1">IFERROR(__xludf.DUMMYFUNCTION("QUERY('Volunteer Survey'!N139)"),"applying ACMG Guidelines for variant curation in daily work")</f>
        <v>applying ACMG Guidelines for variant curation in daily work</v>
      </c>
      <c r="V132" s="49" t="str">
        <f ca="1">IFERROR(__xludf.DUMMYFUNCTION("QUERY('Volunteer Survey'!O139)"),"Possibly")</f>
        <v>Possibly</v>
      </c>
      <c r="W132" s="60" t="str">
        <f ca="1">IFERROR(__xludf.DUMMYFUNCTION("QUERY('Volunteer Survey'!P139)"),"epilepsy, RASopathy")</f>
        <v>epilepsy, RASopathy</v>
      </c>
      <c r="X132" s="58" t="str">
        <f ca="1">IFERROR(__xludf.DUMMYFUNCTION("QUERY('Volunteer Survey'!R139)"),"Yes- I am willing to volunteer with any available ClinGen group")</f>
        <v>Yes- I am willing to volunteer with any available ClinGen group</v>
      </c>
      <c r="Y132" s="47"/>
      <c r="Z132" s="62"/>
      <c r="AA132" s="49"/>
      <c r="AB132" s="49"/>
      <c r="AC132" s="49"/>
      <c r="AD132" s="49"/>
      <c r="AE132" s="49"/>
      <c r="AF132" s="49"/>
      <c r="AG132" s="49"/>
      <c r="AH132" s="49"/>
      <c r="AI132" s="49"/>
      <c r="AJ132" s="49"/>
      <c r="AK132" s="49"/>
      <c r="AL132" s="49"/>
      <c r="AM132" s="49"/>
      <c r="AN132" s="49"/>
      <c r="AO132" s="49"/>
    </row>
    <row r="133" spans="1:41" ht="14">
      <c r="A133" s="44">
        <f ca="1">IFERROR(__xludf.DUMMYFUNCTION("QUERY('Volunteer Survey'!A140)"),43549.6709430902)</f>
        <v>43549.670943090197</v>
      </c>
      <c r="B133" s="42" t="s">
        <v>108</v>
      </c>
      <c r="C133" s="47"/>
      <c r="D133" s="49"/>
      <c r="E133" s="42" t="s">
        <v>130</v>
      </c>
      <c r="F133" s="42" t="s">
        <v>130</v>
      </c>
      <c r="G133" s="42" t="s">
        <v>202</v>
      </c>
      <c r="H133" s="47"/>
      <c r="I133" s="45" t="s">
        <v>139</v>
      </c>
      <c r="J133" s="49"/>
      <c r="K133" s="49"/>
      <c r="L133" s="49" t="str">
        <f ca="1">IFERROR(__xludf.DUMMYFUNCTION("QUERY('Volunteer Survey'!B140)"),"Kristen L Deak")</f>
        <v>Kristen L Deak</v>
      </c>
      <c r="M133" s="49" t="str">
        <f ca="1">IFERROR(__xludf.DUMMYFUNCTION("QUERY('Volunteer Survey'!E140)"),"kristen.deak@duke.edu")</f>
        <v>kristen.deak@duke.edu</v>
      </c>
      <c r="N133" s="49" t="str">
        <f ca="1">IFERROR(__xludf.DUMMYFUNCTION("QUERY('Volunteer Survey'!F140)"),"Clinical laboratory geneticist")</f>
        <v>Clinical laboratory geneticist</v>
      </c>
      <c r="O133" s="42" t="str">
        <f ca="1">IFERROR(__xludf.DUMMYFUNCTION("QUERY('Volunteer Survey'!H140)"),"Comprehensive")</f>
        <v>Comprehensive</v>
      </c>
      <c r="P133" s="49" t="str">
        <f ca="1">IFERROR(__xludf.DUMMYFUNCTION("QUERY('Volunteer Survey'!I140)"),"Variant Pathogenicity")</f>
        <v>Variant Pathogenicity</v>
      </c>
      <c r="Q133" s="54" t="str">
        <f ca="1">IFERROR(__xludf.DUMMYFUNCTION("QUERY('Volunteer Survey'!J140)"),"Somatic Cancer")</f>
        <v>Somatic Cancer</v>
      </c>
      <c r="R133" s="49" t="str">
        <f ca="1">IFERROR(__xludf.DUMMYFUNCTION("QUERY('Volunteer Survey'!K140)"),"Dosage Sensitivity")</f>
        <v>Dosage Sensitivity</v>
      </c>
      <c r="S133" s="49" t="str">
        <f ca="1">IFERROR(__xludf.DUMMYFUNCTION("QUERY('Volunteer Survey'!L140)"),"Clinical Actionability")</f>
        <v>Clinical Actionability</v>
      </c>
      <c r="T133" s="49" t="str">
        <f ca="1">IFERROR(__xludf.DUMMYFUNCTION("QUERY('Volunteer Survey'!M140)"),"Gene-Disease Validity")</f>
        <v>Gene-Disease Validity</v>
      </c>
      <c r="U133" s="58" t="str">
        <f ca="1">IFERROR(__xludf.DUMMYFUNCTION("QUERY('Volunteer Survey'!N140)"),"Not other than evaluation and signout of patient reports")</f>
        <v>Not other than evaluation and signout of patient reports</v>
      </c>
      <c r="V133" s="49" t="str">
        <f ca="1">IFERROR(__xludf.DUMMYFUNCTION("QUERY('Volunteer Survey'!O140)"),"Yes")</f>
        <v>Yes</v>
      </c>
      <c r="W133" s="60" t="str">
        <f ca="1">IFERROR(__xludf.DUMMYFUNCTION("QUERY('Volunteer Survey'!P140)"),"")</f>
        <v/>
      </c>
      <c r="X133" s="58" t="str">
        <f ca="1">IFERROR(__xludf.DUMMYFUNCTION("QUERY('Volunteer Survey'!R140)"),"Yes- I am willing to volunteer with any available ClinGen group")</f>
        <v>Yes- I am willing to volunteer with any available ClinGen group</v>
      </c>
      <c r="Y133" s="47"/>
      <c r="Z133" s="62"/>
      <c r="AA133" s="49"/>
      <c r="AB133" s="49"/>
      <c r="AC133" s="49"/>
      <c r="AD133" s="49"/>
      <c r="AE133" s="49"/>
      <c r="AF133" s="49"/>
      <c r="AG133" s="49"/>
      <c r="AH133" s="49"/>
      <c r="AI133" s="49"/>
      <c r="AJ133" s="49"/>
      <c r="AK133" s="49"/>
      <c r="AL133" s="49"/>
      <c r="AM133" s="49"/>
      <c r="AN133" s="49"/>
      <c r="AO133" s="49"/>
    </row>
    <row r="134" spans="1:41" ht="14">
      <c r="A134" s="44">
        <f ca="1">IFERROR(__xludf.DUMMYFUNCTION("QUERY('Volunteer Survey'!A141)"),43550.1773354629)</f>
        <v>43550.177335462897</v>
      </c>
      <c r="B134" s="42" t="s">
        <v>108</v>
      </c>
      <c r="C134" s="47"/>
      <c r="D134" s="43">
        <v>43581</v>
      </c>
      <c r="E134" s="42" t="s">
        <v>117</v>
      </c>
      <c r="F134" s="42" t="s">
        <v>130</v>
      </c>
      <c r="G134" s="42" t="s">
        <v>136</v>
      </c>
      <c r="H134" s="47"/>
      <c r="I134" s="45" t="s">
        <v>139</v>
      </c>
      <c r="J134" s="50">
        <v>43712</v>
      </c>
      <c r="K134" s="50"/>
      <c r="L134" s="49" t="str">
        <f ca="1">IFERROR(__xludf.DUMMYFUNCTION("QUERY('Volunteer Survey'!B141)"),"Venkataswamy Eswarachari")</f>
        <v>Venkataswamy Eswarachari</v>
      </c>
      <c r="M134" s="49" t="str">
        <f ca="1">IFERROR(__xludf.DUMMYFUNCTION("QUERY('Volunteer Survey'!E141)"),"venkataswamy@medgenome.com")</f>
        <v>venkataswamy@medgenome.com</v>
      </c>
      <c r="N134" s="49" t="str">
        <f ca="1">IFERROR(__xludf.DUMMYFUNCTION("QUERY('Volunteer Survey'!F141)"),"Clinical laboratory geneticist")</f>
        <v>Clinical laboratory geneticist</v>
      </c>
      <c r="O134" s="42" t="str">
        <f ca="1">IFERROR(__xludf.DUMMYFUNCTION("QUERY('Volunteer Survey'!H141)"),"Comprehensive")</f>
        <v>Comprehensive</v>
      </c>
      <c r="P134" s="49" t="str">
        <f ca="1">IFERROR(__xludf.DUMMYFUNCTION("QUERY('Volunteer Survey'!I141)"),"Somatic Cancer")</f>
        <v>Somatic Cancer</v>
      </c>
      <c r="Q134" s="54" t="str">
        <f ca="1">IFERROR(__xludf.DUMMYFUNCTION("QUERY('Volunteer Survey'!J141)"),"Gene-Disease Validity")</f>
        <v>Gene-Disease Validity</v>
      </c>
      <c r="R134" s="49" t="str">
        <f ca="1">IFERROR(__xludf.DUMMYFUNCTION("QUERY('Volunteer Survey'!K141)"),"Clinical Actionability")</f>
        <v>Clinical Actionability</v>
      </c>
      <c r="S134" s="49" t="str">
        <f ca="1">IFERROR(__xludf.DUMMYFUNCTION("QUERY('Volunteer Survey'!L141)"),"Variant Pathogenicity")</f>
        <v>Variant Pathogenicity</v>
      </c>
      <c r="T134" s="49" t="str">
        <f ca="1">IFERROR(__xludf.DUMMYFUNCTION("QUERY('Volunteer Survey'!M141)"),"Dosage Sensitivity")</f>
        <v>Dosage Sensitivity</v>
      </c>
      <c r="U134" s="58" t="str">
        <f ca="1">IFERROR(__xludf.DUMMYFUNCTION("QUERY('Volunteer Survey'!N141)"),"Not professionally but for clinical reporting I have done some curation. ")</f>
        <v xml:space="preserve">Not professionally but for clinical reporting I have done some curation. </v>
      </c>
      <c r="V134" s="49" t="str">
        <f ca="1">IFERROR(__xludf.DUMMYFUNCTION("QUERY('Volunteer Survey'!O141)"),"Possibly")</f>
        <v>Possibly</v>
      </c>
      <c r="W134" s="60" t="str">
        <f ca="1">IFERROR(__xludf.DUMMYFUNCTION("QUERY('Volunteer Survey'!P141)"),"")</f>
        <v/>
      </c>
      <c r="X134" s="58" t="str">
        <f ca="1">IFERROR(__xludf.DUMMYFUNCTION("QUERY('Volunteer Survey'!R141)"),"Yes- I am willing to volunteer with any available ClinGen group")</f>
        <v>Yes- I am willing to volunteer with any available ClinGen group</v>
      </c>
      <c r="Y134" s="47"/>
      <c r="Z134" s="62"/>
      <c r="AA134" s="49"/>
      <c r="AB134" s="49"/>
      <c r="AC134" s="49"/>
      <c r="AD134" s="49"/>
      <c r="AE134" s="49"/>
      <c r="AF134" s="49"/>
      <c r="AG134" s="49"/>
      <c r="AH134" s="49"/>
      <c r="AI134" s="49"/>
      <c r="AJ134" s="49"/>
      <c r="AK134" s="49"/>
      <c r="AL134" s="49"/>
      <c r="AM134" s="49"/>
      <c r="AN134" s="49"/>
      <c r="AO134" s="49"/>
    </row>
    <row r="135" spans="1:41" ht="14">
      <c r="A135" s="44">
        <f ca="1">IFERROR(__xludf.DUMMYFUNCTION("QUERY('Volunteer Survey'!A142)"),43551.4242412268)</f>
        <v>43551.424241226799</v>
      </c>
      <c r="B135" s="42" t="s">
        <v>108</v>
      </c>
      <c r="C135" s="47"/>
      <c r="D135" s="49"/>
      <c r="E135" s="42" t="s">
        <v>130</v>
      </c>
      <c r="F135" s="42" t="s">
        <v>130</v>
      </c>
      <c r="G135" s="42" t="s">
        <v>202</v>
      </c>
      <c r="H135" s="47"/>
      <c r="I135" s="45" t="s">
        <v>139</v>
      </c>
      <c r="J135" s="49"/>
      <c r="K135" s="49"/>
      <c r="L135" s="49" t="str">
        <f ca="1">IFERROR(__xludf.DUMMYFUNCTION("QUERY('Volunteer Survey'!B142)"),"Tyler Parris")</f>
        <v>Tyler Parris</v>
      </c>
      <c r="M135" s="49" t="str">
        <f ca="1">IFERROR(__xludf.DUMMYFUNCTION("QUERY('Volunteer Survey'!E142)"),"tylerchristianparrismd@gmail.com")</f>
        <v>tylerchristianparrismd@gmail.com</v>
      </c>
      <c r="N135" s="49" t="str">
        <f ca="1">IFERROR(__xludf.DUMMYFUNCTION("QUERY('Volunteer Survey'!F142)"),"Post Doc/Resident/Fellow (MD and/or PhD)")</f>
        <v>Post Doc/Resident/Fellow (MD and/or PhD)</v>
      </c>
      <c r="O135" s="42" t="str">
        <f ca="1">IFERROR(__xludf.DUMMYFUNCTION("QUERY('Volunteer Survey'!H142)"),"Baseline")</f>
        <v>Baseline</v>
      </c>
      <c r="P135" s="49" t="str">
        <f ca="1">IFERROR(__xludf.DUMMYFUNCTION("QUERY('Volunteer Survey'!I142)"),"Clinical Actionability")</f>
        <v>Clinical Actionability</v>
      </c>
      <c r="Q135" s="54" t="str">
        <f ca="1">IFERROR(__xludf.DUMMYFUNCTION("QUERY('Volunteer Survey'!J142)"),"")</f>
        <v/>
      </c>
      <c r="R135" s="49" t="str">
        <f ca="1">IFERROR(__xludf.DUMMYFUNCTION("QUERY('Volunteer Survey'!K142)"),"")</f>
        <v/>
      </c>
      <c r="S135" s="49" t="str">
        <f ca="1">IFERROR(__xludf.DUMMYFUNCTION("QUERY('Volunteer Survey'!L142)"),"")</f>
        <v/>
      </c>
      <c r="T135" s="49" t="str">
        <f ca="1">IFERROR(__xludf.DUMMYFUNCTION("QUERY('Volunteer Survey'!M142)"),"")</f>
        <v/>
      </c>
      <c r="U135" s="58" t="str">
        <f ca="1">IFERROR(__xludf.DUMMYFUNCTION("QUERY('Volunteer Survey'!N142)"),"")</f>
        <v/>
      </c>
      <c r="V135" s="49" t="str">
        <f ca="1">IFERROR(__xludf.DUMMYFUNCTION("QUERY('Volunteer Survey'!O142)"),"Possibly")</f>
        <v>Possibly</v>
      </c>
      <c r="W135" s="60" t="str">
        <f ca="1">IFERROR(__xludf.DUMMYFUNCTION("QUERY('Volunteer Survey'!P142)"),"")</f>
        <v/>
      </c>
      <c r="X135" s="58" t="str">
        <f ca="1">IFERROR(__xludf.DUMMYFUNCTION("QUERY('Volunteer Survey'!R142)"),"Maybe -- please contact me with other options, and I will decide based on what is available")</f>
        <v>Maybe -- please contact me with other options, and I will decide based on what is available</v>
      </c>
      <c r="Y135" s="47"/>
      <c r="Z135" s="62"/>
      <c r="AA135" s="49"/>
      <c r="AB135" s="49"/>
      <c r="AC135" s="49"/>
      <c r="AD135" s="49"/>
      <c r="AE135" s="49"/>
      <c r="AF135" s="49"/>
      <c r="AG135" s="49"/>
      <c r="AH135" s="49"/>
      <c r="AI135" s="49"/>
      <c r="AJ135" s="49"/>
      <c r="AK135" s="49"/>
      <c r="AL135" s="49"/>
      <c r="AM135" s="49"/>
      <c r="AN135" s="49"/>
      <c r="AO135" s="49"/>
    </row>
    <row r="136" spans="1:41" ht="14">
      <c r="A136" s="44">
        <f ca="1">IFERROR(__xludf.DUMMYFUNCTION("QUERY('Volunteer Survey'!A143)"),43556.9679415162)</f>
        <v>43556.967941516203</v>
      </c>
      <c r="B136" s="42" t="s">
        <v>108</v>
      </c>
      <c r="C136" s="47"/>
      <c r="D136" s="49"/>
      <c r="E136" s="42" t="s">
        <v>130</v>
      </c>
      <c r="F136" s="42" t="s">
        <v>130</v>
      </c>
      <c r="G136" s="42" t="s">
        <v>202</v>
      </c>
      <c r="H136" s="47"/>
      <c r="I136" s="45" t="s">
        <v>139</v>
      </c>
      <c r="J136" s="49"/>
      <c r="K136" s="49"/>
      <c r="L136" s="49" t="str">
        <f ca="1">IFERROR(__xludf.DUMMYFUNCTION("QUERY('Volunteer Survey'!B143)"),"Edward Shadiack")</f>
        <v>Edward Shadiack</v>
      </c>
      <c r="M136" s="49" t="str">
        <f ca="1">IFERROR(__xludf.DUMMYFUNCTION("QUERY('Volunteer Survey'!E143)"),"shadiaec@gmail.com")</f>
        <v>shadiaec@gmail.com</v>
      </c>
      <c r="N136" s="49" t="str">
        <f ca="1">IFERROR(__xludf.DUMMYFUNCTION("QUERY('Volunteer Survey'!F143)"),"Physician (Non-geneticist)")</f>
        <v>Physician (Non-geneticist)</v>
      </c>
      <c r="O136" s="42" t="str">
        <f ca="1">IFERROR(__xludf.DUMMYFUNCTION("QUERY('Volunteer Survey'!H143)"),"Baseline")</f>
        <v>Baseline</v>
      </c>
      <c r="P136" s="49" t="str">
        <f ca="1">IFERROR(__xludf.DUMMYFUNCTION("QUERY('Volunteer Survey'!I143)"),"Variant Pathogenicity")</f>
        <v>Variant Pathogenicity</v>
      </c>
      <c r="Q136" s="54" t="str">
        <f ca="1">IFERROR(__xludf.DUMMYFUNCTION("QUERY('Volunteer Survey'!J143)"),"Gene-Disease Validity")</f>
        <v>Gene-Disease Validity</v>
      </c>
      <c r="R136" s="49" t="str">
        <f ca="1">IFERROR(__xludf.DUMMYFUNCTION("QUERY('Volunteer Survey'!K143)"),"Clinical Actionability")</f>
        <v>Clinical Actionability</v>
      </c>
      <c r="S136" s="49" t="str">
        <f ca="1">IFERROR(__xludf.DUMMYFUNCTION("QUERY('Volunteer Survey'!L143)"),"Dosage Sensitivity")</f>
        <v>Dosage Sensitivity</v>
      </c>
      <c r="T136" s="49" t="str">
        <f ca="1">IFERROR(__xludf.DUMMYFUNCTION("QUERY('Volunteer Survey'!M143)"),"Somatic Cancer")</f>
        <v>Somatic Cancer</v>
      </c>
      <c r="U136" s="58" t="str">
        <f ca="1">IFERROR(__xludf.DUMMYFUNCTION("QUERY('Volunteer Survey'!N143)"),"No experience whatsoever")</f>
        <v>No experience whatsoever</v>
      </c>
      <c r="V136" s="49" t="str">
        <f ca="1">IFERROR(__xludf.DUMMYFUNCTION("QUERY('Volunteer Survey'!O143)"),"No")</f>
        <v>No</v>
      </c>
      <c r="W136" s="60" t="str">
        <f ca="1">IFERROR(__xludf.DUMMYFUNCTION("QUERY('Volunteer Survey'!P143)"),"Mitochondrial Diseases")</f>
        <v>Mitochondrial Diseases</v>
      </c>
      <c r="X136" s="58" t="str">
        <f ca="1">IFERROR(__xludf.DUMMYFUNCTION("QUERY('Volunteer Survey'!R143)"),"Yes- I am willing to volunteer with any available ClinGen group")</f>
        <v>Yes- I am willing to volunteer with any available ClinGen group</v>
      </c>
      <c r="Y136" s="47"/>
      <c r="Z136" s="62"/>
      <c r="AA136" s="49"/>
      <c r="AB136" s="49"/>
      <c r="AC136" s="49"/>
      <c r="AD136" s="49"/>
      <c r="AE136" s="49"/>
      <c r="AF136" s="49"/>
      <c r="AG136" s="49"/>
      <c r="AH136" s="49"/>
      <c r="AI136" s="49"/>
      <c r="AJ136" s="49"/>
      <c r="AK136" s="49"/>
      <c r="AL136" s="49"/>
      <c r="AM136" s="49"/>
      <c r="AN136" s="49"/>
      <c r="AO136" s="49"/>
    </row>
    <row r="137" spans="1:41" ht="14">
      <c r="A137" s="44">
        <f ca="1">IFERROR(__xludf.DUMMYFUNCTION("QUERY('Volunteer Survey'!A144)"),43558.1369910763)</f>
        <v>43558.136991076302</v>
      </c>
      <c r="B137" s="42" t="s">
        <v>160</v>
      </c>
      <c r="C137" s="47"/>
      <c r="D137" s="50">
        <v>43626</v>
      </c>
      <c r="E137" s="42" t="s">
        <v>117</v>
      </c>
      <c r="F137" s="42" t="s">
        <v>117</v>
      </c>
      <c r="G137" s="42" t="s">
        <v>251</v>
      </c>
      <c r="H137" s="45" t="s">
        <v>252</v>
      </c>
      <c r="I137" s="45" t="s">
        <v>139</v>
      </c>
      <c r="J137" s="50">
        <v>43712</v>
      </c>
      <c r="K137" s="50"/>
      <c r="L137" s="49" t="str">
        <f ca="1">IFERROR(__xludf.DUMMYFUNCTION("QUERY('Volunteer Survey'!B144)"),"Barbara Vona")</f>
        <v>Barbara Vona</v>
      </c>
      <c r="M137" s="49" t="str">
        <f ca="1">IFERROR(__xludf.DUMMYFUNCTION("QUERY('Volunteer Survey'!E144)"),"barbara.vona@uni-tuebingen.de")</f>
        <v>barbara.vona@uni-tuebingen.de</v>
      </c>
      <c r="N137" s="49" t="str">
        <f ca="1">IFERROR(__xludf.DUMMYFUNCTION("QUERY('Volunteer Survey'!F144)"),"Half variant analyst, half scientific researcher")</f>
        <v>Half variant analyst, half scientific researcher</v>
      </c>
      <c r="O137" s="42" t="str">
        <f ca="1">IFERROR(__xludf.DUMMYFUNCTION("QUERY('Volunteer Survey'!H144)"),"Comprehensive")</f>
        <v>Comprehensive</v>
      </c>
      <c r="P137" s="49" t="str">
        <f ca="1">IFERROR(__xludf.DUMMYFUNCTION("QUERY('Volunteer Survey'!I144)"),"Variant Pathogenicity")</f>
        <v>Variant Pathogenicity</v>
      </c>
      <c r="Q137" s="54" t="str">
        <f ca="1">IFERROR(__xludf.DUMMYFUNCTION("QUERY('Volunteer Survey'!J144)"),"Gene-Disease Validity")</f>
        <v>Gene-Disease Validity</v>
      </c>
      <c r="R137" s="49" t="str">
        <f ca="1">IFERROR(__xludf.DUMMYFUNCTION("QUERY('Volunteer Survey'!K144)"),"")</f>
        <v/>
      </c>
      <c r="S137" s="49" t="str">
        <f ca="1">IFERROR(__xludf.DUMMYFUNCTION("QUERY('Volunteer Survey'!L144)"),"")</f>
        <v/>
      </c>
      <c r="T137" s="49" t="str">
        <f ca="1">IFERROR(__xludf.DUMMYFUNCTION("QUERY('Volunteer Survey'!M144)"),"")</f>
        <v/>
      </c>
      <c r="U137" s="58" t="str">
        <f ca="1">IFERROR(__xludf.DUMMYFUNCTION("QUERY('Volunteer Survey'!N144)"),"LOVD3 variant curation for several hearing loss genes (STRC, GRHL2, CEACAM16, S1PR2)")</f>
        <v>LOVD3 variant curation for several hearing loss genes (STRC, GRHL2, CEACAM16, S1PR2)</v>
      </c>
      <c r="V137" s="49" t="str">
        <f ca="1">IFERROR(__xludf.DUMMYFUNCTION("QUERY('Volunteer Survey'!O144)"),"Yes")</f>
        <v>Yes</v>
      </c>
      <c r="W137" s="60" t="str">
        <f ca="1">IFERROR(__xludf.DUMMYFUNCTION("QUERY('Volunteer Survey'!P144)"),"Hearing Loss Variant and Gene Curation Expert Panels")</f>
        <v>Hearing Loss Variant and Gene Curation Expert Panels</v>
      </c>
      <c r="X137" s="58" t="str">
        <f ca="1">IFERROR(__xludf.DUMMYFUNCTION("QUERY('Volunteer Survey'!R144)"),"Maybe -- please contact me with other options, and I will decide based on what is available")</f>
        <v>Maybe -- please contact me with other options, and I will decide based on what is available</v>
      </c>
      <c r="Y137" s="47"/>
      <c r="Z137" s="62"/>
      <c r="AA137" s="49"/>
      <c r="AB137" s="49"/>
      <c r="AC137" s="49"/>
      <c r="AD137" s="49"/>
      <c r="AE137" s="49"/>
      <c r="AF137" s="49"/>
      <c r="AG137" s="49"/>
      <c r="AH137" s="49"/>
      <c r="AI137" s="49"/>
      <c r="AJ137" s="49"/>
      <c r="AK137" s="49"/>
      <c r="AL137" s="49"/>
      <c r="AM137" s="49"/>
      <c r="AN137" s="49"/>
      <c r="AO137" s="49"/>
    </row>
    <row r="138" spans="1:41" ht="14">
      <c r="A138" s="44">
        <f ca="1">IFERROR(__xludf.DUMMYFUNCTION("QUERY('Volunteer Survey'!A145)"),43558.6059017245)</f>
        <v>43558.605901724499</v>
      </c>
      <c r="B138" s="42" t="s">
        <v>160</v>
      </c>
      <c r="C138" s="47"/>
      <c r="D138" s="59">
        <v>43605</v>
      </c>
      <c r="E138" s="42" t="s">
        <v>117</v>
      </c>
      <c r="F138" s="42" t="s">
        <v>117</v>
      </c>
      <c r="G138" s="42" t="s">
        <v>251</v>
      </c>
      <c r="H138" s="45" t="s">
        <v>309</v>
      </c>
      <c r="I138" s="45" t="s">
        <v>139</v>
      </c>
      <c r="J138" s="50">
        <v>43712</v>
      </c>
      <c r="K138" s="50"/>
      <c r="L138" s="49" t="str">
        <f ca="1">IFERROR(__xludf.DUMMYFUNCTION("QUERY('Volunteer Survey'!B145)"),"Viridiana Murillo")</f>
        <v>Viridiana Murillo</v>
      </c>
      <c r="M138" s="49" t="str">
        <f ca="1">IFERROR(__xludf.DUMMYFUNCTION("QUERY('Volunteer Survey'!E145)"),"vmurillo18@students.kgi.edu")</f>
        <v>vmurillo18@students.kgi.edu</v>
      </c>
      <c r="N138" s="49" t="str">
        <f ca="1">IFERROR(__xludf.DUMMYFUNCTION("QUERY('Volunteer Survey'!F145)"),"Graduate Student")</f>
        <v>Graduate Student</v>
      </c>
      <c r="O138" s="42" t="str">
        <f ca="1">IFERROR(__xludf.DUMMYFUNCTION("QUERY('Volunteer Survey'!H145)"),"Comprehensive")</f>
        <v>Comprehensive</v>
      </c>
      <c r="P138" s="49" t="str">
        <f ca="1">IFERROR(__xludf.DUMMYFUNCTION("QUERY('Volunteer Survey'!I145)"),"Variant Pathogenicity")</f>
        <v>Variant Pathogenicity</v>
      </c>
      <c r="Q138" s="54" t="str">
        <f ca="1">IFERROR(__xludf.DUMMYFUNCTION("QUERY('Volunteer Survey'!J145)"),"")</f>
        <v/>
      </c>
      <c r="R138" s="49" t="str">
        <f ca="1">IFERROR(__xludf.DUMMYFUNCTION("QUERY('Volunteer Survey'!K145)"),"")</f>
        <v/>
      </c>
      <c r="S138" s="49" t="str">
        <f ca="1">IFERROR(__xludf.DUMMYFUNCTION("QUERY('Volunteer Survey'!L145)"),"")</f>
        <v/>
      </c>
      <c r="T138" s="49" t="str">
        <f ca="1">IFERROR(__xludf.DUMMYFUNCTION("QUERY('Volunteer Survey'!M145)"),"")</f>
        <v/>
      </c>
      <c r="U138" s="58" t="str">
        <f ca="1">IFERROR(__xludf.DUMMYFUNCTION("QUERY('Volunteer Survey'!N145)"),"We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c r="V138" s="49" t="str">
        <f ca="1">IFERROR(__xludf.DUMMYFUNCTION("QUERY('Volunteer Survey'!O145)"),"Possibly")</f>
        <v>Possibly</v>
      </c>
      <c r="W138" s="60" t="str">
        <f ca="1">IFERROR(__xludf.DUMMYFUNCTION("QUERY('Volunteer Survey'!P145)"),"Metabolism (PAH) workgroup and/or  Epilepsy work group")</f>
        <v>Metabolism (PAH) workgroup and/or  Epilepsy work group</v>
      </c>
      <c r="X138" s="58" t="str">
        <f ca="1">IFERROR(__xludf.DUMMYFUNCTION("QUERY('Volunteer Survey'!R145)"),"Yes- I am willing to volunteer with any available ClinGen group")</f>
        <v>Yes- I am willing to volunteer with any available ClinGen group</v>
      </c>
      <c r="Y138" s="47"/>
      <c r="Z138" s="62"/>
      <c r="AA138" s="49"/>
      <c r="AB138" s="49"/>
      <c r="AC138" s="49"/>
      <c r="AD138" s="49"/>
      <c r="AE138" s="49"/>
      <c r="AF138" s="49"/>
      <c r="AG138" s="49"/>
      <c r="AH138" s="49"/>
      <c r="AI138" s="49"/>
      <c r="AJ138" s="49"/>
      <c r="AK138" s="49"/>
      <c r="AL138" s="49"/>
      <c r="AM138" s="49"/>
      <c r="AN138" s="49"/>
      <c r="AO138" s="49"/>
    </row>
    <row r="139" spans="1:41" ht="14">
      <c r="A139" s="44">
        <f ca="1">IFERROR(__xludf.DUMMYFUNCTION("QUERY('Volunteer Survey'!A146)"),43558.6269870023)</f>
        <v>43558.626987002302</v>
      </c>
      <c r="B139" s="42" t="s">
        <v>168</v>
      </c>
      <c r="C139" s="47"/>
      <c r="D139" s="59">
        <v>43605</v>
      </c>
      <c r="E139" s="42" t="s">
        <v>117</v>
      </c>
      <c r="F139" s="42" t="s">
        <v>130</v>
      </c>
      <c r="G139" s="42" t="s">
        <v>251</v>
      </c>
      <c r="H139" s="47"/>
      <c r="I139" s="45" t="s">
        <v>139</v>
      </c>
      <c r="J139" s="49"/>
      <c r="K139" s="49"/>
      <c r="L139" s="49" t="str">
        <f ca="1">IFERROR(__xludf.DUMMYFUNCTION("QUERY('Volunteer Survey'!B146)"),"Sharon Suchy")</f>
        <v>Sharon Suchy</v>
      </c>
      <c r="M139" s="49" t="str">
        <f ca="1">IFERROR(__xludf.DUMMYFUNCTION("QUERY('Volunteer Survey'!E146)"),"ssuchy@genedx.com")</f>
        <v>ssuchy@genedx.com</v>
      </c>
      <c r="N139" s="49" t="str">
        <f ca="1">IFERROR(__xludf.DUMMYFUNCTION("QUERY('Volunteer Survey'!F146)"),"Clinical laboratory geneticist")</f>
        <v>Clinical laboratory geneticist</v>
      </c>
      <c r="O139" s="42" t="str">
        <f ca="1">IFERROR(__xludf.DUMMYFUNCTION("QUERY('Volunteer Survey'!H146)"),"Comprehensive")</f>
        <v>Comprehensive</v>
      </c>
      <c r="P139" s="49" t="str">
        <f ca="1">IFERROR(__xludf.DUMMYFUNCTION("QUERY('Volunteer Survey'!I146)"),"Variant Pathogenicity")</f>
        <v>Variant Pathogenicity</v>
      </c>
      <c r="Q139" s="54" t="str">
        <f ca="1">IFERROR(__xludf.DUMMYFUNCTION("QUERY('Volunteer Survey'!J146)"),"Clinical Actionability")</f>
        <v>Clinical Actionability</v>
      </c>
      <c r="R139" s="49" t="str">
        <f ca="1">IFERROR(__xludf.DUMMYFUNCTION("QUERY('Volunteer Survey'!K146)"),"Gene-Disease Validity")</f>
        <v>Gene-Disease Validity</v>
      </c>
      <c r="S139" s="49" t="str">
        <f ca="1">IFERROR(__xludf.DUMMYFUNCTION("QUERY('Volunteer Survey'!L146)"),"")</f>
        <v/>
      </c>
      <c r="T139" s="49" t="str">
        <f ca="1">IFERROR(__xludf.DUMMYFUNCTION("QUERY('Volunteer Survey'!M146)"),"")</f>
        <v/>
      </c>
      <c r="U139" s="58" t="str">
        <f ca="1">IFERROR(__xludf.DUMMYFUNCTION("QUERY('Volunteer Survey'!N146)"),"yes, assessing variant pathogenicity /clinical actionability issues")</f>
        <v>yes, assessing variant pathogenicity /clinical actionability issues</v>
      </c>
      <c r="V139" s="49" t="str">
        <f ca="1">IFERROR(__xludf.DUMMYFUNCTION("QUERY('Volunteer Survey'!O146)"),"Possibly")</f>
        <v>Possibly</v>
      </c>
      <c r="W139" s="60" t="str">
        <f ca="1">IFERROR(__xludf.DUMMYFUNCTION("QUERY('Volunteer Survey'!P146)"),"lysosomal storage, inborn errors of metabolism")</f>
        <v>lysosomal storage, inborn errors of metabolism</v>
      </c>
      <c r="X139" s="58" t="str">
        <f ca="1">IFERROR(__xludf.DUMMYFUNCTION("QUERY('Volunteer Survey'!R146)"),"Maybe -- please contact me with other options, and I will decide based on what is available")</f>
        <v>Maybe -- please contact me with other options, and I will decide based on what is available</v>
      </c>
      <c r="Y139" s="47"/>
      <c r="Z139" s="62"/>
      <c r="AA139" s="49"/>
      <c r="AB139" s="49"/>
      <c r="AC139" s="49"/>
      <c r="AD139" s="49"/>
      <c r="AE139" s="49"/>
      <c r="AF139" s="49"/>
      <c r="AG139" s="49"/>
      <c r="AH139" s="49"/>
      <c r="AI139" s="49"/>
      <c r="AJ139" s="49"/>
      <c r="AK139" s="49"/>
      <c r="AL139" s="49"/>
      <c r="AM139" s="49"/>
      <c r="AN139" s="49"/>
      <c r="AO139" s="49"/>
    </row>
    <row r="140" spans="1:41" ht="28">
      <c r="A140" s="44">
        <f ca="1">IFERROR(__xludf.DUMMYFUNCTION("QUERY('Volunteer Survey'!A147)"),43558.9757799768)</f>
        <v>43558.975779976798</v>
      </c>
      <c r="B140" s="42" t="s">
        <v>108</v>
      </c>
      <c r="C140" s="45" t="s">
        <v>350</v>
      </c>
      <c r="D140" s="49"/>
      <c r="E140" s="42" t="s">
        <v>130</v>
      </c>
      <c r="F140" s="42" t="s">
        <v>130</v>
      </c>
      <c r="G140" s="42" t="s">
        <v>122</v>
      </c>
      <c r="H140" s="47"/>
      <c r="I140" s="45" t="s">
        <v>299</v>
      </c>
      <c r="J140" s="49"/>
      <c r="K140" s="49"/>
      <c r="L140" s="49" t="str">
        <f ca="1">IFERROR(__xludf.DUMMYFUNCTION("QUERY('Volunteer Survey'!B147)"),"GIFTY BHAT")</f>
        <v>GIFTY BHAT</v>
      </c>
      <c r="M140" s="49" t="str">
        <f ca="1">IFERROR(__xludf.DUMMYFUNCTION("QUERY('Volunteer Survey'!E147)"),"drgiftybhat@gmail.com")</f>
        <v>drgiftybhat@gmail.com</v>
      </c>
      <c r="N140" s="49" t="str">
        <f ca="1">IFERROR(__xludf.DUMMYFUNCTION("QUERY('Volunteer Survey'!F147)"),"Clinical Medical Geneticist")</f>
        <v>Clinical Medical Geneticist</v>
      </c>
      <c r="O140" s="42" t="str">
        <f ca="1">IFERROR(__xludf.DUMMYFUNCTION("QUERY('Volunteer Survey'!H147)"),"Comprehensive")</f>
        <v>Comprehensive</v>
      </c>
      <c r="P140" s="49" t="str">
        <f ca="1">IFERROR(__xludf.DUMMYFUNCTION("QUERY('Volunteer Survey'!I147)"),"Gene-Disease Validity")</f>
        <v>Gene-Disease Validity</v>
      </c>
      <c r="Q140" s="54" t="str">
        <f ca="1">IFERROR(__xludf.DUMMYFUNCTION("QUERY('Volunteer Survey'!J147)"),"Variant Pathogenicity")</f>
        <v>Variant Pathogenicity</v>
      </c>
      <c r="R140" s="49" t="str">
        <f ca="1">IFERROR(__xludf.DUMMYFUNCTION("QUERY('Volunteer Survey'!K147)"),"Clinical Actionability")</f>
        <v>Clinical Actionability</v>
      </c>
      <c r="S140" s="49" t="str">
        <f ca="1">IFERROR(__xludf.DUMMYFUNCTION("QUERY('Volunteer Survey'!L147)"),"Dosage Sensitivity")</f>
        <v>Dosage Sensitivity</v>
      </c>
      <c r="T140" s="49" t="str">
        <f ca="1">IFERROR(__xludf.DUMMYFUNCTION("QUERY('Volunteer Survey'!M147)"),"Somatic Cancer")</f>
        <v>Somatic Cancer</v>
      </c>
      <c r="U140" s="58" t="str">
        <f ca="1">IFERROR(__xludf.DUMMYFUNCTION("QUERY('Volunteer Survey'!N147)"),"Research activity for 6 months for neurodevelopmental disorders in consanguineous population")</f>
        <v>Research activity for 6 months for neurodevelopmental disorders in consanguineous population</v>
      </c>
      <c r="V140" s="49" t="str">
        <f ca="1">IFERROR(__xludf.DUMMYFUNCTION("QUERY('Volunteer Survey'!O147)"),"Yes")</f>
        <v>Yes</v>
      </c>
      <c r="W140" s="60" t="str">
        <f ca="1">IFERROR(__xludf.DUMMYFUNCTION("QUERY('Volunteer Survey'!P147)"),"Neurodevelopmental/intellectual disability, Rett-Angelman syndrome, PTEN related disorders")</f>
        <v>Neurodevelopmental/intellectual disability, Rett-Angelman syndrome, PTEN related disorders</v>
      </c>
      <c r="X140" s="58" t="str">
        <f ca="1">IFERROR(__xludf.DUMMYFUNCTION("QUERY('Volunteer Survey'!R147)"),"Yes- I am willing to volunteer with any available ClinGen group")</f>
        <v>Yes- I am willing to volunteer with any available ClinGen group</v>
      </c>
      <c r="Y140" s="47"/>
      <c r="Z140" s="62"/>
      <c r="AA140" s="49"/>
      <c r="AB140" s="49"/>
      <c r="AC140" s="49"/>
      <c r="AD140" s="49"/>
      <c r="AE140" s="49"/>
      <c r="AF140" s="49"/>
      <c r="AG140" s="49"/>
      <c r="AH140" s="49"/>
      <c r="AI140" s="49"/>
      <c r="AJ140" s="49"/>
      <c r="AK140" s="49"/>
      <c r="AL140" s="49"/>
      <c r="AM140" s="49"/>
      <c r="AN140" s="49"/>
      <c r="AO140" s="49"/>
    </row>
    <row r="141" spans="1:41" ht="14">
      <c r="A141" s="44">
        <f ca="1">IFERROR(__xludf.DUMMYFUNCTION("QUERY('Volunteer Survey'!A148)"),43559.4506282291)</f>
        <v>43559.450628229097</v>
      </c>
      <c r="B141" s="42" t="s">
        <v>160</v>
      </c>
      <c r="C141" s="47"/>
      <c r="D141" s="59">
        <v>43608</v>
      </c>
      <c r="E141" s="42" t="s">
        <v>117</v>
      </c>
      <c r="F141" s="42" t="s">
        <v>117</v>
      </c>
      <c r="G141" s="42" t="s">
        <v>251</v>
      </c>
      <c r="H141" s="45" t="s">
        <v>310</v>
      </c>
      <c r="I141" s="45" t="s">
        <v>139</v>
      </c>
      <c r="J141" s="50">
        <v>43712</v>
      </c>
      <c r="K141" s="50"/>
      <c r="L141" s="49" t="str">
        <f ca="1">IFERROR(__xludf.DUMMYFUNCTION("QUERY('Volunteer Survey'!B148)"),"Theodore E. Wilson")</f>
        <v>Theodore E. Wilson</v>
      </c>
      <c r="M141" s="49" t="str">
        <f ca="1">IFERROR(__xludf.DUMMYFUNCTION("QUERY('Volunteer Survey'!E148)"),"theowils@iu.edu")</f>
        <v>theowils@iu.edu</v>
      </c>
      <c r="N141" s="49" t="str">
        <f ca="1">IFERROR(__xludf.DUMMYFUNCTION("QUERY('Volunteer Survey'!F148)"),"Clinical Medical Geneticist")</f>
        <v>Clinical Medical Geneticist</v>
      </c>
      <c r="O141" s="42" t="str">
        <f ca="1">IFERROR(__xludf.DUMMYFUNCTION("QUERY('Volunteer Survey'!H148)"),"Comprehensive")</f>
        <v>Comprehensive</v>
      </c>
      <c r="P141" s="49" t="str">
        <f ca="1">IFERROR(__xludf.DUMMYFUNCTION("QUERY('Volunteer Survey'!I148)"),"Variant Pathogenicity")</f>
        <v>Variant Pathogenicity</v>
      </c>
      <c r="Q141" s="54" t="str">
        <f ca="1">IFERROR(__xludf.DUMMYFUNCTION("QUERY('Volunteer Survey'!J148)"),"Gene-Disease Validity")</f>
        <v>Gene-Disease Validity</v>
      </c>
      <c r="R141" s="49" t="str">
        <f ca="1">IFERROR(__xludf.DUMMYFUNCTION("QUERY('Volunteer Survey'!K148)"),"")</f>
        <v/>
      </c>
      <c r="S141" s="49" t="str">
        <f ca="1">IFERROR(__xludf.DUMMYFUNCTION("QUERY('Volunteer Survey'!L148)"),"")</f>
        <v/>
      </c>
      <c r="T141" s="49" t="str">
        <f ca="1">IFERROR(__xludf.DUMMYFUNCTION("QUERY('Volunteer Survey'!M148)"),"")</f>
        <v/>
      </c>
      <c r="U141" s="58" t="str">
        <f ca="1">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49" t="str">
        <f ca="1">IFERROR(__xludf.DUMMYFUNCTION("QUERY('Volunteer Survey'!O148)"),"No")</f>
        <v>No</v>
      </c>
      <c r="W141" s="60" t="str">
        <f ca="1">IFERROR(__xludf.DUMMYFUNCTION("QUERY('Volunteer Survey'!P148)"),"cardiomyopathy")</f>
        <v>cardiomyopathy</v>
      </c>
      <c r="X141" s="58" t="str">
        <f ca="1">IFERROR(__xludf.DUMMYFUNCTION("QUERY('Volunteer Survey'!R148)"),"Maybe -- please contact me with other options, and I will decide based on what is available")</f>
        <v>Maybe -- please contact me with other options, and I will decide based on what is available</v>
      </c>
      <c r="Y141" s="47"/>
      <c r="Z141" s="62"/>
      <c r="AA141" s="49"/>
      <c r="AB141" s="49"/>
      <c r="AC141" s="49"/>
      <c r="AD141" s="49"/>
      <c r="AE141" s="49"/>
      <c r="AF141" s="49"/>
      <c r="AG141" s="49"/>
      <c r="AH141" s="49"/>
      <c r="AI141" s="49"/>
      <c r="AJ141" s="49"/>
      <c r="AK141" s="49"/>
      <c r="AL141" s="49"/>
      <c r="AM141" s="49"/>
      <c r="AN141" s="49"/>
      <c r="AO141" s="49"/>
    </row>
    <row r="142" spans="1:41" ht="14">
      <c r="A142" s="44">
        <f ca="1">IFERROR(__xludf.DUMMYFUNCTION("QUERY('Volunteer Survey'!A149)"),43559.4900039699)</f>
        <v>43559.490003969899</v>
      </c>
      <c r="B142" s="42" t="s">
        <v>160</v>
      </c>
      <c r="C142" s="47"/>
      <c r="D142" s="59">
        <v>43605</v>
      </c>
      <c r="E142" s="42" t="s">
        <v>117</v>
      </c>
      <c r="F142" s="42" t="s">
        <v>117</v>
      </c>
      <c r="G142" s="42" t="s">
        <v>251</v>
      </c>
      <c r="H142" s="45" t="s">
        <v>248</v>
      </c>
      <c r="I142" s="45" t="s">
        <v>139</v>
      </c>
      <c r="J142" s="50">
        <v>43712</v>
      </c>
      <c r="K142" s="50"/>
      <c r="L142" s="49" t="str">
        <f ca="1">IFERROR(__xludf.DUMMYFUNCTION("QUERY('Volunteer Survey'!B149)"),"Christina Y Hung")</f>
        <v>Christina Y Hung</v>
      </c>
      <c r="M142" s="49" t="str">
        <f ca="1">IFERROR(__xludf.DUMMYFUNCTION("QUERY('Volunteer Survey'!E149)"),"christina.hung@childrens.harvard.edu")</f>
        <v>christina.hung@childrens.harvard.edu</v>
      </c>
      <c r="N142" s="49" t="str">
        <f ca="1">IFERROR(__xludf.DUMMYFUNCTION("QUERY('Volunteer Survey'!F149)"),"Scientific Researcher")</f>
        <v>Scientific Researcher</v>
      </c>
      <c r="O142" s="42" t="str">
        <f ca="1">IFERROR(__xludf.DUMMYFUNCTION("QUERY('Volunteer Survey'!H149)"),"Comprehensive")</f>
        <v>Comprehensive</v>
      </c>
      <c r="P142" s="49" t="str">
        <f ca="1">IFERROR(__xludf.DUMMYFUNCTION("QUERY('Volunteer Survey'!I149)"),"Variant Pathogenicity")</f>
        <v>Variant Pathogenicity</v>
      </c>
      <c r="Q142" s="54" t="str">
        <f ca="1">IFERROR(__xludf.DUMMYFUNCTION("QUERY('Volunteer Survey'!J149)"),"Gene-Disease Validity")</f>
        <v>Gene-Disease Validity</v>
      </c>
      <c r="R142" s="49" t="str">
        <f ca="1">IFERROR(__xludf.DUMMYFUNCTION("QUERY('Volunteer Survey'!K149)"),"Clinical Actionability")</f>
        <v>Clinical Actionability</v>
      </c>
      <c r="S142" s="49" t="str">
        <f ca="1">IFERROR(__xludf.DUMMYFUNCTION("QUERY('Volunteer Survey'!L149)"),"Dosage Sensitivity")</f>
        <v>Dosage Sensitivity</v>
      </c>
      <c r="T142" s="49" t="str">
        <f ca="1">IFERROR(__xludf.DUMMYFUNCTION("QUERY('Volunteer Survey'!M149)"),"")</f>
        <v/>
      </c>
      <c r="U142" s="58" t="str">
        <f ca="1">IFERROR(__xludf.DUMMYFUNCTION("QUERY('Volunteer Survey'!N149)"),"ABMGG training/fellowships")</f>
        <v>ABMGG training/fellowships</v>
      </c>
      <c r="V142" s="49" t="str">
        <f ca="1">IFERROR(__xludf.DUMMYFUNCTION("QUERY('Volunteer Survey'!O149)"),"Possibly")</f>
        <v>Possibly</v>
      </c>
      <c r="W142" s="60" t="str">
        <f ca="1">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58" t="str">
        <f ca="1">IFERROR(__xludf.DUMMYFUNCTION("QUERY('Volunteer Survey'!R149)"),"Maybe -- please contact me with other options, and I will decide based on what is available")</f>
        <v>Maybe -- please contact me with other options, and I will decide based on what is available</v>
      </c>
      <c r="Y142" s="47"/>
      <c r="Z142" s="62"/>
      <c r="AA142" s="49"/>
      <c r="AB142" s="49"/>
      <c r="AC142" s="49"/>
      <c r="AD142" s="49"/>
      <c r="AE142" s="49"/>
      <c r="AF142" s="49"/>
      <c r="AG142" s="49"/>
      <c r="AH142" s="49"/>
      <c r="AI142" s="49"/>
      <c r="AJ142" s="49"/>
      <c r="AK142" s="49"/>
      <c r="AL142" s="49"/>
      <c r="AM142" s="49"/>
      <c r="AN142" s="49"/>
      <c r="AO142" s="49"/>
    </row>
    <row r="143" spans="1:41" ht="70">
      <c r="A143" s="44">
        <f ca="1">IFERROR(__xludf.DUMMYFUNCTION("QUERY('Volunteer Survey'!A150)"),43560.447733368)</f>
        <v>43560.447733367997</v>
      </c>
      <c r="B143" s="42" t="s">
        <v>168</v>
      </c>
      <c r="C143" s="45" t="s">
        <v>351</v>
      </c>
      <c r="D143" s="49"/>
      <c r="E143" s="42" t="s">
        <v>130</v>
      </c>
      <c r="F143" s="42" t="s">
        <v>130</v>
      </c>
      <c r="G143" s="42" t="s">
        <v>19</v>
      </c>
      <c r="H143" s="63"/>
      <c r="I143" s="63" t="s">
        <v>139</v>
      </c>
      <c r="J143" s="49"/>
      <c r="K143" s="49"/>
      <c r="L143" s="49" t="str">
        <f ca="1">IFERROR(__xludf.DUMMYFUNCTION("QUERY('Volunteer Survey'!B150)"),"Alka Chaubey")</f>
        <v>Alka Chaubey</v>
      </c>
      <c r="M143" s="49" t="str">
        <f ca="1">IFERROR(__xludf.DUMMYFUNCTION("QUERY('Volunteer Survey'!E150)"),"")</f>
        <v/>
      </c>
      <c r="N143" s="49" t="str">
        <f ca="1">IFERROR(__xludf.DUMMYFUNCTION("QUERY('Volunteer Survey'!F150)"),"Clinical laboratory geneticist")</f>
        <v>Clinical laboratory geneticist</v>
      </c>
      <c r="O143" s="42" t="str">
        <f ca="1">IFERROR(__xludf.DUMMYFUNCTION("QUERY('Volunteer Survey'!H150)"),"Comprehensive")</f>
        <v>Comprehensive</v>
      </c>
      <c r="P143" s="49" t="str">
        <f ca="1">IFERROR(__xludf.DUMMYFUNCTION("QUERY('Volunteer Survey'!I150)"),"Clinical Actionability")</f>
        <v>Clinical Actionability</v>
      </c>
      <c r="Q143" s="54" t="str">
        <f ca="1">IFERROR(__xludf.DUMMYFUNCTION("QUERY('Volunteer Survey'!J150)"),"Gene-Disease Validity")</f>
        <v>Gene-Disease Validity</v>
      </c>
      <c r="R143" s="49" t="str">
        <f ca="1">IFERROR(__xludf.DUMMYFUNCTION("QUERY('Volunteer Survey'!K150)"),"Variant Pathogenicity")</f>
        <v>Variant Pathogenicity</v>
      </c>
      <c r="S143" s="49" t="str">
        <f ca="1">IFERROR(__xludf.DUMMYFUNCTION("QUERY('Volunteer Survey'!L150)"),"")</f>
        <v/>
      </c>
      <c r="T143" s="49" t="str">
        <f ca="1">IFERROR(__xludf.DUMMYFUNCTION("QUERY('Volunteer Survey'!M150)"),"")</f>
        <v/>
      </c>
      <c r="U143" s="58" t="str">
        <f ca="1">IFERROR(__xludf.DUMMYFUNCTION("QUERY('Volunteer Survey'!N150)"),"Participated in pilot dosage sensitivity effort of analyzing and curating CNVs")</f>
        <v>Participated in pilot dosage sensitivity effort of analyzing and curating CNVs</v>
      </c>
      <c r="V143" s="49" t="str">
        <f ca="1">IFERROR(__xludf.DUMMYFUNCTION("QUERY('Volunteer Survey'!O150)"),"Possibly")</f>
        <v>Possibly</v>
      </c>
      <c r="W143" s="60" t="str">
        <f ca="1">IFERROR(__xludf.DUMMYFUNCTION("QUERY('Volunteer Survey'!P150)"),"Dosage sensitivity and somatic cancer ")</f>
        <v xml:space="preserve">Dosage sensitivity and somatic cancer </v>
      </c>
      <c r="X143" s="58" t="str">
        <f ca="1">IFERROR(__xludf.DUMMYFUNCTION("QUERY('Volunteer Survey'!R150)"),"Maybe -- please contact me with other options, and I will decide based on what is available")</f>
        <v>Maybe -- please contact me with other options, and I will decide based on what is available</v>
      </c>
      <c r="Y143" s="47"/>
      <c r="Z143" s="62"/>
      <c r="AA143" s="49"/>
      <c r="AB143" s="49"/>
      <c r="AC143" s="49"/>
      <c r="AD143" s="49"/>
      <c r="AE143" s="49"/>
      <c r="AF143" s="49"/>
      <c r="AG143" s="49"/>
      <c r="AH143" s="49"/>
      <c r="AI143" s="49"/>
      <c r="AJ143" s="49"/>
      <c r="AK143" s="49"/>
      <c r="AL143" s="49"/>
      <c r="AM143" s="49"/>
      <c r="AN143" s="49"/>
      <c r="AO143" s="49"/>
    </row>
    <row r="144" spans="1:41" ht="14">
      <c r="A144" s="44">
        <f ca="1">IFERROR(__xludf.DUMMYFUNCTION("QUERY('Volunteer Survey'!A151)"),43560.4518106481)</f>
        <v>43560.451810648097</v>
      </c>
      <c r="B144" s="42" t="s">
        <v>160</v>
      </c>
      <c r="C144" s="47"/>
      <c r="D144" s="59">
        <v>43605</v>
      </c>
      <c r="E144" s="42" t="s">
        <v>117</v>
      </c>
      <c r="F144" s="42" t="s">
        <v>117</v>
      </c>
      <c r="G144" s="42" t="s">
        <v>251</v>
      </c>
      <c r="H144" s="45" t="s">
        <v>302</v>
      </c>
      <c r="I144" s="45" t="s">
        <v>139</v>
      </c>
      <c r="J144" s="50">
        <v>43712</v>
      </c>
      <c r="K144" s="50"/>
      <c r="L144" s="49" t="str">
        <f ca="1">IFERROR(__xludf.DUMMYFUNCTION("QUERY('Volunteer Survey'!B151)"),"Junyu Zhang")</f>
        <v>Junyu Zhang</v>
      </c>
      <c r="M144" s="49" t="str">
        <f ca="1">IFERROR(__xludf.DUMMYFUNCTION("QUERY('Volunteer Survey'!E151)"),"junyuzhang@hotmail.com")</f>
        <v>junyuzhang@hotmail.com</v>
      </c>
      <c r="N144" s="49" t="str">
        <f ca="1">IFERROR(__xludf.DUMMYFUNCTION("QUERY('Volunteer Survey'!F151)"),"Clinical laboratory geneticist")</f>
        <v>Clinical laboratory geneticist</v>
      </c>
      <c r="O144" s="42" t="str">
        <f ca="1">IFERROR(__xludf.DUMMYFUNCTION("QUERY('Volunteer Survey'!H151)"),"Comprehensive")</f>
        <v>Comprehensive</v>
      </c>
      <c r="P144" s="49" t="str">
        <f ca="1">IFERROR(__xludf.DUMMYFUNCTION("QUERY('Volunteer Survey'!I151)"),"Variant Pathogenicity")</f>
        <v>Variant Pathogenicity</v>
      </c>
      <c r="Q144" s="54" t="str">
        <f ca="1">IFERROR(__xludf.DUMMYFUNCTION("QUERY('Volunteer Survey'!J151)"),"Gene-Disease Validity")</f>
        <v>Gene-Disease Validity</v>
      </c>
      <c r="R144" s="49" t="str">
        <f ca="1">IFERROR(__xludf.DUMMYFUNCTION("QUERY('Volunteer Survey'!K151)"),"Clinical Actionability")</f>
        <v>Clinical Actionability</v>
      </c>
      <c r="S144" s="49" t="str">
        <f ca="1">IFERROR(__xludf.DUMMYFUNCTION("QUERY('Volunteer Survey'!L151)"),"")</f>
        <v/>
      </c>
      <c r="T144" s="49" t="str">
        <f ca="1">IFERROR(__xludf.DUMMYFUNCTION("QUERY('Volunteer Survey'!M151)"),"")</f>
        <v/>
      </c>
      <c r="U144" s="58" t="str">
        <f ca="1">IFERROR(__xludf.DUMMYFUNCTION("QUERY('Volunteer Survey'!N151)"),"Curate more than 1000 variants in Chinese patients ")</f>
        <v xml:space="preserve">Curate more than 1000 variants in Chinese patients </v>
      </c>
      <c r="V144" s="49" t="str">
        <f ca="1">IFERROR(__xludf.DUMMYFUNCTION("QUERY('Volunteer Survey'!O151)"),"Possibly")</f>
        <v>Possibly</v>
      </c>
      <c r="W144" s="60" t="str">
        <f ca="1">IFERROR(__xludf.DUMMYFUNCTION("QUERY('Volunteer Survey'!P151)"),"Yes. Brain Malformations")</f>
        <v>Yes. Brain Malformations</v>
      </c>
      <c r="X144" s="58" t="str">
        <f ca="1">IFERROR(__xludf.DUMMYFUNCTION("QUERY('Volunteer Survey'!R151)"),"Maybe -- please contact me with other options, and I will decide based on what is available")</f>
        <v>Maybe -- please contact me with other options, and I will decide based on what is available</v>
      </c>
      <c r="Y144" s="47"/>
      <c r="Z144" s="62"/>
      <c r="AA144" s="49"/>
      <c r="AB144" s="49"/>
      <c r="AC144" s="49"/>
      <c r="AD144" s="49"/>
      <c r="AE144" s="49"/>
      <c r="AF144" s="49"/>
      <c r="AG144" s="49"/>
      <c r="AH144" s="49"/>
      <c r="AI144" s="49"/>
      <c r="AJ144" s="49"/>
      <c r="AK144" s="49"/>
      <c r="AL144" s="49"/>
      <c r="AM144" s="49"/>
      <c r="AN144" s="49"/>
      <c r="AO144" s="49"/>
    </row>
    <row r="145" spans="1:41" ht="14">
      <c r="A145" s="44">
        <f ca="1">IFERROR(__xludf.DUMMYFUNCTION("QUERY('Volunteer Survey'!A152)"),43560.4531269791)</f>
        <v>43560.453126979097</v>
      </c>
      <c r="B145" s="42" t="s">
        <v>108</v>
      </c>
      <c r="C145" s="47"/>
      <c r="D145" s="59">
        <v>43585</v>
      </c>
      <c r="E145" s="42" t="s">
        <v>117</v>
      </c>
      <c r="F145" s="42" t="s">
        <v>117</v>
      </c>
      <c r="G145" s="42" t="s">
        <v>122</v>
      </c>
      <c r="H145" s="45" t="s">
        <v>220</v>
      </c>
      <c r="I145" s="45" t="s">
        <v>139</v>
      </c>
      <c r="J145" s="50">
        <v>43712</v>
      </c>
      <c r="K145" s="50"/>
      <c r="L145" s="49" t="str">
        <f ca="1">IFERROR(__xludf.DUMMYFUNCTION("QUERY('Volunteer Survey'!B152)"),"Jing Zhang")</f>
        <v>Jing Zhang</v>
      </c>
      <c r="M145" s="49" t="str">
        <f ca="1">IFERROR(__xludf.DUMMYFUNCTION("QUERY('Volunteer Survey'!E152)"),"jzhang@wuxinextcode.com")</f>
        <v>jzhang@wuxinextcode.com</v>
      </c>
      <c r="N145" s="49" t="str">
        <f ca="1">IFERROR(__xludf.DUMMYFUNCTION("QUERY('Volunteer Survey'!F152)"),"Clinical laboratory geneticist")</f>
        <v>Clinical laboratory geneticist</v>
      </c>
      <c r="O145" s="42" t="str">
        <f ca="1">IFERROR(__xludf.DUMMYFUNCTION("QUERY('Volunteer Survey'!H152)"),"Comprehensive")</f>
        <v>Comprehensive</v>
      </c>
      <c r="P145" s="49" t="str">
        <f ca="1">IFERROR(__xludf.DUMMYFUNCTION("QUERY('Volunteer Survey'!I152)"),"Gene-Disease Validity")</f>
        <v>Gene-Disease Validity</v>
      </c>
      <c r="Q145" s="54" t="str">
        <f ca="1">IFERROR(__xludf.DUMMYFUNCTION("QUERY('Volunteer Survey'!J152)"),"Variant Pathogenicity")</f>
        <v>Variant Pathogenicity</v>
      </c>
      <c r="R145" s="49" t="str">
        <f ca="1">IFERROR(__xludf.DUMMYFUNCTION("QUERY('Volunteer Survey'!K152)"),"Clinical Actionability")</f>
        <v>Clinical Actionability</v>
      </c>
      <c r="S145" s="49" t="str">
        <f ca="1">IFERROR(__xludf.DUMMYFUNCTION("QUERY('Volunteer Survey'!L152)"),"Somatic Cancer")</f>
        <v>Somatic Cancer</v>
      </c>
      <c r="T145" s="49" t="str">
        <f ca="1">IFERROR(__xludf.DUMMYFUNCTION("QUERY('Volunteer Survey'!M152)"),"")</f>
        <v/>
      </c>
      <c r="U145" s="58" t="str">
        <f ca="1">IFERROR(__xludf.DUMMYFUNCTION("QUERY('Volunteer Survey'!N152)"),"As the director of clinical genomic interpretation division of WuXi NextCODE, I do gene/variant curation on daily basis. ")</f>
        <v xml:space="preserve">As the director of clinical genomic interpretation division of WuXi NextCODE, I do gene/variant curation on daily basis. </v>
      </c>
      <c r="V145" s="49" t="str">
        <f ca="1">IFERROR(__xludf.DUMMYFUNCTION("QUERY('Volunteer Survey'!O152)"),"Possibly")</f>
        <v>Possibly</v>
      </c>
      <c r="W145" s="60" t="str">
        <f ca="1">IFERROR(__xludf.DUMMYFUNCTION("QUERY('Volunteer Survey'!P152)"),"")</f>
        <v/>
      </c>
      <c r="X145" s="58" t="str">
        <f ca="1">IFERROR(__xludf.DUMMYFUNCTION("QUERY('Volunteer Survey'!R152)"),"Yes- I am willing to volunteer with any available ClinGen group")</f>
        <v>Yes- I am willing to volunteer with any available ClinGen group</v>
      </c>
      <c r="Y145" s="47"/>
      <c r="Z145" s="62"/>
      <c r="AA145" s="49"/>
      <c r="AB145" s="49"/>
      <c r="AC145" s="49"/>
      <c r="AD145" s="49"/>
      <c r="AE145" s="49"/>
      <c r="AF145" s="49"/>
      <c r="AG145" s="49"/>
      <c r="AH145" s="49"/>
      <c r="AI145" s="49"/>
      <c r="AJ145" s="49"/>
      <c r="AK145" s="49"/>
      <c r="AL145" s="49"/>
      <c r="AM145" s="49"/>
      <c r="AN145" s="49"/>
      <c r="AO145" s="49"/>
    </row>
    <row r="146" spans="1:41" ht="14">
      <c r="A146" s="44">
        <f ca="1">IFERROR(__xludf.DUMMYFUNCTION("QUERY('Volunteer Survey'!A153)"),43560.4764596643)</f>
        <v>43560.4764596643</v>
      </c>
      <c r="B146" s="42" t="s">
        <v>168</v>
      </c>
      <c r="C146" s="47"/>
      <c r="D146" s="49"/>
      <c r="E146" s="42" t="s">
        <v>130</v>
      </c>
      <c r="F146" s="42" t="s">
        <v>130</v>
      </c>
      <c r="G146" s="42" t="s">
        <v>122</v>
      </c>
      <c r="H146" s="47"/>
      <c r="I146" s="45" t="s">
        <v>139</v>
      </c>
      <c r="J146" s="49"/>
      <c r="K146" s="49"/>
      <c r="L146" s="49" t="str">
        <f ca="1">IFERROR(__xludf.DUMMYFUNCTION("QUERY('Volunteer Survey'!B153)"),"Mary-Alice Abbott")</f>
        <v>Mary-Alice Abbott</v>
      </c>
      <c r="M146" s="49" t="str">
        <f ca="1">IFERROR(__xludf.DUMMYFUNCTION("QUERY('Volunteer Survey'!E153)"),"Maryalice.abbott@baystatehealth.org")</f>
        <v>Maryalice.abbott@baystatehealth.org</v>
      </c>
      <c r="N146" s="49" t="str">
        <f ca="1">IFERROR(__xludf.DUMMYFUNCTION("QUERY('Volunteer Survey'!F153)"),"Clinical Medical Geneticist")</f>
        <v>Clinical Medical Geneticist</v>
      </c>
      <c r="O146" s="42" t="str">
        <f ca="1">IFERROR(__xludf.DUMMYFUNCTION("QUERY('Volunteer Survey'!H153)"),"Comprehensive")</f>
        <v>Comprehensive</v>
      </c>
      <c r="P146" s="49" t="str">
        <f ca="1">IFERROR(__xludf.DUMMYFUNCTION("QUERY('Volunteer Survey'!I153)"),"Gene-Disease Validity")</f>
        <v>Gene-Disease Validity</v>
      </c>
      <c r="Q146" s="54" t="str">
        <f ca="1">IFERROR(__xludf.DUMMYFUNCTION("QUERY('Volunteer Survey'!J153)"),"Clinical Actionability")</f>
        <v>Clinical Actionability</v>
      </c>
      <c r="R146" s="49" t="str">
        <f ca="1">IFERROR(__xludf.DUMMYFUNCTION("QUERY('Volunteer Survey'!K153)"),"")</f>
        <v/>
      </c>
      <c r="S146" s="49" t="str">
        <f ca="1">IFERROR(__xludf.DUMMYFUNCTION("QUERY('Volunteer Survey'!L153)"),"")</f>
        <v/>
      </c>
      <c r="T146" s="49" t="str">
        <f ca="1">IFERROR(__xludf.DUMMYFUNCTION("QUERY('Volunteer Survey'!M153)"),"")</f>
        <v/>
      </c>
      <c r="U146" s="58" t="str">
        <f ca="1">IFERROR(__xludf.DUMMYFUNCTION("QUERY('Volunteer Survey'!N153)"),"As clinical geneticist I regularly interpret clinical significance of gene variants for my patients but do not have formal variant interpretation experience ")</f>
        <v xml:space="preserve">As clinical geneticist I regularly interpret clinical significance of gene variants for my patients but do not have formal variant interpretation experience </v>
      </c>
      <c r="V146" s="49" t="str">
        <f ca="1">IFERROR(__xludf.DUMMYFUNCTION("QUERY('Volunteer Survey'!O153)"),"No")</f>
        <v>No</v>
      </c>
      <c r="W146" s="60" t="str">
        <f ca="1">IFERROR(__xludf.DUMMYFUNCTION("QUERY('Volunteer Survey'!P153)"),"LSD, ID, actionability")</f>
        <v>LSD, ID, actionability</v>
      </c>
      <c r="X146" s="58" t="str">
        <f ca="1">IFERROR(__xludf.DUMMYFUNCTION("QUERY('Volunteer Survey'!R153)"),"Maybe -- please contact me with other options, and I will decide based on what is available")</f>
        <v>Maybe -- please contact me with other options, and I will decide based on what is available</v>
      </c>
      <c r="Y146" s="47"/>
      <c r="Z146" s="62"/>
      <c r="AA146" s="49"/>
      <c r="AB146" s="49"/>
      <c r="AC146" s="49"/>
      <c r="AD146" s="49"/>
      <c r="AE146" s="49"/>
      <c r="AF146" s="49"/>
      <c r="AG146" s="49"/>
      <c r="AH146" s="49"/>
      <c r="AI146" s="49"/>
      <c r="AJ146" s="49"/>
      <c r="AK146" s="49"/>
      <c r="AL146" s="49"/>
      <c r="AM146" s="49"/>
      <c r="AN146" s="49"/>
      <c r="AO146" s="49"/>
    </row>
    <row r="147" spans="1:41" ht="14">
      <c r="A147" s="44">
        <f ca="1">IFERROR(__xludf.DUMMYFUNCTION("QUERY('Volunteer Survey'!A154)"),43560.5073359838)</f>
        <v>43560.507335983799</v>
      </c>
      <c r="B147" s="42" t="s">
        <v>160</v>
      </c>
      <c r="C147" s="47"/>
      <c r="D147" s="59">
        <v>43605</v>
      </c>
      <c r="E147" s="42" t="s">
        <v>117</v>
      </c>
      <c r="F147" s="42" t="s">
        <v>117</v>
      </c>
      <c r="G147" s="42" t="s">
        <v>251</v>
      </c>
      <c r="H147" s="45" t="s">
        <v>305</v>
      </c>
      <c r="I147" s="45" t="s">
        <v>139</v>
      </c>
      <c r="J147" s="50">
        <v>43712</v>
      </c>
      <c r="K147" s="50"/>
      <c r="L147" s="49" t="str">
        <f ca="1">IFERROR(__xludf.DUMMYFUNCTION("QUERY('Volunteer Survey'!B154)"),"Emily Higgs")</f>
        <v>Emily Higgs</v>
      </c>
      <c r="M147" s="49" t="str">
        <f ca="1">IFERROR(__xludf.DUMMYFUNCTION("QUERY('Volunteer Survey'!E154)"),"ehiggs@stanford.edu")</f>
        <v>ehiggs@stanford.edu</v>
      </c>
      <c r="N147" s="49" t="str">
        <f ca="1">IFERROR(__xludf.DUMMYFUNCTION("QUERY('Volunteer Survey'!F154)"),"Variant Analyst/Scientist - Academic")</f>
        <v>Variant Analyst/Scientist - Academic</v>
      </c>
      <c r="O147" s="42" t="str">
        <f ca="1">IFERROR(__xludf.DUMMYFUNCTION("QUERY('Volunteer Survey'!H154)"),"Comprehensive")</f>
        <v>Comprehensive</v>
      </c>
      <c r="P147" s="49" t="str">
        <f ca="1">IFERROR(__xludf.DUMMYFUNCTION("QUERY('Volunteer Survey'!I154)"),"Variant Pathogenicity")</f>
        <v>Variant Pathogenicity</v>
      </c>
      <c r="Q147" s="54" t="str">
        <f ca="1">IFERROR(__xludf.DUMMYFUNCTION("QUERY('Volunteer Survey'!J154)"),"Gene-Disease Validity")</f>
        <v>Gene-Disease Validity</v>
      </c>
      <c r="R147" s="49" t="str">
        <f ca="1">IFERROR(__xludf.DUMMYFUNCTION("QUERY('Volunteer Survey'!K154)"),"Dosage Sensitivity")</f>
        <v>Dosage Sensitivity</v>
      </c>
      <c r="S147" s="49" t="str">
        <f ca="1">IFERROR(__xludf.DUMMYFUNCTION("QUERY('Volunteer Survey'!L154)"),"")</f>
        <v/>
      </c>
      <c r="T147" s="49" t="str">
        <f ca="1">IFERROR(__xludf.DUMMYFUNCTION("QUERY('Volunteer Survey'!M154)"),"")</f>
        <v/>
      </c>
      <c r="U147" s="58" t="str">
        <f ca="1">IFERROR(__xludf.DUMMYFUNCTION("QUERY('Volunteer Survey'!N154)"),"For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c r="V147" s="49" t="str">
        <f ca="1">IFERROR(__xludf.DUMMYFUNCTION("QUERY('Volunteer Survey'!O154)"),"Possibly")</f>
        <v>Possibly</v>
      </c>
      <c r="W147" s="60" t="str">
        <f ca="1">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X147" s="58" t="str">
        <f ca="1">IFERROR(__xludf.DUMMYFUNCTION("QUERY('Volunteer Survey'!R154)"),"Yes- I am willing to volunteer with any available ClinGen group")</f>
        <v>Yes- I am willing to volunteer with any available ClinGen group</v>
      </c>
      <c r="Y147" s="47"/>
      <c r="Z147" s="62"/>
      <c r="AA147" s="49"/>
      <c r="AB147" s="49"/>
      <c r="AC147" s="49"/>
      <c r="AD147" s="49"/>
      <c r="AE147" s="49"/>
      <c r="AF147" s="49"/>
      <c r="AG147" s="49"/>
      <c r="AH147" s="49"/>
      <c r="AI147" s="49"/>
      <c r="AJ147" s="49"/>
      <c r="AK147" s="49"/>
      <c r="AL147" s="49"/>
      <c r="AM147" s="49"/>
      <c r="AN147" s="49"/>
      <c r="AO147" s="49"/>
    </row>
    <row r="148" spans="1:41" ht="14">
      <c r="A148" s="44">
        <f ca="1">IFERROR(__xludf.DUMMYFUNCTION("QUERY('Volunteer Survey'!A155)"),43560.6503204976)</f>
        <v>43560.650320497603</v>
      </c>
      <c r="B148" s="42" t="s">
        <v>108</v>
      </c>
      <c r="C148" s="73">
        <v>43819</v>
      </c>
      <c r="D148" s="49"/>
      <c r="E148" s="42" t="s">
        <v>130</v>
      </c>
      <c r="F148" s="42" t="s">
        <v>130</v>
      </c>
      <c r="G148" s="42" t="s">
        <v>251</v>
      </c>
      <c r="H148" s="47"/>
      <c r="I148" s="45" t="s">
        <v>139</v>
      </c>
      <c r="J148" s="49"/>
      <c r="K148" s="49"/>
      <c r="L148" s="49" t="str">
        <f ca="1">IFERROR(__xludf.DUMMYFUNCTION("QUERY('Volunteer Survey'!B155)"),"Matt Wright")</f>
        <v>Matt Wright</v>
      </c>
      <c r="M148" s="49" t="str">
        <f ca="1">IFERROR(__xludf.DUMMYFUNCTION("QUERY('Volunteer Survey'!E155)"),"wrightmw@stanford.edu")</f>
        <v>wrightmw@stanford.edu</v>
      </c>
      <c r="N148" s="49" t="str">
        <f ca="1">IFERROR(__xludf.DUMMYFUNCTION("QUERY('Volunteer Survey'!F155)"),"Biocurator")</f>
        <v>Biocurator</v>
      </c>
      <c r="O148" s="42" t="str">
        <f ca="1">IFERROR(__xludf.DUMMYFUNCTION("QUERY('Volunteer Survey'!H155)"),"Comprehensive")</f>
        <v>Comprehensive</v>
      </c>
      <c r="P148" s="49" t="str">
        <f ca="1">IFERROR(__xludf.DUMMYFUNCTION("QUERY('Volunteer Survey'!I155)"),"Variant Pathogenicity")</f>
        <v>Variant Pathogenicity</v>
      </c>
      <c r="Q148" s="54" t="str">
        <f ca="1">IFERROR(__xludf.DUMMYFUNCTION("QUERY('Volunteer Survey'!J155)"),"")</f>
        <v/>
      </c>
      <c r="R148" s="49" t="str">
        <f ca="1">IFERROR(__xludf.DUMMYFUNCTION("QUERY('Volunteer Survey'!K155)"),"")</f>
        <v/>
      </c>
      <c r="S148" s="49" t="str">
        <f ca="1">IFERROR(__xludf.DUMMYFUNCTION("QUERY('Volunteer Survey'!L155)"),"")</f>
        <v/>
      </c>
      <c r="T148" s="49" t="str">
        <f ca="1">IFERROR(__xludf.DUMMYFUNCTION("QUERY('Volunteer Survey'!M155)"),"")</f>
        <v/>
      </c>
      <c r="U148" s="58" t="str">
        <f ca="1">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49" t="str">
        <f ca="1">IFERROR(__xludf.DUMMYFUNCTION("QUERY('Volunteer Survey'!O155)"),"No")</f>
        <v>No</v>
      </c>
      <c r="W148" s="60" t="str">
        <f ca="1">IFERROR(__xludf.DUMMYFUNCTION("QUERY('Volunteer Survey'!P155)"),"Hearing Loss or Brain Malformations or Cardiomyopathy ")</f>
        <v xml:space="preserve">Hearing Loss or Brain Malformations or Cardiomyopathy </v>
      </c>
      <c r="X148" s="58" t="str">
        <f ca="1">IFERROR(__xludf.DUMMYFUNCTION("QUERY('Volunteer Survey'!R155)"),"Maybe -- please contact me with other options, and I will decide based on what is available")</f>
        <v>Maybe -- please contact me with other options, and I will decide based on what is available</v>
      </c>
      <c r="Y148" s="47"/>
      <c r="Z148" s="62"/>
      <c r="AA148" s="49"/>
      <c r="AB148" s="49"/>
      <c r="AC148" s="49"/>
      <c r="AD148" s="49"/>
      <c r="AE148" s="49"/>
      <c r="AF148" s="49"/>
      <c r="AG148" s="49"/>
      <c r="AH148" s="49"/>
      <c r="AI148" s="49"/>
      <c r="AJ148" s="49"/>
      <c r="AK148" s="49"/>
      <c r="AL148" s="49"/>
      <c r="AM148" s="49"/>
      <c r="AN148" s="49"/>
      <c r="AO148" s="49"/>
    </row>
    <row r="149" spans="1:41" ht="14">
      <c r="A149" s="44">
        <f ca="1">IFERROR(__xludf.DUMMYFUNCTION("QUERY('Volunteer Survey'!A156)"),43560.8008204513)</f>
        <v>43560.800820451303</v>
      </c>
      <c r="B149" s="42" t="s">
        <v>125</v>
      </c>
      <c r="C149" s="47"/>
      <c r="D149" s="43">
        <v>43570</v>
      </c>
      <c r="E149" s="42" t="s">
        <v>117</v>
      </c>
      <c r="F149" s="42" t="s">
        <v>117</v>
      </c>
      <c r="G149" s="42" t="s">
        <v>122</v>
      </c>
      <c r="H149" s="45" t="s">
        <v>220</v>
      </c>
      <c r="I149" s="45" t="s">
        <v>139</v>
      </c>
      <c r="J149" s="50">
        <v>43712</v>
      </c>
      <c r="K149" s="50"/>
      <c r="L149" s="49" t="str">
        <f ca="1">IFERROR(__xludf.DUMMYFUNCTION("QUERY('Volunteer Survey'!B156)"),"Samantha Chill")</f>
        <v>Samantha Chill</v>
      </c>
      <c r="M149" s="49" t="str">
        <f ca="1">IFERROR(__xludf.DUMMYFUNCTION("QUERY('Volunteer Survey'!E156)"),"slsevilla@gmail.com")</f>
        <v>slsevilla@gmail.com</v>
      </c>
      <c r="N149" s="49" t="str">
        <f ca="1">IFERROR(__xludf.DUMMYFUNCTION("QUERY('Volunteer Survey'!F156)"),"Graduate Student")</f>
        <v>Graduate Student</v>
      </c>
      <c r="O149" s="42" t="str">
        <f ca="1">IFERROR(__xludf.DUMMYFUNCTION("QUERY('Volunteer Survey'!H156)"),"Comprehensive")</f>
        <v>Comprehensive</v>
      </c>
      <c r="P149" s="49" t="str">
        <f ca="1">IFERROR(__xludf.DUMMYFUNCTION("QUERY('Volunteer Survey'!I156)"),"Gene-Disease Validity")</f>
        <v>Gene-Disease Validity</v>
      </c>
      <c r="Q149" s="54" t="str">
        <f ca="1">IFERROR(__xludf.DUMMYFUNCTION("QUERY('Volunteer Survey'!J156)"),"Variant Pathogenicity")</f>
        <v>Variant Pathogenicity</v>
      </c>
      <c r="R149" s="49" t="str">
        <f ca="1">IFERROR(__xludf.DUMMYFUNCTION("QUERY('Volunteer Survey'!K156)"),"Somatic Cancer")</f>
        <v>Somatic Cancer</v>
      </c>
      <c r="S149" s="49" t="str">
        <f ca="1">IFERROR(__xludf.DUMMYFUNCTION("QUERY('Volunteer Survey'!L156)"),"Dosage Sensitivity")</f>
        <v>Dosage Sensitivity</v>
      </c>
      <c r="T149" s="49" t="str">
        <f ca="1">IFERROR(__xludf.DUMMYFUNCTION("QUERY('Volunteer Survey'!M156)"),"Clinical Actionability")</f>
        <v>Clinical Actionability</v>
      </c>
      <c r="U149" s="58" t="str">
        <f ca="1">IFERROR(__xludf.DUMMYFUNCTION("QUERY('Volunteer Survey'!N156)"),"")</f>
        <v/>
      </c>
      <c r="V149" s="49" t="str">
        <f ca="1">IFERROR(__xludf.DUMMYFUNCTION("QUERY('Volunteer Survey'!O156)"),"Possibly")</f>
        <v>Possibly</v>
      </c>
      <c r="W149" s="60" t="str">
        <f ca="1">IFERROR(__xludf.DUMMYFUNCTION("QUERY('Volunteer Survey'!P156)"),"")</f>
        <v/>
      </c>
      <c r="X149" s="58" t="str">
        <f ca="1">IFERROR(__xludf.DUMMYFUNCTION("QUERY('Volunteer Survey'!R156)"),"Maybe -- please contact me with other options, and I will decide based on what is available")</f>
        <v>Maybe -- please contact me with other options, and I will decide based on what is available</v>
      </c>
      <c r="Y149" s="47"/>
      <c r="Z149" s="62"/>
      <c r="AA149" s="49"/>
      <c r="AB149" s="49"/>
      <c r="AC149" s="49"/>
      <c r="AD149" s="49"/>
      <c r="AE149" s="49"/>
      <c r="AF149" s="49"/>
      <c r="AG149" s="49"/>
      <c r="AH149" s="49"/>
      <c r="AI149" s="49"/>
      <c r="AJ149" s="49"/>
      <c r="AK149" s="49"/>
      <c r="AL149" s="49"/>
      <c r="AM149" s="49"/>
      <c r="AN149" s="49"/>
      <c r="AO149" s="49"/>
    </row>
    <row r="150" spans="1:41" ht="14">
      <c r="A150" s="44">
        <f ca="1">IFERROR(__xludf.DUMMYFUNCTION("QUERY('Volunteer Survey'!A157)"),43560.8420587384)</f>
        <v>43560.842058738403</v>
      </c>
      <c r="B150" s="42" t="s">
        <v>108</v>
      </c>
      <c r="C150" s="47"/>
      <c r="D150" s="59"/>
      <c r="E150" s="42" t="s">
        <v>130</v>
      </c>
      <c r="F150" s="42" t="s">
        <v>130</v>
      </c>
      <c r="G150" s="42" t="s">
        <v>202</v>
      </c>
      <c r="H150" s="47"/>
      <c r="I150" s="45" t="s">
        <v>139</v>
      </c>
      <c r="J150" s="49"/>
      <c r="K150" s="49"/>
      <c r="L150" s="49" t="str">
        <f ca="1">IFERROR(__xludf.DUMMYFUNCTION("QUERY('Volunteer Survey'!B157)"),"Kristin Maloney")</f>
        <v>Kristin Maloney</v>
      </c>
      <c r="M150" s="49" t="str">
        <f ca="1">IFERROR(__xludf.DUMMYFUNCTION("QUERY('Volunteer Survey'!E157)"),"kmaloney1@som.umaryland.edu")</f>
        <v>kmaloney1@som.umaryland.edu</v>
      </c>
      <c r="N150" s="49" t="str">
        <f ca="1">IFERROR(__xludf.DUMMYFUNCTION("QUERY('Volunteer Survey'!F157)"),"Genetic counselor")</f>
        <v>Genetic counselor</v>
      </c>
      <c r="O150" s="42" t="str">
        <f ca="1">IFERROR(__xludf.DUMMYFUNCTION("QUERY('Volunteer Survey'!H157)"),"Baseline")</f>
        <v>Baseline</v>
      </c>
      <c r="P150" s="49" t="str">
        <f ca="1">IFERROR(__xludf.DUMMYFUNCTION("QUERY('Volunteer Survey'!I157)"),"Somatic Cancer")</f>
        <v>Somatic Cancer</v>
      </c>
      <c r="Q150" s="54" t="str">
        <f ca="1">IFERROR(__xludf.DUMMYFUNCTION("QUERY('Volunteer Survey'!J157)"),"")</f>
        <v/>
      </c>
      <c r="R150" s="49" t="str">
        <f ca="1">IFERROR(__xludf.DUMMYFUNCTION("QUERY('Volunteer Survey'!K157)"),"")</f>
        <v/>
      </c>
      <c r="S150" s="49" t="str">
        <f ca="1">IFERROR(__xludf.DUMMYFUNCTION("QUERY('Volunteer Survey'!L157)"),"")</f>
        <v/>
      </c>
      <c r="T150" s="49" t="str">
        <f ca="1">IFERROR(__xludf.DUMMYFUNCTION("QUERY('Volunteer Survey'!M157)"),"")</f>
        <v/>
      </c>
      <c r="U150" s="58" t="str">
        <f ca="1">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49" t="str">
        <f ca="1">IFERROR(__xludf.DUMMYFUNCTION("QUERY('Volunteer Survey'!O157)"),"No")</f>
        <v>No</v>
      </c>
      <c r="W150" s="60" t="str">
        <f ca="1">IFERROR(__xludf.DUMMYFUNCTION("QUERY('Volunteer Survey'!P157)"),"Somatic cancer (am already on the monogenic diabetes expert panel)")</f>
        <v>Somatic cancer (am already on the monogenic diabetes expert panel)</v>
      </c>
      <c r="X150" s="58" t="str">
        <f ca="1">IFERROR(__xludf.DUMMYFUNCTION("QUERY('Volunteer Survey'!R157)"),"No - I am only interested in the group(s) I previously indicated")</f>
        <v>No - I am only interested in the group(s) I previously indicated</v>
      </c>
      <c r="Y150" s="47"/>
      <c r="Z150" s="62"/>
      <c r="AA150" s="49"/>
      <c r="AB150" s="49"/>
      <c r="AC150" s="49"/>
      <c r="AD150" s="49"/>
      <c r="AE150" s="49"/>
      <c r="AF150" s="49"/>
      <c r="AG150" s="49"/>
      <c r="AH150" s="49"/>
      <c r="AI150" s="49"/>
      <c r="AJ150" s="49"/>
      <c r="AK150" s="49"/>
      <c r="AL150" s="49"/>
      <c r="AM150" s="49"/>
      <c r="AN150" s="49"/>
      <c r="AO150" s="49"/>
    </row>
    <row r="151" spans="1:41" ht="14">
      <c r="A151" s="44">
        <f ca="1">IFERROR(__xludf.DUMMYFUNCTION("QUERY('Volunteer Survey'!A158)"),43560.9882557638)</f>
        <v>43560.988255763797</v>
      </c>
      <c r="B151" s="42" t="s">
        <v>108</v>
      </c>
      <c r="C151" s="47"/>
      <c r="D151" s="59">
        <v>43585</v>
      </c>
      <c r="E151" s="42" t="s">
        <v>117</v>
      </c>
      <c r="F151" s="42" t="s">
        <v>117</v>
      </c>
      <c r="G151" s="42" t="s">
        <v>122</v>
      </c>
      <c r="H151" s="45" t="s">
        <v>197</v>
      </c>
      <c r="I151" s="45" t="s">
        <v>139</v>
      </c>
      <c r="J151" s="50">
        <v>43712</v>
      </c>
      <c r="K151" s="50"/>
      <c r="L151" s="49" t="str">
        <f ca="1">IFERROR(__xludf.DUMMYFUNCTION("QUERY('Volunteer Survey'!B158)"),"HECTOR RODRIGO MENDEZ")</f>
        <v>HECTOR RODRIGO MENDEZ</v>
      </c>
      <c r="M151" s="49" t="str">
        <f ca="1">IFERROR(__xludf.DUMMYFUNCTION("QUERY('Volunteer Survey'!E158)"),"rodrigomendezh@gmail.com")</f>
        <v>rodrigomendezh@gmail.com</v>
      </c>
      <c r="N151" s="49" t="str">
        <f ca="1">IFERROR(__xludf.DUMMYFUNCTION("QUERY('Volunteer Survey'!F158)"),"Clinical Medical Geneticist")</f>
        <v>Clinical Medical Geneticist</v>
      </c>
      <c r="O151" s="42" t="str">
        <f ca="1">IFERROR(__xludf.DUMMYFUNCTION("QUERY('Volunteer Survey'!H158)"),"Comprehensive")</f>
        <v>Comprehensive</v>
      </c>
      <c r="P151" s="49" t="str">
        <f ca="1">IFERROR(__xludf.DUMMYFUNCTION("QUERY('Volunteer Survey'!I158)"),"Gene-Disease Validity")</f>
        <v>Gene-Disease Validity</v>
      </c>
      <c r="Q151" s="54" t="str">
        <f ca="1">IFERROR(__xludf.DUMMYFUNCTION("QUERY('Volunteer Survey'!J158)"),"Variant Pathogenicity")</f>
        <v>Variant Pathogenicity</v>
      </c>
      <c r="R151" s="49" t="str">
        <f ca="1">IFERROR(__xludf.DUMMYFUNCTION("QUERY('Volunteer Survey'!K158)"),"Clinical Actionability")</f>
        <v>Clinical Actionability</v>
      </c>
      <c r="S151" s="49" t="str">
        <f ca="1">IFERROR(__xludf.DUMMYFUNCTION("QUERY('Volunteer Survey'!L158)"),"")</f>
        <v/>
      </c>
      <c r="T151" s="49" t="str">
        <f ca="1">IFERROR(__xludf.DUMMYFUNCTION("QUERY('Volunteer Survey'!M158)"),"")</f>
        <v/>
      </c>
      <c r="U151" s="58" t="str">
        <f ca="1">IFERROR(__xludf.DUMMYFUNCTION("QUERY('Volunteer Survey'!N158)"),"My Master´s thesis project was about the utility of whole Exome sequencing in some patient in the NICU.")</f>
        <v>My Master´s thesis project was about the utility of whole Exome sequencing in some patient in the NICU.</v>
      </c>
      <c r="V151" s="49" t="str">
        <f ca="1">IFERROR(__xludf.DUMMYFUNCTION("QUERY('Volunteer Survey'!O158)"),"Possibly")</f>
        <v>Possibly</v>
      </c>
      <c r="W151" s="60" t="str">
        <f ca="1">IFERROR(__xludf.DUMMYFUNCTION("QUERY('Volunteer Survey'!P158)"),"Intellectual Disability and Autism, RASopathy")</f>
        <v>Intellectual Disability and Autism, RASopathy</v>
      </c>
      <c r="X151" s="58" t="str">
        <f ca="1">IFERROR(__xludf.DUMMYFUNCTION("QUERY('Volunteer Survey'!R158)"),"Yes- I am willing to volunteer with any available ClinGen group")</f>
        <v>Yes- I am willing to volunteer with any available ClinGen group</v>
      </c>
      <c r="Y151" s="47"/>
      <c r="Z151" s="62"/>
      <c r="AA151" s="49"/>
      <c r="AB151" s="49"/>
      <c r="AC151" s="49"/>
      <c r="AD151" s="49"/>
      <c r="AE151" s="49"/>
      <c r="AF151" s="49"/>
      <c r="AG151" s="49"/>
      <c r="AH151" s="49"/>
      <c r="AI151" s="49"/>
      <c r="AJ151" s="49"/>
      <c r="AK151" s="49"/>
      <c r="AL151" s="49"/>
      <c r="AM151" s="49"/>
      <c r="AN151" s="49"/>
      <c r="AO151" s="49"/>
    </row>
    <row r="152" spans="1:41" ht="14">
      <c r="A152" s="44">
        <f ca="1">IFERROR(__xludf.DUMMYFUNCTION("QUERY('Volunteer Survey'!A159)"),43562.7487611921)</f>
        <v>43562.748761192102</v>
      </c>
      <c r="B152" s="42" t="s">
        <v>108</v>
      </c>
      <c r="C152" s="47"/>
      <c r="D152" s="49"/>
      <c r="E152" s="42" t="s">
        <v>130</v>
      </c>
      <c r="F152" s="42" t="s">
        <v>130</v>
      </c>
      <c r="G152" s="42" t="s">
        <v>202</v>
      </c>
      <c r="H152" s="47"/>
      <c r="I152" s="45" t="s">
        <v>139</v>
      </c>
      <c r="J152" s="49"/>
      <c r="K152" s="49"/>
      <c r="L152" s="49" t="str">
        <f ca="1">IFERROR(__xludf.DUMMYFUNCTION("QUERY('Volunteer Survey'!B159)"),"M.I. anwar")</f>
        <v>M.I. anwar</v>
      </c>
      <c r="M152" s="49" t="str">
        <f ca="1">IFERROR(__xludf.DUMMYFUNCTION("QUERY('Volunteer Survey'!E159)"),"mimtiazanwar@gmail.com")</f>
        <v>mimtiazanwar@gmail.com</v>
      </c>
      <c r="N152" s="49" t="str">
        <f ca="1">IFERROR(__xludf.DUMMYFUNCTION("QUERY('Volunteer Survey'!F159)"),"Scientific Researcher")</f>
        <v>Scientific Researcher</v>
      </c>
      <c r="O152" s="42" t="str">
        <f ca="1">IFERROR(__xludf.DUMMYFUNCTION("QUERY('Volunteer Survey'!H159)"),"Baseline")</f>
        <v>Baseline</v>
      </c>
      <c r="P152" s="49" t="str">
        <f ca="1">IFERROR(__xludf.DUMMYFUNCTION("QUERY('Volunteer Survey'!I159)"),"Clinical Actionability")</f>
        <v>Clinical Actionability</v>
      </c>
      <c r="Q152" s="54" t="str">
        <f ca="1">IFERROR(__xludf.DUMMYFUNCTION("QUERY('Volunteer Survey'!J159)"),"")</f>
        <v/>
      </c>
      <c r="R152" s="49" t="str">
        <f ca="1">IFERROR(__xludf.DUMMYFUNCTION("QUERY('Volunteer Survey'!K159)"),"")</f>
        <v/>
      </c>
      <c r="S152" s="49" t="str">
        <f ca="1">IFERROR(__xludf.DUMMYFUNCTION("QUERY('Volunteer Survey'!L159)"),"")</f>
        <v/>
      </c>
      <c r="T152" s="49" t="str">
        <f ca="1">IFERROR(__xludf.DUMMYFUNCTION("QUERY('Volunteer Survey'!M159)"),"")</f>
        <v/>
      </c>
      <c r="U152" s="58" t="str">
        <f ca="1">IFERROR(__xludf.DUMMYFUNCTION("QUERY('Volunteer Survey'!N159)"),"")</f>
        <v/>
      </c>
      <c r="V152" s="49" t="str">
        <f ca="1">IFERROR(__xludf.DUMMYFUNCTION("QUERY('Volunteer Survey'!O159)"),"Yes")</f>
        <v>Yes</v>
      </c>
      <c r="W152" s="60" t="str">
        <f ca="1">IFERROR(__xludf.DUMMYFUNCTION("QUERY('Volunteer Survey'!P159)"),"YES I AM")</f>
        <v>YES I AM</v>
      </c>
      <c r="X152" s="58" t="str">
        <f ca="1">IFERROR(__xludf.DUMMYFUNCTION("QUERY('Volunteer Survey'!R159)"),"Yes- I am willing to volunteer with any available ClinGen group")</f>
        <v>Yes- I am willing to volunteer with any available ClinGen group</v>
      </c>
      <c r="Y152" s="47"/>
      <c r="Z152" s="62"/>
      <c r="AA152" s="49"/>
      <c r="AB152" s="49"/>
      <c r="AC152" s="49"/>
      <c r="AD152" s="49"/>
      <c r="AE152" s="49"/>
      <c r="AF152" s="49"/>
      <c r="AG152" s="49"/>
      <c r="AH152" s="49"/>
      <c r="AI152" s="49"/>
      <c r="AJ152" s="49"/>
      <c r="AK152" s="49"/>
      <c r="AL152" s="49"/>
      <c r="AM152" s="49"/>
      <c r="AN152" s="49"/>
      <c r="AO152" s="49"/>
    </row>
    <row r="153" spans="1:41" ht="14">
      <c r="A153" s="44">
        <f ca="1">IFERROR(__xludf.DUMMYFUNCTION("QUERY('Volunteer Survey'!A160)"),43563.39827228)</f>
        <v>43563.398272279999</v>
      </c>
      <c r="B153" s="42" t="s">
        <v>108</v>
      </c>
      <c r="C153" s="47"/>
      <c r="D153" s="59">
        <v>43594</v>
      </c>
      <c r="E153" s="42" t="s">
        <v>117</v>
      </c>
      <c r="F153" s="42" t="s">
        <v>117</v>
      </c>
      <c r="G153" s="42" t="s">
        <v>19</v>
      </c>
      <c r="H153" s="63" t="s">
        <v>19</v>
      </c>
      <c r="I153" s="63" t="s">
        <v>139</v>
      </c>
      <c r="J153" s="50">
        <v>43712</v>
      </c>
      <c r="K153" s="50"/>
      <c r="L153" s="49" t="str">
        <f ca="1">IFERROR(__xludf.DUMMYFUNCTION("QUERY('Volunteer Survey'!B160)"),"Karen Hanson")</f>
        <v>Karen Hanson</v>
      </c>
      <c r="M153" s="49" t="str">
        <f ca="1">IFERROR(__xludf.DUMMYFUNCTION("QUERY('Volunteer Survey'!E160)"),"krhms3@gmail.com")</f>
        <v>krhms3@gmail.com</v>
      </c>
      <c r="N153" s="49" t="str">
        <f ca="1">IFERROR(__xludf.DUMMYFUNCTION("QUERY('Volunteer Survey'!F160)"),"Genetic counselor")</f>
        <v>Genetic counselor</v>
      </c>
      <c r="O153" s="42" t="str">
        <f ca="1">IFERROR(__xludf.DUMMYFUNCTION("QUERY('Volunteer Survey'!H160)"),"Comprehensive")</f>
        <v>Comprehensive</v>
      </c>
      <c r="P153" s="49" t="str">
        <f ca="1">IFERROR(__xludf.DUMMYFUNCTION("QUERY('Volunteer Survey'!I160)"),"Clinical Actionability")</f>
        <v>Clinical Actionability</v>
      </c>
      <c r="Q153" s="54" t="str">
        <f ca="1">IFERROR(__xludf.DUMMYFUNCTION("QUERY('Volunteer Survey'!J160)"),"Gene-Disease Validity")</f>
        <v>Gene-Disease Validity</v>
      </c>
      <c r="R153" s="49" t="str">
        <f ca="1">IFERROR(__xludf.DUMMYFUNCTION("QUERY('Volunteer Survey'!K160)"),"Somatic Cancer")</f>
        <v>Somatic Cancer</v>
      </c>
      <c r="S153" s="49" t="str">
        <f ca="1">IFERROR(__xludf.DUMMYFUNCTION("QUERY('Volunteer Survey'!L160)"),"")</f>
        <v/>
      </c>
      <c r="T153" s="49" t="str">
        <f ca="1">IFERROR(__xludf.DUMMYFUNCTION("QUERY('Volunteer Survey'!M160)"),"")</f>
        <v/>
      </c>
      <c r="U153" s="58" t="str">
        <f ca="1">IFERROR(__xludf.DUMMYFUNCTION("QUERY('Volunteer Survey'!N160)"),"n/a")</f>
        <v>n/a</v>
      </c>
      <c r="V153" s="49" t="str">
        <f ca="1">IFERROR(__xludf.DUMMYFUNCTION("QUERY('Volunteer Survey'!O160)"),"Possibly")</f>
        <v>Possibly</v>
      </c>
      <c r="W153" s="60" t="str">
        <f ca="1">IFERROR(__xludf.DUMMYFUNCTION("QUERY('Volunteer Survey'!P160)"),"brain malformations, cancer")</f>
        <v>brain malformations, cancer</v>
      </c>
      <c r="X153" s="58" t="str">
        <f ca="1">IFERROR(__xludf.DUMMYFUNCTION("QUERY('Volunteer Survey'!R160)"),"Yes- I am willing to volunteer with any available ClinGen group")</f>
        <v>Yes- I am willing to volunteer with any available ClinGen group</v>
      </c>
      <c r="Y153" s="47"/>
      <c r="Z153" s="62"/>
      <c r="AA153" s="49"/>
      <c r="AB153" s="49"/>
      <c r="AC153" s="49"/>
      <c r="AD153" s="49"/>
      <c r="AE153" s="49"/>
      <c r="AF153" s="49"/>
      <c r="AG153" s="49"/>
      <c r="AH153" s="49"/>
      <c r="AI153" s="49"/>
      <c r="AJ153" s="49"/>
      <c r="AK153" s="49"/>
      <c r="AL153" s="49"/>
      <c r="AM153" s="49"/>
      <c r="AN153" s="49"/>
      <c r="AO153" s="49"/>
    </row>
    <row r="154" spans="1:41" ht="14">
      <c r="A154" s="44">
        <f ca="1">IFERROR(__xludf.DUMMYFUNCTION("QUERY('Volunteer Survey'!A161)"),43563.560402824)</f>
        <v>43563.560402823998</v>
      </c>
      <c r="B154" s="42" t="s">
        <v>168</v>
      </c>
      <c r="C154" s="47"/>
      <c r="D154" s="49"/>
      <c r="E154" s="42" t="s">
        <v>130</v>
      </c>
      <c r="F154" s="42" t="s">
        <v>130</v>
      </c>
      <c r="G154" s="42" t="s">
        <v>251</v>
      </c>
      <c r="H154" s="47"/>
      <c r="I154" s="45" t="s">
        <v>139</v>
      </c>
      <c r="J154" s="49"/>
      <c r="K154" s="49"/>
      <c r="L154" s="49" t="str">
        <f ca="1">IFERROR(__xludf.DUMMYFUNCTION("QUERY('Volunteer Survey'!B161)"),"Daniel Reich")</f>
        <v>Daniel Reich</v>
      </c>
      <c r="M154" s="49" t="str">
        <f ca="1">IFERROR(__xludf.DUMMYFUNCTION("QUERY('Volunteer Survey'!E161)"),"daniel.reich@aruplab.com")</f>
        <v>daniel.reich@aruplab.com</v>
      </c>
      <c r="N154" s="49" t="str">
        <f ca="1">IFERROR(__xludf.DUMMYFUNCTION("QUERY('Volunteer Survey'!F161)"),"Variant Analyst/Scientist - Industry")</f>
        <v>Variant Analyst/Scientist - Industry</v>
      </c>
      <c r="O154" s="42" t="str">
        <f ca="1">IFERROR(__xludf.DUMMYFUNCTION("QUERY('Volunteer Survey'!H161)"),"Comprehensive")</f>
        <v>Comprehensive</v>
      </c>
      <c r="P154" s="49" t="str">
        <f ca="1">IFERROR(__xludf.DUMMYFUNCTION("QUERY('Volunteer Survey'!I161)"),"Variant Pathogenicity")</f>
        <v>Variant Pathogenicity</v>
      </c>
      <c r="Q154" s="54" t="str">
        <f ca="1">IFERROR(__xludf.DUMMYFUNCTION("QUERY('Volunteer Survey'!J161)"),"Gene-Disease Validity")</f>
        <v>Gene-Disease Validity</v>
      </c>
      <c r="R154" s="49" t="str">
        <f ca="1">IFERROR(__xludf.DUMMYFUNCTION("QUERY('Volunteer Survey'!K161)"),"Clinical Actionability")</f>
        <v>Clinical Actionability</v>
      </c>
      <c r="S154" s="49" t="str">
        <f ca="1">IFERROR(__xludf.DUMMYFUNCTION("QUERY('Volunteer Survey'!L161)"),"")</f>
        <v/>
      </c>
      <c r="T154" s="49" t="str">
        <f ca="1">IFERROR(__xludf.DUMMYFUNCTION("QUERY('Volunteer Survey'!M161)"),"")</f>
        <v/>
      </c>
      <c r="U154" s="58" t="str">
        <f ca="1">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49" t="str">
        <f ca="1">IFERROR(__xludf.DUMMYFUNCTION("QUERY('Volunteer Survey'!O161)"),"No")</f>
        <v>No</v>
      </c>
      <c r="W154" s="60" t="str">
        <f ca="1">IFERROR(__xludf.DUMMYFUNCTION("QUERY('Volunteer Survey'!P161)"),"Cerebral Creatine Deficiency Syndromes")</f>
        <v>Cerebral Creatine Deficiency Syndromes</v>
      </c>
      <c r="X154" s="58" t="str">
        <f ca="1">IFERROR(__xludf.DUMMYFUNCTION("QUERY('Volunteer Survey'!R161)"),"Yes- I am willing to volunteer with any available ClinGen group")</f>
        <v>Yes- I am willing to volunteer with any available ClinGen group</v>
      </c>
      <c r="Y154" s="47"/>
      <c r="Z154" s="62"/>
      <c r="AA154" s="49"/>
      <c r="AB154" s="49"/>
      <c r="AC154" s="49"/>
      <c r="AD154" s="49"/>
      <c r="AE154" s="49"/>
      <c r="AF154" s="49"/>
      <c r="AG154" s="49"/>
      <c r="AH154" s="49"/>
      <c r="AI154" s="49"/>
      <c r="AJ154" s="49"/>
      <c r="AK154" s="49"/>
      <c r="AL154" s="49"/>
      <c r="AM154" s="49"/>
      <c r="AN154" s="49"/>
      <c r="AO154" s="49"/>
    </row>
    <row r="155" spans="1:41" ht="14">
      <c r="A155" s="44">
        <f ca="1">IFERROR(__xludf.DUMMYFUNCTION("QUERY('Volunteer Survey'!A162)"),43563.6184702314)</f>
        <v>43563.618470231399</v>
      </c>
      <c r="B155" s="42" t="s">
        <v>108</v>
      </c>
      <c r="C155" s="47"/>
      <c r="D155" s="59">
        <v>43580</v>
      </c>
      <c r="E155" s="42" t="s">
        <v>117</v>
      </c>
      <c r="F155" s="42" t="s">
        <v>117</v>
      </c>
      <c r="G155" s="42" t="s">
        <v>163</v>
      </c>
      <c r="H155" s="47"/>
      <c r="I155" s="45" t="s">
        <v>139</v>
      </c>
      <c r="J155" s="50">
        <v>43712</v>
      </c>
      <c r="K155" s="50"/>
      <c r="L155" s="49" t="str">
        <f ca="1">IFERROR(__xludf.DUMMYFUNCTION("QUERY('Volunteer Survey'!B162)"),"Christine Preston")</f>
        <v>Christine Preston</v>
      </c>
      <c r="M155" s="49" t="str">
        <f ca="1">IFERROR(__xludf.DUMMYFUNCTION("QUERY('Volunteer Survey'!E162)"),"christip@stanford.edu")</f>
        <v>christip@stanford.edu</v>
      </c>
      <c r="N155" s="49" t="str">
        <f ca="1">IFERROR(__xludf.DUMMYFUNCTION("QUERY('Volunteer Survey'!F162)"),"Biocurator")</f>
        <v>Biocurator</v>
      </c>
      <c r="O155" s="42" t="str">
        <f ca="1">IFERROR(__xludf.DUMMYFUNCTION("QUERY('Volunteer Survey'!H162)"),"Comprehensive")</f>
        <v>Comprehensive</v>
      </c>
      <c r="P155" s="49" t="str">
        <f ca="1">IFERROR(__xludf.DUMMYFUNCTION("QUERY('Volunteer Survey'!I162)"),"Dosage Sensitivity")</f>
        <v>Dosage Sensitivity</v>
      </c>
      <c r="Q155" s="54" t="str">
        <f ca="1">IFERROR(__xludf.DUMMYFUNCTION("QUERY('Volunteer Survey'!J162)"),"Clinical Actionability")</f>
        <v>Clinical Actionability</v>
      </c>
      <c r="R155" s="49" t="str">
        <f ca="1">IFERROR(__xludf.DUMMYFUNCTION("QUERY('Volunteer Survey'!K162)"),"Variant Pathogenicity")</f>
        <v>Variant Pathogenicity</v>
      </c>
      <c r="S155" s="49" t="str">
        <f ca="1">IFERROR(__xludf.DUMMYFUNCTION("QUERY('Volunteer Survey'!L162)"),"")</f>
        <v/>
      </c>
      <c r="T155" s="49" t="str">
        <f ca="1">IFERROR(__xludf.DUMMYFUNCTION("QUERY('Volunteer Survey'!M162)"),"")</f>
        <v/>
      </c>
      <c r="U155" s="58" t="str">
        <f ca="1">IFERROR(__xludf.DUMMYFUNCTION("QUERY('Volunteer Survey'!N162)"),"")</f>
        <v/>
      </c>
      <c r="V155" s="49" t="str">
        <f ca="1">IFERROR(__xludf.DUMMYFUNCTION("QUERY('Volunteer Survey'!O162)"),"No")</f>
        <v>No</v>
      </c>
      <c r="W155" s="60" t="str">
        <f ca="1">IFERROR(__xludf.DUMMYFUNCTION("QUERY('Volunteer Survey'!P162)"),"Dosage Sensitivity Working Group")</f>
        <v>Dosage Sensitivity Working Group</v>
      </c>
      <c r="X155" s="58" t="str">
        <f ca="1">IFERROR(__xludf.DUMMYFUNCTION("QUERY('Volunteer Survey'!R162)"),"Maybe -- please contact me with other options, and I will decide based on what is available")</f>
        <v>Maybe -- please contact me with other options, and I will decide based on what is available</v>
      </c>
      <c r="Y155" s="47"/>
      <c r="Z155" s="62"/>
      <c r="AA155" s="49"/>
      <c r="AB155" s="49"/>
      <c r="AC155" s="49"/>
      <c r="AD155" s="49"/>
      <c r="AE155" s="49"/>
      <c r="AF155" s="49"/>
      <c r="AG155" s="49"/>
      <c r="AH155" s="49"/>
      <c r="AI155" s="49"/>
      <c r="AJ155" s="49"/>
      <c r="AK155" s="49"/>
      <c r="AL155" s="49"/>
      <c r="AM155" s="49"/>
      <c r="AN155" s="49"/>
      <c r="AO155" s="49"/>
    </row>
    <row r="156" spans="1:41" ht="14">
      <c r="A156" s="44">
        <f ca="1">IFERROR(__xludf.DUMMYFUNCTION("QUERY('Volunteer Survey'!A163)"),43564.4175901736)</f>
        <v>43564.417590173602</v>
      </c>
      <c r="B156" s="42" t="s">
        <v>108</v>
      </c>
      <c r="C156" s="73">
        <v>43819</v>
      </c>
      <c r="D156" s="49"/>
      <c r="E156" s="42" t="s">
        <v>130</v>
      </c>
      <c r="F156" s="42" t="s">
        <v>130</v>
      </c>
      <c r="G156" s="42" t="s">
        <v>122</v>
      </c>
      <c r="H156" s="47"/>
      <c r="I156" s="45" t="s">
        <v>139</v>
      </c>
      <c r="J156" s="49"/>
      <c r="K156" s="49"/>
      <c r="L156" s="49" t="str">
        <f ca="1">IFERROR(__xludf.DUMMYFUNCTION("QUERY('Volunteer Survey'!B163)"),"Julie Hathaway")</f>
        <v>Julie Hathaway</v>
      </c>
      <c r="M156" s="49" t="str">
        <f ca="1">IFERROR(__xludf.DUMMYFUNCTION("QUERY('Volunteer Survey'!E163)"),"julie.hathaway@blueprintgenetics.com")</f>
        <v>julie.hathaway@blueprintgenetics.com</v>
      </c>
      <c r="N156" s="49" t="str">
        <f ca="1">IFERROR(__xludf.DUMMYFUNCTION("QUERY('Volunteer Survey'!F163)"),"Genetic counselor")</f>
        <v>Genetic counselor</v>
      </c>
      <c r="O156" s="42" t="str">
        <f ca="1">IFERROR(__xludf.DUMMYFUNCTION("QUERY('Volunteer Survey'!H163)"),"Comprehensive")</f>
        <v>Comprehensive</v>
      </c>
      <c r="P156" s="49" t="str">
        <f ca="1">IFERROR(__xludf.DUMMYFUNCTION("QUERY('Volunteer Survey'!I163)"),"Variant Pathogenicity")</f>
        <v>Variant Pathogenicity</v>
      </c>
      <c r="Q156" s="54" t="str">
        <f ca="1">IFERROR(__xludf.DUMMYFUNCTION("QUERY('Volunteer Survey'!J163)"),"Gene-Disease Validity")</f>
        <v>Gene-Disease Validity</v>
      </c>
      <c r="R156" s="49" t="str">
        <f ca="1">IFERROR(__xludf.DUMMYFUNCTION("QUERY('Volunteer Survey'!K163)"),"Clinical Actionability")</f>
        <v>Clinical Actionability</v>
      </c>
      <c r="S156" s="49" t="str">
        <f ca="1">IFERROR(__xludf.DUMMYFUNCTION("QUERY('Volunteer Survey'!L163)"),"Dosage Sensitivity")</f>
        <v>Dosage Sensitivity</v>
      </c>
      <c r="T156" s="49" t="str">
        <f ca="1">IFERROR(__xludf.DUMMYFUNCTION("QUERY('Volunteer Survey'!M163)"),"Somatic Cancer")</f>
        <v>Somatic Cancer</v>
      </c>
      <c r="U156" s="58" t="str">
        <f ca="1">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49" t="str">
        <f ca="1">IFERROR(__xludf.DUMMYFUNCTION("QUERY('Volunteer Survey'!O163)"),"No")</f>
        <v>No</v>
      </c>
      <c r="W156" s="60" t="str">
        <f ca="1">IFERROR(__xludf.DUMMYFUNCTION("QUERY('Volunteer Survey'!P163)"),"Cardiomyopathy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X156" s="58" t="str">
        <f ca="1">IFERROR(__xludf.DUMMYFUNCTION("QUERY('Volunteer Survey'!R163)"),"Maybe -- please contact me with other options, and I will decide based on what is available")</f>
        <v>Maybe -- please contact me with other options, and I will decide based on what is available</v>
      </c>
      <c r="Y156" s="47"/>
      <c r="Z156" s="62"/>
      <c r="AA156" s="49"/>
      <c r="AB156" s="49"/>
      <c r="AC156" s="49"/>
      <c r="AD156" s="49"/>
      <c r="AE156" s="49"/>
      <c r="AF156" s="49"/>
      <c r="AG156" s="49"/>
      <c r="AH156" s="49"/>
      <c r="AI156" s="49"/>
      <c r="AJ156" s="49"/>
      <c r="AK156" s="49"/>
      <c r="AL156" s="49"/>
      <c r="AM156" s="49"/>
      <c r="AN156" s="49"/>
      <c r="AO156" s="49"/>
    </row>
    <row r="157" spans="1:41" ht="14">
      <c r="A157" s="44">
        <f ca="1">IFERROR(__xludf.DUMMYFUNCTION("QUERY('Volunteer Survey'!A164)"),43564.4196003356)</f>
        <v>43564.419600335597</v>
      </c>
      <c r="B157" s="42" t="s">
        <v>108</v>
      </c>
      <c r="C157" s="47"/>
      <c r="D157" s="49"/>
      <c r="E157" s="42" t="s">
        <v>130</v>
      </c>
      <c r="F157" s="42" t="s">
        <v>130</v>
      </c>
      <c r="G157" s="42" t="s">
        <v>202</v>
      </c>
      <c r="H157" s="47"/>
      <c r="I157" s="45" t="s">
        <v>139</v>
      </c>
      <c r="J157" s="49"/>
      <c r="K157" s="49"/>
      <c r="L157" s="49" t="str">
        <f ca="1">IFERROR(__xludf.DUMMYFUNCTION("QUERY('Volunteer Survey'!B164)"),"Jose Maria Urbano")</f>
        <v>Jose Maria Urbano</v>
      </c>
      <c r="M157" s="49" t="str">
        <f ca="1">IFERROR(__xludf.DUMMYFUNCTION("QUERY('Volunteer Survey'!E164)"),"jmu22@cam.ac.uk")</f>
        <v>jmu22@cam.ac.uk</v>
      </c>
      <c r="N157" s="49" t="str">
        <f ca="1">IFERROR(__xludf.DUMMYFUNCTION("QUERY('Volunteer Survey'!F164)"),"Biocurator")</f>
        <v>Biocurator</v>
      </c>
      <c r="O157" s="42" t="str">
        <f ca="1">IFERROR(__xludf.DUMMYFUNCTION("QUERY('Volunteer Survey'!H164)"),"Baseline")</f>
        <v>Baseline</v>
      </c>
      <c r="P157" s="49" t="str">
        <f ca="1">IFERROR(__xludf.DUMMYFUNCTION("QUERY('Volunteer Survey'!I164)"),"Gene-Disease Validity")</f>
        <v>Gene-Disease Validity</v>
      </c>
      <c r="Q157" s="54" t="str">
        <f ca="1">IFERROR(__xludf.DUMMYFUNCTION("QUERY('Volunteer Survey'!J164)"),"Variant Pathogenicity")</f>
        <v>Variant Pathogenicity</v>
      </c>
      <c r="R157" s="49" t="str">
        <f ca="1">IFERROR(__xludf.DUMMYFUNCTION("QUERY('Volunteer Survey'!K164)"),"Dosage Sensitivity")</f>
        <v>Dosage Sensitivity</v>
      </c>
      <c r="S157" s="49" t="str">
        <f ca="1">IFERROR(__xludf.DUMMYFUNCTION("QUERY('Volunteer Survey'!L164)"),"Somatic Cancer")</f>
        <v>Somatic Cancer</v>
      </c>
      <c r="T157" s="49" t="str">
        <f ca="1">IFERROR(__xludf.DUMMYFUNCTION("QUERY('Volunteer Survey'!M164)"),"Clinical Actionability")</f>
        <v>Clinical Actionability</v>
      </c>
      <c r="U157" s="58" t="str">
        <f ca="1">IFERROR(__xludf.DUMMYFUNCTION("QUERY('Volunteer Survey'!N164)"),"I am a Drosophila biocurator. I've been working for FlyBase for 4 years")</f>
        <v>I am a Drosophila biocurator. I've been working for FlyBase for 4 years</v>
      </c>
      <c r="V157" s="49" t="str">
        <f ca="1">IFERROR(__xludf.DUMMYFUNCTION("QUERY('Volunteer Survey'!O164)"),"No")</f>
        <v>No</v>
      </c>
      <c r="W157" s="60" t="str">
        <f ca="1">IFERROR(__xludf.DUMMYFUNCTION("QUERY('Volunteer Survey'!P164)"),"")</f>
        <v/>
      </c>
      <c r="X157" s="58" t="str">
        <f ca="1">IFERROR(__xludf.DUMMYFUNCTION("QUERY('Volunteer Survey'!R164)"),"")</f>
        <v/>
      </c>
      <c r="Y157" s="47"/>
      <c r="Z157" s="62"/>
      <c r="AA157" s="49"/>
      <c r="AB157" s="49"/>
      <c r="AC157" s="49"/>
      <c r="AD157" s="49"/>
      <c r="AE157" s="49"/>
      <c r="AF157" s="49"/>
      <c r="AG157" s="49"/>
      <c r="AH157" s="49"/>
      <c r="AI157" s="49"/>
      <c r="AJ157" s="49"/>
      <c r="AK157" s="49"/>
      <c r="AL157" s="49"/>
      <c r="AM157" s="49"/>
      <c r="AN157" s="49"/>
      <c r="AO157" s="49"/>
    </row>
    <row r="158" spans="1:41" ht="14">
      <c r="A158" s="44">
        <f ca="1">IFERROR(__xludf.DUMMYFUNCTION("QUERY('Volunteer Survey'!A165)"),43564.4933464004)</f>
        <v>43564.493346400399</v>
      </c>
      <c r="B158" s="42" t="s">
        <v>108</v>
      </c>
      <c r="C158" s="47"/>
      <c r="D158" s="59">
        <v>43585</v>
      </c>
      <c r="E158" s="42" t="s">
        <v>117</v>
      </c>
      <c r="F158" s="42" t="s">
        <v>117</v>
      </c>
      <c r="G158" s="42" t="s">
        <v>122</v>
      </c>
      <c r="H158" s="45" t="s">
        <v>123</v>
      </c>
      <c r="I158" s="45" t="s">
        <v>139</v>
      </c>
      <c r="J158" s="50">
        <v>43712</v>
      </c>
      <c r="K158" s="50"/>
      <c r="L158" s="49" t="str">
        <f ca="1">IFERROR(__xludf.DUMMYFUNCTION("QUERY('Volunteer Survey'!B165)"),"Alexander Ing")</f>
        <v>Alexander Ing</v>
      </c>
      <c r="M158" s="49" t="str">
        <f ca="1">IFERROR(__xludf.DUMMYFUNCTION("QUERY('Volunteer Survey'!E165)"),"aing@luriechildrens.org")</f>
        <v>aing@luriechildrens.org</v>
      </c>
      <c r="N158" s="49" t="str">
        <f ca="1">IFERROR(__xludf.DUMMYFUNCTION("QUERY('Volunteer Survey'!F165)"),"Genetic counselor")</f>
        <v>Genetic counselor</v>
      </c>
      <c r="O158" s="42" t="str">
        <f ca="1">IFERROR(__xludf.DUMMYFUNCTION("QUERY('Volunteer Survey'!H165)"),"Comprehensive")</f>
        <v>Comprehensive</v>
      </c>
      <c r="P158" s="49" t="str">
        <f ca="1">IFERROR(__xludf.DUMMYFUNCTION("QUERY('Volunteer Survey'!I165)"),"Gene-Disease Validity")</f>
        <v>Gene-Disease Validity</v>
      </c>
      <c r="Q158" s="54" t="str">
        <f ca="1">IFERROR(__xludf.DUMMYFUNCTION("QUERY('Volunteer Survey'!J165)"),"Variant Pathogenicity")</f>
        <v>Variant Pathogenicity</v>
      </c>
      <c r="R158" s="49" t="str">
        <f ca="1">IFERROR(__xludf.DUMMYFUNCTION("QUERY('Volunteer Survey'!K165)"),"Clinical Actionability")</f>
        <v>Clinical Actionability</v>
      </c>
      <c r="S158" s="49" t="str">
        <f ca="1">IFERROR(__xludf.DUMMYFUNCTION("QUERY('Volunteer Survey'!L165)"),"")</f>
        <v/>
      </c>
      <c r="T158" s="49" t="str">
        <f ca="1">IFERROR(__xludf.DUMMYFUNCTION("QUERY('Volunteer Survey'!M165)"),"")</f>
        <v/>
      </c>
      <c r="U158" s="58" t="str">
        <f ca="1">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49" t="str">
        <f ca="1">IFERROR(__xludf.DUMMYFUNCTION("QUERY('Volunteer Survey'!O165)"),"Possibly")</f>
        <v>Possibly</v>
      </c>
      <c r="W158" s="60" t="str">
        <f ca="1">IFERROR(__xludf.DUMMYFUNCTION("QUERY('Volunteer Survey'!P165)"),"epilepsy")</f>
        <v>epilepsy</v>
      </c>
      <c r="X158" s="58" t="str">
        <f ca="1">IFERROR(__xludf.DUMMYFUNCTION("QUERY('Volunteer Survey'!R165)"),"Maybe -- please contact me with other options, and I will decide based on what is available")</f>
        <v>Maybe -- please contact me with other options, and I will decide based on what is available</v>
      </c>
      <c r="Y158" s="47"/>
      <c r="Z158" s="62"/>
      <c r="AA158" s="49"/>
      <c r="AB158" s="49"/>
      <c r="AC158" s="49"/>
      <c r="AD158" s="49"/>
      <c r="AE158" s="49"/>
      <c r="AF158" s="49"/>
      <c r="AG158" s="49"/>
      <c r="AH158" s="49"/>
      <c r="AI158" s="49"/>
      <c r="AJ158" s="49"/>
      <c r="AK158" s="49"/>
      <c r="AL158" s="49"/>
      <c r="AM158" s="49"/>
      <c r="AN158" s="49"/>
      <c r="AO158" s="49"/>
    </row>
    <row r="159" spans="1:41" ht="14">
      <c r="A159" s="44">
        <f ca="1">IFERROR(__xludf.DUMMYFUNCTION("QUERY('Volunteer Survey'!A166)"),43564.6942130555)</f>
        <v>43564.694213055503</v>
      </c>
      <c r="B159" s="42" t="s">
        <v>108</v>
      </c>
      <c r="C159" s="47"/>
      <c r="D159" s="59">
        <v>43692</v>
      </c>
      <c r="E159" s="42" t="s">
        <v>117</v>
      </c>
      <c r="F159" s="42" t="s">
        <v>130</v>
      </c>
      <c r="G159" s="42" t="s">
        <v>122</v>
      </c>
      <c r="H159" s="47"/>
      <c r="I159" s="45" t="s">
        <v>139</v>
      </c>
      <c r="J159" s="49"/>
      <c r="K159" s="49"/>
      <c r="L159" s="49" t="str">
        <f ca="1">IFERROR(__xludf.DUMMYFUNCTION("QUERY('Volunteer Survey'!B166)"),"Jun Liao")</f>
        <v>Jun Liao</v>
      </c>
      <c r="M159" s="49" t="str">
        <f ca="1">IFERROR(__xludf.DUMMYFUNCTION("QUERY('Volunteer Survey'!E166)"),"jl5098@cumc.columbia.edu")</f>
        <v>jl5098@cumc.columbia.edu</v>
      </c>
      <c r="N159" s="49" t="str">
        <f ca="1">IFERROR(__xludf.DUMMYFUNCTION("QUERY('Volunteer Survey'!F166)"),"Clinical laboratory geneticist")</f>
        <v>Clinical laboratory geneticist</v>
      </c>
      <c r="O159" s="42" t="str">
        <f ca="1">IFERROR(__xludf.DUMMYFUNCTION("QUERY('Volunteer Survey'!H166)"),"Comprehensive")</f>
        <v>Comprehensive</v>
      </c>
      <c r="P159" s="49" t="str">
        <f ca="1">IFERROR(__xludf.DUMMYFUNCTION("QUERY('Volunteer Survey'!I166)"),"Gene-Disease Validity")</f>
        <v>Gene-Disease Validity</v>
      </c>
      <c r="Q159" s="54" t="str">
        <f ca="1">IFERROR(__xludf.DUMMYFUNCTION("QUERY('Volunteer Survey'!J166)"),"Variant Pathogenicity")</f>
        <v>Variant Pathogenicity</v>
      </c>
      <c r="R159" s="49" t="str">
        <f ca="1">IFERROR(__xludf.DUMMYFUNCTION("QUERY('Volunteer Survey'!K166)"),"Dosage Sensitivity")</f>
        <v>Dosage Sensitivity</v>
      </c>
      <c r="S159" s="49" t="str">
        <f ca="1">IFERROR(__xludf.DUMMYFUNCTION("QUERY('Volunteer Survey'!L166)"),"Clinical Actionability")</f>
        <v>Clinical Actionability</v>
      </c>
      <c r="T159" s="49" t="str">
        <f ca="1">IFERROR(__xludf.DUMMYFUNCTION("QUERY('Volunteer Survey'!M166)"),"Somatic Cancer")</f>
        <v>Somatic Cancer</v>
      </c>
      <c r="U159" s="58" t="str">
        <f ca="1">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49" t="str">
        <f ca="1">IFERROR(__xludf.DUMMYFUNCTION("QUERY('Volunteer Survey'!O166)"),"Yes")</f>
        <v>Yes</v>
      </c>
      <c r="W159" s="60" t="str">
        <f ca="1">IFERROR(__xludf.DUMMYFUNCTION("QUERY('Volunteer Survey'!P166)"),"1. Lysosomal Storage Disorders VCEP; 2. ID/Autism GCEP")</f>
        <v>1. Lysosomal Storage Disorders VCEP; 2. ID/Autism GCEP</v>
      </c>
      <c r="X159" s="58" t="str">
        <f ca="1">IFERROR(__xludf.DUMMYFUNCTION("QUERY('Volunteer Survey'!R166)"),"Maybe -- please contact me with other options, and I will decide based on what is available")</f>
        <v>Maybe -- please contact me with other options, and I will decide based on what is available</v>
      </c>
      <c r="Y159" s="47"/>
      <c r="Z159" s="62"/>
      <c r="AA159" s="49"/>
      <c r="AB159" s="49"/>
      <c r="AC159" s="49"/>
      <c r="AD159" s="49"/>
      <c r="AE159" s="49"/>
      <c r="AF159" s="49"/>
      <c r="AG159" s="49"/>
      <c r="AH159" s="49"/>
      <c r="AI159" s="49"/>
      <c r="AJ159" s="49"/>
      <c r="AK159" s="49"/>
      <c r="AL159" s="49"/>
      <c r="AM159" s="49"/>
      <c r="AN159" s="49"/>
      <c r="AO159" s="49"/>
    </row>
    <row r="160" spans="1:41" ht="14">
      <c r="A160" s="44">
        <f ca="1">IFERROR(__xludf.DUMMYFUNCTION("QUERY('Volunteer Survey'!A167)"),43564.7106672569)</f>
        <v>43564.710667256899</v>
      </c>
      <c r="B160" s="42" t="s">
        <v>108</v>
      </c>
      <c r="C160" s="47"/>
      <c r="D160" s="59">
        <v>43585</v>
      </c>
      <c r="E160" s="42" t="s">
        <v>117</v>
      </c>
      <c r="F160" s="42" t="s">
        <v>117</v>
      </c>
      <c r="G160" s="42" t="s">
        <v>122</v>
      </c>
      <c r="H160" s="45" t="s">
        <v>123</v>
      </c>
      <c r="I160" s="45" t="s">
        <v>139</v>
      </c>
      <c r="J160" s="50">
        <v>43712</v>
      </c>
      <c r="K160" s="50"/>
      <c r="L160" s="49" t="str">
        <f ca="1">IFERROR(__xludf.DUMMYFUNCTION("QUERY('Volunteer Survey'!B167)"),"Maki Kaneko")</f>
        <v>Maki Kaneko</v>
      </c>
      <c r="M160" s="49" t="str">
        <f ca="1">IFERROR(__xludf.DUMMYFUNCTION("QUERY('Volunteer Survey'!E167)"),"mkaneko@chla.usc.edu")</f>
        <v>mkaneko@chla.usc.edu</v>
      </c>
      <c r="N160" s="49" t="str">
        <f ca="1">IFERROR(__xludf.DUMMYFUNCTION("QUERY('Volunteer Survey'!F167)"),"Genetic counselor")</f>
        <v>Genetic counselor</v>
      </c>
      <c r="O160" s="42" t="str">
        <f ca="1">IFERROR(__xludf.DUMMYFUNCTION("QUERY('Volunteer Survey'!H167)"),"Comprehensive")</f>
        <v>Comprehensive</v>
      </c>
      <c r="P160" s="49" t="str">
        <f ca="1">IFERROR(__xludf.DUMMYFUNCTION("QUERY('Volunteer Survey'!I167)"),"Gene-Disease Validity")</f>
        <v>Gene-Disease Validity</v>
      </c>
      <c r="Q160" s="54" t="str">
        <f ca="1">IFERROR(__xludf.DUMMYFUNCTION("QUERY('Volunteer Survey'!J167)"),"Variant Pathogenicity")</f>
        <v>Variant Pathogenicity</v>
      </c>
      <c r="R160" s="49" t="str">
        <f ca="1">IFERROR(__xludf.DUMMYFUNCTION("QUERY('Volunteer Survey'!K167)"),"Clinical Actionability")</f>
        <v>Clinical Actionability</v>
      </c>
      <c r="S160" s="49" t="str">
        <f ca="1">IFERROR(__xludf.DUMMYFUNCTION("QUERY('Volunteer Survey'!L167)"),"Dosage Sensitivity")</f>
        <v>Dosage Sensitivity</v>
      </c>
      <c r="T160" s="49" t="str">
        <f ca="1">IFERROR(__xludf.DUMMYFUNCTION("QUERY('Volunteer Survey'!M167)"),"Somatic Cancer")</f>
        <v>Somatic Cancer</v>
      </c>
      <c r="U160" s="58" t="str">
        <f ca="1">IFERROR(__xludf.DUMMYFUNCTION("QUERY('Volunteer Survey'!N167)"),"")</f>
        <v/>
      </c>
      <c r="V160" s="49" t="str">
        <f ca="1">IFERROR(__xludf.DUMMYFUNCTION("QUERY('Volunteer Survey'!O167)"),"No")</f>
        <v>No</v>
      </c>
      <c r="W160" s="60" t="str">
        <f ca="1">IFERROR(__xludf.DUMMYFUNCTION("QUERY('Volunteer Survey'!P167)"),"Epilepsy")</f>
        <v>Epilepsy</v>
      </c>
      <c r="X160" s="58" t="str">
        <f ca="1">IFERROR(__xludf.DUMMYFUNCTION("QUERY('Volunteer Survey'!R167)"),"Maybe -- please contact me with other options, and I will decide based on what is available")</f>
        <v>Maybe -- please contact me with other options, and I will decide based on what is available</v>
      </c>
      <c r="Y160" s="47"/>
      <c r="Z160" s="62"/>
      <c r="AA160" s="49"/>
      <c r="AB160" s="49"/>
      <c r="AC160" s="49"/>
      <c r="AD160" s="49"/>
      <c r="AE160" s="49"/>
      <c r="AF160" s="49"/>
      <c r="AG160" s="49"/>
      <c r="AH160" s="49"/>
      <c r="AI160" s="49"/>
      <c r="AJ160" s="49"/>
      <c r="AK160" s="49"/>
      <c r="AL160" s="49"/>
      <c r="AM160" s="49"/>
      <c r="AN160" s="49"/>
      <c r="AO160" s="49"/>
    </row>
    <row r="161" spans="1:41" ht="14">
      <c r="A161" s="44">
        <f ca="1">IFERROR(__xludf.DUMMYFUNCTION("QUERY('Volunteer Survey'!A168)"),43564.7604356018)</f>
        <v>43564.760435601798</v>
      </c>
      <c r="B161" s="42" t="s">
        <v>108</v>
      </c>
      <c r="C161" s="47"/>
      <c r="D161" s="49"/>
      <c r="E161" s="42" t="s">
        <v>130</v>
      </c>
      <c r="F161" s="42" t="s">
        <v>130</v>
      </c>
      <c r="G161" s="42" t="s">
        <v>202</v>
      </c>
      <c r="H161" s="47"/>
      <c r="I161" s="45" t="s">
        <v>139</v>
      </c>
      <c r="J161" s="49"/>
      <c r="K161" s="49"/>
      <c r="L161" s="49" t="str">
        <f ca="1">IFERROR(__xludf.DUMMYFUNCTION("QUERY('Volunteer Survey'!B168)"),"Emma Leach")</f>
        <v>Emma Leach</v>
      </c>
      <c r="M161" s="49" t="str">
        <f ca="1">IFERROR(__xludf.DUMMYFUNCTION("QUERY('Volunteer Survey'!E168)"),"eleach@providencehealth.bc.ca")</f>
        <v>eleach@providencehealth.bc.ca</v>
      </c>
      <c r="N161" s="49" t="str">
        <f ca="1">IFERROR(__xludf.DUMMYFUNCTION("QUERY('Volunteer Survey'!F168)"),"Genetic counselor")</f>
        <v>Genetic counselor</v>
      </c>
      <c r="O161" s="42" t="str">
        <f ca="1">IFERROR(__xludf.DUMMYFUNCTION("QUERY('Volunteer Survey'!H168)"),"Baseline")</f>
        <v>Baseline</v>
      </c>
      <c r="P161" s="49" t="str">
        <f ca="1">IFERROR(__xludf.DUMMYFUNCTION("QUERY('Volunteer Survey'!I168)"),"Clinical Actionability")</f>
        <v>Clinical Actionability</v>
      </c>
      <c r="Q161" s="54" t="str">
        <f ca="1">IFERROR(__xludf.DUMMYFUNCTION("QUERY('Volunteer Survey'!J168)"),"Gene-Disease Validity")</f>
        <v>Gene-Disease Validity</v>
      </c>
      <c r="R161" s="49" t="str">
        <f ca="1">IFERROR(__xludf.DUMMYFUNCTION("QUERY('Volunteer Survey'!K168)"),"Variant Pathogenicity")</f>
        <v>Variant Pathogenicity</v>
      </c>
      <c r="S161" s="49" t="str">
        <f ca="1">IFERROR(__xludf.DUMMYFUNCTION("QUERY('Volunteer Survey'!L168)"),"Somatic Cancer")</f>
        <v>Somatic Cancer</v>
      </c>
      <c r="T161" s="49" t="str">
        <f ca="1">IFERROR(__xludf.DUMMYFUNCTION("QUERY('Volunteer Survey'!M168)"),"Dosage Sensitivity")</f>
        <v>Dosage Sensitivity</v>
      </c>
      <c r="U161" s="58" t="str">
        <f ca="1">IFERROR(__xludf.DUMMYFUNCTION("QUERY('Volunteer Survey'!N168)"),"previously published systematic literature review")</f>
        <v>previously published systematic literature review</v>
      </c>
      <c r="V161" s="49" t="str">
        <f ca="1">IFERROR(__xludf.DUMMYFUNCTION("QUERY('Volunteer Survey'!O168)"),"Yes")</f>
        <v>Yes</v>
      </c>
      <c r="W161" s="60" t="str">
        <f ca="1">IFERROR(__xludf.DUMMYFUNCTION("QUERY('Volunteer Survey'!P168)"),"cardiomyopathy")</f>
        <v>cardiomyopathy</v>
      </c>
      <c r="X161" s="58" t="str">
        <f ca="1">IFERROR(__xludf.DUMMYFUNCTION("QUERY('Volunteer Survey'!R168)"),"Yes- I am willing to volunteer with any available ClinGen group")</f>
        <v>Yes- I am willing to volunteer with any available ClinGen group</v>
      </c>
      <c r="Y161" s="47"/>
      <c r="Z161" s="62"/>
      <c r="AA161" s="49"/>
      <c r="AB161" s="49"/>
      <c r="AC161" s="49"/>
      <c r="AD161" s="49"/>
      <c r="AE161" s="49"/>
      <c r="AF161" s="49"/>
      <c r="AG161" s="49"/>
      <c r="AH161" s="49"/>
      <c r="AI161" s="49"/>
      <c r="AJ161" s="49"/>
      <c r="AK161" s="49"/>
      <c r="AL161" s="49"/>
      <c r="AM161" s="49"/>
      <c r="AN161" s="49"/>
      <c r="AO161" s="49"/>
    </row>
    <row r="162" spans="1:41" ht="14">
      <c r="A162" s="44">
        <f ca="1">IFERROR(__xludf.DUMMYFUNCTION("QUERY('Volunteer Survey'!A169)"),43565.6199570717)</f>
        <v>43565.6199570717</v>
      </c>
      <c r="B162" s="42" t="s">
        <v>108</v>
      </c>
      <c r="C162" s="47"/>
      <c r="D162" s="49"/>
      <c r="E162" s="42" t="s">
        <v>130</v>
      </c>
      <c r="F162" s="42" t="s">
        <v>130</v>
      </c>
      <c r="G162" s="42" t="s">
        <v>202</v>
      </c>
      <c r="H162" s="47"/>
      <c r="I162" s="45" t="s">
        <v>139</v>
      </c>
      <c r="J162" s="49"/>
      <c r="K162" s="49"/>
      <c r="L162" s="49" t="str">
        <f ca="1">IFERROR(__xludf.DUMMYFUNCTION("QUERY('Volunteer Survey'!B169)"),"Megan Lynch")</f>
        <v>Megan Lynch</v>
      </c>
      <c r="M162" s="49" t="str">
        <f ca="1">IFERROR(__xludf.DUMMYFUNCTION("QUERY('Volunteer Survey'!E169)"),"megan.lynch@umaryland.edu")</f>
        <v>megan.lynch@umaryland.edu</v>
      </c>
      <c r="N162" s="49" t="str">
        <f ca="1">IFERROR(__xludf.DUMMYFUNCTION("QUERY('Volunteer Survey'!F169)"),"Graduate Student")</f>
        <v>Graduate Student</v>
      </c>
      <c r="O162" s="42" t="str">
        <f ca="1">IFERROR(__xludf.DUMMYFUNCTION("QUERY('Volunteer Survey'!H169)"),"Baseline")</f>
        <v>Baseline</v>
      </c>
      <c r="P162" s="49" t="str">
        <f ca="1">IFERROR(__xludf.DUMMYFUNCTION("QUERY('Volunteer Survey'!I169)"),"Dosage Sensitivity")</f>
        <v>Dosage Sensitivity</v>
      </c>
      <c r="Q162" s="54" t="str">
        <f ca="1">IFERROR(__xludf.DUMMYFUNCTION("QUERY('Volunteer Survey'!J169)"),"Variant Pathogenicity")</f>
        <v>Variant Pathogenicity</v>
      </c>
      <c r="R162" s="49" t="str">
        <f ca="1">IFERROR(__xludf.DUMMYFUNCTION("QUERY('Volunteer Survey'!K169)"),"Clinical Actionability")</f>
        <v>Clinical Actionability</v>
      </c>
      <c r="S162" s="49" t="str">
        <f ca="1">IFERROR(__xludf.DUMMYFUNCTION("QUERY('Volunteer Survey'!L169)"),"")</f>
        <v/>
      </c>
      <c r="T162" s="49" t="str">
        <f ca="1">IFERROR(__xludf.DUMMYFUNCTION("QUERY('Volunteer Survey'!M169)"),"")</f>
        <v/>
      </c>
      <c r="U162" s="58" t="str">
        <f ca="1">IFERROR(__xludf.DUMMYFUNCTION("QUERY('Volunteer Survey'!N169)"),"")</f>
        <v/>
      </c>
      <c r="V162" s="49" t="str">
        <f ca="1">IFERROR(__xludf.DUMMYFUNCTION("QUERY('Volunteer Survey'!O169)"),"Possibly")</f>
        <v>Possibly</v>
      </c>
      <c r="W162" s="60" t="str">
        <f ca="1">IFERROR(__xludf.DUMMYFUNCTION("QUERY('Volunteer Survey'!P169)"),"any of the cardiovascular working groups")</f>
        <v>any of the cardiovascular working groups</v>
      </c>
      <c r="X162" s="58" t="str">
        <f ca="1">IFERROR(__xludf.DUMMYFUNCTION("QUERY('Volunteer Survey'!R169)"),"No - I am only interested in the group(s) I previously indicated")</f>
        <v>No - I am only interested in the group(s) I previously indicated</v>
      </c>
      <c r="Y162" s="47"/>
      <c r="Z162" s="62"/>
      <c r="AA162" s="49"/>
      <c r="AB162" s="49"/>
      <c r="AC162" s="49"/>
      <c r="AD162" s="49"/>
      <c r="AE162" s="49"/>
      <c r="AF162" s="49"/>
      <c r="AG162" s="49"/>
      <c r="AH162" s="49"/>
      <c r="AI162" s="49"/>
      <c r="AJ162" s="49"/>
      <c r="AK162" s="49"/>
      <c r="AL162" s="49"/>
      <c r="AM162" s="49"/>
      <c r="AN162" s="49"/>
      <c r="AO162" s="49"/>
    </row>
    <row r="163" spans="1:41" ht="14">
      <c r="A163" s="44">
        <f ca="1">IFERROR(__xludf.DUMMYFUNCTION("QUERY('Volunteer Survey'!A170)"),43566.0396503819)</f>
        <v>43566.039650381899</v>
      </c>
      <c r="B163" s="42" t="s">
        <v>160</v>
      </c>
      <c r="C163" s="47"/>
      <c r="D163" s="50">
        <v>43627</v>
      </c>
      <c r="E163" s="42" t="s">
        <v>117</v>
      </c>
      <c r="F163" s="42" t="s">
        <v>117</v>
      </c>
      <c r="G163" s="42" t="s">
        <v>251</v>
      </c>
      <c r="H163" s="45" t="s">
        <v>311</v>
      </c>
      <c r="I163" s="45" t="s">
        <v>139</v>
      </c>
      <c r="J163" s="50">
        <v>43712</v>
      </c>
      <c r="K163" s="50"/>
      <c r="L163" s="49" t="str">
        <f ca="1">IFERROR(__xludf.DUMMYFUNCTION("QUERY('Volunteer Survey'!B170)"),"Suvina To")</f>
        <v>Suvina To</v>
      </c>
      <c r="M163" s="49" t="str">
        <f ca="1">IFERROR(__xludf.DUMMYFUNCTION("QUERY('Volunteer Survey'!E170)"),"suvina@gmail.com")</f>
        <v>suvina@gmail.com</v>
      </c>
      <c r="N163" s="49" t="str">
        <f ca="1">IFERROR(__xludf.DUMMYFUNCTION("QUERY('Volunteer Survey'!F170)"),"Variant Analyst/Scientist - Industry")</f>
        <v>Variant Analyst/Scientist - Industry</v>
      </c>
      <c r="O163" s="42" t="str">
        <f ca="1">IFERROR(__xludf.DUMMYFUNCTION("QUERY('Volunteer Survey'!H170)"),"Comprehensive")</f>
        <v>Comprehensive</v>
      </c>
      <c r="P163" s="49" t="str">
        <f ca="1">IFERROR(__xludf.DUMMYFUNCTION("QUERY('Volunteer Survey'!I170)"),"Variant Pathogenicity")</f>
        <v>Variant Pathogenicity</v>
      </c>
      <c r="Q163" s="54" t="str">
        <f ca="1">IFERROR(__xludf.DUMMYFUNCTION("QUERY('Volunteer Survey'!J170)"),"Dosage Sensitivity")</f>
        <v>Dosage Sensitivity</v>
      </c>
      <c r="R163" s="49" t="str">
        <f ca="1">IFERROR(__xludf.DUMMYFUNCTION("QUERY('Volunteer Survey'!K170)"),"Gene-Disease Validity")</f>
        <v>Gene-Disease Validity</v>
      </c>
      <c r="S163" s="49" t="str">
        <f ca="1">IFERROR(__xludf.DUMMYFUNCTION("QUERY('Volunteer Survey'!L170)"),"Clinical Actionability")</f>
        <v>Clinical Actionability</v>
      </c>
      <c r="T163" s="49" t="str">
        <f ca="1">IFERROR(__xludf.DUMMYFUNCTION("QUERY('Volunteer Survey'!M170)"),"Somatic Cancer")</f>
        <v>Somatic Cancer</v>
      </c>
      <c r="U163" s="58" t="str">
        <f ca="1">IFERROR(__xludf.DUMMYFUNCTION("QUERY('Volunteer Survey'!N170)"),"I am a variant curation specialist in my company")</f>
        <v>I am a variant curation specialist in my company</v>
      </c>
      <c r="V163" s="49" t="str">
        <f ca="1">IFERROR(__xludf.DUMMYFUNCTION("QUERY('Volunteer Survey'!O170)"),"Possibly")</f>
        <v>Possibly</v>
      </c>
      <c r="W163" s="60" t="str">
        <f ca="1">IFERROR(__xludf.DUMMYFUNCTION("QUERY('Volunteer Survey'!P170)"),"monogenic diabetes")</f>
        <v>monogenic diabetes</v>
      </c>
      <c r="X163" s="58" t="str">
        <f ca="1">IFERROR(__xludf.DUMMYFUNCTION("QUERY('Volunteer Survey'!R170)"),"Yes- I am willing to volunteer with any available ClinGen group")</f>
        <v>Yes- I am willing to volunteer with any available ClinGen group</v>
      </c>
      <c r="Y163" s="47"/>
      <c r="Z163" s="62"/>
      <c r="AA163" s="49"/>
      <c r="AB163" s="49"/>
      <c r="AC163" s="49"/>
      <c r="AD163" s="49"/>
      <c r="AE163" s="49"/>
      <c r="AF163" s="49"/>
      <c r="AG163" s="49"/>
      <c r="AH163" s="49"/>
      <c r="AI163" s="49"/>
      <c r="AJ163" s="49"/>
      <c r="AK163" s="49"/>
      <c r="AL163" s="49"/>
      <c r="AM163" s="49"/>
      <c r="AN163" s="49"/>
      <c r="AO163" s="49"/>
    </row>
    <row r="164" spans="1:41" ht="14">
      <c r="A164" s="44">
        <f ca="1">IFERROR(__xludf.DUMMYFUNCTION("QUERY('Volunteer Survey'!A171)"),43566.5250714467)</f>
        <v>43566.525071446697</v>
      </c>
      <c r="B164" s="42" t="s">
        <v>160</v>
      </c>
      <c r="C164" s="47"/>
      <c r="D164" s="59">
        <v>43608</v>
      </c>
      <c r="E164" s="42" t="s">
        <v>117</v>
      </c>
      <c r="F164" s="42" t="s">
        <v>117</v>
      </c>
      <c r="G164" s="42" t="s">
        <v>251</v>
      </c>
      <c r="H164" s="45" t="s">
        <v>169</v>
      </c>
      <c r="I164" s="45" t="s">
        <v>139</v>
      </c>
      <c r="J164" s="50">
        <v>43712</v>
      </c>
      <c r="K164" s="50"/>
      <c r="L164" s="49" t="str">
        <f ca="1">IFERROR(__xludf.DUMMYFUNCTION("QUERY('Volunteer Survey'!B171)"),"Lemuel Racacho")</f>
        <v>Lemuel Racacho</v>
      </c>
      <c r="M164" s="49" t="str">
        <f ca="1">IFERROR(__xludf.DUMMYFUNCTION("QUERY('Volunteer Survey'!E171)"),"lracacho@cheo.on.ca")</f>
        <v>lracacho@cheo.on.ca</v>
      </c>
      <c r="N164" s="49" t="str">
        <f ca="1">IFERROR(__xludf.DUMMYFUNCTION("QUERY('Volunteer Survey'!F171)"),"Post Doc/Resident/Fellow (MD and/or PhD)")</f>
        <v>Post Doc/Resident/Fellow (MD and/or PhD)</v>
      </c>
      <c r="O164" s="42" t="str">
        <f ca="1">IFERROR(__xludf.DUMMYFUNCTION("QUERY('Volunteer Survey'!H171)"),"Comprehensive")</f>
        <v>Comprehensive</v>
      </c>
      <c r="P164" s="49" t="str">
        <f ca="1">IFERROR(__xludf.DUMMYFUNCTION("QUERY('Volunteer Survey'!I171)"),"Variant Pathogenicity")</f>
        <v>Variant Pathogenicity</v>
      </c>
      <c r="Q164" s="54" t="str">
        <f ca="1">IFERROR(__xludf.DUMMYFUNCTION("QUERY('Volunteer Survey'!J171)"),"Gene-Disease Validity")</f>
        <v>Gene-Disease Validity</v>
      </c>
      <c r="R164" s="49" t="str">
        <f ca="1">IFERROR(__xludf.DUMMYFUNCTION("QUERY('Volunteer Survey'!K171)"),"Clinical Actionability")</f>
        <v>Clinical Actionability</v>
      </c>
      <c r="S164" s="49" t="str">
        <f ca="1">IFERROR(__xludf.DUMMYFUNCTION("QUERY('Volunteer Survey'!L171)"),"Dosage Sensitivity")</f>
        <v>Dosage Sensitivity</v>
      </c>
      <c r="T164" s="49" t="str">
        <f ca="1">IFERROR(__xludf.DUMMYFUNCTION("QUERY('Volunteer Survey'!M171)"),"Somatic Cancer")</f>
        <v>Somatic Cancer</v>
      </c>
      <c r="U164" s="58" t="str">
        <f ca="1">IFERROR(__xludf.DUMMYFUNCTION("QUERY('Volunteer Survey'!N171)"),"Yes, I currently interpret variants for mitochondrial based disorders")</f>
        <v>Yes, I currently interpret variants for mitochondrial based disorders</v>
      </c>
      <c r="V164" s="49" t="str">
        <f ca="1">IFERROR(__xludf.DUMMYFUNCTION("QUERY('Volunteer Survey'!O171)"),"Possibly")</f>
        <v>Possibly</v>
      </c>
      <c r="W164" s="60" t="str">
        <f ca="1">IFERROR(__xludf.DUMMYFUNCTION("QUERY('Volunteer Survey'!P171)"),"Inborn errors of metabolism; Low penetrance/risk allele")</f>
        <v>Inborn errors of metabolism; Low penetrance/risk allele</v>
      </c>
      <c r="X164" s="58" t="str">
        <f ca="1">IFERROR(__xludf.DUMMYFUNCTION("QUERY('Volunteer Survey'!R171)"),"Yes- I am willing to volunteer with any available ClinGen group")</f>
        <v>Yes- I am willing to volunteer with any available ClinGen group</v>
      </c>
      <c r="Y164" s="47"/>
      <c r="Z164" s="62"/>
      <c r="AA164" s="49"/>
      <c r="AB164" s="49"/>
      <c r="AC164" s="49"/>
      <c r="AD164" s="49"/>
      <c r="AE164" s="49"/>
      <c r="AF164" s="49"/>
      <c r="AG164" s="49"/>
      <c r="AH164" s="49"/>
      <c r="AI164" s="49"/>
      <c r="AJ164" s="49"/>
      <c r="AK164" s="49"/>
      <c r="AL164" s="49"/>
      <c r="AM164" s="49"/>
      <c r="AN164" s="49"/>
      <c r="AO164" s="49"/>
    </row>
    <row r="165" spans="1:41" ht="14">
      <c r="A165" s="44">
        <f ca="1">IFERROR(__xludf.DUMMYFUNCTION("QUERY('Volunteer Survey'!A172)"),43566.6674040393)</f>
        <v>43566.667404039297</v>
      </c>
      <c r="B165" s="42" t="s">
        <v>108</v>
      </c>
      <c r="C165" s="73">
        <v>43819</v>
      </c>
      <c r="D165" s="49"/>
      <c r="E165" s="42" t="s">
        <v>130</v>
      </c>
      <c r="F165" s="42" t="s">
        <v>130</v>
      </c>
      <c r="G165" s="42" t="s">
        <v>122</v>
      </c>
      <c r="H165" s="47"/>
      <c r="I165" s="45" t="s">
        <v>139</v>
      </c>
      <c r="J165" s="49"/>
      <c r="K165" s="49"/>
      <c r="L165" s="49" t="str">
        <f ca="1">IFERROR(__xludf.DUMMYFUNCTION("QUERY('Volunteer Survey'!B172)"),"Bo Yuan")</f>
        <v>Bo Yuan</v>
      </c>
      <c r="M165" s="49" t="str">
        <f ca="1">IFERROR(__xludf.DUMMYFUNCTION("QUERY('Volunteer Survey'!E172)"),"by2@bcm.edu")</f>
        <v>by2@bcm.edu</v>
      </c>
      <c r="N165" s="49" t="str">
        <f ca="1">IFERROR(__xludf.DUMMYFUNCTION("QUERY('Volunteer Survey'!F172)"),"Clinical laboratory geneticist")</f>
        <v>Clinical laboratory geneticist</v>
      </c>
      <c r="O165" s="42" t="str">
        <f ca="1">IFERROR(__xludf.DUMMYFUNCTION("QUERY('Volunteer Survey'!H172)"),"Comprehensive")</f>
        <v>Comprehensive</v>
      </c>
      <c r="P165" s="49" t="str">
        <f ca="1">IFERROR(__xludf.DUMMYFUNCTION("QUERY('Volunteer Survey'!I172)"),"Gene-Disease Validity")</f>
        <v>Gene-Disease Validity</v>
      </c>
      <c r="Q165" s="54" t="str">
        <f ca="1">IFERROR(__xludf.DUMMYFUNCTION("QUERY('Volunteer Survey'!J172)"),"Somatic Cancer")</f>
        <v>Somatic Cancer</v>
      </c>
      <c r="R165" s="49" t="str">
        <f ca="1">IFERROR(__xludf.DUMMYFUNCTION("QUERY('Volunteer Survey'!K172)"),"Clinical Actionability")</f>
        <v>Clinical Actionability</v>
      </c>
      <c r="S165" s="49" t="str">
        <f ca="1">IFERROR(__xludf.DUMMYFUNCTION("QUERY('Volunteer Survey'!L172)"),"Variant Pathogenicity")</f>
        <v>Variant Pathogenicity</v>
      </c>
      <c r="T165" s="49" t="str">
        <f ca="1">IFERROR(__xludf.DUMMYFUNCTION("QUERY('Volunteer Survey'!M172)"),"Dosage Sensitivity")</f>
        <v>Dosage Sensitivity</v>
      </c>
      <c r="U165" s="58" t="str">
        <f ca="1">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49" t="str">
        <f ca="1">IFERROR(__xludf.DUMMYFUNCTION("QUERY('Volunteer Survey'!O172)"),"Yes")</f>
        <v>Yes</v>
      </c>
      <c r="W165" s="60" t="str">
        <f ca="1">IFERROR(__xludf.DUMMYFUNCTION("QUERY('Volunteer Survey'!P172)"),"")</f>
        <v/>
      </c>
      <c r="X165" s="58" t="str">
        <f ca="1">IFERROR(__xludf.DUMMYFUNCTION("QUERY('Volunteer Survey'!R172)"),"Maybe -- please contact me with other options, and I will decide based on what is available")</f>
        <v>Maybe -- please contact me with other options, and I will decide based on what is available</v>
      </c>
      <c r="Y165" s="47"/>
      <c r="Z165" s="62"/>
      <c r="AA165" s="49"/>
      <c r="AB165" s="49"/>
      <c r="AC165" s="49"/>
      <c r="AD165" s="49"/>
      <c r="AE165" s="49"/>
      <c r="AF165" s="49"/>
      <c r="AG165" s="49"/>
      <c r="AH165" s="49"/>
      <c r="AI165" s="49"/>
      <c r="AJ165" s="49"/>
      <c r="AK165" s="49"/>
      <c r="AL165" s="49"/>
      <c r="AM165" s="49"/>
      <c r="AN165" s="49"/>
      <c r="AO165" s="49"/>
    </row>
    <row r="166" spans="1:41" ht="14">
      <c r="A166" s="44">
        <f ca="1">IFERROR(__xludf.DUMMYFUNCTION("QUERY('Volunteer Survey'!A173)"),43566.9625384953)</f>
        <v>43566.962538495303</v>
      </c>
      <c r="B166" s="42" t="s">
        <v>108</v>
      </c>
      <c r="C166" s="73">
        <v>43819</v>
      </c>
      <c r="D166" s="49"/>
      <c r="E166" s="42" t="s">
        <v>130</v>
      </c>
      <c r="F166" s="42" t="s">
        <v>130</v>
      </c>
      <c r="G166" s="42" t="s">
        <v>122</v>
      </c>
      <c r="H166" s="47"/>
      <c r="I166" s="45" t="s">
        <v>139</v>
      </c>
      <c r="J166" s="49"/>
      <c r="K166" s="49"/>
      <c r="L166" s="49" t="str">
        <f ca="1">IFERROR(__xludf.DUMMYFUNCTION("QUERY('Volunteer Survey'!B173)"),"Avinash Dharmadhikari")</f>
        <v>Avinash Dharmadhikari</v>
      </c>
      <c r="M166" s="49" t="str">
        <f ca="1">IFERROR(__xludf.DUMMYFUNCTION("QUERY('Volunteer Survey'!E173)"),"avd2129@cumc.columbia.edu")</f>
        <v>avd2129@cumc.columbia.edu</v>
      </c>
      <c r="N166" s="49" t="str">
        <f ca="1">IFERROR(__xludf.DUMMYFUNCTION("QUERY('Volunteer Survey'!F173)"),"Post Doc/Resident/Fellow (MD and/or PhD)")</f>
        <v>Post Doc/Resident/Fellow (MD and/or PhD)</v>
      </c>
      <c r="O166" s="42" t="str">
        <f ca="1">IFERROR(__xludf.DUMMYFUNCTION("QUERY('Volunteer Survey'!H173)"),"Comprehensive")</f>
        <v>Comprehensive</v>
      </c>
      <c r="P166" s="49" t="str">
        <f ca="1">IFERROR(__xludf.DUMMYFUNCTION("QUERY('Volunteer Survey'!I173)"),"Gene-Disease Validity")</f>
        <v>Gene-Disease Validity</v>
      </c>
      <c r="Q166" s="54" t="str">
        <f ca="1">IFERROR(__xludf.DUMMYFUNCTION("QUERY('Volunteer Survey'!J173)"),"Variant Pathogenicity")</f>
        <v>Variant Pathogenicity</v>
      </c>
      <c r="R166" s="49" t="str">
        <f ca="1">IFERROR(__xludf.DUMMYFUNCTION("QUERY('Volunteer Survey'!K173)"),"Dosage Sensitivity")</f>
        <v>Dosage Sensitivity</v>
      </c>
      <c r="S166" s="49" t="str">
        <f ca="1">IFERROR(__xludf.DUMMYFUNCTION("QUERY('Volunteer Survey'!L173)"),"")</f>
        <v/>
      </c>
      <c r="T166" s="49" t="str">
        <f ca="1">IFERROR(__xludf.DUMMYFUNCTION("QUERY('Volunteer Survey'!M173)"),"")</f>
        <v/>
      </c>
      <c r="U166" s="58" t="str">
        <f ca="1">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49" t="str">
        <f ca="1">IFERROR(__xludf.DUMMYFUNCTION("QUERY('Volunteer Survey'!O173)"),"Possibly")</f>
        <v>Possibly</v>
      </c>
      <c r="W166" s="60" t="str">
        <f ca="1">IFERROR(__xludf.DUMMYFUNCTION("QUERY('Volunteer Survey'!P173)"),"Hearing Loss VCEP &amp; GCEP or Dosage Sensitivity WG or ID/Autism GCEP")</f>
        <v>Hearing Loss VCEP &amp; GCEP or Dosage Sensitivity WG or ID/Autism GCEP</v>
      </c>
      <c r="X166" s="58" t="str">
        <f ca="1">IFERROR(__xludf.DUMMYFUNCTION("QUERY('Volunteer Survey'!R173)"),"Maybe -- please contact me with other options, and I will decide based on what is available")</f>
        <v>Maybe -- please contact me with other options, and I will decide based on what is available</v>
      </c>
      <c r="Y166" s="47"/>
      <c r="Z166" s="62"/>
      <c r="AA166" s="49"/>
      <c r="AB166" s="49"/>
      <c r="AC166" s="49"/>
      <c r="AD166" s="49"/>
      <c r="AE166" s="49"/>
      <c r="AF166" s="49"/>
      <c r="AG166" s="49"/>
      <c r="AH166" s="49"/>
      <c r="AI166" s="49"/>
      <c r="AJ166" s="49"/>
      <c r="AK166" s="49"/>
      <c r="AL166" s="49"/>
      <c r="AM166" s="49"/>
      <c r="AN166" s="49"/>
      <c r="AO166" s="49"/>
    </row>
    <row r="167" spans="1:41" ht="14">
      <c r="A167" s="44">
        <f ca="1">IFERROR(__xludf.DUMMYFUNCTION("QUERY('Volunteer Survey'!A174)"),43567.6781867129)</f>
        <v>43567.678186712903</v>
      </c>
      <c r="B167" s="42" t="s">
        <v>168</v>
      </c>
      <c r="C167" s="47"/>
      <c r="D167" s="49"/>
      <c r="E167" s="42" t="s">
        <v>130</v>
      </c>
      <c r="F167" s="42" t="s">
        <v>130</v>
      </c>
      <c r="G167" s="42" t="s">
        <v>251</v>
      </c>
      <c r="H167" s="47"/>
      <c r="I167" s="45" t="s">
        <v>139</v>
      </c>
      <c r="J167" s="49"/>
      <c r="K167" s="49"/>
      <c r="L167" s="49" t="str">
        <f ca="1">IFERROR(__xludf.DUMMYFUNCTION("QUERY('Volunteer Survey'!B174)"),"Sara Fitzgerald-Butt")</f>
        <v>Sara Fitzgerald-Butt</v>
      </c>
      <c r="M167" s="49" t="str">
        <f ca="1">IFERROR(__xludf.DUMMYFUNCTION("QUERY('Volunteer Survey'!E174)"),"sfitzge@iu.edu")</f>
        <v>sfitzge@iu.edu</v>
      </c>
      <c r="N167" s="49" t="str">
        <f ca="1">IFERROR(__xludf.DUMMYFUNCTION("QUERY('Volunteer Survey'!F174)"),"Genetic counselor")</f>
        <v>Genetic counselor</v>
      </c>
      <c r="O167" s="42" t="str">
        <f ca="1">IFERROR(__xludf.DUMMYFUNCTION("QUERY('Volunteer Survey'!H174)"),"Comprehensive")</f>
        <v>Comprehensive</v>
      </c>
      <c r="P167" s="49" t="str">
        <f ca="1">IFERROR(__xludf.DUMMYFUNCTION("QUERY('Volunteer Survey'!I174)"),"Variant Pathogenicity")</f>
        <v>Variant Pathogenicity</v>
      </c>
      <c r="Q167" s="54" t="str">
        <f ca="1">IFERROR(__xludf.DUMMYFUNCTION("QUERY('Volunteer Survey'!J174)"),"Gene-Disease Validity")</f>
        <v>Gene-Disease Validity</v>
      </c>
      <c r="R167" s="49" t="str">
        <f ca="1">IFERROR(__xludf.DUMMYFUNCTION("QUERY('Volunteer Survey'!K174)"),"")</f>
        <v/>
      </c>
      <c r="S167" s="49" t="str">
        <f ca="1">IFERROR(__xludf.DUMMYFUNCTION("QUERY('Volunteer Survey'!L174)"),"")</f>
        <v/>
      </c>
      <c r="T167" s="49" t="str">
        <f ca="1">IFERROR(__xludf.DUMMYFUNCTION("QUERY('Volunteer Survey'!M174)"),"")</f>
        <v/>
      </c>
      <c r="U167" s="58" t="str">
        <f ca="1">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49" t="str">
        <f ca="1">IFERROR(__xludf.DUMMYFUNCTION("QUERY('Volunteer Survey'!O174)"),"No")</f>
        <v>No</v>
      </c>
      <c r="W167" s="60" t="str">
        <f ca="1">IFERROR(__xludf.DUMMYFUNCTION("QUERY('Volunteer Survey'!P174)"),"Cardiovascular, cardiomyopathy, Long QT syndrome, FBN1")</f>
        <v>Cardiovascular, cardiomyopathy, Long QT syndrome, FBN1</v>
      </c>
      <c r="X167" s="58" t="str">
        <f ca="1">IFERROR(__xludf.DUMMYFUNCTION("QUERY('Volunteer Survey'!R174)"),"Maybe -- please contact me with other options, and I will decide based on what is available")</f>
        <v>Maybe -- please contact me with other options, and I will decide based on what is available</v>
      </c>
      <c r="Y167" s="47"/>
      <c r="Z167" s="62"/>
      <c r="AA167" s="49"/>
      <c r="AB167" s="49"/>
      <c r="AC167" s="49"/>
      <c r="AD167" s="49"/>
      <c r="AE167" s="49"/>
      <c r="AF167" s="49"/>
      <c r="AG167" s="49"/>
      <c r="AH167" s="49"/>
      <c r="AI167" s="49"/>
      <c r="AJ167" s="49"/>
      <c r="AK167" s="49"/>
      <c r="AL167" s="49"/>
      <c r="AM167" s="49"/>
      <c r="AN167" s="49"/>
      <c r="AO167" s="49"/>
    </row>
    <row r="168" spans="1:41" ht="14">
      <c r="A168" s="44">
        <f ca="1">IFERROR(__xludf.DUMMYFUNCTION("QUERY('Volunteer Survey'!A175)"),43567.9264500925)</f>
        <v>43567.926450092498</v>
      </c>
      <c r="B168" s="42" t="s">
        <v>160</v>
      </c>
      <c r="C168" s="47"/>
      <c r="D168" s="59">
        <v>43608</v>
      </c>
      <c r="E168" s="42" t="s">
        <v>117</v>
      </c>
      <c r="F168" s="42" t="s">
        <v>117</v>
      </c>
      <c r="G168" s="42" t="s">
        <v>251</v>
      </c>
      <c r="H168" s="45" t="s">
        <v>312</v>
      </c>
      <c r="I168" s="45"/>
      <c r="J168" s="50">
        <v>43712</v>
      </c>
      <c r="K168" s="50"/>
      <c r="L168" s="49" t="str">
        <f ca="1">IFERROR(__xludf.DUMMYFUNCTION("QUERY('Volunteer Survey'!B175)"),"Samya Chakravorty")</f>
        <v>Samya Chakravorty</v>
      </c>
      <c r="M168" s="49" t="str">
        <f ca="1">IFERROR(__xludf.DUMMYFUNCTION("QUERY('Volunteer Survey'!E175)"),"samya.chakravorty@emory.edu")</f>
        <v>samya.chakravorty@emory.edu</v>
      </c>
      <c r="N168" s="49" t="str">
        <f ca="1">IFERROR(__xludf.DUMMYFUNCTION("QUERY('Volunteer Survey'!F175)"),"Scientific Researcher")</f>
        <v>Scientific Researcher</v>
      </c>
      <c r="O168" s="42" t="str">
        <f ca="1">IFERROR(__xludf.DUMMYFUNCTION("QUERY('Volunteer Survey'!H175)"),"Comprehensive")</f>
        <v>Comprehensive</v>
      </c>
      <c r="P168" s="49" t="str">
        <f ca="1">IFERROR(__xludf.DUMMYFUNCTION("QUERY('Volunteer Survey'!I175)"),"Variant Pathogenicity")</f>
        <v>Variant Pathogenicity</v>
      </c>
      <c r="Q168" s="54" t="str">
        <f ca="1">IFERROR(__xludf.DUMMYFUNCTION("QUERY('Volunteer Survey'!J175)"),"Gene-Disease Validity")</f>
        <v>Gene-Disease Validity</v>
      </c>
      <c r="R168" s="49" t="str">
        <f ca="1">IFERROR(__xludf.DUMMYFUNCTION("QUERY('Volunteer Survey'!K175)"),"Clinical Actionability")</f>
        <v>Clinical Actionability</v>
      </c>
      <c r="S168" s="49" t="str">
        <f ca="1">IFERROR(__xludf.DUMMYFUNCTION("QUERY('Volunteer Survey'!L175)"),"Dosage Sensitivity")</f>
        <v>Dosage Sensitivity</v>
      </c>
      <c r="T168" s="49" t="str">
        <f ca="1">IFERROR(__xludf.DUMMYFUNCTION("QUERY('Volunteer Survey'!M175)"),"")</f>
        <v/>
      </c>
      <c r="U168" s="58" t="str">
        <f ca="1">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49" t="str">
        <f ca="1">IFERROR(__xludf.DUMMYFUNCTION("QUERY('Volunteer Survey'!O175)"),"Yes")</f>
        <v>Yes</v>
      </c>
      <c r="W168" s="60" t="str">
        <f ca="1">IFERROR(__xludf.DUMMYFUNCTION("QUERY('Volunteer Survey'!P175)"),"Lysosomal Storage Disorders, Epilepsy")</f>
        <v>Lysosomal Storage Disorders, Epilepsy</v>
      </c>
      <c r="X168" s="58" t="str">
        <f ca="1">IFERROR(__xludf.DUMMYFUNCTION("QUERY('Volunteer Survey'!R175)"),"Maybe -- please contact me with other options, and I will decide based on what is available")</f>
        <v>Maybe -- please contact me with other options, and I will decide based on what is available</v>
      </c>
      <c r="Y168" s="47"/>
      <c r="Z168" s="62"/>
      <c r="AA168" s="49"/>
      <c r="AB168" s="49"/>
      <c r="AC168" s="49"/>
      <c r="AD168" s="49"/>
      <c r="AE168" s="49"/>
      <c r="AF168" s="49"/>
      <c r="AG168" s="49"/>
      <c r="AH168" s="49"/>
      <c r="AI168" s="49"/>
      <c r="AJ168" s="49"/>
      <c r="AK168" s="49"/>
      <c r="AL168" s="49"/>
      <c r="AM168" s="49"/>
      <c r="AN168" s="49"/>
      <c r="AO168" s="49"/>
    </row>
    <row r="169" spans="1:41" ht="20.25" customHeight="1">
      <c r="A169" s="44">
        <f ca="1">IFERROR(__xludf.DUMMYFUNCTION("QUERY('Volunteer Survey'!A176)"),43568.8246428819)</f>
        <v>43568.824642881897</v>
      </c>
      <c r="B169" s="42" t="s">
        <v>160</v>
      </c>
      <c r="C169" s="84">
        <v>43787</v>
      </c>
      <c r="D169" s="49"/>
      <c r="E169" s="42" t="s">
        <v>130</v>
      </c>
      <c r="F169" s="42" t="s">
        <v>130</v>
      </c>
      <c r="G169" s="42" t="s">
        <v>19</v>
      </c>
      <c r="H169" s="47"/>
      <c r="I169" s="45" t="s">
        <v>139</v>
      </c>
      <c r="J169" s="49"/>
      <c r="K169" s="49"/>
      <c r="L169" s="49" t="str">
        <f ca="1">IFERROR(__xludf.DUMMYFUNCTION("QUERY('Volunteer Survey'!B176)"),"Fareed Al Qusous")</f>
        <v>Fareed Al Qusous</v>
      </c>
      <c r="M169" s="49" t="str">
        <f ca="1">IFERROR(__xludf.DUMMYFUNCTION("QUERY('Volunteer Survey'!E176)"),"Fareedh.al.qusous@hotmail.com")</f>
        <v>Fareedh.al.qusous@hotmail.com</v>
      </c>
      <c r="N169" s="49" t="str">
        <f ca="1">IFERROR(__xludf.DUMMYFUNCTION("QUERY('Volunteer Survey'!F176)"),"Undergraduate Student")</f>
        <v>Undergraduate Student</v>
      </c>
      <c r="O169" s="42" t="str">
        <f ca="1">IFERROR(__xludf.DUMMYFUNCTION("QUERY('Volunteer Survey'!H176)"),"Comprehensive")</f>
        <v>Comprehensive</v>
      </c>
      <c r="P169" s="49" t="str">
        <f ca="1">IFERROR(__xludf.DUMMYFUNCTION("QUERY('Volunteer Survey'!I176)"),"Clinical Actionability")</f>
        <v>Clinical Actionability</v>
      </c>
      <c r="Q169" s="54" t="str">
        <f ca="1">IFERROR(__xludf.DUMMYFUNCTION("QUERY('Volunteer Survey'!J176)"),"Gene-Disease Validity")</f>
        <v>Gene-Disease Validity</v>
      </c>
      <c r="R169" s="49" t="str">
        <f ca="1">IFERROR(__xludf.DUMMYFUNCTION("QUERY('Volunteer Survey'!K176)"),"Variant Pathogenicity")</f>
        <v>Variant Pathogenicity</v>
      </c>
      <c r="S169" s="49" t="str">
        <f ca="1">IFERROR(__xludf.DUMMYFUNCTION("QUERY('Volunteer Survey'!L176)"),"Dosage Sensitivity")</f>
        <v>Dosage Sensitivity</v>
      </c>
      <c r="T169" s="49" t="str">
        <f ca="1">IFERROR(__xludf.DUMMYFUNCTION("QUERY('Volunteer Survey'!M176)"),"Somatic Cancer")</f>
        <v>Somatic Cancer</v>
      </c>
      <c r="U169" s="58" t="str">
        <f ca="1">IFERROR(__xludf.DUMMYFUNCTION("QUERY('Volunteer Survey'!N176)"),"")</f>
        <v/>
      </c>
      <c r="V169" s="49" t="str">
        <f ca="1">IFERROR(__xludf.DUMMYFUNCTION("QUERY('Volunteer Survey'!O176)"),"Possibly")</f>
        <v>Possibly</v>
      </c>
      <c r="W169" s="60" t="str">
        <f ca="1">IFERROR(__xludf.DUMMYFUNCTION("QUERY('Volunteer Survey'!P176)"),"")</f>
        <v/>
      </c>
      <c r="X169" s="58" t="str">
        <f ca="1">IFERROR(__xludf.DUMMYFUNCTION("QUERY('Volunteer Survey'!R176)"),"Maybe -- please contact me with other options, and I will decide based on what is available")</f>
        <v>Maybe -- please contact me with other options, and I will decide based on what is available</v>
      </c>
      <c r="Y169" s="45" t="s">
        <v>352</v>
      </c>
      <c r="Z169" s="62"/>
      <c r="AA169" s="49"/>
      <c r="AB169" s="49"/>
      <c r="AC169" s="49"/>
      <c r="AD169" s="49"/>
      <c r="AE169" s="49"/>
      <c r="AF169" s="49"/>
      <c r="AG169" s="49"/>
      <c r="AH169" s="49"/>
      <c r="AI169" s="49"/>
      <c r="AJ169" s="49"/>
      <c r="AK169" s="49"/>
      <c r="AL169" s="49"/>
      <c r="AM169" s="49"/>
      <c r="AN169" s="49"/>
      <c r="AO169" s="49"/>
    </row>
    <row r="170" spans="1:41" ht="14">
      <c r="A170" s="44">
        <f ca="1">IFERROR(__xludf.DUMMYFUNCTION("QUERY('Volunteer Survey'!A177)"),43570.8932796759)</f>
        <v>43570.893279675904</v>
      </c>
      <c r="B170" s="42" t="s">
        <v>108</v>
      </c>
      <c r="C170" s="47"/>
      <c r="D170" s="49"/>
      <c r="E170" s="42" t="s">
        <v>130</v>
      </c>
      <c r="F170" s="42" t="s">
        <v>130</v>
      </c>
      <c r="G170" s="42" t="s">
        <v>202</v>
      </c>
      <c r="H170" s="47"/>
      <c r="I170" s="45" t="s">
        <v>139</v>
      </c>
      <c r="J170" s="49"/>
      <c r="K170" s="49"/>
      <c r="L170" s="49" t="str">
        <f ca="1">IFERROR(__xludf.DUMMYFUNCTION("QUERY('Volunteer Survey'!B177)"),"Mi-Ae Jang")</f>
        <v>Mi-Ae Jang</v>
      </c>
      <c r="M170" s="49" t="str">
        <f ca="1">IFERROR(__xludf.DUMMYFUNCTION("QUERY('Volunteer Survey'!E177)"),"miaeyaho@gmail.com")</f>
        <v>miaeyaho@gmail.com</v>
      </c>
      <c r="N170" s="49" t="str">
        <f ca="1">IFERROR(__xludf.DUMMYFUNCTION("QUERY('Volunteer Survey'!F177)"),"Clinical laboratory geneticist")</f>
        <v>Clinical laboratory geneticist</v>
      </c>
      <c r="O170" s="42" t="str">
        <f ca="1">IFERROR(__xludf.DUMMYFUNCTION("QUERY('Volunteer Survey'!H177)"),"Baseline")</f>
        <v>Baseline</v>
      </c>
      <c r="P170" s="49" t="str">
        <f ca="1">IFERROR(__xludf.DUMMYFUNCTION("QUERY('Volunteer Survey'!I177)"),"")</f>
        <v/>
      </c>
      <c r="Q170" s="54" t="str">
        <f ca="1">IFERROR(__xludf.DUMMYFUNCTION("QUERY('Volunteer Survey'!J177)"),"")</f>
        <v/>
      </c>
      <c r="R170" s="49" t="str">
        <f ca="1">IFERROR(__xludf.DUMMYFUNCTION("QUERY('Volunteer Survey'!K177)"),"")</f>
        <v/>
      </c>
      <c r="S170" s="49" t="str">
        <f ca="1">IFERROR(__xludf.DUMMYFUNCTION("QUERY('Volunteer Survey'!L177)"),"")</f>
        <v/>
      </c>
      <c r="T170" s="49" t="str">
        <f ca="1">IFERROR(__xludf.DUMMYFUNCTION("QUERY('Volunteer Survey'!M177)"),"")</f>
        <v/>
      </c>
      <c r="U170" s="58" t="str">
        <f ca="1">IFERROR(__xludf.DUMMYFUNCTION("QUERY('Volunteer Survey'!N177)"),"")</f>
        <v/>
      </c>
      <c r="V170" s="49" t="str">
        <f ca="1">IFERROR(__xludf.DUMMYFUNCTION("QUERY('Volunteer Survey'!O177)"),"Possibly")</f>
        <v>Possibly</v>
      </c>
      <c r="W170" s="60" t="str">
        <f ca="1">IFERROR(__xludf.DUMMYFUNCTION("QUERY('Volunteer Survey'!P177)"),"Variant curation expert panel for myeloid malignancy and brain malformation")</f>
        <v>Variant curation expert panel for myeloid malignancy and brain malformation</v>
      </c>
      <c r="X170" s="58" t="str">
        <f ca="1">IFERROR(__xludf.DUMMYFUNCTION("QUERY('Volunteer Survey'!R177)"),"Maybe -- please contact me with other options, and I will decide based on what is available")</f>
        <v>Maybe -- please contact me with other options, and I will decide based on what is available</v>
      </c>
      <c r="Y170" s="47"/>
      <c r="Z170" s="62"/>
      <c r="AA170" s="49"/>
      <c r="AB170" s="49"/>
      <c r="AC170" s="49"/>
      <c r="AD170" s="49"/>
      <c r="AE170" s="49"/>
      <c r="AF170" s="49"/>
      <c r="AG170" s="49"/>
      <c r="AH170" s="49"/>
      <c r="AI170" s="49"/>
      <c r="AJ170" s="49"/>
      <c r="AK170" s="49"/>
      <c r="AL170" s="49"/>
      <c r="AM170" s="49"/>
      <c r="AN170" s="49"/>
      <c r="AO170" s="49"/>
    </row>
    <row r="171" spans="1:41" ht="14">
      <c r="A171" s="44">
        <f ca="1">IFERROR(__xludf.DUMMYFUNCTION("QUERY('Volunteer Survey'!A178)"),43571.9779175925)</f>
        <v>43571.9779175925</v>
      </c>
      <c r="B171" s="42" t="s">
        <v>108</v>
      </c>
      <c r="C171" s="47"/>
      <c r="D171" s="59">
        <v>43692</v>
      </c>
      <c r="E171" s="42" t="s">
        <v>117</v>
      </c>
      <c r="F171" s="42" t="s">
        <v>130</v>
      </c>
      <c r="G171" s="42" t="s">
        <v>122</v>
      </c>
      <c r="H171" s="47"/>
      <c r="I171" s="45" t="s">
        <v>139</v>
      </c>
      <c r="J171" s="49"/>
      <c r="K171" s="49"/>
      <c r="L171" s="49" t="str">
        <f ca="1">IFERROR(__xludf.DUMMYFUNCTION("QUERY('Volunteer Survey'!B178)"),"Alison Bright")</f>
        <v>Alison Bright</v>
      </c>
      <c r="M171" s="49" t="str">
        <f ca="1">IFERROR(__xludf.DUMMYFUNCTION("QUERY('Volunteer Survey'!E178)"),"alison.r.bright@questdiagnostics.com")</f>
        <v>alison.r.bright@questdiagnostics.com</v>
      </c>
      <c r="N171" s="49" t="str">
        <f ca="1">IFERROR(__xludf.DUMMYFUNCTION("QUERY('Volunteer Survey'!F178)"),"Variant Analyst/Scientist - Industry")</f>
        <v>Variant Analyst/Scientist - Industry</v>
      </c>
      <c r="O171" s="42" t="str">
        <f ca="1">IFERROR(__xludf.DUMMYFUNCTION("QUERY('Volunteer Survey'!H178)"),"Comprehensive")</f>
        <v>Comprehensive</v>
      </c>
      <c r="P171" s="49" t="str">
        <f ca="1">IFERROR(__xludf.DUMMYFUNCTION("QUERY('Volunteer Survey'!I178)"),"Gene-Disease Validity")</f>
        <v>Gene-Disease Validity</v>
      </c>
      <c r="Q171" s="54" t="str">
        <f ca="1">IFERROR(__xludf.DUMMYFUNCTION("QUERY('Volunteer Survey'!J178)"),"Dosage Sensitivity")</f>
        <v>Dosage Sensitivity</v>
      </c>
      <c r="R171" s="49" t="str">
        <f ca="1">IFERROR(__xludf.DUMMYFUNCTION("QUERY('Volunteer Survey'!K178)"),"")</f>
        <v/>
      </c>
      <c r="S171" s="49" t="str">
        <f ca="1">IFERROR(__xludf.DUMMYFUNCTION("QUERY('Volunteer Survey'!L178)"),"")</f>
        <v/>
      </c>
      <c r="T171" s="49" t="str">
        <f ca="1">IFERROR(__xludf.DUMMYFUNCTION("QUERY('Volunteer Survey'!M178)"),"")</f>
        <v/>
      </c>
      <c r="U171" s="58" t="str">
        <f ca="1">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49" t="str">
        <f ca="1">IFERROR(__xludf.DUMMYFUNCTION("QUERY('Volunteer Survey'!O178)"),"No")</f>
        <v>No</v>
      </c>
      <c r="W171" s="60" t="str">
        <f ca="1">IFERROR(__xludf.DUMMYFUNCTION("QUERY('Volunteer Survey'!P178)"),"ID/Autism")</f>
        <v>ID/Autism</v>
      </c>
      <c r="X171" s="58" t="str">
        <f ca="1">IFERROR(__xludf.DUMMYFUNCTION("QUERY('Volunteer Survey'!R178)"),"Maybe -- please contact me with other options, and I will decide based on what is available")</f>
        <v>Maybe -- please contact me with other options, and I will decide based on what is available</v>
      </c>
      <c r="Y171" s="47"/>
      <c r="Z171" s="62"/>
      <c r="AA171" s="49"/>
      <c r="AB171" s="49"/>
      <c r="AC171" s="49"/>
      <c r="AD171" s="49"/>
      <c r="AE171" s="49"/>
      <c r="AF171" s="49"/>
      <c r="AG171" s="49"/>
      <c r="AH171" s="49"/>
      <c r="AI171" s="49"/>
      <c r="AJ171" s="49"/>
      <c r="AK171" s="49"/>
      <c r="AL171" s="49"/>
      <c r="AM171" s="49"/>
      <c r="AN171" s="49"/>
      <c r="AO171" s="49"/>
    </row>
    <row r="172" spans="1:41" ht="14">
      <c r="A172" s="44">
        <f ca="1">IFERROR(__xludf.DUMMYFUNCTION("QUERY('Volunteer Survey'!A179)"),43577.6068059837)</f>
        <v>43577.606805983698</v>
      </c>
      <c r="B172" s="42" t="s">
        <v>108</v>
      </c>
      <c r="C172" s="73">
        <v>43819</v>
      </c>
      <c r="D172" s="49"/>
      <c r="E172" s="42"/>
      <c r="F172" s="42" t="s">
        <v>130</v>
      </c>
      <c r="G172" s="42" t="s">
        <v>251</v>
      </c>
      <c r="H172" s="47"/>
      <c r="I172" s="45" t="s">
        <v>139</v>
      </c>
      <c r="J172" s="49"/>
      <c r="K172" s="49"/>
      <c r="L172" s="49" t="str">
        <f ca="1">IFERROR(__xludf.DUMMYFUNCTION("QUERY('Volunteer Survey'!B179)"),"Chloe Whitten")</f>
        <v>Chloe Whitten</v>
      </c>
      <c r="M172" s="49" t="str">
        <f ca="1">IFERROR(__xludf.DUMMYFUNCTION("QUERY('Volunteer Survey'!E179)"),"cwhitten@ambrygen.com")</f>
        <v>cwhitten@ambrygen.com</v>
      </c>
      <c r="N172" s="49" t="str">
        <f ca="1">IFERROR(__xludf.DUMMYFUNCTION("QUERY('Volunteer Survey'!F179)"),"Recent graduate, can help with more admin tasks")</f>
        <v>Recent graduate, can help with more admin tasks</v>
      </c>
      <c r="O172" s="42" t="str">
        <f ca="1">IFERROR(__xludf.DUMMYFUNCTION("QUERY('Volunteer Survey'!H179)"),"Comprehensive")</f>
        <v>Comprehensive</v>
      </c>
      <c r="P172" s="49" t="str">
        <f ca="1">IFERROR(__xludf.DUMMYFUNCTION("QUERY('Volunteer Survey'!I179)"),"Variant Pathogenicity")</f>
        <v>Variant Pathogenicity</v>
      </c>
      <c r="Q172" s="54" t="str">
        <f ca="1">IFERROR(__xludf.DUMMYFUNCTION("QUERY('Volunteer Survey'!J179)"),"")</f>
        <v/>
      </c>
      <c r="R172" s="49" t="str">
        <f ca="1">IFERROR(__xludf.DUMMYFUNCTION("QUERY('Volunteer Survey'!K179)"),"")</f>
        <v/>
      </c>
      <c r="S172" s="49" t="str">
        <f ca="1">IFERROR(__xludf.DUMMYFUNCTION("QUERY('Volunteer Survey'!L179)"),"")</f>
        <v/>
      </c>
      <c r="T172" s="49" t="str">
        <f ca="1">IFERROR(__xludf.DUMMYFUNCTION("QUERY('Volunteer Survey'!M179)"),"")</f>
        <v/>
      </c>
      <c r="U172" s="58" t="str">
        <f ca="1">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49" t="str">
        <f ca="1">IFERROR(__xludf.DUMMYFUNCTION("QUERY('Volunteer Survey'!O179)"),"Possibly")</f>
        <v>Possibly</v>
      </c>
      <c r="W172" s="60" t="str">
        <f ca="1">IFERROR(__xludf.DUMMYFUNCTION("QUERY('Volunteer Survey'!P179)"),"FBN1, PKU or LSD")</f>
        <v>FBN1, PKU or LSD</v>
      </c>
      <c r="X172" s="58" t="str">
        <f ca="1">IFERROR(__xludf.DUMMYFUNCTION("QUERY('Volunteer Survey'!R179)"),"Yes- I am willing to volunteer with any available ClinGen group")</f>
        <v>Yes- I am willing to volunteer with any available ClinGen group</v>
      </c>
      <c r="Y172" s="47"/>
      <c r="Z172" s="62"/>
      <c r="AA172" s="49"/>
      <c r="AB172" s="49"/>
      <c r="AC172" s="49"/>
      <c r="AD172" s="49"/>
      <c r="AE172" s="49"/>
      <c r="AF172" s="49"/>
      <c r="AG172" s="49"/>
      <c r="AH172" s="49"/>
      <c r="AI172" s="49"/>
      <c r="AJ172" s="49"/>
      <c r="AK172" s="49"/>
      <c r="AL172" s="49"/>
      <c r="AM172" s="49"/>
      <c r="AN172" s="49"/>
      <c r="AO172" s="49"/>
    </row>
    <row r="173" spans="1:41" ht="14">
      <c r="A173" s="44">
        <f ca="1">IFERROR(__xludf.DUMMYFUNCTION("QUERY('Volunteer Survey'!A180)"),43577.8743844328)</f>
        <v>43577.874384432798</v>
      </c>
      <c r="B173" s="42" t="s">
        <v>108</v>
      </c>
      <c r="C173" s="47"/>
      <c r="D173" s="49"/>
      <c r="E173" s="42"/>
      <c r="F173" s="42" t="s">
        <v>130</v>
      </c>
      <c r="G173" s="42" t="s">
        <v>202</v>
      </c>
      <c r="H173" s="47"/>
      <c r="I173" s="45" t="s">
        <v>139</v>
      </c>
      <c r="J173" s="49"/>
      <c r="K173" s="49"/>
      <c r="L173" s="49" t="str">
        <f ca="1">IFERROR(__xludf.DUMMYFUNCTION("QUERY('Volunteer Survey'!B180)"),"Jaclyn Murry")</f>
        <v>Jaclyn Murry</v>
      </c>
      <c r="M173" s="49" t="str">
        <f ca="1">IFERROR(__xludf.DUMMYFUNCTION("QUERY('Volunteer Survey'!E180)"),"jmurry@mednet.ucla.edu")</f>
        <v>jmurry@mednet.ucla.edu</v>
      </c>
      <c r="N173" s="49" t="str">
        <f ca="1">IFERROR(__xludf.DUMMYFUNCTION("QUERY('Volunteer Survey'!F180)"),"Clinical laboratory geneticist")</f>
        <v>Clinical laboratory geneticist</v>
      </c>
      <c r="O173" s="42" t="str">
        <f ca="1">IFERROR(__xludf.DUMMYFUNCTION("QUERY('Volunteer Survey'!H180)"),"Baseline")</f>
        <v>Baseline</v>
      </c>
      <c r="P173" s="49" t="str">
        <f ca="1">IFERROR(__xludf.DUMMYFUNCTION("QUERY('Volunteer Survey'!I180)"),"Dosage Sensitivity")</f>
        <v>Dosage Sensitivity</v>
      </c>
      <c r="Q173" s="54" t="str">
        <f ca="1">IFERROR(__xludf.DUMMYFUNCTION("QUERY('Volunteer Survey'!J180)"),"Variant Pathogenicity")</f>
        <v>Variant Pathogenicity</v>
      </c>
      <c r="R173" s="49" t="str">
        <f ca="1">IFERROR(__xludf.DUMMYFUNCTION("QUERY('Volunteer Survey'!K180)"),"")</f>
        <v/>
      </c>
      <c r="S173" s="49" t="str">
        <f ca="1">IFERROR(__xludf.DUMMYFUNCTION("QUERY('Volunteer Survey'!L180)"),"")</f>
        <v/>
      </c>
      <c r="T173" s="49" t="str">
        <f ca="1">IFERROR(__xludf.DUMMYFUNCTION("QUERY('Volunteer Survey'!M180)"),"")</f>
        <v/>
      </c>
      <c r="U173" s="58" t="str">
        <f ca="1">IFERROR(__xludf.DUMMYFUNCTION("QUERY('Volunteer Survey'!N180)"),"Currently review CMA cases on service")</f>
        <v>Currently review CMA cases on service</v>
      </c>
      <c r="V173" s="49" t="str">
        <f ca="1">IFERROR(__xludf.DUMMYFUNCTION("QUERY('Volunteer Survey'!O180)"),"No")</f>
        <v>No</v>
      </c>
      <c r="W173" s="60" t="str">
        <f ca="1">IFERROR(__xludf.DUMMYFUNCTION("QUERY('Volunteer Survey'!P180)"),"Interest in CNVs")</f>
        <v>Interest in CNVs</v>
      </c>
      <c r="X173" s="58" t="str">
        <f ca="1">IFERROR(__xludf.DUMMYFUNCTION("QUERY('Volunteer Survey'!R180)"),"Maybe -- please contact me with other options, and I will decide based on what is available")</f>
        <v>Maybe -- please contact me with other options, and I will decide based on what is available</v>
      </c>
      <c r="Y173" s="47"/>
      <c r="Z173" s="62"/>
      <c r="AA173" s="49"/>
      <c r="AB173" s="49"/>
      <c r="AC173" s="49"/>
      <c r="AD173" s="49"/>
      <c r="AE173" s="49"/>
      <c r="AF173" s="49"/>
      <c r="AG173" s="49"/>
      <c r="AH173" s="49"/>
      <c r="AI173" s="49"/>
      <c r="AJ173" s="49"/>
      <c r="AK173" s="49"/>
      <c r="AL173" s="49"/>
      <c r="AM173" s="49"/>
      <c r="AN173" s="49"/>
      <c r="AO173" s="49"/>
    </row>
    <row r="174" spans="1:41" ht="14">
      <c r="A174" s="44">
        <f ca="1">IFERROR(__xludf.DUMMYFUNCTION("QUERY('Volunteer Survey'!A181)"),43578.6891417592)</f>
        <v>43578.689141759198</v>
      </c>
      <c r="B174" s="42" t="s">
        <v>108</v>
      </c>
      <c r="C174" s="47"/>
      <c r="D174" s="43">
        <v>43581</v>
      </c>
      <c r="E174" s="42" t="s">
        <v>117</v>
      </c>
      <c r="F174" s="42" t="s">
        <v>130</v>
      </c>
      <c r="G174" s="42" t="s">
        <v>136</v>
      </c>
      <c r="H174" s="47"/>
      <c r="I174" s="45" t="s">
        <v>139</v>
      </c>
      <c r="J174" s="50">
        <v>43712</v>
      </c>
      <c r="K174" s="50"/>
      <c r="L174" s="49" t="str">
        <f ca="1">IFERROR(__xludf.DUMMYFUNCTION("QUERY('Volunteer Survey'!B181)"),"Ying Zou")</f>
        <v>Ying Zou</v>
      </c>
      <c r="M174" s="49" t="str">
        <f ca="1">IFERROR(__xludf.DUMMYFUNCTION("QUERY('Volunteer Survey'!E181)")," yzou19@jhmi.edu")</f>
        <v xml:space="preserve"> yzou19@jhmi.edu</v>
      </c>
      <c r="N174" s="49" t="str">
        <f ca="1">IFERROR(__xludf.DUMMYFUNCTION("QUERY('Volunteer Survey'!F181)"),"Clinical laboratory geneticist")</f>
        <v>Clinical laboratory geneticist</v>
      </c>
      <c r="O174" s="42" t="str">
        <f ca="1">IFERROR(__xludf.DUMMYFUNCTION("QUERY('Volunteer Survey'!H181)"),"Comprehensive")</f>
        <v>Comprehensive</v>
      </c>
      <c r="P174" s="49" t="str">
        <f ca="1">IFERROR(__xludf.DUMMYFUNCTION("QUERY('Volunteer Survey'!I181)"),"Somatic Cancer")</f>
        <v>Somatic Cancer</v>
      </c>
      <c r="Q174" s="54" t="str">
        <f ca="1">IFERROR(__xludf.DUMMYFUNCTION("QUERY('Volunteer Survey'!J181)"),"Variant Pathogenicity")</f>
        <v>Variant Pathogenicity</v>
      </c>
      <c r="R174" s="49" t="str">
        <f ca="1">IFERROR(__xludf.DUMMYFUNCTION("QUERY('Volunteer Survey'!K181)"),"Clinical Actionability")</f>
        <v>Clinical Actionability</v>
      </c>
      <c r="S174" s="49" t="str">
        <f ca="1">IFERROR(__xludf.DUMMYFUNCTION("QUERY('Volunteer Survey'!L181)"),"Gene-Disease Validity")</f>
        <v>Gene-Disease Validity</v>
      </c>
      <c r="T174" s="49" t="str">
        <f ca="1">IFERROR(__xludf.DUMMYFUNCTION("QUERY('Volunteer Survey'!M181)"),"Dosage Sensitivity")</f>
        <v>Dosage Sensitivity</v>
      </c>
      <c r="U174" s="58" t="str">
        <f ca="1">IFERROR(__xludf.DUMMYFUNCTION("QUERY('Volunteer Survey'!N181)"),"")</f>
        <v/>
      </c>
      <c r="V174" s="49" t="str">
        <f ca="1">IFERROR(__xludf.DUMMYFUNCTION("QUERY('Volunteer Survey'!O181)"),"Possibly")</f>
        <v>Possibly</v>
      </c>
      <c r="W174" s="60" t="str">
        <f ca="1">IFERROR(__xludf.DUMMYFUNCTION("QUERY('Volunteer Survey'!P181)"),"somatic cancer")</f>
        <v>somatic cancer</v>
      </c>
      <c r="X174" s="58" t="str">
        <f ca="1">IFERROR(__xludf.DUMMYFUNCTION("QUERY('Volunteer Survey'!R181)"),"Maybe -- please contact me with other options, and I will decide based on what is available")</f>
        <v>Maybe -- please contact me with other options, and I will decide based on what is available</v>
      </c>
      <c r="Y174" s="47"/>
      <c r="Z174" s="62"/>
      <c r="AA174" s="49"/>
      <c r="AB174" s="49"/>
      <c r="AC174" s="49"/>
      <c r="AD174" s="49"/>
      <c r="AE174" s="49"/>
      <c r="AF174" s="49"/>
      <c r="AG174" s="49"/>
      <c r="AH174" s="49"/>
      <c r="AI174" s="49"/>
      <c r="AJ174" s="49"/>
      <c r="AK174" s="49"/>
      <c r="AL174" s="49"/>
      <c r="AM174" s="49"/>
      <c r="AN174" s="49"/>
      <c r="AO174" s="49"/>
    </row>
    <row r="175" spans="1:41" ht="14">
      <c r="A175" s="44">
        <f ca="1">IFERROR(__xludf.DUMMYFUNCTION("QUERY('Volunteer Survey'!A182)"),43581.0153433101)</f>
        <v>43581.0153433101</v>
      </c>
      <c r="B175" s="42" t="s">
        <v>168</v>
      </c>
      <c r="C175" s="47"/>
      <c r="D175" s="59">
        <v>43570</v>
      </c>
      <c r="E175" s="42" t="s">
        <v>117</v>
      </c>
      <c r="F175" s="42" t="s">
        <v>117</v>
      </c>
      <c r="G175" s="42" t="s">
        <v>313</v>
      </c>
      <c r="H175" s="47"/>
      <c r="I175" s="45" t="s">
        <v>139</v>
      </c>
      <c r="J175" s="49"/>
      <c r="K175" s="49"/>
      <c r="L175" s="49" t="str">
        <f ca="1">IFERROR(__xludf.DUMMYFUNCTION("QUERY('Volunteer Survey'!B182)"),"JIXIA LIU")</f>
        <v>JIXIA LIU</v>
      </c>
      <c r="M175" s="49" t="str">
        <f ca="1">IFERROR(__xludf.DUMMYFUNCTION("QUERY('Volunteer Survey'!E182)"),"jixialiu@gmail.com")</f>
        <v>jixialiu@gmail.com</v>
      </c>
      <c r="N175" s="49" t="str">
        <f ca="1">IFERROR(__xludf.DUMMYFUNCTION("QUERY('Volunteer Survey'!F182)"),"Clinical Variant Curator")</f>
        <v>Clinical Variant Curator</v>
      </c>
      <c r="O175" s="42" t="str">
        <f ca="1">IFERROR(__xludf.DUMMYFUNCTION("QUERY('Volunteer Survey'!H182)"),"Comprehensive")</f>
        <v>Comprehensive</v>
      </c>
      <c r="P175" s="49" t="str">
        <f ca="1">IFERROR(__xludf.DUMMYFUNCTION("QUERY('Volunteer Survey'!I182)"),"Gene-Disease Validity")</f>
        <v>Gene-Disease Validity</v>
      </c>
      <c r="Q175" s="54" t="str">
        <f ca="1">IFERROR(__xludf.DUMMYFUNCTION("QUERY('Volunteer Survey'!J182)"),"Variant Pathogenicity")</f>
        <v>Variant Pathogenicity</v>
      </c>
      <c r="R175" s="49" t="str">
        <f ca="1">IFERROR(__xludf.DUMMYFUNCTION("QUERY('Volunteer Survey'!K182)"),"Somatic Cancer")</f>
        <v>Somatic Cancer</v>
      </c>
      <c r="S175" s="49" t="str">
        <f ca="1">IFERROR(__xludf.DUMMYFUNCTION("QUERY('Volunteer Survey'!L182)"),"Clinical Actionability")</f>
        <v>Clinical Actionability</v>
      </c>
      <c r="T175" s="49" t="str">
        <f ca="1">IFERROR(__xludf.DUMMYFUNCTION("QUERY('Volunteer Survey'!M182)"),"Dosage Sensitivity")</f>
        <v>Dosage Sensitivity</v>
      </c>
      <c r="U175" s="58" t="str">
        <f ca="1">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49" t="str">
        <f ca="1">IFERROR(__xludf.DUMMYFUNCTION("QUERY('Volunteer Survey'!O182)"),"Possibly")</f>
        <v>Possibly</v>
      </c>
      <c r="W175" s="60" t="str">
        <f ca="1">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58" t="str">
        <f ca="1">IFERROR(__xludf.DUMMYFUNCTION("QUERY('Volunteer Survey'!R182)"),"Yes- I am willing to volunteer with any available ClinGen group")</f>
        <v>Yes- I am willing to volunteer with any available ClinGen group</v>
      </c>
      <c r="Y175" s="47"/>
      <c r="Z175" s="62"/>
      <c r="AA175" s="49"/>
      <c r="AB175" s="49"/>
      <c r="AC175" s="49"/>
      <c r="AD175" s="49"/>
      <c r="AE175" s="49"/>
      <c r="AF175" s="49"/>
      <c r="AG175" s="49"/>
      <c r="AH175" s="49"/>
      <c r="AI175" s="49"/>
      <c r="AJ175" s="49"/>
      <c r="AK175" s="49"/>
      <c r="AL175" s="49"/>
      <c r="AM175" s="49"/>
      <c r="AN175" s="49"/>
      <c r="AO175" s="49"/>
    </row>
    <row r="176" spans="1:41" ht="18" customHeight="1">
      <c r="A176" s="44">
        <f ca="1">IFERROR(__xludf.DUMMYFUNCTION("QUERY('Volunteer Survey'!A183)"),43581.5923809953)</f>
        <v>43581.592380995302</v>
      </c>
      <c r="B176" s="42" t="s">
        <v>160</v>
      </c>
      <c r="C176" s="47"/>
      <c r="D176" s="50">
        <v>43605</v>
      </c>
      <c r="E176" s="42" t="s">
        <v>117</v>
      </c>
      <c r="F176" s="42" t="s">
        <v>117</v>
      </c>
      <c r="G176" s="42" t="s">
        <v>251</v>
      </c>
      <c r="H176" s="45" t="s">
        <v>314</v>
      </c>
      <c r="I176" s="45" t="s">
        <v>139</v>
      </c>
      <c r="J176" s="50">
        <v>43712</v>
      </c>
      <c r="K176" s="50"/>
      <c r="L176" s="49" t="str">
        <f ca="1">IFERROR(__xludf.DUMMYFUNCTION("QUERY('Volunteer Survey'!B183)"),"Catherine Driscoll")</f>
        <v>Catherine Driscoll</v>
      </c>
      <c r="M176" s="49" t="str">
        <f ca="1">IFERROR(__xludf.DUMMYFUNCTION("QUERY('Volunteer Survey'!E183)"),"kate.driscoll@nih.gov")</f>
        <v>kate.driscoll@nih.gov</v>
      </c>
      <c r="N176" s="49" t="str">
        <f ca="1">IFERROR(__xludf.DUMMYFUNCTION("QUERY('Volunteer Survey'!F183)"),"Clinical laboratory geneticist")</f>
        <v>Clinical laboratory geneticist</v>
      </c>
      <c r="O176" s="42" t="str">
        <f ca="1">IFERROR(__xludf.DUMMYFUNCTION("QUERY('Volunteer Survey'!H183)"),"Comprehensive")</f>
        <v>Comprehensive</v>
      </c>
      <c r="P176" s="49" t="str">
        <f ca="1">IFERROR(__xludf.DUMMYFUNCTION("QUERY('Volunteer Survey'!I183)"),"Variant Pathogenicity")</f>
        <v>Variant Pathogenicity</v>
      </c>
      <c r="Q176" s="54" t="str">
        <f ca="1">IFERROR(__xludf.DUMMYFUNCTION("QUERY('Volunteer Survey'!J183)"),"")</f>
        <v/>
      </c>
      <c r="R176" s="49" t="str">
        <f ca="1">IFERROR(__xludf.DUMMYFUNCTION("QUERY('Volunteer Survey'!K183)"),"")</f>
        <v/>
      </c>
      <c r="S176" s="49" t="str">
        <f ca="1">IFERROR(__xludf.DUMMYFUNCTION("QUERY('Volunteer Survey'!L183)"),"")</f>
        <v/>
      </c>
      <c r="T176" s="49" t="str">
        <f ca="1">IFERROR(__xludf.DUMMYFUNCTION("QUERY('Volunteer Survey'!M183)"),"")</f>
        <v/>
      </c>
      <c r="U176" s="58" t="str">
        <f ca="1">IFERROR(__xludf.DUMMYFUNCTION("QUERY('Volunteer Survey'!N183)"),"Yes, my main task at work is annotation of variants in Dr. Biesecker's lab")</f>
        <v>Yes, my main task at work is annotation of variants in Dr. Biesecker's lab</v>
      </c>
      <c r="V176" s="49" t="str">
        <f ca="1">IFERROR(__xludf.DUMMYFUNCTION("QUERY('Volunteer Survey'!O183)"),"No")</f>
        <v>No</v>
      </c>
      <c r="W176" s="60" t="str">
        <f ca="1">IFERROR(__xludf.DUMMYFUNCTION("QUERY('Volunteer Survey'!P183)"),"Yes, RYR1 MHS")</f>
        <v>Yes, RYR1 MHS</v>
      </c>
      <c r="X176" s="58" t="str">
        <f ca="1">IFERROR(__xludf.DUMMYFUNCTION("QUERY('Volunteer Survey'!R183)"),"No - I am only interested in the group(s) I previously indicated")</f>
        <v>No - I am only interested in the group(s) I previously indicated</v>
      </c>
      <c r="Y176" s="45" t="s">
        <v>353</v>
      </c>
      <c r="Z176" s="62"/>
      <c r="AA176" s="49"/>
      <c r="AB176" s="49"/>
      <c r="AC176" s="49"/>
      <c r="AD176" s="49"/>
      <c r="AE176" s="49"/>
      <c r="AF176" s="49"/>
      <c r="AG176" s="49"/>
      <c r="AH176" s="49"/>
      <c r="AI176" s="49"/>
      <c r="AJ176" s="49"/>
      <c r="AK176" s="49"/>
      <c r="AL176" s="49"/>
      <c r="AM176" s="49"/>
      <c r="AN176" s="49"/>
      <c r="AO176" s="49"/>
    </row>
    <row r="177" spans="1:41" ht="14">
      <c r="A177" s="44">
        <f ca="1">IFERROR(__xludf.DUMMYFUNCTION("QUERY('Volunteer Survey'!A184)"),43584.7974777199)</f>
        <v>43584.797477719898</v>
      </c>
      <c r="B177" s="42" t="s">
        <v>108</v>
      </c>
      <c r="C177" s="47"/>
      <c r="D177" s="49"/>
      <c r="E177" s="42"/>
      <c r="F177" s="42" t="s">
        <v>130</v>
      </c>
      <c r="G177" s="42" t="s">
        <v>202</v>
      </c>
      <c r="H177" s="47"/>
      <c r="I177" s="45" t="s">
        <v>139</v>
      </c>
      <c r="J177" s="49"/>
      <c r="K177" s="49"/>
      <c r="L177" s="49" t="str">
        <f ca="1">IFERROR(__xludf.DUMMYFUNCTION("QUERY('Volunteer Survey'!B184)"),"Sara King")</f>
        <v>Sara King</v>
      </c>
      <c r="M177" s="49" t="str">
        <f ca="1">IFERROR(__xludf.DUMMYFUNCTION("QUERY('Volunteer Survey'!E184)"),"sking127@student.umuc.edu")</f>
        <v>sking127@student.umuc.edu</v>
      </c>
      <c r="N177" s="49" t="str">
        <f ca="1">IFERROR(__xludf.DUMMYFUNCTION("QUERY('Volunteer Survey'!F184)"),"Graduate Student")</f>
        <v>Graduate Student</v>
      </c>
      <c r="O177" s="42" t="str">
        <f ca="1">IFERROR(__xludf.DUMMYFUNCTION("QUERY('Volunteer Survey'!H184)"),"Baseline")</f>
        <v>Baseline</v>
      </c>
      <c r="P177" s="49" t="str">
        <f ca="1">IFERROR(__xludf.DUMMYFUNCTION("QUERY('Volunteer Survey'!I184)"),"")</f>
        <v/>
      </c>
      <c r="Q177" s="54" t="str">
        <f ca="1">IFERROR(__xludf.DUMMYFUNCTION("QUERY('Volunteer Survey'!J184)"),"")</f>
        <v/>
      </c>
      <c r="R177" s="49" t="str">
        <f ca="1">IFERROR(__xludf.DUMMYFUNCTION("QUERY('Volunteer Survey'!K184)"),"")</f>
        <v/>
      </c>
      <c r="S177" s="49" t="str">
        <f ca="1">IFERROR(__xludf.DUMMYFUNCTION("QUERY('Volunteer Survey'!L184)"),"")</f>
        <v/>
      </c>
      <c r="T177" s="49" t="str">
        <f ca="1">IFERROR(__xludf.DUMMYFUNCTION("QUERY('Volunteer Survey'!M184)"),"")</f>
        <v/>
      </c>
      <c r="U177" s="58" t="str">
        <f ca="1">IFERROR(__xludf.DUMMYFUNCTION("QUERY('Volunteer Survey'!N184)"),"")</f>
        <v/>
      </c>
      <c r="V177" s="49" t="str">
        <f ca="1">IFERROR(__xludf.DUMMYFUNCTION("QUERY('Volunteer Survey'!O184)"),"Possibly")</f>
        <v>Possibly</v>
      </c>
      <c r="W177" s="60" t="str">
        <f ca="1">IFERROR(__xludf.DUMMYFUNCTION("QUERY('Volunteer Survey'!P184)"),"")</f>
        <v/>
      </c>
      <c r="X177" s="58" t="str">
        <f ca="1">IFERROR(__xludf.DUMMYFUNCTION("QUERY('Volunteer Survey'!R184)"),"")</f>
        <v/>
      </c>
      <c r="Y177" s="45"/>
      <c r="Z177" s="62"/>
      <c r="AA177" s="49"/>
      <c r="AB177" s="49"/>
      <c r="AC177" s="49"/>
      <c r="AD177" s="49"/>
      <c r="AE177" s="49"/>
      <c r="AF177" s="49"/>
      <c r="AG177" s="49"/>
      <c r="AH177" s="49"/>
      <c r="AI177" s="49"/>
      <c r="AJ177" s="49"/>
      <c r="AK177" s="49"/>
      <c r="AL177" s="49"/>
      <c r="AM177" s="49"/>
      <c r="AN177" s="49"/>
      <c r="AO177" s="49"/>
    </row>
    <row r="178" spans="1:41" ht="14">
      <c r="A178" s="44">
        <f ca="1">IFERROR(__xludf.DUMMYFUNCTION("QUERY('Volunteer Survey'!A185)"),43585.6337606944)</f>
        <v>43585.6337606944</v>
      </c>
      <c r="B178" s="42" t="s">
        <v>108</v>
      </c>
      <c r="C178" s="73">
        <v>43689</v>
      </c>
      <c r="D178" s="50">
        <v>43768</v>
      </c>
      <c r="E178" s="42" t="s">
        <v>117</v>
      </c>
      <c r="F178" s="42" t="s">
        <v>117</v>
      </c>
      <c r="G178" s="42" t="s">
        <v>19</v>
      </c>
      <c r="H178" s="63" t="s">
        <v>19</v>
      </c>
      <c r="I178" s="63" t="s">
        <v>139</v>
      </c>
      <c r="J178" s="49"/>
      <c r="K178" s="49"/>
      <c r="L178" s="49" t="str">
        <f ca="1">IFERROR(__xludf.DUMMYFUNCTION("QUERY('Volunteer Survey'!B185)"),"Gifty Bhat")</f>
        <v>Gifty Bhat</v>
      </c>
      <c r="M178" s="49" t="str">
        <f ca="1">IFERROR(__xludf.DUMMYFUNCTION("QUERY('Volunteer Survey'!E185)"),"drgiftybhat@gmail.com")</f>
        <v>drgiftybhat@gmail.com</v>
      </c>
      <c r="N178" s="49" t="str">
        <f ca="1">IFERROR(__xludf.DUMMYFUNCTION("QUERY('Volunteer Survey'!F185)"),"Clinical Medical Geneticist")</f>
        <v>Clinical Medical Geneticist</v>
      </c>
      <c r="O178" s="42" t="str">
        <f ca="1">IFERROR(__xludf.DUMMYFUNCTION("QUERY('Volunteer Survey'!H185)"),"Comprehensive")</f>
        <v>Comprehensive</v>
      </c>
      <c r="P178" s="49" t="str">
        <f ca="1">IFERROR(__xludf.DUMMYFUNCTION("QUERY('Volunteer Survey'!I185)"),"Clinical Actionability")</f>
        <v>Clinical Actionability</v>
      </c>
      <c r="Q178" s="54" t="str">
        <f ca="1">IFERROR(__xludf.DUMMYFUNCTION("QUERY('Volunteer Survey'!J185)"),"Gene-Disease Validity")</f>
        <v>Gene-Disease Validity</v>
      </c>
      <c r="R178" s="49" t="str">
        <f ca="1">IFERROR(__xludf.DUMMYFUNCTION("QUERY('Volunteer Survey'!K185)"),"Variant Pathogenicity")</f>
        <v>Variant Pathogenicity</v>
      </c>
      <c r="S178" s="49" t="str">
        <f ca="1">IFERROR(__xludf.DUMMYFUNCTION("QUERY('Volunteer Survey'!L185)"),"Dosage Sensitivity")</f>
        <v>Dosage Sensitivity</v>
      </c>
      <c r="T178" s="49" t="str">
        <f ca="1">IFERROR(__xludf.DUMMYFUNCTION("QUERY('Volunteer Survey'!M185)"),"Somatic Cancer")</f>
        <v>Somatic Cancer</v>
      </c>
      <c r="U178" s="58" t="str">
        <f ca="1">IFERROR(__xludf.DUMMYFUNCTION("QUERY('Volunteer Survey'!N185)"),"")</f>
        <v/>
      </c>
      <c r="V178" s="49" t="str">
        <f ca="1">IFERROR(__xludf.DUMMYFUNCTION("QUERY('Volunteer Survey'!O185)"),"Yes")</f>
        <v>Yes</v>
      </c>
      <c r="W178" s="60" t="str">
        <f ca="1">IFERROR(__xludf.DUMMYFUNCTION("QUERY('Volunteer Survey'!P185)"),"Intellectual disability and autism")</f>
        <v>Intellectual disability and autism</v>
      </c>
      <c r="X178" s="58" t="str">
        <f ca="1">IFERROR(__xludf.DUMMYFUNCTION("QUERY('Volunteer Survey'!R185)"),"Yes- I am willing to volunteer with any available ClinGen group")</f>
        <v>Yes- I am willing to volunteer with any available ClinGen group</v>
      </c>
      <c r="Y178" s="45"/>
      <c r="Z178" s="49"/>
      <c r="AA178" s="49"/>
      <c r="AB178" s="49"/>
      <c r="AC178" s="49"/>
      <c r="AD178" s="49"/>
      <c r="AE178" s="49"/>
      <c r="AF178" s="49"/>
      <c r="AG178" s="49"/>
      <c r="AH178" s="49"/>
      <c r="AI178" s="49"/>
      <c r="AJ178" s="49"/>
      <c r="AK178" s="49"/>
      <c r="AL178" s="49"/>
      <c r="AM178" s="49"/>
      <c r="AN178" s="49"/>
      <c r="AO178" s="49"/>
    </row>
    <row r="179" spans="1:41" ht="17.25" customHeight="1">
      <c r="A179" s="44">
        <f ca="1">IFERROR(__xludf.DUMMYFUNCTION("QUERY('Volunteer Survey'!A186)"),43586.5964573032)</f>
        <v>43586.596457303203</v>
      </c>
      <c r="B179" s="42" t="s">
        <v>160</v>
      </c>
      <c r="C179" s="47"/>
      <c r="D179" s="50">
        <v>43608</v>
      </c>
      <c r="E179" s="42" t="s">
        <v>117</v>
      </c>
      <c r="F179" s="42" t="s">
        <v>117</v>
      </c>
      <c r="G179" s="42" t="s">
        <v>251</v>
      </c>
      <c r="H179" s="45" t="s">
        <v>302</v>
      </c>
      <c r="I179" s="63" t="s">
        <v>139</v>
      </c>
      <c r="J179" s="50">
        <v>43712</v>
      </c>
      <c r="K179" s="50"/>
      <c r="L179" s="49" t="str">
        <f ca="1">IFERROR(__xludf.DUMMYFUNCTION("QUERY('Volunteer Survey'!B186)"),"Ashley Marsh")</f>
        <v>Ashley Marsh</v>
      </c>
      <c r="M179" s="49" t="str">
        <f ca="1">IFERROR(__xludf.DUMMYFUNCTION("QUERY('Volunteer Survey'!E186)"),"amarsh@ucsd.edu")</f>
        <v>amarsh@ucsd.edu</v>
      </c>
      <c r="N179" s="49" t="str">
        <f ca="1">IFERROR(__xludf.DUMMYFUNCTION("QUERY('Volunteer Survey'!F186)"),"Post Doc/Resident/Fellow (MD and/or PhD)")</f>
        <v>Post Doc/Resident/Fellow (MD and/or PhD)</v>
      </c>
      <c r="O179" s="42" t="str">
        <f ca="1">IFERROR(__xludf.DUMMYFUNCTION("QUERY('Volunteer Survey'!H186)"),"Comprehensive")</f>
        <v>Comprehensive</v>
      </c>
      <c r="P179" s="49" t="str">
        <f ca="1">IFERROR(__xludf.DUMMYFUNCTION("QUERY('Volunteer Survey'!I186)"),"Variant Pathogenicity")</f>
        <v>Variant Pathogenicity</v>
      </c>
      <c r="Q179" s="54" t="str">
        <f ca="1">IFERROR(__xludf.DUMMYFUNCTION("QUERY('Volunteer Survey'!J186)"),"Gene-Disease Validity")</f>
        <v>Gene-Disease Validity</v>
      </c>
      <c r="R179" s="49" t="str">
        <f ca="1">IFERROR(__xludf.DUMMYFUNCTION("QUERY('Volunteer Survey'!K186)"),"")</f>
        <v/>
      </c>
      <c r="S179" s="49" t="str">
        <f ca="1">IFERROR(__xludf.DUMMYFUNCTION("QUERY('Volunteer Survey'!L186)"),"")</f>
        <v/>
      </c>
      <c r="T179" s="49" t="str">
        <f ca="1">IFERROR(__xludf.DUMMYFUNCTION("QUERY('Volunteer Survey'!M186)"),"")</f>
        <v/>
      </c>
      <c r="U179" s="58" t="str">
        <f ca="1">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49" t="str">
        <f ca="1">IFERROR(__xludf.DUMMYFUNCTION("QUERY('Volunteer Survey'!O186)"),"Possibly")</f>
        <v>Possibly</v>
      </c>
      <c r="W179" s="60" t="str">
        <f ca="1">IFERROR(__xludf.DUMMYFUNCTION("QUERY('Volunteer Survey'!P186)"),"•	Brain Malformations Variant Curation Expert Panel
•	Brain Malformations Gene Curation Expert Panel")</f>
        <v>•	Brain Malformations Variant Curation Expert Panel
•	Brain Malformations Gene Curation Expert Panel</v>
      </c>
      <c r="X179" s="58" t="str">
        <f ca="1">IFERROR(__xludf.DUMMYFUNCTION("QUERY('Volunteer Survey'!R186)"),"Maybe -- please contact me with other options, and I will decide based on what is available")</f>
        <v>Maybe -- please contact me with other options, and I will decide based on what is available</v>
      </c>
      <c r="Y179" s="45"/>
      <c r="Z179" s="49"/>
      <c r="AA179" s="49"/>
      <c r="AB179" s="49"/>
      <c r="AC179" s="49"/>
      <c r="AD179" s="49"/>
      <c r="AE179" s="49"/>
      <c r="AF179" s="49"/>
      <c r="AG179" s="49"/>
      <c r="AH179" s="49"/>
      <c r="AI179" s="49"/>
      <c r="AJ179" s="49"/>
      <c r="AK179" s="49"/>
      <c r="AL179" s="49"/>
      <c r="AM179" s="49"/>
      <c r="AN179" s="49"/>
      <c r="AO179" s="49"/>
    </row>
    <row r="180" spans="1:41" ht="14">
      <c r="A180" s="44">
        <f ca="1">IFERROR(__xludf.DUMMYFUNCTION("QUERY('Volunteer Survey'!A187)"),43587.1672437384)</f>
        <v>43587.167243738397</v>
      </c>
      <c r="B180" s="42" t="s">
        <v>108</v>
      </c>
      <c r="C180" s="47"/>
      <c r="D180" s="59">
        <v>43585</v>
      </c>
      <c r="E180" s="42" t="s">
        <v>117</v>
      </c>
      <c r="F180" s="42" t="s">
        <v>117</v>
      </c>
      <c r="G180" s="42" t="s">
        <v>122</v>
      </c>
      <c r="H180" s="45" t="s">
        <v>311</v>
      </c>
      <c r="I180" s="63" t="s">
        <v>139</v>
      </c>
      <c r="J180" s="49"/>
      <c r="K180" s="49"/>
      <c r="L180" s="49" t="str">
        <f ca="1">IFERROR(__xludf.DUMMYFUNCTION("QUERY('Volunteer Survey'!B187)"),"Kevin Colclough")</f>
        <v>Kevin Colclough</v>
      </c>
      <c r="M180" s="49" t="str">
        <f ca="1">IFERROR(__xludf.DUMMYFUNCTION("QUERY('Volunteer Survey'!E187)"),"kevin.colclough@nhs.net")</f>
        <v>kevin.colclough@nhs.net</v>
      </c>
      <c r="N180" s="49" t="str">
        <f ca="1">IFERROR(__xludf.DUMMYFUNCTION("QUERY('Volunteer Survey'!F187)"),"Clinical laboratory geneticist")</f>
        <v>Clinical laboratory geneticist</v>
      </c>
      <c r="O180" s="42" t="str">
        <f ca="1">IFERROR(__xludf.DUMMYFUNCTION("QUERY('Volunteer Survey'!H187)"),"Comprehensive")</f>
        <v>Comprehensive</v>
      </c>
      <c r="P180" s="49" t="str">
        <f ca="1">IFERROR(__xludf.DUMMYFUNCTION("QUERY('Volunteer Survey'!I187)"),"Variant Pathogenicity")</f>
        <v>Variant Pathogenicity</v>
      </c>
      <c r="Q180" s="54" t="str">
        <f ca="1">IFERROR(__xludf.DUMMYFUNCTION("QUERY('Volunteer Survey'!J187)"),"Gene-Disease Validity")</f>
        <v>Gene-Disease Validity</v>
      </c>
      <c r="R180" s="49" t="str">
        <f ca="1">IFERROR(__xludf.DUMMYFUNCTION("QUERY('Volunteer Survey'!K187)"),"Clinical Actionability")</f>
        <v>Clinical Actionability</v>
      </c>
      <c r="S180" s="49" t="str">
        <f ca="1">IFERROR(__xludf.DUMMYFUNCTION("QUERY('Volunteer Survey'!L187)"),"Dosage Sensitivity")</f>
        <v>Dosage Sensitivity</v>
      </c>
      <c r="T180" s="49" t="str">
        <f ca="1">IFERROR(__xludf.DUMMYFUNCTION("QUERY('Volunteer Survey'!M187)"),"Somatic Cancer")</f>
        <v>Somatic Cancer</v>
      </c>
      <c r="U180" s="58" t="str">
        <f ca="1">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49" t="str">
        <f ca="1">IFERROR(__xludf.DUMMYFUNCTION("QUERY('Volunteer Survey'!O187)"),"Yes")</f>
        <v>Yes</v>
      </c>
      <c r="W180" s="60" t="str">
        <f ca="1">IFERROR(__xludf.DUMMYFUNCTION("QUERY('Volunteer Survey'!P187)"),"I am a member of the variant curation and gene curation expert panels for monogenic diabetes.")</f>
        <v>I am a member of the variant curation and gene curation expert panels for monogenic diabetes.</v>
      </c>
      <c r="X180" s="58" t="str">
        <f ca="1">IFERROR(__xludf.DUMMYFUNCTION("QUERY('Volunteer Survey'!R187)"),"No - I am only interested in the group(s) I previously indicated")</f>
        <v>No - I am only interested in the group(s) I previously indicated</v>
      </c>
      <c r="Y180" s="45"/>
      <c r="Z180" s="49"/>
      <c r="AA180" s="49"/>
      <c r="AB180" s="49"/>
      <c r="AC180" s="49"/>
      <c r="AD180" s="49"/>
      <c r="AE180" s="49"/>
      <c r="AF180" s="49"/>
      <c r="AG180" s="49"/>
      <c r="AH180" s="49"/>
      <c r="AI180" s="49"/>
      <c r="AJ180" s="49"/>
      <c r="AK180" s="49"/>
      <c r="AL180" s="49"/>
      <c r="AM180" s="49"/>
      <c r="AN180" s="49"/>
      <c r="AO180" s="49"/>
    </row>
    <row r="181" spans="1:41" ht="14">
      <c r="A181" s="44">
        <f ca="1">IFERROR(__xludf.DUMMYFUNCTION("QUERY('Volunteer Survey'!A188)"),43588.5387376273)</f>
        <v>43588.538737627299</v>
      </c>
      <c r="B181" s="42" t="s">
        <v>108</v>
      </c>
      <c r="C181" s="73">
        <v>43705</v>
      </c>
      <c r="D181" s="49"/>
      <c r="E181" s="42"/>
      <c r="F181" s="42" t="s">
        <v>130</v>
      </c>
      <c r="G181" s="42" t="s">
        <v>136</v>
      </c>
      <c r="H181" s="47"/>
      <c r="I181" s="63" t="s">
        <v>139</v>
      </c>
      <c r="J181" s="49"/>
      <c r="K181" s="49"/>
      <c r="L181" s="49" t="str">
        <f ca="1">IFERROR(__xludf.DUMMYFUNCTION("QUERY('Volunteer Survey'!B188)"),"Erin Sybouts")</f>
        <v>Erin Sybouts</v>
      </c>
      <c r="M181" s="49" t="str">
        <f ca="1">IFERROR(__xludf.DUMMYFUNCTION("QUERY('Volunteer Survey'!E188)"),"sybouts@livemail.uthscsa.edu")</f>
        <v>sybouts@livemail.uthscsa.edu</v>
      </c>
      <c r="N181" s="49" t="str">
        <f ca="1">IFERROR(__xludf.DUMMYFUNCTION("QUERY('Volunteer Survey'!F188)"),"Graduate Student")</f>
        <v>Graduate Student</v>
      </c>
      <c r="O181" s="42" t="str">
        <f ca="1">IFERROR(__xludf.DUMMYFUNCTION("QUERY('Volunteer Survey'!H188)"),"Comprehensive")</f>
        <v>Comprehensive</v>
      </c>
      <c r="P181" s="49" t="str">
        <f ca="1">IFERROR(__xludf.DUMMYFUNCTION("QUERY('Volunteer Survey'!I188)"),"Somatic Cancer")</f>
        <v>Somatic Cancer</v>
      </c>
      <c r="Q181" s="54" t="str">
        <f ca="1">IFERROR(__xludf.DUMMYFUNCTION("QUERY('Volunteer Survey'!J188)"),"Dosage Sensitivity")</f>
        <v>Dosage Sensitivity</v>
      </c>
      <c r="R181" s="49" t="str">
        <f ca="1">IFERROR(__xludf.DUMMYFUNCTION("QUERY('Volunteer Survey'!K188)"),"Gene-Disease Validity")</f>
        <v>Gene-Disease Validity</v>
      </c>
      <c r="S181" s="49" t="str">
        <f ca="1">IFERROR(__xludf.DUMMYFUNCTION("QUERY('Volunteer Survey'!L188)"),"Variant Pathogenicity")</f>
        <v>Variant Pathogenicity</v>
      </c>
      <c r="T181" s="49" t="str">
        <f ca="1">IFERROR(__xludf.DUMMYFUNCTION("QUERY('Volunteer Survey'!M188)"),"Clinical Actionability")</f>
        <v>Clinical Actionability</v>
      </c>
      <c r="U181" s="58" t="str">
        <f ca="1">IFERROR(__xludf.DUMMYFUNCTION("QUERY('Volunteer Survey'!N188)"),"")</f>
        <v/>
      </c>
      <c r="V181" s="49" t="str">
        <f ca="1">IFERROR(__xludf.DUMMYFUNCTION("QUERY('Volunteer Survey'!O188)"),"Yes")</f>
        <v>Yes</v>
      </c>
      <c r="W181" s="60" t="str">
        <f ca="1">IFERROR(__xludf.DUMMYFUNCTION("QUERY('Volunteer Survey'!P188)"),"TP53")</f>
        <v>TP53</v>
      </c>
      <c r="X181" s="58" t="str">
        <f ca="1">IFERROR(__xludf.DUMMYFUNCTION("QUERY('Volunteer Survey'!R188)"),"Yes- I am willing to volunteer with any available ClinGen group")</f>
        <v>Yes- I am willing to volunteer with any available ClinGen group</v>
      </c>
      <c r="Y181" s="45"/>
      <c r="Z181" s="49"/>
      <c r="AA181" s="49"/>
      <c r="AB181" s="49"/>
      <c r="AC181" s="49"/>
      <c r="AD181" s="49"/>
      <c r="AE181" s="49"/>
      <c r="AF181" s="49"/>
      <c r="AG181" s="49"/>
      <c r="AH181" s="49"/>
      <c r="AI181" s="49"/>
      <c r="AJ181" s="49"/>
      <c r="AK181" s="49"/>
      <c r="AL181" s="49"/>
      <c r="AM181" s="49"/>
      <c r="AN181" s="49"/>
      <c r="AO181" s="49"/>
    </row>
    <row r="182" spans="1:41" ht="14">
      <c r="A182" s="44">
        <f ca="1">IFERROR(__xludf.DUMMYFUNCTION("QUERY('Volunteer Survey'!A189)"),43591.4424418055)</f>
        <v>43591.442441805499</v>
      </c>
      <c r="B182" s="42" t="s">
        <v>108</v>
      </c>
      <c r="C182" s="47"/>
      <c r="D182" s="49"/>
      <c r="E182" s="42"/>
      <c r="F182" s="42" t="s">
        <v>130</v>
      </c>
      <c r="G182" s="42" t="s">
        <v>202</v>
      </c>
      <c r="H182" s="47"/>
      <c r="I182" s="63" t="s">
        <v>139</v>
      </c>
      <c r="J182" s="49"/>
      <c r="K182" s="49"/>
      <c r="L182" s="49" t="str">
        <f ca="1">IFERROR(__xludf.DUMMYFUNCTION("QUERY('Volunteer Survey'!B189)"),"Jimena Murguia")</f>
        <v>Jimena Murguia</v>
      </c>
      <c r="M182" s="49" t="str">
        <f ca="1">IFERROR(__xludf.DUMMYFUNCTION("QUERY('Volunteer Survey'!E189)"),"jimena887@yahoo.es")</f>
        <v>jimena887@yahoo.es</v>
      </c>
      <c r="N182" s="49" t="str">
        <f ca="1">IFERROR(__xludf.DUMMYFUNCTION("QUERY('Volunteer Survey'!F189)"),"Clinical laboratory geneticist")</f>
        <v>Clinical laboratory geneticist</v>
      </c>
      <c r="O182" s="42" t="str">
        <f ca="1">IFERROR(__xludf.DUMMYFUNCTION("QUERY('Volunteer Survey'!H189)"),"Baseline")</f>
        <v>Baseline</v>
      </c>
      <c r="P182" s="49" t="str">
        <f ca="1">IFERROR(__xludf.DUMMYFUNCTION("QUERY('Volunteer Survey'!I189)"),"Variant Pathogenicity")</f>
        <v>Variant Pathogenicity</v>
      </c>
      <c r="Q182" s="54" t="str">
        <f ca="1">IFERROR(__xludf.DUMMYFUNCTION("QUERY('Volunteer Survey'!J189)"),"Clinical Actionability")</f>
        <v>Clinical Actionability</v>
      </c>
      <c r="R182" s="49" t="str">
        <f ca="1">IFERROR(__xludf.DUMMYFUNCTION("QUERY('Volunteer Survey'!K189)"),"Gene-Disease Validity")</f>
        <v>Gene-Disease Validity</v>
      </c>
      <c r="S182" s="49" t="str">
        <f ca="1">IFERROR(__xludf.DUMMYFUNCTION("QUERY('Volunteer Survey'!L189)"),"Dosage Sensitivity")</f>
        <v>Dosage Sensitivity</v>
      </c>
      <c r="T182" s="49" t="str">
        <f ca="1">IFERROR(__xludf.DUMMYFUNCTION("QUERY('Volunteer Survey'!M189)"),"Somatic Cancer")</f>
        <v>Somatic Cancer</v>
      </c>
      <c r="U182" s="58" t="str">
        <f ca="1">IFERROR(__xludf.DUMMYFUNCTION("QUERY('Volunteer Survey'!N189)"),"")</f>
        <v/>
      </c>
      <c r="V182" s="49" t="str">
        <f ca="1">IFERROR(__xludf.DUMMYFUNCTION("QUERY('Volunteer Survey'!O189)"),"Possibly")</f>
        <v>Possibly</v>
      </c>
      <c r="W182" s="60" t="str">
        <f ca="1">IFERROR(__xludf.DUMMYFUNCTION("QUERY('Volunteer Survey'!P189)"),"")</f>
        <v/>
      </c>
      <c r="X182" s="58" t="str">
        <f ca="1">IFERROR(__xludf.DUMMYFUNCTION("QUERY('Volunteer Survey'!R189)"),"Yes- I am willing to volunteer with any available ClinGen group")</f>
        <v>Yes- I am willing to volunteer with any available ClinGen group</v>
      </c>
      <c r="Y182" s="45"/>
      <c r="Z182" s="49"/>
      <c r="AA182" s="49"/>
      <c r="AB182" s="49"/>
      <c r="AC182" s="49"/>
      <c r="AD182" s="49"/>
      <c r="AE182" s="49"/>
      <c r="AF182" s="49"/>
      <c r="AG182" s="49"/>
      <c r="AH182" s="49"/>
      <c r="AI182" s="49"/>
      <c r="AJ182" s="49"/>
      <c r="AK182" s="49"/>
      <c r="AL182" s="49"/>
      <c r="AM182" s="49"/>
      <c r="AN182" s="49"/>
      <c r="AO182" s="49"/>
    </row>
    <row r="183" spans="1:41" ht="14">
      <c r="A183" s="44">
        <f ca="1">IFERROR(__xludf.DUMMYFUNCTION("QUERY('Volunteer Survey'!A190)"),43591.6908037847)</f>
        <v>43591.690803784702</v>
      </c>
      <c r="B183" s="42" t="s">
        <v>108</v>
      </c>
      <c r="C183" s="47"/>
      <c r="D183" s="49"/>
      <c r="E183" s="42"/>
      <c r="F183" s="42" t="s">
        <v>130</v>
      </c>
      <c r="G183" s="42" t="s">
        <v>202</v>
      </c>
      <c r="H183" s="47"/>
      <c r="I183" s="63" t="s">
        <v>139</v>
      </c>
      <c r="J183" s="49"/>
      <c r="K183" s="49"/>
      <c r="L183" s="49" t="str">
        <f ca="1">IFERROR(__xludf.DUMMYFUNCTION("QUERY('Volunteer Survey'!B190)"),"Robert Lewis")</f>
        <v>Robert Lewis</v>
      </c>
      <c r="M183" s="49" t="str">
        <f ca="1">IFERROR(__xludf.DUMMYFUNCTION("QUERY('Volunteer Survey'!E190)"),"rglewis@uci.edu")</f>
        <v>rglewis@uci.edu</v>
      </c>
      <c r="N183" s="49" t="str">
        <f ca="1">IFERROR(__xludf.DUMMYFUNCTION("QUERY('Volunteer Survey'!F190)"),"Graduate Student")</f>
        <v>Graduate Student</v>
      </c>
      <c r="O183" s="42" t="str">
        <f ca="1">IFERROR(__xludf.DUMMYFUNCTION("QUERY('Volunteer Survey'!H190)"),"Baseline")</f>
        <v>Baseline</v>
      </c>
      <c r="P183" s="49" t="str">
        <f ca="1">IFERROR(__xludf.DUMMYFUNCTION("QUERY('Volunteer Survey'!I190)"),"Gene-Disease Validity")</f>
        <v>Gene-Disease Validity</v>
      </c>
      <c r="Q183" s="54" t="str">
        <f ca="1">IFERROR(__xludf.DUMMYFUNCTION("QUERY('Volunteer Survey'!J190)"),"Variant Pathogenicity")</f>
        <v>Variant Pathogenicity</v>
      </c>
      <c r="R183" s="49" t="str">
        <f ca="1">IFERROR(__xludf.DUMMYFUNCTION("QUERY('Volunteer Survey'!K190)"),"Clinical Actionability")</f>
        <v>Clinical Actionability</v>
      </c>
      <c r="S183" s="49" t="str">
        <f ca="1">IFERROR(__xludf.DUMMYFUNCTION("QUERY('Volunteer Survey'!L190)"),"Dosage Sensitivity")</f>
        <v>Dosage Sensitivity</v>
      </c>
      <c r="T183" s="49" t="str">
        <f ca="1">IFERROR(__xludf.DUMMYFUNCTION("QUERY('Volunteer Survey'!M190)"),"Somatic Cancer")</f>
        <v>Somatic Cancer</v>
      </c>
      <c r="U183" s="58" t="str">
        <f ca="1">IFERROR(__xludf.DUMMYFUNCTION("QUERY('Volunteer Survey'!N190)"),"")</f>
        <v/>
      </c>
      <c r="V183" s="49" t="str">
        <f ca="1">IFERROR(__xludf.DUMMYFUNCTION("QUERY('Volunteer Survey'!O190)"),"Possibly")</f>
        <v>Possibly</v>
      </c>
      <c r="W183" s="60" t="str">
        <f ca="1">IFERROR(__xludf.DUMMYFUNCTION("QUERY('Volunteer Survey'!P190)"),"Neurodevelopmental")</f>
        <v>Neurodevelopmental</v>
      </c>
      <c r="X183" s="58" t="str">
        <f ca="1">IFERROR(__xludf.DUMMYFUNCTION("QUERY('Volunteer Survey'!R190)"),"Maybe -- please contact me with other options, and I will decide based on what is available")</f>
        <v>Maybe -- please contact me with other options, and I will decide based on what is available</v>
      </c>
      <c r="Y183" s="47"/>
      <c r="Z183" s="49"/>
      <c r="AA183" s="49"/>
      <c r="AB183" s="49"/>
      <c r="AC183" s="49"/>
      <c r="AD183" s="49"/>
      <c r="AE183" s="49"/>
      <c r="AF183" s="49"/>
      <c r="AG183" s="49"/>
      <c r="AH183" s="49"/>
      <c r="AI183" s="49"/>
      <c r="AJ183" s="49"/>
      <c r="AK183" s="49"/>
      <c r="AL183" s="49"/>
      <c r="AM183" s="49"/>
      <c r="AN183" s="49"/>
      <c r="AO183" s="49"/>
    </row>
    <row r="184" spans="1:41" ht="14">
      <c r="A184" s="44">
        <f ca="1">IFERROR(__xludf.DUMMYFUNCTION("QUERY('Volunteer Survey'!A191)"),43592.7399613541)</f>
        <v>43592.739961354098</v>
      </c>
      <c r="B184" s="42" t="s">
        <v>108</v>
      </c>
      <c r="C184" s="47"/>
      <c r="D184" s="59">
        <v>43692</v>
      </c>
      <c r="E184" s="42" t="s">
        <v>117</v>
      </c>
      <c r="F184" s="42" t="s">
        <v>117</v>
      </c>
      <c r="G184" s="42" t="s">
        <v>122</v>
      </c>
      <c r="H184" s="47"/>
      <c r="I184" s="63" t="s">
        <v>139</v>
      </c>
      <c r="J184" s="49"/>
      <c r="K184" s="49"/>
      <c r="L184" s="49" t="str">
        <f ca="1">IFERROR(__xludf.DUMMYFUNCTION("QUERY('Volunteer Survey'!B191)"),"FEN GUO")</f>
        <v>FEN GUO</v>
      </c>
      <c r="M184" s="49" t="str">
        <f ca="1">IFERROR(__xludf.DUMMYFUNCTION("QUERY('Volunteer Survey'!E191)"),"fguo34@wisc.edu")</f>
        <v>fguo34@wisc.edu</v>
      </c>
      <c r="N184" s="49" t="str">
        <f ca="1">IFERROR(__xludf.DUMMYFUNCTION("QUERY('Volunteer Survey'!F191)"),"Post Doc/Resident/Fellow (MD and/or PhD)")</f>
        <v>Post Doc/Resident/Fellow (MD and/or PhD)</v>
      </c>
      <c r="O184" s="42" t="str">
        <f ca="1">IFERROR(__xludf.DUMMYFUNCTION("QUERY('Volunteer Survey'!H191)"),"Comprehensive")</f>
        <v>Comprehensive</v>
      </c>
      <c r="P184" s="49" t="str">
        <f ca="1">IFERROR(__xludf.DUMMYFUNCTION("QUERY('Volunteer Survey'!I191)"),"Gene-Disease Validity")</f>
        <v>Gene-Disease Validity</v>
      </c>
      <c r="Q184" s="54" t="str">
        <f ca="1">IFERROR(__xludf.DUMMYFUNCTION("QUERY('Volunteer Survey'!J191)"),"Variant Pathogenicity")</f>
        <v>Variant Pathogenicity</v>
      </c>
      <c r="R184" s="49" t="str">
        <f ca="1">IFERROR(__xludf.DUMMYFUNCTION("QUERY('Volunteer Survey'!K191)"),"Somatic Cancer")</f>
        <v>Somatic Cancer</v>
      </c>
      <c r="S184" s="49" t="str">
        <f ca="1">IFERROR(__xludf.DUMMYFUNCTION("QUERY('Volunteer Survey'!L191)"),"Clinical Actionability")</f>
        <v>Clinical Actionability</v>
      </c>
      <c r="T184" s="49" t="str">
        <f ca="1">IFERROR(__xludf.DUMMYFUNCTION("QUERY('Volunteer Survey'!M191)"),"Dosage Sensitivity")</f>
        <v>Dosage Sensitivity</v>
      </c>
      <c r="U184" s="58" t="str">
        <f ca="1">IFERROR(__xludf.DUMMYFUNCTION("QUERY('Volunteer Survey'!N191)"),"No")</f>
        <v>No</v>
      </c>
      <c r="V184" s="49" t="str">
        <f ca="1">IFERROR(__xludf.DUMMYFUNCTION("QUERY('Volunteer Survey'!O191)"),"Possibly")</f>
        <v>Possibly</v>
      </c>
      <c r="W184" s="60" t="str">
        <f ca="1">IFERROR(__xludf.DUMMYFUNCTION("QUERY('Volunteer Survey'!P191)"),"Gene Curation Expert Panels-Hereditary Cancer")</f>
        <v>Gene Curation Expert Panels-Hereditary Cancer</v>
      </c>
      <c r="X184" s="58" t="str">
        <f ca="1">IFERROR(__xludf.DUMMYFUNCTION("QUERY('Volunteer Survey'!R191)"),"Yes- I am willing to volunteer with any available ClinGen group")</f>
        <v>Yes- I am willing to volunteer with any available ClinGen group</v>
      </c>
      <c r="Y184" s="47"/>
      <c r="Z184" s="49"/>
      <c r="AA184" s="49"/>
      <c r="AB184" s="49"/>
      <c r="AC184" s="49"/>
      <c r="AD184" s="49"/>
      <c r="AE184" s="49"/>
      <c r="AF184" s="49"/>
      <c r="AG184" s="49"/>
      <c r="AH184" s="49"/>
      <c r="AI184" s="49"/>
      <c r="AJ184" s="49"/>
      <c r="AK184" s="49"/>
      <c r="AL184" s="49"/>
      <c r="AM184" s="49"/>
      <c r="AN184" s="49"/>
      <c r="AO184" s="49"/>
    </row>
    <row r="185" spans="1:41" ht="14">
      <c r="A185" s="44">
        <f ca="1">IFERROR(__xludf.DUMMYFUNCTION("QUERY('Volunteer Survey'!A192)"),43592.8875499652)</f>
        <v>43592.887549965199</v>
      </c>
      <c r="B185" s="42" t="s">
        <v>108</v>
      </c>
      <c r="C185" s="73">
        <v>43819</v>
      </c>
      <c r="D185" s="49"/>
      <c r="E185" s="42"/>
      <c r="F185" s="42" t="s">
        <v>130</v>
      </c>
      <c r="G185" s="42" t="s">
        <v>122</v>
      </c>
      <c r="H185" s="47"/>
      <c r="I185" s="63" t="s">
        <v>139</v>
      </c>
      <c r="J185" s="49"/>
      <c r="K185" s="49"/>
      <c r="L185" s="49" t="str">
        <f ca="1">IFERROR(__xludf.DUMMYFUNCTION("QUERY('Volunteer Survey'!B192)"),"Elizabeth Palmer")</f>
        <v>Elizabeth Palmer</v>
      </c>
      <c r="M185" s="49" t="str">
        <f ca="1">IFERROR(__xludf.DUMMYFUNCTION("QUERY('Volunteer Survey'!E192)"),"elizabeth.palmer1@health.nsw.gov.au")</f>
        <v>elizabeth.palmer1@health.nsw.gov.au</v>
      </c>
      <c r="N185" s="49" t="str">
        <f ca="1">IFERROR(__xludf.DUMMYFUNCTION("QUERY('Volunteer Survey'!F192)"),"Clinical Medical Geneticist")</f>
        <v>Clinical Medical Geneticist</v>
      </c>
      <c r="O185" s="42" t="str">
        <f ca="1">IFERROR(__xludf.DUMMYFUNCTION("QUERY('Volunteer Survey'!H192)"),"Comprehensive")</f>
        <v>Comprehensive</v>
      </c>
      <c r="P185" s="49" t="str">
        <f ca="1">IFERROR(__xludf.DUMMYFUNCTION("QUERY('Volunteer Survey'!I192)"),"Gene-Disease Validity")</f>
        <v>Gene-Disease Validity</v>
      </c>
      <c r="Q185" s="54" t="str">
        <f ca="1">IFERROR(__xludf.DUMMYFUNCTION("QUERY('Volunteer Survey'!J192)"),"Variant Pathogenicity")</f>
        <v>Variant Pathogenicity</v>
      </c>
      <c r="R185" s="49" t="str">
        <f ca="1">IFERROR(__xludf.DUMMYFUNCTION("QUERY('Volunteer Survey'!K192)"),"")</f>
        <v/>
      </c>
      <c r="S185" s="49" t="str">
        <f ca="1">IFERROR(__xludf.DUMMYFUNCTION("QUERY('Volunteer Survey'!L192)"),"")</f>
        <v/>
      </c>
      <c r="T185" s="49" t="str">
        <f ca="1">IFERROR(__xludf.DUMMYFUNCTION("QUERY('Volunteer Survey'!M192)"),"")</f>
        <v/>
      </c>
      <c r="U185" s="58" t="str">
        <f ca="1">IFERROR(__xludf.DUMMYFUNCTION("QUERY('Volunteer Survey'!N192)"),"member of AUSTRALIAN FUNCTIONAL GENOMICS CLINICAL REVIEW PANEL. Variant curation as part of my PhD and clinical research practice. ")</f>
        <v xml:space="preserve">member of AUSTRALIAN FUNCTIONAL GENOMICS CLINICAL REVIEW PANEL. Variant curation as part of my PhD and clinical research practice. </v>
      </c>
      <c r="V185" s="49" t="str">
        <f ca="1">IFERROR(__xludf.DUMMYFUNCTION("QUERY('Volunteer Survey'!O192)"),"No")</f>
        <v>No</v>
      </c>
      <c r="W185" s="60" t="str">
        <f ca="1">IFERROR(__xludf.DUMMYFUNCTION("QUERY('Volunteer Survey'!P192)"),"epilepsy / ID and autism")</f>
        <v>epilepsy / ID and autism</v>
      </c>
      <c r="X185" s="58" t="str">
        <f ca="1">IFERROR(__xludf.DUMMYFUNCTION("QUERY('Volunteer Survey'!R192)"),"Maybe -- please contact me with other options, and I will decide based on what is available")</f>
        <v>Maybe -- please contact me with other options, and I will decide based on what is available</v>
      </c>
      <c r="Y185" s="47"/>
      <c r="Z185" s="49"/>
      <c r="AA185" s="49"/>
      <c r="AB185" s="49"/>
      <c r="AC185" s="49"/>
      <c r="AD185" s="49"/>
      <c r="AE185" s="49"/>
      <c r="AF185" s="49"/>
      <c r="AG185" s="49"/>
      <c r="AH185" s="49"/>
      <c r="AI185" s="49"/>
      <c r="AJ185" s="49"/>
      <c r="AK185" s="49"/>
      <c r="AL185" s="49"/>
      <c r="AM185" s="49"/>
      <c r="AN185" s="49"/>
      <c r="AO185" s="49"/>
    </row>
    <row r="186" spans="1:41" ht="14">
      <c r="A186" s="44">
        <f ca="1">IFERROR(__xludf.DUMMYFUNCTION("QUERY('Volunteer Survey'!A193)"),43593.2041097222)</f>
        <v>43593.204109722203</v>
      </c>
      <c r="B186" s="42" t="s">
        <v>108</v>
      </c>
      <c r="C186" s="47"/>
      <c r="D186" s="49"/>
      <c r="E186" s="42"/>
      <c r="F186" s="42" t="s">
        <v>130</v>
      </c>
      <c r="G186" s="42" t="s">
        <v>202</v>
      </c>
      <c r="H186" s="47"/>
      <c r="I186" s="63" t="s">
        <v>139</v>
      </c>
      <c r="J186" s="49"/>
      <c r="K186" s="49"/>
      <c r="L186" s="49" t="str">
        <f ca="1">IFERROR(__xludf.DUMMYFUNCTION("QUERY('Volunteer Survey'!B193)"),"Vira Lamtieva")</f>
        <v>Vira Lamtieva</v>
      </c>
      <c r="M186" s="49" t="str">
        <f ca="1">IFERROR(__xludf.DUMMYFUNCTION("QUERY('Volunteer Survey'!E193)"),"lamteva.vera@gmail.com")</f>
        <v>lamteva.vera@gmail.com</v>
      </c>
      <c r="N186" s="49" t="str">
        <f ca="1">IFERROR(__xludf.DUMMYFUNCTION("QUERY('Volunteer Survey'!F193)"),"Clinical laboratory geneticist")</f>
        <v>Clinical laboratory geneticist</v>
      </c>
      <c r="O186" s="42" t="str">
        <f ca="1">IFERROR(__xludf.DUMMYFUNCTION("QUERY('Volunteer Survey'!H193)"),"Baseline")</f>
        <v>Baseline</v>
      </c>
      <c r="P186" s="49" t="str">
        <f ca="1">IFERROR(__xludf.DUMMYFUNCTION("QUERY('Volunteer Survey'!I193)"),"Variant Pathogenicity")</f>
        <v>Variant Pathogenicity</v>
      </c>
      <c r="Q186" s="54" t="str">
        <f ca="1">IFERROR(__xludf.DUMMYFUNCTION("QUERY('Volunteer Survey'!J193)"),"Gene-Disease Validity")</f>
        <v>Gene-Disease Validity</v>
      </c>
      <c r="R186" s="49" t="str">
        <f ca="1">IFERROR(__xludf.DUMMYFUNCTION("QUERY('Volunteer Survey'!K193)"),"")</f>
        <v/>
      </c>
      <c r="S186" s="49" t="str">
        <f ca="1">IFERROR(__xludf.DUMMYFUNCTION("QUERY('Volunteer Survey'!L193)"),"")</f>
        <v/>
      </c>
      <c r="T186" s="49" t="str">
        <f ca="1">IFERROR(__xludf.DUMMYFUNCTION("QUERY('Volunteer Survey'!M193)"),"")</f>
        <v/>
      </c>
      <c r="U186" s="58" t="str">
        <f ca="1">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 xml:space="preserve">I don't have curation experience but I have been learning variant analysis and interpretation since 2016. Our lab has been offering WES interpretation for some time, and it is currently my working responsibility. Yet I have analysed up to 10 cases so far. </v>
      </c>
      <c r="V186" s="49" t="str">
        <f ca="1">IFERROR(__xludf.DUMMYFUNCTION("QUERY('Volunteer Survey'!O193)"),"Possibly")</f>
        <v>Possibly</v>
      </c>
      <c r="W186" s="60" t="str">
        <f ca="1">IFERROR(__xludf.DUMMYFUNCTION("QUERY('Volunteer Survey'!P193)"),"Brain malformations, Lysosomal storage diseases, Mitochondrial diseases, Intellectual Disability/Autism")</f>
        <v>Brain malformations, Lysosomal storage diseases, Mitochondrial diseases, Intellectual Disability/Autism</v>
      </c>
      <c r="X186" s="58" t="str">
        <f ca="1">IFERROR(__xludf.DUMMYFUNCTION("QUERY('Volunteer Survey'!R193)"),"Maybe -- please contact me with other options, and I will decide based on what is available")</f>
        <v>Maybe -- please contact me with other options, and I will decide based on what is available</v>
      </c>
      <c r="Y186" s="47"/>
      <c r="Z186" s="49"/>
      <c r="AA186" s="49"/>
      <c r="AB186" s="49"/>
      <c r="AC186" s="49"/>
      <c r="AD186" s="49"/>
      <c r="AE186" s="49"/>
      <c r="AF186" s="49"/>
      <c r="AG186" s="49"/>
      <c r="AH186" s="49"/>
      <c r="AI186" s="49"/>
      <c r="AJ186" s="49"/>
      <c r="AK186" s="49"/>
      <c r="AL186" s="49"/>
      <c r="AM186" s="49"/>
      <c r="AN186" s="49"/>
      <c r="AO186" s="49"/>
    </row>
    <row r="187" spans="1:41" ht="14">
      <c r="A187" s="44">
        <f ca="1">IFERROR(__xludf.DUMMYFUNCTION("QUERY('Volunteer Survey'!A194)"),43593.5664947222)</f>
        <v>43593.566494722203</v>
      </c>
      <c r="B187" s="42" t="s">
        <v>168</v>
      </c>
      <c r="C187" s="47"/>
      <c r="D187" s="50">
        <v>43476</v>
      </c>
      <c r="E187" s="42" t="s">
        <v>117</v>
      </c>
      <c r="F187" s="42" t="s">
        <v>130</v>
      </c>
      <c r="G187" s="42" t="s">
        <v>136</v>
      </c>
      <c r="H187" s="47"/>
      <c r="I187" s="45" t="s">
        <v>139</v>
      </c>
      <c r="J187" s="50">
        <v>43593</v>
      </c>
      <c r="K187" s="50">
        <v>43713</v>
      </c>
      <c r="L187" s="49" t="str">
        <f ca="1">IFERROR(__xludf.DUMMYFUNCTION("QUERY('Volunteer Survey'!B194)"),"Lisa Dyer")</f>
        <v>Lisa Dyer</v>
      </c>
      <c r="M187" s="49" t="str">
        <f ca="1">IFERROR(__xludf.DUMMYFUNCTION("QUERY('Volunteer Survey'!E194)"),"Lisa.Dyer@cchmc.org")</f>
        <v>Lisa.Dyer@cchmc.org</v>
      </c>
      <c r="N187" s="49" t="str">
        <f ca="1">IFERROR(__xludf.DUMMYFUNCTION("QUERY('Volunteer Survey'!F194)"),"NA")</f>
        <v>NA</v>
      </c>
      <c r="O187" s="42" t="str">
        <f ca="1">IFERROR(__xludf.DUMMYFUNCTION("QUERY('Volunteer Survey'!H194)"),"Comprehensive")</f>
        <v>Comprehensive</v>
      </c>
      <c r="P187" s="49" t="str">
        <f ca="1">IFERROR(__xludf.DUMMYFUNCTION("QUERY('Volunteer Survey'!I194)"),"Somatic Cancer")</f>
        <v>Somatic Cancer</v>
      </c>
      <c r="Q187" s="54" t="str">
        <f ca="1">IFERROR(__xludf.DUMMYFUNCTION("QUERY('Volunteer Survey'!J194)"),"")</f>
        <v/>
      </c>
      <c r="R187" s="49" t="str">
        <f ca="1">IFERROR(__xludf.DUMMYFUNCTION("QUERY('Volunteer Survey'!K194)"),"")</f>
        <v/>
      </c>
      <c r="S187" s="49" t="str">
        <f ca="1">IFERROR(__xludf.DUMMYFUNCTION("QUERY('Volunteer Survey'!L194)"),"")</f>
        <v/>
      </c>
      <c r="T187" s="49" t="str">
        <f ca="1">IFERROR(__xludf.DUMMYFUNCTION("QUERY('Volunteer Survey'!M194)"),"")</f>
        <v/>
      </c>
      <c r="U187" s="58" t="str">
        <f ca="1">IFERROR(__xludf.DUMMYFUNCTION("QUERY('Volunteer Survey'!N194)"),"")</f>
        <v/>
      </c>
      <c r="V187" s="49" t="str">
        <f ca="1">IFERROR(__xludf.DUMMYFUNCTION("QUERY('Volunteer Survey'!O194)"),"")</f>
        <v/>
      </c>
      <c r="W187" s="60" t="str">
        <f ca="1">IFERROR(__xludf.DUMMYFUNCTION("QUERY('Volunteer Survey'!P194)"),"")</f>
        <v/>
      </c>
      <c r="X187" s="58" t="str">
        <f ca="1">IFERROR(__xludf.DUMMYFUNCTION("QUERY('Volunteer Survey'!R194)"),"")</f>
        <v/>
      </c>
      <c r="Y187" s="86" t="s">
        <v>328</v>
      </c>
      <c r="Z187" s="49"/>
      <c r="AA187" s="49"/>
      <c r="AB187" s="49"/>
      <c r="AC187" s="49"/>
      <c r="AD187" s="49"/>
      <c r="AE187" s="49"/>
      <c r="AF187" s="49"/>
      <c r="AG187" s="49"/>
      <c r="AH187" s="49"/>
      <c r="AI187" s="49"/>
      <c r="AJ187" s="49"/>
      <c r="AK187" s="49"/>
      <c r="AL187" s="49"/>
      <c r="AM187" s="49"/>
      <c r="AN187" s="49"/>
      <c r="AO187" s="49"/>
    </row>
    <row r="188" spans="1:41" ht="14">
      <c r="A188" s="44">
        <f ca="1">IFERROR(__xludf.DUMMYFUNCTION("QUERY('Volunteer Survey'!A195)"),43593.7361865393)</f>
        <v>43593.736186539303</v>
      </c>
      <c r="B188" s="42" t="s">
        <v>108</v>
      </c>
      <c r="C188" s="73">
        <v>43819</v>
      </c>
      <c r="D188" s="49"/>
      <c r="E188" s="42"/>
      <c r="F188" s="42" t="s">
        <v>130</v>
      </c>
      <c r="G188" s="42" t="s">
        <v>122</v>
      </c>
      <c r="H188" s="47"/>
      <c r="I188" s="45" t="s">
        <v>139</v>
      </c>
      <c r="J188" s="50"/>
      <c r="K188" s="50"/>
      <c r="L188" s="49" t="str">
        <f ca="1">IFERROR(__xludf.DUMMYFUNCTION("QUERY('Volunteer Survey'!B195)"),"Andrea Hallberg")</f>
        <v>Andrea Hallberg</v>
      </c>
      <c r="M188" s="49" t="str">
        <f ca="1">IFERROR(__xludf.DUMMYFUNCTION("QUERY('Volunteer Survey'!E195)"),"hallberg.andrea@gmail.com")</f>
        <v>hallberg.andrea@gmail.com</v>
      </c>
      <c r="N188" s="49" t="str">
        <f ca="1">IFERROR(__xludf.DUMMYFUNCTION("QUERY('Volunteer Survey'!F195)"),"Post Doc/Resident/Fellow (MD and/or PhD)")</f>
        <v>Post Doc/Resident/Fellow (MD and/or PhD)</v>
      </c>
      <c r="O188" s="42" t="str">
        <f ca="1">IFERROR(__xludf.DUMMYFUNCTION("QUERY('Volunteer Survey'!H195)"),"Comprehensive")</f>
        <v>Comprehensive</v>
      </c>
      <c r="P188" s="49" t="str">
        <f ca="1">IFERROR(__xludf.DUMMYFUNCTION("QUERY('Volunteer Survey'!I195)"),"Gene-Disease Validity")</f>
        <v>Gene-Disease Validity</v>
      </c>
      <c r="Q188" s="54" t="str">
        <f ca="1">IFERROR(__xludf.DUMMYFUNCTION("QUERY('Volunteer Survey'!J195)"),"Variant Pathogenicity")</f>
        <v>Variant Pathogenicity</v>
      </c>
      <c r="R188" s="49" t="str">
        <f ca="1">IFERROR(__xludf.DUMMYFUNCTION("QUERY('Volunteer Survey'!K195)"),"Dosage Sensitivity")</f>
        <v>Dosage Sensitivity</v>
      </c>
      <c r="S188" s="49" t="str">
        <f ca="1">IFERROR(__xludf.DUMMYFUNCTION("QUERY('Volunteer Survey'!L195)"),"Clinical Actionability")</f>
        <v>Clinical Actionability</v>
      </c>
      <c r="T188" s="49" t="str">
        <f ca="1">IFERROR(__xludf.DUMMYFUNCTION("QUERY('Volunteer Survey'!M195)"),"Somatic Cancer")</f>
        <v>Somatic Cancer</v>
      </c>
      <c r="U188" s="58" t="str">
        <f ca="1">IFERROR(__xludf.DUMMYFUNCTION("QUERY('Volunteer Survey'!N195)"),"No ")</f>
        <v xml:space="preserve">No </v>
      </c>
      <c r="V188" s="49" t="str">
        <f ca="1">IFERROR(__xludf.DUMMYFUNCTION("QUERY('Volunteer Survey'!O195)"),"Possibly")</f>
        <v>Possibly</v>
      </c>
      <c r="W188" s="60" t="str">
        <f ca="1">IFERROR(__xludf.DUMMYFUNCTION("QUERY('Volunteer Survey'!P195)"),"")</f>
        <v/>
      </c>
      <c r="X188" s="58" t="str">
        <f ca="1">IFERROR(__xludf.DUMMYFUNCTION("QUERY('Volunteer Survey'!R195)"),"Yes- I am willing to volunteer with any available ClinGen group")</f>
        <v>Yes- I am willing to volunteer with any available ClinGen group</v>
      </c>
      <c r="Y188" s="47"/>
      <c r="Z188" s="49"/>
      <c r="AA188" s="49"/>
      <c r="AB188" s="49"/>
      <c r="AC188" s="49"/>
      <c r="AD188" s="49"/>
      <c r="AE188" s="49"/>
      <c r="AF188" s="49"/>
      <c r="AG188" s="49"/>
      <c r="AH188" s="49"/>
      <c r="AI188" s="49"/>
      <c r="AJ188" s="49"/>
      <c r="AK188" s="49"/>
      <c r="AL188" s="49"/>
      <c r="AM188" s="49"/>
      <c r="AN188" s="49"/>
      <c r="AO188" s="49"/>
    </row>
    <row r="189" spans="1:41" ht="14">
      <c r="A189" s="44">
        <f ca="1">IFERROR(__xludf.DUMMYFUNCTION("QUERY('Volunteer Survey'!A196)"),43595.3744584606)</f>
        <v>43595.374458460603</v>
      </c>
      <c r="B189" s="42" t="s">
        <v>108</v>
      </c>
      <c r="C189" s="47"/>
      <c r="D189" s="49"/>
      <c r="E189" s="42"/>
      <c r="F189" s="42" t="s">
        <v>130</v>
      </c>
      <c r="G189" s="42" t="s">
        <v>202</v>
      </c>
      <c r="H189" s="47"/>
      <c r="I189" s="45" t="s">
        <v>139</v>
      </c>
      <c r="J189" s="49"/>
      <c r="K189" s="49"/>
      <c r="L189" s="49" t="str">
        <f ca="1">IFERROR(__xludf.DUMMYFUNCTION("QUERY('Volunteer Survey'!B196)"),"Bianca Tesi")</f>
        <v>Bianca Tesi</v>
      </c>
      <c r="M189" s="49" t="str">
        <f ca="1">IFERROR(__xludf.DUMMYFUNCTION("QUERY('Volunteer Survey'!E196)"),"bianca.tesi@sll.se")</f>
        <v>bianca.tesi@sll.se</v>
      </c>
      <c r="N189" s="49" t="str">
        <f ca="1">IFERROR(__xludf.DUMMYFUNCTION("QUERY('Volunteer Survey'!F196)"),"Post Doc/Resident/Fellow (MD and/or PhD)")</f>
        <v>Post Doc/Resident/Fellow (MD and/or PhD)</v>
      </c>
      <c r="O189" s="42" t="str">
        <f ca="1">IFERROR(__xludf.DUMMYFUNCTION("QUERY('Volunteer Survey'!H196)"),"Baseline")</f>
        <v>Baseline</v>
      </c>
      <c r="P189" s="49" t="str">
        <f ca="1">IFERROR(__xludf.DUMMYFUNCTION("QUERY('Volunteer Survey'!I196)"),"Clinical Actionability")</f>
        <v>Clinical Actionability</v>
      </c>
      <c r="Q189" s="54" t="str">
        <f ca="1">IFERROR(__xludf.DUMMYFUNCTION("QUERY('Volunteer Survey'!J196)"),"Gene-Disease Validity")</f>
        <v>Gene-Disease Validity</v>
      </c>
      <c r="R189" s="49" t="str">
        <f ca="1">IFERROR(__xludf.DUMMYFUNCTION("QUERY('Volunteer Survey'!K196)"),"Variant Pathogenicity")</f>
        <v>Variant Pathogenicity</v>
      </c>
      <c r="S189" s="49" t="str">
        <f ca="1">IFERROR(__xludf.DUMMYFUNCTION("QUERY('Volunteer Survey'!L196)"),"Somatic Cancer")</f>
        <v>Somatic Cancer</v>
      </c>
      <c r="T189" s="49" t="str">
        <f ca="1">IFERROR(__xludf.DUMMYFUNCTION("QUERY('Volunteer Survey'!M196)"),"Dosage Sensitivity")</f>
        <v>Dosage Sensitivity</v>
      </c>
      <c r="U189" s="58" t="str">
        <f ca="1">IFERROR(__xludf.DUMMYFUNCTION("QUERY('Volunteer Survey'!N196)"),"Experienced with reading literature, evaluating results in the clinical setting.")</f>
        <v>Experienced with reading literature, evaluating results in the clinical setting.</v>
      </c>
      <c r="V189" s="49" t="str">
        <f ca="1">IFERROR(__xludf.DUMMYFUNCTION("QUERY('Volunteer Survey'!O196)"),"Possibly")</f>
        <v>Possibly</v>
      </c>
      <c r="W189" s="60" t="str">
        <f ca="1">IFERROR(__xludf.DUMMYFUNCTION("QUERY('Volunteer Survey'!P196)"),"myeloid neoplasm, hereditary cancer")</f>
        <v>myeloid neoplasm, hereditary cancer</v>
      </c>
      <c r="X189" s="58" t="str">
        <f ca="1">IFERROR(__xludf.DUMMYFUNCTION("QUERY('Volunteer Survey'!R196)"),"Yes- I am willing to volunteer with any available ClinGen group")</f>
        <v>Yes- I am willing to volunteer with any available ClinGen group</v>
      </c>
      <c r="Y189" s="47"/>
      <c r="Z189" s="49"/>
      <c r="AA189" s="49"/>
      <c r="AB189" s="49"/>
      <c r="AC189" s="49"/>
      <c r="AD189" s="49"/>
      <c r="AE189" s="49"/>
      <c r="AF189" s="49"/>
      <c r="AG189" s="49"/>
      <c r="AH189" s="49"/>
      <c r="AI189" s="49"/>
      <c r="AJ189" s="49"/>
      <c r="AK189" s="49"/>
      <c r="AL189" s="49"/>
      <c r="AM189" s="49"/>
      <c r="AN189" s="49"/>
      <c r="AO189" s="49"/>
    </row>
    <row r="190" spans="1:41" ht="14">
      <c r="A190" s="44">
        <f ca="1">IFERROR(__xludf.DUMMYFUNCTION("QUERY('Volunteer Survey'!A197)"),43596.2404648842)</f>
        <v>43596.240464884198</v>
      </c>
      <c r="B190" s="42" t="s">
        <v>108</v>
      </c>
      <c r="C190" s="73">
        <v>43819</v>
      </c>
      <c r="D190" s="49"/>
      <c r="E190" s="42"/>
      <c r="F190" s="42" t="s">
        <v>130</v>
      </c>
      <c r="G190" s="42" t="s">
        <v>251</v>
      </c>
      <c r="H190" s="47"/>
      <c r="I190" s="45" t="s">
        <v>139</v>
      </c>
      <c r="J190" s="49"/>
      <c r="K190" s="49"/>
      <c r="L190" s="49" t="str">
        <f ca="1">IFERROR(__xludf.DUMMYFUNCTION("QUERY('Volunteer Survey'!B197)"),"Lisa Chen")</f>
        <v>Lisa Chen</v>
      </c>
      <c r="M190" s="49" t="str">
        <f ca="1">IFERROR(__xludf.DUMMYFUNCTION("QUERY('Volunteer Survey'!E197)"),"lisa498484901@gmail.com")</f>
        <v>lisa498484901@gmail.com</v>
      </c>
      <c r="N190" s="49" t="str">
        <f ca="1">IFERROR(__xludf.DUMMYFUNCTION("QUERY('Volunteer Survey'!F197)"),"Graduate Student")</f>
        <v>Graduate Student</v>
      </c>
      <c r="O190" s="42" t="str">
        <f ca="1">IFERROR(__xludf.DUMMYFUNCTION("QUERY('Volunteer Survey'!H197)"),"Comprehensive")</f>
        <v>Comprehensive</v>
      </c>
      <c r="P190" s="49" t="str">
        <f ca="1">IFERROR(__xludf.DUMMYFUNCTION("QUERY('Volunteer Survey'!I197)"),"Variant Pathogenicity")</f>
        <v>Variant Pathogenicity</v>
      </c>
      <c r="Q190" s="54" t="str">
        <f ca="1">IFERROR(__xludf.DUMMYFUNCTION("QUERY('Volunteer Survey'!J197)"),"Gene-Disease Validity")</f>
        <v>Gene-Disease Validity</v>
      </c>
      <c r="R190" s="49" t="str">
        <f ca="1">IFERROR(__xludf.DUMMYFUNCTION("QUERY('Volunteer Survey'!K197)"),"Clinical Actionability")</f>
        <v>Clinical Actionability</v>
      </c>
      <c r="S190" s="49" t="str">
        <f ca="1">IFERROR(__xludf.DUMMYFUNCTION("QUERY('Volunteer Survey'!L197)"),"Dosage Sensitivity")</f>
        <v>Dosage Sensitivity</v>
      </c>
      <c r="T190" s="49" t="str">
        <f ca="1">IFERROR(__xludf.DUMMYFUNCTION("QUERY('Volunteer Survey'!M197)"),"Somatic Cancer")</f>
        <v>Somatic Cancer</v>
      </c>
      <c r="U190" s="58" t="str">
        <f ca="1">IFERROR(__xludf.DUMMYFUNCTION("QUERY('Volunteer Survey'!N197)"),"I have been doing variant classification for 4 years.")</f>
        <v>I have been doing variant classification for 4 years.</v>
      </c>
      <c r="V190" s="49" t="str">
        <f ca="1">IFERROR(__xludf.DUMMYFUNCTION("QUERY('Volunteer Survey'!O197)"),"Possibly")</f>
        <v>Possibly</v>
      </c>
      <c r="W190" s="60" t="str">
        <f ca="1">IFERROR(__xludf.DUMMYFUNCTION("QUERY('Volunteer Survey'!P197)"),"Congenital Myopathies")</f>
        <v>Congenital Myopathies</v>
      </c>
      <c r="X190" s="58" t="str">
        <f ca="1">IFERROR(__xludf.DUMMYFUNCTION("QUERY('Volunteer Survey'!R197)"),"Yes- I am willing to volunteer with any available ClinGen group")</f>
        <v>Yes- I am willing to volunteer with any available ClinGen group</v>
      </c>
      <c r="Y190" s="47"/>
      <c r="Z190" s="49"/>
      <c r="AA190" s="49"/>
      <c r="AB190" s="49"/>
      <c r="AC190" s="49"/>
      <c r="AD190" s="49"/>
      <c r="AE190" s="49"/>
      <c r="AF190" s="49"/>
      <c r="AG190" s="49"/>
      <c r="AH190" s="49"/>
      <c r="AI190" s="49"/>
      <c r="AJ190" s="49"/>
      <c r="AK190" s="49"/>
      <c r="AL190" s="49"/>
      <c r="AM190" s="49"/>
      <c r="AN190" s="49"/>
      <c r="AO190" s="49"/>
    </row>
    <row r="191" spans="1:41" ht="14">
      <c r="A191" s="44">
        <f ca="1">IFERROR(__xludf.DUMMYFUNCTION("QUERY('Volunteer Survey'!A198)"),43390.5650462962)</f>
        <v>43390.5650462962</v>
      </c>
      <c r="B191" s="42" t="s">
        <v>108</v>
      </c>
      <c r="C191" s="73">
        <v>43819</v>
      </c>
      <c r="D191" s="49"/>
      <c r="E191" s="42"/>
      <c r="F191" s="42" t="s">
        <v>130</v>
      </c>
      <c r="G191" s="42" t="s">
        <v>122</v>
      </c>
      <c r="H191" s="47"/>
      <c r="I191" s="45" t="s">
        <v>139</v>
      </c>
      <c r="J191" s="49"/>
      <c r="K191" s="49"/>
      <c r="L191" s="49" t="str">
        <f ca="1">IFERROR(__xludf.DUMMYFUNCTION("QUERY('Volunteer Survey'!B198)"),"Ingrid Paine")</f>
        <v>Ingrid Paine</v>
      </c>
      <c r="M191" s="49" t="str">
        <f ca="1">IFERROR(__xludf.DUMMYFUNCTION("QUERY('Volunteer Survey'!E198)"),"runquist@alumni.bcm.edu")</f>
        <v>runquist@alumni.bcm.edu</v>
      </c>
      <c r="N191" s="49" t="str">
        <f ca="1">IFERROR(__xludf.DUMMYFUNCTION("QUERY('Volunteer Survey'!F198)"),"Post Doc/Resident/Fellow (MD and/or PhD)")</f>
        <v>Post Doc/Resident/Fellow (MD and/or PhD)</v>
      </c>
      <c r="O191" s="42" t="str">
        <f ca="1">IFERROR(__xludf.DUMMYFUNCTION("QUERY('Volunteer Survey'!H198)"),"Comprehensive")</f>
        <v>Comprehensive</v>
      </c>
      <c r="P191" s="49" t="str">
        <f ca="1">IFERROR(__xludf.DUMMYFUNCTION("QUERY('Volunteer Survey'!I198)"),"Gene-Disease Validity")</f>
        <v>Gene-Disease Validity</v>
      </c>
      <c r="Q191" s="54" t="str">
        <f ca="1">IFERROR(__xludf.DUMMYFUNCTION("QUERY('Volunteer Survey'!J198)"),"Variant Pathogenicity")</f>
        <v>Variant Pathogenicity</v>
      </c>
      <c r="R191" s="49" t="str">
        <f ca="1">IFERROR(__xludf.DUMMYFUNCTION("QUERY('Volunteer Survey'!K198)"),"")</f>
        <v/>
      </c>
      <c r="S191" s="49" t="str">
        <f ca="1">IFERROR(__xludf.DUMMYFUNCTION("QUERY('Volunteer Survey'!L198)"),"")</f>
        <v/>
      </c>
      <c r="T191" s="49" t="str">
        <f ca="1">IFERROR(__xludf.DUMMYFUNCTION("QUERY('Volunteer Survey'!M198)"),"")</f>
        <v/>
      </c>
      <c r="U191" s="58" t="str">
        <f ca="1">IFERROR(__xludf.DUMMYFUNCTION("QUERY('Volunteer Survey'!N198)"),"No")</f>
        <v>No</v>
      </c>
      <c r="V191" s="49" t="str">
        <f ca="1">IFERROR(__xludf.DUMMYFUNCTION("QUERY('Volunteer Survey'!O198)"),"Possibly")</f>
        <v>Possibly</v>
      </c>
      <c r="W191" s="60" t="str">
        <f ca="1">IFERROR(__xludf.DUMMYFUNCTION("QUERY('Volunteer Survey'!P198)"),"Epilepsy genes and neurodevelopmental")</f>
        <v>Epilepsy genes and neurodevelopmental</v>
      </c>
      <c r="X191" s="58" t="str">
        <f ca="1">IFERROR(__xludf.DUMMYFUNCTION("QUERY('Volunteer Survey'!R198)"),"Maybe -- please contact me with other options, and I will decide based on what is available")</f>
        <v>Maybe -- please contact me with other options, and I will decide based on what is available</v>
      </c>
      <c r="Y191" s="97" t="s">
        <v>354</v>
      </c>
      <c r="Z191" s="49"/>
      <c r="AA191" s="49"/>
      <c r="AB191" s="49"/>
      <c r="AC191" s="49"/>
      <c r="AD191" s="49"/>
      <c r="AE191" s="49"/>
      <c r="AF191" s="49"/>
      <c r="AG191" s="49"/>
      <c r="AH191" s="49"/>
      <c r="AI191" s="49"/>
      <c r="AJ191" s="49"/>
      <c r="AK191" s="49"/>
      <c r="AL191" s="49"/>
      <c r="AM191" s="49"/>
      <c r="AN191" s="49"/>
      <c r="AO191" s="49"/>
    </row>
    <row r="192" spans="1:41" ht="14">
      <c r="A192" s="44">
        <f ca="1">IFERROR(__xludf.DUMMYFUNCTION("QUERY('Volunteer Survey'!A199)"),43601.3254852777)</f>
        <v>43601.325485277703</v>
      </c>
      <c r="B192" s="42" t="s">
        <v>322</v>
      </c>
      <c r="C192" s="47"/>
      <c r="D192" s="49"/>
      <c r="E192" s="42"/>
      <c r="F192" s="42" t="s">
        <v>130</v>
      </c>
      <c r="G192" s="42" t="s">
        <v>202</v>
      </c>
      <c r="H192" s="47"/>
      <c r="I192" s="45" t="s">
        <v>139</v>
      </c>
      <c r="J192" s="49"/>
      <c r="K192" s="49"/>
      <c r="L192" s="49" t="str">
        <f ca="1">IFERROR(__xludf.DUMMYFUNCTION("QUERY('Volunteer Survey'!B199)"),"Michelle Paczosa")</f>
        <v>Michelle Paczosa</v>
      </c>
      <c r="M192" s="49" t="str">
        <f ca="1">IFERROR(__xludf.DUMMYFUNCTION("QUERY('Volunteer Survey'!E199)"),"Michelle.K.Paczosa@questdiagnostics.com")</f>
        <v>Michelle.K.Paczosa@questdiagnostics.com</v>
      </c>
      <c r="N192" s="49" t="str">
        <f ca="1">IFERROR(__xludf.DUMMYFUNCTION("QUERY('Volunteer Survey'!F199)"),"Variant Analyst/Scientist - Industry")</f>
        <v>Variant Analyst/Scientist - Industry</v>
      </c>
      <c r="O192" s="42" t="str">
        <f ca="1">IFERROR(__xludf.DUMMYFUNCTION("QUERY('Volunteer Survey'!H199)"),"Comprehensive")</f>
        <v>Comprehensive</v>
      </c>
      <c r="P192" s="49" t="str">
        <f ca="1">IFERROR(__xludf.DUMMYFUNCTION("QUERY('Volunteer Survey'!I199)"),"Dosage Sensitivity")</f>
        <v>Dosage Sensitivity</v>
      </c>
      <c r="Q192" s="54" t="str">
        <f ca="1">IFERROR(__xludf.DUMMYFUNCTION("QUERY('Volunteer Survey'!J199)"),"Gene-Disease Validity")</f>
        <v>Gene-Disease Validity</v>
      </c>
      <c r="R192" s="49" t="str">
        <f ca="1">IFERROR(__xludf.DUMMYFUNCTION("QUERY('Volunteer Survey'!K199)"),"")</f>
        <v/>
      </c>
      <c r="S192" s="49" t="str">
        <f ca="1">IFERROR(__xludf.DUMMYFUNCTION("QUERY('Volunteer Survey'!L199)"),"")</f>
        <v/>
      </c>
      <c r="T192" s="49" t="str">
        <f ca="1">IFERROR(__xludf.DUMMYFUNCTION("QUERY('Volunteer Survey'!M199)"),"")</f>
        <v/>
      </c>
      <c r="U192" s="58" t="str">
        <f ca="1">IFERROR(__xludf.DUMMYFUNCTION("QUERY('Volunteer Survey'!N199)"),"")</f>
        <v/>
      </c>
      <c r="V192" s="49" t="str">
        <f ca="1">IFERROR(__xludf.DUMMYFUNCTION("QUERY('Volunteer Survey'!O199)"),"")</f>
        <v/>
      </c>
      <c r="W192" s="60" t="str">
        <f ca="1">IFERROR(__xludf.DUMMYFUNCTION("QUERY('Volunteer Survey'!P199)"),"1. Recurrent 2. Neurodevelopmental 3. Cancer 4. Mitochondrial 5.Hereditary Cancer 6. Monogenic Diabetes")</f>
        <v>1. Recurrent 2. Neurodevelopmental 3. Cancer 4. Mitochondrial 5.Hereditary Cancer 6. Monogenic Diabetes</v>
      </c>
      <c r="X192" s="58" t="str">
        <f ca="1">IFERROR(__xludf.DUMMYFUNCTION("QUERY('Volunteer Survey'!R199)"),"Yes- I am willing to volunteer with any available ClinGen group")</f>
        <v>Yes- I am willing to volunteer with any available ClinGen group</v>
      </c>
      <c r="Y192" s="45" t="s">
        <v>355</v>
      </c>
      <c r="Z192" s="49"/>
      <c r="AA192" s="49"/>
      <c r="AB192" s="49"/>
      <c r="AC192" s="49"/>
      <c r="AD192" s="49"/>
      <c r="AE192" s="49"/>
      <c r="AF192" s="49"/>
      <c r="AG192" s="49"/>
      <c r="AH192" s="49"/>
      <c r="AI192" s="49"/>
      <c r="AJ192" s="49"/>
      <c r="AK192" s="49"/>
      <c r="AL192" s="49"/>
      <c r="AM192" s="49"/>
      <c r="AN192" s="49"/>
      <c r="AO192" s="49"/>
    </row>
    <row r="193" spans="1:41" ht="14">
      <c r="A193" s="44">
        <f ca="1">IFERROR(__xludf.DUMMYFUNCTION("QUERY('Volunteer Survey'!A200)"),43601.5361581712)</f>
        <v>43601.536158171199</v>
      </c>
      <c r="B193" s="42" t="s">
        <v>160</v>
      </c>
      <c r="C193" s="47"/>
      <c r="D193" s="50">
        <v>43605</v>
      </c>
      <c r="E193" s="42" t="s">
        <v>117</v>
      </c>
      <c r="F193" s="42" t="s">
        <v>117</v>
      </c>
      <c r="G193" s="42" t="s">
        <v>251</v>
      </c>
      <c r="H193" s="45" t="s">
        <v>305</v>
      </c>
      <c r="I193" s="45" t="s">
        <v>356</v>
      </c>
      <c r="J193" s="50">
        <v>43712</v>
      </c>
      <c r="K193" s="50"/>
      <c r="L193" s="49" t="str">
        <f ca="1">IFERROR(__xludf.DUMMYFUNCTION("QUERY('Volunteer Survey'!B200)"),"Olivia Rennie")</f>
        <v>Olivia Rennie</v>
      </c>
      <c r="M193" s="49" t="str">
        <f ca="1">IFERROR(__xludf.DUMMYFUNCTION("QUERY('Volunteer Survey'!E200)"),"olivia.rennie@sickkids.ca")</f>
        <v>olivia.rennie@sickkids.ca</v>
      </c>
      <c r="N193" s="49" t="str">
        <f ca="1">IFERROR(__xludf.DUMMYFUNCTION("QUERY('Volunteer Survey'!F200)"),"Biocurator")</f>
        <v>Biocurator</v>
      </c>
      <c r="O193" s="42" t="str">
        <f ca="1">IFERROR(__xludf.DUMMYFUNCTION("QUERY('Volunteer Survey'!H200)"),"Comprehensive")</f>
        <v>Comprehensive</v>
      </c>
      <c r="P193" s="49" t="str">
        <f ca="1">IFERROR(__xludf.DUMMYFUNCTION("QUERY('Volunteer Survey'!I200)"),"Variant Pathogenicity")</f>
        <v>Variant Pathogenicity</v>
      </c>
      <c r="Q193" s="54" t="str">
        <f ca="1">IFERROR(__xludf.DUMMYFUNCTION("QUERY('Volunteer Survey'!J200)"),"Somatic Cancer")</f>
        <v>Somatic Cancer</v>
      </c>
      <c r="R193" s="49" t="str">
        <f ca="1">IFERROR(__xludf.DUMMYFUNCTION("QUERY('Volunteer Survey'!K200)"),"Clinical Actionability")</f>
        <v>Clinical Actionability</v>
      </c>
      <c r="S193" s="49" t="str">
        <f ca="1">IFERROR(__xludf.DUMMYFUNCTION("QUERY('Volunteer Survey'!L200)"),"")</f>
        <v/>
      </c>
      <c r="T193" s="49" t="str">
        <f ca="1">IFERROR(__xludf.DUMMYFUNCTION("QUERY('Volunteer Survey'!M200)"),"")</f>
        <v/>
      </c>
      <c r="U193" s="58" t="str">
        <f ca="1">IFERROR(__xludf.DUMMYFUNCTION("QUERY('Volunteer Survey'!N200)"),"As noted above, I am currently a gene-disease curator with the ID &amp; ASD EP.")</f>
        <v>As noted above, I am currently a gene-disease curator with the ID &amp; ASD EP.</v>
      </c>
      <c r="V193" s="49" t="str">
        <f ca="1">IFERROR(__xludf.DUMMYFUNCTION("QUERY('Volunteer Survey'!O200)"),"Yes")</f>
        <v>Yes</v>
      </c>
      <c r="W193" s="60" t="str">
        <f ca="1">IFERROR(__xludf.DUMMYFUNCTION("QUERY('Volunteer Survey'!P200)"),"I am open to any variant curation EPs that are currently looking for volunteers. ")</f>
        <v xml:space="preserve">I am open to any variant curation EPs that are currently looking for volunteers. </v>
      </c>
      <c r="X193" s="58" t="str">
        <f ca="1">IFERROR(__xludf.DUMMYFUNCTION("QUERY('Volunteer Survey'!R200)"),"Yes- I am willing to volunteer with any available ClinGen group")</f>
        <v>Yes- I am willing to volunteer with any available ClinGen group</v>
      </c>
      <c r="Y193" s="45" t="s">
        <v>357</v>
      </c>
      <c r="Z193" s="49"/>
      <c r="AA193" s="49"/>
      <c r="AB193" s="49"/>
      <c r="AC193" s="49"/>
      <c r="AD193" s="49"/>
      <c r="AE193" s="49"/>
      <c r="AF193" s="49"/>
      <c r="AG193" s="49"/>
      <c r="AH193" s="49"/>
      <c r="AI193" s="49"/>
      <c r="AJ193" s="49"/>
      <c r="AK193" s="49"/>
      <c r="AL193" s="49"/>
      <c r="AM193" s="49"/>
      <c r="AN193" s="49"/>
      <c r="AO193" s="49"/>
    </row>
    <row r="194" spans="1:41" ht="14">
      <c r="A194" s="44">
        <f ca="1">IFERROR(__xludf.DUMMYFUNCTION("QUERY('Volunteer Survey'!A201)"),43602.7024085648)</f>
        <v>43602.702408564801</v>
      </c>
      <c r="B194" s="42" t="s">
        <v>108</v>
      </c>
      <c r="C194" s="47"/>
      <c r="D194" s="50">
        <v>43627</v>
      </c>
      <c r="E194" s="42" t="s">
        <v>117</v>
      </c>
      <c r="F194" s="42" t="s">
        <v>117</v>
      </c>
      <c r="G194" s="42" t="s">
        <v>313</v>
      </c>
      <c r="H194" s="47"/>
      <c r="I194" s="45" t="s">
        <v>139</v>
      </c>
      <c r="J194" s="49"/>
      <c r="K194" s="49"/>
      <c r="L194" s="49" t="str">
        <f ca="1">IFERROR(__xludf.DUMMYFUNCTION("QUERY('Volunteer Survey'!B201)"),"Aleš Maver")</f>
        <v>Aleš Maver</v>
      </c>
      <c r="M194" s="49" t="str">
        <f ca="1">IFERROR(__xludf.DUMMYFUNCTION("QUERY('Volunteer Survey'!E201)"),"ales.maver@kclj.si")</f>
        <v>ales.maver@kclj.si</v>
      </c>
      <c r="N194" s="49" t="str">
        <f ca="1">IFERROR(__xludf.DUMMYFUNCTION("QUERY('Volunteer Survey'!F201)"),"Clinical laboratory geneticist")</f>
        <v>Clinical laboratory geneticist</v>
      </c>
      <c r="O194" s="42" t="str">
        <f ca="1">IFERROR(__xludf.DUMMYFUNCTION("QUERY('Volunteer Survey'!H201)"),"Comprehensive")</f>
        <v>Comprehensive</v>
      </c>
      <c r="P194" s="49" t="str">
        <f ca="1">IFERROR(__xludf.DUMMYFUNCTION("QUERY('Volunteer Survey'!I201)"),"Variant Pathogenicity")</f>
        <v>Variant Pathogenicity</v>
      </c>
      <c r="Q194" s="54" t="str">
        <f ca="1">IFERROR(__xludf.DUMMYFUNCTION("QUERY('Volunteer Survey'!J201)"),"Gene-Disease Validity")</f>
        <v>Gene-Disease Validity</v>
      </c>
      <c r="R194" s="49" t="str">
        <f ca="1">IFERROR(__xludf.DUMMYFUNCTION("QUERY('Volunteer Survey'!K201)"),"Clinical Actionability")</f>
        <v>Clinical Actionability</v>
      </c>
      <c r="S194" s="49" t="str">
        <f ca="1">IFERROR(__xludf.DUMMYFUNCTION("QUERY('Volunteer Survey'!L201)"),"Dosage Sensitivity")</f>
        <v>Dosage Sensitivity</v>
      </c>
      <c r="T194" s="49" t="str">
        <f ca="1">IFERROR(__xludf.DUMMYFUNCTION("QUERY('Volunteer Survey'!M201)"),"Somatic Cancer")</f>
        <v>Somatic Cancer</v>
      </c>
      <c r="U194" s="58" t="str">
        <f ca="1">IFERROR(__xludf.DUMMYFUNCTION("QUERY('Volunteer Survey'!N201)"),"Not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c r="V194" s="49" t="str">
        <f ca="1">IFERROR(__xludf.DUMMYFUNCTION("QUERY('Volunteer Survey'!O201)"),"Yes")</f>
        <v>Yes</v>
      </c>
      <c r="W194" s="60" t="str">
        <f ca="1">IFERROR(__xludf.DUMMYFUNCTION("QUERY('Volunteer Survey'!P201)"),"Variant Curation Expert Panels and Gene Curation Expert Panels")</f>
        <v>Variant Curation Expert Panels and Gene Curation Expert Panels</v>
      </c>
      <c r="X194" s="58" t="str">
        <f ca="1">IFERROR(__xludf.DUMMYFUNCTION("QUERY('Volunteer Survey'!R201)"),"Yes- I am willing to volunteer with any available ClinGen group")</f>
        <v>Yes- I am willing to volunteer with any available ClinGen group</v>
      </c>
      <c r="Y194" s="47"/>
      <c r="Z194" s="49"/>
      <c r="AA194" s="49"/>
      <c r="AB194" s="49"/>
      <c r="AC194" s="49"/>
      <c r="AD194" s="49"/>
      <c r="AE194" s="49"/>
      <c r="AF194" s="49"/>
      <c r="AG194" s="49"/>
      <c r="AH194" s="49"/>
      <c r="AI194" s="49"/>
      <c r="AJ194" s="49"/>
      <c r="AK194" s="49"/>
      <c r="AL194" s="49"/>
      <c r="AM194" s="49"/>
      <c r="AN194" s="49"/>
      <c r="AO194" s="49"/>
    </row>
    <row r="195" spans="1:41" ht="14">
      <c r="A195" s="44">
        <f ca="1">IFERROR(__xludf.DUMMYFUNCTION("QUERY('Volunteer Survey'!A202)"),43605.5031100578)</f>
        <v>43605.503110057798</v>
      </c>
      <c r="B195" s="42" t="s">
        <v>108</v>
      </c>
      <c r="C195" s="73">
        <v>43689</v>
      </c>
      <c r="D195" s="49"/>
      <c r="E195" s="42"/>
      <c r="F195" s="42" t="s">
        <v>130</v>
      </c>
      <c r="G195" s="42" t="s">
        <v>19</v>
      </c>
      <c r="H195" s="63"/>
      <c r="I195" s="63" t="s">
        <v>139</v>
      </c>
      <c r="J195" s="49"/>
      <c r="K195" s="49"/>
      <c r="L195" s="49" t="str">
        <f ca="1">IFERROR(__xludf.DUMMYFUNCTION("QUERY('Volunteer Survey'!B202)"),"Léon Tshilolo")</f>
        <v>Léon Tshilolo</v>
      </c>
      <c r="M195" s="49" t="str">
        <f ca="1">IFERROR(__xludf.DUMMYFUNCTION("QUERY('Volunteer Survey'!E202)"),"leon.tshilolo2012@gmail.com")</f>
        <v>leon.tshilolo2012@gmail.com</v>
      </c>
      <c r="N195" s="49" t="str">
        <f ca="1">IFERROR(__xludf.DUMMYFUNCTION("QUERY('Volunteer Survey'!F202)"),"hematologist, expert of SCD")</f>
        <v>hematologist, expert of SCD</v>
      </c>
      <c r="O195" s="42" t="str">
        <f ca="1">IFERROR(__xludf.DUMMYFUNCTION("QUERY('Volunteer Survey'!H202)"),"Comprehensive")</f>
        <v>Comprehensive</v>
      </c>
      <c r="P195" s="49" t="str">
        <f ca="1">IFERROR(__xludf.DUMMYFUNCTION("QUERY('Volunteer Survey'!I202)"),"Clinical Actionability")</f>
        <v>Clinical Actionability</v>
      </c>
      <c r="Q195" s="54" t="str">
        <f ca="1">IFERROR(__xludf.DUMMYFUNCTION("QUERY('Volunteer Survey'!J202)"),"Variant Pathogenicity")</f>
        <v>Variant Pathogenicity</v>
      </c>
      <c r="R195" s="49" t="str">
        <f ca="1">IFERROR(__xludf.DUMMYFUNCTION("QUERY('Volunteer Survey'!K202)"),"Gene-Disease Validity")</f>
        <v>Gene-Disease Validity</v>
      </c>
      <c r="S195" s="49" t="str">
        <f ca="1">IFERROR(__xludf.DUMMYFUNCTION("QUERY('Volunteer Survey'!L202)"),"Dosage Sensitivity")</f>
        <v>Dosage Sensitivity</v>
      </c>
      <c r="T195" s="49" t="str">
        <f ca="1">IFERROR(__xludf.DUMMYFUNCTION("QUERY('Volunteer Survey'!M202)"),"Somatic Cancer")</f>
        <v>Somatic Cancer</v>
      </c>
      <c r="U195" s="58" t="str">
        <f ca="1">IFERROR(__xludf.DUMMYFUNCTION("QUERY('Volunteer Survey'!N202)"),"")</f>
        <v/>
      </c>
      <c r="V195" s="49" t="str">
        <f ca="1">IFERROR(__xludf.DUMMYFUNCTION("QUERY('Volunteer Survey'!O202)"),"No")</f>
        <v>No</v>
      </c>
      <c r="W195" s="60" t="str">
        <f ca="1">IFERROR(__xludf.DUMMYFUNCTION("QUERY('Volunteer Survey'!P202)"),"hemoglobinopathies")</f>
        <v>hemoglobinopathies</v>
      </c>
      <c r="X195" s="58" t="str">
        <f ca="1">IFERROR(__xludf.DUMMYFUNCTION("QUERY('Volunteer Survey'!R202)"),"Maybe -- please contact me with other options, and I will decide based on what is available")</f>
        <v>Maybe -- please contact me with other options, and I will decide based on what is available</v>
      </c>
      <c r="Y195" s="47"/>
      <c r="Z195" s="49"/>
      <c r="AA195" s="49"/>
      <c r="AB195" s="49"/>
      <c r="AC195" s="49"/>
      <c r="AD195" s="49"/>
      <c r="AE195" s="49"/>
      <c r="AF195" s="49"/>
      <c r="AG195" s="49"/>
      <c r="AH195" s="49"/>
      <c r="AI195" s="49"/>
      <c r="AJ195" s="49"/>
      <c r="AK195" s="49"/>
      <c r="AL195" s="49"/>
      <c r="AM195" s="49"/>
      <c r="AN195" s="49"/>
      <c r="AO195" s="49"/>
    </row>
    <row r="196" spans="1:41" ht="14">
      <c r="A196" s="44">
        <f ca="1">IFERROR(__xludf.DUMMYFUNCTION("QUERY('Volunteer Survey'!A203)"),43605.7436562384)</f>
        <v>43605.743656238403</v>
      </c>
      <c r="B196" s="42" t="s">
        <v>108</v>
      </c>
      <c r="C196" s="47"/>
      <c r="D196" s="50"/>
      <c r="E196" s="42"/>
      <c r="F196" s="42" t="s">
        <v>130</v>
      </c>
      <c r="G196" s="42" t="s">
        <v>202</v>
      </c>
      <c r="H196" s="47"/>
      <c r="I196" s="45" t="s">
        <v>139</v>
      </c>
      <c r="J196" s="49"/>
      <c r="K196" s="49"/>
      <c r="L196" s="49" t="str">
        <f ca="1">IFERROR(__xludf.DUMMYFUNCTION("QUERY('Volunteer Survey'!B203)"),"Danielle Mouhlas")</f>
        <v>Danielle Mouhlas</v>
      </c>
      <c r="M196" s="49" t="str">
        <f ca="1">IFERROR(__xludf.DUMMYFUNCTION("QUERY('Volunteer Survey'!E203)"),"danielle.mouhlas@nationwidechildrens.org")</f>
        <v>danielle.mouhlas@nationwidechildrens.org</v>
      </c>
      <c r="N196" s="49" t="str">
        <f ca="1">IFERROR(__xludf.DUMMYFUNCTION("QUERY('Volunteer Survey'!F203)"),"Genetic counselor")</f>
        <v>Genetic counselor</v>
      </c>
      <c r="O196" s="42" t="str">
        <f ca="1">IFERROR(__xludf.DUMMYFUNCTION("QUERY('Volunteer Survey'!H203)"),"Baseline")</f>
        <v>Baseline</v>
      </c>
      <c r="P196" s="49" t="str">
        <f ca="1">IFERROR(__xludf.DUMMYFUNCTION("QUERY('Volunteer Survey'!I203)"),"Variant Pathogenicity")</f>
        <v>Variant Pathogenicity</v>
      </c>
      <c r="Q196" s="54" t="str">
        <f ca="1">IFERROR(__xludf.DUMMYFUNCTION("QUERY('Volunteer Survey'!J203)"),"Gene-Disease Validity")</f>
        <v>Gene-Disease Validity</v>
      </c>
      <c r="R196" s="49" t="str">
        <f ca="1">IFERROR(__xludf.DUMMYFUNCTION("QUERY('Volunteer Survey'!K203)"),"Dosage Sensitivity")</f>
        <v>Dosage Sensitivity</v>
      </c>
      <c r="S196" s="49" t="str">
        <f ca="1">IFERROR(__xludf.DUMMYFUNCTION("QUERY('Volunteer Survey'!L203)"),"Clinical Actionability")</f>
        <v>Clinical Actionability</v>
      </c>
      <c r="T196" s="49" t="str">
        <f ca="1">IFERROR(__xludf.DUMMYFUNCTION("QUERY('Volunteer Survey'!M203)"),"Somatic Cancer")</f>
        <v>Somatic Cancer</v>
      </c>
      <c r="U196" s="58" t="str">
        <f ca="1">IFERROR(__xludf.DUMMYFUNCTION("QUERY('Volunteer Survey'!N203)"),"I have performed some variant interpretation for clinical report writing. ")</f>
        <v xml:space="preserve">I have performed some variant interpretation for clinical report writing. </v>
      </c>
      <c r="V196" s="49" t="str">
        <f ca="1">IFERROR(__xludf.DUMMYFUNCTION("QUERY('Volunteer Survey'!O203)"),"Yes")</f>
        <v>Yes</v>
      </c>
      <c r="W196" s="60" t="str">
        <f ca="1">IFERROR(__xludf.DUMMYFUNCTION("QUERY('Volunteer Survey'!P203)"),"")</f>
        <v/>
      </c>
      <c r="X196" s="58" t="str">
        <f ca="1">IFERROR(__xludf.DUMMYFUNCTION("QUERY('Volunteer Survey'!R203)"),"")</f>
        <v/>
      </c>
      <c r="Y196" s="45" t="s">
        <v>358</v>
      </c>
      <c r="Z196" s="49"/>
      <c r="AA196" s="49"/>
      <c r="AB196" s="49"/>
      <c r="AC196" s="49"/>
      <c r="AD196" s="49"/>
      <c r="AE196" s="49"/>
      <c r="AF196" s="49"/>
      <c r="AG196" s="49"/>
      <c r="AH196" s="49"/>
      <c r="AI196" s="49"/>
      <c r="AJ196" s="49"/>
      <c r="AK196" s="49"/>
      <c r="AL196" s="49"/>
      <c r="AM196" s="49"/>
      <c r="AN196" s="49"/>
      <c r="AO196" s="49"/>
    </row>
    <row r="197" spans="1:41" ht="17.25" customHeight="1">
      <c r="A197" s="44">
        <f ca="1">IFERROR(__xludf.DUMMYFUNCTION("QUERY('Volunteer Survey'!A204)"),43606.4003992824)</f>
        <v>43606.4003992824</v>
      </c>
      <c r="B197" s="42" t="s">
        <v>108</v>
      </c>
      <c r="C197" s="73">
        <v>43819</v>
      </c>
      <c r="D197" s="50"/>
      <c r="E197" s="42"/>
      <c r="F197" s="42" t="s">
        <v>130</v>
      </c>
      <c r="G197" s="42" t="s">
        <v>122</v>
      </c>
      <c r="H197" s="45"/>
      <c r="I197" s="45" t="s">
        <v>356</v>
      </c>
      <c r="J197" s="49"/>
      <c r="K197" s="49"/>
      <c r="L197" s="49" t="str">
        <f ca="1">IFERROR(__xludf.DUMMYFUNCTION("QUERY('Volunteer Survey'!B204)"),"Emma Reble")</f>
        <v>Emma Reble</v>
      </c>
      <c r="M197" s="49" t="str">
        <f ca="1">IFERROR(__xludf.DUMMYFUNCTION("QUERY('Volunteer Survey'!E204)"),"reblee@smh.ca")</f>
        <v>reblee@smh.ca</v>
      </c>
      <c r="N197" s="49" t="str">
        <f ca="1">IFERROR(__xludf.DUMMYFUNCTION("QUERY('Volunteer Survey'!F204)"),"Variant Analyst/Scientist - Academic")</f>
        <v>Variant Analyst/Scientist - Academic</v>
      </c>
      <c r="O197" s="42" t="str">
        <f ca="1">IFERROR(__xludf.DUMMYFUNCTION("QUERY('Volunteer Survey'!H204)"),"Comprehensive")</f>
        <v>Comprehensive</v>
      </c>
      <c r="P197" s="49" t="str">
        <f ca="1">IFERROR(__xludf.DUMMYFUNCTION("QUERY('Volunteer Survey'!I204)"),"Gene-Disease Validity")</f>
        <v>Gene-Disease Validity</v>
      </c>
      <c r="Q197" s="54" t="str">
        <f ca="1">IFERROR(__xludf.DUMMYFUNCTION("QUERY('Volunteer Survey'!J204)"),"")</f>
        <v/>
      </c>
      <c r="R197" s="49" t="str">
        <f ca="1">IFERROR(__xludf.DUMMYFUNCTION("QUERY('Volunteer Survey'!K204)"),"")</f>
        <v/>
      </c>
      <c r="S197" s="49" t="str">
        <f ca="1">IFERROR(__xludf.DUMMYFUNCTION("QUERY('Volunteer Survey'!L204)"),"")</f>
        <v/>
      </c>
      <c r="T197" s="49" t="str">
        <f ca="1">IFERROR(__xludf.DUMMYFUNCTION("QUERY('Volunteer Survey'!M204)"),"")</f>
        <v/>
      </c>
      <c r="U197" s="58" t="str">
        <f ca="1">IFERROR(__xludf.DUMMYFUNCTION("QUERY('Volunteer Survey'!N204)"),"This is my second time filing out this survey. I am doing the variant curation training and have re-filled out this survey to participate in the gene curation training in the future. ")</f>
        <v xml:space="preserve">This is my second time filing out this survey. I am doing the variant curation training and have re-filled out this survey to participate in the gene curation training in the future. </v>
      </c>
      <c r="V197" s="49" t="str">
        <f ca="1">IFERROR(__xludf.DUMMYFUNCTION("QUERY('Volunteer Survey'!O204)"),"Yes")</f>
        <v>Yes</v>
      </c>
      <c r="W197" s="60" t="str">
        <f ca="1">IFERROR(__xludf.DUMMYFUNCTION("QUERY('Volunteer Survey'!P204)"),"ID/Autism")</f>
        <v>ID/Autism</v>
      </c>
      <c r="X197" s="58" t="str">
        <f ca="1">IFERROR(__xludf.DUMMYFUNCTION("QUERY('Volunteer Survey'!R204)"),"Maybe -- please contact me with other options, and I will decide based on what is available")</f>
        <v>Maybe -- please contact me with other options, and I will decide based on what is available</v>
      </c>
      <c r="Y197" s="45" t="s">
        <v>359</v>
      </c>
      <c r="Z197" s="49"/>
      <c r="AA197" s="49"/>
      <c r="AB197" s="49"/>
      <c r="AC197" s="49"/>
      <c r="AD197" s="49"/>
      <c r="AE197" s="49"/>
      <c r="AF197" s="49"/>
      <c r="AG197" s="49"/>
      <c r="AH197" s="49"/>
      <c r="AI197" s="49"/>
      <c r="AJ197" s="49"/>
      <c r="AK197" s="49"/>
      <c r="AL197" s="49"/>
      <c r="AM197" s="49"/>
      <c r="AN197" s="49"/>
      <c r="AO197" s="49"/>
    </row>
    <row r="198" spans="1:41" ht="14">
      <c r="A198" s="44">
        <f ca="1">IFERROR(__xludf.DUMMYFUNCTION("QUERY('Volunteer Survey'!A205)"),43607.5487386342)</f>
        <v>43607.548738634199</v>
      </c>
      <c r="B198" s="42" t="s">
        <v>108</v>
      </c>
      <c r="C198" s="47"/>
      <c r="D198" s="50">
        <v>43627</v>
      </c>
      <c r="E198" s="42" t="s">
        <v>117</v>
      </c>
      <c r="F198" s="42" t="s">
        <v>117</v>
      </c>
      <c r="G198" s="42" t="s">
        <v>313</v>
      </c>
      <c r="H198" s="47"/>
      <c r="I198" s="45" t="s">
        <v>139</v>
      </c>
      <c r="J198" s="49"/>
      <c r="K198" s="49"/>
      <c r="L198" s="49" t="str">
        <f ca="1">IFERROR(__xludf.DUMMYFUNCTION("QUERY('Volunteer Survey'!B205)"),"Robert Butler")</f>
        <v>Robert Butler</v>
      </c>
      <c r="M198" s="49" t="str">
        <f ca="1">IFERROR(__xludf.DUMMYFUNCTION("QUERY('Volunteer Survey'!E205)"),"rbutler@northshore.org")</f>
        <v>rbutler@northshore.org</v>
      </c>
      <c r="N198" s="49" t="str">
        <f ca="1">IFERROR(__xludf.DUMMYFUNCTION("QUERY('Volunteer Survey'!F205)"),"Post Doc/Resident/Fellow (MD and/or PhD)")</f>
        <v>Post Doc/Resident/Fellow (MD and/or PhD)</v>
      </c>
      <c r="O198" s="42" t="str">
        <f ca="1">IFERROR(__xludf.DUMMYFUNCTION("QUERY('Volunteer Survey'!H205)"),"Comprehensive")</f>
        <v>Comprehensive</v>
      </c>
      <c r="P198" s="49" t="str">
        <f ca="1">IFERROR(__xludf.DUMMYFUNCTION("QUERY('Volunteer Survey'!I205)"),"Variant Pathogenicity")</f>
        <v>Variant Pathogenicity</v>
      </c>
      <c r="Q198" s="54" t="str">
        <f ca="1">IFERROR(__xludf.DUMMYFUNCTION("QUERY('Volunteer Survey'!J205)"),"Gene-Disease Validity")</f>
        <v>Gene-Disease Validity</v>
      </c>
      <c r="R198" s="49" t="str">
        <f ca="1">IFERROR(__xludf.DUMMYFUNCTION("QUERY('Volunteer Survey'!K205)"),"")</f>
        <v/>
      </c>
      <c r="S198" s="49" t="str">
        <f ca="1">IFERROR(__xludf.DUMMYFUNCTION("QUERY('Volunteer Survey'!L205)"),"")</f>
        <v/>
      </c>
      <c r="T198" s="49" t="str">
        <f ca="1">IFERROR(__xludf.DUMMYFUNCTION("QUERY('Volunteer Survey'!M205)"),"")</f>
        <v/>
      </c>
      <c r="U198" s="58" t="str">
        <f ca="1">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49" t="str">
        <f ca="1">IFERROR(__xludf.DUMMYFUNCTION("QUERY('Volunteer Survey'!O205)"),"Possibly")</f>
        <v>Possibly</v>
      </c>
      <c r="W198" s="60" t="str">
        <f ca="1">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58" t="str">
        <f ca="1">IFERROR(__xludf.DUMMYFUNCTION("QUERY('Volunteer Survey'!R205)"),"Maybe -- please contact me with other options, and I will decide based on what is available")</f>
        <v>Maybe -- please contact me with other options, and I will decide based on what is available</v>
      </c>
      <c r="Y198" s="47"/>
      <c r="Z198" s="49"/>
      <c r="AA198" s="49"/>
      <c r="AB198" s="49"/>
      <c r="AC198" s="49"/>
      <c r="AD198" s="49"/>
      <c r="AE198" s="49"/>
      <c r="AF198" s="49"/>
      <c r="AG198" s="49"/>
      <c r="AH198" s="49"/>
      <c r="AI198" s="49"/>
      <c r="AJ198" s="49"/>
      <c r="AK198" s="49"/>
      <c r="AL198" s="49"/>
      <c r="AM198" s="49"/>
      <c r="AN198" s="49"/>
      <c r="AO198" s="49"/>
    </row>
    <row r="199" spans="1:41" ht="14">
      <c r="A199" s="44">
        <f ca="1">IFERROR(__xludf.DUMMYFUNCTION("QUERY('Volunteer Survey'!A206)"),43609.9557532407)</f>
        <v>43609.955753240698</v>
      </c>
      <c r="B199" s="42" t="s">
        <v>108</v>
      </c>
      <c r="C199" s="47"/>
      <c r="D199" s="50">
        <v>43626</v>
      </c>
      <c r="E199" s="42" t="s">
        <v>117</v>
      </c>
      <c r="F199" s="42" t="s">
        <v>117</v>
      </c>
      <c r="G199" s="42" t="s">
        <v>251</v>
      </c>
      <c r="H199" s="47"/>
      <c r="I199" s="45" t="s">
        <v>356</v>
      </c>
      <c r="J199" s="49"/>
      <c r="K199" s="49"/>
      <c r="L199" s="49" t="str">
        <f ca="1">IFERROR(__xludf.DUMMYFUNCTION("QUERY('Volunteer Survey'!B206)"),"Ljubica Caldovic")</f>
        <v>Ljubica Caldovic</v>
      </c>
      <c r="M199" s="49" t="str">
        <f ca="1">IFERROR(__xludf.DUMMYFUNCTION("QUERY('Volunteer Survey'!E206)"),"lcaldovic@childrensnational.org")</f>
        <v>lcaldovic@childrensnational.org</v>
      </c>
      <c r="N199" s="49" t="str">
        <f ca="1">IFERROR(__xludf.DUMMYFUNCTION("QUERY('Volunteer Survey'!F206)"),"Scientific Researcher")</f>
        <v>Scientific Researcher</v>
      </c>
      <c r="O199" s="42" t="str">
        <f ca="1">IFERROR(__xludf.DUMMYFUNCTION("QUERY('Volunteer Survey'!H206)"),"Comprehensive")</f>
        <v>Comprehensive</v>
      </c>
      <c r="P199" s="49" t="str">
        <f ca="1">IFERROR(__xludf.DUMMYFUNCTION("QUERY('Volunteer Survey'!I206)"),"Variant Pathogenicity")</f>
        <v>Variant Pathogenicity</v>
      </c>
      <c r="Q199" s="54" t="str">
        <f ca="1">IFERROR(__xludf.DUMMYFUNCTION("QUERY('Volunteer Survey'!J206)"),"Gene-Disease Validity")</f>
        <v>Gene-Disease Validity</v>
      </c>
      <c r="R199" s="49" t="str">
        <f ca="1">IFERROR(__xludf.DUMMYFUNCTION("QUERY('Volunteer Survey'!K206)"),"")</f>
        <v/>
      </c>
      <c r="S199" s="49" t="str">
        <f ca="1">IFERROR(__xludf.DUMMYFUNCTION("QUERY('Volunteer Survey'!L206)"),"")</f>
        <v/>
      </c>
      <c r="T199" s="49" t="str">
        <f ca="1">IFERROR(__xludf.DUMMYFUNCTION("QUERY('Volunteer Survey'!M206)"),"")</f>
        <v/>
      </c>
      <c r="U199" s="58" t="str">
        <f ca="1">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49" t="str">
        <f ca="1">IFERROR(__xludf.DUMMYFUNCTION("QUERY('Volunteer Survey'!O206)"),"Yes")</f>
        <v>Yes</v>
      </c>
      <c r="W199" s="60" t="str">
        <f ca="1">IFERROR(__xludf.DUMMYFUNCTION("QUERY('Volunteer Survey'!P206)"),"I am a member of the aminoacidopathy expert panel")</f>
        <v>I am a member of the aminoacidopathy expert panel</v>
      </c>
      <c r="X199" s="58" t="str">
        <f ca="1">IFERROR(__xludf.DUMMYFUNCTION("QUERY('Volunteer Survey'!R206)"),"No - I am only interested in the group(s) I previously indicated")</f>
        <v>No - I am only interested in the group(s) I previously indicated</v>
      </c>
      <c r="Y199" s="45" t="s">
        <v>360</v>
      </c>
      <c r="Z199" s="49"/>
      <c r="AA199" s="49"/>
      <c r="AB199" s="49"/>
      <c r="AC199" s="49"/>
      <c r="AD199" s="49"/>
      <c r="AE199" s="49"/>
      <c r="AF199" s="49"/>
      <c r="AG199" s="49"/>
      <c r="AH199" s="49"/>
      <c r="AI199" s="49"/>
      <c r="AJ199" s="49"/>
      <c r="AK199" s="49"/>
      <c r="AL199" s="49"/>
      <c r="AM199" s="49"/>
      <c r="AN199" s="49"/>
      <c r="AO199" s="49"/>
    </row>
    <row r="200" spans="1:41" ht="14">
      <c r="A200" s="44">
        <f ca="1">IFERROR(__xludf.DUMMYFUNCTION("QUERY('Volunteer Survey'!A207)"),43610.740048368)</f>
        <v>43610.740048368003</v>
      </c>
      <c r="B200" s="42" t="s">
        <v>160</v>
      </c>
      <c r="C200" s="47"/>
      <c r="D200" s="50">
        <v>43627</v>
      </c>
      <c r="E200" s="42" t="s">
        <v>117</v>
      </c>
      <c r="F200" s="42" t="s">
        <v>117</v>
      </c>
      <c r="G200" s="42" t="s">
        <v>251</v>
      </c>
      <c r="H200" s="45" t="s">
        <v>303</v>
      </c>
      <c r="I200" s="45" t="s">
        <v>139</v>
      </c>
      <c r="J200" s="50">
        <v>43712</v>
      </c>
      <c r="K200" s="50"/>
      <c r="L200" s="49" t="str">
        <f ca="1">IFERROR(__xludf.DUMMYFUNCTION("QUERY('Volunteer Survey'!B207)"),"Joy Goffena")</f>
        <v>Joy Goffena</v>
      </c>
      <c r="M200" s="49" t="str">
        <f ca="1">IFERROR(__xludf.DUMMYFUNCTION("QUERY('Volunteer Survey'!E207)"),"joy.goffena@gmail.com")</f>
        <v>joy.goffena@gmail.com</v>
      </c>
      <c r="N200" s="49" t="str">
        <f ca="1">IFERROR(__xludf.DUMMYFUNCTION("QUERY('Volunteer Survey'!F207)"),"Scientific Researcher")</f>
        <v>Scientific Researcher</v>
      </c>
      <c r="O200" s="42" t="str">
        <f ca="1">IFERROR(__xludf.DUMMYFUNCTION("QUERY('Volunteer Survey'!H207)"),"Comprehensive")</f>
        <v>Comprehensive</v>
      </c>
      <c r="P200" s="49" t="str">
        <f ca="1">IFERROR(__xludf.DUMMYFUNCTION("QUERY('Volunteer Survey'!I207)"),"Variant Pathogenicity")</f>
        <v>Variant Pathogenicity</v>
      </c>
      <c r="Q200" s="54" t="str">
        <f ca="1">IFERROR(__xludf.DUMMYFUNCTION("QUERY('Volunteer Survey'!J207)"),"Gene-Disease Validity")</f>
        <v>Gene-Disease Validity</v>
      </c>
      <c r="R200" s="49" t="str">
        <f ca="1">IFERROR(__xludf.DUMMYFUNCTION("QUERY('Volunteer Survey'!K207)"),"Somatic Cancer")</f>
        <v>Somatic Cancer</v>
      </c>
      <c r="S200" s="49" t="str">
        <f ca="1">IFERROR(__xludf.DUMMYFUNCTION("QUERY('Volunteer Survey'!L207)"),"Clinical Actionability")</f>
        <v>Clinical Actionability</v>
      </c>
      <c r="T200" s="49" t="str">
        <f ca="1">IFERROR(__xludf.DUMMYFUNCTION("QUERY('Volunteer Survey'!M207)"),"Dosage Sensitivity")</f>
        <v>Dosage Sensitivity</v>
      </c>
      <c r="U200" s="58" t="str">
        <f ca="1">IFERROR(__xludf.DUMMYFUNCTION("QUERY('Volunteer Survey'!N207)"),"")</f>
        <v/>
      </c>
      <c r="V200" s="49" t="str">
        <f ca="1">IFERROR(__xludf.DUMMYFUNCTION("QUERY('Volunteer Survey'!O207)"),"Yes")</f>
        <v>Yes</v>
      </c>
      <c r="W200" s="60" t="str">
        <f ca="1">IFERROR(__xludf.DUMMYFUNCTION("QUERY('Volunteer Survey'!P207)"),"")</f>
        <v/>
      </c>
      <c r="X200" s="58" t="str">
        <f ca="1">IFERROR(__xludf.DUMMYFUNCTION("QUERY('Volunteer Survey'!R207)"),"Yes- I am willing to volunteer with any available ClinGen group")</f>
        <v>Yes- I am willing to volunteer with any available ClinGen group</v>
      </c>
      <c r="Y200" s="47"/>
      <c r="Z200" s="49"/>
      <c r="AA200" s="49"/>
      <c r="AB200" s="49"/>
      <c r="AC200" s="49"/>
      <c r="AD200" s="49"/>
      <c r="AE200" s="49"/>
      <c r="AF200" s="49"/>
      <c r="AG200" s="49"/>
      <c r="AH200" s="49"/>
      <c r="AI200" s="49"/>
      <c r="AJ200" s="49"/>
      <c r="AK200" s="49"/>
      <c r="AL200" s="49"/>
      <c r="AM200" s="49"/>
      <c r="AN200" s="49"/>
      <c r="AO200" s="49"/>
    </row>
    <row r="201" spans="1:41" ht="14">
      <c r="A201" s="44">
        <f ca="1">IFERROR(__xludf.DUMMYFUNCTION("QUERY('Volunteer Survey'!A208)"),43612.7448295601)</f>
        <v>43612.744829560099</v>
      </c>
      <c r="B201" s="42" t="s">
        <v>108</v>
      </c>
      <c r="C201" s="47"/>
      <c r="D201" s="59">
        <v>43692</v>
      </c>
      <c r="E201" s="42" t="s">
        <v>117</v>
      </c>
      <c r="F201" s="42" t="s">
        <v>117</v>
      </c>
      <c r="G201" s="42" t="s">
        <v>122</v>
      </c>
      <c r="H201" s="47"/>
      <c r="I201" s="45" t="s">
        <v>299</v>
      </c>
      <c r="J201" s="49"/>
      <c r="K201" s="49"/>
      <c r="L201" s="49" t="str">
        <f ca="1">IFERROR(__xludf.DUMMYFUNCTION("QUERY('Volunteer Survey'!B208)"),"Amruta Phatak")</f>
        <v>Amruta Phatak</v>
      </c>
      <c r="M201" s="49" t="str">
        <f ca="1">IFERROR(__xludf.DUMMYFUNCTION("QUERY('Volunteer Survey'!E208)"),"arphatak@iu.edu")</f>
        <v>arphatak@iu.edu</v>
      </c>
      <c r="N201" s="49" t="str">
        <f ca="1">IFERROR(__xludf.DUMMYFUNCTION("QUERY('Volunteer Survey'!F208)"),"Post Doc/Resident/Fellow (MD and/or PhD)")</f>
        <v>Post Doc/Resident/Fellow (MD and/or PhD)</v>
      </c>
      <c r="O201" s="42" t="str">
        <f ca="1">IFERROR(__xludf.DUMMYFUNCTION("QUERY('Volunteer Survey'!H208)"),"Comprehensive")</f>
        <v>Comprehensive</v>
      </c>
      <c r="P201" s="49" t="str">
        <f ca="1">IFERROR(__xludf.DUMMYFUNCTION("QUERY('Volunteer Survey'!I208)"),"Gene-Disease Validity")</f>
        <v>Gene-Disease Validity</v>
      </c>
      <c r="Q201" s="54" t="str">
        <f ca="1">IFERROR(__xludf.DUMMYFUNCTION("QUERY('Volunteer Survey'!J208)"),"Variant Pathogenicity")</f>
        <v>Variant Pathogenicity</v>
      </c>
      <c r="R201" s="49" t="str">
        <f ca="1">IFERROR(__xludf.DUMMYFUNCTION("QUERY('Volunteer Survey'!K208)"),"Dosage Sensitivity")</f>
        <v>Dosage Sensitivity</v>
      </c>
      <c r="S201" s="49" t="str">
        <f ca="1">IFERROR(__xludf.DUMMYFUNCTION("QUERY('Volunteer Survey'!L208)"),"")</f>
        <v/>
      </c>
      <c r="T201" s="49" t="str">
        <f ca="1">IFERROR(__xludf.DUMMYFUNCTION("QUERY('Volunteer Survey'!M208)"),"")</f>
        <v/>
      </c>
      <c r="U201" s="58" t="str">
        <f ca="1">IFERROR(__xludf.DUMMYFUNCTION("QUERY('Volunteer Survey'!N208)"),"")</f>
        <v/>
      </c>
      <c r="V201" s="49" t="str">
        <f ca="1">IFERROR(__xludf.DUMMYFUNCTION("QUERY('Volunteer Survey'!O208)"),"Yes")</f>
        <v>Yes</v>
      </c>
      <c r="W201" s="60" t="str">
        <f ca="1">IFERROR(__xludf.DUMMYFUNCTION("QUERY('Volunteer Survey'!P208)"),"")</f>
        <v/>
      </c>
      <c r="X201" s="58" t="str">
        <f ca="1">IFERROR(__xludf.DUMMYFUNCTION("QUERY('Volunteer Survey'!R208)"),"Yes- I am willing to volunteer with any available ClinGen group")</f>
        <v>Yes- I am willing to volunteer with any available ClinGen group</v>
      </c>
      <c r="Y201" s="47"/>
      <c r="Z201" s="49"/>
      <c r="AA201" s="49"/>
      <c r="AB201" s="49"/>
      <c r="AC201" s="49"/>
      <c r="AD201" s="49"/>
      <c r="AE201" s="49"/>
      <c r="AF201" s="49"/>
      <c r="AG201" s="49"/>
      <c r="AH201" s="49"/>
      <c r="AI201" s="49"/>
      <c r="AJ201" s="49"/>
      <c r="AK201" s="49"/>
      <c r="AL201" s="49"/>
      <c r="AM201" s="49"/>
      <c r="AN201" s="49"/>
      <c r="AO201" s="49"/>
    </row>
    <row r="202" spans="1:41" ht="14">
      <c r="A202" s="44">
        <f ca="1">IFERROR(__xludf.DUMMYFUNCTION("QUERY('Volunteer Survey'!A209)"),43614.6097624421)</f>
        <v>43614.609762442102</v>
      </c>
      <c r="B202" s="42" t="s">
        <v>108</v>
      </c>
      <c r="C202" s="47"/>
      <c r="D202" s="49"/>
      <c r="E202" s="49"/>
      <c r="F202" s="42" t="s">
        <v>130</v>
      </c>
      <c r="G202" s="42" t="s">
        <v>202</v>
      </c>
      <c r="H202" s="47"/>
      <c r="I202" s="45" t="s">
        <v>139</v>
      </c>
      <c r="J202" s="49"/>
      <c r="K202" s="49"/>
      <c r="L202" s="49" t="str">
        <f ca="1">IFERROR(__xludf.DUMMYFUNCTION("QUERY('Volunteer Survey'!B209)"),"Marcela Dias Hanna")</f>
        <v>Marcela Dias Hanna</v>
      </c>
      <c r="M202" s="49" t="str">
        <f ca="1">IFERROR(__xludf.DUMMYFUNCTION("QUERY('Volunteer Survey'!E209)"),"marcelahanna8@gmail.com")</f>
        <v>marcelahanna8@gmail.com</v>
      </c>
      <c r="N202" s="49" t="str">
        <f ca="1">IFERROR(__xludf.DUMMYFUNCTION("QUERY('Volunteer Survey'!F209)"),"Graduate Student")</f>
        <v>Graduate Student</v>
      </c>
      <c r="O202" s="42" t="str">
        <f ca="1">IFERROR(__xludf.DUMMYFUNCTION("QUERY('Volunteer Survey'!H209)"),"Baseline")</f>
        <v>Baseline</v>
      </c>
      <c r="P202" s="49" t="str">
        <f ca="1">IFERROR(__xludf.DUMMYFUNCTION("QUERY('Volunteer Survey'!I209)"),"Gene-Disease Validity")</f>
        <v>Gene-Disease Validity</v>
      </c>
      <c r="Q202" s="54" t="str">
        <f ca="1">IFERROR(__xludf.DUMMYFUNCTION("QUERY('Volunteer Survey'!J209)"),"Variant Pathogenicity")</f>
        <v>Variant Pathogenicity</v>
      </c>
      <c r="R202" s="49" t="str">
        <f ca="1">IFERROR(__xludf.DUMMYFUNCTION("QUERY('Volunteer Survey'!K209)"),"Somatic Cancer")</f>
        <v>Somatic Cancer</v>
      </c>
      <c r="S202" s="49" t="str">
        <f ca="1">IFERROR(__xludf.DUMMYFUNCTION("QUERY('Volunteer Survey'!L209)"),"")</f>
        <v/>
      </c>
      <c r="T202" s="49" t="str">
        <f ca="1">IFERROR(__xludf.DUMMYFUNCTION("QUERY('Volunteer Survey'!M209)"),"")</f>
        <v/>
      </c>
      <c r="U202" s="58" t="str">
        <f ca="1">IFERROR(__xludf.DUMMYFUNCTION("QUERY('Volunteer Survey'!N209)"),"No.")</f>
        <v>No.</v>
      </c>
      <c r="V202" s="49" t="str">
        <f ca="1">IFERROR(__xludf.DUMMYFUNCTION("QUERY('Volunteer Survey'!O209)"),"No")</f>
        <v>No</v>
      </c>
      <c r="W202" s="60" t="str">
        <f ca="1">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58" t="str">
        <f ca="1">IFERROR(__xludf.DUMMYFUNCTION("QUERY('Volunteer Survey'!R209)"),"Maybe -- please contact me with other options, and I will decide based on what is available")</f>
        <v>Maybe -- please contact me with other options, and I will decide based on what is available</v>
      </c>
      <c r="Y202" s="47"/>
      <c r="Z202" s="49"/>
      <c r="AA202" s="49"/>
      <c r="AB202" s="49"/>
      <c r="AC202" s="49"/>
      <c r="AD202" s="49"/>
      <c r="AE202" s="49"/>
      <c r="AF202" s="49"/>
      <c r="AG202" s="49"/>
      <c r="AH202" s="49"/>
      <c r="AI202" s="49"/>
      <c r="AJ202" s="49"/>
      <c r="AK202" s="49"/>
      <c r="AL202" s="49"/>
      <c r="AM202" s="49"/>
      <c r="AN202" s="49"/>
      <c r="AO202" s="49"/>
    </row>
    <row r="203" spans="1:41" ht="14">
      <c r="A203" s="44">
        <f ca="1">IFERROR(__xludf.DUMMYFUNCTION("QUERY('Volunteer Survey'!A210)"),43615.0607542824)</f>
        <v>43615.0607542824</v>
      </c>
      <c r="B203" s="42" t="s">
        <v>361</v>
      </c>
      <c r="C203" s="73">
        <v>43819</v>
      </c>
      <c r="D203" s="49"/>
      <c r="E203" s="49"/>
      <c r="F203" s="42" t="s">
        <v>130</v>
      </c>
      <c r="G203" s="42" t="s">
        <v>251</v>
      </c>
      <c r="H203" s="47"/>
      <c r="I203" s="45" t="s">
        <v>139</v>
      </c>
      <c r="J203" s="49"/>
      <c r="K203" s="49"/>
      <c r="L203" s="49" t="str">
        <f ca="1">IFERROR(__xludf.DUMMYFUNCTION("QUERY('Volunteer Survey'!B210)"),"Cath Tyner")</f>
        <v>Cath Tyner</v>
      </c>
      <c r="M203" s="49" t="str">
        <f ca="1">IFERROR(__xludf.DUMMYFUNCTION("QUERY('Volunteer Survey'!E210)"),"cathtyner@gmail.com")</f>
        <v>cathtyner@gmail.com</v>
      </c>
      <c r="N203" s="49" t="str">
        <f ca="1">IFERROR(__xludf.DUMMYFUNCTION("QUERY('Volunteer Survey'!F210)"),"Software QA Engineer at Invitae")</f>
        <v>Software QA Engineer at Invitae</v>
      </c>
      <c r="O203" s="42" t="str">
        <f ca="1">IFERROR(__xludf.DUMMYFUNCTION("QUERY('Volunteer Survey'!H210)"),"Comprehensive")</f>
        <v>Comprehensive</v>
      </c>
      <c r="P203" s="49" t="str">
        <f ca="1">IFERROR(__xludf.DUMMYFUNCTION("QUERY('Volunteer Survey'!I210)"),"Variant Pathogenicity")</f>
        <v>Variant Pathogenicity</v>
      </c>
      <c r="Q203" s="54" t="str">
        <f ca="1">IFERROR(__xludf.DUMMYFUNCTION("QUERY('Volunteer Survey'!J210)"),"Gene-Disease Validity")</f>
        <v>Gene-Disease Validity</v>
      </c>
      <c r="R203" s="49" t="str">
        <f ca="1">IFERROR(__xludf.DUMMYFUNCTION("QUERY('Volunteer Survey'!K210)"),"Clinical Actionability")</f>
        <v>Clinical Actionability</v>
      </c>
      <c r="S203" s="49" t="str">
        <f ca="1">IFERROR(__xludf.DUMMYFUNCTION("QUERY('Volunteer Survey'!L210)"),"Somatic Cancer")</f>
        <v>Somatic Cancer</v>
      </c>
      <c r="T203" s="49" t="str">
        <f ca="1">IFERROR(__xludf.DUMMYFUNCTION("QUERY('Volunteer Survey'!M210)"),"Dosage Sensitivity")</f>
        <v>Dosage Sensitivity</v>
      </c>
      <c r="U203" s="58" t="str">
        <f ca="1">IFERROR(__xludf.DUMMYFUNCTION("QUERY('Volunteer Survey'!N210)"),"QA software which is used in gene curation for Invitae")</f>
        <v>QA software which is used in gene curation for Invitae</v>
      </c>
      <c r="V203" s="49" t="str">
        <f ca="1">IFERROR(__xludf.DUMMYFUNCTION("QUERY('Volunteer Survey'!O210)"),"Possibly")</f>
        <v>Possibly</v>
      </c>
      <c r="W203" s="60" t="str">
        <f ca="1">IFERROR(__xludf.DUMMYFUNCTION("QUERY('Volunteer Survey'!P210)"),"")</f>
        <v/>
      </c>
      <c r="X203" s="58" t="str">
        <f ca="1">IFERROR(__xludf.DUMMYFUNCTION("QUERY('Volunteer Survey'!R210)"),"Maybe -- please contact me with other options, and I will decide based on what is available")</f>
        <v>Maybe -- please contact me with other options, and I will decide based on what is available</v>
      </c>
      <c r="Y203" s="45" t="s">
        <v>355</v>
      </c>
      <c r="Z203" s="49"/>
      <c r="AA203" s="49"/>
      <c r="AB203" s="49"/>
      <c r="AC203" s="49"/>
      <c r="AD203" s="49"/>
      <c r="AE203" s="49"/>
      <c r="AF203" s="49"/>
      <c r="AG203" s="49"/>
      <c r="AH203" s="49"/>
      <c r="AI203" s="49"/>
      <c r="AJ203" s="49"/>
      <c r="AK203" s="49"/>
      <c r="AL203" s="49"/>
      <c r="AM203" s="49"/>
      <c r="AN203" s="49"/>
      <c r="AO203" s="49"/>
    </row>
    <row r="204" spans="1:41" ht="14">
      <c r="A204" s="44">
        <f ca="1">IFERROR(__xludf.DUMMYFUNCTION("QUERY('Volunteer Survey'!A211)"),43615.3992976736)</f>
        <v>43615.399297673597</v>
      </c>
      <c r="B204" s="42" t="s">
        <v>108</v>
      </c>
      <c r="C204" s="47"/>
      <c r="D204" s="50">
        <v>43627</v>
      </c>
      <c r="E204" s="42" t="s">
        <v>117</v>
      </c>
      <c r="F204" s="42" t="s">
        <v>130</v>
      </c>
      <c r="G204" s="42" t="s">
        <v>251</v>
      </c>
      <c r="H204" s="47"/>
      <c r="I204" s="45" t="s">
        <v>139</v>
      </c>
      <c r="J204" s="49"/>
      <c r="K204" s="49"/>
      <c r="L204" s="49" t="str">
        <f ca="1">IFERROR(__xludf.DUMMYFUNCTION("QUERY('Volunteer Survey'!B211)"),"Abdelazeem Elhabyan ")</f>
        <v xml:space="preserve">Abdelazeem Elhabyan </v>
      </c>
      <c r="M204" s="49" t="str">
        <f ca="1">IFERROR(__xludf.DUMMYFUNCTION("QUERY('Volunteer Survey'!E211)"),"Abdelazeem_abdelhameed2015505@yahoo.com")</f>
        <v>Abdelazeem_abdelhameed2015505@yahoo.com</v>
      </c>
      <c r="N204" s="49" t="str">
        <f ca="1">IFERROR(__xludf.DUMMYFUNCTION("QUERY('Volunteer Survey'!F211)"),"Graduate Student")</f>
        <v>Graduate Student</v>
      </c>
      <c r="O204" s="42" t="str">
        <f ca="1">IFERROR(__xludf.DUMMYFUNCTION("QUERY('Volunteer Survey'!H211)"),"Comprehensive")</f>
        <v>Comprehensive</v>
      </c>
      <c r="P204" s="49" t="str">
        <f ca="1">IFERROR(__xludf.DUMMYFUNCTION("QUERY('Volunteer Survey'!I211)"),"Variant Pathogenicity")</f>
        <v>Variant Pathogenicity</v>
      </c>
      <c r="Q204" s="54" t="str">
        <f ca="1">IFERROR(__xludf.DUMMYFUNCTION("QUERY('Volunteer Survey'!J211)"),"Somatic Cancer")</f>
        <v>Somatic Cancer</v>
      </c>
      <c r="R204" s="49" t="str">
        <f ca="1">IFERROR(__xludf.DUMMYFUNCTION("QUERY('Volunteer Survey'!K211)"),"Gene-Disease Validity")</f>
        <v>Gene-Disease Validity</v>
      </c>
      <c r="S204" s="49" t="str">
        <f ca="1">IFERROR(__xludf.DUMMYFUNCTION("QUERY('Volunteer Survey'!L211)"),"Clinical Actionability")</f>
        <v>Clinical Actionability</v>
      </c>
      <c r="T204" s="49" t="str">
        <f ca="1">IFERROR(__xludf.DUMMYFUNCTION("QUERY('Volunteer Survey'!M211)"),"Dosage Sensitivity")</f>
        <v>Dosage Sensitivity</v>
      </c>
      <c r="U204" s="58" t="str">
        <f ca="1">IFERROR(__xludf.DUMMYFUNCTION("QUERY('Volunteer Survey'!N211)"),"I have received training In mapping,  variant calling using galaxy project and received many online courses in genomics ")</f>
        <v xml:space="preserve">I have received training In mapping,  variant calling using galaxy project and received many online courses in genomics </v>
      </c>
      <c r="V204" s="49" t="str">
        <f ca="1">IFERROR(__xludf.DUMMYFUNCTION("QUERY('Volunteer Survey'!O211)"),"Yes")</f>
        <v>Yes</v>
      </c>
      <c r="W204" s="60" t="str">
        <f ca="1">IFERROR(__xludf.DUMMYFUNCTION("QUERY('Volunteer Survey'!P211)"),"Hereditary cancer ")</f>
        <v xml:space="preserve">Hereditary cancer </v>
      </c>
      <c r="X204" s="58" t="str">
        <f ca="1">IFERROR(__xludf.DUMMYFUNCTION("QUERY('Volunteer Survey'!R211)"),"Yes- I am willing to volunteer with any available ClinGen group")</f>
        <v>Yes- I am willing to volunteer with any available ClinGen group</v>
      </c>
      <c r="Y204" s="47"/>
      <c r="Z204" s="49"/>
      <c r="AA204" s="49"/>
      <c r="AB204" s="49"/>
      <c r="AC204" s="49"/>
      <c r="AD204" s="49"/>
      <c r="AE204" s="49"/>
      <c r="AF204" s="49"/>
      <c r="AG204" s="49"/>
      <c r="AH204" s="49"/>
      <c r="AI204" s="49"/>
      <c r="AJ204" s="49"/>
      <c r="AK204" s="49"/>
      <c r="AL204" s="49"/>
      <c r="AM204" s="49"/>
      <c r="AN204" s="49"/>
      <c r="AO204" s="49"/>
    </row>
    <row r="205" spans="1:41" ht="14">
      <c r="A205" s="44">
        <f ca="1">IFERROR(__xludf.DUMMYFUNCTION("QUERY('Volunteer Survey'!A212)"),43615.5707086921)</f>
        <v>43615.570708692103</v>
      </c>
      <c r="B205" s="42" t="s">
        <v>108</v>
      </c>
      <c r="C205" s="73">
        <v>43819</v>
      </c>
      <c r="D205" s="49"/>
      <c r="E205" s="49"/>
      <c r="F205" s="42" t="s">
        <v>130</v>
      </c>
      <c r="G205" s="42" t="s">
        <v>122</v>
      </c>
      <c r="H205" s="47"/>
      <c r="I205" s="45" t="s">
        <v>139</v>
      </c>
      <c r="J205" s="49"/>
      <c r="K205" s="49"/>
      <c r="L205" s="49" t="str">
        <f ca="1">IFERROR(__xludf.DUMMYFUNCTION("QUERY('Volunteer Survey'!B212)"),"Claudia Gonzaga-Jauregui")</f>
        <v>Claudia Gonzaga-Jauregui</v>
      </c>
      <c r="M205" s="49" t="str">
        <f ca="1">IFERROR(__xludf.DUMMYFUNCTION("QUERY('Volunteer Survey'!E212)"),"cgonzagaj@gmail.com")</f>
        <v>cgonzagaj@gmail.com</v>
      </c>
      <c r="N205" s="49" t="str">
        <f ca="1">IFERROR(__xludf.DUMMYFUNCTION("QUERY('Volunteer Survey'!F212)"),"Scientific Researcher")</f>
        <v>Scientific Researcher</v>
      </c>
      <c r="O205" s="42" t="str">
        <f ca="1">IFERROR(__xludf.DUMMYFUNCTION("QUERY('Volunteer Survey'!H212)"),"Comprehensive")</f>
        <v>Comprehensive</v>
      </c>
      <c r="P205" s="49" t="str">
        <f ca="1">IFERROR(__xludf.DUMMYFUNCTION("QUERY('Volunteer Survey'!I212)"),"Gene-Disease Validity")</f>
        <v>Gene-Disease Validity</v>
      </c>
      <c r="Q205" s="54" t="str">
        <f ca="1">IFERROR(__xludf.DUMMYFUNCTION("QUERY('Volunteer Survey'!J212)"),"Clinical Actionability")</f>
        <v>Clinical Actionability</v>
      </c>
      <c r="R205" s="49" t="str">
        <f ca="1">IFERROR(__xludf.DUMMYFUNCTION("QUERY('Volunteer Survey'!K212)"),"Variant Pathogenicity")</f>
        <v>Variant Pathogenicity</v>
      </c>
      <c r="S205" s="49" t="str">
        <f ca="1">IFERROR(__xludf.DUMMYFUNCTION("QUERY('Volunteer Survey'!L212)"),"")</f>
        <v/>
      </c>
      <c r="T205" s="49" t="str">
        <f ca="1">IFERROR(__xludf.DUMMYFUNCTION("QUERY('Volunteer Survey'!M212)"),"")</f>
        <v/>
      </c>
      <c r="U205" s="58" t="str">
        <f ca="1">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49" t="str">
        <f ca="1">IFERROR(__xludf.DUMMYFUNCTION("QUERY('Volunteer Survey'!O212)"),"Possibly")</f>
        <v>Possibly</v>
      </c>
      <c r="W205" s="60" t="str">
        <f ca="1">IFERROR(__xludf.DUMMYFUNCTION("QUERY('Volunteer Survey'!P212)"),"Intellectual Disability and Autism, Brain Malformations, Charcot-Marie-Tooth Disease")</f>
        <v>Intellectual Disability and Autism, Brain Malformations, Charcot-Marie-Tooth Disease</v>
      </c>
      <c r="X205" s="58" t="str">
        <f ca="1">IFERROR(__xludf.DUMMYFUNCTION("QUERY('Volunteer Survey'!R212)"),"Maybe -- please contact me with other options, and I will decide based on what is available")</f>
        <v>Maybe -- please contact me with other options, and I will decide based on what is available</v>
      </c>
      <c r="Y205" s="47"/>
      <c r="Z205" s="49"/>
      <c r="AA205" s="49"/>
      <c r="AB205" s="49"/>
      <c r="AC205" s="49"/>
      <c r="AD205" s="49"/>
      <c r="AE205" s="49"/>
      <c r="AF205" s="49"/>
      <c r="AG205" s="49"/>
      <c r="AH205" s="49"/>
      <c r="AI205" s="49"/>
      <c r="AJ205" s="49"/>
      <c r="AK205" s="49"/>
      <c r="AL205" s="49"/>
      <c r="AM205" s="49"/>
      <c r="AN205" s="49"/>
      <c r="AO205" s="49"/>
    </row>
    <row r="206" spans="1:41" ht="14">
      <c r="A206" s="44">
        <f ca="1">IFERROR(__xludf.DUMMYFUNCTION("QUERY('Volunteer Survey'!A213)"),43615.9777125694)</f>
        <v>43615.977712569402</v>
      </c>
      <c r="B206" s="42" t="s">
        <v>168</v>
      </c>
      <c r="C206" s="73">
        <v>43689</v>
      </c>
      <c r="D206" s="49"/>
      <c r="E206" s="49"/>
      <c r="F206" s="42" t="s">
        <v>130</v>
      </c>
      <c r="G206" s="42" t="s">
        <v>19</v>
      </c>
      <c r="H206" s="63"/>
      <c r="I206" s="45" t="s">
        <v>139</v>
      </c>
      <c r="J206" s="49"/>
      <c r="K206" s="49"/>
      <c r="L206" s="49" t="str">
        <f ca="1">IFERROR(__xludf.DUMMYFUNCTION("QUERY('Volunteer Survey'!B213)"),"Altovise Ewing")</f>
        <v>Altovise Ewing</v>
      </c>
      <c r="M206" s="49" t="str">
        <f ca="1">IFERROR(__xludf.DUMMYFUNCTION("QUERY('Volunteer Survey'!E213)"),"altovisee@gmail.com")</f>
        <v>altovisee@gmail.com</v>
      </c>
      <c r="N206" s="49" t="str">
        <f ca="1">IFERROR(__xludf.DUMMYFUNCTION("QUERY('Volunteer Survey'!F213)"),"Genetic counselor and health equity scientist")</f>
        <v>Genetic counselor and health equity scientist</v>
      </c>
      <c r="O206" s="42" t="str">
        <f ca="1">IFERROR(__xludf.DUMMYFUNCTION("QUERY('Volunteer Survey'!H213)"),"Comprehensive")</f>
        <v>Comprehensive</v>
      </c>
      <c r="P206" s="49" t="str">
        <f ca="1">IFERROR(__xludf.DUMMYFUNCTION("QUERY('Volunteer Survey'!I213)"),"Clinical Actionability")</f>
        <v>Clinical Actionability</v>
      </c>
      <c r="Q206" s="54" t="str">
        <f ca="1">IFERROR(__xludf.DUMMYFUNCTION("QUERY('Volunteer Survey'!J213)"),"Variant Pathogenicity")</f>
        <v>Variant Pathogenicity</v>
      </c>
      <c r="R206" s="49" t="str">
        <f ca="1">IFERROR(__xludf.DUMMYFUNCTION("QUERY('Volunteer Survey'!K213)"),"Gene-Disease Validity")</f>
        <v>Gene-Disease Validity</v>
      </c>
      <c r="S206" s="49" t="str">
        <f ca="1">IFERROR(__xludf.DUMMYFUNCTION("QUERY('Volunteer Survey'!L213)"),"Dosage Sensitivity")</f>
        <v>Dosage Sensitivity</v>
      </c>
      <c r="T206" s="49" t="str">
        <f ca="1">IFERROR(__xludf.DUMMYFUNCTION("QUERY('Volunteer Survey'!M213)"),"Somatic Cancer")</f>
        <v>Somatic Cancer</v>
      </c>
      <c r="U206" s="58" t="str">
        <f ca="1">IFERROR(__xludf.DUMMYFUNCTION("QUERY('Volunteer Survey'!N213)"),"")</f>
        <v/>
      </c>
      <c r="V206" s="49" t="str">
        <f ca="1">IFERROR(__xludf.DUMMYFUNCTION("QUERY('Volunteer Survey'!O213)"),"Yes")</f>
        <v>Yes</v>
      </c>
      <c r="W206" s="60" t="str">
        <f ca="1">IFERROR(__xludf.DUMMYFUNCTION("QUERY('Volunteer Survey'!P213)"),"Hereditary cancer")</f>
        <v>Hereditary cancer</v>
      </c>
      <c r="X206" s="58" t="str">
        <f ca="1">IFERROR(__xludf.DUMMYFUNCTION("QUERY('Volunteer Survey'!R213)"),"Yes- I am willing to volunteer with any available ClinGen group")</f>
        <v>Yes- I am willing to volunteer with any available ClinGen group</v>
      </c>
      <c r="Y206" s="47"/>
      <c r="Z206" s="49"/>
      <c r="AA206" s="49"/>
      <c r="AB206" s="49"/>
      <c r="AC206" s="49"/>
      <c r="AD206" s="49"/>
      <c r="AE206" s="49"/>
      <c r="AF206" s="49"/>
      <c r="AG206" s="49"/>
      <c r="AH206" s="49"/>
      <c r="AI206" s="49"/>
      <c r="AJ206" s="49"/>
      <c r="AK206" s="49"/>
      <c r="AL206" s="49"/>
      <c r="AM206" s="49"/>
      <c r="AN206" s="49"/>
      <c r="AO206" s="49"/>
    </row>
    <row r="207" spans="1:41" ht="14">
      <c r="A207" s="44">
        <f ca="1">IFERROR(__xludf.DUMMYFUNCTION("QUERY('Volunteer Survey'!A214)"),43619.481825162)</f>
        <v>43619.481825162002</v>
      </c>
      <c r="B207" s="42" t="s">
        <v>322</v>
      </c>
      <c r="C207" s="47"/>
      <c r="D207" s="49"/>
      <c r="E207" s="49"/>
      <c r="F207" s="42" t="s">
        <v>130</v>
      </c>
      <c r="G207" s="42" t="s">
        <v>163</v>
      </c>
      <c r="H207" s="47"/>
      <c r="I207" s="45" t="s">
        <v>139</v>
      </c>
      <c r="J207" s="49"/>
      <c r="K207" s="49"/>
      <c r="L207" s="49" t="str">
        <f ca="1">IFERROR(__xludf.DUMMYFUNCTION("QUERY('Volunteer Survey'!B214)"),"Laura Sack")</f>
        <v>Laura Sack</v>
      </c>
      <c r="M207" s="49" t="str">
        <f ca="1">IFERROR(__xludf.DUMMYFUNCTION("QUERY('Volunteer Survey'!E214)"),"laura@sack.io")</f>
        <v>laura@sack.io</v>
      </c>
      <c r="N207" s="49" t="str">
        <f ca="1">IFERROR(__xludf.DUMMYFUNCTION("QUERY('Volunteer Survey'!F214)"),"Variant Analyst/Scientist - Industry")</f>
        <v>Variant Analyst/Scientist - Industry</v>
      </c>
      <c r="O207" s="42" t="str">
        <f ca="1">IFERROR(__xludf.DUMMYFUNCTION("QUERY('Volunteer Survey'!H214)"),"Comprehensive")</f>
        <v>Comprehensive</v>
      </c>
      <c r="P207" s="49" t="str">
        <f ca="1">IFERROR(__xludf.DUMMYFUNCTION("QUERY('Volunteer Survey'!I214)"),"Dosage Sensitivity")</f>
        <v>Dosage Sensitivity</v>
      </c>
      <c r="Q207" s="54" t="str">
        <f ca="1">IFERROR(__xludf.DUMMYFUNCTION("QUERY('Volunteer Survey'!J214)"),"Gene-Disease Validity")</f>
        <v>Gene-Disease Validity</v>
      </c>
      <c r="R207" s="49" t="str">
        <f ca="1">IFERROR(__xludf.DUMMYFUNCTION("QUERY('Volunteer Survey'!K214)"),"Variant Pathogenicity")</f>
        <v>Variant Pathogenicity</v>
      </c>
      <c r="S207" s="49" t="str">
        <f ca="1">IFERROR(__xludf.DUMMYFUNCTION("QUERY('Volunteer Survey'!L214)"),"")</f>
        <v/>
      </c>
      <c r="T207" s="49" t="str">
        <f ca="1">IFERROR(__xludf.DUMMYFUNCTION("QUERY('Volunteer Survey'!M214)"),"")</f>
        <v/>
      </c>
      <c r="U207" s="58" t="str">
        <f ca="1">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49" t="str">
        <f ca="1">IFERROR(__xludf.DUMMYFUNCTION("QUERY('Volunteer Survey'!O214)"),"Possibly")</f>
        <v>Possibly</v>
      </c>
      <c r="W207" s="60" t="str">
        <f ca="1">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58" t="str">
        <f ca="1">IFERROR(__xludf.DUMMYFUNCTION("QUERY('Volunteer Survey'!R214)"),"Yes- I am willing to volunteer with any available ClinGen group")</f>
        <v>Yes- I am willing to volunteer with any available ClinGen group</v>
      </c>
      <c r="Y207" s="47"/>
      <c r="Z207" s="49"/>
      <c r="AA207" s="49"/>
      <c r="AB207" s="49"/>
      <c r="AC207" s="49"/>
      <c r="AD207" s="49"/>
      <c r="AE207" s="49"/>
      <c r="AF207" s="49"/>
      <c r="AG207" s="49"/>
      <c r="AH207" s="49"/>
      <c r="AI207" s="49"/>
      <c r="AJ207" s="49"/>
      <c r="AK207" s="49"/>
      <c r="AL207" s="49"/>
      <c r="AM207" s="49"/>
      <c r="AN207" s="49"/>
      <c r="AO207" s="49"/>
    </row>
    <row r="208" spans="1:41" ht="14">
      <c r="A208" s="44">
        <f ca="1">IFERROR(__xludf.DUMMYFUNCTION("QUERY('Volunteer Survey'!A215)"),43620.7890536342)</f>
        <v>43620.789053634202</v>
      </c>
      <c r="B208" s="42" t="s">
        <v>108</v>
      </c>
      <c r="C208" s="73">
        <v>43819</v>
      </c>
      <c r="D208" s="49"/>
      <c r="E208" s="49"/>
      <c r="F208" s="42" t="s">
        <v>130</v>
      </c>
      <c r="G208" s="42" t="s">
        <v>251</v>
      </c>
      <c r="H208" s="47"/>
      <c r="I208" s="45" t="s">
        <v>139</v>
      </c>
      <c r="J208" s="49"/>
      <c r="K208" s="49"/>
      <c r="L208" s="49" t="str">
        <f ca="1">IFERROR(__xludf.DUMMYFUNCTION("QUERY('Volunteer Survey'!B215)"),"Janel Case")</f>
        <v>Janel Case</v>
      </c>
      <c r="M208" s="49" t="str">
        <f ca="1">IFERROR(__xludf.DUMMYFUNCTION("QUERY('Volunteer Survey'!E215)"),"janelcase@live.com")</f>
        <v>janelcase@live.com</v>
      </c>
      <c r="N208" s="49" t="str">
        <f ca="1">IFERROR(__xludf.DUMMYFUNCTION("QUERY('Volunteer Survey'!F215)"),"Genetic counselor")</f>
        <v>Genetic counselor</v>
      </c>
      <c r="O208" s="42" t="str">
        <f ca="1">IFERROR(__xludf.DUMMYFUNCTION("QUERY('Volunteer Survey'!H215)"),"Comprehensive")</f>
        <v>Comprehensive</v>
      </c>
      <c r="P208" s="49" t="str">
        <f ca="1">IFERROR(__xludf.DUMMYFUNCTION("QUERY('Volunteer Survey'!I215)"),"Variant Pathogenicity")</f>
        <v>Variant Pathogenicity</v>
      </c>
      <c r="Q208" s="54" t="str">
        <f ca="1">IFERROR(__xludf.DUMMYFUNCTION("QUERY('Volunteer Survey'!J215)"),"Actionability")</f>
        <v>Actionability</v>
      </c>
      <c r="R208" s="49" t="str">
        <f ca="1">IFERROR(__xludf.DUMMYFUNCTION("QUERY('Volunteer Survey'!K215)"),"")</f>
        <v/>
      </c>
      <c r="S208" s="49" t="str">
        <f ca="1">IFERROR(__xludf.DUMMYFUNCTION("QUERY('Volunteer Survey'!L215)"),"")</f>
        <v/>
      </c>
      <c r="T208" s="49" t="str">
        <f ca="1">IFERROR(__xludf.DUMMYFUNCTION("QUERY('Volunteer Survey'!M215)"),"")</f>
        <v/>
      </c>
      <c r="U208" s="58" t="str">
        <f ca="1">IFERROR(__xludf.DUMMYFUNCTION("QUERY('Volunteer Survey'!N215)"),"Variant curation internship at Illumina ")</f>
        <v xml:space="preserve">Variant curation internship at Illumina </v>
      </c>
      <c r="V208" s="49" t="str">
        <f ca="1">IFERROR(__xludf.DUMMYFUNCTION("QUERY('Volunteer Survey'!O215)"),"Possibly")</f>
        <v>Possibly</v>
      </c>
      <c r="W208" s="60" t="str">
        <f ca="1">IFERROR(__xludf.DUMMYFUNCTION("QUERY('Volunteer Survey'!P215)"),"Any hereditary cancer related groups ")</f>
        <v xml:space="preserve">Any hereditary cancer related groups </v>
      </c>
      <c r="X208" s="58" t="str">
        <f ca="1">IFERROR(__xludf.DUMMYFUNCTION("QUERY('Volunteer Survey'!R215)"),"Maybe -- please contact me with other options, and I will decide based on what is available")</f>
        <v>Maybe -- please contact me with other options, and I will decide based on what is available</v>
      </c>
      <c r="Y208" s="47"/>
      <c r="Z208" s="49"/>
      <c r="AA208" s="49"/>
      <c r="AB208" s="49"/>
      <c r="AC208" s="49"/>
      <c r="AD208" s="49"/>
      <c r="AE208" s="49"/>
      <c r="AF208" s="49"/>
      <c r="AG208" s="49"/>
      <c r="AH208" s="49"/>
      <c r="AI208" s="49"/>
      <c r="AJ208" s="49"/>
      <c r="AK208" s="49"/>
      <c r="AL208" s="49"/>
      <c r="AM208" s="49"/>
      <c r="AN208" s="49"/>
      <c r="AO208" s="49"/>
    </row>
    <row r="209" spans="1:41" ht="14">
      <c r="A209" s="44">
        <f ca="1">IFERROR(__xludf.DUMMYFUNCTION("QUERY('Volunteer Survey'!A216)"),43621.341686875)</f>
        <v>43621.341686874999</v>
      </c>
      <c r="B209" s="42" t="s">
        <v>108</v>
      </c>
      <c r="C209" s="47"/>
      <c r="D209" s="50">
        <v>43627</v>
      </c>
      <c r="E209" s="42" t="s">
        <v>117</v>
      </c>
      <c r="F209" s="42" t="s">
        <v>117</v>
      </c>
      <c r="G209" s="42" t="s">
        <v>251</v>
      </c>
      <c r="H209" s="47"/>
      <c r="I209" s="45" t="s">
        <v>139</v>
      </c>
      <c r="J209" s="49"/>
      <c r="K209" s="49"/>
      <c r="L209" s="49" t="str">
        <f ca="1">IFERROR(__xludf.DUMMYFUNCTION("QUERY('Volunteer Survey'!B216)"),"Carolina Bustamante")</f>
        <v>Carolina Bustamante</v>
      </c>
      <c r="M209" s="49" t="str">
        <f ca="1">IFERROR(__xludf.DUMMYFUNCTION("QUERY('Volunteer Survey'!E216)"),"carolina.bustamante@gmail.com")</f>
        <v>carolina.bustamante@gmail.com</v>
      </c>
      <c r="N209" s="49" t="str">
        <f ca="1">IFERROR(__xludf.DUMMYFUNCTION("QUERY('Volunteer Survey'!F216)"),"Variant Analyst/Scientist - Industry")</f>
        <v>Variant Analyst/Scientist - Industry</v>
      </c>
      <c r="O209" s="42" t="str">
        <f ca="1">IFERROR(__xludf.DUMMYFUNCTION("QUERY('Volunteer Survey'!H216)"),"Comprehensive")</f>
        <v>Comprehensive</v>
      </c>
      <c r="P209" s="49" t="str">
        <f ca="1">IFERROR(__xludf.DUMMYFUNCTION("QUERY('Volunteer Survey'!I216)"),"Variant Pathogenicity")</f>
        <v>Variant Pathogenicity</v>
      </c>
      <c r="Q209" s="54" t="str">
        <f ca="1">IFERROR(__xludf.DUMMYFUNCTION("QUERY('Volunteer Survey'!J216)"),"Somatic Cancer")</f>
        <v>Somatic Cancer</v>
      </c>
      <c r="R209" s="49" t="str">
        <f ca="1">IFERROR(__xludf.DUMMYFUNCTION("QUERY('Volunteer Survey'!K216)"),"Clinical Actionability")</f>
        <v>Clinical Actionability</v>
      </c>
      <c r="S209" s="49" t="str">
        <f ca="1">IFERROR(__xludf.DUMMYFUNCTION("QUERY('Volunteer Survey'!L216)"),"Gene-Disease Validity")</f>
        <v>Gene-Disease Validity</v>
      </c>
      <c r="T209" s="49" t="str">
        <f ca="1">IFERROR(__xludf.DUMMYFUNCTION("QUERY('Volunteer Survey'!M216)"),"Dosage Sensitivity")</f>
        <v>Dosage Sensitivity</v>
      </c>
      <c r="U209" s="58" t="str">
        <f ca="1">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49" t="str">
        <f ca="1">IFERROR(__xludf.DUMMYFUNCTION("QUERY('Volunteer Survey'!O216)"),"Yes")</f>
        <v>Yes</v>
      </c>
      <c r="W209" s="60" t="str">
        <f ca="1">IFERROR(__xludf.DUMMYFUNCTION("QUERY('Volunteer Survey'!P216)"),"Cancer, Hereditary Cancer, Colorectal Cancer, Genitourinary Tract Cancers, TP53, PTEN, CDH1, FBN1. ")</f>
        <v xml:space="preserve">Cancer, Hereditary Cancer, Colorectal Cancer, Genitourinary Tract Cancers, TP53, PTEN, CDH1, FBN1. </v>
      </c>
      <c r="X209" s="58" t="str">
        <f ca="1">IFERROR(__xludf.DUMMYFUNCTION("QUERY('Volunteer Survey'!R216)"),"Yes- I am willing to volunteer with any available ClinGen group")</f>
        <v>Yes- I am willing to volunteer with any available ClinGen group</v>
      </c>
      <c r="Y209" s="47"/>
      <c r="Z209" s="49"/>
      <c r="AA209" s="49"/>
      <c r="AB209" s="49"/>
      <c r="AC209" s="49"/>
      <c r="AD209" s="49"/>
      <c r="AE209" s="49"/>
      <c r="AF209" s="49"/>
      <c r="AG209" s="49"/>
      <c r="AH209" s="49"/>
      <c r="AI209" s="49"/>
      <c r="AJ209" s="49"/>
      <c r="AK209" s="49"/>
      <c r="AL209" s="49"/>
      <c r="AM209" s="49"/>
      <c r="AN209" s="49"/>
      <c r="AO209" s="49"/>
    </row>
    <row r="210" spans="1:41" ht="14">
      <c r="A210" s="44">
        <f ca="1">IFERROR(__xludf.DUMMYFUNCTION("QUERY('Volunteer Survey'!A217)"),43621.3798945601)</f>
        <v>43621.379894560101</v>
      </c>
      <c r="B210" s="42" t="s">
        <v>108</v>
      </c>
      <c r="C210" s="47"/>
      <c r="D210" s="49"/>
      <c r="E210" s="49"/>
      <c r="F210" s="42" t="s">
        <v>130</v>
      </c>
      <c r="G210" s="42" t="s">
        <v>202</v>
      </c>
      <c r="H210" s="47"/>
      <c r="I210" s="45" t="s">
        <v>139</v>
      </c>
      <c r="J210" s="49"/>
      <c r="K210" s="49"/>
      <c r="L210" s="49" t="str">
        <f ca="1">IFERROR(__xludf.DUMMYFUNCTION("QUERY('Volunteer Survey'!B217)"),"Natalie Hollister")</f>
        <v>Natalie Hollister</v>
      </c>
      <c r="M210" s="49" t="str">
        <f ca="1">IFERROR(__xludf.DUMMYFUNCTION("QUERY('Volunteer Survey'!E217)"),"nsh10@alumni.duke.edu")</f>
        <v>nsh10@alumni.duke.edu</v>
      </c>
      <c r="N210" s="49" t="str">
        <f ca="1">IFERROR(__xludf.DUMMYFUNCTION("QUERY('Volunteer Survey'!F217)"),"Graduate Student")</f>
        <v>Graduate Student</v>
      </c>
      <c r="O210" s="42" t="str">
        <f ca="1">IFERROR(__xludf.DUMMYFUNCTION("QUERY('Volunteer Survey'!H217)"),"Baseline")</f>
        <v>Baseline</v>
      </c>
      <c r="P210" s="49" t="str">
        <f ca="1">IFERROR(__xludf.DUMMYFUNCTION("QUERY('Volunteer Survey'!I217)"),"")</f>
        <v/>
      </c>
      <c r="Q210" s="54" t="str">
        <f ca="1">IFERROR(__xludf.DUMMYFUNCTION("QUERY('Volunteer Survey'!J217)"),"")</f>
        <v/>
      </c>
      <c r="R210" s="49" t="str">
        <f ca="1">IFERROR(__xludf.DUMMYFUNCTION("QUERY('Volunteer Survey'!K217)"),"")</f>
        <v/>
      </c>
      <c r="S210" s="49" t="str">
        <f ca="1">IFERROR(__xludf.DUMMYFUNCTION("QUERY('Volunteer Survey'!L217)"),"")</f>
        <v/>
      </c>
      <c r="T210" s="49" t="str">
        <f ca="1">IFERROR(__xludf.DUMMYFUNCTION("QUERY('Volunteer Survey'!M217)"),"")</f>
        <v/>
      </c>
      <c r="U210" s="58" t="str">
        <f ca="1">IFERROR(__xludf.DUMMYFUNCTION("QUERY('Volunteer Survey'!N217)"),"")</f>
        <v/>
      </c>
      <c r="V210" s="49" t="str">
        <f ca="1">IFERROR(__xludf.DUMMYFUNCTION("QUERY('Volunteer Survey'!O217)"),"No")</f>
        <v>No</v>
      </c>
      <c r="W210" s="60" t="str">
        <f ca="1">IFERROR(__xludf.DUMMYFUNCTION("QUERY('Volunteer Survey'!P217)"),"")</f>
        <v/>
      </c>
      <c r="X210" s="58" t="str">
        <f ca="1">IFERROR(__xludf.DUMMYFUNCTION("QUERY('Volunteer Survey'!R217)"),"")</f>
        <v/>
      </c>
      <c r="Y210" s="47"/>
      <c r="Z210" s="49"/>
      <c r="AA210" s="49"/>
      <c r="AB210" s="49"/>
      <c r="AC210" s="49"/>
      <c r="AD210" s="49"/>
      <c r="AE210" s="49"/>
      <c r="AF210" s="49"/>
      <c r="AG210" s="49"/>
      <c r="AH210" s="49"/>
      <c r="AI210" s="49"/>
      <c r="AJ210" s="49"/>
      <c r="AK210" s="49"/>
      <c r="AL210" s="49"/>
      <c r="AM210" s="49"/>
      <c r="AN210" s="49"/>
      <c r="AO210" s="49"/>
    </row>
    <row r="211" spans="1:41" ht="14">
      <c r="A211" s="44">
        <f ca="1">IFERROR(__xludf.DUMMYFUNCTION("QUERY('Volunteer Survey'!A218)"),43622.554816875)</f>
        <v>43622.554816875003</v>
      </c>
      <c r="B211" s="42" t="s">
        <v>108</v>
      </c>
      <c r="C211" s="47"/>
      <c r="D211" s="59">
        <v>43692</v>
      </c>
      <c r="E211" s="42" t="s">
        <v>117</v>
      </c>
      <c r="F211" s="42" t="s">
        <v>117</v>
      </c>
      <c r="G211" s="42" t="s">
        <v>122</v>
      </c>
      <c r="H211" s="47"/>
      <c r="I211" s="45" t="s">
        <v>139</v>
      </c>
      <c r="J211" s="49"/>
      <c r="K211" s="49"/>
      <c r="L211" s="49" t="str">
        <f ca="1">IFERROR(__xludf.DUMMYFUNCTION("QUERY('Volunteer Survey'!B218)"),"Jean Davidson")</f>
        <v>Jean Davidson</v>
      </c>
      <c r="M211" s="49" t="str">
        <f ca="1">IFERROR(__xludf.DUMMYFUNCTION("QUERY('Volunteer Survey'!E218)"),"jdavid06@calpoly.edu")</f>
        <v>jdavid06@calpoly.edu</v>
      </c>
      <c r="N211" s="49" t="str">
        <f ca="1">IFERROR(__xludf.DUMMYFUNCTION("QUERY('Volunteer Survey'!F218)"),"Scientific Researcher")</f>
        <v>Scientific Researcher</v>
      </c>
      <c r="O211" s="42" t="str">
        <f ca="1">IFERROR(__xludf.DUMMYFUNCTION("QUERY('Volunteer Survey'!H218)"),"Comprehensive")</f>
        <v>Comprehensive</v>
      </c>
      <c r="P211" s="49" t="str">
        <f ca="1">IFERROR(__xludf.DUMMYFUNCTION("QUERY('Volunteer Survey'!I218)"),"Gene-Disease Validity")</f>
        <v>Gene-Disease Validity</v>
      </c>
      <c r="Q211" s="54" t="str">
        <f ca="1">IFERROR(__xludf.DUMMYFUNCTION("QUERY('Volunteer Survey'!J218)"),"Variant Pathogenicity")</f>
        <v>Variant Pathogenicity</v>
      </c>
      <c r="R211" s="49" t="str">
        <f ca="1">IFERROR(__xludf.DUMMYFUNCTION("QUERY('Volunteer Survey'!K218)"),"Clinical Actionability")</f>
        <v>Clinical Actionability</v>
      </c>
      <c r="S211" s="49" t="str">
        <f ca="1">IFERROR(__xludf.DUMMYFUNCTION("QUERY('Volunteer Survey'!L218)"),"Dosage Sensitivity")</f>
        <v>Dosage Sensitivity</v>
      </c>
      <c r="T211" s="49" t="str">
        <f ca="1">IFERROR(__xludf.DUMMYFUNCTION("QUERY('Volunteer Survey'!M218)"),"Somatic Cancer")</f>
        <v>Somatic Cancer</v>
      </c>
      <c r="U211" s="58" t="str">
        <f ca="1">IFERROR(__xludf.DUMMYFUNCTION("QUERY('Volunteer Survey'!N218)"),"I was a member of the Undiagnosed Disease Network at Stanford University as a genomics coordinator, as well as a member of the ENCODE coordination center at Stanford.  ")</f>
        <v xml:space="preserve">I was a member of the Undiagnosed Disease Network at Stanford University as a genomics coordinator, as well as a member of the ENCODE coordination center at Stanford.  </v>
      </c>
      <c r="V211" s="49" t="str">
        <f ca="1">IFERROR(__xludf.DUMMYFUNCTION("QUERY('Volunteer Survey'!O218)"),"No")</f>
        <v>No</v>
      </c>
      <c r="W211" s="60" t="str">
        <f ca="1">IFERROR(__xludf.DUMMYFUNCTION("QUERY('Volunteer Survey'!P218)"),"mitochondrial diseases, dilated cardiomyopathy, ")</f>
        <v xml:space="preserve">mitochondrial diseases, dilated cardiomyopathy, </v>
      </c>
      <c r="X211" s="58" t="str">
        <f ca="1">IFERROR(__xludf.DUMMYFUNCTION("QUERY('Volunteer Survey'!R218)"),"Yes- I am willing to volunteer with any available ClinGen group")</f>
        <v>Yes- I am willing to volunteer with any available ClinGen group</v>
      </c>
      <c r="Y211" s="47"/>
      <c r="Z211" s="49"/>
      <c r="AA211" s="49"/>
      <c r="AB211" s="49"/>
      <c r="AC211" s="49"/>
      <c r="AD211" s="49"/>
      <c r="AE211" s="49"/>
      <c r="AF211" s="49"/>
      <c r="AG211" s="49"/>
      <c r="AH211" s="49"/>
      <c r="AI211" s="49"/>
      <c r="AJ211" s="49"/>
      <c r="AK211" s="49"/>
      <c r="AL211" s="49"/>
      <c r="AM211" s="49"/>
      <c r="AN211" s="49"/>
      <c r="AO211" s="49"/>
    </row>
    <row r="212" spans="1:41" ht="14">
      <c r="A212" s="44">
        <f ca="1">IFERROR(__xludf.DUMMYFUNCTION("QUERY('Volunteer Survey'!A219)"),43623.2904925463)</f>
        <v>43623.290492546301</v>
      </c>
      <c r="B212" s="42" t="s">
        <v>168</v>
      </c>
      <c r="C212" s="47"/>
      <c r="D212" s="49"/>
      <c r="E212" s="49"/>
      <c r="F212" s="42" t="s">
        <v>130</v>
      </c>
      <c r="G212" s="42" t="s">
        <v>251</v>
      </c>
      <c r="H212" s="47"/>
      <c r="I212" s="45" t="s">
        <v>139</v>
      </c>
      <c r="J212" s="49"/>
      <c r="K212" s="49"/>
      <c r="L212" s="49" t="str">
        <f ca="1">IFERROR(__xludf.DUMMYFUNCTION("QUERY('Volunteer Survey'!B219)"),"Timo Dereani")</f>
        <v>Timo Dereani</v>
      </c>
      <c r="M212" s="49" t="str">
        <f ca="1">IFERROR(__xludf.DUMMYFUNCTION("QUERY('Volunteer Survey'!E219)"),"dereani@biologis.diagnosticum.eu")</f>
        <v>dereani@biologis.diagnosticum.eu</v>
      </c>
      <c r="N212" s="49" t="str">
        <f ca="1">IFERROR(__xludf.DUMMYFUNCTION("QUERY('Volunteer Survey'!F219)"),"Clinical laboratory geneticist")</f>
        <v>Clinical laboratory geneticist</v>
      </c>
      <c r="O212" s="42" t="str">
        <f ca="1">IFERROR(__xludf.DUMMYFUNCTION("QUERY('Volunteer Survey'!H219)"),"Comprehensive")</f>
        <v>Comprehensive</v>
      </c>
      <c r="P212" s="49" t="str">
        <f ca="1">IFERROR(__xludf.DUMMYFUNCTION("QUERY('Volunteer Survey'!I219)"),"Variant Pathogenicity")</f>
        <v>Variant Pathogenicity</v>
      </c>
      <c r="Q212" s="54" t="str">
        <f ca="1">IFERROR(__xludf.DUMMYFUNCTION("QUERY('Volunteer Survey'!J219)"),"Clinical Actionability")</f>
        <v>Clinical Actionability</v>
      </c>
      <c r="R212" s="49" t="str">
        <f ca="1">IFERROR(__xludf.DUMMYFUNCTION("QUERY('Volunteer Survey'!K219)"),"Dosage Sensitivity")</f>
        <v>Dosage Sensitivity</v>
      </c>
      <c r="S212" s="49" t="str">
        <f ca="1">IFERROR(__xludf.DUMMYFUNCTION("QUERY('Volunteer Survey'!L219)"),"Gene-Disease Validity")</f>
        <v>Gene-Disease Validity</v>
      </c>
      <c r="T212" s="49" t="str">
        <f ca="1">IFERROR(__xludf.DUMMYFUNCTION("QUERY('Volunteer Survey'!M219)"),"Somatic Cancer")</f>
        <v>Somatic Cancer</v>
      </c>
      <c r="U212" s="58" t="str">
        <f ca="1">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49" t="str">
        <f ca="1">IFERROR(__xludf.DUMMYFUNCTION("QUERY('Volunteer Survey'!O219)"),"Yes")</f>
        <v>Yes</v>
      </c>
      <c r="W212" s="60" t="str">
        <f ca="1">IFERROR(__xludf.DUMMYFUNCTION("QUERY('Volunteer Survey'!P219)"),"Monogenic Diabetes, Hereditary Cancer")</f>
        <v>Monogenic Diabetes, Hereditary Cancer</v>
      </c>
      <c r="X212" s="58" t="str">
        <f ca="1">IFERROR(__xludf.DUMMYFUNCTION("QUERY('Volunteer Survey'!R219)"),"Maybe -- please contact me with other options, and I will decide based on what is available")</f>
        <v>Maybe -- please contact me with other options, and I will decide based on what is available</v>
      </c>
      <c r="Y212" s="47"/>
      <c r="Z212" s="49"/>
      <c r="AA212" s="49"/>
      <c r="AB212" s="49"/>
      <c r="AC212" s="49"/>
      <c r="AD212" s="49"/>
      <c r="AE212" s="49"/>
      <c r="AF212" s="49"/>
      <c r="AG212" s="49"/>
      <c r="AH212" s="49"/>
      <c r="AI212" s="49"/>
      <c r="AJ212" s="49"/>
      <c r="AK212" s="49"/>
      <c r="AL212" s="49"/>
      <c r="AM212" s="49"/>
      <c r="AN212" s="49"/>
      <c r="AO212" s="49"/>
    </row>
    <row r="213" spans="1:41" ht="14">
      <c r="A213" s="44">
        <f ca="1">IFERROR(__xludf.DUMMYFUNCTION("QUERY('Volunteer Survey'!A220)"),43625.5121806481)</f>
        <v>43625.512180648097</v>
      </c>
      <c r="B213" s="42" t="s">
        <v>322</v>
      </c>
      <c r="C213" s="47"/>
      <c r="D213" s="49"/>
      <c r="E213" s="49"/>
      <c r="F213" s="42" t="s">
        <v>130</v>
      </c>
      <c r="G213" s="42" t="s">
        <v>122</v>
      </c>
      <c r="H213" s="47"/>
      <c r="I213" s="45" t="s">
        <v>139</v>
      </c>
      <c r="J213" s="49"/>
      <c r="K213" s="49"/>
      <c r="L213" s="49" t="str">
        <f ca="1">IFERROR(__xludf.DUMMYFUNCTION("QUERY('Volunteer Survey'!B220)"),"Konstantinos Varvagiannis")</f>
        <v>Konstantinos Varvagiannis</v>
      </c>
      <c r="M213" s="49" t="str">
        <f ca="1">IFERROR(__xludf.DUMMYFUNCTION("QUERY('Volunteer Survey'!E220)"),"knsvarv@ath.forthnet.gr")</f>
        <v>knsvarv@ath.forthnet.gr</v>
      </c>
      <c r="N213" s="49" t="str">
        <f ca="1">IFERROR(__xludf.DUMMYFUNCTION("QUERY('Volunteer Survey'!F220)"),"Clinical Medical Geneticist")</f>
        <v>Clinical Medical Geneticist</v>
      </c>
      <c r="O213" s="42" t="str">
        <f ca="1">IFERROR(__xludf.DUMMYFUNCTION("QUERY('Volunteer Survey'!H220)"),"Baseline")</f>
        <v>Baseline</v>
      </c>
      <c r="P213" s="49" t="str">
        <f ca="1">IFERROR(__xludf.DUMMYFUNCTION("QUERY('Volunteer Survey'!I220)"),"Gene-Disease Validity")</f>
        <v>Gene-Disease Validity</v>
      </c>
      <c r="Q213" s="54" t="str">
        <f ca="1">IFERROR(__xludf.DUMMYFUNCTION("QUERY('Volunteer Survey'!J220)"),"Variant Pathogenicity")</f>
        <v>Variant Pathogenicity</v>
      </c>
      <c r="R213" s="49" t="str">
        <f ca="1">IFERROR(__xludf.DUMMYFUNCTION("QUERY('Volunteer Survey'!K220)"),"Dosage Sensitivity")</f>
        <v>Dosage Sensitivity</v>
      </c>
      <c r="S213" s="49" t="str">
        <f ca="1">IFERROR(__xludf.DUMMYFUNCTION("QUERY('Volunteer Survey'!L220)"),"Clinical Actionability")</f>
        <v>Clinical Actionability</v>
      </c>
      <c r="T213" s="49" t="str">
        <f ca="1">IFERROR(__xludf.DUMMYFUNCTION("QUERY('Volunteer Survey'!M220)"),"Somatic Cancer")</f>
        <v>Somatic Cancer</v>
      </c>
      <c r="U213" s="58" t="str">
        <f ca="1">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49" t="str">
        <f ca="1">IFERROR(__xludf.DUMMYFUNCTION("QUERY('Volunteer Survey'!O220)"),"Possibly")</f>
        <v>Possibly</v>
      </c>
      <c r="W213" s="60" t="str">
        <f ca="1">IFERROR(__xludf.DUMMYFUNCTION("QUERY('Volunteer Survey'!P220)"),"Intellectual Disability and Autism / Epilepsy")</f>
        <v>Intellectual Disability and Autism / Epilepsy</v>
      </c>
      <c r="X213" s="58" t="str">
        <f ca="1">IFERROR(__xludf.DUMMYFUNCTION("QUERY('Volunteer Survey'!R220)"),"Maybe -- please contact me with other options, and I will decide based on what is available")</f>
        <v>Maybe -- please contact me with other options, and I will decide based on what is available</v>
      </c>
      <c r="Y213" s="47"/>
      <c r="Z213" s="49"/>
      <c r="AA213" s="49"/>
      <c r="AB213" s="49"/>
      <c r="AC213" s="49"/>
      <c r="AD213" s="49"/>
      <c r="AE213" s="49"/>
      <c r="AF213" s="49"/>
      <c r="AG213" s="49"/>
      <c r="AH213" s="49"/>
      <c r="AI213" s="49"/>
      <c r="AJ213" s="49"/>
      <c r="AK213" s="49"/>
      <c r="AL213" s="49"/>
      <c r="AM213" s="49"/>
      <c r="AN213" s="49"/>
      <c r="AO213" s="49"/>
    </row>
    <row r="214" spans="1:41" ht="14">
      <c r="A214" s="44">
        <f ca="1">IFERROR(__xludf.DUMMYFUNCTION("QUERY('Volunteer Survey'!A221)"),43625.5664684722)</f>
        <v>43625.5664684722</v>
      </c>
      <c r="B214" s="42" t="s">
        <v>168</v>
      </c>
      <c r="C214" s="47"/>
      <c r="D214" s="49"/>
      <c r="E214" s="49"/>
      <c r="F214" s="42" t="s">
        <v>130</v>
      </c>
      <c r="G214" s="42" t="s">
        <v>251</v>
      </c>
      <c r="H214" s="47"/>
      <c r="I214" s="45" t="s">
        <v>139</v>
      </c>
      <c r="J214" s="49"/>
      <c r="K214" s="49"/>
      <c r="L214" s="49" t="str">
        <f ca="1">IFERROR(__xludf.DUMMYFUNCTION("QUERY('Volunteer Survey'!B221)"),"Jennifer Bullard")</f>
        <v>Jennifer Bullard</v>
      </c>
      <c r="M214" s="49" t="str">
        <f ca="1">IFERROR(__xludf.DUMMYFUNCTION("QUERY('Volunteer Survey'!E221)"),"jenniferluja@gmail.com")</f>
        <v>jenniferluja@gmail.com</v>
      </c>
      <c r="N214" s="49" t="str">
        <f ca="1">IFERROR(__xludf.DUMMYFUNCTION("QUERY('Volunteer Survey'!F221)"),"Clinical laboratory geneticist")</f>
        <v>Clinical laboratory geneticist</v>
      </c>
      <c r="O214" s="42" t="str">
        <f ca="1">IFERROR(__xludf.DUMMYFUNCTION("QUERY('Volunteer Survey'!H221)"),"Comprehensive")</f>
        <v>Comprehensive</v>
      </c>
      <c r="P214" s="49" t="str">
        <f ca="1">IFERROR(__xludf.DUMMYFUNCTION("QUERY('Volunteer Survey'!I221)"),"Variant Pathogenicity")</f>
        <v>Variant Pathogenicity</v>
      </c>
      <c r="Q214" s="54" t="str">
        <f ca="1">IFERROR(__xludf.DUMMYFUNCTION("QUERY('Volunteer Survey'!J221)"),"Gene-Disease Validity")</f>
        <v>Gene-Disease Validity</v>
      </c>
      <c r="R214" s="49" t="str">
        <f ca="1">IFERROR(__xludf.DUMMYFUNCTION("QUERY('Volunteer Survey'!K221)"),"Dosage Sensitivity")</f>
        <v>Dosage Sensitivity</v>
      </c>
      <c r="S214" s="49" t="str">
        <f ca="1">IFERROR(__xludf.DUMMYFUNCTION("QUERY('Volunteer Survey'!L221)"),"Clinical Actionability")</f>
        <v>Clinical Actionability</v>
      </c>
      <c r="T214" s="49" t="str">
        <f ca="1">IFERROR(__xludf.DUMMYFUNCTION("QUERY('Volunteer Survey'!M221)"),"Somatic Cancer")</f>
        <v>Somatic Cancer</v>
      </c>
      <c r="U214" s="58" t="str">
        <f ca="1">IFERROR(__xludf.DUMMYFUNCTION("QUERY('Volunteer Survey'!N221)"),"")</f>
        <v/>
      </c>
      <c r="V214" s="49" t="str">
        <f ca="1">IFERROR(__xludf.DUMMYFUNCTION("QUERY('Volunteer Survey'!O221)"),"No")</f>
        <v>No</v>
      </c>
      <c r="W214" s="60" t="str">
        <f ca="1">IFERROR(__xludf.DUMMYFUNCTION("QUERY('Volunteer Survey'!P221)"),"Monogenic Diabetes")</f>
        <v>Monogenic Diabetes</v>
      </c>
      <c r="X214" s="58" t="str">
        <f ca="1">IFERROR(__xludf.DUMMYFUNCTION("QUERY('Volunteer Survey'!R221)"),"Yes- I am willing to volunteer with any available ClinGen group")</f>
        <v>Yes- I am willing to volunteer with any available ClinGen group</v>
      </c>
      <c r="Y214" s="47"/>
      <c r="Z214" s="49"/>
      <c r="AA214" s="49"/>
      <c r="AB214" s="49"/>
      <c r="AC214" s="49"/>
      <c r="AD214" s="49"/>
      <c r="AE214" s="49"/>
      <c r="AF214" s="49"/>
      <c r="AG214" s="49"/>
      <c r="AH214" s="49"/>
      <c r="AI214" s="49"/>
      <c r="AJ214" s="49"/>
      <c r="AK214" s="49"/>
      <c r="AL214" s="49"/>
      <c r="AM214" s="49"/>
      <c r="AN214" s="49"/>
      <c r="AO214" s="49"/>
    </row>
    <row r="215" spans="1:41" ht="14">
      <c r="A215" s="44">
        <f ca="1">IFERROR(__xludf.DUMMYFUNCTION("QUERY('Volunteer Survey'!A222)"),43625.7297409722)</f>
        <v>43625.729740972201</v>
      </c>
      <c r="B215" s="42" t="s">
        <v>108</v>
      </c>
      <c r="C215" s="73">
        <v>43689</v>
      </c>
      <c r="D215" s="59">
        <v>43768</v>
      </c>
      <c r="E215" s="42" t="s">
        <v>117</v>
      </c>
      <c r="F215" s="42" t="s">
        <v>117</v>
      </c>
      <c r="G215" s="42" t="s">
        <v>19</v>
      </c>
      <c r="H215" s="63" t="s">
        <v>19</v>
      </c>
      <c r="I215" s="45" t="s">
        <v>139</v>
      </c>
      <c r="J215" s="49"/>
      <c r="K215" s="49"/>
      <c r="L215" s="49" t="str">
        <f ca="1">IFERROR(__xludf.DUMMYFUNCTION("QUERY('Volunteer Survey'!B222)"),"Greg Lennon")</f>
        <v>Greg Lennon</v>
      </c>
      <c r="M215" s="49" t="str">
        <f ca="1">IFERROR(__xludf.DUMMYFUNCTION("QUERY('Volunteer Survey'!E222)"),"greg.lennon@gmail.com")</f>
        <v>greg.lennon@gmail.com</v>
      </c>
      <c r="N215" s="49" t="str">
        <f ca="1">IFERROR(__xludf.DUMMYFUNCTION("QUERY('Volunteer Survey'!F222)"),"Scientific Researcher")</f>
        <v>Scientific Researcher</v>
      </c>
      <c r="O215" s="42" t="str">
        <f ca="1">IFERROR(__xludf.DUMMYFUNCTION("QUERY('Volunteer Survey'!H222)"),"Comprehensive")</f>
        <v>Comprehensive</v>
      </c>
      <c r="P215" s="49" t="str">
        <f ca="1">IFERROR(__xludf.DUMMYFUNCTION("QUERY('Volunteer Survey'!I222)"),"Clinical Actionability")</f>
        <v>Clinical Actionability</v>
      </c>
      <c r="Q215" s="54" t="str">
        <f ca="1">IFERROR(__xludf.DUMMYFUNCTION("QUERY('Volunteer Survey'!J222)"),"Variant Pathogenicity")</f>
        <v>Variant Pathogenicity</v>
      </c>
      <c r="R215" s="49" t="str">
        <f ca="1">IFERROR(__xludf.DUMMYFUNCTION("QUERY('Volunteer Survey'!K222)"),"")</f>
        <v/>
      </c>
      <c r="S215" s="49" t="str">
        <f ca="1">IFERROR(__xludf.DUMMYFUNCTION("QUERY('Volunteer Survey'!L222)"),"")</f>
        <v/>
      </c>
      <c r="T215" s="49" t="str">
        <f ca="1">IFERROR(__xludf.DUMMYFUNCTION("QUERY('Volunteer Survey'!M222)"),"")</f>
        <v/>
      </c>
      <c r="U215" s="58" t="str">
        <f ca="1">IFERROR(__xludf.DUMMYFUNCTION("QUERY('Volunteer Survey'!N222)"),"Curation of SNPedia (since 2006)")</f>
        <v>Curation of SNPedia (since 2006)</v>
      </c>
      <c r="V215" s="49" t="str">
        <f ca="1">IFERROR(__xludf.DUMMYFUNCTION("QUERY('Volunteer Survey'!O222)"),"Possibly")</f>
        <v>Possibly</v>
      </c>
      <c r="W215" s="60" t="str">
        <f ca="1">IFERROR(__xludf.DUMMYFUNCTION("QUERY('Volunteer Survey'!P222)"),"Actionability Working Group")</f>
        <v>Actionability Working Group</v>
      </c>
      <c r="X215" s="58" t="str">
        <f ca="1">IFERROR(__xludf.DUMMYFUNCTION("QUERY('Volunteer Survey'!R222)"),"Maybe -- please contact me with other options, and I will decide based on what is available")</f>
        <v>Maybe -- please contact me with other options, and I will decide based on what is available</v>
      </c>
      <c r="Y215" s="47"/>
      <c r="Z215" s="49"/>
      <c r="AA215" s="49"/>
      <c r="AB215" s="49"/>
      <c r="AC215" s="49"/>
      <c r="AD215" s="49"/>
      <c r="AE215" s="49"/>
      <c r="AF215" s="49"/>
      <c r="AG215" s="49"/>
      <c r="AH215" s="49"/>
      <c r="AI215" s="49"/>
      <c r="AJ215" s="49"/>
      <c r="AK215" s="49"/>
      <c r="AL215" s="49"/>
      <c r="AM215" s="49"/>
      <c r="AN215" s="49"/>
      <c r="AO215" s="49"/>
    </row>
    <row r="216" spans="1:41" ht="14">
      <c r="A216" s="44">
        <f ca="1">IFERROR(__xludf.DUMMYFUNCTION("QUERY('Volunteer Survey'!A223)"),43626.4672780092)</f>
        <v>43626.467278009201</v>
      </c>
      <c r="B216" s="42" t="s">
        <v>108</v>
      </c>
      <c r="C216" s="47"/>
      <c r="D216" s="50">
        <v>43626</v>
      </c>
      <c r="E216" s="42" t="s">
        <v>117</v>
      </c>
      <c r="F216" s="42" t="s">
        <v>117</v>
      </c>
      <c r="G216" s="42" t="s">
        <v>313</v>
      </c>
      <c r="H216" s="47"/>
      <c r="I216" s="45" t="s">
        <v>139</v>
      </c>
      <c r="J216" s="49"/>
      <c r="K216" s="49"/>
      <c r="L216" s="49" t="str">
        <f ca="1">IFERROR(__xludf.DUMMYFUNCTION("QUERY('Volunteer Survey'!B223)"),"Pamela")</f>
        <v>Pamela</v>
      </c>
      <c r="M216" s="49" t="str">
        <f ca="1">IFERROR(__xludf.DUMMYFUNCTION("QUERY('Volunteer Survey'!E223)"),"pchristopherson@versiti.org")</f>
        <v>pchristopherson@versiti.org</v>
      </c>
      <c r="N216" s="49" t="str">
        <f ca="1">IFERROR(__xludf.DUMMYFUNCTION("QUERY('Volunteer Survey'!F223)"),"Scientific Researcher")</f>
        <v>Scientific Researcher</v>
      </c>
      <c r="O216" s="42" t="str">
        <f ca="1">IFERROR(__xludf.DUMMYFUNCTION("QUERY('Volunteer Survey'!H223)"),"Comprehensive")</f>
        <v>Comprehensive</v>
      </c>
      <c r="P216" s="49" t="str">
        <f ca="1">IFERROR(__xludf.DUMMYFUNCTION("QUERY('Volunteer Survey'!I223)"),"Variant Pathogenicity")</f>
        <v>Variant Pathogenicity</v>
      </c>
      <c r="Q216" s="54" t="str">
        <f ca="1">IFERROR(__xludf.DUMMYFUNCTION("QUERY('Volunteer Survey'!J223)"),"")</f>
        <v/>
      </c>
      <c r="R216" s="49" t="str">
        <f ca="1">IFERROR(__xludf.DUMMYFUNCTION("QUERY('Volunteer Survey'!K223)"),"")</f>
        <v/>
      </c>
      <c r="S216" s="49" t="str">
        <f ca="1">IFERROR(__xludf.DUMMYFUNCTION("QUERY('Volunteer Survey'!L223)"),"")</f>
        <v/>
      </c>
      <c r="T216" s="49" t="str">
        <f ca="1">IFERROR(__xludf.DUMMYFUNCTION("QUERY('Volunteer Survey'!M223)"),"")</f>
        <v/>
      </c>
      <c r="U216" s="58" t="str">
        <f ca="1">IFERROR(__xludf.DUMMYFUNCTION("QUERY('Volunteer Survey'!N223)"),"Submission of variants to LOVD")</f>
        <v>Submission of variants to LOVD</v>
      </c>
      <c r="V216" s="49" t="str">
        <f ca="1">IFERROR(__xludf.DUMMYFUNCTION("QUERY('Volunteer Survey'!O223)"),"Possibly")</f>
        <v>Possibly</v>
      </c>
      <c r="W216" s="60" t="str">
        <f ca="1">IFERROR(__xludf.DUMMYFUNCTION("QUERY('Volunteer Survey'!P223)"),"Already on VWD working group")</f>
        <v>Already on VWD working group</v>
      </c>
      <c r="X216" s="58" t="str">
        <f ca="1">IFERROR(__xludf.DUMMYFUNCTION("QUERY('Volunteer Survey'!R223)"),"No - I am only interested in the group(s) I previously indicated")</f>
        <v>No - I am only interested in the group(s) I previously indicated</v>
      </c>
      <c r="Y216" s="47"/>
      <c r="Z216" s="49"/>
      <c r="AA216" s="49"/>
      <c r="AB216" s="49"/>
      <c r="AC216" s="49"/>
      <c r="AD216" s="49"/>
      <c r="AE216" s="49"/>
      <c r="AF216" s="49"/>
      <c r="AG216" s="49"/>
      <c r="AH216" s="49"/>
      <c r="AI216" s="49"/>
      <c r="AJ216" s="49"/>
      <c r="AK216" s="49"/>
      <c r="AL216" s="49"/>
      <c r="AM216" s="49"/>
      <c r="AN216" s="49"/>
      <c r="AO216" s="49"/>
    </row>
    <row r="217" spans="1:41" ht="14">
      <c r="A217" s="44">
        <f ca="1">IFERROR(__xludf.DUMMYFUNCTION("QUERY('Volunteer Survey'!A224)"),43626.624125162)</f>
        <v>43626.624125162001</v>
      </c>
      <c r="B217" s="42" t="s">
        <v>160</v>
      </c>
      <c r="C217" s="47"/>
      <c r="D217" s="49"/>
      <c r="E217" s="49"/>
      <c r="F217" s="42" t="s">
        <v>130</v>
      </c>
      <c r="G217" s="42" t="s">
        <v>202</v>
      </c>
      <c r="H217" s="47"/>
      <c r="I217" s="45" t="s">
        <v>139</v>
      </c>
      <c r="J217" s="49"/>
      <c r="K217" s="49"/>
      <c r="L217" s="49" t="str">
        <f ca="1">IFERROR(__xludf.DUMMYFUNCTION("QUERY('Volunteer Survey'!B224)"),"Ernie Hobbs")</f>
        <v>Ernie Hobbs</v>
      </c>
      <c r="M217" s="49" t="str">
        <f ca="1">IFERROR(__xludf.DUMMYFUNCTION("QUERY('Volunteer Survey'!E224)"),"ernie.hobbs@congenica.com")</f>
        <v>ernie.hobbs@congenica.com</v>
      </c>
      <c r="N217" s="49" t="str">
        <f ca="1">IFERROR(__xludf.DUMMYFUNCTION("QUERY('Volunteer Survey'!F224)"),"Citizen Scientist/Patient Advocate")</f>
        <v>Citizen Scientist/Patient Advocate</v>
      </c>
      <c r="O217" s="42" t="str">
        <f ca="1">IFERROR(__xludf.DUMMYFUNCTION("QUERY('Volunteer Survey'!H224)"),"Baseline")</f>
        <v>Baseline</v>
      </c>
      <c r="P217" s="49" t="str">
        <f ca="1">IFERROR(__xludf.DUMMYFUNCTION("QUERY('Volunteer Survey'!I224)"),"Variant Pathogenicity")</f>
        <v>Variant Pathogenicity</v>
      </c>
      <c r="Q217" s="54" t="str">
        <f ca="1">IFERROR(__xludf.DUMMYFUNCTION("QUERY('Volunteer Survey'!J224)"),"Clinical Actionability")</f>
        <v>Clinical Actionability</v>
      </c>
      <c r="R217" s="49" t="str">
        <f ca="1">IFERROR(__xludf.DUMMYFUNCTION("QUERY('Volunteer Survey'!K224)"),"")</f>
        <v/>
      </c>
      <c r="S217" s="49" t="str">
        <f ca="1">IFERROR(__xludf.DUMMYFUNCTION("QUERY('Volunteer Survey'!L224)"),"")</f>
        <v/>
      </c>
      <c r="T217" s="49" t="str">
        <f ca="1">IFERROR(__xludf.DUMMYFUNCTION("QUERY('Volunteer Survey'!M224)"),"")</f>
        <v/>
      </c>
      <c r="U217" s="58" t="str">
        <f ca="1">IFERROR(__xludf.DUMMYFUNCTION("QUERY('Volunteer Survey'!N224)"),"No (but have worked for several companies that offered genomic analysis software)")</f>
        <v>No (but have worked for several companies that offered genomic analysis software)</v>
      </c>
      <c r="V217" s="49" t="str">
        <f ca="1">IFERROR(__xludf.DUMMYFUNCTION("QUERY('Volunteer Survey'!O224)"),"Possibly")</f>
        <v>Possibly</v>
      </c>
      <c r="W217" s="60" t="str">
        <f ca="1">IFERROR(__xludf.DUMMYFUNCTION("QUERY('Volunteer Survey'!P224)"),"Mitochondrial Diseases")</f>
        <v>Mitochondrial Diseases</v>
      </c>
      <c r="X217" s="58" t="str">
        <f ca="1">IFERROR(__xludf.DUMMYFUNCTION("QUERY('Volunteer Survey'!R224)"),"Maybe -- please contact me with other options, and I will decide based on what is available")</f>
        <v>Maybe -- please contact me with other options, and I will decide based on what is available</v>
      </c>
      <c r="Y217" s="47"/>
      <c r="Z217" s="49"/>
      <c r="AA217" s="49"/>
      <c r="AB217" s="49"/>
      <c r="AC217" s="49"/>
      <c r="AD217" s="49"/>
      <c r="AE217" s="49"/>
      <c r="AF217" s="49"/>
      <c r="AG217" s="49"/>
      <c r="AH217" s="49"/>
      <c r="AI217" s="49"/>
      <c r="AJ217" s="49"/>
      <c r="AK217" s="49"/>
      <c r="AL217" s="49"/>
      <c r="AM217" s="49"/>
      <c r="AN217" s="49"/>
      <c r="AO217" s="49"/>
    </row>
    <row r="218" spans="1:41" ht="14">
      <c r="A218" s="44">
        <f ca="1">IFERROR(__xludf.DUMMYFUNCTION("QUERY('Volunteer Survey'!A225)"),43626.9441832291)</f>
        <v>43626.944183229098</v>
      </c>
      <c r="B218" s="42" t="s">
        <v>108</v>
      </c>
      <c r="C218" s="47"/>
      <c r="D218" s="49"/>
      <c r="E218" s="49"/>
      <c r="F218" s="42" t="s">
        <v>130</v>
      </c>
      <c r="G218" s="42" t="s">
        <v>202</v>
      </c>
      <c r="H218" s="47"/>
      <c r="I218" s="45" t="s">
        <v>139</v>
      </c>
      <c r="J218" s="49"/>
      <c r="K218" s="49"/>
      <c r="L218" s="49" t="str">
        <f ca="1">IFERROR(__xludf.DUMMYFUNCTION("QUERY('Volunteer Survey'!B225)"),"Sandy Au")</f>
        <v>Sandy Au</v>
      </c>
      <c r="M218" s="49" t="str">
        <f ca="1">IFERROR(__xludf.DUMMYFUNCTION("QUERY('Volunteer Survey'!E225)"),"alkuen@hku.hk")</f>
        <v>alkuen@hku.hk</v>
      </c>
      <c r="N218" s="49" t="str">
        <f ca="1">IFERROR(__xludf.DUMMYFUNCTION("QUERY('Volunteer Survey'!F225)"),"Scientific Researcher")</f>
        <v>Scientific Researcher</v>
      </c>
      <c r="O218" s="42" t="str">
        <f ca="1">IFERROR(__xludf.DUMMYFUNCTION("QUERY('Volunteer Survey'!H225)"),"Baseline")</f>
        <v>Baseline</v>
      </c>
      <c r="P218" s="49" t="str">
        <f ca="1">IFERROR(__xludf.DUMMYFUNCTION("QUERY('Volunteer Survey'!I225)"),"Variant Pathogenicity")</f>
        <v>Variant Pathogenicity</v>
      </c>
      <c r="Q218" s="54" t="str">
        <f ca="1">IFERROR(__xludf.DUMMYFUNCTION("QUERY('Volunteer Survey'!J225)"),"Gene-Disease Validity")</f>
        <v>Gene-Disease Validity</v>
      </c>
      <c r="R218" s="49" t="str">
        <f ca="1">IFERROR(__xludf.DUMMYFUNCTION("QUERY('Volunteer Survey'!K225)"),"Dosage Sensitivity")</f>
        <v>Dosage Sensitivity</v>
      </c>
      <c r="S218" s="49" t="str">
        <f ca="1">IFERROR(__xludf.DUMMYFUNCTION("QUERY('Volunteer Survey'!L225)"),"Somatic Cancer")</f>
        <v>Somatic Cancer</v>
      </c>
      <c r="T218" s="49" t="str">
        <f ca="1">IFERROR(__xludf.DUMMYFUNCTION("QUERY('Volunteer Survey'!M225)"),"Clinical Actionability")</f>
        <v>Clinical Actionability</v>
      </c>
      <c r="U218" s="58" t="str">
        <f ca="1">IFERROR(__xludf.DUMMYFUNCTION("QUERY('Volunteer Survey'!N225)"),"I am working in a prenatal diagnostic laboratory and perform WES for prenatal cases. We have experience in variant classification and clinical reporting. ")</f>
        <v xml:space="preserve">I am working in a prenatal diagnostic laboratory and perform WES for prenatal cases. We have experience in variant classification and clinical reporting. </v>
      </c>
      <c r="V218" s="49" t="str">
        <f ca="1">IFERROR(__xludf.DUMMYFUNCTION("QUERY('Volunteer Survey'!O225)"),"Yes")</f>
        <v>Yes</v>
      </c>
      <c r="W218" s="60" t="str">
        <f ca="1">IFERROR(__xludf.DUMMYFUNCTION("QUERY('Volunteer Survey'!P225)"),"Variant Curation Expert Panels")</f>
        <v>Variant Curation Expert Panels</v>
      </c>
      <c r="X218" s="58" t="str">
        <f ca="1">IFERROR(__xludf.DUMMYFUNCTION("QUERY('Volunteer Survey'!R225)"),"Yes- I am willing to volunteer with any available ClinGen group")</f>
        <v>Yes- I am willing to volunteer with any available ClinGen group</v>
      </c>
      <c r="Y218" s="47"/>
      <c r="Z218" s="49"/>
      <c r="AA218" s="49"/>
      <c r="AB218" s="49"/>
      <c r="AC218" s="49"/>
      <c r="AD218" s="49"/>
      <c r="AE218" s="49"/>
      <c r="AF218" s="49"/>
      <c r="AG218" s="49"/>
      <c r="AH218" s="49"/>
      <c r="AI218" s="49"/>
      <c r="AJ218" s="49"/>
      <c r="AK218" s="49"/>
      <c r="AL218" s="49"/>
      <c r="AM218" s="49"/>
      <c r="AN218" s="49"/>
      <c r="AO218" s="49"/>
    </row>
    <row r="219" spans="1:41" ht="14">
      <c r="A219" s="44">
        <f ca="1">IFERROR(__xludf.DUMMYFUNCTION("QUERY('Volunteer Survey'!A226)"),43627.3007942245)</f>
        <v>43627.300794224502</v>
      </c>
      <c r="B219" s="42" t="s">
        <v>108</v>
      </c>
      <c r="C219" s="73">
        <v>43689</v>
      </c>
      <c r="D219" s="49"/>
      <c r="E219" s="42" t="s">
        <v>117</v>
      </c>
      <c r="F219" s="42" t="s">
        <v>130</v>
      </c>
      <c r="G219" s="42" t="s">
        <v>19</v>
      </c>
      <c r="H219" s="63"/>
      <c r="I219" s="45" t="s">
        <v>139</v>
      </c>
      <c r="J219" s="49"/>
      <c r="K219" s="49"/>
      <c r="L219" s="49" t="str">
        <f ca="1">IFERROR(__xludf.DUMMYFUNCTION("QUERY('Volunteer Survey'!B226)"),"Generoso")</f>
        <v>Generoso</v>
      </c>
      <c r="M219" s="49" t="str">
        <f ca="1">IFERROR(__xludf.DUMMYFUNCTION("QUERY('Volunteer Survey'!E226)"),"generoso@dantelabs.com")</f>
        <v>generoso@dantelabs.com</v>
      </c>
      <c r="N219" s="49" t="str">
        <f ca="1">IFERROR(__xludf.DUMMYFUNCTION("QUERY('Volunteer Survey'!F226)"),"Variant Analyst/Scientist - Industry")</f>
        <v>Variant Analyst/Scientist - Industry</v>
      </c>
      <c r="O219" s="42" t="str">
        <f ca="1">IFERROR(__xludf.DUMMYFUNCTION("QUERY('Volunteer Survey'!H226)"),"Comprehensive")</f>
        <v>Comprehensive</v>
      </c>
      <c r="P219" s="49" t="str">
        <f ca="1">IFERROR(__xludf.DUMMYFUNCTION("QUERY('Volunteer Survey'!I226)"),"Clinical Actionability")</f>
        <v>Clinical Actionability</v>
      </c>
      <c r="Q219" s="54" t="str">
        <f ca="1">IFERROR(__xludf.DUMMYFUNCTION("QUERY('Volunteer Survey'!J226)"),"Gene-Disease Validity")</f>
        <v>Gene-Disease Validity</v>
      </c>
      <c r="R219" s="49" t="str">
        <f ca="1">IFERROR(__xludf.DUMMYFUNCTION("QUERY('Volunteer Survey'!K226)"),"Variant Pathogenicity")</f>
        <v>Variant Pathogenicity</v>
      </c>
      <c r="S219" s="49" t="str">
        <f ca="1">IFERROR(__xludf.DUMMYFUNCTION("QUERY('Volunteer Survey'!L226)"),"Dosage Sensitivity")</f>
        <v>Dosage Sensitivity</v>
      </c>
      <c r="T219" s="49" t="str">
        <f ca="1">IFERROR(__xludf.DUMMYFUNCTION("QUERY('Volunteer Survey'!M226)"),"Somatic Cancer")</f>
        <v>Somatic Cancer</v>
      </c>
      <c r="U219" s="58" t="str">
        <f ca="1">IFERROR(__xludf.DUMMYFUNCTION("QUERY('Volunteer Survey'!N226)"),"Yes, I have curated few variants for people who receive WES data.")</f>
        <v>Yes, I have curated few variants for people who receive WES data.</v>
      </c>
      <c r="V219" s="49" t="str">
        <f ca="1">IFERROR(__xludf.DUMMYFUNCTION("QUERY('Volunteer Survey'!O226)"),"Possibly")</f>
        <v>Possibly</v>
      </c>
      <c r="W219" s="60" t="str">
        <f ca="1">IFERROR(__xludf.DUMMYFUNCTION("QUERY('Volunteer Survey'!P226)"),"")</f>
        <v/>
      </c>
      <c r="X219" s="58" t="str">
        <f ca="1">IFERROR(__xludf.DUMMYFUNCTION("QUERY('Volunteer Survey'!R226)"),"Yes- I am willing to volunteer with any available ClinGen group")</f>
        <v>Yes- I am willing to volunteer with any available ClinGen group</v>
      </c>
      <c r="Y219" s="47"/>
      <c r="Z219" s="49"/>
      <c r="AA219" s="49"/>
      <c r="AB219" s="49"/>
      <c r="AC219" s="49"/>
      <c r="AD219" s="49"/>
      <c r="AE219" s="49"/>
      <c r="AF219" s="49"/>
      <c r="AG219" s="49"/>
      <c r="AH219" s="49"/>
      <c r="AI219" s="49"/>
      <c r="AJ219" s="49"/>
      <c r="AK219" s="49"/>
      <c r="AL219" s="49"/>
      <c r="AM219" s="49"/>
      <c r="AN219" s="49"/>
      <c r="AO219" s="49"/>
    </row>
    <row r="220" spans="1:41" ht="14">
      <c r="A220" s="44">
        <f ca="1">IFERROR(__xludf.DUMMYFUNCTION("QUERY('Volunteer Survey'!A227)"),43627.8008713773)</f>
        <v>43627.800871377302</v>
      </c>
      <c r="B220" s="42" t="s">
        <v>168</v>
      </c>
      <c r="C220" s="47"/>
      <c r="D220" s="49"/>
      <c r="E220" s="49"/>
      <c r="F220" s="42" t="s">
        <v>130</v>
      </c>
      <c r="G220" s="42" t="s">
        <v>251</v>
      </c>
      <c r="H220" s="47"/>
      <c r="I220" s="45" t="s">
        <v>139</v>
      </c>
      <c r="J220" s="49"/>
      <c r="K220" s="49"/>
      <c r="L220" s="49" t="str">
        <f ca="1">IFERROR(__xludf.DUMMYFUNCTION("QUERY('Volunteer Survey'!B227)"),"Hemantkumar Nemade ")</f>
        <v xml:space="preserve">Hemantkumar Nemade </v>
      </c>
      <c r="M220" s="49" t="str">
        <f ca="1">IFERROR(__xludf.DUMMYFUNCTION("QUERY('Volunteer Survey'!E227)"),"drhemantnemade@gmail.com")</f>
        <v>drhemantnemade@gmail.com</v>
      </c>
      <c r="N220" s="49" t="str">
        <f ca="1">IFERROR(__xludf.DUMMYFUNCTION("QUERY('Volunteer Survey'!F227)"),"Physician (Non-geneticist)")</f>
        <v>Physician (Non-geneticist)</v>
      </c>
      <c r="O220" s="42" t="str">
        <f ca="1">IFERROR(__xludf.DUMMYFUNCTION("QUERY('Volunteer Survey'!H227)"),"Comprehensive")</f>
        <v>Comprehensive</v>
      </c>
      <c r="P220" s="49" t="str">
        <f ca="1">IFERROR(__xludf.DUMMYFUNCTION("QUERY('Volunteer Survey'!I227)"),"Variant Pathogenicity")</f>
        <v>Variant Pathogenicity</v>
      </c>
      <c r="Q220" s="54" t="str">
        <f ca="1">IFERROR(__xludf.DUMMYFUNCTION("QUERY('Volunteer Survey'!J227)"),"Clinical Actionability")</f>
        <v>Clinical Actionability</v>
      </c>
      <c r="R220" s="49" t="str">
        <f ca="1">IFERROR(__xludf.DUMMYFUNCTION("QUERY('Volunteer Survey'!K227)"),"Gene-Disease Validity")</f>
        <v>Gene-Disease Validity</v>
      </c>
      <c r="S220" s="49" t="str">
        <f ca="1">IFERROR(__xludf.DUMMYFUNCTION("QUERY('Volunteer Survey'!L227)"),"Somatic Cancer")</f>
        <v>Somatic Cancer</v>
      </c>
      <c r="T220" s="49" t="str">
        <f ca="1">IFERROR(__xludf.DUMMYFUNCTION("QUERY('Volunteer Survey'!M227)"),"")</f>
        <v/>
      </c>
      <c r="U220" s="58" t="str">
        <f ca="1">IFERROR(__xludf.DUMMYFUNCTION("QUERY('Volunteer Survey'!N227)"),"Not genetic but I have collected and analyzed cancer database. Trained in statistics ")</f>
        <v xml:space="preserve">Not genetic but I have collected and analyzed cancer database. Trained in statistics </v>
      </c>
      <c r="V220" s="49" t="str">
        <f ca="1">IFERROR(__xludf.DUMMYFUNCTION("QUERY('Volunteer Survey'!O227)"),"Possibly")</f>
        <v>Possibly</v>
      </c>
      <c r="W220" s="60" t="str">
        <f ca="1">IFERROR(__xludf.DUMMYFUNCTION("QUERY('Volunteer Survey'!P227)"),"Somatic cancer")</f>
        <v>Somatic cancer</v>
      </c>
      <c r="X220" s="58" t="str">
        <f ca="1">IFERROR(__xludf.DUMMYFUNCTION("QUERY('Volunteer Survey'!R227)"),"Maybe -- please contact me with other options, and I will decide based on what is available")</f>
        <v>Maybe -- please contact me with other options, and I will decide based on what is available</v>
      </c>
      <c r="Y220" s="47"/>
      <c r="Z220" s="49"/>
      <c r="AA220" s="49"/>
      <c r="AB220" s="49"/>
      <c r="AC220" s="49"/>
      <c r="AD220" s="49"/>
      <c r="AE220" s="49"/>
      <c r="AF220" s="49"/>
      <c r="AG220" s="49"/>
      <c r="AH220" s="49"/>
      <c r="AI220" s="49"/>
      <c r="AJ220" s="49"/>
      <c r="AK220" s="49"/>
      <c r="AL220" s="49"/>
      <c r="AM220" s="49"/>
      <c r="AN220" s="49"/>
      <c r="AO220" s="49"/>
    </row>
    <row r="221" spans="1:41" ht="14">
      <c r="A221" s="44">
        <f ca="1">IFERROR(__xludf.DUMMYFUNCTION("QUERY('Volunteer Survey'!A228)"),43628.4954871759)</f>
        <v>43628.495487175896</v>
      </c>
      <c r="B221" s="42" t="s">
        <v>108</v>
      </c>
      <c r="C221" s="73">
        <v>43705</v>
      </c>
      <c r="D221" s="59">
        <v>43719</v>
      </c>
      <c r="E221" s="42" t="s">
        <v>130</v>
      </c>
      <c r="F221" s="42" t="s">
        <v>130</v>
      </c>
      <c r="G221" s="42" t="s">
        <v>136</v>
      </c>
      <c r="H221" s="47"/>
      <c r="I221" s="45" t="s">
        <v>139</v>
      </c>
      <c r="J221" s="49"/>
      <c r="K221" s="49"/>
      <c r="L221" s="49" t="str">
        <f ca="1">IFERROR(__xludf.DUMMYFUNCTION("QUERY('Volunteer Survey'!B228)"),"Christina Bridges")</f>
        <v>Christina Bridges</v>
      </c>
      <c r="M221" s="49" t="str">
        <f ca="1">IFERROR(__xludf.DUMMYFUNCTION("QUERY('Volunteer Survey'!E228)"),"c.bridges@med.unc.edu")</f>
        <v>c.bridges@med.unc.edu</v>
      </c>
      <c r="N221" s="49" t="str">
        <f ca="1">IFERROR(__xludf.DUMMYFUNCTION("QUERY('Volunteer Survey'!F228)"),"Variant Analyst/Scientist - Industry")</f>
        <v>Variant Analyst/Scientist - Industry</v>
      </c>
      <c r="O221" s="42" t="str">
        <f ca="1">IFERROR(__xludf.DUMMYFUNCTION("QUERY('Volunteer Survey'!H228)"),"Comprehensive")</f>
        <v>Comprehensive</v>
      </c>
      <c r="P221" s="49" t="str">
        <f ca="1">IFERROR(__xludf.DUMMYFUNCTION("QUERY('Volunteer Survey'!I228)"),"Somatic Cancer")</f>
        <v>Somatic Cancer</v>
      </c>
      <c r="Q221" s="54" t="str">
        <f ca="1">IFERROR(__xludf.DUMMYFUNCTION("QUERY('Volunteer Survey'!J228)"),"Variant Pathogenicity")</f>
        <v>Variant Pathogenicity</v>
      </c>
      <c r="R221" s="49" t="str">
        <f ca="1">IFERROR(__xludf.DUMMYFUNCTION("QUERY('Volunteer Survey'!K228)"),"Gene-Disease Validity")</f>
        <v>Gene-Disease Validity</v>
      </c>
      <c r="S221" s="49" t="str">
        <f ca="1">IFERROR(__xludf.DUMMYFUNCTION("QUERY('Volunteer Survey'!L228)"),"Dosage Sensitivity")</f>
        <v>Dosage Sensitivity</v>
      </c>
      <c r="T221" s="49" t="str">
        <f ca="1">IFERROR(__xludf.DUMMYFUNCTION("QUERY('Volunteer Survey'!M228)"),"")</f>
        <v/>
      </c>
      <c r="U221" s="58" t="str">
        <f ca="1">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49" t="str">
        <f ca="1">IFERROR(__xludf.DUMMYFUNCTION("QUERY('Volunteer Survey'!O228)"),"No")</f>
        <v>No</v>
      </c>
      <c r="W221" s="60" t="str">
        <f ca="1">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58" t="str">
        <f ca="1">IFERROR(__xludf.DUMMYFUNCTION("QUERY('Volunteer Survey'!R228)"),"Maybe -- please contact me with other options, and I will decide based on what is available")</f>
        <v>Maybe -- please contact me with other options, and I will decide based on what is available</v>
      </c>
      <c r="Y221" s="47"/>
      <c r="Z221" s="49"/>
      <c r="AA221" s="49"/>
      <c r="AB221" s="49"/>
      <c r="AC221" s="49"/>
      <c r="AD221" s="49"/>
      <c r="AE221" s="49"/>
      <c r="AF221" s="49"/>
      <c r="AG221" s="49"/>
      <c r="AH221" s="49"/>
      <c r="AI221" s="49"/>
      <c r="AJ221" s="49"/>
      <c r="AK221" s="49"/>
      <c r="AL221" s="49"/>
      <c r="AM221" s="49"/>
      <c r="AN221" s="49"/>
      <c r="AO221" s="49"/>
    </row>
    <row r="222" spans="1:41" ht="15" customHeight="1">
      <c r="A222" s="44">
        <f ca="1">IFERROR(__xludf.DUMMYFUNCTION("QUERY('Volunteer Survey'!A230)"),43632.880822581)</f>
        <v>43632.880822580999</v>
      </c>
      <c r="B222" s="42" t="s">
        <v>108</v>
      </c>
      <c r="C222" s="73"/>
      <c r="D222" s="59"/>
      <c r="E222" s="42" t="s">
        <v>130</v>
      </c>
      <c r="F222" s="42" t="s">
        <v>130</v>
      </c>
      <c r="G222" s="42" t="s">
        <v>202</v>
      </c>
      <c r="H222" s="45"/>
      <c r="I222" s="45" t="s">
        <v>139</v>
      </c>
      <c r="J222" s="49"/>
      <c r="K222" s="49"/>
      <c r="L222" s="49" t="str">
        <f ca="1">IFERROR(__xludf.DUMMYFUNCTION("QUERY('Volunteer Survey'!B230)"),"Malak Ashraf")</f>
        <v>Malak Ashraf</v>
      </c>
      <c r="M222" s="49" t="str">
        <f ca="1">IFERROR(__xludf.DUMMYFUNCTION("QUERY('Volunteer Survey'!E230)"),"malak.2118144@stemkalubya.moe.edu.eg")</f>
        <v>malak.2118144@stemkalubya.moe.edu.eg</v>
      </c>
      <c r="N222" s="49" t="str">
        <f ca="1">IFERROR(__xludf.DUMMYFUNCTION("QUERY('Volunteer Survey'!F230)"),"High School Student")</f>
        <v>High School Student</v>
      </c>
      <c r="O222" s="42" t="str">
        <f ca="1">IFERROR(__xludf.DUMMYFUNCTION("QUERY('Volunteer Survey'!H230)"),"Baseline")</f>
        <v>Baseline</v>
      </c>
      <c r="P222" s="49" t="str">
        <f ca="1">IFERROR(__xludf.DUMMYFUNCTION("QUERY('Volunteer Survey'!I230)"),"Somatic Cancer")</f>
        <v>Somatic Cancer</v>
      </c>
      <c r="Q222" s="54" t="str">
        <f ca="1">IFERROR(__xludf.DUMMYFUNCTION("QUERY('Volunteer Survey'!J230)"),"Variant Pathogenicity")</f>
        <v>Variant Pathogenicity</v>
      </c>
      <c r="R222" s="49" t="str">
        <f ca="1">IFERROR(__xludf.DUMMYFUNCTION("QUERY('Volunteer Survey'!K230)"),"Gene-Disease Validity")</f>
        <v>Gene-Disease Validity</v>
      </c>
      <c r="S222" s="49" t="str">
        <f ca="1">IFERROR(__xludf.DUMMYFUNCTION("QUERY('Volunteer Survey'!L230)"),"")</f>
        <v/>
      </c>
      <c r="T222" s="49" t="str">
        <f ca="1">IFERROR(__xludf.DUMMYFUNCTION("QUERY('Volunteer Survey'!M230)"),"")</f>
        <v/>
      </c>
      <c r="U222" s="58" t="str">
        <f ca="1">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49" t="str">
        <f ca="1">IFERROR(__xludf.DUMMYFUNCTION("QUERY('Volunteer Survey'!O230)"),"No")</f>
        <v>No</v>
      </c>
      <c r="W222" s="60" t="str">
        <f ca="1">IFERROR(__xludf.DUMMYFUNCTION("QUERY('Volunteer Survey'!P230)"),"yes, i am interested in joining Somatic Cancer working group!")</f>
        <v>yes, i am interested in joining Somatic Cancer working group!</v>
      </c>
      <c r="X222" s="58" t="str">
        <f ca="1">IFERROR(__xludf.DUMMYFUNCTION("QUERY('Volunteer Survey'!R230)"),"Maybe -- please contact me with other options, and I will decide based on what is available")</f>
        <v>Maybe -- please contact me with other options, and I will decide based on what is available</v>
      </c>
      <c r="Y222" s="45" t="s">
        <v>362</v>
      </c>
      <c r="Z222" s="49"/>
      <c r="AA222" s="49"/>
      <c r="AB222" s="49"/>
      <c r="AC222" s="49"/>
      <c r="AD222" s="49"/>
      <c r="AE222" s="49"/>
      <c r="AF222" s="49"/>
      <c r="AG222" s="49"/>
      <c r="AH222" s="49"/>
      <c r="AI222" s="49"/>
      <c r="AJ222" s="49"/>
      <c r="AK222" s="49"/>
      <c r="AL222" s="49"/>
      <c r="AM222" s="49"/>
      <c r="AN222" s="49"/>
      <c r="AO222" s="49"/>
    </row>
    <row r="224" spans="1:41" ht="14">
      <c r="A224" s="44">
        <f ca="1">IFERROR(__xludf.DUMMYFUNCTION("QUERY('Volunteer Survey'!A231)"),43633.6785376967)</f>
        <v>43633.678537696702</v>
      </c>
      <c r="B224" s="42" t="s">
        <v>108</v>
      </c>
      <c r="C224" s="73">
        <v>43689</v>
      </c>
      <c r="D224" s="59">
        <v>43769</v>
      </c>
      <c r="E224" s="42" t="s">
        <v>117</v>
      </c>
      <c r="F224" s="42" t="s">
        <v>117</v>
      </c>
      <c r="G224" s="42" t="s">
        <v>19</v>
      </c>
      <c r="H224" s="63" t="s">
        <v>19</v>
      </c>
      <c r="I224" s="45" t="s">
        <v>299</v>
      </c>
      <c r="J224" s="49"/>
      <c r="K224" s="49"/>
      <c r="L224" s="49" t="str">
        <f ca="1">IFERROR(__xludf.DUMMYFUNCTION("QUERY('Volunteer Survey'!B231)"),"Abul Kalam Azad")</f>
        <v>Abul Kalam Azad</v>
      </c>
      <c r="M224" s="49" t="str">
        <f ca="1">IFERROR(__xludf.DUMMYFUNCTION("QUERY('Volunteer Survey'!E231)"),"azadak@gmail.com")</f>
        <v>azadak@gmail.com</v>
      </c>
      <c r="N224" s="49" t="str">
        <f ca="1">IFERROR(__xludf.DUMMYFUNCTION("QUERY('Volunteer Survey'!F231)"),"Post Doc/Resident/Fellow (MD and/or PhD)")</f>
        <v>Post Doc/Resident/Fellow (MD and/or PhD)</v>
      </c>
      <c r="O224" s="42" t="str">
        <f ca="1">IFERROR(__xludf.DUMMYFUNCTION("QUERY('Volunteer Survey'!H231)"),"Comprehensive")</f>
        <v>Comprehensive</v>
      </c>
      <c r="P224" s="49" t="str">
        <f ca="1">IFERROR(__xludf.DUMMYFUNCTION("QUERY('Volunteer Survey'!I231)"),"Clinical Actionability")</f>
        <v>Clinical Actionability</v>
      </c>
      <c r="Q224" s="54" t="str">
        <f ca="1">IFERROR(__xludf.DUMMYFUNCTION("QUERY('Volunteer Survey'!J231)"),"Variant Pathogenicity")</f>
        <v>Variant Pathogenicity</v>
      </c>
      <c r="R224" s="49" t="str">
        <f ca="1">IFERROR(__xludf.DUMMYFUNCTION("QUERY('Volunteer Survey'!K231)"),"Gene-Disease Validity")</f>
        <v>Gene-Disease Validity</v>
      </c>
      <c r="S224" s="49" t="str">
        <f ca="1">IFERROR(__xludf.DUMMYFUNCTION("QUERY('Volunteer Survey'!L231)"),"Somatic Cancer")</f>
        <v>Somatic Cancer</v>
      </c>
      <c r="T224" s="49" t="str">
        <f ca="1">IFERROR(__xludf.DUMMYFUNCTION("QUERY('Volunteer Survey'!M231)"),"Dosage Sensitivity")</f>
        <v>Dosage Sensitivity</v>
      </c>
      <c r="U224" s="58" t="str">
        <f ca="1">IFERROR(__xludf.DUMMYFUNCTION("QUERY('Volunteer Survey'!N231)"),"")</f>
        <v/>
      </c>
      <c r="V224" s="49" t="str">
        <f ca="1">IFERROR(__xludf.DUMMYFUNCTION("QUERY('Volunteer Survey'!O231)"),"Yes")</f>
        <v>Yes</v>
      </c>
      <c r="W224" s="60" t="str">
        <f ca="1">IFERROR(__xludf.DUMMYFUNCTION("QUERY('Volunteer Survey'!P231)"),"")</f>
        <v/>
      </c>
      <c r="X224" s="58" t="str">
        <f ca="1">IFERROR(__xludf.DUMMYFUNCTION("QUERY('Volunteer Survey'!R231)"),"Yes- I am willing to volunteer with any available ClinGen group")</f>
        <v>Yes- I am willing to volunteer with any available ClinGen group</v>
      </c>
      <c r="Y224" s="47"/>
      <c r="Z224" s="49"/>
      <c r="AA224" s="49"/>
      <c r="AB224" s="49"/>
      <c r="AC224" s="49"/>
      <c r="AD224" s="49"/>
      <c r="AE224" s="49"/>
      <c r="AF224" s="49"/>
      <c r="AG224" s="49"/>
      <c r="AH224" s="49"/>
      <c r="AI224" s="49"/>
      <c r="AJ224" s="49"/>
      <c r="AK224" s="49"/>
      <c r="AL224" s="49"/>
      <c r="AM224" s="49"/>
      <c r="AN224" s="49"/>
      <c r="AO224" s="49"/>
    </row>
    <row r="225" spans="1:41" ht="14">
      <c r="A225" s="44">
        <f ca="1">IFERROR(__xludf.DUMMYFUNCTION("QUERY('Volunteer Survey'!A232)"),43634.5731383449)</f>
        <v>43634.573138344902</v>
      </c>
      <c r="B225" s="42" t="s">
        <v>322</v>
      </c>
      <c r="C225" s="47"/>
      <c r="D225" s="49"/>
      <c r="E225" s="49"/>
      <c r="F225" s="42" t="s">
        <v>130</v>
      </c>
      <c r="G225" s="42" t="s">
        <v>122</v>
      </c>
      <c r="H225" s="47"/>
      <c r="I225" s="45" t="s">
        <v>356</v>
      </c>
      <c r="J225" s="49"/>
      <c r="K225" s="49"/>
      <c r="L225" s="49" t="str">
        <f ca="1">IFERROR(__xludf.DUMMYFUNCTION("QUERY('Volunteer Survey'!B232)"),"Amruta Phatak")</f>
        <v>Amruta Phatak</v>
      </c>
      <c r="M225" s="49" t="str">
        <f ca="1">IFERROR(__xludf.DUMMYFUNCTION("QUERY('Volunteer Survey'!E232)"),"arphatak@iu.edu")</f>
        <v>arphatak@iu.edu</v>
      </c>
      <c r="N225" s="49" t="str">
        <f ca="1">IFERROR(__xludf.DUMMYFUNCTION("QUERY('Volunteer Survey'!F232)"),"Post Doc/Resident/Fellow (MD and/or PhD)")</f>
        <v>Post Doc/Resident/Fellow (MD and/or PhD)</v>
      </c>
      <c r="O225" s="42" t="str">
        <f ca="1">IFERROR(__xludf.DUMMYFUNCTION("QUERY('Volunteer Survey'!H232)"),"Comprehensive")</f>
        <v>Comprehensive</v>
      </c>
      <c r="P225" s="49" t="str">
        <f ca="1">IFERROR(__xludf.DUMMYFUNCTION("QUERY('Volunteer Survey'!I232)"),"Gene-Disease Validity")</f>
        <v>Gene-Disease Validity</v>
      </c>
      <c r="Q225" s="54" t="str">
        <f ca="1">IFERROR(__xludf.DUMMYFUNCTION("QUERY('Volunteer Survey'!J232)"),"Variant Pathogenicity")</f>
        <v>Variant Pathogenicity</v>
      </c>
      <c r="R225" s="49" t="str">
        <f ca="1">IFERROR(__xludf.DUMMYFUNCTION("QUERY('Volunteer Survey'!K232)"),"Clinical Actionability")</f>
        <v>Clinical Actionability</v>
      </c>
      <c r="S225" s="49" t="str">
        <f ca="1">IFERROR(__xludf.DUMMYFUNCTION("QUERY('Volunteer Survey'!L232)"),"Dosage Sensitivity")</f>
        <v>Dosage Sensitivity</v>
      </c>
      <c r="T225" s="49" t="str">
        <f ca="1">IFERROR(__xludf.DUMMYFUNCTION("QUERY('Volunteer Survey'!M232)"),"Somatic Cancer")</f>
        <v>Somatic Cancer</v>
      </c>
      <c r="U225" s="58" t="str">
        <f ca="1">IFERROR(__xludf.DUMMYFUNCTION("QUERY('Volunteer Survey'!N232)"),"")</f>
        <v/>
      </c>
      <c r="V225" s="49" t="str">
        <f ca="1">IFERROR(__xludf.DUMMYFUNCTION("QUERY('Volunteer Survey'!O232)"),"Yes")</f>
        <v>Yes</v>
      </c>
      <c r="W225" s="60" t="str">
        <f ca="1">IFERROR(__xludf.DUMMYFUNCTION("QUERY('Volunteer Survey'!P232)"),"")</f>
        <v/>
      </c>
      <c r="X225" s="58" t="str">
        <f ca="1">IFERROR(__xludf.DUMMYFUNCTION("QUERY('Volunteer Survey'!R232)"),"Yes- I am willing to volunteer with any available ClinGen group")</f>
        <v>Yes- I am willing to volunteer with any available ClinGen group</v>
      </c>
      <c r="Y225" s="47"/>
      <c r="Z225" s="49"/>
      <c r="AA225" s="49"/>
      <c r="AB225" s="49"/>
      <c r="AC225" s="49"/>
      <c r="AD225" s="49"/>
      <c r="AE225" s="49"/>
      <c r="AF225" s="49"/>
      <c r="AG225" s="49"/>
      <c r="AH225" s="49"/>
      <c r="AI225" s="49"/>
      <c r="AJ225" s="49"/>
      <c r="AK225" s="49"/>
      <c r="AL225" s="49"/>
      <c r="AM225" s="49"/>
      <c r="AN225" s="49"/>
      <c r="AO225" s="49"/>
    </row>
    <row r="226" spans="1:41" ht="14">
      <c r="A226" s="44">
        <f ca="1">IFERROR(__xludf.DUMMYFUNCTION("QUERY('Volunteer Survey'!A233)"),43635.0137589814)</f>
        <v>43635.013758981397</v>
      </c>
      <c r="B226" s="42" t="s">
        <v>108</v>
      </c>
      <c r="C226" s="73">
        <v>43705</v>
      </c>
      <c r="D226" s="59">
        <v>43719</v>
      </c>
      <c r="E226" s="42" t="s">
        <v>130</v>
      </c>
      <c r="F226" s="42" t="s">
        <v>130</v>
      </c>
      <c r="G226" s="42" t="s">
        <v>136</v>
      </c>
      <c r="H226" s="47"/>
      <c r="I226" s="45" t="s">
        <v>139</v>
      </c>
      <c r="J226" s="49"/>
      <c r="K226" s="49"/>
      <c r="L226" s="49" t="str">
        <f ca="1">IFERROR(__xludf.DUMMYFUNCTION("QUERY('Volunteer Survey'!B233)"),"Priyabrata Panigrahi")</f>
        <v>Priyabrata Panigrahi</v>
      </c>
      <c r="M226" s="49" t="str">
        <f ca="1">IFERROR(__xludf.DUMMYFUNCTION("QUERY('Volunteer Survey'!E233)"),"pb.panigrahi86@gmail.com")</f>
        <v>pb.panigrahi86@gmail.com</v>
      </c>
      <c r="N226" s="49" t="str">
        <f ca="1">IFERROR(__xludf.DUMMYFUNCTION("QUERY('Volunteer Survey'!F233)"),"Scientific Researcher")</f>
        <v>Scientific Researcher</v>
      </c>
      <c r="O226" s="42" t="str">
        <f ca="1">IFERROR(__xludf.DUMMYFUNCTION("QUERY('Volunteer Survey'!H233)"),"Comprehensive")</f>
        <v>Comprehensive</v>
      </c>
      <c r="P226" s="49" t="str">
        <f ca="1">IFERROR(__xludf.DUMMYFUNCTION("QUERY('Volunteer Survey'!I233)"),"Somatic Cancer")</f>
        <v>Somatic Cancer</v>
      </c>
      <c r="Q226" s="54" t="str">
        <f ca="1">IFERROR(__xludf.DUMMYFUNCTION("QUERY('Volunteer Survey'!J233)"),"Variant Pathogenicity")</f>
        <v>Variant Pathogenicity</v>
      </c>
      <c r="R226" s="49" t="str">
        <f ca="1">IFERROR(__xludf.DUMMYFUNCTION("QUERY('Volunteer Survey'!K233)"),"Clinical Actionability")</f>
        <v>Clinical Actionability</v>
      </c>
      <c r="S226" s="49" t="str">
        <f ca="1">IFERROR(__xludf.DUMMYFUNCTION("QUERY('Volunteer Survey'!L233)"),"Gene-Disease Validity")</f>
        <v>Gene-Disease Validity</v>
      </c>
      <c r="T226" s="49" t="str">
        <f ca="1">IFERROR(__xludf.DUMMYFUNCTION("QUERY('Volunteer Survey'!M233)"),"Dosage Sensitivity")</f>
        <v>Dosage Sensitivity</v>
      </c>
      <c r="U226" s="58" t="str">
        <f ca="1">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49" t="str">
        <f ca="1">IFERROR(__xludf.DUMMYFUNCTION("QUERY('Volunteer Survey'!O233)"),"Yes")</f>
        <v>Yes</v>
      </c>
      <c r="W226" s="60" t="str">
        <f ca="1">IFERROR(__xludf.DUMMYFUNCTION("QUERY('Volunteer Survey'!P233)"),"Dont know")</f>
        <v>Dont know</v>
      </c>
      <c r="X226" s="58" t="str">
        <f ca="1">IFERROR(__xludf.DUMMYFUNCTION("QUERY('Volunteer Survey'!R233)"),"Yes- I am willing to volunteer with any available ClinGen group")</f>
        <v>Yes- I am willing to volunteer with any available ClinGen group</v>
      </c>
      <c r="Y226" s="47"/>
      <c r="Z226" s="49"/>
      <c r="AA226" s="49"/>
      <c r="AB226" s="49"/>
      <c r="AC226" s="49"/>
      <c r="AD226" s="49"/>
      <c r="AE226" s="49"/>
      <c r="AF226" s="49"/>
      <c r="AG226" s="49"/>
      <c r="AH226" s="49"/>
      <c r="AI226" s="49"/>
      <c r="AJ226" s="49"/>
      <c r="AK226" s="49"/>
      <c r="AL226" s="49"/>
      <c r="AM226" s="49"/>
      <c r="AN226" s="49"/>
      <c r="AO226" s="49"/>
    </row>
    <row r="227" spans="1:41" ht="14">
      <c r="A227" s="44">
        <f ca="1">IFERROR(__xludf.DUMMYFUNCTION("QUERY('Volunteer Survey'!A234)"),43635.5692469097)</f>
        <v>43635.569246909698</v>
      </c>
      <c r="B227" s="42" t="s">
        <v>108</v>
      </c>
      <c r="C227" s="73">
        <v>43819</v>
      </c>
      <c r="D227" s="49"/>
      <c r="E227" s="49"/>
      <c r="F227" s="42" t="s">
        <v>130</v>
      </c>
      <c r="G227" s="42" t="s">
        <v>251</v>
      </c>
      <c r="H227" s="47"/>
      <c r="I227" s="45" t="s">
        <v>139</v>
      </c>
      <c r="J227" s="49"/>
      <c r="K227" s="49"/>
      <c r="L227" s="49" t="str">
        <f ca="1">IFERROR(__xludf.DUMMYFUNCTION("QUERY('Volunteer Survey'!B234)"),"José Patricio Miranda Marín")</f>
        <v>José Patricio Miranda Marín</v>
      </c>
      <c r="M227" s="49" t="str">
        <f ca="1">IFERROR(__xludf.DUMMYFUNCTION("QUERY('Volunteer Survey'!E234)"),"jose.miranda@uc.cl")</f>
        <v>jose.miranda@uc.cl</v>
      </c>
      <c r="N227" s="49" t="str">
        <f ca="1">IFERROR(__xludf.DUMMYFUNCTION("QUERY('Volunteer Survey'!F234)"),"Post Doc/Resident/Fellow (MD and/or PhD)")</f>
        <v>Post Doc/Resident/Fellow (MD and/or PhD)</v>
      </c>
      <c r="O227" s="42" t="str">
        <f ca="1">IFERROR(__xludf.DUMMYFUNCTION("QUERY('Volunteer Survey'!H234)"),"Comprehensive")</f>
        <v>Comprehensive</v>
      </c>
      <c r="P227" s="49" t="str">
        <f ca="1">IFERROR(__xludf.DUMMYFUNCTION("QUERY('Volunteer Survey'!I234)"),"Variant Pathogenicity")</f>
        <v>Variant Pathogenicity</v>
      </c>
      <c r="Q227" s="54" t="str">
        <f ca="1">IFERROR(__xludf.DUMMYFUNCTION("QUERY('Volunteer Survey'!J234)"),"Gene-Disease Validity")</f>
        <v>Gene-Disease Validity</v>
      </c>
      <c r="R227" s="49" t="str">
        <f ca="1">IFERROR(__xludf.DUMMYFUNCTION("QUERY('Volunteer Survey'!K234)"),"")</f>
        <v/>
      </c>
      <c r="S227" s="49" t="str">
        <f ca="1">IFERROR(__xludf.DUMMYFUNCTION("QUERY('Volunteer Survey'!L234)"),"")</f>
        <v/>
      </c>
      <c r="T227" s="49" t="str">
        <f ca="1">IFERROR(__xludf.DUMMYFUNCTION("QUERY('Volunteer Survey'!M234)"),"")</f>
        <v/>
      </c>
      <c r="U227" s="58" t="str">
        <f ca="1">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49" t="str">
        <f ca="1">IFERROR(__xludf.DUMMYFUNCTION("QUERY('Volunteer Survey'!O234)"),"Yes")</f>
        <v>Yes</v>
      </c>
      <c r="W227" s="60" t="str">
        <f ca="1">IFERROR(__xludf.DUMMYFUNCTION("QUERY('Volunteer Survey'!P234)"),"Monogenic Diabetes Variant Curation Expert Panel or Mitochondrial Disease Variant Curation Expert Panel")</f>
        <v>Monogenic Diabetes Variant Curation Expert Panel or Mitochondrial Disease Variant Curation Expert Panel</v>
      </c>
      <c r="X227" s="58" t="str">
        <f ca="1">IFERROR(__xludf.DUMMYFUNCTION("QUERY('Volunteer Survey'!R234)"),"Yes- I am willing to volunteer with any available ClinGen group")</f>
        <v>Yes- I am willing to volunteer with any available ClinGen group</v>
      </c>
      <c r="Y227" s="47"/>
      <c r="Z227" s="49"/>
      <c r="AA227" s="49"/>
      <c r="AB227" s="49"/>
      <c r="AC227" s="49"/>
      <c r="AD227" s="49"/>
      <c r="AE227" s="49"/>
      <c r="AF227" s="49"/>
      <c r="AG227" s="49"/>
      <c r="AH227" s="49"/>
      <c r="AI227" s="49"/>
      <c r="AJ227" s="49"/>
      <c r="AK227" s="49"/>
      <c r="AL227" s="49"/>
      <c r="AM227" s="49"/>
      <c r="AN227" s="49"/>
      <c r="AO227" s="49"/>
    </row>
    <row r="228" spans="1:41" ht="14">
      <c r="A228" s="44">
        <f ca="1">IFERROR(__xludf.DUMMYFUNCTION("QUERY('Volunteer Survey'!A235)"),43638.3626936226)</f>
        <v>43638.362693622599</v>
      </c>
      <c r="B228" s="42" t="s">
        <v>108</v>
      </c>
      <c r="C228" s="47"/>
      <c r="D228" s="49"/>
      <c r="E228" s="49"/>
      <c r="F228" s="42" t="s">
        <v>130</v>
      </c>
      <c r="G228" s="42" t="s">
        <v>202</v>
      </c>
      <c r="H228" s="47"/>
      <c r="I228" s="45" t="s">
        <v>139</v>
      </c>
      <c r="J228" s="49"/>
      <c r="K228" s="49"/>
      <c r="L228" s="49" t="str">
        <f ca="1">IFERROR(__xludf.DUMMYFUNCTION("QUERY('Volunteer Survey'!B235)"),"Helen O'Shea")</f>
        <v>Helen O'Shea</v>
      </c>
      <c r="M228" s="49" t="str">
        <f ca="1">IFERROR(__xludf.DUMMYFUNCTION("QUERY('Volunteer Survey'!E235)"),"helen.oshea@olchc.ie")</f>
        <v>helen.oshea@olchc.ie</v>
      </c>
      <c r="N228" s="49" t="str">
        <f ca="1">IFERROR(__xludf.DUMMYFUNCTION("QUERY('Volunteer Survey'!F235)"),"Clinical laboratory geneticist")</f>
        <v>Clinical laboratory geneticist</v>
      </c>
      <c r="O228" s="42" t="str">
        <f ca="1">IFERROR(__xludf.DUMMYFUNCTION("QUERY('Volunteer Survey'!H235)"),"Baseline")</f>
        <v>Baseline</v>
      </c>
      <c r="P228" s="49" t="str">
        <f ca="1">IFERROR(__xludf.DUMMYFUNCTION("QUERY('Volunteer Survey'!I235)"),"")</f>
        <v/>
      </c>
      <c r="Q228" s="54" t="str">
        <f ca="1">IFERROR(__xludf.DUMMYFUNCTION("QUERY('Volunteer Survey'!J235)"),"")</f>
        <v/>
      </c>
      <c r="R228" s="49" t="str">
        <f ca="1">IFERROR(__xludf.DUMMYFUNCTION("QUERY('Volunteer Survey'!K235)"),"")</f>
        <v/>
      </c>
      <c r="S228" s="49" t="str">
        <f ca="1">IFERROR(__xludf.DUMMYFUNCTION("QUERY('Volunteer Survey'!L235)"),"")</f>
        <v/>
      </c>
      <c r="T228" s="49" t="str">
        <f ca="1">IFERROR(__xludf.DUMMYFUNCTION("QUERY('Volunteer Survey'!M235)"),"")</f>
        <v/>
      </c>
      <c r="U228" s="58" t="str">
        <f ca="1">IFERROR(__xludf.DUMMYFUNCTION("QUERY('Volunteer Survey'!N235)"),"I am involved in neurodevelopmental disorders research using exome sequencing and variant assessment.")</f>
        <v>I am involved in neurodevelopmental disorders research using exome sequencing and variant assessment.</v>
      </c>
      <c r="V228" s="49" t="str">
        <f ca="1">IFERROR(__xludf.DUMMYFUNCTION("QUERY('Volunteer Survey'!O235)"),"No")</f>
        <v>No</v>
      </c>
      <c r="W228" s="60" t="str">
        <f ca="1">IFERROR(__xludf.DUMMYFUNCTION("QUERY('Volunteer Survey'!P235)"),"Neurodevelopmental disorders, cardiovascular diseases and cancer")</f>
        <v>Neurodevelopmental disorders, cardiovascular diseases and cancer</v>
      </c>
      <c r="X228" s="58" t="str">
        <f ca="1">IFERROR(__xludf.DUMMYFUNCTION("QUERY('Volunteer Survey'!R235)"),"Yes- I am willing to volunteer with any available ClinGen group")</f>
        <v>Yes- I am willing to volunteer with any available ClinGen group</v>
      </c>
      <c r="Y228" s="47"/>
      <c r="Z228" s="49"/>
      <c r="AA228" s="49"/>
      <c r="AB228" s="49"/>
      <c r="AC228" s="49"/>
      <c r="AD228" s="49"/>
      <c r="AE228" s="49"/>
      <c r="AF228" s="49"/>
      <c r="AG228" s="49"/>
      <c r="AH228" s="49"/>
      <c r="AI228" s="49"/>
      <c r="AJ228" s="49"/>
      <c r="AK228" s="49"/>
      <c r="AL228" s="49"/>
      <c r="AM228" s="49"/>
      <c r="AN228" s="49"/>
      <c r="AO228" s="49"/>
    </row>
    <row r="229" spans="1:41" ht="14">
      <c r="A229" s="44">
        <f ca="1">IFERROR(__xludf.DUMMYFUNCTION("QUERY('Volunteer Survey'!A236)"),43640.1266100578)</f>
        <v>43640.1266100578</v>
      </c>
      <c r="B229" s="42" t="s">
        <v>108</v>
      </c>
      <c r="C229" s="47"/>
      <c r="D229" s="49"/>
      <c r="E229" s="49"/>
      <c r="F229" s="42" t="s">
        <v>130</v>
      </c>
      <c r="G229" s="42" t="s">
        <v>202</v>
      </c>
      <c r="H229" s="47"/>
      <c r="I229" s="45" t="s">
        <v>139</v>
      </c>
      <c r="J229" s="49"/>
      <c r="K229" s="49"/>
      <c r="L229" s="49" t="str">
        <f ca="1">IFERROR(__xludf.DUMMYFUNCTION("QUERY('Volunteer Survey'!B236)"),"Panos Sergouniotis")</f>
        <v>Panos Sergouniotis</v>
      </c>
      <c r="M229" s="49" t="str">
        <f ca="1">IFERROR(__xludf.DUMMYFUNCTION("QUERY('Volunteer Survey'!E236)"),"panagiotis.sergouniotis@manchester.ac.uk")</f>
        <v>panagiotis.sergouniotis@manchester.ac.uk</v>
      </c>
      <c r="N229" s="49" t="str">
        <f ca="1">IFERROR(__xludf.DUMMYFUNCTION("QUERY('Volunteer Survey'!F236)"),"I am a qualified Ophthalmologist (FEBO, FRCOphth) with an interest in Ophtalmic Genetics")</f>
        <v>I am a qualified Ophthalmologist (FEBO, FRCOphth) with an interest in Ophtalmic Genetics</v>
      </c>
      <c r="O229" s="42" t="str">
        <f ca="1">IFERROR(__xludf.DUMMYFUNCTION("QUERY('Volunteer Survey'!H236)"),"Baseline")</f>
        <v>Baseline</v>
      </c>
      <c r="P229" s="49" t="str">
        <f ca="1">IFERROR(__xludf.DUMMYFUNCTION("QUERY('Volunteer Survey'!I236)"),"Gene-Disease Validity")</f>
        <v>Gene-Disease Validity</v>
      </c>
      <c r="Q229" s="54" t="str">
        <f ca="1">IFERROR(__xludf.DUMMYFUNCTION("QUERY('Volunteer Survey'!J236)"),"Dosage Sensitivity")</f>
        <v>Dosage Sensitivity</v>
      </c>
      <c r="R229" s="49" t="str">
        <f ca="1">IFERROR(__xludf.DUMMYFUNCTION("QUERY('Volunteer Survey'!K236)"),"Variant Pathogenicity")</f>
        <v>Variant Pathogenicity</v>
      </c>
      <c r="S229" s="49" t="str">
        <f ca="1">IFERROR(__xludf.DUMMYFUNCTION("QUERY('Volunteer Survey'!L236)"),"Clinical Actionability")</f>
        <v>Clinical Actionability</v>
      </c>
      <c r="T229" s="49" t="str">
        <f ca="1">IFERROR(__xludf.DUMMYFUNCTION("QUERY('Volunteer Survey'!M236)"),"Somatic Cancer")</f>
        <v>Somatic Cancer</v>
      </c>
      <c r="U229" s="58" t="str">
        <f ca="1">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49" t="str">
        <f ca="1">IFERROR(__xludf.DUMMYFUNCTION("QUERY('Volunteer Survey'!O236)"),"Possibly")</f>
        <v>Possibly</v>
      </c>
      <c r="W229" s="60" t="str">
        <f ca="1">IFERROR(__xludf.DUMMYFUNCTION("QUERY('Volunteer Survey'!P236)"),"Dosage Sensitivity Curation")</f>
        <v>Dosage Sensitivity Curation</v>
      </c>
      <c r="X229" s="58" t="str">
        <f ca="1">IFERROR(__xludf.DUMMYFUNCTION("QUERY('Volunteer Survey'!R236)"),"Maybe -- please contact me with other options, and I will decide based on what is available")</f>
        <v>Maybe -- please contact me with other options, and I will decide based on what is available</v>
      </c>
      <c r="Y229" s="47"/>
      <c r="Z229" s="49"/>
      <c r="AA229" s="49"/>
      <c r="AB229" s="49"/>
      <c r="AC229" s="49"/>
      <c r="AD229" s="49"/>
      <c r="AE229" s="49"/>
      <c r="AF229" s="49"/>
      <c r="AG229" s="49"/>
      <c r="AH229" s="49"/>
      <c r="AI229" s="49"/>
      <c r="AJ229" s="49"/>
      <c r="AK229" s="49"/>
      <c r="AL229" s="49"/>
      <c r="AM229" s="49"/>
      <c r="AN229" s="49"/>
      <c r="AO229" s="49"/>
    </row>
    <row r="230" spans="1:41" ht="14">
      <c r="A230" s="44">
        <f ca="1">IFERROR(__xludf.DUMMYFUNCTION("QUERY('Volunteer Survey'!A237)"),43643.4948958217)</f>
        <v>43643.494895821699</v>
      </c>
      <c r="B230" s="42" t="s">
        <v>108</v>
      </c>
      <c r="C230" s="47"/>
      <c r="D230" s="59">
        <v>43692</v>
      </c>
      <c r="E230" s="42" t="s">
        <v>117</v>
      </c>
      <c r="F230" s="42" t="s">
        <v>117</v>
      </c>
      <c r="G230" s="42" t="s">
        <v>122</v>
      </c>
      <c r="H230" s="47"/>
      <c r="I230" s="45" t="s">
        <v>139</v>
      </c>
      <c r="J230" s="49"/>
      <c r="K230" s="49"/>
      <c r="L230" s="49" t="str">
        <f ca="1">IFERROR(__xludf.DUMMYFUNCTION("QUERY('Volunteer Survey'!B237)"),"Marc Lataillade")</f>
        <v>Marc Lataillade</v>
      </c>
      <c r="M230" s="49" t="str">
        <f ca="1">IFERROR(__xludf.DUMMYFUNCTION("QUERY('Volunteer Survey'!E237)"),"marclataillade258@gmail.com")</f>
        <v>marclataillade258@gmail.com</v>
      </c>
      <c r="N230" s="49" t="str">
        <f ca="1">IFERROR(__xludf.DUMMYFUNCTION("QUERY('Volunteer Survey'!F237)"),"Undergraduate Student")</f>
        <v>Undergraduate Student</v>
      </c>
      <c r="O230" s="42" t="str">
        <f ca="1">IFERROR(__xludf.DUMMYFUNCTION("QUERY('Volunteer Survey'!H237)"),"Comprehensive")</f>
        <v>Comprehensive</v>
      </c>
      <c r="P230" s="49" t="str">
        <f ca="1">IFERROR(__xludf.DUMMYFUNCTION("QUERY('Volunteer Survey'!I237)"),"Gene-Disease Validity")</f>
        <v>Gene-Disease Validity</v>
      </c>
      <c r="Q230" s="54" t="str">
        <f ca="1">IFERROR(__xludf.DUMMYFUNCTION("QUERY('Volunteer Survey'!J237)"),"Variant Pathogenicity")</f>
        <v>Variant Pathogenicity</v>
      </c>
      <c r="R230" s="49" t="str">
        <f ca="1">IFERROR(__xludf.DUMMYFUNCTION("QUERY('Volunteer Survey'!K237)"),"Clinical Actionability")</f>
        <v>Clinical Actionability</v>
      </c>
      <c r="S230" s="49" t="str">
        <f ca="1">IFERROR(__xludf.DUMMYFUNCTION("QUERY('Volunteer Survey'!L237)"),"Dosage Sensitivity")</f>
        <v>Dosage Sensitivity</v>
      </c>
      <c r="T230" s="49" t="str">
        <f ca="1">IFERROR(__xludf.DUMMYFUNCTION("QUERY('Volunteer Survey'!M237)"),"Somatic Cancer")</f>
        <v>Somatic Cancer</v>
      </c>
      <c r="U230" s="58" t="str">
        <f ca="1">IFERROR(__xludf.DUMMYFUNCTION("QUERY('Volunteer Survey'!N237)"),"I isolated genes with PCR and screened exons for a local variant of ebidermolysis bullosa.")</f>
        <v>I isolated genes with PCR and screened exons for a local variant of ebidermolysis bullosa.</v>
      </c>
      <c r="V230" s="49" t="str">
        <f ca="1">IFERROR(__xludf.DUMMYFUNCTION("QUERY('Volunteer Survey'!O237)"),"Possibly")</f>
        <v>Possibly</v>
      </c>
      <c r="W230" s="60" t="str">
        <f ca="1">IFERROR(__xludf.DUMMYFUNCTION("QUERY('Volunteer Survey'!P237)"),"Of the panels listed I am interested in the aminoacidopathy and VHL group.")</f>
        <v>Of the panels listed I am interested in the aminoacidopathy and VHL group.</v>
      </c>
      <c r="X230" s="58" t="str">
        <f ca="1">IFERROR(__xludf.DUMMYFUNCTION("QUERY('Volunteer Survey'!R237)"),"Maybe -- please contact me with other options, and I will decide based on what is available")</f>
        <v>Maybe -- please contact me with other options, and I will decide based on what is available</v>
      </c>
      <c r="Y230" s="47"/>
      <c r="Z230" s="49"/>
      <c r="AA230" s="49"/>
      <c r="AB230" s="49"/>
      <c r="AC230" s="49"/>
      <c r="AD230" s="49"/>
      <c r="AE230" s="49"/>
      <c r="AF230" s="49"/>
      <c r="AG230" s="49"/>
      <c r="AH230" s="49"/>
      <c r="AI230" s="49"/>
      <c r="AJ230" s="49"/>
      <c r="AK230" s="49"/>
      <c r="AL230" s="49"/>
      <c r="AM230" s="49"/>
      <c r="AN230" s="49"/>
      <c r="AO230" s="49"/>
    </row>
    <row r="231" spans="1:41" ht="28">
      <c r="A231" s="44">
        <f ca="1">IFERROR(__xludf.DUMMYFUNCTION("QUERY('Volunteer Survey'!A238)"),43648.4998000694)</f>
        <v>43648.499800069403</v>
      </c>
      <c r="B231" s="42" t="s">
        <v>108</v>
      </c>
      <c r="C231" s="47"/>
      <c r="D231" s="49"/>
      <c r="E231" s="49"/>
      <c r="F231" s="42" t="s">
        <v>130</v>
      </c>
      <c r="G231" s="42" t="s">
        <v>202</v>
      </c>
      <c r="H231" s="47"/>
      <c r="I231" s="45" t="s">
        <v>139</v>
      </c>
      <c r="J231" s="49"/>
      <c r="K231" s="49"/>
      <c r="L231" s="49" t="str">
        <f ca="1">IFERROR(__xludf.DUMMYFUNCTION("QUERY('Volunteer Survey'!B238)"),"Sarah Payne ")</f>
        <v xml:space="preserve">Sarah Payne </v>
      </c>
      <c r="M231" s="49" t="str">
        <f ca="1">IFERROR(__xludf.DUMMYFUNCTION("QUERY('Volunteer Survey'!E238)"),"sarahhale79@gmail.com")</f>
        <v>sarahhale79@gmail.com</v>
      </c>
      <c r="N231" s="49" t="str">
        <f ca="1">IFERROR(__xludf.DUMMYFUNCTION("QUERY('Volunteer Survey'!F238)"),"Female family with unknown genetic disorder ")</f>
        <v xml:space="preserve">Female family with unknown genetic disorder </v>
      </c>
      <c r="O231" s="42" t="str">
        <f ca="1">IFERROR(__xludf.DUMMYFUNCTION("QUERY('Volunteer Survey'!H238)"),"Baseline")</f>
        <v>Baseline</v>
      </c>
      <c r="P231" s="49" t="str">
        <f ca="1">IFERROR(__xludf.DUMMYFUNCTION("QUERY('Volunteer Survey'!I238)"),"Gene-Disease Validity")</f>
        <v>Gene-Disease Validity</v>
      </c>
      <c r="Q231" s="54" t="str">
        <f ca="1">IFERROR(__xludf.DUMMYFUNCTION("QUERY('Volunteer Survey'!J238)"),"Variant Pathogenicity")</f>
        <v>Variant Pathogenicity</v>
      </c>
      <c r="R231" s="49" t="str">
        <f ca="1">IFERROR(__xludf.DUMMYFUNCTION("QUERY('Volunteer Survey'!K238)"),"Clinical Actionability")</f>
        <v>Clinical Actionability</v>
      </c>
      <c r="S231" s="49" t="str">
        <f ca="1">IFERROR(__xludf.DUMMYFUNCTION("QUERY('Volunteer Survey'!L238)"),"Dosage Sensitivity")</f>
        <v>Dosage Sensitivity</v>
      </c>
      <c r="T231" s="49" t="str">
        <f ca="1">IFERROR(__xludf.DUMMYFUNCTION("QUERY('Volunteer Survey'!M238)"),"Somatic Cancer")</f>
        <v>Somatic Cancer</v>
      </c>
      <c r="U231" s="58" t="str">
        <f ca="1">IFERROR(__xludf.DUMMYFUNCTION("QUERY('Volunteer Survey'!N238)"),"I've been in medical trials ")</f>
        <v xml:space="preserve">I've been in medical trials </v>
      </c>
      <c r="V231" s="49" t="str">
        <f ca="1">IFERROR(__xludf.DUMMYFUNCTION("QUERY('Volunteer Survey'!O238)"),"Yes")</f>
        <v>Yes</v>
      </c>
      <c r="W231" s="60" t="str">
        <f ca="1">IFERROR(__xludf.DUMMYFUNCTION("QUERY('Volunteer Survey'!P238)"),"Yes")</f>
        <v>Yes</v>
      </c>
      <c r="X231" s="58" t="str">
        <f ca="1">IFERROR(__xludf.DUMMYFUNCTION("QUERY('Volunteer Survey'!R238)"),"Yes- I am willing to volunteer with any available ClinGen group")</f>
        <v>Yes- I am willing to volunteer with any available ClinGen group</v>
      </c>
      <c r="Y231" s="45" t="s">
        <v>371</v>
      </c>
      <c r="Z231" s="49"/>
      <c r="AA231" s="49"/>
      <c r="AB231" s="49"/>
      <c r="AC231" s="49"/>
      <c r="AD231" s="49"/>
      <c r="AE231" s="49"/>
      <c r="AF231" s="49"/>
      <c r="AG231" s="49"/>
      <c r="AH231" s="49"/>
      <c r="AI231" s="49"/>
      <c r="AJ231" s="49"/>
      <c r="AK231" s="49"/>
      <c r="AL231" s="49"/>
      <c r="AM231" s="49"/>
      <c r="AN231" s="49"/>
      <c r="AO231" s="49"/>
    </row>
    <row r="232" spans="1:41" ht="28">
      <c r="A232" s="44">
        <f ca="1">IFERROR(__xludf.DUMMYFUNCTION("QUERY('Volunteer Survey'!A239)"),43648.6446030902)</f>
        <v>43648.644603090201</v>
      </c>
      <c r="B232" s="42" t="s">
        <v>160</v>
      </c>
      <c r="C232" s="73">
        <v>43705</v>
      </c>
      <c r="D232" s="59">
        <v>43719</v>
      </c>
      <c r="E232" s="42" t="s">
        <v>117</v>
      </c>
      <c r="F232" s="42" t="s">
        <v>130</v>
      </c>
      <c r="G232" s="42" t="s">
        <v>136</v>
      </c>
      <c r="H232" s="45" t="s">
        <v>317</v>
      </c>
      <c r="I232" s="45" t="s">
        <v>139</v>
      </c>
      <c r="J232" s="49"/>
      <c r="K232" s="49"/>
      <c r="L232" s="49" t="str">
        <f ca="1">IFERROR(__xludf.DUMMYFUNCTION("QUERY('Volunteer Survey'!B239)"),"Lori Millner")</f>
        <v>Lori Millner</v>
      </c>
      <c r="M232" s="49" t="str">
        <f ca="1">IFERROR(__xludf.DUMMYFUNCTION("QUERY('Volunteer Survey'!E239)"),"lorimillner77@gmail.com")</f>
        <v>lorimillner77@gmail.com</v>
      </c>
      <c r="N232" s="49" t="str">
        <f ca="1">IFERROR(__xludf.DUMMYFUNCTION("QUERY('Volunteer Survey'!F239)"),"Clinical Lab Director")</f>
        <v>Clinical Lab Director</v>
      </c>
      <c r="O232" s="42" t="str">
        <f ca="1">IFERROR(__xludf.DUMMYFUNCTION("QUERY('Volunteer Survey'!H239)"),"Comprehensive")</f>
        <v>Comprehensive</v>
      </c>
      <c r="P232" s="49" t="str">
        <f ca="1">IFERROR(__xludf.DUMMYFUNCTION("QUERY('Volunteer Survey'!I239)"),"Somatic Cancer")</f>
        <v>Somatic Cancer</v>
      </c>
      <c r="Q232" s="54" t="str">
        <f ca="1">IFERROR(__xludf.DUMMYFUNCTION("QUERY('Volunteer Survey'!J239)"),"Clinical Actionability")</f>
        <v>Clinical Actionability</v>
      </c>
      <c r="R232" s="49" t="str">
        <f ca="1">IFERROR(__xludf.DUMMYFUNCTION("QUERY('Volunteer Survey'!K239)"),"")</f>
        <v/>
      </c>
      <c r="S232" s="49" t="str">
        <f ca="1">IFERROR(__xludf.DUMMYFUNCTION("QUERY('Volunteer Survey'!L239)"),"")</f>
        <v/>
      </c>
      <c r="T232" s="49" t="str">
        <f ca="1">IFERROR(__xludf.DUMMYFUNCTION("QUERY('Volunteer Survey'!M239)"),"")</f>
        <v/>
      </c>
      <c r="U232" s="58" t="str">
        <f ca="1">IFERROR(__xludf.DUMMYFUNCTION("QUERY('Volunteer Survey'!N239)"),"Yes, I performed NGS somatic mutation panels on single cells.")</f>
        <v>Yes, I performed NGS somatic mutation panels on single cells.</v>
      </c>
      <c r="V232" s="49" t="str">
        <f ca="1">IFERROR(__xludf.DUMMYFUNCTION("QUERY('Volunteer Survey'!O239)"),"Possibly")</f>
        <v>Possibly</v>
      </c>
      <c r="W232" s="60" t="str">
        <f ca="1">IFERROR(__xludf.DUMMYFUNCTION("QUERY('Volunteer Survey'!P239)"),"")</f>
        <v/>
      </c>
      <c r="X232" s="58" t="str">
        <f ca="1">IFERROR(__xludf.DUMMYFUNCTION("QUERY('Volunteer Survey'!R239)"),"Maybe -- please contact me with other options, and I will decide based on what is available")</f>
        <v>Maybe -- please contact me with other options, and I will decide based on what is available</v>
      </c>
      <c r="Y232" s="47"/>
      <c r="Z232" s="49"/>
      <c r="AA232" s="49"/>
      <c r="AB232" s="49"/>
      <c r="AC232" s="49"/>
      <c r="AD232" s="49"/>
      <c r="AE232" s="49"/>
      <c r="AF232" s="49"/>
      <c r="AG232" s="49"/>
      <c r="AH232" s="49"/>
      <c r="AI232" s="49"/>
      <c r="AJ232" s="49"/>
      <c r="AK232" s="49"/>
      <c r="AL232" s="49"/>
      <c r="AM232" s="49"/>
      <c r="AN232" s="49"/>
      <c r="AO232" s="49"/>
    </row>
    <row r="233" spans="1:41" ht="14">
      <c r="A233" s="44">
        <f ca="1">IFERROR(__xludf.DUMMYFUNCTION("QUERY('Volunteer Survey'!A240)"),43651.2924809027)</f>
        <v>43651.292480902703</v>
      </c>
      <c r="B233" s="42" t="s">
        <v>108</v>
      </c>
      <c r="C233" s="73">
        <v>43689</v>
      </c>
      <c r="D233" s="49"/>
      <c r="E233" s="49"/>
      <c r="F233" s="42" t="s">
        <v>130</v>
      </c>
      <c r="G233" s="42" t="s">
        <v>19</v>
      </c>
      <c r="H233" s="63"/>
      <c r="I233" s="45" t="s">
        <v>139</v>
      </c>
      <c r="J233" s="49"/>
      <c r="K233" s="49"/>
      <c r="L233" s="49" t="str">
        <f ca="1">IFERROR(__xludf.DUMMYFUNCTION("QUERY('Volunteer Survey'!B240)"),"Agnes Sebastian")</f>
        <v>Agnes Sebastian</v>
      </c>
      <c r="M233" s="49" t="str">
        <f ca="1">IFERROR(__xludf.DUMMYFUNCTION("QUERY('Volunteer Survey'!E240)"),"agnes.sebastian@mail.utoronto.ca")</f>
        <v>agnes.sebastian@mail.utoronto.ca</v>
      </c>
      <c r="N233" s="49" t="str">
        <f ca="1">IFERROR(__xludf.DUMMYFUNCTION("QUERY('Volunteer Survey'!F240)"),"Graduate Student")</f>
        <v>Graduate Student</v>
      </c>
      <c r="O233" s="42" t="str">
        <f ca="1">IFERROR(__xludf.DUMMYFUNCTION("QUERY('Volunteer Survey'!H240)"),"Comprehensive")</f>
        <v>Comprehensive</v>
      </c>
      <c r="P233" s="49" t="str">
        <f ca="1">IFERROR(__xludf.DUMMYFUNCTION("QUERY('Volunteer Survey'!I240)"),"Clinical Actionability")</f>
        <v>Clinical Actionability</v>
      </c>
      <c r="Q233" s="54" t="str">
        <f ca="1">IFERROR(__xludf.DUMMYFUNCTION("QUERY('Volunteer Survey'!J240)"),"Variant Pathogenicity")</f>
        <v>Variant Pathogenicity</v>
      </c>
      <c r="R233" s="49" t="str">
        <f ca="1">IFERROR(__xludf.DUMMYFUNCTION("QUERY('Volunteer Survey'!K240)"),"Gene-Disease Validity")</f>
        <v>Gene-Disease Validity</v>
      </c>
      <c r="S233" s="49" t="str">
        <f ca="1">IFERROR(__xludf.DUMMYFUNCTION("QUERY('Volunteer Survey'!L240)"),"Dosage Sensitivity")</f>
        <v>Dosage Sensitivity</v>
      </c>
      <c r="T233" s="49" t="str">
        <f ca="1">IFERROR(__xludf.DUMMYFUNCTION("QUERY('Volunteer Survey'!M240)"),"Somatic Cancer")</f>
        <v>Somatic Cancer</v>
      </c>
      <c r="U233" s="58" t="str">
        <f ca="1">IFERROR(__xludf.DUMMYFUNCTION("QUERY('Volunteer Survey'!N240)"),"")</f>
        <v/>
      </c>
      <c r="V233" s="49" t="str">
        <f ca="1">IFERROR(__xludf.DUMMYFUNCTION("QUERY('Volunteer Survey'!O240)"),"Possibly")</f>
        <v>Possibly</v>
      </c>
      <c r="W233" s="60" t="str">
        <f ca="1">IFERROR(__xludf.DUMMYFUNCTION("QUERY('Volunteer Survey'!P240)"),"No - any group related to cancer or hearing loss is preferable")</f>
        <v>No - any group related to cancer or hearing loss is preferable</v>
      </c>
      <c r="X233" s="58" t="str">
        <f ca="1">IFERROR(__xludf.DUMMYFUNCTION("QUERY('Volunteer Survey'!R240)"),"Maybe -- please contact me with other options, and I will decide based on what is available")</f>
        <v>Maybe -- please contact me with other options, and I will decide based on what is available</v>
      </c>
      <c r="Y233" s="47"/>
      <c r="Z233" s="49"/>
      <c r="AA233" s="49"/>
      <c r="AB233" s="49"/>
      <c r="AC233" s="49"/>
      <c r="AD233" s="49"/>
      <c r="AE233" s="49"/>
      <c r="AF233" s="49"/>
      <c r="AG233" s="49"/>
      <c r="AH233" s="49"/>
      <c r="AI233" s="49"/>
      <c r="AJ233" s="49"/>
      <c r="AK233" s="49"/>
      <c r="AL233" s="49"/>
      <c r="AM233" s="49"/>
      <c r="AN233" s="49"/>
      <c r="AO233" s="49"/>
    </row>
    <row r="234" spans="1:41" ht="14">
      <c r="A234" s="44">
        <f ca="1">IFERROR(__xludf.DUMMYFUNCTION("QUERY('Volunteer Survey'!A241)"),43651.6183744791)</f>
        <v>43651.618374479098</v>
      </c>
      <c r="B234" s="42" t="s">
        <v>168</v>
      </c>
      <c r="C234" s="47"/>
      <c r="D234" s="49"/>
      <c r="E234" s="49"/>
      <c r="F234" s="42" t="s">
        <v>130</v>
      </c>
      <c r="G234" s="42" t="s">
        <v>251</v>
      </c>
      <c r="H234" s="47"/>
      <c r="I234" s="45" t="s">
        <v>139</v>
      </c>
      <c r="J234" s="49"/>
      <c r="K234" s="49"/>
      <c r="L234" s="49" t="str">
        <f ca="1">IFERROR(__xludf.DUMMYFUNCTION("QUERY('Volunteer Survey'!B241)"),"Xiangqiang Shao")</f>
        <v>Xiangqiang Shao</v>
      </c>
      <c r="M234" s="49" t="str">
        <f ca="1">IFERROR(__xludf.DUMMYFUNCTION("QUERY('Volunteer Survey'!E241)"),"xshao5@wisc.edu")</f>
        <v>xshao5@wisc.edu</v>
      </c>
      <c r="N234" s="49" t="str">
        <f ca="1">IFERROR(__xludf.DUMMYFUNCTION("QUERY('Volunteer Survey'!F241)"),"Scientific Researcher")</f>
        <v>Scientific Researcher</v>
      </c>
      <c r="O234" s="42" t="str">
        <f ca="1">IFERROR(__xludf.DUMMYFUNCTION("QUERY('Volunteer Survey'!H241)"),"Comprehensive")</f>
        <v>Comprehensive</v>
      </c>
      <c r="P234" s="49" t="str">
        <f ca="1">IFERROR(__xludf.DUMMYFUNCTION("QUERY('Volunteer Survey'!I241)"),"Variant Pathogenicity")</f>
        <v>Variant Pathogenicity</v>
      </c>
      <c r="Q234" s="54" t="str">
        <f ca="1">IFERROR(__xludf.DUMMYFUNCTION("QUERY('Volunteer Survey'!J241)"),"Dosage Sensitivity")</f>
        <v>Dosage Sensitivity</v>
      </c>
      <c r="R234" s="49" t="str">
        <f ca="1">IFERROR(__xludf.DUMMYFUNCTION("QUERY('Volunteer Survey'!K241)"),"Clinical Actionability")</f>
        <v>Clinical Actionability</v>
      </c>
      <c r="S234" s="49" t="str">
        <f ca="1">IFERROR(__xludf.DUMMYFUNCTION("QUERY('Volunteer Survey'!L241)"),"Gene-Disease Validity")</f>
        <v>Gene-Disease Validity</v>
      </c>
      <c r="T234" s="49" t="str">
        <f ca="1">IFERROR(__xludf.DUMMYFUNCTION("QUERY('Volunteer Survey'!M241)"),"Somatic Cancer")</f>
        <v>Somatic Cancer</v>
      </c>
      <c r="U234" s="58" t="str">
        <f ca="1">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49" t="str">
        <f ca="1">IFERROR(__xludf.DUMMYFUNCTION("QUERY('Volunteer Survey'!O241)"),"Possibly")</f>
        <v>Possibly</v>
      </c>
      <c r="W234" s="60" t="str">
        <f ca="1">IFERROR(__xludf.DUMMYFUNCTION("QUERY('Volunteer Survey'!P241)"),"Epilepsy, and Intellectual Disability and Autism")</f>
        <v>Epilepsy, and Intellectual Disability and Autism</v>
      </c>
      <c r="X234" s="58" t="str">
        <f ca="1">IFERROR(__xludf.DUMMYFUNCTION("QUERY('Volunteer Survey'!R241)"),"Yes- I am willing to volunteer with any available ClinGen group")</f>
        <v>Yes- I am willing to volunteer with any available ClinGen group</v>
      </c>
      <c r="Y234" s="47"/>
      <c r="Z234" s="49"/>
      <c r="AA234" s="49"/>
      <c r="AB234" s="49"/>
      <c r="AC234" s="49"/>
      <c r="AD234" s="49"/>
      <c r="AE234" s="49"/>
      <c r="AF234" s="49"/>
      <c r="AG234" s="49"/>
      <c r="AH234" s="49"/>
      <c r="AI234" s="49"/>
      <c r="AJ234" s="49"/>
      <c r="AK234" s="49"/>
      <c r="AL234" s="49"/>
      <c r="AM234" s="49"/>
      <c r="AN234" s="49"/>
      <c r="AO234" s="49"/>
    </row>
    <row r="235" spans="1:41" ht="14">
      <c r="A235" s="44">
        <f ca="1">IFERROR(__xludf.DUMMYFUNCTION("QUERY('Volunteer Survey'!A242)"),43653.1900094791)</f>
        <v>43653.190009479098</v>
      </c>
      <c r="B235" s="42" t="s">
        <v>108</v>
      </c>
      <c r="C235" s="47"/>
      <c r="D235" s="49"/>
      <c r="E235" s="49"/>
      <c r="F235" s="42" t="s">
        <v>130</v>
      </c>
      <c r="G235" s="42" t="s">
        <v>202</v>
      </c>
      <c r="H235" s="47"/>
      <c r="I235" s="45" t="s">
        <v>139</v>
      </c>
      <c r="J235" s="49"/>
      <c r="K235" s="49"/>
      <c r="L235" s="49" t="str">
        <f ca="1">IFERROR(__xludf.DUMMYFUNCTION("QUERY('Volunteer Survey'!B242)"),"Pradeep Varathan")</f>
        <v>Pradeep Varathan</v>
      </c>
      <c r="M235" s="49" t="str">
        <f ca="1">IFERROR(__xludf.DUMMYFUNCTION("QUERY('Volunteer Survey'!E242)"),"pradluzog@gmail.com")</f>
        <v>pradluzog@gmail.com</v>
      </c>
      <c r="N235" s="49" t="str">
        <f ca="1">IFERROR(__xludf.DUMMYFUNCTION("QUERY('Volunteer Survey'!F242)"),"Graduate Student")</f>
        <v>Graduate Student</v>
      </c>
      <c r="O235" s="42" t="str">
        <f ca="1">IFERROR(__xludf.DUMMYFUNCTION("QUERY('Volunteer Survey'!H242)"),"Baseline")</f>
        <v>Baseline</v>
      </c>
      <c r="P235" s="49" t="str">
        <f ca="1">IFERROR(__xludf.DUMMYFUNCTION("QUERY('Volunteer Survey'!I242)"),"")</f>
        <v/>
      </c>
      <c r="Q235" s="54" t="str">
        <f ca="1">IFERROR(__xludf.DUMMYFUNCTION("QUERY('Volunteer Survey'!J242)"),"")</f>
        <v/>
      </c>
      <c r="R235" s="49" t="str">
        <f ca="1">IFERROR(__xludf.DUMMYFUNCTION("QUERY('Volunteer Survey'!K242)"),"")</f>
        <v/>
      </c>
      <c r="S235" s="49" t="str">
        <f ca="1">IFERROR(__xludf.DUMMYFUNCTION("QUERY('Volunteer Survey'!L242)"),"")</f>
        <v/>
      </c>
      <c r="T235" s="49" t="str">
        <f ca="1">IFERROR(__xludf.DUMMYFUNCTION("QUERY('Volunteer Survey'!M242)"),"")</f>
        <v/>
      </c>
      <c r="U235" s="58" t="str">
        <f ca="1">IFERROR(__xludf.DUMMYFUNCTION("QUERY('Volunteer Survey'!N242)"),"")</f>
        <v/>
      </c>
      <c r="V235" s="49" t="str">
        <f ca="1">IFERROR(__xludf.DUMMYFUNCTION("QUERY('Volunteer Survey'!O242)"),"Yes")</f>
        <v>Yes</v>
      </c>
      <c r="W235" s="60" t="str">
        <f ca="1">IFERROR(__xludf.DUMMYFUNCTION("QUERY('Volunteer Survey'!P242)"),"")</f>
        <v/>
      </c>
      <c r="X235" s="58" t="str">
        <f ca="1">IFERROR(__xludf.DUMMYFUNCTION("QUERY('Volunteer Survey'!R242)"),"Yes- I am willing to volunteer with any available ClinGen group")</f>
        <v>Yes- I am willing to volunteer with any available ClinGen group</v>
      </c>
      <c r="Y235" s="47"/>
      <c r="Z235" s="49"/>
      <c r="AA235" s="49"/>
      <c r="AB235" s="49"/>
      <c r="AC235" s="49"/>
      <c r="AD235" s="49"/>
      <c r="AE235" s="49"/>
      <c r="AF235" s="49"/>
      <c r="AG235" s="49"/>
      <c r="AH235" s="49"/>
      <c r="AI235" s="49"/>
      <c r="AJ235" s="49"/>
      <c r="AK235" s="49"/>
      <c r="AL235" s="49"/>
      <c r="AM235" s="49"/>
      <c r="AN235" s="49"/>
      <c r="AO235" s="49"/>
    </row>
    <row r="236" spans="1:41" ht="14">
      <c r="A236" s="44">
        <f ca="1">IFERROR(__xludf.DUMMYFUNCTION("QUERY('Volunteer Survey'!A243)"),43654.534963287)</f>
        <v>43654.534963286998</v>
      </c>
      <c r="B236" s="42" t="s">
        <v>108</v>
      </c>
      <c r="C236" s="73">
        <v>43689</v>
      </c>
      <c r="D236" s="49"/>
      <c r="E236" s="49"/>
      <c r="F236" s="42" t="s">
        <v>130</v>
      </c>
      <c r="G236" s="42" t="s">
        <v>19</v>
      </c>
      <c r="H236" s="63"/>
      <c r="I236" s="45" t="s">
        <v>139</v>
      </c>
      <c r="J236" s="49"/>
      <c r="K236" s="49"/>
      <c r="L236" s="49" t="str">
        <f ca="1">IFERROR(__xludf.DUMMYFUNCTION("QUERY('Volunteer Survey'!B243)"),"Terri McVeigh")</f>
        <v>Terri McVeigh</v>
      </c>
      <c r="M236" s="49" t="str">
        <f ca="1">IFERROR(__xludf.DUMMYFUNCTION("QUERY('Volunteer Survey'!E243)"),"terri.mcveigh@rmh.nhs.uk")</f>
        <v>terri.mcveigh@rmh.nhs.uk</v>
      </c>
      <c r="N236" s="49" t="str">
        <f ca="1">IFERROR(__xludf.DUMMYFUNCTION("QUERY('Volunteer Survey'!F243)"),"Clinical Medical Geneticist")</f>
        <v>Clinical Medical Geneticist</v>
      </c>
      <c r="O236" s="42" t="str">
        <f ca="1">IFERROR(__xludf.DUMMYFUNCTION("QUERY('Volunteer Survey'!H243)"),"Comprehensive")</f>
        <v>Comprehensive</v>
      </c>
      <c r="P236" s="49" t="str">
        <f ca="1">IFERROR(__xludf.DUMMYFUNCTION("QUERY('Volunteer Survey'!I243)"),"Clinical Actionability")</f>
        <v>Clinical Actionability</v>
      </c>
      <c r="Q236" s="54" t="str">
        <f ca="1">IFERROR(__xludf.DUMMYFUNCTION("QUERY('Volunteer Survey'!J243)"),"Variant Pathogenicity")</f>
        <v>Variant Pathogenicity</v>
      </c>
      <c r="R236" s="49" t="str">
        <f ca="1">IFERROR(__xludf.DUMMYFUNCTION("QUERY('Volunteer Survey'!K243)"),"Gene-Disease Validity")</f>
        <v>Gene-Disease Validity</v>
      </c>
      <c r="S236" s="49" t="str">
        <f ca="1">IFERROR(__xludf.DUMMYFUNCTION("QUERY('Volunteer Survey'!L243)"),"Somatic Cancer")</f>
        <v>Somatic Cancer</v>
      </c>
      <c r="T236" s="49" t="str">
        <f ca="1">IFERROR(__xludf.DUMMYFUNCTION("QUERY('Volunteer Survey'!M243)"),"Dosage Sensitivity")</f>
        <v>Dosage Sensitivity</v>
      </c>
      <c r="U236" s="58" t="str">
        <f ca="1">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49" t="str">
        <f ca="1">IFERROR(__xludf.DUMMYFUNCTION("QUERY('Volunteer Survey'!O243)"),"Possibly")</f>
        <v>Possibly</v>
      </c>
      <c r="W236" s="60" t="str">
        <f ca="1">IFERROR(__xludf.DUMMYFUNCTION("QUERY('Volunteer Survey'!P243)"),"")</f>
        <v/>
      </c>
      <c r="X236" s="58" t="str">
        <f ca="1">IFERROR(__xludf.DUMMYFUNCTION("QUERY('Volunteer Survey'!R243)"),"Maybe -- please contact me with other options, and I will decide based on what is available")</f>
        <v>Maybe -- please contact me with other options, and I will decide based on what is available</v>
      </c>
      <c r="Y236" s="47"/>
      <c r="Z236" s="49"/>
      <c r="AA236" s="49"/>
      <c r="AB236" s="49"/>
      <c r="AC236" s="49"/>
      <c r="AD236" s="49"/>
      <c r="AE236" s="49"/>
      <c r="AF236" s="49"/>
      <c r="AG236" s="49"/>
      <c r="AH236" s="49"/>
      <c r="AI236" s="49"/>
      <c r="AJ236" s="49"/>
      <c r="AK236" s="49"/>
      <c r="AL236" s="49"/>
      <c r="AM236" s="49"/>
      <c r="AN236" s="49"/>
      <c r="AO236" s="49"/>
    </row>
    <row r="237" spans="1:41" ht="14">
      <c r="A237" s="44">
        <f ca="1">IFERROR(__xludf.DUMMYFUNCTION("QUERY('Volunteer Survey'!A244)"),43655.4301787268)</f>
        <v>43655.430178726798</v>
      </c>
      <c r="B237" s="42" t="s">
        <v>168</v>
      </c>
      <c r="C237" s="47"/>
      <c r="D237" s="49"/>
      <c r="E237" s="49"/>
      <c r="F237" s="42" t="s">
        <v>130</v>
      </c>
      <c r="G237" s="42" t="s">
        <v>251</v>
      </c>
      <c r="H237" s="47"/>
      <c r="I237" s="45" t="s">
        <v>139</v>
      </c>
      <c r="J237" s="49"/>
      <c r="K237" s="49"/>
      <c r="L237" s="49" t="str">
        <f ca="1">IFERROR(__xludf.DUMMYFUNCTION("QUERY('Volunteer Survey'!B244)"),"Gretchen Cote")</f>
        <v>Gretchen Cote</v>
      </c>
      <c r="M237" s="49" t="str">
        <f ca="1">IFERROR(__xludf.DUMMYFUNCTION("QUERY('Volunteer Survey'!E244)"),"gretchen.cote@dgs.virginia.gov")</f>
        <v>gretchen.cote@dgs.virginia.gov</v>
      </c>
      <c r="N237" s="49" t="str">
        <f ca="1">IFERROR(__xludf.DUMMYFUNCTION("QUERY('Volunteer Survey'!F244)"),"Bioinformatician focusing on Variant Interpretation")</f>
        <v>Bioinformatician focusing on Variant Interpretation</v>
      </c>
      <c r="O237" s="42" t="str">
        <f ca="1">IFERROR(__xludf.DUMMYFUNCTION("QUERY('Volunteer Survey'!H244)"),"Comprehensive")</f>
        <v>Comprehensive</v>
      </c>
      <c r="P237" s="49" t="str">
        <f ca="1">IFERROR(__xludf.DUMMYFUNCTION("QUERY('Volunteer Survey'!I244)"),"Variant Pathogenicity")</f>
        <v>Variant Pathogenicity</v>
      </c>
      <c r="Q237" s="54" t="str">
        <f ca="1">IFERROR(__xludf.DUMMYFUNCTION("QUERY('Volunteer Survey'!J244)"),"Clinical Actionability")</f>
        <v>Clinical Actionability</v>
      </c>
      <c r="R237" s="49" t="str">
        <f ca="1">IFERROR(__xludf.DUMMYFUNCTION("QUERY('Volunteer Survey'!K244)"),"Gene-Disease Validity")</f>
        <v>Gene-Disease Validity</v>
      </c>
      <c r="S237" s="49" t="str">
        <f ca="1">IFERROR(__xludf.DUMMYFUNCTION("QUERY('Volunteer Survey'!L244)"),"Somatic Cancer")</f>
        <v>Somatic Cancer</v>
      </c>
      <c r="T237" s="49" t="str">
        <f ca="1">IFERROR(__xludf.DUMMYFUNCTION("QUERY('Volunteer Survey'!M244)"),"Dosage Sensitivity")</f>
        <v>Dosage Sensitivity</v>
      </c>
      <c r="U237" s="58" t="str">
        <f ca="1">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49" t="str">
        <f ca="1">IFERROR(__xludf.DUMMYFUNCTION("QUERY('Volunteer Survey'!O244)"),"Possibly")</f>
        <v>Possibly</v>
      </c>
      <c r="W237" s="60" t="str">
        <f ca="1">IFERROR(__xludf.DUMMYFUNCTION("QUERY('Volunteer Survey'!P244)"),"Lysosomal Storage Disorders")</f>
        <v>Lysosomal Storage Disorders</v>
      </c>
      <c r="X237" s="58" t="str">
        <f ca="1">IFERROR(__xludf.DUMMYFUNCTION("QUERY('Volunteer Survey'!R244)"),"Yes- I am willing to volunteer with any available ClinGen group")</f>
        <v>Yes- I am willing to volunteer with any available ClinGen group</v>
      </c>
      <c r="Y237" s="47"/>
      <c r="Z237" s="49"/>
      <c r="AA237" s="49"/>
      <c r="AB237" s="49"/>
      <c r="AC237" s="49"/>
      <c r="AD237" s="49"/>
      <c r="AE237" s="49"/>
      <c r="AF237" s="49"/>
      <c r="AG237" s="49"/>
      <c r="AH237" s="49"/>
      <c r="AI237" s="49"/>
      <c r="AJ237" s="49"/>
      <c r="AK237" s="49"/>
      <c r="AL237" s="49"/>
      <c r="AM237" s="49"/>
      <c r="AN237" s="49"/>
      <c r="AO237" s="49"/>
    </row>
    <row r="238" spans="1:41" ht="14">
      <c r="A238" s="44">
        <f ca="1">IFERROR(__xludf.DUMMYFUNCTION("QUERY('Volunteer Survey'!A245)"),43661.5508873032)</f>
        <v>43661.550887303201</v>
      </c>
      <c r="B238" s="42" t="s">
        <v>108</v>
      </c>
      <c r="C238" s="47"/>
      <c r="D238" s="59">
        <v>43692</v>
      </c>
      <c r="E238" s="42" t="s">
        <v>117</v>
      </c>
      <c r="F238" s="42" t="s">
        <v>117</v>
      </c>
      <c r="G238" s="42" t="s">
        <v>122</v>
      </c>
      <c r="H238" s="47"/>
      <c r="I238" s="45" t="s">
        <v>139</v>
      </c>
      <c r="J238" s="49"/>
      <c r="K238" s="49"/>
      <c r="L238" s="49" t="str">
        <f ca="1">IFERROR(__xludf.DUMMYFUNCTION("QUERY('Volunteer Survey'!B245)"),"Mayher Patel")</f>
        <v>Mayher Patel</v>
      </c>
      <c r="M238" s="49" t="str">
        <f ca="1">IFERROR(__xludf.DUMMYFUNCTION("QUERY('Volunteer Survey'!E245)"),"mayher@broadinstitute.org")</f>
        <v>mayher@broadinstitute.org</v>
      </c>
      <c r="N238" s="49" t="str">
        <f ca="1">IFERROR(__xludf.DUMMYFUNCTION("QUERY('Volunteer Survey'!F245)"),"Biocurator")</f>
        <v>Biocurator</v>
      </c>
      <c r="O238" s="42" t="str">
        <f ca="1">IFERROR(__xludf.DUMMYFUNCTION("QUERY('Volunteer Survey'!H245)"),"Comprehensive")</f>
        <v>Comprehensive</v>
      </c>
      <c r="P238" s="49" t="str">
        <f ca="1">IFERROR(__xludf.DUMMYFUNCTION("QUERY('Volunteer Survey'!I245)"),"Gene-Disease Validity")</f>
        <v>Gene-Disease Validity</v>
      </c>
      <c r="Q238" s="54" t="str">
        <f ca="1">IFERROR(__xludf.DUMMYFUNCTION("QUERY('Volunteer Survey'!J245)"),"")</f>
        <v/>
      </c>
      <c r="R238" s="49" t="str">
        <f ca="1">IFERROR(__xludf.DUMMYFUNCTION("QUERY('Volunteer Survey'!K245)"),"")</f>
        <v/>
      </c>
      <c r="S238" s="49" t="str">
        <f ca="1">IFERROR(__xludf.DUMMYFUNCTION("QUERY('Volunteer Survey'!L245)"),"")</f>
        <v/>
      </c>
      <c r="T238" s="49" t="str">
        <f ca="1">IFERROR(__xludf.DUMMYFUNCTION("QUERY('Volunteer Survey'!M245)"),"")</f>
        <v/>
      </c>
      <c r="U238" s="58" t="str">
        <f ca="1">IFERROR(__xludf.DUMMYFUNCTION("QUERY('Volunteer Survey'!N245)"),"")</f>
        <v/>
      </c>
      <c r="V238" s="49" t="str">
        <f ca="1">IFERROR(__xludf.DUMMYFUNCTION("QUERY('Volunteer Survey'!O245)"),"")</f>
        <v/>
      </c>
      <c r="W238" s="60" t="str">
        <f ca="1">IFERROR(__xludf.DUMMYFUNCTION("QUERY('Volunteer Survey'!P245)"),"")</f>
        <v/>
      </c>
      <c r="X238" s="58" t="str">
        <f ca="1">IFERROR(__xludf.DUMMYFUNCTION("QUERY('Volunteer Survey'!R245)"),"")</f>
        <v/>
      </c>
      <c r="Y238" s="47"/>
      <c r="Z238" s="49"/>
      <c r="AA238" s="49"/>
      <c r="AB238" s="49"/>
      <c r="AC238" s="49"/>
      <c r="AD238" s="49"/>
      <c r="AE238" s="49"/>
      <c r="AF238" s="49"/>
      <c r="AG238" s="49"/>
      <c r="AH238" s="49"/>
      <c r="AI238" s="49"/>
      <c r="AJ238" s="49"/>
      <c r="AK238" s="49"/>
      <c r="AL238" s="49"/>
      <c r="AM238" s="49"/>
      <c r="AN238" s="49"/>
      <c r="AO238" s="49"/>
    </row>
    <row r="239" spans="1:41" ht="14">
      <c r="A239" s="44">
        <f ca="1">IFERROR(__xludf.DUMMYFUNCTION("QUERY('Volunteer Survey'!A246)"),43662.4893749305)</f>
        <v>43662.489374930497</v>
      </c>
      <c r="B239" s="42" t="s">
        <v>168</v>
      </c>
      <c r="C239" s="47"/>
      <c r="D239" s="49"/>
      <c r="E239" s="49"/>
      <c r="F239" s="42" t="s">
        <v>130</v>
      </c>
      <c r="G239" s="42" t="s">
        <v>251</v>
      </c>
      <c r="H239" s="47"/>
      <c r="I239" s="45" t="s">
        <v>139</v>
      </c>
      <c r="J239" s="49"/>
      <c r="K239" s="49"/>
      <c r="L239" s="49" t="str">
        <f ca="1">IFERROR(__xludf.DUMMYFUNCTION("QUERY('Volunteer Survey'!B246)"),"Bryan Gall")</f>
        <v>Bryan Gall</v>
      </c>
      <c r="M239" s="49" t="str">
        <f ca="1">IFERROR(__xludf.DUMMYFUNCTION("QUERY('Volunteer Survey'!E246)"),"bgall005@gmail.com")</f>
        <v>bgall005@gmail.com</v>
      </c>
      <c r="N239" s="49" t="str">
        <f ca="1">IFERROR(__xludf.DUMMYFUNCTION("QUERY('Volunteer Survey'!F246)"),"Variant Analyst/Scientist - Industry")</f>
        <v>Variant Analyst/Scientist - Industry</v>
      </c>
      <c r="O239" s="42" t="str">
        <f ca="1">IFERROR(__xludf.DUMMYFUNCTION("QUERY('Volunteer Survey'!H246)"),"Comprehensive")</f>
        <v>Comprehensive</v>
      </c>
      <c r="P239" s="49" t="str">
        <f ca="1">IFERROR(__xludf.DUMMYFUNCTION("QUERY('Volunteer Survey'!I246)"),"Variant Pathogenicity")</f>
        <v>Variant Pathogenicity</v>
      </c>
      <c r="Q239" s="54" t="str">
        <f ca="1">IFERROR(__xludf.DUMMYFUNCTION("QUERY('Volunteer Survey'!J246)"),"Clinical Actionability")</f>
        <v>Clinical Actionability</v>
      </c>
      <c r="R239" s="49" t="str">
        <f ca="1">IFERROR(__xludf.DUMMYFUNCTION("QUERY('Volunteer Survey'!K246)"),"Gene-Disease Validity")</f>
        <v>Gene-Disease Validity</v>
      </c>
      <c r="S239" s="49" t="str">
        <f ca="1">IFERROR(__xludf.DUMMYFUNCTION("QUERY('Volunteer Survey'!L246)"),"Somatic Cancer")</f>
        <v>Somatic Cancer</v>
      </c>
      <c r="T239" s="49" t="str">
        <f ca="1">IFERROR(__xludf.DUMMYFUNCTION("QUERY('Volunteer Survey'!M246)"),"Dosage Sensitivity")</f>
        <v>Dosage Sensitivity</v>
      </c>
      <c r="U239" s="58" t="str">
        <f ca="1">IFERROR(__xludf.DUMMYFUNCTION("QUERY('Volunteer Survey'!N246)"),"Manual variant interpretation using ClinGen resources")</f>
        <v>Manual variant interpretation using ClinGen resources</v>
      </c>
      <c r="V239" s="49" t="str">
        <f ca="1">IFERROR(__xludf.DUMMYFUNCTION("QUERY('Volunteer Survey'!O246)"),"No")</f>
        <v>No</v>
      </c>
      <c r="W239" s="60" t="str">
        <f ca="1">IFERROR(__xludf.DUMMYFUNCTION("QUERY('Volunteer Survey'!P246)"),"Colorectal Cancer, Familial Hypercholesterolemia, and Myeloid Malignancy")</f>
        <v>Colorectal Cancer, Familial Hypercholesterolemia, and Myeloid Malignancy</v>
      </c>
      <c r="X239" s="58" t="str">
        <f ca="1">IFERROR(__xludf.DUMMYFUNCTION("QUERY('Volunteer Survey'!R246)"),"Yes- I am willing to volunteer with any available ClinGen group")</f>
        <v>Yes- I am willing to volunteer with any available ClinGen group</v>
      </c>
      <c r="Y239" s="47"/>
      <c r="Z239" s="49"/>
      <c r="AA239" s="49"/>
      <c r="AB239" s="49"/>
      <c r="AC239" s="49"/>
      <c r="AD239" s="49"/>
      <c r="AE239" s="49"/>
      <c r="AF239" s="49"/>
      <c r="AG239" s="49"/>
      <c r="AH239" s="49"/>
      <c r="AI239" s="49"/>
      <c r="AJ239" s="49"/>
      <c r="AK239" s="49"/>
      <c r="AL239" s="49"/>
      <c r="AM239" s="49"/>
      <c r="AN239" s="49"/>
      <c r="AO239" s="49"/>
    </row>
    <row r="240" spans="1:41" ht="14">
      <c r="A240" s="44">
        <f ca="1">IFERROR(__xludf.DUMMYFUNCTION("QUERY('Volunteer Survey'!A247)"),43663.5681919791)</f>
        <v>43663.568191979102</v>
      </c>
      <c r="B240" s="42" t="s">
        <v>108</v>
      </c>
      <c r="C240" s="47"/>
      <c r="D240" s="59">
        <v>43692</v>
      </c>
      <c r="E240" s="42" t="s">
        <v>117</v>
      </c>
      <c r="F240" s="42" t="s">
        <v>117</v>
      </c>
      <c r="G240" s="42" t="s">
        <v>122</v>
      </c>
      <c r="H240" s="47"/>
      <c r="I240" s="45" t="s">
        <v>139</v>
      </c>
      <c r="J240" s="49"/>
      <c r="K240" s="49"/>
      <c r="L240" s="49" t="str">
        <f ca="1">IFERROR(__xludf.DUMMYFUNCTION("QUERY('Volunteer Survey'!B247)"),"Hwaida Hannoush")</f>
        <v>Hwaida Hannoush</v>
      </c>
      <c r="M240" s="49" t="str">
        <f ca="1">IFERROR(__xludf.DUMMYFUNCTION("QUERY('Volunteer Survey'!E247)"),"hhannoush@acmg.net")</f>
        <v>hhannoush@acmg.net</v>
      </c>
      <c r="N240" s="49" t="str">
        <f ca="1">IFERROR(__xludf.DUMMYFUNCTION("QUERY('Volunteer Survey'!F247)"),"Post Doc/Resident/Fellow (MD and/or PhD)")</f>
        <v>Post Doc/Resident/Fellow (MD and/or PhD)</v>
      </c>
      <c r="O240" s="42" t="str">
        <f ca="1">IFERROR(__xludf.DUMMYFUNCTION("QUERY('Volunteer Survey'!H247)"),"Comprehensive")</f>
        <v>Comprehensive</v>
      </c>
      <c r="P240" s="49" t="str">
        <f ca="1">IFERROR(__xludf.DUMMYFUNCTION("QUERY('Volunteer Survey'!I247)"),"Gene-Disease Validity")</f>
        <v>Gene-Disease Validity</v>
      </c>
      <c r="Q240" s="54" t="str">
        <f ca="1">IFERROR(__xludf.DUMMYFUNCTION("QUERY('Volunteer Survey'!J247)"),"Variant Pathogenicity")</f>
        <v>Variant Pathogenicity</v>
      </c>
      <c r="R240" s="49" t="str">
        <f ca="1">IFERROR(__xludf.DUMMYFUNCTION("QUERY('Volunteer Survey'!K247)"),"")</f>
        <v/>
      </c>
      <c r="S240" s="49" t="str">
        <f ca="1">IFERROR(__xludf.DUMMYFUNCTION("QUERY('Volunteer Survey'!L247)"),"")</f>
        <v/>
      </c>
      <c r="T240" s="49" t="str">
        <f ca="1">IFERROR(__xludf.DUMMYFUNCTION("QUERY('Volunteer Survey'!M247)"),"")</f>
        <v/>
      </c>
      <c r="U240" s="58" t="str">
        <f ca="1">IFERROR(__xludf.DUMMYFUNCTION("QUERY('Volunteer Survey'!N247)"),"None")</f>
        <v>None</v>
      </c>
      <c r="V240" s="49" t="str">
        <f ca="1">IFERROR(__xludf.DUMMYFUNCTION("QUERY('Volunteer Survey'!O247)"),"No")</f>
        <v>No</v>
      </c>
      <c r="W240" s="60" t="str">
        <f ca="1">IFERROR(__xludf.DUMMYFUNCTION("QUERY('Volunteer Survey'!P247)"),"Cardiomyopathy, Familial Hypercholesterolemia")</f>
        <v>Cardiomyopathy, Familial Hypercholesterolemia</v>
      </c>
      <c r="X240" s="58" t="str">
        <f ca="1">IFERROR(__xludf.DUMMYFUNCTION("QUERY('Volunteer Survey'!R247)"),"Maybe -- please contact me with other options, and I will decide based on what is available")</f>
        <v>Maybe -- please contact me with other options, and I will decide based on what is available</v>
      </c>
      <c r="Y240" s="47"/>
      <c r="Z240" s="49"/>
      <c r="AA240" s="49"/>
      <c r="AB240" s="49"/>
      <c r="AC240" s="49"/>
      <c r="AD240" s="49"/>
      <c r="AE240" s="49"/>
      <c r="AF240" s="49"/>
      <c r="AG240" s="49"/>
      <c r="AH240" s="49"/>
      <c r="AI240" s="49"/>
      <c r="AJ240" s="49"/>
      <c r="AK240" s="49"/>
      <c r="AL240" s="49"/>
      <c r="AM240" s="49"/>
      <c r="AN240" s="49"/>
      <c r="AO240" s="49"/>
    </row>
    <row r="241" spans="1:41" ht="14">
      <c r="A241" s="44">
        <f ca="1">IFERROR(__xludf.DUMMYFUNCTION("QUERY('Volunteer Survey'!A248)"),43663.9861156597)</f>
        <v>43663.986115659704</v>
      </c>
      <c r="B241" s="42" t="s">
        <v>108</v>
      </c>
      <c r="C241" s="73">
        <v>43689</v>
      </c>
      <c r="D241" s="49"/>
      <c r="E241" s="49"/>
      <c r="F241" s="42" t="s">
        <v>130</v>
      </c>
      <c r="G241" s="42" t="s">
        <v>19</v>
      </c>
      <c r="H241" s="63"/>
      <c r="I241" s="45" t="s">
        <v>139</v>
      </c>
      <c r="J241" s="49"/>
      <c r="K241" s="49"/>
      <c r="L241" s="49" t="str">
        <f ca="1">IFERROR(__xludf.DUMMYFUNCTION("QUERY('Volunteer Survey'!B248)"),"Rawan Awwad")</f>
        <v>Rawan Awwad</v>
      </c>
      <c r="M241" s="49" t="str">
        <f ca="1">IFERROR(__xludf.DUMMYFUNCTION("QUERY('Volunteer Survey'!E248)"),"rawan.awwad@gmail.com")</f>
        <v>rawan.awwad@gmail.com</v>
      </c>
      <c r="N241" s="49" t="str">
        <f ca="1">IFERROR(__xludf.DUMMYFUNCTION("QUERY('Volunteer Survey'!F248)"),"Genetic counselor")</f>
        <v>Genetic counselor</v>
      </c>
      <c r="O241" s="42" t="str">
        <f ca="1">IFERROR(__xludf.DUMMYFUNCTION("QUERY('Volunteer Survey'!H248)"),"Comprehensive")</f>
        <v>Comprehensive</v>
      </c>
      <c r="P241" s="49" t="str">
        <f ca="1">IFERROR(__xludf.DUMMYFUNCTION("QUERY('Volunteer Survey'!I248)"),"Clinical Actionability")</f>
        <v>Clinical Actionability</v>
      </c>
      <c r="Q241" s="54" t="str">
        <f ca="1">IFERROR(__xludf.DUMMYFUNCTION("QUERY('Volunteer Survey'!J248)"),"Gene-Disease Validity")</f>
        <v>Gene-Disease Validity</v>
      </c>
      <c r="R241" s="49" t="str">
        <f ca="1">IFERROR(__xludf.DUMMYFUNCTION("QUERY('Volunteer Survey'!K248)"),"Variant Pathogenicity")</f>
        <v>Variant Pathogenicity</v>
      </c>
      <c r="S241" s="49" t="str">
        <f ca="1">IFERROR(__xludf.DUMMYFUNCTION("QUERY('Volunteer Survey'!L248)"),"")</f>
        <v/>
      </c>
      <c r="T241" s="49" t="str">
        <f ca="1">IFERROR(__xludf.DUMMYFUNCTION("QUERY('Volunteer Survey'!M248)"),"")</f>
        <v/>
      </c>
      <c r="U241" s="58" t="str">
        <f ca="1">IFERROR(__xludf.DUMMYFUNCTION("QUERY('Volunteer Survey'!N248)"),"No but I know I can pick it up ")</f>
        <v xml:space="preserve">No but I know I can pick it up </v>
      </c>
      <c r="V241" s="49" t="str">
        <f ca="1">IFERROR(__xludf.DUMMYFUNCTION("QUERY('Volunteer Survey'!O248)"),"No")</f>
        <v>No</v>
      </c>
      <c r="W241" s="60" t="str">
        <f ca="1">IFERROR(__xludf.DUMMYFUNCTION("QUERY('Volunteer Survey'!P248)"),"Clinical actionability for Peds ")</f>
        <v xml:space="preserve">Clinical actionability for Peds </v>
      </c>
      <c r="X241" s="58" t="str">
        <f ca="1">IFERROR(__xludf.DUMMYFUNCTION("QUERY('Volunteer Survey'!R248)"),"Maybe -- please contact me with other options, and I will decide based on what is available")</f>
        <v>Maybe -- please contact me with other options, and I will decide based on what is available</v>
      </c>
      <c r="Y241" s="47"/>
      <c r="Z241" s="49"/>
      <c r="AA241" s="49"/>
      <c r="AB241" s="49"/>
      <c r="AC241" s="49"/>
      <c r="AD241" s="49"/>
      <c r="AE241" s="49"/>
      <c r="AF241" s="49"/>
      <c r="AG241" s="49"/>
      <c r="AH241" s="49"/>
      <c r="AI241" s="49"/>
      <c r="AJ241" s="49"/>
      <c r="AK241" s="49"/>
      <c r="AL241" s="49"/>
      <c r="AM241" s="49"/>
      <c r="AN241" s="49"/>
      <c r="AO241" s="49"/>
    </row>
    <row r="242" spans="1:41" ht="14">
      <c r="A242" s="44">
        <f ca="1">IFERROR(__xludf.DUMMYFUNCTION("QUERY('Volunteer Survey'!A249)"),43665.5062351388)</f>
        <v>43665.506235138797</v>
      </c>
      <c r="B242" s="42" t="s">
        <v>168</v>
      </c>
      <c r="C242" s="73"/>
      <c r="D242" s="49"/>
      <c r="E242" s="49"/>
      <c r="F242" s="42" t="s">
        <v>130</v>
      </c>
      <c r="G242" s="42" t="s">
        <v>251</v>
      </c>
      <c r="H242" s="47"/>
      <c r="I242" s="45" t="s">
        <v>139</v>
      </c>
      <c r="J242" s="49"/>
      <c r="K242" s="49"/>
      <c r="L242" s="49" t="str">
        <f ca="1">IFERROR(__xludf.DUMMYFUNCTION("QUERY('Volunteer Survey'!B249)"),"Yanhui Li")</f>
        <v>Yanhui Li</v>
      </c>
      <c r="M242" s="49" t="str">
        <f ca="1">IFERROR(__xludf.DUMMYFUNCTION("QUERY('Volunteer Survey'!E249)"),"yxl280@gmail.com")</f>
        <v>yxl280@gmail.com</v>
      </c>
      <c r="N242" s="49" t="str">
        <f ca="1">IFERROR(__xludf.DUMMYFUNCTION("QUERY('Volunteer Survey'!F249)"),"Post Doc/Resident/Fellow (MD and/or PhD)")</f>
        <v>Post Doc/Resident/Fellow (MD and/or PhD)</v>
      </c>
      <c r="O242" s="42" t="str">
        <f ca="1">IFERROR(__xludf.DUMMYFUNCTION("QUERY('Volunteer Survey'!H249)"),"Comprehensive")</f>
        <v>Comprehensive</v>
      </c>
      <c r="P242" s="49" t="str">
        <f ca="1">IFERROR(__xludf.DUMMYFUNCTION("QUERY('Volunteer Survey'!I249)"),"Variant Pathogenicity")</f>
        <v>Variant Pathogenicity</v>
      </c>
      <c r="Q242" s="54" t="str">
        <f ca="1">IFERROR(__xludf.DUMMYFUNCTION("QUERY('Volunteer Survey'!J249)"),"Gene-Disease Validity")</f>
        <v>Gene-Disease Validity</v>
      </c>
      <c r="R242" s="49" t="str">
        <f ca="1">IFERROR(__xludf.DUMMYFUNCTION("QUERY('Volunteer Survey'!K249)"),"Somatic Cancer")</f>
        <v>Somatic Cancer</v>
      </c>
      <c r="S242" s="49" t="str">
        <f ca="1">IFERROR(__xludf.DUMMYFUNCTION("QUERY('Volunteer Survey'!L249)"),"Clinical Actionability")</f>
        <v>Clinical Actionability</v>
      </c>
      <c r="T242" s="49" t="str">
        <f ca="1">IFERROR(__xludf.DUMMYFUNCTION("QUERY('Volunteer Survey'!M249)"),"Dosage Sensitivity")</f>
        <v>Dosage Sensitivity</v>
      </c>
      <c r="U242" s="58" t="str">
        <f ca="1">IFERROR(__xludf.DUMMYFUNCTION("QUERY('Volunteer Survey'!N249)"),"")</f>
        <v/>
      </c>
      <c r="V242" s="49" t="str">
        <f ca="1">IFERROR(__xludf.DUMMYFUNCTION("QUERY('Volunteer Survey'!O249)"),"Possibly")</f>
        <v>Possibly</v>
      </c>
      <c r="W242" s="60" t="str">
        <f ca="1">IFERROR(__xludf.DUMMYFUNCTION("QUERY('Volunteer Survey'!P249)"),"Yes")</f>
        <v>Yes</v>
      </c>
      <c r="X242" s="58" t="str">
        <f ca="1">IFERROR(__xludf.DUMMYFUNCTION("QUERY('Volunteer Survey'!R249)"),"Yes- I am willing to volunteer with any available ClinGen group")</f>
        <v>Yes- I am willing to volunteer with any available ClinGen group</v>
      </c>
      <c r="Y242" s="47"/>
      <c r="Z242" s="49"/>
      <c r="AA242" s="49"/>
      <c r="AB242" s="49"/>
      <c r="AC242" s="49"/>
      <c r="AD242" s="49"/>
      <c r="AE242" s="49"/>
      <c r="AF242" s="49"/>
      <c r="AG242" s="49"/>
      <c r="AH242" s="49"/>
      <c r="AI242" s="49"/>
      <c r="AJ242" s="49"/>
      <c r="AK242" s="49"/>
      <c r="AL242" s="49"/>
      <c r="AM242" s="49"/>
      <c r="AN242" s="49"/>
      <c r="AO242" s="49"/>
    </row>
    <row r="243" spans="1:41" ht="14">
      <c r="A243" s="44">
        <f ca="1">IFERROR(__xludf.DUMMYFUNCTION("QUERY('Volunteer Survey'!A250)"),43668.9450035879)</f>
        <v>43668.945003587898</v>
      </c>
      <c r="B243" s="42" t="s">
        <v>108</v>
      </c>
      <c r="C243" s="73">
        <v>43689</v>
      </c>
      <c r="D243" s="49"/>
      <c r="E243" s="49"/>
      <c r="F243" s="42" t="s">
        <v>130</v>
      </c>
      <c r="G243" s="42" t="s">
        <v>19</v>
      </c>
      <c r="H243" s="63"/>
      <c r="I243" s="45" t="s">
        <v>139</v>
      </c>
      <c r="J243" s="49"/>
      <c r="K243" s="49"/>
      <c r="L243" s="49" t="str">
        <f ca="1">IFERROR(__xludf.DUMMYFUNCTION("QUERY('Volunteer Survey'!B250)"),"Leila Jamal")</f>
        <v>Leila Jamal</v>
      </c>
      <c r="M243" s="49" t="str">
        <f ca="1">IFERROR(__xludf.DUMMYFUNCTION("QUERY('Volunteer Survey'!E250)"),"leila.jamal@nih.gov")</f>
        <v>leila.jamal@nih.gov</v>
      </c>
      <c r="N243" s="49" t="str">
        <f ca="1">IFERROR(__xludf.DUMMYFUNCTION("QUERY('Volunteer Survey'!F250)"),"Genetic counselor")</f>
        <v>Genetic counselor</v>
      </c>
      <c r="O243" s="42" t="str">
        <f ca="1">IFERROR(__xludf.DUMMYFUNCTION("QUERY('Volunteer Survey'!H250)"),"Comprehensive")</f>
        <v>Comprehensive</v>
      </c>
      <c r="P243" s="49" t="str">
        <f ca="1">IFERROR(__xludf.DUMMYFUNCTION("QUERY('Volunteer Survey'!I250)"),"Clinical Actionability")</f>
        <v>Clinical Actionability</v>
      </c>
      <c r="Q243" s="54" t="str">
        <f ca="1">IFERROR(__xludf.DUMMYFUNCTION("QUERY('Volunteer Survey'!J250)"),"Gene-Disease Validity")</f>
        <v>Gene-Disease Validity</v>
      </c>
      <c r="R243" s="49" t="str">
        <f ca="1">IFERROR(__xludf.DUMMYFUNCTION("QUERY('Volunteer Survey'!K250)"),"Variant Pathogenicity")</f>
        <v>Variant Pathogenicity</v>
      </c>
      <c r="S243" s="49" t="str">
        <f ca="1">IFERROR(__xludf.DUMMYFUNCTION("QUERY('Volunteer Survey'!L250)"),"")</f>
        <v/>
      </c>
      <c r="T243" s="49" t="str">
        <f ca="1">IFERROR(__xludf.DUMMYFUNCTION("QUERY('Volunteer Survey'!M250)"),"")</f>
        <v/>
      </c>
      <c r="U243" s="58" t="str">
        <f ca="1">IFERROR(__xludf.DUMMYFUNCTION("QUERY('Volunteer Survey'!N250)"),"I have PhD training in public health and have also written clinical test reports for study participants enrolled in a large sequencing research protocol at NIAID (on which I am a co-investigator).   ")</f>
        <v xml:space="preserve">I have PhD training in public health and have also written clinical test reports for study participants enrolled in a large sequencing research protocol at NIAID (on which I am a co-investigator).   </v>
      </c>
      <c r="V243" s="49" t="str">
        <f ca="1">IFERROR(__xludf.DUMMYFUNCTION("QUERY('Volunteer Survey'!O250)"),"No")</f>
        <v>No</v>
      </c>
      <c r="W243" s="60" t="str">
        <f ca="1">IFERROR(__xludf.DUMMYFUNCTION("QUERY('Volunteer Survey'!P250)"),"I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c r="X243" s="58" t="str">
        <f ca="1">IFERROR(__xludf.DUMMYFUNCTION("QUERY('Volunteer Survey'!R250)"),"Maybe -- please contact me with other options, and I will decide based on what is available")</f>
        <v>Maybe -- please contact me with other options, and I will decide based on what is available</v>
      </c>
      <c r="Y243" s="47"/>
      <c r="Z243" s="49"/>
      <c r="AA243" s="49"/>
      <c r="AB243" s="49"/>
      <c r="AC243" s="49"/>
      <c r="AD243" s="49"/>
      <c r="AE243" s="49"/>
      <c r="AF243" s="49"/>
      <c r="AG243" s="49"/>
      <c r="AH243" s="49"/>
      <c r="AI243" s="49"/>
      <c r="AJ243" s="49"/>
      <c r="AK243" s="49"/>
      <c r="AL243" s="49"/>
      <c r="AM243" s="49"/>
      <c r="AN243" s="49"/>
      <c r="AO243" s="49"/>
    </row>
    <row r="244" spans="1:41" ht="14">
      <c r="A244" s="44">
        <f ca="1">IFERROR(__xludf.DUMMYFUNCTION("QUERY('Volunteer Survey'!A251)"),43671.8877624537)</f>
        <v>43671.887762453698</v>
      </c>
      <c r="B244" s="42" t="s">
        <v>108</v>
      </c>
      <c r="C244" s="73">
        <v>43819</v>
      </c>
      <c r="D244" s="49"/>
      <c r="E244" s="49"/>
      <c r="F244" s="42" t="s">
        <v>130</v>
      </c>
      <c r="G244" s="42" t="s">
        <v>251</v>
      </c>
      <c r="H244" s="47"/>
      <c r="I244" s="45" t="s">
        <v>139</v>
      </c>
      <c r="J244" s="49"/>
      <c r="K244" s="49"/>
      <c r="L244" s="49" t="str">
        <f ca="1">IFERROR(__xludf.DUMMYFUNCTION("QUERY('Volunteer Survey'!B251)"),"Shahad Rahawi")</f>
        <v>Shahad Rahawi</v>
      </c>
      <c r="M244" s="49" t="str">
        <f ca="1">IFERROR(__xludf.DUMMYFUNCTION("QUERY('Volunteer Survey'!E251)"),"shahadrahawi@gmail.com")</f>
        <v>shahadrahawi@gmail.com</v>
      </c>
      <c r="N244" s="49" t="str">
        <f ca="1">IFERROR(__xludf.DUMMYFUNCTION("QUERY('Volunteer Survey'!F251)"),"Genetic counselor")</f>
        <v>Genetic counselor</v>
      </c>
      <c r="O244" s="42" t="str">
        <f ca="1">IFERROR(__xludf.DUMMYFUNCTION("QUERY('Volunteer Survey'!H251)"),"Comprehensive")</f>
        <v>Comprehensive</v>
      </c>
      <c r="P244" s="49" t="str">
        <f ca="1">IFERROR(__xludf.DUMMYFUNCTION("QUERY('Volunteer Survey'!I251)"),"Variant Pathogenicity")</f>
        <v>Variant Pathogenicity</v>
      </c>
      <c r="Q244" s="54" t="str">
        <f ca="1">IFERROR(__xludf.DUMMYFUNCTION("QUERY('Volunteer Survey'!J251)"),"Gene-Disease Validity")</f>
        <v>Gene-Disease Validity</v>
      </c>
      <c r="R244" s="49" t="str">
        <f ca="1">IFERROR(__xludf.DUMMYFUNCTION("QUERY('Volunteer Survey'!K251)"),"Clinical Actionability")</f>
        <v>Clinical Actionability</v>
      </c>
      <c r="S244" s="49" t="str">
        <f ca="1">IFERROR(__xludf.DUMMYFUNCTION("QUERY('Volunteer Survey'!L251)"),"Dosage Sensitivity")</f>
        <v>Dosage Sensitivity</v>
      </c>
      <c r="T244" s="49" t="str">
        <f ca="1">IFERROR(__xludf.DUMMYFUNCTION("QUERY('Volunteer Survey'!M251)"),"Somatic Cancer")</f>
        <v>Somatic Cancer</v>
      </c>
      <c r="U244" s="58" t="str">
        <f ca="1">IFERROR(__xludf.DUMMYFUNCTION("QUERY('Volunteer Survey'!N251)"),"brief variant interpretation activities in ""analyze your genome"" class in grad school")</f>
        <v>brief variant interpretation activities in "analyze your genome" class in grad school</v>
      </c>
      <c r="V244" s="49" t="str">
        <f ca="1">IFERROR(__xludf.DUMMYFUNCTION("QUERY('Volunteer Survey'!O251)"),"Possibly")</f>
        <v>Possibly</v>
      </c>
      <c r="W244" s="60" t="str">
        <f ca="1">IFERROR(__xludf.DUMMYFUNCTION("QUERY('Volunteer Survey'!P251)"),"")</f>
        <v/>
      </c>
      <c r="X244" s="58" t="str">
        <f ca="1">IFERROR(__xludf.DUMMYFUNCTION("QUERY('Volunteer Survey'!R251)"),"Yes- I am willing to volunteer with any available ClinGen group")</f>
        <v>Yes- I am willing to volunteer with any available ClinGen group</v>
      </c>
      <c r="Y244" s="47"/>
      <c r="Z244" s="49"/>
      <c r="AA244" s="49"/>
      <c r="AB244" s="49"/>
      <c r="AC244" s="49"/>
      <c r="AD244" s="49"/>
      <c r="AE244" s="49"/>
      <c r="AF244" s="49"/>
      <c r="AG244" s="49"/>
      <c r="AH244" s="49"/>
      <c r="AI244" s="49"/>
      <c r="AJ244" s="49"/>
      <c r="AK244" s="49"/>
      <c r="AL244" s="49"/>
      <c r="AM244" s="49"/>
      <c r="AN244" s="49"/>
      <c r="AO244" s="49"/>
    </row>
    <row r="245" spans="1:41" ht="14">
      <c r="A245" s="44">
        <f ca="1">IFERROR(__xludf.DUMMYFUNCTION("QUERY('Volunteer Survey'!A252)"),43672.2475762268)</f>
        <v>43672.2475762268</v>
      </c>
      <c r="B245" s="42" t="s">
        <v>108</v>
      </c>
      <c r="C245" s="47"/>
      <c r="D245" s="49"/>
      <c r="E245" s="49"/>
      <c r="F245" s="42" t="s">
        <v>130</v>
      </c>
      <c r="G245" s="42" t="s">
        <v>202</v>
      </c>
      <c r="H245" s="47"/>
      <c r="I245" s="45" t="s">
        <v>139</v>
      </c>
      <c r="J245" s="49"/>
      <c r="K245" s="49"/>
      <c r="L245" s="49" t="str">
        <f ca="1">IFERROR(__xludf.DUMMYFUNCTION("QUERY('Volunteer Survey'!B252)"),"John Beilby")</f>
        <v>John Beilby</v>
      </c>
      <c r="M245" s="49" t="str">
        <f ca="1">IFERROR(__xludf.DUMMYFUNCTION("QUERY('Volunteer Survey'!E252)"),"John.Beilby@health.wa.gov.au")</f>
        <v>John.Beilby@health.wa.gov.au</v>
      </c>
      <c r="N245" s="49" t="str">
        <f ca="1">IFERROR(__xludf.DUMMYFUNCTION("QUERY('Volunteer Survey'!F252)"),"Clinical laboratory geneticist")</f>
        <v>Clinical laboratory geneticist</v>
      </c>
      <c r="O245" s="42" t="str">
        <f ca="1">IFERROR(__xludf.DUMMYFUNCTION("QUERY('Volunteer Survey'!H252)"),"Baseline")</f>
        <v>Baseline</v>
      </c>
      <c r="P245" s="49" t="str">
        <f ca="1">IFERROR(__xludf.DUMMYFUNCTION("QUERY('Volunteer Survey'!I252)"),"Variant Pathogenicity")</f>
        <v>Variant Pathogenicity</v>
      </c>
      <c r="Q245" s="54" t="str">
        <f ca="1">IFERROR(__xludf.DUMMYFUNCTION("QUERY('Volunteer Survey'!J252)"),"Clinical Actionability")</f>
        <v>Clinical Actionability</v>
      </c>
      <c r="R245" s="49" t="str">
        <f ca="1">IFERROR(__xludf.DUMMYFUNCTION("QUERY('Volunteer Survey'!K252)"),"Dosage Sensitivity")</f>
        <v>Dosage Sensitivity</v>
      </c>
      <c r="S245" s="49" t="str">
        <f ca="1">IFERROR(__xludf.DUMMYFUNCTION("QUERY('Volunteer Survey'!L252)"),"")</f>
        <v/>
      </c>
      <c r="T245" s="49" t="str">
        <f ca="1">IFERROR(__xludf.DUMMYFUNCTION("QUERY('Volunteer Survey'!M252)"),"")</f>
        <v/>
      </c>
      <c r="U245" s="58" t="str">
        <f ca="1">IFERROR(__xludf.DUMMYFUNCTION("QUERY('Volunteer Survey'!N252)"),"Regular classification of variants to incorporate into patient reports.")</f>
        <v>Regular classification of variants to incorporate into patient reports.</v>
      </c>
      <c r="V245" s="49" t="str">
        <f ca="1">IFERROR(__xludf.DUMMYFUNCTION("QUERY('Volunteer Survey'!O252)"),"Possibly")</f>
        <v>Possibly</v>
      </c>
      <c r="W245" s="60" t="str">
        <f ca="1">IFERROR(__xludf.DUMMYFUNCTION("QUERY('Volunteer Survey'!P252)"),"Cancer and cardiovascular diseases.")</f>
        <v>Cancer and cardiovascular diseases.</v>
      </c>
      <c r="X245" s="58" t="str">
        <f ca="1">IFERROR(__xludf.DUMMYFUNCTION("QUERY('Volunteer Survey'!R252)"),"Yes- I am willing to volunteer with any available ClinGen group")</f>
        <v>Yes- I am willing to volunteer with any available ClinGen group</v>
      </c>
      <c r="Y245" s="47"/>
      <c r="Z245" s="49"/>
      <c r="AA245" s="49"/>
      <c r="AB245" s="49"/>
      <c r="AC245" s="49"/>
      <c r="AD245" s="49"/>
      <c r="AE245" s="49"/>
      <c r="AF245" s="49"/>
      <c r="AG245" s="49"/>
      <c r="AH245" s="49"/>
      <c r="AI245" s="49"/>
      <c r="AJ245" s="49"/>
      <c r="AK245" s="49"/>
      <c r="AL245" s="49"/>
      <c r="AM245" s="49"/>
      <c r="AN245" s="49"/>
      <c r="AO245" s="49"/>
    </row>
    <row r="246" spans="1:41" ht="14">
      <c r="A246" s="44">
        <f ca="1">IFERROR(__xludf.DUMMYFUNCTION("QUERY('Volunteer Survey'!A253)"),43673.0787835648)</f>
        <v>43673.078783564801</v>
      </c>
      <c r="B246" s="42" t="s">
        <v>125</v>
      </c>
      <c r="C246" s="73">
        <v>43689</v>
      </c>
      <c r="D246" s="49"/>
      <c r="E246" s="49"/>
      <c r="F246" s="42" t="s">
        <v>130</v>
      </c>
      <c r="G246" s="42" t="s">
        <v>19</v>
      </c>
      <c r="H246" s="45"/>
      <c r="I246" s="45" t="s">
        <v>139</v>
      </c>
      <c r="J246" s="49"/>
      <c r="K246" s="49"/>
      <c r="L246" s="49" t="str">
        <f ca="1">IFERROR(__xludf.DUMMYFUNCTION("QUERY('Volunteer Survey'!B253)"),"Parham Habibzadeh")</f>
        <v>Parham Habibzadeh</v>
      </c>
      <c r="M246" s="49" t="str">
        <f ca="1">IFERROR(__xludf.DUMMYFUNCTION("QUERY('Volunteer Survey'!E253)"),"parham.habibzadeh@yahoo.com")</f>
        <v>parham.habibzadeh@yahoo.com</v>
      </c>
      <c r="N246" s="49" t="str">
        <f ca="1">IFERROR(__xludf.DUMMYFUNCTION("QUERY('Volunteer Survey'!F253)"),"Scientific Researcher")</f>
        <v>Scientific Researcher</v>
      </c>
      <c r="O246" s="42" t="str">
        <f ca="1">IFERROR(__xludf.DUMMYFUNCTION("QUERY('Volunteer Survey'!H253)"),"Comprehensive")</f>
        <v>Comprehensive</v>
      </c>
      <c r="P246" s="49" t="str">
        <f ca="1">IFERROR(__xludf.DUMMYFUNCTION("QUERY('Volunteer Survey'!I253)"),"Clinical Actionability")</f>
        <v>Clinical Actionability</v>
      </c>
      <c r="Q246" s="54" t="str">
        <f ca="1">IFERROR(__xludf.DUMMYFUNCTION("QUERY('Volunteer Survey'!J253)"),"Variant Pathogenicity")</f>
        <v>Variant Pathogenicity</v>
      </c>
      <c r="R246" s="49" t="str">
        <f ca="1">IFERROR(__xludf.DUMMYFUNCTION("QUERY('Volunteer Survey'!K253)"),"Gene-Disease Validity")</f>
        <v>Gene-Disease Validity</v>
      </c>
      <c r="S246" s="49" t="str">
        <f ca="1">IFERROR(__xludf.DUMMYFUNCTION("QUERY('Volunteer Survey'!L253)"),"")</f>
        <v/>
      </c>
      <c r="T246" s="49" t="str">
        <f ca="1">IFERROR(__xludf.DUMMYFUNCTION("QUERY('Volunteer Survey'!M253)"),"")</f>
        <v/>
      </c>
      <c r="U246" s="58" t="str">
        <f ca="1">IFERROR(__xludf.DUMMYFUNCTION("QUERY('Volunteer Survey'!N253)"),"")</f>
        <v/>
      </c>
      <c r="V246" s="49" t="str">
        <f ca="1">IFERROR(__xludf.DUMMYFUNCTION("QUERY('Volunteer Survey'!O253)"),"Possibly")</f>
        <v>Possibly</v>
      </c>
      <c r="W246" s="60" t="str">
        <f ca="1">IFERROR(__xludf.DUMMYFUNCTION("QUERY('Volunteer Survey'!P253)"),"Cardiomyopathy, Brain Malformations")</f>
        <v>Cardiomyopathy, Brain Malformations</v>
      </c>
      <c r="X246" s="58" t="str">
        <f ca="1">IFERROR(__xludf.DUMMYFUNCTION("QUERY('Volunteer Survey'!R253)"),"Maybe -- please contact me with other options, and I will decide based on what is available")</f>
        <v>Maybe -- please contact me with other options, and I will decide based on what is available</v>
      </c>
      <c r="Y246" s="47"/>
      <c r="Z246" s="49"/>
      <c r="AA246" s="49"/>
      <c r="AB246" s="49"/>
      <c r="AC246" s="49"/>
      <c r="AD246" s="49"/>
      <c r="AE246" s="49"/>
      <c r="AF246" s="49"/>
      <c r="AG246" s="49"/>
      <c r="AH246" s="49"/>
      <c r="AI246" s="49"/>
      <c r="AJ246" s="49"/>
      <c r="AK246" s="49"/>
      <c r="AL246" s="49"/>
      <c r="AM246" s="49"/>
      <c r="AN246" s="49"/>
      <c r="AO246" s="49"/>
    </row>
    <row r="247" spans="1:41" ht="14">
      <c r="A247" s="44">
        <f ca="1">IFERROR(__xludf.DUMMYFUNCTION("QUERY('Volunteer Survey'!A254)"),43674.4216592476)</f>
        <v>43674.4216592476</v>
      </c>
      <c r="B247" s="42" t="s">
        <v>108</v>
      </c>
      <c r="C247" s="73">
        <v>43717</v>
      </c>
      <c r="D247" s="59">
        <v>43769</v>
      </c>
      <c r="E247" s="42" t="s">
        <v>117</v>
      </c>
      <c r="F247" s="42" t="s">
        <v>117</v>
      </c>
      <c r="G247" s="42" t="s">
        <v>19</v>
      </c>
      <c r="H247" s="45" t="s">
        <v>19</v>
      </c>
      <c r="I247" s="45" t="s">
        <v>139</v>
      </c>
      <c r="J247" s="49"/>
      <c r="K247" s="49"/>
      <c r="L247" s="49" t="str">
        <f ca="1">IFERROR(__xludf.DUMMYFUNCTION("QUERY('Volunteer Survey'!B254)"),"Xiaolin Hu")</f>
        <v>Xiaolin Hu</v>
      </c>
      <c r="M247" s="49" t="str">
        <f ca="1">IFERROR(__xludf.DUMMYFUNCTION("QUERY('Volunteer Survey'!E254)"),"xiaolin.hu@cchmc.org")</f>
        <v>xiaolin.hu@cchmc.org</v>
      </c>
      <c r="N247" s="49" t="str">
        <f ca="1">IFERROR(__xludf.DUMMYFUNCTION("QUERY('Volunteer Survey'!F254)"),"Post Doc/Resident/Fellow (MD and/or PhD)")</f>
        <v>Post Doc/Resident/Fellow (MD and/or PhD)</v>
      </c>
      <c r="O247" s="42" t="str">
        <f ca="1">IFERROR(__xludf.DUMMYFUNCTION("QUERY('Volunteer Survey'!H254)"),"Comprehensive")</f>
        <v>Comprehensive</v>
      </c>
      <c r="P247" s="49" t="str">
        <f ca="1">IFERROR(__xludf.DUMMYFUNCTION("QUERY('Volunteer Survey'!I254)"),"Clinical Actionability")</f>
        <v>Clinical Actionability</v>
      </c>
      <c r="Q247" s="54" t="str">
        <f ca="1">IFERROR(__xludf.DUMMYFUNCTION("QUERY('Volunteer Survey'!J254)"),"Somatic Cancer")</f>
        <v>Somatic Cancer</v>
      </c>
      <c r="R247" s="49" t="str">
        <f ca="1">IFERROR(__xludf.DUMMYFUNCTION("QUERY('Volunteer Survey'!K254)"),"Gene-Disease Validity")</f>
        <v>Gene-Disease Validity</v>
      </c>
      <c r="S247" s="49" t="str">
        <f ca="1">IFERROR(__xludf.DUMMYFUNCTION("QUERY('Volunteer Survey'!L254)"),"Variant Pathogenicity")</f>
        <v>Variant Pathogenicity</v>
      </c>
      <c r="T247" s="49" t="str">
        <f ca="1">IFERROR(__xludf.DUMMYFUNCTION("QUERY('Volunteer Survey'!M254)"),"Dosage Sensitivity")</f>
        <v>Dosage Sensitivity</v>
      </c>
      <c r="U247" s="58" t="str">
        <f ca="1">IFERROR(__xludf.DUMMYFUNCTION("QUERY('Volunteer Survey'!N254)"),"Yes, as part of our fellow's training")</f>
        <v>Yes, as part of our fellow's training</v>
      </c>
      <c r="V247" s="49" t="str">
        <f ca="1">IFERROR(__xludf.DUMMYFUNCTION("QUERY('Volunteer Survey'!O254)"),"Yes")</f>
        <v>Yes</v>
      </c>
      <c r="W247" s="60" t="str">
        <f ca="1">IFERROR(__xludf.DUMMYFUNCTION("QUERY('Volunteer Survey'!P254)"),"hereditary cancer, somatic cancer, Mitochondrial Diseases")</f>
        <v>hereditary cancer, somatic cancer, Mitochondrial Diseases</v>
      </c>
      <c r="X247" s="58" t="str">
        <f ca="1">IFERROR(__xludf.DUMMYFUNCTION("QUERY('Volunteer Survey'!R254)"),"Maybe -- please contact me with other options, and I will decide based on what is available")</f>
        <v>Maybe -- please contact me with other options, and I will decide based on what is available</v>
      </c>
      <c r="Y247" s="47"/>
      <c r="Z247" s="49"/>
      <c r="AA247" s="49"/>
      <c r="AB247" s="49"/>
      <c r="AC247" s="49"/>
      <c r="AD247" s="49"/>
      <c r="AE247" s="49"/>
      <c r="AF247" s="49"/>
      <c r="AG247" s="49"/>
      <c r="AH247" s="49"/>
      <c r="AI247" s="49"/>
      <c r="AJ247" s="49"/>
      <c r="AK247" s="49"/>
      <c r="AL247" s="49"/>
      <c r="AM247" s="49"/>
      <c r="AN247" s="49"/>
      <c r="AO247" s="49"/>
    </row>
    <row r="248" spans="1:41" ht="14">
      <c r="A248" s="44">
        <f ca="1">IFERROR(__xludf.DUMMYFUNCTION("QUERY('Volunteer Survey'!A255)"),43674.6812514004)</f>
        <v>43674.681251400398</v>
      </c>
      <c r="B248" s="42" t="s">
        <v>108</v>
      </c>
      <c r="C248" s="73">
        <v>43819</v>
      </c>
      <c r="D248" s="49"/>
      <c r="E248" s="49"/>
      <c r="F248" s="42" t="s">
        <v>130</v>
      </c>
      <c r="G248" s="42" t="s">
        <v>251</v>
      </c>
      <c r="H248" s="47"/>
      <c r="I248" s="45" t="s">
        <v>139</v>
      </c>
      <c r="J248" s="49"/>
      <c r="K248" s="49"/>
      <c r="L248" s="49" t="str">
        <f ca="1">IFERROR(__xludf.DUMMYFUNCTION("QUERY('Volunteer Survey'!B255)"),"Leighton Telling")</f>
        <v>Leighton Telling</v>
      </c>
      <c r="M248" s="49" t="str">
        <f ca="1">IFERROR(__xludf.DUMMYFUNCTION("QUERY('Volunteer Survey'!E255)"),"lptellin@ncsu.edu")</f>
        <v>lptellin@ncsu.edu</v>
      </c>
      <c r="N248" s="49" t="str">
        <f ca="1">IFERROR(__xludf.DUMMYFUNCTION("QUERY('Volunteer Survey'!F255)"),"Former UNC ClinGen Research Assistant")</f>
        <v>Former UNC ClinGen Research Assistant</v>
      </c>
      <c r="O248" s="42" t="str">
        <f ca="1">IFERROR(__xludf.DUMMYFUNCTION("QUERY('Volunteer Survey'!H255)"),"Comprehensive")</f>
        <v>Comprehensive</v>
      </c>
      <c r="P248" s="49" t="str">
        <f ca="1">IFERROR(__xludf.DUMMYFUNCTION("QUERY('Volunteer Survey'!I255)"),"Variant Pathogenicity")</f>
        <v>Variant Pathogenicity</v>
      </c>
      <c r="Q248" s="54" t="str">
        <f ca="1">IFERROR(__xludf.DUMMYFUNCTION("QUERY('Volunteer Survey'!J255)"),"")</f>
        <v/>
      </c>
      <c r="R248" s="49" t="str">
        <f ca="1">IFERROR(__xludf.DUMMYFUNCTION("QUERY('Volunteer Survey'!K255)"),"")</f>
        <v/>
      </c>
      <c r="S248" s="49" t="str">
        <f ca="1">IFERROR(__xludf.DUMMYFUNCTION("QUERY('Volunteer Survey'!L255)"),"")</f>
        <v/>
      </c>
      <c r="T248" s="49" t="str">
        <f ca="1">IFERROR(__xludf.DUMMYFUNCTION("QUERY('Volunteer Survey'!M255)"),"")</f>
        <v/>
      </c>
      <c r="U248" s="58" t="str">
        <f ca="1">IFERROR(__xludf.DUMMYFUNCTION("QUERY('Volunteer Survey'!N255)"),"")</f>
        <v/>
      </c>
      <c r="V248" s="49" t="str">
        <f ca="1">IFERROR(__xludf.DUMMYFUNCTION("QUERY('Volunteer Survey'!O255)"),"Yes")</f>
        <v>Yes</v>
      </c>
      <c r="W248" s="60" t="str">
        <f ca="1">IFERROR(__xludf.DUMMYFUNCTION("QUERY('Volunteer Survey'!P255)"),"N/A")</f>
        <v>N/A</v>
      </c>
      <c r="X248" s="58" t="str">
        <f ca="1">IFERROR(__xludf.DUMMYFUNCTION("QUERY('Volunteer Survey'!R255)"),"Yes- I am willing to volunteer with any available ClinGen group")</f>
        <v>Yes- I am willing to volunteer with any available ClinGen group</v>
      </c>
      <c r="Y248" s="47"/>
      <c r="Z248" s="49"/>
      <c r="AA248" s="49"/>
      <c r="AB248" s="49"/>
      <c r="AC248" s="49"/>
      <c r="AD248" s="49"/>
      <c r="AE248" s="49"/>
      <c r="AF248" s="49"/>
      <c r="AG248" s="49"/>
      <c r="AH248" s="49"/>
      <c r="AI248" s="49"/>
      <c r="AJ248" s="49"/>
      <c r="AK248" s="49"/>
      <c r="AL248" s="49"/>
      <c r="AM248" s="49"/>
      <c r="AN248" s="49"/>
      <c r="AO248" s="49"/>
    </row>
    <row r="249" spans="1:41" ht="42">
      <c r="A249" s="44">
        <f ca="1">IFERROR(__xludf.DUMMYFUNCTION("QUERY('Volunteer Survey'!A256)"),43675.6438709027)</f>
        <v>43675.643870902699</v>
      </c>
      <c r="B249" s="42" t="s">
        <v>160</v>
      </c>
      <c r="C249" s="73">
        <v>43705</v>
      </c>
      <c r="D249" s="59">
        <v>43719</v>
      </c>
      <c r="E249" s="42" t="s">
        <v>117</v>
      </c>
      <c r="F249" s="42" t="s">
        <v>130</v>
      </c>
      <c r="G249" s="42" t="s">
        <v>136</v>
      </c>
      <c r="H249" s="45" t="s">
        <v>319</v>
      </c>
      <c r="I249" s="45" t="s">
        <v>139</v>
      </c>
      <c r="J249" s="49"/>
      <c r="K249" s="49"/>
      <c r="L249" s="49" t="str">
        <f ca="1">IFERROR(__xludf.DUMMYFUNCTION("QUERY('Volunteer Survey'!B256)"),"Panieh Terraf")</f>
        <v>Panieh Terraf</v>
      </c>
      <c r="M249" s="49" t="str">
        <f ca="1">IFERROR(__xludf.DUMMYFUNCTION("QUERY('Volunteer Survey'!E256)"),"pterraf@bwh.harvard.edu")</f>
        <v>pterraf@bwh.harvard.edu</v>
      </c>
      <c r="N249" s="49" t="str">
        <f ca="1">IFERROR(__xludf.DUMMYFUNCTION("QUERY('Volunteer Survey'!F256)"),"Clinical laboratory geneticist")</f>
        <v>Clinical laboratory geneticist</v>
      </c>
      <c r="O249" s="42" t="str">
        <f ca="1">IFERROR(__xludf.DUMMYFUNCTION("QUERY('Volunteer Survey'!H256)"),"Comprehensive")</f>
        <v>Comprehensive</v>
      </c>
      <c r="P249" s="49" t="str">
        <f ca="1">IFERROR(__xludf.DUMMYFUNCTION("QUERY('Volunteer Survey'!I256)"),"Somatic Cancer")</f>
        <v>Somatic Cancer</v>
      </c>
      <c r="Q249" s="54" t="str">
        <f ca="1">IFERROR(__xludf.DUMMYFUNCTION("QUERY('Volunteer Survey'!J256)"),"Variant Pathogenicity, Dosage Sensitivity")</f>
        <v>Variant Pathogenicity, Dosage Sensitivity</v>
      </c>
      <c r="R249" s="49" t="str">
        <f ca="1">IFERROR(__xludf.DUMMYFUNCTION("QUERY('Volunteer Survey'!K256)"),"Gene-Disease Validity")</f>
        <v>Gene-Disease Validity</v>
      </c>
      <c r="S249" s="49" t="str">
        <f ca="1">IFERROR(__xludf.DUMMYFUNCTION("QUERY('Volunteer Survey'!L256)"),"Clinical Actionability")</f>
        <v>Clinical Actionability</v>
      </c>
      <c r="T249" s="49" t="str">
        <f ca="1">IFERROR(__xludf.DUMMYFUNCTION("QUERY('Volunteer Survey'!M256)"),"")</f>
        <v/>
      </c>
      <c r="U249" s="58" t="str">
        <f ca="1">IFERROR(__xludf.DUMMYFUNCTION("QUERY('Volunteer Survey'!N256)"),"Yes, in somatic cancer variant curation through my clinical training at the Brigham and Women's Hospital. ")</f>
        <v xml:space="preserve">Yes, in somatic cancer variant curation through my clinical training at the Brigham and Women's Hospital. </v>
      </c>
      <c r="V249" s="49" t="str">
        <f ca="1">IFERROR(__xludf.DUMMYFUNCTION("QUERY('Volunteer Survey'!O256)"),"No")</f>
        <v>No</v>
      </c>
      <c r="W249" s="60" t="str">
        <f ca="1">IFERROR(__xludf.DUMMYFUNCTION("QUERY('Volunteer Survey'!P256)"),"Variant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c r="X249" s="58" t="str">
        <f ca="1">IFERROR(__xludf.DUMMYFUNCTION("QUERY('Volunteer Survey'!R256)"),"Maybe -- please contact me with other options, and I will decide based on what is available")</f>
        <v>Maybe -- please contact me with other options, and I will decide based on what is available</v>
      </c>
      <c r="Y249" s="47"/>
      <c r="Z249" s="49"/>
      <c r="AA249" s="49"/>
      <c r="AB249" s="49"/>
      <c r="AC249" s="49"/>
      <c r="AD249" s="49"/>
      <c r="AE249" s="49"/>
      <c r="AF249" s="49"/>
      <c r="AG249" s="49"/>
      <c r="AH249" s="49"/>
      <c r="AI249" s="49"/>
      <c r="AJ249" s="49"/>
      <c r="AK249" s="49"/>
      <c r="AL249" s="49"/>
      <c r="AM249" s="49"/>
      <c r="AN249" s="49"/>
      <c r="AO249" s="49"/>
    </row>
    <row r="250" spans="1:41" ht="14">
      <c r="A250" s="44">
        <f ca="1">IFERROR(__xludf.DUMMYFUNCTION("QUERY('Volunteer Survey'!A257)"),43677.4619924884)</f>
        <v>43677.461992488403</v>
      </c>
      <c r="B250" s="42" t="s">
        <v>108</v>
      </c>
      <c r="C250" s="73">
        <v>43819</v>
      </c>
      <c r="D250" s="49"/>
      <c r="E250" s="49"/>
      <c r="F250" s="42" t="s">
        <v>130</v>
      </c>
      <c r="G250" s="42" t="s">
        <v>122</v>
      </c>
      <c r="H250" s="47"/>
      <c r="I250" s="45" t="s">
        <v>139</v>
      </c>
      <c r="J250" s="49"/>
      <c r="K250" s="49"/>
      <c r="L250" s="49" t="str">
        <f ca="1">IFERROR(__xludf.DUMMYFUNCTION("QUERY('Volunteer Survey'!B257)"),"Jennifer Hull")</f>
        <v>Jennifer Hull</v>
      </c>
      <c r="M250" s="49" t="str">
        <f ca="1">IFERROR(__xludf.DUMMYFUNCTION("QUERY('Volunteer Survey'!E257)"),"jhull86@gmail.com")</f>
        <v>jhull86@gmail.com</v>
      </c>
      <c r="N250" s="49" t="str">
        <f ca="1">IFERROR(__xludf.DUMMYFUNCTION("QUERY('Volunteer Survey'!F257)"),"Graduate Student")</f>
        <v>Graduate Student</v>
      </c>
      <c r="O250" s="42" t="str">
        <f ca="1">IFERROR(__xludf.DUMMYFUNCTION("QUERY('Volunteer Survey'!H257)"),"comprehensive")</f>
        <v>comprehensive</v>
      </c>
      <c r="P250" s="49" t="str">
        <f ca="1">IFERROR(__xludf.DUMMYFUNCTION("QUERY('Volunteer Survey'!I257)"),"Gene-Disease Validity")</f>
        <v>Gene-Disease Validity</v>
      </c>
      <c r="Q250" s="54" t="str">
        <f ca="1">IFERROR(__xludf.DUMMYFUNCTION("QUERY('Volunteer Survey'!J257)"),"Variant Pathogenicity")</f>
        <v>Variant Pathogenicity</v>
      </c>
      <c r="R250" s="49" t="str">
        <f ca="1">IFERROR(__xludf.DUMMYFUNCTION("QUERY('Volunteer Survey'!K257)"),"Clinical Actionability")</f>
        <v>Clinical Actionability</v>
      </c>
      <c r="S250" s="49" t="str">
        <f ca="1">IFERROR(__xludf.DUMMYFUNCTION("QUERY('Volunteer Survey'!L257)"),"Dosage Sensitivity")</f>
        <v>Dosage Sensitivity</v>
      </c>
      <c r="T250" s="49" t="str">
        <f ca="1">IFERROR(__xludf.DUMMYFUNCTION("QUERY('Volunteer Survey'!M257)"),"Somatic Cancer")</f>
        <v>Somatic Cancer</v>
      </c>
      <c r="U250" s="58" t="str">
        <f ca="1">IFERROR(__xludf.DUMMYFUNCTION("QUERY('Volunteer Survey'!N257)"),"N/A")</f>
        <v>N/A</v>
      </c>
      <c r="V250" s="49" t="str">
        <f ca="1">IFERROR(__xludf.DUMMYFUNCTION("QUERY('Volunteer Survey'!O257)"),"Yes")</f>
        <v>Yes</v>
      </c>
      <c r="W250" s="60" t="str">
        <f ca="1">IFERROR(__xludf.DUMMYFUNCTION("QUERY('Volunteer Survey'!P257)"),"Phenylketonuria Variant Curation Expert Panel, epilepsy, CMT, hypercholesterolemia, colorectal cancer")</f>
        <v>Phenylketonuria Variant Curation Expert Panel, epilepsy, CMT, hypercholesterolemia, colorectal cancer</v>
      </c>
      <c r="X250" s="58" t="str">
        <f ca="1">IFERROR(__xludf.DUMMYFUNCTION("QUERY('Volunteer Survey'!R257)"),"Yes- I am willing to volunteer with any available ClinGen group")</f>
        <v>Yes- I am willing to volunteer with any available ClinGen group</v>
      </c>
      <c r="Y250" s="47"/>
      <c r="Z250" s="49"/>
      <c r="AA250" s="49"/>
      <c r="AB250" s="49"/>
      <c r="AC250" s="49"/>
      <c r="AD250" s="49"/>
      <c r="AE250" s="49"/>
      <c r="AF250" s="49"/>
      <c r="AG250" s="49"/>
      <c r="AH250" s="49"/>
      <c r="AI250" s="49"/>
      <c r="AJ250" s="49"/>
      <c r="AK250" s="49"/>
      <c r="AL250" s="49"/>
      <c r="AM250" s="49"/>
      <c r="AN250" s="49"/>
      <c r="AO250" s="49"/>
    </row>
    <row r="251" spans="1:41" ht="14">
      <c r="A251" s="44">
        <f ca="1">IFERROR(__xludf.DUMMYFUNCTION("QUERY('Volunteer Survey'!A258)"),43678.4120406134)</f>
        <v>43678.412040613402</v>
      </c>
      <c r="B251" s="42" t="s">
        <v>108</v>
      </c>
      <c r="C251" s="73">
        <v>43705</v>
      </c>
      <c r="D251" s="59">
        <v>43719</v>
      </c>
      <c r="E251" s="42" t="s">
        <v>117</v>
      </c>
      <c r="F251" s="42" t="s">
        <v>130</v>
      </c>
      <c r="G251" s="42" t="s">
        <v>136</v>
      </c>
      <c r="H251" s="45"/>
      <c r="I251" s="45" t="s">
        <v>139</v>
      </c>
      <c r="J251" s="49"/>
      <c r="K251" s="49"/>
      <c r="L251" s="49" t="str">
        <f ca="1">IFERROR(__xludf.DUMMYFUNCTION("QUERY('Volunteer Survey'!B258)"),"Eric Kil")</f>
        <v>Eric Kil</v>
      </c>
      <c r="M251" s="49" t="str">
        <f ca="1">IFERROR(__xludf.DUMMYFUNCTION("QUERY('Volunteer Survey'!E258)"),"ekil18@students.kgi.edu")</f>
        <v>ekil18@students.kgi.edu</v>
      </c>
      <c r="N251" s="49" t="str">
        <f ca="1">IFERROR(__xludf.DUMMYFUNCTION("QUERY('Volunteer Survey'!F258)"),"Graduate Student")</f>
        <v>Graduate Student</v>
      </c>
      <c r="O251" s="42" t="str">
        <f ca="1">IFERROR(__xludf.DUMMYFUNCTION("QUERY('Volunteer Survey'!H258)"),"comprehensive")</f>
        <v>comprehensive</v>
      </c>
      <c r="P251" s="49" t="str">
        <f ca="1">IFERROR(__xludf.DUMMYFUNCTION("QUERY('Volunteer Survey'!I258)"),"Somatic Cancer")</f>
        <v>Somatic Cancer</v>
      </c>
      <c r="Q251" s="54" t="str">
        <f ca="1">IFERROR(__xludf.DUMMYFUNCTION("QUERY('Volunteer Survey'!J258)"),"Dosage Sensitivity")</f>
        <v>Dosage Sensitivity</v>
      </c>
      <c r="R251" s="49" t="str">
        <f ca="1">IFERROR(__xludf.DUMMYFUNCTION("QUERY('Volunteer Survey'!K258)"),"Variant Pathogenicity")</f>
        <v>Variant Pathogenicity</v>
      </c>
      <c r="S251" s="49" t="str">
        <f ca="1">IFERROR(__xludf.DUMMYFUNCTION("QUERY('Volunteer Survey'!L258)"),"Gene-Disease Validity")</f>
        <v>Gene-Disease Validity</v>
      </c>
      <c r="T251" s="49" t="str">
        <f ca="1">IFERROR(__xludf.DUMMYFUNCTION("QUERY('Volunteer Survey'!M258)"),"Clinical Actionability")</f>
        <v>Clinical Actionability</v>
      </c>
      <c r="U251" s="58" t="str">
        <f ca="1">IFERROR(__xludf.DUMMYFUNCTION("QUERY('Volunteer Survey'!N258)"),"No")</f>
        <v>No</v>
      </c>
      <c r="V251" s="49" t="str">
        <f ca="1">IFERROR(__xludf.DUMMYFUNCTION("QUERY('Volunteer Survey'!O258)"),"Possibly")</f>
        <v>Possibly</v>
      </c>
      <c r="W251" s="60" t="str">
        <f ca="1">IFERROR(__xludf.DUMMYFUNCTION("QUERY('Volunteer Survey'!P258)"),"I am interested in neuro-related conditions and cancer.")</f>
        <v>I am interested in neuro-related conditions and cancer.</v>
      </c>
      <c r="X251" s="58" t="str">
        <f ca="1">IFERROR(__xludf.DUMMYFUNCTION("QUERY('Volunteer Survey'!R258)"),"Yes- I am willing to volunteer with any available ClinGen group")</f>
        <v>Yes- I am willing to volunteer with any available ClinGen group</v>
      </c>
      <c r="Y251" s="47"/>
      <c r="Z251" s="49"/>
      <c r="AA251" s="49"/>
      <c r="AB251" s="49"/>
      <c r="AC251" s="49"/>
      <c r="AD251" s="49"/>
      <c r="AE251" s="49"/>
      <c r="AF251" s="49"/>
      <c r="AG251" s="49"/>
      <c r="AH251" s="49"/>
      <c r="AI251" s="49"/>
      <c r="AJ251" s="49"/>
      <c r="AK251" s="49"/>
      <c r="AL251" s="49"/>
      <c r="AM251" s="49"/>
      <c r="AN251" s="49"/>
      <c r="AO251" s="49"/>
    </row>
    <row r="252" spans="1:41" ht="28">
      <c r="A252" s="44">
        <f ca="1">IFERROR(__xludf.DUMMYFUNCTION("QUERY('Volunteer Survey'!A259)"),43679.0893137847)</f>
        <v>43679.089313784702</v>
      </c>
      <c r="B252" s="42" t="s">
        <v>160</v>
      </c>
      <c r="C252" s="73">
        <v>43705</v>
      </c>
      <c r="D252" s="59">
        <v>43719</v>
      </c>
      <c r="E252" s="42" t="s">
        <v>117</v>
      </c>
      <c r="F252" s="42" t="s">
        <v>130</v>
      </c>
      <c r="G252" s="42" t="s">
        <v>136</v>
      </c>
      <c r="H252" s="45" t="s">
        <v>320</v>
      </c>
      <c r="I252" s="45" t="s">
        <v>139</v>
      </c>
      <c r="J252" s="49"/>
      <c r="K252" s="49"/>
      <c r="L252" s="49" t="str">
        <f ca="1">IFERROR(__xludf.DUMMYFUNCTION("QUERY('Volunteer Survey'!B259)"),"Joseph Steward")</f>
        <v>Joseph Steward</v>
      </c>
      <c r="M252" s="49" t="str">
        <f ca="1">IFERROR(__xludf.DUMMYFUNCTION("QUERY('Volunteer Survey'!E259)"),"jsteward2930@gmail.com")</f>
        <v>jsteward2930@gmail.com</v>
      </c>
      <c r="N252" s="49" t="str">
        <f ca="1">IFERROR(__xludf.DUMMYFUNCTION("QUERY('Volunteer Survey'!F259)"),"Scientific Researcher")</f>
        <v>Scientific Researcher</v>
      </c>
      <c r="O252" s="42" t="str">
        <f ca="1">IFERROR(__xludf.DUMMYFUNCTION("QUERY('Volunteer Survey'!H259)"),"comprehensive")</f>
        <v>comprehensive</v>
      </c>
      <c r="P252" s="49" t="str">
        <f ca="1">IFERROR(__xludf.DUMMYFUNCTION("QUERY('Volunteer Survey'!I259)"),"Somatic Cancer")</f>
        <v>Somatic Cancer</v>
      </c>
      <c r="Q252" s="54" t="str">
        <f ca="1">IFERROR(__xludf.DUMMYFUNCTION("QUERY('Volunteer Survey'!J259)"),"Variant Pathogenicity")</f>
        <v>Variant Pathogenicity</v>
      </c>
      <c r="R252" s="49" t="str">
        <f ca="1">IFERROR(__xludf.DUMMYFUNCTION("QUERY('Volunteer Survey'!K259)"),"Gene-Disease Validity")</f>
        <v>Gene-Disease Validity</v>
      </c>
      <c r="S252" s="49" t="str">
        <f ca="1">IFERROR(__xludf.DUMMYFUNCTION("QUERY('Volunteer Survey'!L259)"),"Clinical Actionability")</f>
        <v>Clinical Actionability</v>
      </c>
      <c r="T252" s="49" t="str">
        <f ca="1">IFERROR(__xludf.DUMMYFUNCTION("QUERY('Volunteer Survey'!M259)"),"Dosage Sensitivity")</f>
        <v>Dosage Sensitivity</v>
      </c>
      <c r="U252" s="58" t="str">
        <f ca="1">IFERROR(__xludf.DUMMYFUNCTION("QUERY('Volunteer Survey'!N259)"),"")</f>
        <v/>
      </c>
      <c r="V252" s="49" t="str">
        <f ca="1">IFERROR(__xludf.DUMMYFUNCTION("QUERY('Volunteer Survey'!O259)"),"Possibly")</f>
        <v>Possibly</v>
      </c>
      <c r="W252" s="60" t="str">
        <f ca="1">IFERROR(__xludf.DUMMYFUNCTION("QUERY('Volunteer Survey'!P259)"),"Pancreatic ")</f>
        <v xml:space="preserve">Pancreatic </v>
      </c>
      <c r="X252" s="58" t="str">
        <f ca="1">IFERROR(__xludf.DUMMYFUNCTION("QUERY('Volunteer Survey'!R259)"),"Yes- I am willing to volunteer with any available ClinGen group")</f>
        <v>Yes- I am willing to volunteer with any available ClinGen group</v>
      </c>
      <c r="Y252" s="47"/>
      <c r="Z252" s="49"/>
      <c r="AA252" s="49"/>
      <c r="AB252" s="49"/>
      <c r="AC252" s="49"/>
      <c r="AD252" s="49"/>
      <c r="AE252" s="49"/>
      <c r="AF252" s="49"/>
      <c r="AG252" s="49"/>
      <c r="AH252" s="49"/>
      <c r="AI252" s="49"/>
      <c r="AJ252" s="49"/>
      <c r="AK252" s="49"/>
      <c r="AL252" s="49"/>
      <c r="AM252" s="49"/>
      <c r="AN252" s="49"/>
      <c r="AO252" s="49"/>
    </row>
    <row r="253" spans="1:41" ht="28">
      <c r="A253" s="44">
        <f ca="1">IFERROR(__xludf.DUMMYFUNCTION("QUERY('Volunteer Survey'!A260)"),43679.897445162)</f>
        <v>43679.897445162002</v>
      </c>
      <c r="B253" s="42" t="s">
        <v>322</v>
      </c>
      <c r="C253" s="47"/>
      <c r="D253" s="49"/>
      <c r="E253" s="49"/>
      <c r="F253" s="42" t="s">
        <v>130</v>
      </c>
      <c r="G253" s="42" t="s">
        <v>202</v>
      </c>
      <c r="H253" s="47"/>
      <c r="I253" s="45" t="s">
        <v>139</v>
      </c>
      <c r="J253" s="49"/>
      <c r="K253" s="49"/>
      <c r="L253" s="49" t="str">
        <f ca="1">IFERROR(__xludf.DUMMYFUNCTION("QUERY('Volunteer Survey'!B260)"),"NANDITA MULLAPUDI")</f>
        <v>NANDITA MULLAPUDI</v>
      </c>
      <c r="M253" s="49" t="str">
        <f ca="1">IFERROR(__xludf.DUMMYFUNCTION("QUERY('Volunteer Survey'!E260)"),"mnandita@gmail.com")</f>
        <v>mnandita@gmail.com</v>
      </c>
      <c r="N253" s="49" t="str">
        <f ca="1">IFERROR(__xludf.DUMMYFUNCTION("QUERY('Volunteer Survey'!F260)"),"Scientific Researcher")</f>
        <v>Scientific Researcher</v>
      </c>
      <c r="O253" s="42" t="str">
        <f ca="1">IFERROR(__xludf.DUMMYFUNCTION("QUERY('Volunteer Survey'!H260)"),"comprehensive")</f>
        <v>comprehensive</v>
      </c>
      <c r="P253" s="49" t="str">
        <f ca="1">IFERROR(__xludf.DUMMYFUNCTION("QUERY('Volunteer Survey'!I260)"),"")</f>
        <v/>
      </c>
      <c r="Q253" s="54" t="str">
        <f ca="1">IFERROR(__xludf.DUMMYFUNCTION("QUERY('Volunteer Survey'!J260)"),"")</f>
        <v/>
      </c>
      <c r="R253" s="49" t="str">
        <f ca="1">IFERROR(__xludf.DUMMYFUNCTION("QUERY('Volunteer Survey'!K260)"),"")</f>
        <v/>
      </c>
      <c r="S253" s="49" t="str">
        <f ca="1">IFERROR(__xludf.DUMMYFUNCTION("QUERY('Volunteer Survey'!L260)"),"")</f>
        <v/>
      </c>
      <c r="T253" s="49" t="str">
        <f ca="1">IFERROR(__xludf.DUMMYFUNCTION("QUERY('Volunteer Survey'!M260)"),"")</f>
        <v/>
      </c>
      <c r="U253" s="58" t="str">
        <f ca="1">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49" t="str">
        <f ca="1">IFERROR(__xludf.DUMMYFUNCTION("QUERY('Volunteer Survey'!O260)"),"")</f>
        <v/>
      </c>
      <c r="W253" s="60" t="str">
        <f ca="1">IFERROR(__xludf.DUMMYFUNCTION("QUERY('Volunteer Survey'!P260)"),"Intellectual disability and autism, Mitochondrial diseases, Hearing loss, Familial hypercholesterolemia")</f>
        <v>Intellectual disability and autism, Mitochondrial diseases, Hearing loss, Familial hypercholesterolemia</v>
      </c>
      <c r="X253" s="58" t="str">
        <f ca="1">IFERROR(__xludf.DUMMYFUNCTION("QUERY('Volunteer Survey'!R260)"),"Yes- I am willing to volunteer with any available ClinGen group")</f>
        <v>Yes- I am willing to volunteer with any available ClinGen group</v>
      </c>
      <c r="Y253" s="45" t="s">
        <v>608</v>
      </c>
      <c r="Z253" s="49"/>
      <c r="AA253" s="49"/>
      <c r="AB253" s="49"/>
      <c r="AC253" s="49"/>
      <c r="AD253" s="49"/>
      <c r="AE253" s="49"/>
      <c r="AF253" s="49"/>
      <c r="AG253" s="49"/>
      <c r="AH253" s="49"/>
      <c r="AI253" s="49"/>
      <c r="AJ253" s="49"/>
      <c r="AK253" s="49"/>
      <c r="AL253" s="49"/>
      <c r="AM253" s="49"/>
      <c r="AN253" s="49"/>
      <c r="AO253" s="49"/>
    </row>
    <row r="254" spans="1:41" ht="14">
      <c r="A254" s="44">
        <f ca="1">IFERROR(__xludf.DUMMYFUNCTION("QUERY('Volunteer Survey'!A261)"),43680.0504544212)</f>
        <v>43680.050454421202</v>
      </c>
      <c r="B254" s="42" t="s">
        <v>108</v>
      </c>
      <c r="C254" s="47"/>
      <c r="D254" s="49"/>
      <c r="E254" s="49"/>
      <c r="F254" s="42" t="s">
        <v>130</v>
      </c>
      <c r="G254" s="42" t="s">
        <v>202</v>
      </c>
      <c r="H254" s="47"/>
      <c r="I254" s="45" t="s">
        <v>139</v>
      </c>
      <c r="J254" s="49"/>
      <c r="K254" s="49"/>
      <c r="L254" s="49" t="str">
        <f ca="1">IFERROR(__xludf.DUMMYFUNCTION("QUERY('Volunteer Survey'!B261)"),"Hari Subramanian")</f>
        <v>Hari Subramanian</v>
      </c>
      <c r="M254" s="49" t="str">
        <f ca="1">IFERROR(__xludf.DUMMYFUNCTION("QUERY('Volunteer Survey'!E261)"),"hsubramanian@bsd.uchicago.edu")</f>
        <v>hsubramanian@bsd.uchicago.edu</v>
      </c>
      <c r="N254" s="49" t="str">
        <f ca="1">IFERROR(__xludf.DUMMYFUNCTION("QUERY('Volunteer Survey'!F261)"),"Bioinformatician, Clinical Diagnostics Lab")</f>
        <v>Bioinformatician, Clinical Diagnostics Lab</v>
      </c>
      <c r="O254" s="42" t="str">
        <f ca="1">IFERROR(__xludf.DUMMYFUNCTION("QUERY('Volunteer Survey'!H261)"),"Baseline")</f>
        <v>Baseline</v>
      </c>
      <c r="P254" s="49" t="str">
        <f ca="1">IFERROR(__xludf.DUMMYFUNCTION("QUERY('Volunteer Survey'!I261)"),"Dosage Sensitivity")</f>
        <v>Dosage Sensitivity</v>
      </c>
      <c r="Q254" s="54" t="str">
        <f ca="1">IFERROR(__xludf.DUMMYFUNCTION("QUERY('Volunteer Survey'!J261)"),"Variant Pathogenicity")</f>
        <v>Variant Pathogenicity</v>
      </c>
      <c r="R254" s="49" t="str">
        <f ca="1">IFERROR(__xludf.DUMMYFUNCTION("QUERY('Volunteer Survey'!K261)"),"Gene-Disease Validity")</f>
        <v>Gene-Disease Validity</v>
      </c>
      <c r="S254" s="49" t="str">
        <f ca="1">IFERROR(__xludf.DUMMYFUNCTION("QUERY('Volunteer Survey'!L261)"),"Somatic Cancer")</f>
        <v>Somatic Cancer</v>
      </c>
      <c r="T254" s="49" t="str">
        <f ca="1">IFERROR(__xludf.DUMMYFUNCTION("QUERY('Volunteer Survey'!M261)"),"")</f>
        <v/>
      </c>
      <c r="U254" s="58" t="str">
        <f ca="1">IFERROR(__xludf.DUMMYFUNCTION("QUERY('Volunteer Survey'!N261)"),"")</f>
        <v/>
      </c>
      <c r="V254" s="49" t="str">
        <f ca="1">IFERROR(__xludf.DUMMYFUNCTION("QUERY('Volunteer Survey'!O261)"),"Possibly")</f>
        <v>Possibly</v>
      </c>
      <c r="W254" s="60" t="str">
        <f ca="1">IFERROR(__xludf.DUMMYFUNCTION("QUERY('Volunteer Survey'!P261)"),"")</f>
        <v/>
      </c>
      <c r="X254" s="58" t="str">
        <f ca="1">IFERROR(__xludf.DUMMYFUNCTION("QUERY('Volunteer Survey'!R261)"),"Maybe -- please contact me with other options, and I will decide based on what is available")</f>
        <v>Maybe -- please contact me with other options, and I will decide based on what is available</v>
      </c>
      <c r="Y254" s="47"/>
      <c r="Z254" s="49"/>
      <c r="AA254" s="49"/>
      <c r="AB254" s="49"/>
      <c r="AC254" s="49"/>
      <c r="AD254" s="49"/>
      <c r="AE254" s="49"/>
      <c r="AF254" s="49"/>
      <c r="AG254" s="49"/>
      <c r="AH254" s="49"/>
      <c r="AI254" s="49"/>
      <c r="AJ254" s="49"/>
      <c r="AK254" s="49"/>
      <c r="AL254" s="49"/>
      <c r="AM254" s="49"/>
      <c r="AN254" s="49"/>
      <c r="AO254" s="49"/>
    </row>
    <row r="255" spans="1:41" ht="14">
      <c r="A255" s="44">
        <f ca="1">IFERROR(__xludf.DUMMYFUNCTION("QUERY('Volunteer Survey'!A262)"),43684.3987829513)</f>
        <v>43684.398782951299</v>
      </c>
      <c r="B255" s="42" t="s">
        <v>108</v>
      </c>
      <c r="C255" s="73">
        <v>43819</v>
      </c>
      <c r="D255" s="49"/>
      <c r="E255" s="49"/>
      <c r="F255" s="42" t="s">
        <v>130</v>
      </c>
      <c r="G255" s="42" t="s">
        <v>251</v>
      </c>
      <c r="H255" s="47"/>
      <c r="I255" s="45" t="s">
        <v>139</v>
      </c>
      <c r="J255" s="49"/>
      <c r="K255" s="49"/>
      <c r="L255" s="49" t="str">
        <f ca="1">IFERROR(__xludf.DUMMYFUNCTION("QUERY('Volunteer Survey'!B262)"),"Georgios Tsaousis")</f>
        <v>Georgios Tsaousis</v>
      </c>
      <c r="M255" s="49" t="str">
        <f ca="1">IFERROR(__xludf.DUMMYFUNCTION("QUERY('Volunteer Survey'!E262)"),"gtsaousis@genekor.com")</f>
        <v>gtsaousis@genekor.com</v>
      </c>
      <c r="N255" s="49" t="str">
        <f ca="1">IFERROR(__xludf.DUMMYFUNCTION("QUERY('Volunteer Survey'!F262)"),"Variant Analyst/Scientist - Industry")</f>
        <v>Variant Analyst/Scientist - Industry</v>
      </c>
      <c r="O255" s="42" t="str">
        <f ca="1">IFERROR(__xludf.DUMMYFUNCTION("QUERY('Volunteer Survey'!H262)"),"Comprehensive")</f>
        <v>Comprehensive</v>
      </c>
      <c r="P255" s="49" t="str">
        <f ca="1">IFERROR(__xludf.DUMMYFUNCTION("QUERY('Volunteer Survey'!I262)"),"Variant Pathogenicity")</f>
        <v>Variant Pathogenicity</v>
      </c>
      <c r="Q255" s="54" t="str">
        <f ca="1">IFERROR(__xludf.DUMMYFUNCTION("QUERY('Volunteer Survey'!J262)"),"Gene-Disease Validity")</f>
        <v>Gene-Disease Validity</v>
      </c>
      <c r="R255" s="49" t="str">
        <f ca="1">IFERROR(__xludf.DUMMYFUNCTION("QUERY('Volunteer Survey'!K262)"),"Clinical Actionability")</f>
        <v>Clinical Actionability</v>
      </c>
      <c r="S255" s="49" t="str">
        <f ca="1">IFERROR(__xludf.DUMMYFUNCTION("QUERY('Volunteer Survey'!L262)"),"Somatic Cancer")</f>
        <v>Somatic Cancer</v>
      </c>
      <c r="T255" s="49" t="str">
        <f ca="1">IFERROR(__xludf.DUMMYFUNCTION("QUERY('Volunteer Survey'!M262)"),"Dosage Sensitivity")</f>
        <v>Dosage Sensitivity</v>
      </c>
      <c r="U255" s="58" t="str">
        <f ca="1">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49" t="str">
        <f ca="1">IFERROR(__xludf.DUMMYFUNCTION("QUERY('Volunteer Survey'!O262)"),"Possibly")</f>
        <v>Possibly</v>
      </c>
      <c r="W255" s="60" t="str">
        <f ca="1">IFERROR(__xludf.DUMMYFUNCTION("QUERY('Volunteer Survey'!P262)"),"Hereditary Cancer, Somatic/Germline Variant Curation, Colorectal Cancer, PTEN, TP53, CDH1")</f>
        <v>Hereditary Cancer, Somatic/Germline Variant Curation, Colorectal Cancer, PTEN, TP53, CDH1</v>
      </c>
      <c r="X255" s="58" t="str">
        <f ca="1">IFERROR(__xludf.DUMMYFUNCTION("QUERY('Volunteer Survey'!R262)"),"Maybe -- please contact me with other options, and I will decide based on what is available")</f>
        <v>Maybe -- please contact me with other options, and I will decide based on what is available</v>
      </c>
      <c r="Y255" s="47"/>
      <c r="Z255" s="49"/>
      <c r="AA255" s="49"/>
      <c r="AB255" s="49"/>
      <c r="AC255" s="49"/>
      <c r="AD255" s="49"/>
      <c r="AE255" s="49"/>
      <c r="AF255" s="49"/>
      <c r="AG255" s="49"/>
      <c r="AH255" s="49"/>
      <c r="AI255" s="49"/>
      <c r="AJ255" s="49"/>
      <c r="AK255" s="49"/>
      <c r="AL255" s="49"/>
      <c r="AM255" s="49"/>
      <c r="AN255" s="49"/>
      <c r="AO255" s="49"/>
    </row>
    <row r="256" spans="1:41" ht="14">
      <c r="A256" s="44">
        <f ca="1">IFERROR(__xludf.DUMMYFUNCTION("QUERY('Volunteer Survey'!A263)"),43684.4028878587)</f>
        <v>43684.402887858698</v>
      </c>
      <c r="B256" s="42" t="s">
        <v>108</v>
      </c>
      <c r="C256" s="73">
        <v>43819</v>
      </c>
      <c r="D256" s="49"/>
      <c r="E256" s="49"/>
      <c r="F256" s="42" t="s">
        <v>130</v>
      </c>
      <c r="G256" s="42" t="s">
        <v>251</v>
      </c>
      <c r="H256" s="47"/>
      <c r="I256" s="45" t="s">
        <v>139</v>
      </c>
      <c r="J256" s="49"/>
      <c r="K256" s="49"/>
      <c r="L256" s="49" t="str">
        <f ca="1">IFERROR(__xludf.DUMMYFUNCTION("QUERY('Volunteer Survey'!B263)"),"Jessica Hatton")</f>
        <v>Jessica Hatton</v>
      </c>
      <c r="M256" s="49" t="str">
        <f ca="1">IFERROR(__xludf.DUMMYFUNCTION("QUERY('Volunteer Survey'!E263)"),"jessica.hatton@nih.gov")</f>
        <v>jessica.hatton@nih.gov</v>
      </c>
      <c r="N256" s="49" t="str">
        <f ca="1">IFERROR(__xludf.DUMMYFUNCTION("QUERY('Volunteer Survey'!F263)"),"Genetic counselor")</f>
        <v>Genetic counselor</v>
      </c>
      <c r="O256" s="42" t="str">
        <f ca="1">IFERROR(__xludf.DUMMYFUNCTION("QUERY('Volunteer Survey'!H263)"),"Comprehensive")</f>
        <v>Comprehensive</v>
      </c>
      <c r="P256" s="49" t="str">
        <f ca="1">IFERROR(__xludf.DUMMYFUNCTION("QUERY('Volunteer Survey'!I263)"),"Variant Pathogenicity")</f>
        <v>Variant Pathogenicity</v>
      </c>
      <c r="Q256" s="54" t="str">
        <f ca="1">IFERROR(__xludf.DUMMYFUNCTION("QUERY('Volunteer Survey'!J263)"),"")</f>
        <v/>
      </c>
      <c r="R256" s="49" t="str">
        <f ca="1">IFERROR(__xludf.DUMMYFUNCTION("QUERY('Volunteer Survey'!K263)"),"")</f>
        <v/>
      </c>
      <c r="S256" s="49" t="str">
        <f ca="1">IFERROR(__xludf.DUMMYFUNCTION("QUERY('Volunteer Survey'!L263)"),"")</f>
        <v/>
      </c>
      <c r="T256" s="49" t="str">
        <f ca="1">IFERROR(__xludf.DUMMYFUNCTION("QUERY('Volunteer Survey'!M263)"),"")</f>
        <v/>
      </c>
      <c r="U256" s="58" t="str">
        <f ca="1">IFERROR(__xludf.DUMMYFUNCTION("QUERY('Volunteer Survey'!N263)"),"No")</f>
        <v>No</v>
      </c>
      <c r="V256" s="49" t="str">
        <f ca="1">IFERROR(__xludf.DUMMYFUNCTION("QUERY('Volunteer Survey'!O263)"),"Possibly")</f>
        <v>Possibly</v>
      </c>
      <c r="W256" s="60" t="str">
        <f ca="1">IFERROR(__xludf.DUMMYFUNCTION("QUERY('Volunteer Survey'!P263)"),"TP53")</f>
        <v>TP53</v>
      </c>
      <c r="X256" s="58" t="str">
        <f ca="1">IFERROR(__xludf.DUMMYFUNCTION("QUERY('Volunteer Survey'!R263)"),"No - I am only interested in the group(s) I previously indicated")</f>
        <v>No - I am only interested in the group(s) I previously indicated</v>
      </c>
      <c r="Y256" s="47"/>
      <c r="Z256" s="49"/>
      <c r="AA256" s="49"/>
      <c r="AB256" s="49"/>
      <c r="AC256" s="49"/>
      <c r="AD256" s="49"/>
      <c r="AE256" s="49"/>
      <c r="AF256" s="49"/>
      <c r="AG256" s="49"/>
      <c r="AH256" s="49"/>
      <c r="AI256" s="49"/>
      <c r="AJ256" s="49"/>
      <c r="AK256" s="49"/>
      <c r="AL256" s="49"/>
      <c r="AM256" s="49"/>
      <c r="AN256" s="49"/>
      <c r="AO256" s="49"/>
    </row>
    <row r="257" spans="1:41" ht="14">
      <c r="A257" s="44">
        <f ca="1">IFERROR(__xludf.DUMMYFUNCTION("QUERY('Volunteer Survey'!A264)"),43684.6868770833)</f>
        <v>43684.686877083303</v>
      </c>
      <c r="B257" s="42" t="s">
        <v>108</v>
      </c>
      <c r="C257" s="73">
        <v>43819</v>
      </c>
      <c r="D257" s="49"/>
      <c r="E257" s="49"/>
      <c r="F257" s="42" t="s">
        <v>130</v>
      </c>
      <c r="G257" s="42" t="s">
        <v>251</v>
      </c>
      <c r="H257" s="47"/>
      <c r="I257" s="45" t="s">
        <v>139</v>
      </c>
      <c r="J257" s="49"/>
      <c r="K257" s="49"/>
      <c r="L257" s="49" t="str">
        <f ca="1">IFERROR(__xludf.DUMMYFUNCTION("QUERY('Volunteer Survey'!B264)"),"Xia Tian")</f>
        <v>Xia Tian</v>
      </c>
      <c r="M257" s="49" t="str">
        <f ca="1">IFERROR(__xludf.DUMMYFUNCTION("QUERY('Volunteer Survey'!E264)"),"xtian@wuxinextcode.com")</f>
        <v>xtian@wuxinextcode.com</v>
      </c>
      <c r="N257" s="49" t="str">
        <f ca="1">IFERROR(__xludf.DUMMYFUNCTION("QUERY('Volunteer Survey'!F264)"),"Variant Analyst/Scientist - Industry")</f>
        <v>Variant Analyst/Scientist - Industry</v>
      </c>
      <c r="O257" s="42" t="str">
        <f ca="1">IFERROR(__xludf.DUMMYFUNCTION("QUERY('Volunteer Survey'!H264)"),"Comprehensive")</f>
        <v>Comprehensive</v>
      </c>
      <c r="P257" s="49" t="str">
        <f ca="1">IFERROR(__xludf.DUMMYFUNCTION("QUERY('Volunteer Survey'!I264)"),"Variant Pathogenicity")</f>
        <v>Variant Pathogenicity</v>
      </c>
      <c r="Q257" s="54" t="str">
        <f ca="1">IFERROR(__xludf.DUMMYFUNCTION("QUERY('Volunteer Survey'!J264)"),"Somatic Cancer")</f>
        <v>Somatic Cancer</v>
      </c>
      <c r="R257" s="49" t="str">
        <f ca="1">IFERROR(__xludf.DUMMYFUNCTION("QUERY('Volunteer Survey'!K264)"),"Gene-Disease Validity")</f>
        <v>Gene-Disease Validity</v>
      </c>
      <c r="S257" s="49" t="str">
        <f ca="1">IFERROR(__xludf.DUMMYFUNCTION("QUERY('Volunteer Survey'!L264)"),"Dosage Sensitivity")</f>
        <v>Dosage Sensitivity</v>
      </c>
      <c r="T257" s="49" t="str">
        <f ca="1">IFERROR(__xludf.DUMMYFUNCTION("QUERY('Volunteer Survey'!M264)"),"Clinical Actionability")</f>
        <v>Clinical Actionability</v>
      </c>
      <c r="U257" s="58" t="str">
        <f ca="1">IFERROR(__xludf.DUMMYFUNCTION("QUERY('Volunteer Survey'!N264)"),"eight years' experience of gene/variant curation and clinical case review")</f>
        <v>eight years' experience of gene/variant curation and clinical case review</v>
      </c>
      <c r="V257" s="49" t="str">
        <f ca="1">IFERROR(__xludf.DUMMYFUNCTION("QUERY('Volunteer Survey'!O264)"),"Yes")</f>
        <v>Yes</v>
      </c>
      <c r="W257" s="60" t="str">
        <f ca="1">IFERROR(__xludf.DUMMYFUNCTION("QUERY('Volunteer Survey'!P264)"),"Mitochondrial Diseases(gene/variant) and Somatic Cancer")</f>
        <v>Mitochondrial Diseases(gene/variant) and Somatic Cancer</v>
      </c>
      <c r="X257" s="58" t="str">
        <f ca="1">IFERROR(__xludf.DUMMYFUNCTION("QUERY('Volunteer Survey'!R264)"),"Yes- I am willing to volunteer with any available ClinGen group")</f>
        <v>Yes- I am willing to volunteer with any available ClinGen group</v>
      </c>
      <c r="Y257" s="47"/>
      <c r="Z257" s="49"/>
      <c r="AA257" s="49"/>
      <c r="AB257" s="49"/>
      <c r="AC257" s="49"/>
      <c r="AD257" s="49"/>
      <c r="AE257" s="49"/>
      <c r="AF257" s="49"/>
      <c r="AG257" s="49"/>
      <c r="AH257" s="49"/>
      <c r="AI257" s="49"/>
      <c r="AJ257" s="49"/>
      <c r="AK257" s="49"/>
      <c r="AL257" s="49"/>
      <c r="AM257" s="49"/>
      <c r="AN257" s="49"/>
      <c r="AO257" s="49"/>
    </row>
    <row r="258" spans="1:41" ht="14">
      <c r="A258" s="44">
        <f ca="1">IFERROR(__xludf.DUMMYFUNCTION("QUERY('Volunteer Survey'!A265)"),43685.4674890046)</f>
        <v>43685.467489004601</v>
      </c>
      <c r="B258" s="42" t="s">
        <v>108</v>
      </c>
      <c r="C258" s="73">
        <v>43819</v>
      </c>
      <c r="D258" s="49"/>
      <c r="E258" s="49"/>
      <c r="F258" s="42" t="s">
        <v>130</v>
      </c>
      <c r="G258" s="42" t="s">
        <v>122</v>
      </c>
      <c r="H258" s="47"/>
      <c r="I258" s="45" t="s">
        <v>139</v>
      </c>
      <c r="J258" s="49"/>
      <c r="K258" s="49"/>
      <c r="L258" s="49" t="str">
        <f ca="1">IFERROR(__xludf.DUMMYFUNCTION("QUERY('Volunteer Survey'!B265)"),"MEGHA DANI")</f>
        <v>MEGHA DANI</v>
      </c>
      <c r="M258" s="49" t="str">
        <f ca="1">IFERROR(__xludf.DUMMYFUNCTION("QUERY('Volunteer Survey'!E265)"),"meghamdani@gmail.com")</f>
        <v>meghamdani@gmail.com</v>
      </c>
      <c r="N258" s="49" t="str">
        <f ca="1">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42" t="str">
        <f ca="1">IFERROR(__xludf.DUMMYFUNCTION("QUERY('Volunteer Survey'!H265)"),"Comprehensive")</f>
        <v>Comprehensive</v>
      </c>
      <c r="P258" s="49" t="str">
        <f ca="1">IFERROR(__xludf.DUMMYFUNCTION("QUERY('Volunteer Survey'!I265)"),"Gene-Disease Validity")</f>
        <v>Gene-Disease Validity</v>
      </c>
      <c r="Q258" s="54" t="str">
        <f ca="1">IFERROR(__xludf.DUMMYFUNCTION("QUERY('Volunteer Survey'!J265)"),"Clinical Actionability")</f>
        <v>Clinical Actionability</v>
      </c>
      <c r="R258" s="49" t="str">
        <f ca="1">IFERROR(__xludf.DUMMYFUNCTION("QUERY('Volunteer Survey'!K265)"),"Variant Pathogenicity")</f>
        <v>Variant Pathogenicity</v>
      </c>
      <c r="S258" s="49" t="str">
        <f ca="1">IFERROR(__xludf.DUMMYFUNCTION("QUERY('Volunteer Survey'!L265)"),"Dosage Sensitivity")</f>
        <v>Dosage Sensitivity</v>
      </c>
      <c r="T258" s="49" t="str">
        <f ca="1">IFERROR(__xludf.DUMMYFUNCTION("QUERY('Volunteer Survey'!M265)"),"Somatic Cancer")</f>
        <v>Somatic Cancer</v>
      </c>
      <c r="U258" s="58" t="str">
        <f ca="1">IFERROR(__xludf.DUMMYFUNCTION("QUERY('Volunteer Survey'!N265)"),"No")</f>
        <v>No</v>
      </c>
      <c r="V258" s="49" t="str">
        <f ca="1">IFERROR(__xludf.DUMMYFUNCTION("QUERY('Volunteer Survey'!O265)"),"Yes")</f>
        <v>Yes</v>
      </c>
      <c r="W258" s="60" t="str">
        <f ca="1">IFERROR(__xludf.DUMMYFUNCTION("QUERY('Volunteer Survey'!P265)"),"Yes")</f>
        <v>Yes</v>
      </c>
      <c r="X258" s="58" t="str">
        <f ca="1">IFERROR(__xludf.DUMMYFUNCTION("QUERY('Volunteer Survey'!R265)"),"Yes- I am willing to volunteer with any available ClinGen group")</f>
        <v>Yes- I am willing to volunteer with any available ClinGen group</v>
      </c>
      <c r="Y258" s="47"/>
      <c r="Z258" s="49"/>
      <c r="AA258" s="49"/>
      <c r="AB258" s="49"/>
      <c r="AC258" s="49"/>
      <c r="AD258" s="49"/>
      <c r="AE258" s="49"/>
      <c r="AF258" s="49"/>
      <c r="AG258" s="49"/>
      <c r="AH258" s="49"/>
      <c r="AI258" s="49"/>
      <c r="AJ258" s="49"/>
      <c r="AK258" s="49"/>
      <c r="AL258" s="49"/>
      <c r="AM258" s="49"/>
      <c r="AN258" s="49"/>
      <c r="AO258" s="49"/>
    </row>
    <row r="259" spans="1:41" ht="14">
      <c r="A259" s="44">
        <f ca="1">IFERROR(__xludf.DUMMYFUNCTION("QUERY('Volunteer Survey'!A266)"),43689.4068520833)</f>
        <v>43689.406852083303</v>
      </c>
      <c r="B259" s="42" t="s">
        <v>108</v>
      </c>
      <c r="C259" s="47"/>
      <c r="D259" s="59">
        <v>43692</v>
      </c>
      <c r="E259" s="42" t="s">
        <v>117</v>
      </c>
      <c r="F259" s="42" t="s">
        <v>130</v>
      </c>
      <c r="G259" s="42" t="s">
        <v>122</v>
      </c>
      <c r="H259" s="47"/>
      <c r="I259" s="45" t="s">
        <v>139</v>
      </c>
      <c r="J259" s="49"/>
      <c r="K259" s="49"/>
      <c r="L259" s="49" t="str">
        <f ca="1">IFERROR(__xludf.DUMMYFUNCTION("QUERY('Volunteer Survey'!B266)"),"SAILATHA RAVI")</f>
        <v>SAILATHA RAVI</v>
      </c>
      <c r="M259" s="49" t="str">
        <f ca="1">IFERROR(__xludf.DUMMYFUNCTION("QUERY('Volunteer Survey'!E266)"),"sailatha.ravi@gmail.com")</f>
        <v>sailatha.ravi@gmail.com</v>
      </c>
      <c r="N259" s="49" t="str">
        <f ca="1">IFERROR(__xludf.DUMMYFUNCTION("QUERY('Volunteer Survey'!F266)"),"Post Doc/Resident/Fellow (MD and/or PhD)")</f>
        <v>Post Doc/Resident/Fellow (MD and/or PhD)</v>
      </c>
      <c r="O259" s="42" t="str">
        <f ca="1">IFERROR(__xludf.DUMMYFUNCTION("QUERY('Volunteer Survey'!H266)"),"Comprehensive")</f>
        <v>Comprehensive</v>
      </c>
      <c r="P259" s="49" t="str">
        <f ca="1">IFERROR(__xludf.DUMMYFUNCTION("QUERY('Volunteer Survey'!I266)"),"Gene-Disease Validity")</f>
        <v>Gene-Disease Validity</v>
      </c>
      <c r="Q259" s="54" t="str">
        <f ca="1">IFERROR(__xludf.DUMMYFUNCTION("QUERY('Volunteer Survey'!J266)"),"Dosage Sensitivity")</f>
        <v>Dosage Sensitivity</v>
      </c>
      <c r="R259" s="49" t="str">
        <f ca="1">IFERROR(__xludf.DUMMYFUNCTION("QUERY('Volunteer Survey'!K266)"),"Clinical Actionability")</f>
        <v>Clinical Actionability</v>
      </c>
      <c r="S259" s="49" t="str">
        <f ca="1">IFERROR(__xludf.DUMMYFUNCTION("QUERY('Volunteer Survey'!L266)"),"Somatic Cancer")</f>
        <v>Somatic Cancer</v>
      </c>
      <c r="T259" s="49" t="str">
        <f ca="1">IFERROR(__xludf.DUMMYFUNCTION("QUERY('Volunteer Survey'!M266)"),"Variant Pathogenicity")</f>
        <v>Variant Pathogenicity</v>
      </c>
      <c r="U259" s="58" t="str">
        <f ca="1">IFERROR(__xludf.DUMMYFUNCTION("QUERY('Volunteer Survey'!N266)"),"")</f>
        <v/>
      </c>
      <c r="V259" s="49" t="str">
        <f ca="1">IFERROR(__xludf.DUMMYFUNCTION("QUERY('Volunteer Survey'!O266)"),"Yes")</f>
        <v>Yes</v>
      </c>
      <c r="W259" s="60" t="str">
        <f ca="1">IFERROR(__xludf.DUMMYFUNCTION("QUERY('Volunteer Survey'!P266)"),"")</f>
        <v/>
      </c>
      <c r="X259" s="58" t="str">
        <f ca="1">IFERROR(__xludf.DUMMYFUNCTION("QUERY('Volunteer Survey'!R266)"),"Yes- I am willing to volunteer with any available ClinGen group")</f>
        <v>Yes- I am willing to volunteer with any available ClinGen group</v>
      </c>
      <c r="Y259" s="47"/>
      <c r="Z259" s="49"/>
      <c r="AA259" s="49"/>
      <c r="AB259" s="49"/>
      <c r="AC259" s="49"/>
      <c r="AD259" s="49"/>
      <c r="AE259" s="49"/>
      <c r="AF259" s="49"/>
      <c r="AG259" s="49"/>
      <c r="AH259" s="49"/>
      <c r="AI259" s="49"/>
      <c r="AJ259" s="49"/>
      <c r="AK259" s="49"/>
      <c r="AL259" s="49"/>
      <c r="AM259" s="49"/>
      <c r="AN259" s="49"/>
      <c r="AO259" s="49"/>
    </row>
    <row r="260" spans="1:41" ht="14">
      <c r="A260" s="44">
        <f ca="1">IFERROR(__xludf.DUMMYFUNCTION("QUERY('Volunteer Survey'!A267)"),43690.2584378819)</f>
        <v>43690.258437881901</v>
      </c>
      <c r="B260" s="42" t="s">
        <v>108</v>
      </c>
      <c r="C260" s="73">
        <v>43819</v>
      </c>
      <c r="D260" s="49"/>
      <c r="E260" s="49"/>
      <c r="F260" s="42" t="s">
        <v>130</v>
      </c>
      <c r="G260" s="42" t="s">
        <v>251</v>
      </c>
      <c r="H260" s="47"/>
      <c r="I260" s="45" t="s">
        <v>139</v>
      </c>
      <c r="J260" s="49"/>
      <c r="K260" s="49"/>
      <c r="L260" s="49" t="str">
        <f ca="1">IFERROR(__xludf.DUMMYFUNCTION("QUERY('Volunteer Survey'!B267)"),"Pamela Ajuyah")</f>
        <v>Pamela Ajuyah</v>
      </c>
      <c r="M260" s="49" t="str">
        <f ca="1">IFERROR(__xludf.DUMMYFUNCTION("QUERY('Volunteer Survey'!E267)"),"pamela.a.ajuyah@gmail.com")</f>
        <v>pamela.a.ajuyah@gmail.com</v>
      </c>
      <c r="N260" s="49" t="str">
        <f ca="1">IFERROR(__xludf.DUMMYFUNCTION("QUERY('Volunteer Survey'!F267)"),"Variant Analyst/Scientist - Industry")</f>
        <v>Variant Analyst/Scientist - Industry</v>
      </c>
      <c r="O260" s="42" t="str">
        <f ca="1">IFERROR(__xludf.DUMMYFUNCTION("QUERY('Volunteer Survey'!H267)"),"Comprehensive")</f>
        <v>Comprehensive</v>
      </c>
      <c r="P260" s="49" t="str">
        <f ca="1">IFERROR(__xludf.DUMMYFUNCTION("QUERY('Volunteer Survey'!I267)"),"Variant Pathogenicity")</f>
        <v>Variant Pathogenicity</v>
      </c>
      <c r="Q260" s="54" t="str">
        <f ca="1">IFERROR(__xludf.DUMMYFUNCTION("QUERY('Volunteer Survey'!J267)"),"Gene-Disease Validity")</f>
        <v>Gene-Disease Validity</v>
      </c>
      <c r="R260" s="49" t="str">
        <f ca="1">IFERROR(__xludf.DUMMYFUNCTION("QUERY('Volunteer Survey'!K267)"),"Clinical Actionability")</f>
        <v>Clinical Actionability</v>
      </c>
      <c r="S260" s="49" t="str">
        <f ca="1">IFERROR(__xludf.DUMMYFUNCTION("QUERY('Volunteer Survey'!L267)"),"Somatic Cancer")</f>
        <v>Somatic Cancer</v>
      </c>
      <c r="T260" s="49" t="str">
        <f ca="1">IFERROR(__xludf.DUMMYFUNCTION("QUERY('Volunteer Survey'!M267)"),"Dosage Sensitivity")</f>
        <v>Dosage Sensitivity</v>
      </c>
      <c r="U260" s="58" t="str">
        <f ca="1">IFERROR(__xludf.DUMMYFUNCTION("QUERY('Volunteer Survey'!N267)"),"")</f>
        <v/>
      </c>
      <c r="V260" s="49" t="str">
        <f ca="1">IFERROR(__xludf.DUMMYFUNCTION("QUERY('Volunteer Survey'!O267)"),"No")</f>
        <v>No</v>
      </c>
      <c r="W260" s="60" t="str">
        <f ca="1">IFERROR(__xludf.DUMMYFUNCTION("QUERY('Volunteer Survey'!P267)"),"")</f>
        <v/>
      </c>
      <c r="X260" s="58" t="str">
        <f ca="1">IFERROR(__xludf.DUMMYFUNCTION("QUERY('Volunteer Survey'!R267)"),"Yes- I am willing to volunteer with any available ClinGen group")</f>
        <v>Yes- I am willing to volunteer with any available ClinGen group</v>
      </c>
      <c r="Y260" s="47"/>
      <c r="Z260" s="49"/>
      <c r="AA260" s="49"/>
      <c r="AB260" s="49"/>
      <c r="AC260" s="49"/>
      <c r="AD260" s="49"/>
      <c r="AE260" s="49"/>
      <c r="AF260" s="49"/>
      <c r="AG260" s="49"/>
      <c r="AH260" s="49"/>
      <c r="AI260" s="49"/>
      <c r="AJ260" s="49"/>
      <c r="AK260" s="49"/>
      <c r="AL260" s="49"/>
      <c r="AM260" s="49"/>
      <c r="AN260" s="49"/>
      <c r="AO260" s="49"/>
    </row>
    <row r="261" spans="1:41" ht="14">
      <c r="A261" s="44">
        <f ca="1">IFERROR(__xludf.DUMMYFUNCTION("QUERY('Volunteer Survey'!A268)"),43691.5920437384)</f>
        <v>43691.592043738397</v>
      </c>
      <c r="B261" s="42" t="s">
        <v>108</v>
      </c>
      <c r="C261" s="73">
        <v>43819</v>
      </c>
      <c r="D261" s="49"/>
      <c r="E261" s="49"/>
      <c r="F261" s="42" t="s">
        <v>130</v>
      </c>
      <c r="G261" s="42" t="s">
        <v>122</v>
      </c>
      <c r="H261" s="47"/>
      <c r="I261" s="47"/>
      <c r="J261" s="49"/>
      <c r="K261" s="49"/>
      <c r="L261" s="49" t="str">
        <f ca="1">IFERROR(__xludf.DUMMYFUNCTION("QUERY('Volunteer Survey'!B268)"),"Yasser Sullcahuaman Allende")</f>
        <v>Yasser Sullcahuaman Allende</v>
      </c>
      <c r="M261" s="49" t="str">
        <f ca="1">IFERROR(__xludf.DUMMYFUNCTION("QUERY('Volunteer Survey'!E268)"),"ysullcahuaman@hotmail.com")</f>
        <v>ysullcahuaman@hotmail.com</v>
      </c>
      <c r="N261" s="49" t="str">
        <f ca="1">IFERROR(__xludf.DUMMYFUNCTION("QUERY('Volunteer Survey'!F268)"),"Clinical Medical Geneticist")</f>
        <v>Clinical Medical Geneticist</v>
      </c>
      <c r="O261" s="42" t="str">
        <f ca="1">IFERROR(__xludf.DUMMYFUNCTION("QUERY('Volunteer Survey'!H268)"),"Comprehensive")</f>
        <v>Comprehensive</v>
      </c>
      <c r="P261" s="49" t="str">
        <f ca="1">IFERROR(__xludf.DUMMYFUNCTION("QUERY('Volunteer Survey'!I268)"),"Gene-Disease Validity")</f>
        <v>Gene-Disease Validity</v>
      </c>
      <c r="Q261" s="54" t="str">
        <f ca="1">IFERROR(__xludf.DUMMYFUNCTION("QUERY('Volunteer Survey'!J268)"),"Variant Pathogenicity")</f>
        <v>Variant Pathogenicity</v>
      </c>
      <c r="R261" s="49" t="str">
        <f ca="1">IFERROR(__xludf.DUMMYFUNCTION("QUERY('Volunteer Survey'!K268)"),"Clinical Actionability")</f>
        <v>Clinical Actionability</v>
      </c>
      <c r="S261" s="49" t="str">
        <f ca="1">IFERROR(__xludf.DUMMYFUNCTION("QUERY('Volunteer Survey'!L268)"),"Somatic Cancer")</f>
        <v>Somatic Cancer</v>
      </c>
      <c r="T261" s="49" t="str">
        <f ca="1">IFERROR(__xludf.DUMMYFUNCTION("QUERY('Volunteer Survey'!M268)"),"Dosage Sensitivity")</f>
        <v>Dosage Sensitivity</v>
      </c>
      <c r="U261" s="58" t="str">
        <f ca="1">IFERROR(__xludf.DUMMYFUNCTION("QUERY('Volunteer Survey'!N268)"),"Yasser")</f>
        <v>Yasser</v>
      </c>
      <c r="V261" s="49" t="str">
        <f ca="1">IFERROR(__xludf.DUMMYFUNCTION("QUERY('Volunteer Survey'!O268)"),"Yes")</f>
        <v>Yes</v>
      </c>
      <c r="W261" s="60" t="str">
        <f ca="1">IFERROR(__xludf.DUMMYFUNCTION("QUERY('Volunteer Survey'!P268)"),"Hereditary cancer")</f>
        <v>Hereditary cancer</v>
      </c>
      <c r="X261" s="58" t="str">
        <f ca="1">IFERROR(__xludf.DUMMYFUNCTION("QUERY('Volunteer Survey'!R268)"),"Yes- I am willing to volunteer with any available ClinGen group")</f>
        <v>Yes- I am willing to volunteer with any available ClinGen group</v>
      </c>
      <c r="Y261" s="47"/>
      <c r="Z261" s="49"/>
      <c r="AA261" s="49"/>
      <c r="AB261" s="49"/>
      <c r="AC261" s="49"/>
      <c r="AD261" s="49"/>
      <c r="AE261" s="49"/>
      <c r="AF261" s="49"/>
      <c r="AG261" s="49"/>
      <c r="AH261" s="49"/>
      <c r="AI261" s="49"/>
      <c r="AJ261" s="49"/>
      <c r="AK261" s="49"/>
      <c r="AL261" s="49"/>
      <c r="AM261" s="49"/>
      <c r="AN261" s="49"/>
      <c r="AO261" s="49"/>
    </row>
    <row r="262" spans="1:41" ht="14">
      <c r="A262" s="44">
        <f ca="1">IFERROR(__xludf.DUMMYFUNCTION("QUERY('Volunteer Survey'!A269)"),43691.6995434143)</f>
        <v>43691.699543414303</v>
      </c>
      <c r="B262" s="42" t="s">
        <v>125</v>
      </c>
      <c r="C262" s="73">
        <v>43717</v>
      </c>
      <c r="D262" s="49"/>
      <c r="E262" s="49"/>
      <c r="F262" s="42" t="s">
        <v>130</v>
      </c>
      <c r="G262" s="42" t="s">
        <v>19</v>
      </c>
      <c r="H262" s="47"/>
      <c r="I262" s="45" t="s">
        <v>139</v>
      </c>
      <c r="J262" s="49"/>
      <c r="K262" s="49"/>
      <c r="L262" s="49" t="str">
        <f ca="1">IFERROR(__xludf.DUMMYFUNCTION("QUERY('Volunteer Survey'!B269)"),"Ellie Jhun")</f>
        <v>Ellie Jhun</v>
      </c>
      <c r="M262" s="49" t="str">
        <f ca="1">IFERROR(__xludf.DUMMYFUNCTION("QUERY('Volunteer Survey'!E269)"),"ejhun@base10genetics.com")</f>
        <v>ejhun@base10genetics.com</v>
      </c>
      <c r="N262" s="49" t="str">
        <f ca="1">IFERROR(__xludf.DUMMYFUNCTION("QUERY('Volunteer Survey'!F269)"),"Variant Analyst/Scientist - Industry")</f>
        <v>Variant Analyst/Scientist - Industry</v>
      </c>
      <c r="O262" s="42" t="str">
        <f ca="1">IFERROR(__xludf.DUMMYFUNCTION("QUERY('Volunteer Survey'!H269)"),"Comprehensive")</f>
        <v>Comprehensive</v>
      </c>
      <c r="P262" s="49" t="str">
        <f ca="1">IFERROR(__xludf.DUMMYFUNCTION("QUERY('Volunteer Survey'!I269)"),"Clinical Actionability")</f>
        <v>Clinical Actionability</v>
      </c>
      <c r="Q262" s="54" t="str">
        <f ca="1">IFERROR(__xludf.DUMMYFUNCTION("QUERY('Volunteer Survey'!J269)"),"")</f>
        <v/>
      </c>
      <c r="R262" s="49" t="str">
        <f ca="1">IFERROR(__xludf.DUMMYFUNCTION("QUERY('Volunteer Survey'!K269)"),"")</f>
        <v/>
      </c>
      <c r="S262" s="49" t="str">
        <f ca="1">IFERROR(__xludf.DUMMYFUNCTION("QUERY('Volunteer Survey'!L269)"),"")</f>
        <v/>
      </c>
      <c r="T262" s="49" t="str">
        <f ca="1">IFERROR(__xludf.DUMMYFUNCTION("QUERY('Volunteer Survey'!M269)"),"")</f>
        <v/>
      </c>
      <c r="U262" s="58" t="str">
        <f ca="1">IFERROR(__xludf.DUMMYFUNCTION("QUERY('Volunteer Survey'!N269)"),"Pharmacogenomics fellowship program at the University of Chicago")</f>
        <v>Pharmacogenomics fellowship program at the University of Chicago</v>
      </c>
      <c r="V262" s="49" t="str">
        <f ca="1">IFERROR(__xludf.DUMMYFUNCTION("QUERY('Volunteer Survey'!O269)"),"No")</f>
        <v>No</v>
      </c>
      <c r="W262" s="60" t="str">
        <f ca="1">IFERROR(__xludf.DUMMYFUNCTION("QUERY('Volunteer Survey'!P269)"),"")</f>
        <v/>
      </c>
      <c r="X262" s="58" t="str">
        <f ca="1">IFERROR(__xludf.DUMMYFUNCTION("QUERY('Volunteer Survey'!R269)"),"No - I am only interested in the group(s) I previously indicated")</f>
        <v>No - I am only interested in the group(s) I previously indicated</v>
      </c>
      <c r="Y262" s="47"/>
      <c r="Z262" s="49"/>
      <c r="AA262" s="49"/>
      <c r="AB262" s="49"/>
      <c r="AC262" s="49"/>
      <c r="AD262" s="49"/>
      <c r="AE262" s="49"/>
      <c r="AF262" s="49"/>
      <c r="AG262" s="49"/>
      <c r="AH262" s="49"/>
      <c r="AI262" s="49"/>
      <c r="AJ262" s="49"/>
      <c r="AK262" s="49"/>
      <c r="AL262" s="49"/>
      <c r="AM262" s="49"/>
      <c r="AN262" s="49"/>
      <c r="AO262" s="49"/>
    </row>
    <row r="263" spans="1:41" ht="14">
      <c r="A263" s="44">
        <f ca="1">IFERROR(__xludf.DUMMYFUNCTION("QUERY('Volunteer Survey'!A270)"),43691.8558167476)</f>
        <v>43691.8558167476</v>
      </c>
      <c r="B263" s="42" t="s">
        <v>108</v>
      </c>
      <c r="C263" s="73">
        <v>43819</v>
      </c>
      <c r="D263" s="49"/>
      <c r="E263" s="49"/>
      <c r="F263" s="42" t="s">
        <v>130</v>
      </c>
      <c r="G263" s="42" t="s">
        <v>251</v>
      </c>
      <c r="H263" s="47"/>
      <c r="I263" s="45" t="s">
        <v>139</v>
      </c>
      <c r="J263" s="49"/>
      <c r="K263" s="49"/>
      <c r="L263" s="49" t="str">
        <f ca="1">IFERROR(__xludf.DUMMYFUNCTION("QUERY('Volunteer Survey'!B270)"),"Venkatesan Sengoda Gounder")</f>
        <v>Venkatesan Sengoda Gounder</v>
      </c>
      <c r="M263" s="49" t="str">
        <f ca="1">IFERROR(__xludf.DUMMYFUNCTION("QUERY('Volunteer Survey'!E270)"),"agrivenkat@gmail.com")</f>
        <v>agrivenkat@gmail.com</v>
      </c>
      <c r="N263" s="49" t="str">
        <f ca="1">IFERROR(__xludf.DUMMYFUNCTION("QUERY('Volunteer Survey'!F270)"),"Scientific Researcher")</f>
        <v>Scientific Researcher</v>
      </c>
      <c r="O263" s="42" t="str">
        <f ca="1">IFERROR(__xludf.DUMMYFUNCTION("QUERY('Volunteer Survey'!H270)"),"Comprehensive")</f>
        <v>Comprehensive</v>
      </c>
      <c r="P263" s="49" t="str">
        <f ca="1">IFERROR(__xludf.DUMMYFUNCTION("QUERY('Volunteer Survey'!I270)"),"Variant Pathogenicity")</f>
        <v>Variant Pathogenicity</v>
      </c>
      <c r="Q263" s="54" t="str">
        <f ca="1">IFERROR(__xludf.DUMMYFUNCTION("QUERY('Volunteer Survey'!J270)"),"Dosage Sensitivity")</f>
        <v>Dosage Sensitivity</v>
      </c>
      <c r="R263" s="49" t="str">
        <f ca="1">IFERROR(__xludf.DUMMYFUNCTION("QUERY('Volunteer Survey'!K270)"),"Gene-Disease Validity")</f>
        <v>Gene-Disease Validity</v>
      </c>
      <c r="S263" s="49" t="str">
        <f ca="1">IFERROR(__xludf.DUMMYFUNCTION("QUERY('Volunteer Survey'!L270)"),"Clinical Actionability")</f>
        <v>Clinical Actionability</v>
      </c>
      <c r="T263" s="49" t="str">
        <f ca="1">IFERROR(__xludf.DUMMYFUNCTION("QUERY('Volunteer Survey'!M270)"),"Somatic Cancer")</f>
        <v>Somatic Cancer</v>
      </c>
      <c r="U263" s="58" t="str">
        <f ca="1">IFERROR(__xludf.DUMMYFUNCTION("QUERY('Volunteer Survey'!N270)"),"No")</f>
        <v>No</v>
      </c>
      <c r="V263" s="49" t="str">
        <f ca="1">IFERROR(__xludf.DUMMYFUNCTION("QUERY('Volunteer Survey'!O270)"),"Yes")</f>
        <v>Yes</v>
      </c>
      <c r="W263" s="60" t="str">
        <f ca="1">IFERROR(__xludf.DUMMYFUNCTION("QUERY('Volunteer Survey'!P270)"),"Yes")</f>
        <v>Yes</v>
      </c>
      <c r="X263" s="58" t="str">
        <f ca="1">IFERROR(__xludf.DUMMYFUNCTION("QUERY('Volunteer Survey'!R270)"),"Yes- I am willing to volunteer with any available ClinGen group")</f>
        <v>Yes- I am willing to volunteer with any available ClinGen group</v>
      </c>
      <c r="Y263" s="47"/>
      <c r="Z263" s="49"/>
      <c r="AA263" s="49"/>
      <c r="AB263" s="49"/>
      <c r="AC263" s="49"/>
      <c r="AD263" s="49"/>
      <c r="AE263" s="49"/>
      <c r="AF263" s="49"/>
      <c r="AG263" s="49"/>
      <c r="AH263" s="49"/>
      <c r="AI263" s="49"/>
      <c r="AJ263" s="49"/>
      <c r="AK263" s="49"/>
      <c r="AL263" s="49"/>
      <c r="AM263" s="49"/>
      <c r="AN263" s="49"/>
      <c r="AO263" s="49"/>
    </row>
    <row r="264" spans="1:41" ht="14">
      <c r="A264" s="44">
        <f ca="1">IFERROR(__xludf.DUMMYFUNCTION("QUERY('Volunteer Survey'!A271)"),43692.4398326041)</f>
        <v>43692.439832604097</v>
      </c>
      <c r="B264" s="42" t="s">
        <v>108</v>
      </c>
      <c r="C264" s="73">
        <v>43819</v>
      </c>
      <c r="D264" s="49"/>
      <c r="E264" s="49"/>
      <c r="F264" s="42" t="s">
        <v>130</v>
      </c>
      <c r="G264" s="42" t="s">
        <v>251</v>
      </c>
      <c r="H264" s="47"/>
      <c r="I264" s="45" t="s">
        <v>139</v>
      </c>
      <c r="J264" s="49"/>
      <c r="K264" s="49"/>
      <c r="L264" s="49" t="str">
        <f ca="1">IFERROR(__xludf.DUMMYFUNCTION("QUERY('Volunteer Survey'!B271)"),"Ronaldo da Silva Francisco Junior")</f>
        <v>Ronaldo da Silva Francisco Junior</v>
      </c>
      <c r="M264" s="49" t="str">
        <f ca="1">IFERROR(__xludf.DUMMYFUNCTION("QUERY('Volunteer Survey'!E271)"),"ronaldoj@lncc.br")</f>
        <v>ronaldoj@lncc.br</v>
      </c>
      <c r="N264" s="49" t="str">
        <f ca="1">IFERROR(__xludf.DUMMYFUNCTION("QUERY('Volunteer Survey'!F271)"),"Variant Analyst/Scientist - Academic")</f>
        <v>Variant Analyst/Scientist - Academic</v>
      </c>
      <c r="O264" s="42" t="str">
        <f ca="1">IFERROR(__xludf.DUMMYFUNCTION("QUERY('Volunteer Survey'!H271)"),"Comprehensive")</f>
        <v>Comprehensive</v>
      </c>
      <c r="P264" s="49" t="str">
        <f ca="1">IFERROR(__xludf.DUMMYFUNCTION("QUERY('Volunteer Survey'!I271)"),"Variant Pathogenicity")</f>
        <v>Variant Pathogenicity</v>
      </c>
      <c r="Q264" s="54" t="str">
        <f ca="1">IFERROR(__xludf.DUMMYFUNCTION("QUERY('Volunteer Survey'!J271)"),"Dosage Sensitivity")</f>
        <v>Dosage Sensitivity</v>
      </c>
      <c r="R264" s="49" t="str">
        <f ca="1">IFERROR(__xludf.DUMMYFUNCTION("QUERY('Volunteer Survey'!K271)"),"Clinical Actionability")</f>
        <v>Clinical Actionability</v>
      </c>
      <c r="S264" s="49" t="str">
        <f ca="1">IFERROR(__xludf.DUMMYFUNCTION("QUERY('Volunteer Survey'!L271)"),"Gene-Disease Validity")</f>
        <v>Gene-Disease Validity</v>
      </c>
      <c r="T264" s="49" t="str">
        <f ca="1">IFERROR(__xludf.DUMMYFUNCTION("QUERY('Volunteer Survey'!M271)"),"Somatic Cancer")</f>
        <v>Somatic Cancer</v>
      </c>
      <c r="U264" s="58" t="str">
        <f ca="1">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49" t="str">
        <f ca="1">IFERROR(__xludf.DUMMYFUNCTION("QUERY('Volunteer Survey'!O271)"),"Yes")</f>
        <v>Yes</v>
      </c>
      <c r="W264" s="60" t="str">
        <f ca="1">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58" t="str">
        <f ca="1">IFERROR(__xludf.DUMMYFUNCTION("QUERY('Volunteer Survey'!R271)"),"Yes- I am willing to volunteer with any available ClinGen group")</f>
        <v>Yes- I am willing to volunteer with any available ClinGen group</v>
      </c>
      <c r="Y264" s="47"/>
      <c r="Z264" s="49"/>
      <c r="AA264" s="49"/>
      <c r="AB264" s="49"/>
      <c r="AC264" s="49"/>
      <c r="AD264" s="49"/>
      <c r="AE264" s="49"/>
      <c r="AF264" s="49"/>
      <c r="AG264" s="49"/>
      <c r="AH264" s="49"/>
      <c r="AI264" s="49"/>
      <c r="AJ264" s="49"/>
      <c r="AK264" s="49"/>
      <c r="AL264" s="49"/>
      <c r="AM264" s="49"/>
      <c r="AN264" s="49"/>
      <c r="AO264" s="49"/>
    </row>
    <row r="265" spans="1:41" ht="14">
      <c r="A265" s="44">
        <f ca="1">IFERROR(__xludf.DUMMYFUNCTION("QUERY('Volunteer Survey'!A272)"),43692.75764353)</f>
        <v>43692.75764353</v>
      </c>
      <c r="B265" s="42" t="s">
        <v>108</v>
      </c>
      <c r="C265" s="73">
        <v>43819</v>
      </c>
      <c r="D265" s="49"/>
      <c r="E265" s="49"/>
      <c r="F265" s="42" t="s">
        <v>130</v>
      </c>
      <c r="G265" s="42" t="s">
        <v>122</v>
      </c>
      <c r="H265" s="47"/>
      <c r="I265" s="45" t="s">
        <v>139</v>
      </c>
      <c r="J265" s="49"/>
      <c r="K265" s="49"/>
      <c r="L265" s="49" t="str">
        <f ca="1">IFERROR(__xludf.DUMMYFUNCTION("QUERY('Volunteer Survey'!B272)"),"Krista Bluske")</f>
        <v>Krista Bluske</v>
      </c>
      <c r="M265" s="49" t="str">
        <f ca="1">IFERROR(__xludf.DUMMYFUNCTION("QUERY('Volunteer Survey'!E272)"),"kbluske@illumina.com")</f>
        <v>kbluske@illumina.com</v>
      </c>
      <c r="N265" s="49" t="str">
        <f ca="1">IFERROR(__xludf.DUMMYFUNCTION("QUERY('Volunteer Survey'!F272)"),"Variant Analyst/Scientist - Industry")</f>
        <v>Variant Analyst/Scientist - Industry</v>
      </c>
      <c r="O265" s="42" t="str">
        <f ca="1">IFERROR(__xludf.DUMMYFUNCTION("QUERY('Volunteer Survey'!H272)"),"Comprehensive")</f>
        <v>Comprehensive</v>
      </c>
      <c r="P265" s="49" t="str">
        <f ca="1">IFERROR(__xludf.DUMMYFUNCTION("QUERY('Volunteer Survey'!I272)"),"Gene-Disease Validity")</f>
        <v>Gene-Disease Validity</v>
      </c>
      <c r="Q265" s="54" t="str">
        <f ca="1">IFERROR(__xludf.DUMMYFUNCTION("QUERY('Volunteer Survey'!J272)"),"")</f>
        <v/>
      </c>
      <c r="R265" s="49" t="str">
        <f ca="1">IFERROR(__xludf.DUMMYFUNCTION("QUERY('Volunteer Survey'!K272)"),"")</f>
        <v/>
      </c>
      <c r="S265" s="49" t="str">
        <f ca="1">IFERROR(__xludf.DUMMYFUNCTION("QUERY('Volunteer Survey'!L272)"),"")</f>
        <v/>
      </c>
      <c r="T265" s="49" t="str">
        <f ca="1">IFERROR(__xludf.DUMMYFUNCTION("QUERY('Volunteer Survey'!M272)"),"")</f>
        <v/>
      </c>
      <c r="U265" s="58" t="str">
        <f ca="1">IFERROR(__xludf.DUMMYFUNCTION("QUERY('Volunteer Survey'!N272)"),"Yes, our group at Illumina is already contributing RUGD gene curations to ClinGen and we are active collaborators. I am trained in the ClinGen gene curation protocol. ")</f>
        <v xml:space="preserve">Yes, our group at Illumina is already contributing RUGD gene curations to ClinGen and we are active collaborators. I am trained in the ClinGen gene curation protocol. </v>
      </c>
      <c r="V265" s="49" t="str">
        <f ca="1">IFERROR(__xludf.DUMMYFUNCTION("QUERY('Volunteer Survey'!O272)"),"Possibly")</f>
        <v>Possibly</v>
      </c>
      <c r="W265" s="60" t="str">
        <f ca="1">IFERROR(__xludf.DUMMYFUNCTION("QUERY('Volunteer Survey'!P272)"),"Mitochondrial Diseases expert panel (already participating), the soon-to-be-formed RUGD expert panel")</f>
        <v>Mitochondrial Diseases expert panel (already participating), the soon-to-be-formed RUGD expert panel</v>
      </c>
      <c r="X265" s="58" t="str">
        <f ca="1">IFERROR(__xludf.DUMMYFUNCTION("QUERY('Volunteer Survey'!R272)"),"No - I am only interested in the group(s) I previously indicated")</f>
        <v>No - I am only interested in the group(s) I previously indicated</v>
      </c>
      <c r="Y265" s="47"/>
      <c r="Z265" s="49"/>
      <c r="AA265" s="49"/>
      <c r="AB265" s="49"/>
      <c r="AC265" s="49"/>
      <c r="AD265" s="49"/>
      <c r="AE265" s="49"/>
      <c r="AF265" s="49"/>
      <c r="AG265" s="49"/>
      <c r="AH265" s="49"/>
      <c r="AI265" s="49"/>
      <c r="AJ265" s="49"/>
      <c r="AK265" s="49"/>
      <c r="AL265" s="49"/>
      <c r="AM265" s="49"/>
      <c r="AN265" s="49"/>
      <c r="AO265" s="49"/>
    </row>
    <row r="266" spans="1:41" ht="14">
      <c r="A266" s="44">
        <f ca="1">IFERROR(__xludf.DUMMYFUNCTION("QUERY('Volunteer Survey'!A273)"),43692.8081399189)</f>
        <v>43692.808139918903</v>
      </c>
      <c r="B266" s="42" t="s">
        <v>108</v>
      </c>
      <c r="C266" s="73">
        <v>43819</v>
      </c>
      <c r="D266" s="49"/>
      <c r="E266" s="49"/>
      <c r="F266" s="42" t="s">
        <v>130</v>
      </c>
      <c r="G266" s="42" t="s">
        <v>251</v>
      </c>
      <c r="H266" s="47"/>
      <c r="I266" s="45" t="s">
        <v>139</v>
      </c>
      <c r="J266" s="49"/>
      <c r="K266" s="49"/>
      <c r="L266" s="49" t="str">
        <f ca="1">IFERROR(__xludf.DUMMYFUNCTION("QUERY('Volunteer Survey'!B273)"),"Raman Bansal")</f>
        <v>Raman Bansal</v>
      </c>
      <c r="M266" s="49" t="str">
        <f ca="1">IFERROR(__xludf.DUMMYFUNCTION("QUERY('Volunteer Survey'!E273)"),"rbansal.osu@gmail.com")</f>
        <v>rbansal.osu@gmail.com</v>
      </c>
      <c r="N266" s="49" t="str">
        <f ca="1">IFERROR(__xludf.DUMMYFUNCTION("QUERY('Volunteer Survey'!F273)"),"Scientific Researcher")</f>
        <v>Scientific Researcher</v>
      </c>
      <c r="O266" s="42" t="str">
        <f ca="1">IFERROR(__xludf.DUMMYFUNCTION("QUERY('Volunteer Survey'!H273)"),"Comprehensive")</f>
        <v>Comprehensive</v>
      </c>
      <c r="P266" s="49" t="str">
        <f ca="1">IFERROR(__xludf.DUMMYFUNCTION("QUERY('Volunteer Survey'!I273)"),"Variant Pathogenicity")</f>
        <v>Variant Pathogenicity</v>
      </c>
      <c r="Q266" s="54" t="str">
        <f ca="1">IFERROR(__xludf.DUMMYFUNCTION("QUERY('Volunteer Survey'!J273)"),"Dosage Sensitivity")</f>
        <v>Dosage Sensitivity</v>
      </c>
      <c r="R266" s="49" t="str">
        <f ca="1">IFERROR(__xludf.DUMMYFUNCTION("QUERY('Volunteer Survey'!K273)"),"Gene-Disease Validity")</f>
        <v>Gene-Disease Validity</v>
      </c>
      <c r="S266" s="49" t="str">
        <f ca="1">IFERROR(__xludf.DUMMYFUNCTION("QUERY('Volunteer Survey'!L273)"),"Clinical Actionability")</f>
        <v>Clinical Actionability</v>
      </c>
      <c r="T266" s="49" t="str">
        <f ca="1">IFERROR(__xludf.DUMMYFUNCTION("QUERY('Volunteer Survey'!M273)"),"Somatic Cancer")</f>
        <v>Somatic Cancer</v>
      </c>
      <c r="U266" s="58" t="str">
        <f ca="1">IFERROR(__xludf.DUMMYFUNCTION("QUERY('Volunteer Survey'!N273)"),"")</f>
        <v/>
      </c>
      <c r="V266" s="49" t="str">
        <f ca="1">IFERROR(__xludf.DUMMYFUNCTION("QUERY('Volunteer Survey'!O273)"),"Yes")</f>
        <v>Yes</v>
      </c>
      <c r="W266" s="60" t="str">
        <f ca="1">IFERROR(__xludf.DUMMYFUNCTION("QUERY('Volunteer Survey'!P273)"),"")</f>
        <v/>
      </c>
      <c r="X266" s="58" t="str">
        <f ca="1">IFERROR(__xludf.DUMMYFUNCTION("QUERY('Volunteer Survey'!R273)"),"Yes- I am willing to volunteer with any available ClinGen group")</f>
        <v>Yes- I am willing to volunteer with any available ClinGen group</v>
      </c>
      <c r="Y266" s="47"/>
      <c r="Z266" s="49"/>
      <c r="AA266" s="49"/>
      <c r="AB266" s="49"/>
      <c r="AC266" s="49"/>
      <c r="AD266" s="49"/>
      <c r="AE266" s="49"/>
      <c r="AF266" s="49"/>
      <c r="AG266" s="49"/>
      <c r="AH266" s="49"/>
      <c r="AI266" s="49"/>
      <c r="AJ266" s="49"/>
      <c r="AK266" s="49"/>
      <c r="AL266" s="49"/>
      <c r="AM266" s="49"/>
      <c r="AN266" s="49"/>
      <c r="AO266" s="49"/>
    </row>
    <row r="267" spans="1:41" ht="28">
      <c r="A267" s="44">
        <f ca="1">IFERROR(__xludf.DUMMYFUNCTION("QUERY('Volunteer Survey'!A275)"),43693.3430147685)</f>
        <v>43693.343014768499</v>
      </c>
      <c r="B267" s="42" t="s">
        <v>160</v>
      </c>
      <c r="C267" s="73">
        <v>43705</v>
      </c>
      <c r="D267" s="50">
        <v>43719</v>
      </c>
      <c r="E267" s="42" t="s">
        <v>117</v>
      </c>
      <c r="F267" s="42" t="s">
        <v>130</v>
      </c>
      <c r="G267" s="42" t="s">
        <v>136</v>
      </c>
      <c r="H267" s="45" t="s">
        <v>321</v>
      </c>
      <c r="I267" s="45" t="s">
        <v>139</v>
      </c>
      <c r="J267" s="49"/>
      <c r="K267" s="49"/>
      <c r="L267" s="49" t="str">
        <f ca="1">IFERROR(__xludf.DUMMYFUNCTION("QUERY('Volunteer Survey'!B275)"),"FENGLI ZHANG")</f>
        <v>FENGLI ZHANG</v>
      </c>
      <c r="M267" s="49" t="str">
        <f ca="1">IFERROR(__xludf.DUMMYFUNCTION("QUERY('Volunteer Survey'!E275)"),"fengli.zhang@slh.wisc.edu")</f>
        <v>fengli.zhang@slh.wisc.edu</v>
      </c>
      <c r="N267" s="49" t="str">
        <f ca="1">IFERROR(__xludf.DUMMYFUNCTION("QUERY('Volunteer Survey'!F275)"),"Clinical laboratory geneticist")</f>
        <v>Clinical laboratory geneticist</v>
      </c>
      <c r="O267" s="42" t="str">
        <f ca="1">IFERROR(__xludf.DUMMYFUNCTION("QUERY('Volunteer Survey'!H275)"),"Comprehensive")</f>
        <v>Comprehensive</v>
      </c>
      <c r="P267" s="49" t="str">
        <f ca="1">IFERROR(__xludf.DUMMYFUNCTION("QUERY('Volunteer Survey'!I275)"),"Somatic Cancer")</f>
        <v>Somatic Cancer</v>
      </c>
      <c r="Q267" s="54" t="str">
        <f ca="1">IFERROR(__xludf.DUMMYFUNCTION("QUERY('Volunteer Survey'!J275)"),"Variant Pathogenicity")</f>
        <v>Variant Pathogenicity</v>
      </c>
      <c r="R267" s="49" t="str">
        <f ca="1">IFERROR(__xludf.DUMMYFUNCTION("QUERY('Volunteer Survey'!K275)"),"Gene-Disease Validity")</f>
        <v>Gene-Disease Validity</v>
      </c>
      <c r="S267" s="49" t="str">
        <f ca="1">IFERROR(__xludf.DUMMYFUNCTION("QUERY('Volunteer Survey'!L275)"),"Dosage Sensitivity")</f>
        <v>Dosage Sensitivity</v>
      </c>
      <c r="T267" s="49" t="str">
        <f ca="1">IFERROR(__xludf.DUMMYFUNCTION("QUERY('Volunteer Survey'!M275)"),"Clinical Actionability")</f>
        <v>Clinical Actionability</v>
      </c>
      <c r="U267" s="58" t="str">
        <f ca="1">IFERROR(__xludf.DUMMYFUNCTION("QUERY('Volunteer Survey'!N275)"),"No")</f>
        <v>No</v>
      </c>
      <c r="V267" s="49" t="str">
        <f ca="1">IFERROR(__xludf.DUMMYFUNCTION("QUERY('Volunteer Survey'!O275)"),"Possibly")</f>
        <v>Possibly</v>
      </c>
      <c r="W267" s="60" t="str">
        <f ca="1">IFERROR(__xludf.DUMMYFUNCTION("QUERY('Volunteer Survey'!P275)"),"Cancer")</f>
        <v>Cancer</v>
      </c>
      <c r="X267" s="58" t="str">
        <f ca="1">IFERROR(__xludf.DUMMYFUNCTION("QUERY('Volunteer Survey'!R275)"),"Yes- I am willing to volunteer with any available ClinGen group")</f>
        <v>Yes- I am willing to volunteer with any available ClinGen group</v>
      </c>
      <c r="Y267" s="47"/>
      <c r="Z267" s="49"/>
      <c r="AA267" s="49"/>
      <c r="AB267" s="49"/>
      <c r="AC267" s="49"/>
      <c r="AD267" s="49"/>
      <c r="AE267" s="49"/>
      <c r="AF267" s="49"/>
      <c r="AG267" s="49"/>
      <c r="AH267" s="49"/>
      <c r="AI267" s="49"/>
      <c r="AJ267" s="49"/>
      <c r="AK267" s="49"/>
      <c r="AL267" s="49"/>
      <c r="AM267" s="49"/>
      <c r="AN267" s="49"/>
      <c r="AO267" s="49"/>
    </row>
    <row r="268" spans="1:41" ht="14">
      <c r="A268" s="44">
        <f ca="1">IFERROR(__xludf.DUMMYFUNCTION("QUERY('Volunteer Survey'!A276)"),43693.3910887384)</f>
        <v>43693.391088738397</v>
      </c>
      <c r="B268" s="42" t="s">
        <v>108</v>
      </c>
      <c r="C268" s="73">
        <v>43819</v>
      </c>
      <c r="D268" s="49"/>
      <c r="E268" s="49"/>
      <c r="F268" s="42" t="s">
        <v>130</v>
      </c>
      <c r="G268" s="42" t="s">
        <v>122</v>
      </c>
      <c r="H268" s="47"/>
      <c r="I268" s="45" t="s">
        <v>139</v>
      </c>
      <c r="J268" s="49"/>
      <c r="K268" s="49"/>
      <c r="L268" s="49" t="str">
        <f ca="1">IFERROR(__xludf.DUMMYFUNCTION("QUERY('Volunteer Survey'!B276)"),"Amanda Clause")</f>
        <v>Amanda Clause</v>
      </c>
      <c r="M268" s="49" t="str">
        <f ca="1">IFERROR(__xludf.DUMMYFUNCTION("QUERY('Volunteer Survey'!E276)"),"aclause@illumina.com")</f>
        <v>aclause@illumina.com</v>
      </c>
      <c r="N268" s="49" t="str">
        <f ca="1">IFERROR(__xludf.DUMMYFUNCTION("QUERY('Volunteer Survey'!F276)"),"Variant Analyst/Scientist - Industry")</f>
        <v>Variant Analyst/Scientist - Industry</v>
      </c>
      <c r="O268" s="42" t="str">
        <f ca="1">IFERROR(__xludf.DUMMYFUNCTION("QUERY('Volunteer Survey'!H276)"),"Comprehensive")</f>
        <v>Comprehensive</v>
      </c>
      <c r="P268" s="49" t="str">
        <f ca="1">IFERROR(__xludf.DUMMYFUNCTION("QUERY('Volunteer Survey'!I276)"),"Gene-Disease Validity")</f>
        <v>Gene-Disease Validity</v>
      </c>
      <c r="Q268" s="54" t="str">
        <f ca="1">IFERROR(__xludf.DUMMYFUNCTION("QUERY('Volunteer Survey'!J276)"),"")</f>
        <v/>
      </c>
      <c r="R268" s="49" t="str">
        <f ca="1">IFERROR(__xludf.DUMMYFUNCTION("QUERY('Volunteer Survey'!K276)"),"")</f>
        <v/>
      </c>
      <c r="S268" s="49" t="str">
        <f ca="1">IFERROR(__xludf.DUMMYFUNCTION("QUERY('Volunteer Survey'!L276)"),"")</f>
        <v/>
      </c>
      <c r="T268" s="49" t="str">
        <f ca="1">IFERROR(__xludf.DUMMYFUNCTION("QUERY('Volunteer Survey'!M276)"),"")</f>
        <v/>
      </c>
      <c r="U268" s="58" t="str">
        <f ca="1">IFERROR(__xludf.DUMMYFUNCTION("QUERY('Volunteer Survey'!N276)"),"Yes; currently curate variants and GDAs for a clinical whole genome sequencing test")</f>
        <v>Yes; currently curate variants and GDAs for a clinical whole genome sequencing test</v>
      </c>
      <c r="V268" s="49" t="str">
        <f ca="1">IFERROR(__xludf.DUMMYFUNCTION("QUERY('Volunteer Survey'!O276)"),"No")</f>
        <v>No</v>
      </c>
      <c r="W268" s="60" t="str">
        <f ca="1">IFERROR(__xludf.DUMMYFUNCTION("QUERY('Volunteer Survey'!P276)"),"mitochondrial diseases, rare disease")</f>
        <v>mitochondrial diseases, rare disease</v>
      </c>
      <c r="X268" s="58" t="str">
        <f ca="1">IFERROR(__xludf.DUMMYFUNCTION("QUERY('Volunteer Survey'!R276)"),"Maybe -- please contact me with other options, and I will decide based on what is available")</f>
        <v>Maybe -- please contact me with other options, and I will decide based on what is available</v>
      </c>
      <c r="Y268" s="47"/>
      <c r="Z268" s="49"/>
      <c r="AA268" s="49"/>
      <c r="AB268" s="49"/>
      <c r="AC268" s="49"/>
      <c r="AD268" s="49"/>
      <c r="AE268" s="49"/>
      <c r="AF268" s="49"/>
      <c r="AG268" s="49"/>
      <c r="AH268" s="49"/>
      <c r="AI268" s="49"/>
      <c r="AJ268" s="49"/>
      <c r="AK268" s="49"/>
      <c r="AL268" s="49"/>
      <c r="AM268" s="49"/>
      <c r="AN268" s="49"/>
      <c r="AO268" s="49"/>
    </row>
    <row r="269" spans="1:41" ht="18" customHeight="1">
      <c r="A269" s="44">
        <f ca="1">IFERROR(__xludf.DUMMYFUNCTION("QUERY('Volunteer Survey'!A277)"),43693.4577109722)</f>
        <v>43693.457710972201</v>
      </c>
      <c r="B269" s="42" t="s">
        <v>108</v>
      </c>
      <c r="C269" s="73">
        <v>43819</v>
      </c>
      <c r="D269" s="49"/>
      <c r="E269" s="49"/>
      <c r="F269" s="42" t="s">
        <v>130</v>
      </c>
      <c r="G269" s="42" t="s">
        <v>251</v>
      </c>
      <c r="H269" s="47"/>
      <c r="I269" s="45" t="s">
        <v>139</v>
      </c>
      <c r="J269" s="49"/>
      <c r="K269" s="49"/>
      <c r="L269" s="49" t="str">
        <f ca="1">IFERROR(__xludf.DUMMYFUNCTION("QUERY('Volunteer Survey'!B277)"),"Sara Spencer")</f>
        <v>Sara Spencer</v>
      </c>
      <c r="M269" s="49" t="str">
        <f ca="1">IFERROR(__xludf.DUMMYFUNCTION("QUERY('Volunteer Survey'!E277)"),"saspence@nm.org")</f>
        <v>saspence@nm.org</v>
      </c>
      <c r="N269" s="49" t="str">
        <f ca="1">IFERROR(__xludf.DUMMYFUNCTION("QUERY('Volunteer Survey'!F277)"),"Genetic counselor")</f>
        <v>Genetic counselor</v>
      </c>
      <c r="O269" s="42" t="str">
        <f ca="1">IFERROR(__xludf.DUMMYFUNCTION("QUERY('Volunteer Survey'!H277)"),"Comprehensive")</f>
        <v>Comprehensive</v>
      </c>
      <c r="P269" s="49" t="str">
        <f ca="1">IFERROR(__xludf.DUMMYFUNCTION("QUERY('Volunteer Survey'!I277)"),"Variant Pathogenicity")</f>
        <v>Variant Pathogenicity</v>
      </c>
      <c r="Q269" s="54" t="str">
        <f ca="1">IFERROR(__xludf.DUMMYFUNCTION("QUERY('Volunteer Survey'!J277)"),"Gene-Disease Validity")</f>
        <v>Gene-Disease Validity</v>
      </c>
      <c r="R269" s="49" t="str">
        <f ca="1">IFERROR(__xludf.DUMMYFUNCTION("QUERY('Volunteer Survey'!K277)"),"Dosage Sensitivity")</f>
        <v>Dosage Sensitivity</v>
      </c>
      <c r="S269" s="49" t="str">
        <f ca="1">IFERROR(__xludf.DUMMYFUNCTION("QUERY('Volunteer Survey'!L277)"),"")</f>
        <v/>
      </c>
      <c r="T269" s="49" t="str">
        <f ca="1">IFERROR(__xludf.DUMMYFUNCTION("QUERY('Volunteer Survey'!M277)"),"")</f>
        <v/>
      </c>
      <c r="U269" s="156" t="str">
        <f ca="1">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49" t="str">
        <f ca="1">IFERROR(__xludf.DUMMYFUNCTION("QUERY('Volunteer Survey'!O277)"),"Possibly")</f>
        <v>Possibly</v>
      </c>
      <c r="W269" s="60" t="str">
        <f ca="1">IFERROR(__xludf.DUMMYFUNCTION("QUERY('Volunteer Survey'!P277)"),"Gene Curation Expert Panels - Epilepsy 
Variant Curation Expert Panels - Brain Malformations")</f>
        <v>Gene Curation Expert Panels - Epilepsy 
Variant Curation Expert Panels - Brain Malformations</v>
      </c>
      <c r="X269" s="58" t="str">
        <f ca="1">IFERROR(__xludf.DUMMYFUNCTION("QUERY('Volunteer Survey'!R277)"),"Yes- I am willing to volunteer with any available ClinGen group")</f>
        <v>Yes- I am willing to volunteer with any available ClinGen group</v>
      </c>
      <c r="Y269" s="47"/>
      <c r="Z269" s="49"/>
      <c r="AA269" s="49"/>
      <c r="AB269" s="49"/>
      <c r="AC269" s="49"/>
      <c r="AD269" s="49"/>
      <c r="AE269" s="49"/>
      <c r="AF269" s="49"/>
      <c r="AG269" s="49"/>
      <c r="AH269" s="49"/>
      <c r="AI269" s="49"/>
      <c r="AJ269" s="49"/>
      <c r="AK269" s="49"/>
      <c r="AL269" s="49"/>
      <c r="AM269" s="49"/>
      <c r="AN269" s="49"/>
      <c r="AO269" s="49"/>
    </row>
    <row r="270" spans="1:41" ht="14">
      <c r="A270" s="44">
        <f ca="1">IFERROR(__xludf.DUMMYFUNCTION("QUERY('Volunteer Survey'!A278)"),43693.4749920023)</f>
        <v>43693.474992002302</v>
      </c>
      <c r="B270" s="42" t="s">
        <v>322</v>
      </c>
      <c r="C270" s="47"/>
      <c r="D270" s="49"/>
      <c r="E270" s="49"/>
      <c r="F270" s="42" t="s">
        <v>130</v>
      </c>
      <c r="G270" s="42" t="s">
        <v>163</v>
      </c>
      <c r="H270" s="47"/>
      <c r="I270" s="45" t="s">
        <v>139</v>
      </c>
      <c r="J270" s="49"/>
      <c r="K270" s="49"/>
      <c r="L270" s="49" t="str">
        <f ca="1">IFERROR(__xludf.DUMMYFUNCTION("QUERY('Volunteer Survey'!B278)"),"Niroshi Senaratne")</f>
        <v>Niroshi Senaratne</v>
      </c>
      <c r="M270" s="49" t="str">
        <f ca="1">IFERROR(__xludf.DUMMYFUNCTION("QUERY('Volunteer Survey'!E278)"),"niroshi.senaratne@gmail.com")</f>
        <v>niroshi.senaratne@gmail.com</v>
      </c>
      <c r="N270" s="49" t="str">
        <f ca="1">IFERROR(__xludf.DUMMYFUNCTION("QUERY('Volunteer Survey'!F278)"),"Clinical laboratory geneticist")</f>
        <v>Clinical laboratory geneticist</v>
      </c>
      <c r="O270" s="42" t="str">
        <f ca="1">IFERROR(__xludf.DUMMYFUNCTION("QUERY('Volunteer Survey'!H278)"),"Comprehensive")</f>
        <v>Comprehensive</v>
      </c>
      <c r="P270" s="49" t="str">
        <f ca="1">IFERROR(__xludf.DUMMYFUNCTION("QUERY('Volunteer Survey'!I278)"),"Dosage Sensitivity")</f>
        <v>Dosage Sensitivity</v>
      </c>
      <c r="Q270" s="54" t="str">
        <f ca="1">IFERROR(__xludf.DUMMYFUNCTION("QUERY('Volunteer Survey'!J278)"),"")</f>
        <v/>
      </c>
      <c r="R270" s="49" t="str">
        <f ca="1">IFERROR(__xludf.DUMMYFUNCTION("QUERY('Volunteer Survey'!K278)"),"")</f>
        <v/>
      </c>
      <c r="S270" s="49" t="str">
        <f ca="1">IFERROR(__xludf.DUMMYFUNCTION("QUERY('Volunteer Survey'!L278)"),"")</f>
        <v/>
      </c>
      <c r="T270" s="49" t="str">
        <f ca="1">IFERROR(__xludf.DUMMYFUNCTION("QUERY('Volunteer Survey'!M278)"),"")</f>
        <v/>
      </c>
      <c r="U270" s="58" t="str">
        <f ca="1">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49" t="str">
        <f ca="1">IFERROR(__xludf.DUMMYFUNCTION("QUERY('Volunteer Survey'!O278)"),"Possibly")</f>
        <v>Possibly</v>
      </c>
      <c r="W270" s="60" t="str">
        <f ca="1">IFERROR(__xludf.DUMMYFUNCTION("QUERY('Volunteer Survey'!P278)"),"Dosage sensitivity (neurodevelopmental genes subgroup)")</f>
        <v>Dosage sensitivity (neurodevelopmental genes subgroup)</v>
      </c>
      <c r="X270" s="58" t="str">
        <f ca="1">IFERROR(__xludf.DUMMYFUNCTION("QUERY('Volunteer Survey'!R278)"),"Yes- I am willing to volunteer with any available ClinGen group")</f>
        <v>Yes- I am willing to volunteer with any available ClinGen group</v>
      </c>
      <c r="Y270" s="47"/>
      <c r="Z270" s="49"/>
      <c r="AA270" s="49"/>
      <c r="AB270" s="49"/>
      <c r="AC270" s="49"/>
      <c r="AD270" s="49"/>
      <c r="AE270" s="49"/>
      <c r="AF270" s="49"/>
      <c r="AG270" s="49"/>
      <c r="AH270" s="49"/>
      <c r="AI270" s="49"/>
      <c r="AJ270" s="49"/>
      <c r="AK270" s="49"/>
      <c r="AL270" s="49"/>
      <c r="AM270" s="49"/>
      <c r="AN270" s="49"/>
      <c r="AO270" s="49"/>
    </row>
    <row r="271" spans="1:41" ht="14">
      <c r="A271" s="44">
        <f ca="1">IFERROR(__xludf.DUMMYFUNCTION("QUERY('Volunteer Survey'!A280)"),43693.8718907523)</f>
        <v>43693.8718907523</v>
      </c>
      <c r="B271" s="42" t="s">
        <v>108</v>
      </c>
      <c r="C271" s="73">
        <v>43819</v>
      </c>
      <c r="D271" s="49"/>
      <c r="E271" s="49"/>
      <c r="F271" s="42" t="s">
        <v>130</v>
      </c>
      <c r="G271" s="42" t="s">
        <v>251</v>
      </c>
      <c r="H271" s="47"/>
      <c r="I271" s="45" t="s">
        <v>139</v>
      </c>
      <c r="J271" s="49"/>
      <c r="K271" s="49"/>
      <c r="L271" s="49" t="str">
        <f ca="1">IFERROR(__xludf.DUMMYFUNCTION("QUERY('Volunteer Survey'!B280)"),"Madhu Ouseph")</f>
        <v>Madhu Ouseph</v>
      </c>
      <c r="M271" s="49" t="str">
        <f ca="1">IFERROR(__xludf.DUMMYFUNCTION("QUERY('Volunteer Survey'!E280)"),"mouseph@stanford.edu")</f>
        <v>mouseph@stanford.edu</v>
      </c>
      <c r="N271" s="49" t="str">
        <f ca="1">IFERROR(__xludf.DUMMYFUNCTION("QUERY('Volunteer Survey'!F280)"),"Post Doc/Resident/Fellow (MD and/or PhD)")</f>
        <v>Post Doc/Resident/Fellow (MD and/or PhD)</v>
      </c>
      <c r="O271" s="42" t="str">
        <f ca="1">IFERROR(__xludf.DUMMYFUNCTION("QUERY('Volunteer Survey'!H280)"),"Comprehensive")</f>
        <v>Comprehensive</v>
      </c>
      <c r="P271" s="49" t="str">
        <f ca="1">IFERROR(__xludf.DUMMYFUNCTION("QUERY('Volunteer Survey'!I280)"),"Variant Pathogenicity")</f>
        <v>Variant Pathogenicity</v>
      </c>
      <c r="Q271" s="54" t="str">
        <f ca="1">IFERROR(__xludf.DUMMYFUNCTION("QUERY('Volunteer Survey'!J280)"),"Somatic Cancer")</f>
        <v>Somatic Cancer</v>
      </c>
      <c r="R271" s="49" t="str">
        <f ca="1">IFERROR(__xludf.DUMMYFUNCTION("QUERY('Volunteer Survey'!K280)"),"Clinical Actionability")</f>
        <v>Clinical Actionability</v>
      </c>
      <c r="S271" s="49" t="str">
        <f ca="1">IFERROR(__xludf.DUMMYFUNCTION("QUERY('Volunteer Survey'!L280)"),"Dosage Sensitivity")</f>
        <v>Dosage Sensitivity</v>
      </c>
      <c r="T271" s="49" t="str">
        <f ca="1">IFERROR(__xludf.DUMMYFUNCTION("QUERY('Volunteer Survey'!M280)"),"Gene-Disease Validity")</f>
        <v>Gene-Disease Validity</v>
      </c>
      <c r="U271" s="58" t="str">
        <f ca="1">IFERROR(__xludf.DUMMYFUNCTION("QUERY('Volunteer Survey'!N280)"),"Currently involved in annotation of variants identified in NGS assays")</f>
        <v>Currently involved in annotation of variants identified in NGS assays</v>
      </c>
      <c r="V271" s="49" t="str">
        <f ca="1">IFERROR(__xludf.DUMMYFUNCTION("QUERY('Volunteer Survey'!O280)"),"Possibly")</f>
        <v>Possibly</v>
      </c>
      <c r="W271" s="60" t="str">
        <f ca="1">IFERROR(__xludf.DUMMYFUNCTION("QUERY('Volunteer Survey'!P280)"),"Myeloid Malignancy")</f>
        <v>Myeloid Malignancy</v>
      </c>
      <c r="X271" s="58" t="str">
        <f ca="1">IFERROR(__xludf.DUMMYFUNCTION("QUERY('Volunteer Survey'!R280)"),"Maybe -- please contact me with other options, and I will decide based on what is available")</f>
        <v>Maybe -- please contact me with other options, and I will decide based on what is available</v>
      </c>
      <c r="Y271" s="47"/>
      <c r="Z271" s="49"/>
      <c r="AA271" s="49"/>
      <c r="AB271" s="49"/>
      <c r="AC271" s="49"/>
      <c r="AD271" s="49"/>
      <c r="AE271" s="49"/>
      <c r="AF271" s="49"/>
      <c r="AG271" s="49"/>
      <c r="AH271" s="49"/>
      <c r="AI271" s="49"/>
      <c r="AJ271" s="49"/>
      <c r="AK271" s="49"/>
      <c r="AL271" s="49"/>
      <c r="AM271" s="49"/>
      <c r="AN271" s="49"/>
      <c r="AO271" s="49"/>
    </row>
    <row r="272" spans="1:41" ht="14">
      <c r="A272" s="44">
        <f ca="1">IFERROR(__xludf.DUMMYFUNCTION("QUERY('Volunteer Survey'!A281)"),43695.7210746875)</f>
        <v>43695.721074687499</v>
      </c>
      <c r="B272" s="42" t="s">
        <v>108</v>
      </c>
      <c r="C272" s="73">
        <v>43819</v>
      </c>
      <c r="D272" s="49"/>
      <c r="E272" s="49"/>
      <c r="F272" s="42" t="s">
        <v>130</v>
      </c>
      <c r="G272" s="42" t="s">
        <v>251</v>
      </c>
      <c r="H272" s="47"/>
      <c r="I272" s="45" t="s">
        <v>139</v>
      </c>
      <c r="J272" s="49"/>
      <c r="K272" s="49"/>
      <c r="L272" s="49" t="str">
        <f ca="1">IFERROR(__xludf.DUMMYFUNCTION("QUERY('Volunteer Survey'!B281)"),"Janey Youngblom")</f>
        <v>Janey Youngblom</v>
      </c>
      <c r="M272" s="49" t="str">
        <f ca="1">IFERROR(__xludf.DUMMYFUNCTION("QUERY('Volunteer Survey'!E281)"),"jyoungblom1@csustan.edu")</f>
        <v>jyoungblom1@csustan.edu</v>
      </c>
      <c r="N272" s="49" t="str">
        <f ca="1">IFERROR(__xludf.DUMMYFUNCTION("QUERY('Volunteer Survey'!F281)"),"Scientific Researcher")</f>
        <v>Scientific Researcher</v>
      </c>
      <c r="O272" s="42" t="str">
        <f ca="1">IFERROR(__xludf.DUMMYFUNCTION("QUERY('Volunteer Survey'!H281)"),"Comprehensive")</f>
        <v>Comprehensive</v>
      </c>
      <c r="P272" s="49" t="str">
        <f ca="1">IFERROR(__xludf.DUMMYFUNCTION("QUERY('Volunteer Survey'!I281)"),"Variant Pathogenicity")</f>
        <v>Variant Pathogenicity</v>
      </c>
      <c r="Q272" s="54" t="str">
        <f ca="1">IFERROR(__xludf.DUMMYFUNCTION("QUERY('Volunteer Survey'!J281)"),"Gene-Disease Validity")</f>
        <v>Gene-Disease Validity</v>
      </c>
      <c r="R272" s="49" t="str">
        <f ca="1">IFERROR(__xludf.DUMMYFUNCTION("QUERY('Volunteer Survey'!K281)"),"Clinical Actionability")</f>
        <v>Clinical Actionability</v>
      </c>
      <c r="S272" s="49" t="str">
        <f ca="1">IFERROR(__xludf.DUMMYFUNCTION("QUERY('Volunteer Survey'!L281)"),"Dosage Sensitivity")</f>
        <v>Dosage Sensitivity</v>
      </c>
      <c r="T272" s="49" t="str">
        <f ca="1">IFERROR(__xludf.DUMMYFUNCTION("QUERY('Volunteer Survey'!M281)"),"Somatic Cancer")</f>
        <v>Somatic Cancer</v>
      </c>
      <c r="U272" s="58" t="str">
        <f ca="1">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49" t="str">
        <f ca="1">IFERROR(__xludf.DUMMYFUNCTION("QUERY('Volunteer Survey'!O281)"),"Possibly")</f>
        <v>Possibly</v>
      </c>
      <c r="W272" s="60" t="str">
        <f ca="1">IFERROR(__xludf.DUMMYFUNCTION("QUERY('Volunteer Survey'!P281)"),"Familial Hypercholesterolemia")</f>
        <v>Familial Hypercholesterolemia</v>
      </c>
      <c r="X272" s="58" t="str">
        <f ca="1">IFERROR(__xludf.DUMMYFUNCTION("QUERY('Volunteer Survey'!R281)"),"Yes- I am willing to volunteer with any available ClinGen group")</f>
        <v>Yes- I am willing to volunteer with any available ClinGen group</v>
      </c>
      <c r="Y272" s="47"/>
      <c r="Z272" s="49"/>
      <c r="AA272" s="49"/>
      <c r="AB272" s="49"/>
      <c r="AC272" s="49"/>
      <c r="AD272" s="49"/>
      <c r="AE272" s="49"/>
      <c r="AF272" s="49"/>
      <c r="AG272" s="49"/>
      <c r="AH272" s="49"/>
      <c r="AI272" s="49"/>
      <c r="AJ272" s="49"/>
      <c r="AK272" s="49"/>
      <c r="AL272" s="49"/>
      <c r="AM272" s="49"/>
      <c r="AN272" s="49"/>
      <c r="AO272" s="49"/>
    </row>
    <row r="273" spans="1:41" ht="14">
      <c r="A273" s="44">
        <f ca="1">IFERROR(__xludf.DUMMYFUNCTION("QUERY('Volunteer Survey'!A282)"),43696.3386174421)</f>
        <v>43696.338617442103</v>
      </c>
      <c r="B273" s="42" t="s">
        <v>160</v>
      </c>
      <c r="C273" s="73">
        <v>43717</v>
      </c>
      <c r="D273" s="59">
        <v>43678</v>
      </c>
      <c r="E273" s="42" t="s">
        <v>117</v>
      </c>
      <c r="F273" s="42" t="s">
        <v>117</v>
      </c>
      <c r="G273" s="42" t="s">
        <v>19</v>
      </c>
      <c r="H273" s="47"/>
      <c r="I273" s="45" t="s">
        <v>139</v>
      </c>
      <c r="J273" s="49"/>
      <c r="K273" s="49"/>
      <c r="L273" s="49" t="str">
        <f ca="1">IFERROR(__xludf.DUMMYFUNCTION("QUERY('Volunteer Survey'!B282)"),"Andrew Stergachis")</f>
        <v>Andrew Stergachis</v>
      </c>
      <c r="M273" s="49" t="str">
        <f ca="1">IFERROR(__xludf.DUMMYFUNCTION("QUERY('Volunteer Survey'!E282)"),"astergachis@bwh.harvard.edu")</f>
        <v>astergachis@bwh.harvard.edu</v>
      </c>
      <c r="N273" s="49" t="str">
        <f ca="1">IFERROR(__xludf.DUMMYFUNCTION("QUERY('Volunteer Survey'!F282)"),"Post Doc/Resident/Fellow (MD and/or PhD)")</f>
        <v>Post Doc/Resident/Fellow (MD and/or PhD)</v>
      </c>
      <c r="O273" s="42" t="str">
        <f ca="1">IFERROR(__xludf.DUMMYFUNCTION("QUERY('Volunteer Survey'!H282)"),"Comprehensive")</f>
        <v>Comprehensive</v>
      </c>
      <c r="P273" s="49" t="str">
        <f ca="1">IFERROR(__xludf.DUMMYFUNCTION("QUERY('Volunteer Survey'!I282)"),"Clinical Actionability")</f>
        <v>Clinical Actionability</v>
      </c>
      <c r="Q273" s="54" t="str">
        <f ca="1">IFERROR(__xludf.DUMMYFUNCTION("QUERY('Volunteer Survey'!J282)"),"")</f>
        <v/>
      </c>
      <c r="R273" s="49" t="str">
        <f ca="1">IFERROR(__xludf.DUMMYFUNCTION("QUERY('Volunteer Survey'!K282)"),"")</f>
        <v/>
      </c>
      <c r="S273" s="49" t="str">
        <f ca="1">IFERROR(__xludf.DUMMYFUNCTION("QUERY('Volunteer Survey'!L282)"),"")</f>
        <v/>
      </c>
      <c r="T273" s="49" t="str">
        <f ca="1">IFERROR(__xludf.DUMMYFUNCTION("QUERY('Volunteer Survey'!M282)"),"")</f>
        <v/>
      </c>
      <c r="U273" s="58" t="str">
        <f ca="1">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49" t="str">
        <f ca="1">IFERROR(__xludf.DUMMYFUNCTION("QUERY('Volunteer Survey'!O282)"),"Possibly")</f>
        <v>Possibly</v>
      </c>
      <c r="W273" s="60" t="str">
        <f ca="1">IFERROR(__xludf.DUMMYFUNCTION("QUERY('Volunteer Survey'!P282)"),"Possibly ")</f>
        <v xml:space="preserve">Possibly </v>
      </c>
      <c r="X273" s="58" t="str">
        <f ca="1">IFERROR(__xludf.DUMMYFUNCTION("QUERY('Volunteer Survey'!R282)"),"Maybe -- please contact me with other options, and I will decide based on what is available")</f>
        <v>Maybe -- please contact me with other options, and I will decide based on what is available</v>
      </c>
      <c r="Y273" s="47"/>
      <c r="Z273" s="49"/>
      <c r="AA273" s="49"/>
      <c r="AB273" s="49"/>
      <c r="AC273" s="49"/>
      <c r="AD273" s="49"/>
      <c r="AE273" s="49"/>
      <c r="AF273" s="49"/>
      <c r="AG273" s="49"/>
      <c r="AH273" s="49"/>
      <c r="AI273" s="49"/>
      <c r="AJ273" s="49"/>
      <c r="AK273" s="49"/>
      <c r="AL273" s="49"/>
      <c r="AM273" s="49"/>
      <c r="AN273" s="49"/>
      <c r="AO273" s="49"/>
    </row>
    <row r="274" spans="1:41" ht="14">
      <c r="A274" s="44">
        <f ca="1">IFERROR(__xludf.DUMMYFUNCTION("QUERY('Volunteer Survey'!A283)"),43699.1581550231)</f>
        <v>43699.158155023099</v>
      </c>
      <c r="B274" s="42" t="s">
        <v>108</v>
      </c>
      <c r="C274" s="73">
        <v>43717</v>
      </c>
      <c r="D274" s="49"/>
      <c r="E274" s="49"/>
      <c r="F274" s="42" t="s">
        <v>130</v>
      </c>
      <c r="G274" s="42" t="s">
        <v>19</v>
      </c>
      <c r="H274" s="47"/>
      <c r="I274" s="45" t="s">
        <v>139</v>
      </c>
      <c r="J274" s="49"/>
      <c r="K274" s="49"/>
      <c r="L274" s="49" t="str">
        <f ca="1">IFERROR(__xludf.DUMMYFUNCTION("QUERY('Volunteer Survey'!B283)"),"Lalitha Venkateswaran")</f>
        <v>Lalitha Venkateswaran</v>
      </c>
      <c r="M274" s="49" t="str">
        <f ca="1">IFERROR(__xludf.DUMMYFUNCTION("QUERY('Volunteer Survey'!E283)"),"lalithapv19@gmail.com")</f>
        <v>lalithapv19@gmail.com</v>
      </c>
      <c r="N274" s="49" t="str">
        <f ca="1">IFERROR(__xludf.DUMMYFUNCTION("QUERY('Volunteer Survey'!F283)"),"Variant Analyst/Scientist - Industry")</f>
        <v>Variant Analyst/Scientist - Industry</v>
      </c>
      <c r="O274" s="42" t="str">
        <f ca="1">IFERROR(__xludf.DUMMYFUNCTION("QUERY('Volunteer Survey'!H283)"),"Comprehensive")</f>
        <v>Comprehensive</v>
      </c>
      <c r="P274" s="49" t="str">
        <f ca="1">IFERROR(__xludf.DUMMYFUNCTION("QUERY('Volunteer Survey'!I283)"),"Clinical Actionability")</f>
        <v>Clinical Actionability</v>
      </c>
      <c r="Q274" s="54" t="str">
        <f ca="1">IFERROR(__xludf.DUMMYFUNCTION("QUERY('Volunteer Survey'!J283)"),"Variant Pathogenicity")</f>
        <v>Variant Pathogenicity</v>
      </c>
      <c r="R274" s="49" t="str">
        <f ca="1">IFERROR(__xludf.DUMMYFUNCTION("QUERY('Volunteer Survey'!K283)"),"Gene-Disease Validity")</f>
        <v>Gene-Disease Validity</v>
      </c>
      <c r="S274" s="49" t="str">
        <f ca="1">IFERROR(__xludf.DUMMYFUNCTION("QUERY('Volunteer Survey'!L283)"),"Dosage Sensitivity")</f>
        <v>Dosage Sensitivity</v>
      </c>
      <c r="T274" s="49" t="str">
        <f ca="1">IFERROR(__xludf.DUMMYFUNCTION("QUERY('Volunteer Survey'!M283)"),"Somatic Cancer")</f>
        <v>Somatic Cancer</v>
      </c>
      <c r="U274" s="58" t="str">
        <f ca="1">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49" t="str">
        <f ca="1">IFERROR(__xludf.DUMMYFUNCTION("QUERY('Volunteer Survey'!O283)"),"Yes")</f>
        <v>Yes</v>
      </c>
      <c r="W274" s="60" t="str">
        <f ca="1">IFERROR(__xludf.DUMMYFUNCTION("QUERY('Volunteer Survey'!P283)"),"")</f>
        <v/>
      </c>
      <c r="X274" s="58" t="str">
        <f ca="1">IFERROR(__xludf.DUMMYFUNCTION("QUERY('Volunteer Survey'!R283)"),"Yes- I am willing to volunteer with any available ClinGen group")</f>
        <v>Yes- I am willing to volunteer with any available ClinGen group</v>
      </c>
      <c r="Y274" s="47"/>
      <c r="Z274" s="49"/>
      <c r="AA274" s="49"/>
      <c r="AB274" s="49"/>
      <c r="AC274" s="49"/>
      <c r="AD274" s="49"/>
      <c r="AE274" s="49"/>
      <c r="AF274" s="49"/>
      <c r="AG274" s="49"/>
      <c r="AH274" s="49"/>
      <c r="AI274" s="49"/>
      <c r="AJ274" s="49"/>
      <c r="AK274" s="49"/>
      <c r="AL274" s="49"/>
      <c r="AM274" s="49"/>
      <c r="AN274" s="49"/>
      <c r="AO274" s="49"/>
    </row>
    <row r="275" spans="1:41" ht="14">
      <c r="A275" s="44">
        <f ca="1">IFERROR(__xludf.DUMMYFUNCTION("QUERY('Volunteer Survey'!A284)"),43699.4692784838)</f>
        <v>43699.469278483797</v>
      </c>
      <c r="B275" s="42" t="s">
        <v>108</v>
      </c>
      <c r="C275" s="73">
        <v>43819</v>
      </c>
      <c r="D275" s="49"/>
      <c r="E275" s="49"/>
      <c r="F275" s="42" t="s">
        <v>130</v>
      </c>
      <c r="G275" s="42" t="s">
        <v>251</v>
      </c>
      <c r="H275" s="47"/>
      <c r="I275" s="45" t="s">
        <v>139</v>
      </c>
      <c r="J275" s="49"/>
      <c r="K275" s="49"/>
      <c r="L275" s="49" t="str">
        <f ca="1">IFERROR(__xludf.DUMMYFUNCTION("QUERY('Volunteer Survey'!B284)"),"Caterina Clementi")</f>
        <v>Caterina Clementi</v>
      </c>
      <c r="M275" s="49" t="str">
        <f ca="1">IFERROR(__xludf.DUMMYFUNCTION("QUERY('Volunteer Survey'!E284)"),"caterina.clementi@gmail.com")</f>
        <v>caterina.clementi@gmail.com</v>
      </c>
      <c r="N275" s="49" t="str">
        <f ca="1">IFERROR(__xludf.DUMMYFUNCTION("QUERY('Volunteer Survey'!F284)"),"Variant Analyst/Scientist - Industry")</f>
        <v>Variant Analyst/Scientist - Industry</v>
      </c>
      <c r="O275" s="42" t="str">
        <f ca="1">IFERROR(__xludf.DUMMYFUNCTION("QUERY('Volunteer Survey'!H284)"),"Comprehensive")</f>
        <v>Comprehensive</v>
      </c>
      <c r="P275" s="49" t="str">
        <f ca="1">IFERROR(__xludf.DUMMYFUNCTION("QUERY('Volunteer Survey'!I284)"),"Variant Pathogenicity")</f>
        <v>Variant Pathogenicity</v>
      </c>
      <c r="Q275" s="54" t="str">
        <f ca="1">IFERROR(__xludf.DUMMYFUNCTION("QUERY('Volunteer Survey'!J284)"),"Gene-Disease Validity")</f>
        <v>Gene-Disease Validity</v>
      </c>
      <c r="R275" s="49" t="str">
        <f ca="1">IFERROR(__xludf.DUMMYFUNCTION("QUERY('Volunteer Survey'!K284)"),"Clinical Actionability")</f>
        <v>Clinical Actionability</v>
      </c>
      <c r="S275" s="49" t="str">
        <f ca="1">IFERROR(__xludf.DUMMYFUNCTION("QUERY('Volunteer Survey'!L284)"),"")</f>
        <v/>
      </c>
      <c r="T275" s="49" t="str">
        <f ca="1">IFERROR(__xludf.DUMMYFUNCTION("QUERY('Volunteer Survey'!M284)"),"")</f>
        <v/>
      </c>
      <c r="U275" s="58" t="str">
        <f ca="1">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49" t="str">
        <f ca="1">IFERROR(__xludf.DUMMYFUNCTION("QUERY('Volunteer Survey'!O284)"),"Possibly")</f>
        <v>Possibly</v>
      </c>
      <c r="W275" s="60" t="str">
        <f ca="1">IFERROR(__xludf.DUMMYFUNCTION("QUERY('Volunteer Survey'!P284)"),"Metabolic conditions")</f>
        <v>Metabolic conditions</v>
      </c>
      <c r="X275" s="58" t="str">
        <f ca="1">IFERROR(__xludf.DUMMYFUNCTION("QUERY('Volunteer Survey'!R284)"),"Yes- I am willing to volunteer with any available ClinGen group")</f>
        <v>Yes- I am willing to volunteer with any available ClinGen group</v>
      </c>
      <c r="Y275" s="47"/>
      <c r="Z275" s="49"/>
      <c r="AA275" s="49"/>
      <c r="AB275" s="49"/>
      <c r="AC275" s="49"/>
      <c r="AD275" s="49"/>
      <c r="AE275" s="49"/>
      <c r="AF275" s="49"/>
      <c r="AG275" s="49"/>
      <c r="AH275" s="49"/>
      <c r="AI275" s="49"/>
      <c r="AJ275" s="49"/>
      <c r="AK275" s="49"/>
      <c r="AL275" s="49"/>
      <c r="AM275" s="49"/>
      <c r="AN275" s="49"/>
      <c r="AO275" s="49"/>
    </row>
    <row r="276" spans="1:41" ht="14">
      <c r="A276" s="44">
        <f ca="1">IFERROR(__xludf.DUMMYFUNCTION("QUERY('Volunteer Survey'!A285)"),43701.87979853)</f>
        <v>43701.879798529997</v>
      </c>
      <c r="B276" s="42" t="s">
        <v>108</v>
      </c>
      <c r="C276" s="73">
        <v>43819</v>
      </c>
      <c r="D276" s="49"/>
      <c r="E276" s="49"/>
      <c r="F276" s="42" t="s">
        <v>130</v>
      </c>
      <c r="G276" s="42" t="s">
        <v>251</v>
      </c>
      <c r="H276" s="47"/>
      <c r="I276" s="45" t="s">
        <v>139</v>
      </c>
      <c r="J276" s="49"/>
      <c r="K276" s="49"/>
      <c r="L276" s="49" t="str">
        <f ca="1">IFERROR(__xludf.DUMMYFUNCTION("QUERY('Volunteer Survey'!B285)"),"Catherine Spellicy")</f>
        <v>Catherine Spellicy</v>
      </c>
      <c r="M276" s="49" t="str">
        <f ca="1">IFERROR(__xludf.DUMMYFUNCTION("QUERY('Volunteer Survey'!E285)"),"cspellic@counsyl.com")</f>
        <v>cspellic@counsyl.com</v>
      </c>
      <c r="N276" s="49" t="str">
        <f ca="1">IFERROR(__xludf.DUMMYFUNCTION("QUERY('Volunteer Survey'!F285)"),"Clinical laboratory geneticist")</f>
        <v>Clinical laboratory geneticist</v>
      </c>
      <c r="O276" s="42" t="str">
        <f ca="1">IFERROR(__xludf.DUMMYFUNCTION("QUERY('Volunteer Survey'!H285)"),"Comprehensive")</f>
        <v>Comprehensive</v>
      </c>
      <c r="P276" s="49" t="str">
        <f ca="1">IFERROR(__xludf.DUMMYFUNCTION("QUERY('Volunteer Survey'!I285)"),"Variant Pathogenicity")</f>
        <v>Variant Pathogenicity</v>
      </c>
      <c r="Q276" s="54" t="str">
        <f ca="1">IFERROR(__xludf.DUMMYFUNCTION("QUERY('Volunteer Survey'!J285)"),"Gene-Disease Validity")</f>
        <v>Gene-Disease Validity</v>
      </c>
      <c r="R276" s="49" t="str">
        <f ca="1">IFERROR(__xludf.DUMMYFUNCTION("QUERY('Volunteer Survey'!K285)"),"")</f>
        <v/>
      </c>
      <c r="S276" s="49" t="str">
        <f ca="1">IFERROR(__xludf.DUMMYFUNCTION("QUERY('Volunteer Survey'!L285)"),"")</f>
        <v/>
      </c>
      <c r="T276" s="49" t="str">
        <f ca="1">IFERROR(__xludf.DUMMYFUNCTION("QUERY('Volunteer Survey'!M285)"),"")</f>
        <v/>
      </c>
      <c r="U276" s="58" t="str">
        <f ca="1">IFERROR(__xludf.DUMMYFUNCTION("QUERY('Volunteer Survey'!N285)"),"Many hours experience with variant analysis and classification.")</f>
        <v>Many hours experience with variant analysis and classification.</v>
      </c>
      <c r="V276" s="49" t="str">
        <f ca="1">IFERROR(__xludf.DUMMYFUNCTION("QUERY('Volunteer Survey'!O285)"),"Possibly")</f>
        <v>Possibly</v>
      </c>
      <c r="W276" s="60" t="str">
        <f ca="1">IFERROR(__xludf.DUMMYFUNCTION("QUERY('Volunteer Survey'!P285)"),"Sequence Variant Interpretation")</f>
        <v>Sequence Variant Interpretation</v>
      </c>
      <c r="X276" s="58" t="str">
        <f ca="1">IFERROR(__xludf.DUMMYFUNCTION("QUERY('Volunteer Survey'!R285)"),"Maybe -- please contact me with other options, and I will decide based on what is available")</f>
        <v>Maybe -- please contact me with other options, and I will decide based on what is available</v>
      </c>
      <c r="Y276" s="47"/>
      <c r="Z276" s="49"/>
      <c r="AA276" s="49"/>
      <c r="AB276" s="49"/>
      <c r="AC276" s="49"/>
      <c r="AD276" s="49"/>
      <c r="AE276" s="49"/>
      <c r="AF276" s="49"/>
      <c r="AG276" s="49"/>
      <c r="AH276" s="49"/>
      <c r="AI276" s="49"/>
      <c r="AJ276" s="49"/>
      <c r="AK276" s="49"/>
      <c r="AL276" s="49"/>
      <c r="AM276" s="49"/>
      <c r="AN276" s="49"/>
      <c r="AO276" s="49"/>
    </row>
    <row r="277" spans="1:41" ht="14">
      <c r="A277" s="44">
        <f ca="1">IFERROR(__xludf.DUMMYFUNCTION("QUERY('Volunteer Survey'!A286)"),43703.2491424884)</f>
        <v>43703.249142488399</v>
      </c>
      <c r="B277" s="42" t="s">
        <v>108</v>
      </c>
      <c r="C277" s="73">
        <v>43819</v>
      </c>
      <c r="D277" s="49"/>
      <c r="E277" s="49"/>
      <c r="F277" s="42" t="s">
        <v>130</v>
      </c>
      <c r="G277" s="42" t="s">
        <v>122</v>
      </c>
      <c r="H277" s="47"/>
      <c r="I277" s="45" t="s">
        <v>139</v>
      </c>
      <c r="J277" s="49"/>
      <c r="K277" s="49"/>
      <c r="L277" s="49" t="str">
        <f ca="1">IFERROR(__xludf.DUMMYFUNCTION("QUERY('Volunteer Survey'!B286)"),"Julie P Taylor")</f>
        <v>Julie P Taylor</v>
      </c>
      <c r="M277" s="49" t="str">
        <f ca="1">IFERROR(__xludf.DUMMYFUNCTION("QUERY('Volunteer Survey'!E286)"),"jtaylor1@illumina.com")</f>
        <v>jtaylor1@illumina.com</v>
      </c>
      <c r="N277" s="49" t="str">
        <f ca="1">IFERROR(__xludf.DUMMYFUNCTION("QUERY('Volunteer Survey'!F286)"),"Biocurator")</f>
        <v>Biocurator</v>
      </c>
      <c r="O277" s="42" t="str">
        <f ca="1">IFERROR(__xludf.DUMMYFUNCTION("QUERY('Volunteer Survey'!H286)"),"Comprehensive")</f>
        <v>Comprehensive</v>
      </c>
      <c r="P277" s="49" t="str">
        <f ca="1">IFERROR(__xludf.DUMMYFUNCTION("QUERY('Volunteer Survey'!I286)"),"Gene-Disease Validity")</f>
        <v>Gene-Disease Validity</v>
      </c>
      <c r="Q277" s="54" t="str">
        <f ca="1">IFERROR(__xludf.DUMMYFUNCTION("QUERY('Volunteer Survey'!J286)"),"")</f>
        <v/>
      </c>
      <c r="R277" s="49" t="str">
        <f ca="1">IFERROR(__xludf.DUMMYFUNCTION("QUERY('Volunteer Survey'!K286)"),"")</f>
        <v/>
      </c>
      <c r="S277" s="49" t="str">
        <f ca="1">IFERROR(__xludf.DUMMYFUNCTION("QUERY('Volunteer Survey'!L286)"),"")</f>
        <v/>
      </c>
      <c r="T277" s="49" t="str">
        <f ca="1">IFERROR(__xludf.DUMMYFUNCTION("QUERY('Volunteer Survey'!M286)"),"")</f>
        <v/>
      </c>
      <c r="U277" s="58" t="str">
        <f ca="1">IFERROR(__xludf.DUMMYFUNCTION("QUERY('Volunteer Survey'!N286)"),"ClinGen Gene Curation is part of my role as a curation scientist at Illumina.")</f>
        <v>ClinGen Gene Curation is part of my role as a curation scientist at Illumina.</v>
      </c>
      <c r="V277" s="49" t="str">
        <f ca="1">IFERROR(__xludf.DUMMYFUNCTION("QUERY('Volunteer Survey'!O286)"),"Yes")</f>
        <v>Yes</v>
      </c>
      <c r="W277" s="60" t="str">
        <f ca="1">IFERROR(__xludf.DUMMYFUNCTION("QUERY('Volunteer Survey'!P286)"),"")</f>
        <v/>
      </c>
      <c r="X277" s="58" t="str">
        <f ca="1">IFERROR(__xludf.DUMMYFUNCTION("QUERY('Volunteer Survey'!R286)"),"Maybe -- please contact me with other options, and I will decide based on what is available")</f>
        <v>Maybe -- please contact me with other options, and I will decide based on what is available</v>
      </c>
      <c r="Y277" s="47"/>
      <c r="Z277" s="49"/>
      <c r="AA277" s="49"/>
      <c r="AB277" s="49"/>
      <c r="AC277" s="49"/>
      <c r="AD277" s="49"/>
      <c r="AE277" s="49"/>
      <c r="AF277" s="49"/>
      <c r="AG277" s="49"/>
      <c r="AH277" s="49"/>
      <c r="AI277" s="49"/>
      <c r="AJ277" s="49"/>
      <c r="AK277" s="49"/>
      <c r="AL277" s="49"/>
      <c r="AM277" s="49"/>
      <c r="AN277" s="49"/>
      <c r="AO277" s="49"/>
    </row>
    <row r="278" spans="1:41" ht="14">
      <c r="A278" s="44">
        <f ca="1">IFERROR(__xludf.DUMMYFUNCTION("QUERY('Volunteer Survey'!A287)"),43703.6280798032)</f>
        <v>43703.628079803202</v>
      </c>
      <c r="B278" s="42" t="s">
        <v>108</v>
      </c>
      <c r="C278" s="73">
        <v>43840</v>
      </c>
      <c r="D278" s="49"/>
      <c r="E278" s="49"/>
      <c r="F278" s="42" t="s">
        <v>130</v>
      </c>
      <c r="G278" s="42" t="s">
        <v>122</v>
      </c>
      <c r="H278" s="47"/>
      <c r="I278" s="45" t="s">
        <v>139</v>
      </c>
      <c r="J278" s="49"/>
      <c r="K278" s="49"/>
      <c r="L278" s="49" t="str">
        <f ca="1">IFERROR(__xludf.DUMMYFUNCTION("QUERY('Volunteer Survey'!B287)"),"Charlene Preys")</f>
        <v>Charlene Preys</v>
      </c>
      <c r="M278" s="49" t="str">
        <f ca="1">IFERROR(__xludf.DUMMYFUNCTION("QUERY('Volunteer Survey'!E287)"),"clpreys@bwh.harvard.edu")</f>
        <v>clpreys@bwh.harvard.edu</v>
      </c>
      <c r="N278" s="49" t="str">
        <f ca="1">IFERROR(__xludf.DUMMYFUNCTION("QUERY('Volunteer Survey'!F287)"),"Undergraduate Student")</f>
        <v>Undergraduate Student</v>
      </c>
      <c r="O278" s="42" t="str">
        <f ca="1">IFERROR(__xludf.DUMMYFUNCTION("QUERY('Volunteer Survey'!H287)"),"Comprehensive")</f>
        <v>Comprehensive</v>
      </c>
      <c r="P278" s="49" t="str">
        <f ca="1">IFERROR(__xludf.DUMMYFUNCTION("QUERY('Volunteer Survey'!I287)"),"Gene-Disease Validity")</f>
        <v>Gene-Disease Validity</v>
      </c>
      <c r="Q278" s="54" t="str">
        <f ca="1">IFERROR(__xludf.DUMMYFUNCTION("QUERY('Volunteer Survey'!J287)"),"")</f>
        <v/>
      </c>
      <c r="R278" s="49" t="str">
        <f ca="1">IFERROR(__xludf.DUMMYFUNCTION("QUERY('Volunteer Survey'!K287)"),"")</f>
        <v/>
      </c>
      <c r="S278" s="49" t="str">
        <f ca="1">IFERROR(__xludf.DUMMYFUNCTION("QUERY('Volunteer Survey'!L287)"),"")</f>
        <v/>
      </c>
      <c r="T278" s="49" t="str">
        <f ca="1">IFERROR(__xludf.DUMMYFUNCTION("QUERY('Volunteer Survey'!M287)"),"")</f>
        <v/>
      </c>
      <c r="U278" s="58" t="str">
        <f ca="1">IFERROR(__xludf.DUMMYFUNCTION("QUERY('Volunteer Survey'!N287)"),"")</f>
        <v/>
      </c>
      <c r="V278" s="49" t="str">
        <f ca="1">IFERROR(__xludf.DUMMYFUNCTION("QUERY('Volunteer Survey'!O287)"),"")</f>
        <v/>
      </c>
      <c r="W278" s="60" t="str">
        <f ca="1">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58" t="str">
        <f ca="1">IFERROR(__xludf.DUMMYFUNCTION("QUERY('Volunteer Survey'!R287)"),"Yes- I am willing to volunteer with any available ClinGen group")</f>
        <v>Yes- I am willing to volunteer with any available ClinGen group</v>
      </c>
      <c r="Y278" s="45" t="s">
        <v>1043</v>
      </c>
      <c r="Z278" s="49"/>
      <c r="AA278" s="49"/>
      <c r="AB278" s="49"/>
      <c r="AC278" s="49"/>
      <c r="AD278" s="49"/>
      <c r="AE278" s="49"/>
      <c r="AF278" s="49"/>
      <c r="AG278" s="49"/>
      <c r="AH278" s="49"/>
      <c r="AI278" s="49"/>
      <c r="AJ278" s="49"/>
      <c r="AK278" s="49"/>
      <c r="AL278" s="49"/>
      <c r="AM278" s="49"/>
      <c r="AN278" s="49"/>
      <c r="AO278" s="49"/>
    </row>
    <row r="279" spans="1:41" ht="14">
      <c r="A279" s="44">
        <f ca="1">IFERROR(__xludf.DUMMYFUNCTION("QUERY('Volunteer Survey'!A288)"),43705.8092491666)</f>
        <v>43705.809249166603</v>
      </c>
      <c r="B279" s="42" t="s">
        <v>108</v>
      </c>
      <c r="C279" s="73">
        <v>43819</v>
      </c>
      <c r="D279" s="49"/>
      <c r="E279" s="49"/>
      <c r="F279" s="42" t="s">
        <v>130</v>
      </c>
      <c r="G279" s="42" t="s">
        <v>251</v>
      </c>
      <c r="H279" s="47"/>
      <c r="I279" s="45" t="s">
        <v>139</v>
      </c>
      <c r="J279" s="49"/>
      <c r="K279" s="49"/>
      <c r="L279" s="49" t="str">
        <f ca="1">IFERROR(__xludf.DUMMYFUNCTION("QUERY('Volunteer Survey'!B288)"),"Edgar Ramirez")</f>
        <v>Edgar Ramirez</v>
      </c>
      <c r="M279" s="49" t="str">
        <f ca="1">IFERROR(__xludf.DUMMYFUNCTION("QUERY('Volunteer Survey'!E288)"),"e.ramirezr@hotmail.com")</f>
        <v>e.ramirezr@hotmail.com</v>
      </c>
      <c r="N279" s="49" t="str">
        <f ca="1">IFERROR(__xludf.DUMMYFUNCTION("QUERY('Volunteer Survey'!F288)"),"Scientific Researcher")</f>
        <v>Scientific Researcher</v>
      </c>
      <c r="O279" s="42" t="str">
        <f ca="1">IFERROR(__xludf.DUMMYFUNCTION("QUERY('Volunteer Survey'!H288)"),"Comprehensive")</f>
        <v>Comprehensive</v>
      </c>
      <c r="P279" s="49" t="str">
        <f ca="1">IFERROR(__xludf.DUMMYFUNCTION("QUERY('Volunteer Survey'!I288)"),"Variant Pathogenicity")</f>
        <v>Variant Pathogenicity</v>
      </c>
      <c r="Q279" s="54" t="str">
        <f ca="1">IFERROR(__xludf.DUMMYFUNCTION("QUERY('Volunteer Survey'!J288)"),"Clinical Actionability")</f>
        <v>Clinical Actionability</v>
      </c>
      <c r="R279" s="49" t="str">
        <f ca="1">IFERROR(__xludf.DUMMYFUNCTION("QUERY('Volunteer Survey'!K288)"),"Gene-Disease Validity")</f>
        <v>Gene-Disease Validity</v>
      </c>
      <c r="S279" s="49" t="str">
        <f ca="1">IFERROR(__xludf.DUMMYFUNCTION("QUERY('Volunteer Survey'!L288)"),"Dosage Sensitivity")</f>
        <v>Dosage Sensitivity</v>
      </c>
      <c r="T279" s="49" t="str">
        <f ca="1">IFERROR(__xludf.DUMMYFUNCTION("QUERY('Volunteer Survey'!M288)"),"Somatic Cancer")</f>
        <v>Somatic Cancer</v>
      </c>
      <c r="U279" s="58" t="str">
        <f ca="1">IFERROR(__xludf.DUMMYFUNCTION("QUERY('Volunteer Survey'!N288)"),"I was lead scientist for variant interpretation at a clinical laboratory")</f>
        <v>I was lead scientist for variant interpretation at a clinical laboratory</v>
      </c>
      <c r="V279" s="49" t="str">
        <f ca="1">IFERROR(__xludf.DUMMYFUNCTION("QUERY('Volunteer Survey'!O288)"),"Possibly")</f>
        <v>Possibly</v>
      </c>
      <c r="W279" s="60" t="str">
        <f ca="1">IFERROR(__xludf.DUMMYFUNCTION("QUERY('Volunteer Survey'!P288)"),"")</f>
        <v/>
      </c>
      <c r="X279" s="58" t="str">
        <f ca="1">IFERROR(__xludf.DUMMYFUNCTION("QUERY('Volunteer Survey'!R288)"),"Maybe -- please contact me with other options, and I will decide based on what is available")</f>
        <v>Maybe -- please contact me with other options, and I will decide based on what is available</v>
      </c>
      <c r="Y279" s="47"/>
      <c r="Z279" s="49"/>
      <c r="AA279" s="49"/>
      <c r="AB279" s="49"/>
      <c r="AC279" s="49"/>
      <c r="AD279" s="49"/>
      <c r="AE279" s="49"/>
      <c r="AF279" s="49"/>
      <c r="AG279" s="49"/>
      <c r="AH279" s="49"/>
      <c r="AI279" s="49"/>
      <c r="AJ279" s="49"/>
      <c r="AK279" s="49"/>
      <c r="AL279" s="49"/>
      <c r="AM279" s="49"/>
      <c r="AN279" s="49"/>
      <c r="AO279" s="49"/>
    </row>
    <row r="280" spans="1:41" ht="14">
      <c r="A280" s="44">
        <f ca="1">IFERROR(__xludf.DUMMYFUNCTION("QUERY('Volunteer Survey'!A289)"),43707.2969791087)</f>
        <v>43707.296979108702</v>
      </c>
      <c r="B280" s="42" t="s">
        <v>108</v>
      </c>
      <c r="C280" s="73">
        <v>43819</v>
      </c>
      <c r="D280" s="49"/>
      <c r="E280" s="49"/>
      <c r="F280" s="42" t="s">
        <v>130</v>
      </c>
      <c r="G280" s="42" t="s">
        <v>122</v>
      </c>
      <c r="H280" s="47"/>
      <c r="I280" s="45" t="s">
        <v>139</v>
      </c>
      <c r="J280" s="49"/>
      <c r="K280" s="49"/>
      <c r="L280" s="49" t="str">
        <f ca="1">IFERROR(__xludf.DUMMYFUNCTION("QUERY('Volunteer Survey'!B289)"),"Laura Roht")</f>
        <v>Laura Roht</v>
      </c>
      <c r="M280" s="49" t="str">
        <f ca="1">IFERROR(__xludf.DUMMYFUNCTION("QUERY('Volunteer Survey'!E289)"),"laura.roht@kliinikum.ee")</f>
        <v>laura.roht@kliinikum.ee</v>
      </c>
      <c r="N280" s="49" t="str">
        <f ca="1">IFERROR(__xludf.DUMMYFUNCTION("QUERY('Volunteer Survey'!F289)"),"Clinical Medical Geneticist")</f>
        <v>Clinical Medical Geneticist</v>
      </c>
      <c r="O280" s="42" t="str">
        <f ca="1">IFERROR(__xludf.DUMMYFUNCTION("QUERY('Volunteer Survey'!H289)"),"Comprehensive")</f>
        <v>Comprehensive</v>
      </c>
      <c r="P280" s="49" t="str">
        <f ca="1">IFERROR(__xludf.DUMMYFUNCTION("QUERY('Volunteer Survey'!I289)"),"Gene-Disease Validity")</f>
        <v>Gene-Disease Validity</v>
      </c>
      <c r="Q280" s="54" t="str">
        <f ca="1">IFERROR(__xludf.DUMMYFUNCTION("QUERY('Volunteer Survey'!J289)"),"Variant Pathogenicity")</f>
        <v>Variant Pathogenicity</v>
      </c>
      <c r="R280" s="49" t="str">
        <f ca="1">IFERROR(__xludf.DUMMYFUNCTION("QUERY('Volunteer Survey'!K289)"),"")</f>
        <v/>
      </c>
      <c r="S280" s="49" t="str">
        <f ca="1">IFERROR(__xludf.DUMMYFUNCTION("QUERY('Volunteer Survey'!L289)"),"")</f>
        <v/>
      </c>
      <c r="T280" s="49" t="str">
        <f ca="1">IFERROR(__xludf.DUMMYFUNCTION("QUERY('Volunteer Survey'!M289)"),"")</f>
        <v/>
      </c>
      <c r="U280" s="58" t="str">
        <f ca="1">IFERROR(__xludf.DUMMYFUNCTION("QUERY('Volunteer Survey'!N289)"),"")</f>
        <v/>
      </c>
      <c r="V280" s="49" t="str">
        <f ca="1">IFERROR(__xludf.DUMMYFUNCTION("QUERY('Volunteer Survey'!O289)"),"Possibly")</f>
        <v>Possibly</v>
      </c>
      <c r="W280" s="60" t="str">
        <f ca="1">IFERROR(__xludf.DUMMYFUNCTION("QUERY('Volunteer Survey'!P289)"),"Hereditary Cancer")</f>
        <v>Hereditary Cancer</v>
      </c>
      <c r="X280" s="58" t="str">
        <f ca="1">IFERROR(__xludf.DUMMYFUNCTION("QUERY('Volunteer Survey'!R289)"),"Maybe -- please contact me with other options, and I will decide based on what is available")</f>
        <v>Maybe -- please contact me with other options, and I will decide based on what is available</v>
      </c>
      <c r="Y280" s="47"/>
      <c r="Z280" s="49"/>
      <c r="AA280" s="49"/>
      <c r="AB280" s="49"/>
      <c r="AC280" s="49"/>
      <c r="AD280" s="49"/>
      <c r="AE280" s="49"/>
      <c r="AF280" s="49"/>
      <c r="AG280" s="49"/>
      <c r="AH280" s="49"/>
      <c r="AI280" s="49"/>
      <c r="AJ280" s="49"/>
      <c r="AK280" s="49"/>
      <c r="AL280" s="49"/>
      <c r="AM280" s="49"/>
      <c r="AN280" s="49"/>
      <c r="AO280" s="49"/>
    </row>
    <row r="281" spans="1:41" ht="14">
      <c r="A281" s="44">
        <f ca="1">IFERROR(__xludf.DUMMYFUNCTION("QUERY('Volunteer Survey'!A290)"),43707.8085726851)</f>
        <v>43707.808572685099</v>
      </c>
      <c r="B281" s="42" t="s">
        <v>108</v>
      </c>
      <c r="C281" s="47"/>
      <c r="D281" s="49"/>
      <c r="E281" s="49"/>
      <c r="F281" s="42" t="s">
        <v>130</v>
      </c>
      <c r="G281" s="42" t="s">
        <v>313</v>
      </c>
      <c r="H281" s="47"/>
      <c r="I281" s="45" t="s">
        <v>139</v>
      </c>
      <c r="J281" s="49"/>
      <c r="K281" s="49"/>
      <c r="L281" s="49" t="str">
        <f ca="1">IFERROR(__xludf.DUMMYFUNCTION("QUERY('Volunteer Survey'!B290)"),"Donia Hany Mostafa ")</f>
        <v xml:space="preserve">Donia Hany Mostafa </v>
      </c>
      <c r="M281" s="49" t="str">
        <f ca="1">IFERROR(__xludf.DUMMYFUNCTION("QUERY('Volunteer Survey'!E290)"),"donia.1518105@stemkalubya.moe.edu.eg")</f>
        <v>donia.1518105@stemkalubya.moe.edu.eg</v>
      </c>
      <c r="N281" s="49" t="str">
        <f ca="1">IFERROR(__xludf.DUMMYFUNCTION("QUERY('Volunteer Survey'!F290)"),"Undergraduate Student")</f>
        <v>Undergraduate Student</v>
      </c>
      <c r="O281" s="42" t="str">
        <f ca="1">IFERROR(__xludf.DUMMYFUNCTION("QUERY('Volunteer Survey'!H290)"),"Comprehensive")</f>
        <v>Comprehensive</v>
      </c>
      <c r="P281" s="49" t="str">
        <f ca="1">IFERROR(__xludf.DUMMYFUNCTION("QUERY('Volunteer Survey'!I290)"),"Somatic Cancer")</f>
        <v>Somatic Cancer</v>
      </c>
      <c r="Q281" s="54" t="str">
        <f ca="1">IFERROR(__xludf.DUMMYFUNCTION("QUERY('Volunteer Survey'!J290)"),"Dosage Sensitivity")</f>
        <v>Dosage Sensitivity</v>
      </c>
      <c r="R281" s="49" t="str">
        <f ca="1">IFERROR(__xludf.DUMMYFUNCTION("QUERY('Volunteer Survey'!K290)"),"Gene-Disease Validity")</f>
        <v>Gene-Disease Validity</v>
      </c>
      <c r="S281" s="49" t="str">
        <f ca="1">IFERROR(__xludf.DUMMYFUNCTION("QUERY('Volunteer Survey'!L290)"),"Clinical Actionability")</f>
        <v>Clinical Actionability</v>
      </c>
      <c r="T281" s="49" t="str">
        <f ca="1">IFERROR(__xludf.DUMMYFUNCTION("QUERY('Volunteer Survey'!M290)"),"Variant Pathogenicity")</f>
        <v>Variant Pathogenicity</v>
      </c>
      <c r="U281" s="58" t="str">
        <f ca="1">IFERROR(__xludf.DUMMYFUNCTION("QUERY('Volunteer Survey'!N290)"),"")</f>
        <v/>
      </c>
      <c r="V281" s="49" t="str">
        <f ca="1">IFERROR(__xludf.DUMMYFUNCTION("QUERY('Volunteer Survey'!O290)"),"No")</f>
        <v>No</v>
      </c>
      <c r="W281" s="60" t="str">
        <f ca="1">IFERROR(__xludf.DUMMYFUNCTION("QUERY('Volunteer Survey'!P290)"),"Yes,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c r="X281" s="58" t="str">
        <f ca="1">IFERROR(__xludf.DUMMYFUNCTION("QUERY('Volunteer Survey'!R290)"),"Maybe -- please contact me with other options, and I will decide based on what is available")</f>
        <v>Maybe -- please contact me with other options, and I will decide based on what is available</v>
      </c>
      <c r="Y281" s="47"/>
      <c r="Z281" s="49"/>
      <c r="AA281" s="49"/>
      <c r="AB281" s="49"/>
      <c r="AC281" s="49"/>
      <c r="AD281" s="49"/>
      <c r="AE281" s="49"/>
      <c r="AF281" s="49"/>
      <c r="AG281" s="49"/>
      <c r="AH281" s="49"/>
      <c r="AI281" s="49"/>
      <c r="AJ281" s="49"/>
      <c r="AK281" s="49"/>
      <c r="AL281" s="49"/>
      <c r="AM281" s="49"/>
      <c r="AN281" s="49"/>
      <c r="AO281" s="49"/>
    </row>
    <row r="282" spans="1:41" ht="14">
      <c r="A282" s="44">
        <f ca="1">IFERROR(__xludf.DUMMYFUNCTION("QUERY('Volunteer Survey'!A291)"),43711.082065081)</f>
        <v>43711.082065080998</v>
      </c>
      <c r="B282" s="42" t="s">
        <v>108</v>
      </c>
      <c r="C282" s="73">
        <v>43819</v>
      </c>
      <c r="D282" s="49"/>
      <c r="E282" s="49"/>
      <c r="F282" s="42" t="s">
        <v>130</v>
      </c>
      <c r="G282" s="42" t="s">
        <v>251</v>
      </c>
      <c r="H282" s="47"/>
      <c r="I282" s="45" t="s">
        <v>139</v>
      </c>
      <c r="J282" s="49"/>
      <c r="K282" s="49"/>
      <c r="L282" s="49" t="str">
        <f ca="1">IFERROR(__xludf.DUMMYFUNCTION("QUERY('Volunteer Survey'!B291)"),"Xin Chen")</f>
        <v>Xin Chen</v>
      </c>
      <c r="M282" s="49" t="str">
        <f ca="1">IFERROR(__xludf.DUMMYFUNCTION("QUERY('Volunteer Survey'!E291)"),"chenx30nju@gmail.com")</f>
        <v>chenx30nju@gmail.com</v>
      </c>
      <c r="N282" s="49" t="str">
        <f ca="1">IFERROR(__xludf.DUMMYFUNCTION("QUERY('Volunteer Survey'!F291)"),"Post Doc/Resident/Fellow (MD and/or PhD)")</f>
        <v>Post Doc/Resident/Fellow (MD and/or PhD)</v>
      </c>
      <c r="O282" s="42" t="str">
        <f ca="1">IFERROR(__xludf.DUMMYFUNCTION("QUERY('Volunteer Survey'!H291)"),"Comprehensive")</f>
        <v>Comprehensive</v>
      </c>
      <c r="P282" s="49" t="str">
        <f ca="1">IFERROR(__xludf.DUMMYFUNCTION("QUERY('Volunteer Survey'!I291)"),"Variant Pathogenicity")</f>
        <v>Variant Pathogenicity</v>
      </c>
      <c r="Q282" s="54" t="str">
        <f ca="1">IFERROR(__xludf.DUMMYFUNCTION("QUERY('Volunteer Survey'!J291)"),"Somatic Cancer")</f>
        <v>Somatic Cancer</v>
      </c>
      <c r="R282" s="49" t="str">
        <f ca="1">IFERROR(__xludf.DUMMYFUNCTION("QUERY('Volunteer Survey'!K291)"),"Gene-Disease Validity")</f>
        <v>Gene-Disease Validity</v>
      </c>
      <c r="S282" s="49" t="str">
        <f ca="1">IFERROR(__xludf.DUMMYFUNCTION("QUERY('Volunteer Survey'!L291)"),"Dosage Sensitivity")</f>
        <v>Dosage Sensitivity</v>
      </c>
      <c r="T282" s="49" t="str">
        <f ca="1">IFERROR(__xludf.DUMMYFUNCTION("QUERY('Volunteer Survey'!M291)"),"Clinical Actionability")</f>
        <v>Clinical Actionability</v>
      </c>
      <c r="U282" s="58" t="str">
        <f ca="1">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c r="V282" s="49" t="str">
        <f ca="1">IFERROR(__xludf.DUMMYFUNCTION("QUERY('Volunteer Survey'!O291)"),"Possibly")</f>
        <v>Possibly</v>
      </c>
      <c r="W282" s="60" t="str">
        <f ca="1">IFERROR(__xludf.DUMMYFUNCTION("QUERY('Volunteer Survey'!P291)"),"I am open to any opportunity.")</f>
        <v>I am open to any opportunity.</v>
      </c>
      <c r="X282" s="58" t="str">
        <f ca="1">IFERROR(__xludf.DUMMYFUNCTION("QUERY('Volunteer Survey'!R291)"),"Yes- I am willing to volunteer with any available ClinGen group")</f>
        <v>Yes- I am willing to volunteer with any available ClinGen group</v>
      </c>
      <c r="Y282" s="47"/>
      <c r="Z282" s="49"/>
      <c r="AA282" s="49"/>
      <c r="AB282" s="49"/>
      <c r="AC282" s="49"/>
      <c r="AD282" s="49"/>
      <c r="AE282" s="49"/>
      <c r="AF282" s="49"/>
      <c r="AG282" s="49"/>
      <c r="AH282" s="49"/>
      <c r="AI282" s="49"/>
      <c r="AJ282" s="49"/>
      <c r="AK282" s="49"/>
      <c r="AL282" s="49"/>
      <c r="AM282" s="49"/>
      <c r="AN282" s="49"/>
      <c r="AO282" s="49"/>
    </row>
    <row r="283" spans="1:41" ht="14">
      <c r="A283" s="44">
        <f ca="1">IFERROR(__xludf.DUMMYFUNCTION("QUERY('Volunteer Survey'!A292)"),43711.3899223842)</f>
        <v>43711.389922384202</v>
      </c>
      <c r="B283" s="42" t="s">
        <v>108</v>
      </c>
      <c r="C283" s="47"/>
      <c r="D283" s="50">
        <v>43626</v>
      </c>
      <c r="E283" s="42" t="s">
        <v>117</v>
      </c>
      <c r="F283" s="42" t="s">
        <v>117</v>
      </c>
      <c r="G283" s="42" t="s">
        <v>251</v>
      </c>
      <c r="H283" s="47"/>
      <c r="I283" s="45" t="s">
        <v>356</v>
      </c>
      <c r="J283" s="49"/>
      <c r="K283" s="49"/>
      <c r="L283" s="49" t="str">
        <f ca="1">IFERROR(__xludf.DUMMYFUNCTION("QUERY('Volunteer Survey'!B292)"),"Tomohiko Ai")</f>
        <v>Tomohiko Ai</v>
      </c>
      <c r="M283" s="49" t="str">
        <f ca="1">IFERROR(__xludf.DUMMYFUNCTION("QUERY('Volunteer Survey'!E292)"),"Tomohiko.Ai@osumc.edu")</f>
        <v>Tomohiko.Ai@osumc.edu</v>
      </c>
      <c r="N283" s="49" t="str">
        <f ca="1">IFERROR(__xludf.DUMMYFUNCTION("QUERY('Volunteer Survey'!F292)"),"Scientific Researcher")</f>
        <v>Scientific Researcher</v>
      </c>
      <c r="O283" s="42" t="str">
        <f ca="1">IFERROR(__xludf.DUMMYFUNCTION("QUERY('Volunteer Survey'!H292)"),"Comprehensive")</f>
        <v>Comprehensive</v>
      </c>
      <c r="P283" s="49" t="str">
        <f ca="1">IFERROR(__xludf.DUMMYFUNCTION("QUERY('Volunteer Survey'!I292)"),"Variant Pathogenicity")</f>
        <v>Variant Pathogenicity</v>
      </c>
      <c r="Q283" s="54" t="str">
        <f ca="1">IFERROR(__xludf.DUMMYFUNCTION("QUERY('Volunteer Survey'!J292)"),"")</f>
        <v/>
      </c>
      <c r="R283" s="49" t="str">
        <f ca="1">IFERROR(__xludf.DUMMYFUNCTION("QUERY('Volunteer Survey'!K292)"),"")</f>
        <v/>
      </c>
      <c r="S283" s="49" t="str">
        <f ca="1">IFERROR(__xludf.DUMMYFUNCTION("QUERY('Volunteer Survey'!L292)"),"")</f>
        <v/>
      </c>
      <c r="T283" s="49" t="str">
        <f ca="1">IFERROR(__xludf.DUMMYFUNCTION("QUERY('Volunteer Survey'!M292)"),"")</f>
        <v/>
      </c>
      <c r="U283" s="58" t="str">
        <f ca="1">IFERROR(__xludf.DUMMYFUNCTION("QUERY('Volunteer Survey'!N292)"),"")</f>
        <v/>
      </c>
      <c r="V283" s="49" t="str">
        <f ca="1">IFERROR(__xludf.DUMMYFUNCTION("QUERY('Volunteer Survey'!O292)"),"")</f>
        <v/>
      </c>
      <c r="W283" s="60" t="str">
        <f ca="1">IFERROR(__xludf.DUMMYFUNCTION("QUERY('Volunteer Survey'!P292)"),"")</f>
        <v/>
      </c>
      <c r="X283" s="58" t="str">
        <f ca="1">IFERROR(__xludf.DUMMYFUNCTION("QUERY('Volunteer Survey'!R292)"),"")</f>
        <v/>
      </c>
      <c r="Y283" s="47"/>
      <c r="Z283" s="49"/>
      <c r="AA283" s="49"/>
      <c r="AB283" s="49"/>
      <c r="AC283" s="49"/>
      <c r="AD283" s="49"/>
      <c r="AE283" s="49"/>
      <c r="AF283" s="49"/>
      <c r="AG283" s="49"/>
      <c r="AH283" s="49"/>
      <c r="AI283" s="49"/>
      <c r="AJ283" s="49"/>
      <c r="AK283" s="49"/>
      <c r="AL283" s="49"/>
      <c r="AM283" s="49"/>
      <c r="AN283" s="49"/>
      <c r="AO283" s="49"/>
    </row>
    <row r="284" spans="1:41" ht="14">
      <c r="A284" s="44">
        <f ca="1">IFERROR(__xludf.DUMMYFUNCTION("QUERY('Volunteer Survey'!A293)"),43711.40800353)</f>
        <v>43711.408003529999</v>
      </c>
      <c r="B284" s="42" t="s">
        <v>108</v>
      </c>
      <c r="C284" s="47"/>
      <c r="D284" s="50">
        <v>43585</v>
      </c>
      <c r="E284" s="42" t="s">
        <v>117</v>
      </c>
      <c r="F284" s="42" t="s">
        <v>130</v>
      </c>
      <c r="G284" s="42" t="s">
        <v>122</v>
      </c>
      <c r="H284" s="47"/>
      <c r="I284" s="45" t="s">
        <v>356</v>
      </c>
      <c r="J284" s="50">
        <v>43712</v>
      </c>
      <c r="K284" s="50"/>
      <c r="L284" s="49" t="str">
        <f ca="1">IFERROR(__xludf.DUMMYFUNCTION("QUERY('Volunteer Survey'!B293)"),"Coumarane Mani")</f>
        <v>Coumarane Mani</v>
      </c>
      <c r="M284" s="49" t="str">
        <f ca="1">IFERROR(__xludf.DUMMYFUNCTION("QUERY('Volunteer Survey'!E293)"),"coumarane.mani@aruplab.com")</f>
        <v>coumarane.mani@aruplab.com</v>
      </c>
      <c r="N284" s="49" t="str">
        <f ca="1">IFERROR(__xludf.DUMMYFUNCTION("QUERY('Volunteer Survey'!F293)"),"Variant Analyst/Scientist - Industry")</f>
        <v>Variant Analyst/Scientist - Industry</v>
      </c>
      <c r="O284" s="42" t="str">
        <f ca="1">IFERROR(__xludf.DUMMYFUNCTION("QUERY('Volunteer Survey'!H293)"),"Comprehensive")</f>
        <v>Comprehensive</v>
      </c>
      <c r="P284" s="49" t="str">
        <f ca="1">IFERROR(__xludf.DUMMYFUNCTION("QUERY('Volunteer Survey'!I293)"),"Gene-Disease Validity")</f>
        <v>Gene-Disease Validity</v>
      </c>
      <c r="Q284" s="54" t="str">
        <f ca="1">IFERROR(__xludf.DUMMYFUNCTION("QUERY('Volunteer Survey'!J293)"),"")</f>
        <v/>
      </c>
      <c r="R284" s="49" t="str">
        <f ca="1">IFERROR(__xludf.DUMMYFUNCTION("QUERY('Volunteer Survey'!K293)"),"")</f>
        <v/>
      </c>
      <c r="S284" s="49" t="str">
        <f ca="1">IFERROR(__xludf.DUMMYFUNCTION("QUERY('Volunteer Survey'!L293)"),"")</f>
        <v/>
      </c>
      <c r="T284" s="49" t="str">
        <f ca="1">IFERROR(__xludf.DUMMYFUNCTION("QUERY('Volunteer Survey'!M293)"),"")</f>
        <v/>
      </c>
      <c r="U284" s="58" t="str">
        <f ca="1">IFERROR(__xludf.DUMMYFUNCTION("QUERY('Volunteer Survey'!N293)"),"")</f>
        <v/>
      </c>
      <c r="V284" s="49" t="str">
        <f ca="1">IFERROR(__xludf.DUMMYFUNCTION("QUERY('Volunteer Survey'!O293)"),"")</f>
        <v/>
      </c>
      <c r="W284" s="60" t="str">
        <f ca="1">IFERROR(__xludf.DUMMYFUNCTION("QUERY('Volunteer Survey'!P293)"),"")</f>
        <v/>
      </c>
      <c r="X284" s="58" t="str">
        <f ca="1">IFERROR(__xludf.DUMMYFUNCTION("QUERY('Volunteer Survey'!R293)"),"")</f>
        <v/>
      </c>
      <c r="Y284" s="47"/>
      <c r="Z284" s="49"/>
      <c r="AA284" s="49"/>
      <c r="AB284" s="49"/>
      <c r="AC284" s="49"/>
      <c r="AD284" s="49"/>
      <c r="AE284" s="49"/>
      <c r="AF284" s="49"/>
      <c r="AG284" s="49"/>
      <c r="AH284" s="49"/>
      <c r="AI284" s="49"/>
      <c r="AJ284" s="49"/>
      <c r="AK284" s="49"/>
      <c r="AL284" s="49"/>
      <c r="AM284" s="49"/>
      <c r="AN284" s="49"/>
      <c r="AO284" s="49"/>
    </row>
    <row r="285" spans="1:41" ht="14">
      <c r="A285" s="44">
        <f ca="1">IFERROR(__xludf.DUMMYFUNCTION("QUERY('Volunteer Survey'!A294)"),43711.4090853819)</f>
        <v>43711.4090853819</v>
      </c>
      <c r="B285" s="42" t="s">
        <v>108</v>
      </c>
      <c r="C285" s="47"/>
      <c r="D285" s="50">
        <v>43605</v>
      </c>
      <c r="E285" s="42" t="s">
        <v>117</v>
      </c>
      <c r="F285" s="42" t="s">
        <v>117</v>
      </c>
      <c r="G285" s="42" t="s">
        <v>251</v>
      </c>
      <c r="H285" s="47"/>
      <c r="I285" s="45" t="s">
        <v>1229</v>
      </c>
      <c r="J285" s="49"/>
      <c r="K285" s="49"/>
      <c r="L285" s="49" t="str">
        <f ca="1">IFERROR(__xludf.DUMMYFUNCTION("QUERY('Volunteer Survey'!B294)"),"Coumarane Mani")</f>
        <v>Coumarane Mani</v>
      </c>
      <c r="M285" s="49" t="str">
        <f ca="1">IFERROR(__xludf.DUMMYFUNCTION("QUERY('Volunteer Survey'!E294)"),"coumarane.mani@aruplab.com")</f>
        <v>coumarane.mani@aruplab.com</v>
      </c>
      <c r="N285" s="49" t="str">
        <f ca="1">IFERROR(__xludf.DUMMYFUNCTION("QUERY('Volunteer Survey'!F294)"),"Variant Analyst/Scientist - Industry")</f>
        <v>Variant Analyst/Scientist - Industry</v>
      </c>
      <c r="O285" s="42" t="str">
        <f ca="1">IFERROR(__xludf.DUMMYFUNCTION("QUERY('Volunteer Survey'!H294)"),"Comprehensive")</f>
        <v>Comprehensive</v>
      </c>
      <c r="P285" s="49" t="str">
        <f ca="1">IFERROR(__xludf.DUMMYFUNCTION("QUERY('Volunteer Survey'!I294)"),"Variant Pathogenicity")</f>
        <v>Variant Pathogenicity</v>
      </c>
      <c r="Q285" s="54" t="str">
        <f ca="1">IFERROR(__xludf.DUMMYFUNCTION("QUERY('Volunteer Survey'!J294)"),"")</f>
        <v/>
      </c>
      <c r="R285" s="49" t="str">
        <f ca="1">IFERROR(__xludf.DUMMYFUNCTION("QUERY('Volunteer Survey'!K294)"),"")</f>
        <v/>
      </c>
      <c r="S285" s="49" t="str">
        <f ca="1">IFERROR(__xludf.DUMMYFUNCTION("QUERY('Volunteer Survey'!L294)"),"")</f>
        <v/>
      </c>
      <c r="T285" s="49" t="str">
        <f ca="1">IFERROR(__xludf.DUMMYFUNCTION("QUERY('Volunteer Survey'!M294)"),"")</f>
        <v/>
      </c>
      <c r="U285" s="58" t="str">
        <f ca="1">IFERROR(__xludf.DUMMYFUNCTION("QUERY('Volunteer Survey'!N294)"),"")</f>
        <v/>
      </c>
      <c r="V285" s="49" t="str">
        <f ca="1">IFERROR(__xludf.DUMMYFUNCTION("QUERY('Volunteer Survey'!O294)"),"")</f>
        <v/>
      </c>
      <c r="W285" s="60" t="str">
        <f ca="1">IFERROR(__xludf.DUMMYFUNCTION("QUERY('Volunteer Survey'!P294)"),"")</f>
        <v/>
      </c>
      <c r="X285" s="58" t="str">
        <f ca="1">IFERROR(__xludf.DUMMYFUNCTION("QUERY('Volunteer Survey'!R294)"),"")</f>
        <v/>
      </c>
      <c r="Y285" s="47"/>
      <c r="Z285" s="49"/>
      <c r="AA285" s="49"/>
      <c r="AB285" s="49"/>
      <c r="AC285" s="49"/>
      <c r="AD285" s="49"/>
      <c r="AE285" s="49"/>
      <c r="AF285" s="49"/>
      <c r="AG285" s="49"/>
      <c r="AH285" s="49"/>
      <c r="AI285" s="49"/>
      <c r="AJ285" s="49"/>
      <c r="AK285" s="49"/>
      <c r="AL285" s="49"/>
      <c r="AM285" s="49"/>
      <c r="AN285" s="49"/>
      <c r="AO285" s="49"/>
    </row>
    <row r="286" spans="1:41" ht="14">
      <c r="A286" s="44">
        <f ca="1">IFERROR(__xludf.DUMMYFUNCTION("QUERY('Volunteer Survey'!A295)"),43711.4140849884)</f>
        <v>43711.414084988399</v>
      </c>
      <c r="B286" s="42" t="s">
        <v>108</v>
      </c>
      <c r="C286" s="47"/>
      <c r="D286" s="50">
        <v>47258</v>
      </c>
      <c r="E286" s="42" t="s">
        <v>117</v>
      </c>
      <c r="F286" s="42" t="s">
        <v>117</v>
      </c>
      <c r="G286" s="42" t="s">
        <v>251</v>
      </c>
      <c r="H286" s="47"/>
      <c r="I286" s="45" t="s">
        <v>356</v>
      </c>
      <c r="J286" s="49"/>
      <c r="K286" s="49"/>
      <c r="L286" s="49" t="str">
        <f ca="1">IFERROR(__xludf.DUMMYFUNCTION("QUERY('Volunteer Survey'!B295)"),"Diogo Ventura Lovato")</f>
        <v>Diogo Ventura Lovato</v>
      </c>
      <c r="M286" s="49" t="str">
        <f ca="1">IFERROR(__xludf.DUMMYFUNCTION("QUERY('Volunteer Survey'!E295)"),"diogo.v.lovato@gmail.com")</f>
        <v>diogo.v.lovato@gmail.com</v>
      </c>
      <c r="N286" s="49" t="str">
        <f ca="1">IFERROR(__xludf.DUMMYFUNCTION("QUERY('Volunteer Survey'!F295)"),"Clinical laboratory geneticist")</f>
        <v>Clinical laboratory geneticist</v>
      </c>
      <c r="O286" s="42" t="str">
        <f ca="1">IFERROR(__xludf.DUMMYFUNCTION("QUERY('Volunteer Survey'!H295)"),"Comprehensive")</f>
        <v>Comprehensive</v>
      </c>
      <c r="P286" s="49" t="str">
        <f ca="1">IFERROR(__xludf.DUMMYFUNCTION("QUERY('Volunteer Survey'!I295)"),"Variant Pathogenicity")</f>
        <v>Variant Pathogenicity</v>
      </c>
      <c r="Q286" s="54" t="str">
        <f ca="1">IFERROR(__xludf.DUMMYFUNCTION("QUERY('Volunteer Survey'!J295)"),"")</f>
        <v/>
      </c>
      <c r="R286" s="49" t="str">
        <f ca="1">IFERROR(__xludf.DUMMYFUNCTION("QUERY('Volunteer Survey'!K295)"),"")</f>
        <v/>
      </c>
      <c r="S286" s="49" t="str">
        <f ca="1">IFERROR(__xludf.DUMMYFUNCTION("QUERY('Volunteer Survey'!L295)"),"")</f>
        <v/>
      </c>
      <c r="T286" s="49" t="str">
        <f ca="1">IFERROR(__xludf.DUMMYFUNCTION("QUERY('Volunteer Survey'!M295)"),"")</f>
        <v/>
      </c>
      <c r="U286" s="58" t="str">
        <f ca="1">IFERROR(__xludf.DUMMYFUNCTION("QUERY('Volunteer Survey'!N295)"),"")</f>
        <v/>
      </c>
      <c r="V286" s="49" t="str">
        <f ca="1">IFERROR(__xludf.DUMMYFUNCTION("QUERY('Volunteer Survey'!O295)"),"")</f>
        <v/>
      </c>
      <c r="W286" s="60" t="str">
        <f ca="1">IFERROR(__xludf.DUMMYFUNCTION("QUERY('Volunteer Survey'!P295)"),"")</f>
        <v/>
      </c>
      <c r="X286" s="58" t="str">
        <f ca="1">IFERROR(__xludf.DUMMYFUNCTION("QUERY('Volunteer Survey'!R295)"),"")</f>
        <v/>
      </c>
      <c r="Y286" s="47"/>
      <c r="Z286" s="49"/>
      <c r="AA286" s="49"/>
      <c r="AB286" s="49"/>
      <c r="AC286" s="49"/>
      <c r="AD286" s="49"/>
      <c r="AE286" s="49"/>
      <c r="AF286" s="49"/>
      <c r="AG286" s="49"/>
      <c r="AH286" s="49"/>
      <c r="AI286" s="49"/>
      <c r="AJ286" s="49"/>
      <c r="AK286" s="49"/>
      <c r="AL286" s="49"/>
      <c r="AM286" s="49"/>
      <c r="AN286" s="49"/>
      <c r="AO286" s="49"/>
    </row>
    <row r="287" spans="1:41" ht="14">
      <c r="A287" s="44">
        <f ca="1">IFERROR(__xludf.DUMMYFUNCTION("QUERY('Volunteer Survey'!A296)"),43711.416964699)</f>
        <v>43711.416964698998</v>
      </c>
      <c r="B287" s="42" t="s">
        <v>108</v>
      </c>
      <c r="C287" s="47"/>
      <c r="D287" s="50">
        <v>43626</v>
      </c>
      <c r="E287" s="42" t="s">
        <v>117</v>
      </c>
      <c r="F287" s="42" t="s">
        <v>130</v>
      </c>
      <c r="G287" s="42" t="s">
        <v>251</v>
      </c>
      <c r="H287" s="47"/>
      <c r="I287" s="45" t="s">
        <v>356</v>
      </c>
      <c r="J287" s="49"/>
      <c r="K287" s="49"/>
      <c r="L287" s="49" t="str">
        <f ca="1">IFERROR(__xludf.DUMMYFUNCTION("QUERY('Volunteer Survey'!B296)"),"Elaine Spector")</f>
        <v>Elaine Spector</v>
      </c>
      <c r="M287" s="49" t="str">
        <f ca="1">IFERROR(__xludf.DUMMYFUNCTION("QUERY('Volunteer Survey'!E296)"),"elaine.spector@childrenscolorado.org")</f>
        <v>elaine.spector@childrenscolorado.org</v>
      </c>
      <c r="N287" s="49" t="str">
        <f ca="1">IFERROR(__xludf.DUMMYFUNCTION("QUERY('Volunteer Survey'!F296)"),"Clinical laboratory geneticist")</f>
        <v>Clinical laboratory geneticist</v>
      </c>
      <c r="O287" s="42" t="str">
        <f ca="1">IFERROR(__xludf.DUMMYFUNCTION("QUERY('Volunteer Survey'!H296)"),"Comprehensive")</f>
        <v>Comprehensive</v>
      </c>
      <c r="P287" s="49" t="str">
        <f ca="1">IFERROR(__xludf.DUMMYFUNCTION("QUERY('Volunteer Survey'!I296)"),"Variant Pathogenicity")</f>
        <v>Variant Pathogenicity</v>
      </c>
      <c r="Q287" s="54" t="str">
        <f ca="1">IFERROR(__xludf.DUMMYFUNCTION("QUERY('Volunteer Survey'!J296)"),"")</f>
        <v/>
      </c>
      <c r="R287" s="49" t="str">
        <f ca="1">IFERROR(__xludf.DUMMYFUNCTION("QUERY('Volunteer Survey'!K296)"),"")</f>
        <v/>
      </c>
      <c r="S287" s="49" t="str">
        <f ca="1">IFERROR(__xludf.DUMMYFUNCTION("QUERY('Volunteer Survey'!L296)"),"")</f>
        <v/>
      </c>
      <c r="T287" s="49" t="str">
        <f ca="1">IFERROR(__xludf.DUMMYFUNCTION("QUERY('Volunteer Survey'!M296)"),"")</f>
        <v/>
      </c>
      <c r="U287" s="58" t="str">
        <f ca="1">IFERROR(__xludf.DUMMYFUNCTION("QUERY('Volunteer Survey'!N296)"),"")</f>
        <v/>
      </c>
      <c r="V287" s="49" t="str">
        <f ca="1">IFERROR(__xludf.DUMMYFUNCTION("QUERY('Volunteer Survey'!O296)"),"")</f>
        <v/>
      </c>
      <c r="W287" s="60" t="str">
        <f ca="1">IFERROR(__xludf.DUMMYFUNCTION("QUERY('Volunteer Survey'!P296)"),"")</f>
        <v/>
      </c>
      <c r="X287" s="58" t="str">
        <f ca="1">IFERROR(__xludf.DUMMYFUNCTION("QUERY('Volunteer Survey'!R296)"),"")</f>
        <v/>
      </c>
      <c r="Y287" s="47"/>
      <c r="Z287" s="49"/>
      <c r="AA287" s="49"/>
      <c r="AB287" s="49"/>
      <c r="AC287" s="49"/>
      <c r="AD287" s="49"/>
      <c r="AE287" s="49"/>
      <c r="AF287" s="49"/>
      <c r="AG287" s="49"/>
      <c r="AH287" s="49"/>
      <c r="AI287" s="49"/>
      <c r="AJ287" s="49"/>
      <c r="AK287" s="49"/>
      <c r="AL287" s="49"/>
      <c r="AM287" s="49"/>
      <c r="AN287" s="49"/>
      <c r="AO287" s="49"/>
    </row>
    <row r="288" spans="1:41" ht="14">
      <c r="A288" s="44">
        <f ca="1">IFERROR(__xludf.DUMMYFUNCTION("QUERY('Volunteer Survey'!A297)"),43711.4222845949)</f>
        <v>43711.422284594897</v>
      </c>
      <c r="B288" s="42" t="s">
        <v>108</v>
      </c>
      <c r="C288" s="47"/>
      <c r="D288" s="50">
        <v>43608</v>
      </c>
      <c r="E288" s="42" t="s">
        <v>117</v>
      </c>
      <c r="F288" s="42" t="s">
        <v>117</v>
      </c>
      <c r="G288" s="42" t="s">
        <v>251</v>
      </c>
      <c r="H288" s="45" t="s">
        <v>305</v>
      </c>
      <c r="I288" s="45" t="s">
        <v>356</v>
      </c>
      <c r="J288" s="50">
        <v>43712</v>
      </c>
      <c r="K288" s="50"/>
      <c r="L288" s="49" t="str">
        <f ca="1">IFERROR(__xludf.DUMMYFUNCTION("QUERY('Volunteer Survey'!B297)"),"Laura Fuqua")</f>
        <v>Laura Fuqua</v>
      </c>
      <c r="M288" s="49" t="str">
        <f ca="1">IFERROR(__xludf.DUMMYFUNCTION("QUERY('Volunteer Survey'!E297)"),"laura.fuqua@gmail.com")</f>
        <v>laura.fuqua@gmail.com</v>
      </c>
      <c r="N288" s="49" t="str">
        <f ca="1">IFERROR(__xludf.DUMMYFUNCTION("QUERY('Volunteer Survey'!F297)"),"Genetic counselor")</f>
        <v>Genetic counselor</v>
      </c>
      <c r="O288" s="42" t="str">
        <f ca="1">IFERROR(__xludf.DUMMYFUNCTION("QUERY('Volunteer Survey'!H297)"),"Comprehensive")</f>
        <v>Comprehensive</v>
      </c>
      <c r="P288" s="49" t="str">
        <f ca="1">IFERROR(__xludf.DUMMYFUNCTION("QUERY('Volunteer Survey'!I297)"),"Variant Pathogenicity")</f>
        <v>Variant Pathogenicity</v>
      </c>
      <c r="Q288" s="54" t="str">
        <f ca="1">IFERROR(__xludf.DUMMYFUNCTION("QUERY('Volunteer Survey'!J297)"),"")</f>
        <v/>
      </c>
      <c r="R288" s="49" t="str">
        <f ca="1">IFERROR(__xludf.DUMMYFUNCTION("QUERY('Volunteer Survey'!K297)"),"")</f>
        <v/>
      </c>
      <c r="S288" s="49" t="str">
        <f ca="1">IFERROR(__xludf.DUMMYFUNCTION("QUERY('Volunteer Survey'!L297)"),"")</f>
        <v/>
      </c>
      <c r="T288" s="49" t="str">
        <f ca="1">IFERROR(__xludf.DUMMYFUNCTION("QUERY('Volunteer Survey'!M297)"),"")</f>
        <v/>
      </c>
      <c r="U288" s="58" t="str">
        <f ca="1">IFERROR(__xludf.DUMMYFUNCTION("QUERY('Volunteer Survey'!N297)"),"")</f>
        <v/>
      </c>
      <c r="V288" s="49" t="str">
        <f ca="1">IFERROR(__xludf.DUMMYFUNCTION("QUERY('Volunteer Survey'!O297)"),"")</f>
        <v/>
      </c>
      <c r="W288" s="60" t="str">
        <f ca="1">IFERROR(__xludf.DUMMYFUNCTION("QUERY('Volunteer Survey'!P297)"),"")</f>
        <v/>
      </c>
      <c r="X288" s="58" t="str">
        <f ca="1">IFERROR(__xludf.DUMMYFUNCTION("QUERY('Volunteer Survey'!R297)"),"")</f>
        <v/>
      </c>
      <c r="Y288" s="47"/>
      <c r="Z288" s="49"/>
      <c r="AA288" s="49"/>
      <c r="AB288" s="49"/>
      <c r="AC288" s="49"/>
      <c r="AD288" s="49"/>
      <c r="AE288" s="49"/>
      <c r="AF288" s="49"/>
      <c r="AG288" s="49"/>
      <c r="AH288" s="49"/>
      <c r="AI288" s="49"/>
      <c r="AJ288" s="49"/>
      <c r="AK288" s="49"/>
      <c r="AL288" s="49"/>
      <c r="AM288" s="49"/>
      <c r="AN288" s="49"/>
      <c r="AO288" s="49"/>
    </row>
    <row r="289" spans="1:41" ht="14">
      <c r="A289" s="44">
        <f ca="1">IFERROR(__xludf.DUMMYFUNCTION("QUERY('Volunteer Survey'!A298)"),43712.7747749189)</f>
        <v>43712.7747749189</v>
      </c>
      <c r="B289" s="42" t="s">
        <v>322</v>
      </c>
      <c r="C289" s="47"/>
      <c r="D289" s="49"/>
      <c r="E289" s="49"/>
      <c r="F289" s="42" t="s">
        <v>130</v>
      </c>
      <c r="G289" s="42" t="s">
        <v>313</v>
      </c>
      <c r="H289" s="47"/>
      <c r="I289" s="47"/>
      <c r="J289" s="49"/>
      <c r="K289" s="49"/>
      <c r="L289" s="49" t="str">
        <f ca="1">IFERROR(__xludf.DUMMYFUNCTION("QUERY('Volunteer Survey'!B298)"),"Kelly McGoldrick")</f>
        <v>Kelly McGoldrick</v>
      </c>
      <c r="M289" s="49" t="str">
        <f ca="1">IFERROR(__xludf.DUMMYFUNCTION("QUERY('Volunteer Survey'!E298)"),"kmcgoldrick@ambrygenetics.com")</f>
        <v>kmcgoldrick@ambrygenetics.com</v>
      </c>
      <c r="N289" s="49" t="str">
        <f ca="1">IFERROR(__xludf.DUMMYFUNCTION("QUERY('Volunteer Survey'!F298)"),"Variant Analyst/Scientist - Industry")</f>
        <v>Variant Analyst/Scientist - Industry</v>
      </c>
      <c r="O289" s="42" t="str">
        <f ca="1">IFERROR(__xludf.DUMMYFUNCTION("QUERY('Volunteer Survey'!H298)"),"Comprehensive")</f>
        <v>Comprehensive</v>
      </c>
      <c r="P289" s="49" t="str">
        <f ca="1">IFERROR(__xludf.DUMMYFUNCTION("QUERY('Volunteer Survey'!I298)"),"")</f>
        <v/>
      </c>
      <c r="Q289" s="54" t="str">
        <f ca="1">IFERROR(__xludf.DUMMYFUNCTION("QUERY('Volunteer Survey'!J298)"),"")</f>
        <v/>
      </c>
      <c r="R289" s="49" t="str">
        <f ca="1">IFERROR(__xludf.DUMMYFUNCTION("QUERY('Volunteer Survey'!K298)"),"")</f>
        <v/>
      </c>
      <c r="S289" s="49" t="str">
        <f ca="1">IFERROR(__xludf.DUMMYFUNCTION("QUERY('Volunteer Survey'!L298)"),"")</f>
        <v/>
      </c>
      <c r="T289" s="49" t="str">
        <f ca="1">IFERROR(__xludf.DUMMYFUNCTION("QUERY('Volunteer Survey'!M298)"),"")</f>
        <v/>
      </c>
      <c r="U289" s="58" t="str">
        <f ca="1">IFERROR(__xludf.DUMMYFUNCTION("QUERY('Volunteer Survey'!N298)"),"I am a variant curation scientist at Ambry Genetics")</f>
        <v>I am a variant curation scientist at Ambry Genetics</v>
      </c>
      <c r="V289" s="49" t="str">
        <f ca="1">IFERROR(__xludf.DUMMYFUNCTION("QUERY('Volunteer Survey'!O298)"),"Possibly")</f>
        <v>Possibly</v>
      </c>
      <c r="W289" s="60" t="str">
        <f ca="1">IFERROR(__xludf.DUMMYFUNCTION("QUERY('Volunteer Survey'!P298)"),"Already a member of TP53 and VHL groups")</f>
        <v>Already a member of TP53 and VHL groups</v>
      </c>
      <c r="X289" s="58" t="str">
        <f ca="1">IFERROR(__xludf.DUMMYFUNCTION("QUERY('Volunteer Survey'!R298)"),"No - I am only interested in the group(s) I previously indicated")</f>
        <v>No - I am only interested in the group(s) I previously indicated</v>
      </c>
      <c r="Y289" s="47"/>
      <c r="Z289" s="49"/>
      <c r="AA289" s="49"/>
      <c r="AB289" s="49"/>
      <c r="AC289" s="49"/>
      <c r="AD289" s="49"/>
      <c r="AE289" s="49"/>
      <c r="AF289" s="49"/>
      <c r="AG289" s="49"/>
      <c r="AH289" s="49"/>
      <c r="AI289" s="49"/>
      <c r="AJ289" s="49"/>
      <c r="AK289" s="49"/>
      <c r="AL289" s="49"/>
      <c r="AM289" s="49"/>
      <c r="AN289" s="49"/>
      <c r="AO289" s="49"/>
    </row>
    <row r="290" spans="1:41" ht="14">
      <c r="A290" s="44">
        <f ca="1">IFERROR(__xludf.DUMMYFUNCTION("QUERY('Volunteer Survey'!A299)"),43713.488728831)</f>
        <v>43713.488728830998</v>
      </c>
      <c r="B290" s="42" t="s">
        <v>108</v>
      </c>
      <c r="C290" s="73">
        <v>43819</v>
      </c>
      <c r="D290" s="49"/>
      <c r="E290" s="49"/>
      <c r="F290" s="42" t="s">
        <v>130</v>
      </c>
      <c r="G290" s="42" t="s">
        <v>251</v>
      </c>
      <c r="H290" s="47"/>
      <c r="I290" s="47"/>
      <c r="J290" s="49"/>
      <c r="K290" s="49"/>
      <c r="L290" s="49" t="str">
        <f ca="1">IFERROR(__xludf.DUMMYFUNCTION("QUERY('Volunteer Survey'!B299)"),"Patricia Harper")</f>
        <v>Patricia Harper</v>
      </c>
      <c r="M290" s="49" t="str">
        <f ca="1">IFERROR(__xludf.DUMMYFUNCTION("QUERY('Volunteer Survey'!E299)"),"pharper@cheo.on.ca")</f>
        <v>pharper@cheo.on.ca</v>
      </c>
      <c r="N290" s="49" t="str">
        <f ca="1">IFERROR(__xludf.DUMMYFUNCTION("QUERY('Volunteer Survey'!F299)"),"Genetic counselor")</f>
        <v>Genetic counselor</v>
      </c>
      <c r="O290" s="42" t="str">
        <f ca="1">IFERROR(__xludf.DUMMYFUNCTION("QUERY('Volunteer Survey'!H299)"),"Comprehensive")</f>
        <v>Comprehensive</v>
      </c>
      <c r="P290" s="49" t="str">
        <f ca="1">IFERROR(__xludf.DUMMYFUNCTION("QUERY('Volunteer Survey'!I299)"),"Variant Pathogenicity")</f>
        <v>Variant Pathogenicity</v>
      </c>
      <c r="Q290" s="54" t="str">
        <f ca="1">IFERROR(__xludf.DUMMYFUNCTION("QUERY('Volunteer Survey'!J299)"),"Clinical Actionability")</f>
        <v>Clinical Actionability</v>
      </c>
      <c r="R290" s="49" t="str">
        <f ca="1">IFERROR(__xludf.DUMMYFUNCTION("QUERY('Volunteer Survey'!K299)"),"Gene-Disease Validity")</f>
        <v>Gene-Disease Validity</v>
      </c>
      <c r="S290" s="49" t="str">
        <f ca="1">IFERROR(__xludf.DUMMYFUNCTION("QUERY('Volunteer Survey'!L299)"),"")</f>
        <v/>
      </c>
      <c r="T290" s="49" t="str">
        <f ca="1">IFERROR(__xludf.DUMMYFUNCTION("QUERY('Volunteer Survey'!M299)"),"")</f>
        <v/>
      </c>
      <c r="U290" s="58" t="str">
        <f ca="1">IFERROR(__xludf.DUMMYFUNCTION("QUERY('Volunteer Survey'!N299)"),"Yes, currently a member of the ClinGen Cardiomyopathy VCC")</f>
        <v>Yes, currently a member of the ClinGen Cardiomyopathy VCC</v>
      </c>
      <c r="V290" s="49" t="str">
        <f ca="1">IFERROR(__xludf.DUMMYFUNCTION("QUERY('Volunteer Survey'!O299)"),"Possibly")</f>
        <v>Possibly</v>
      </c>
      <c r="W290" s="60" t="str">
        <f ca="1">IFERROR(__xludf.DUMMYFUNCTION("QUERY('Volunteer Survey'!P299)"),"Hereditary cancer (and/or associated genes such as TP53)")</f>
        <v>Hereditary cancer (and/or associated genes such as TP53)</v>
      </c>
      <c r="X290" s="58" t="str">
        <f ca="1">IFERROR(__xludf.DUMMYFUNCTION("QUERY('Volunteer Survey'!R299)"),"Maybe -- please contact me with other options, and I will decide based on what is available")</f>
        <v>Maybe -- please contact me with other options, and I will decide based on what is available</v>
      </c>
      <c r="Y290" s="47"/>
      <c r="Z290" s="49"/>
      <c r="AA290" s="49"/>
      <c r="AB290" s="49"/>
      <c r="AC290" s="49"/>
      <c r="AD290" s="49"/>
      <c r="AE290" s="49"/>
      <c r="AF290" s="49"/>
      <c r="AG290" s="49"/>
      <c r="AH290" s="49"/>
      <c r="AI290" s="49"/>
      <c r="AJ290" s="49"/>
      <c r="AK290" s="49"/>
      <c r="AL290" s="49"/>
      <c r="AM290" s="49"/>
      <c r="AN290" s="49"/>
      <c r="AO290" s="49"/>
    </row>
    <row r="291" spans="1:41" ht="14">
      <c r="A291" s="44">
        <f ca="1">IFERROR(__xludf.DUMMYFUNCTION("QUERY('Volunteer Survey'!A300)"),43714.5542454861)</f>
        <v>43714.554245486099</v>
      </c>
      <c r="B291" s="42" t="s">
        <v>322</v>
      </c>
      <c r="C291" s="47"/>
      <c r="D291" s="49"/>
      <c r="E291" s="49"/>
      <c r="F291" s="42" t="s">
        <v>130</v>
      </c>
      <c r="G291" s="42" t="s">
        <v>136</v>
      </c>
      <c r="H291" s="47"/>
      <c r="I291" s="47"/>
      <c r="J291" s="49"/>
      <c r="K291" s="49"/>
      <c r="L291" s="49" t="str">
        <f ca="1">IFERROR(__xludf.DUMMYFUNCTION("QUERY('Volunteer Survey'!B300)"),"Rasha hekal ")</f>
        <v xml:space="preserve">Rasha hekal </v>
      </c>
      <c r="M291" s="49" t="str">
        <f ca="1">IFERROR(__xludf.DUMMYFUNCTION("QUERY('Volunteer Survey'!E300)"),"rasha.hekal.152003@gmail.com")</f>
        <v>rasha.hekal.152003@gmail.com</v>
      </c>
      <c r="N291" s="49" t="str">
        <f ca="1">IFERROR(__xludf.DUMMYFUNCTION("QUERY('Volunteer Survey'!F300)"),"Undergraduate Student")</f>
        <v>Undergraduate Student</v>
      </c>
      <c r="O291" s="42" t="str">
        <f ca="1">IFERROR(__xludf.DUMMYFUNCTION("QUERY('Volunteer Survey'!H300)"),"Comprehensive")</f>
        <v>Comprehensive</v>
      </c>
      <c r="P291" s="49" t="str">
        <f ca="1">IFERROR(__xludf.DUMMYFUNCTION("QUERY('Volunteer Survey'!I300)"),"Somatic Cancer")</f>
        <v>Somatic Cancer</v>
      </c>
      <c r="Q291" s="54" t="str">
        <f ca="1">IFERROR(__xludf.DUMMYFUNCTION("QUERY('Volunteer Survey'!J300)"),"Gene-Disease Validity")</f>
        <v>Gene-Disease Validity</v>
      </c>
      <c r="R291" s="49" t="str">
        <f ca="1">IFERROR(__xludf.DUMMYFUNCTION("QUERY('Volunteer Survey'!K300)"),"Clinical Actionability")</f>
        <v>Clinical Actionability</v>
      </c>
      <c r="S291" s="49" t="str">
        <f ca="1">IFERROR(__xludf.DUMMYFUNCTION("QUERY('Volunteer Survey'!L300)"),"Dosage Sensitivity")</f>
        <v>Dosage Sensitivity</v>
      </c>
      <c r="T291" s="49" t="str">
        <f ca="1">IFERROR(__xludf.DUMMYFUNCTION("QUERY('Volunteer Survey'!M300)"),"Variant Pathogenicity")</f>
        <v>Variant Pathogenicity</v>
      </c>
      <c r="U291" s="58" t="str">
        <f ca="1">IFERROR(__xludf.DUMMYFUNCTION("QUERY('Volunteer Survey'!N300)"),"No I didn't have but I have a lot of information.")</f>
        <v>No I didn't have but I have a lot of information.</v>
      </c>
      <c r="V291" s="49" t="str">
        <f ca="1">IFERROR(__xludf.DUMMYFUNCTION("QUERY('Volunteer Survey'!O300)"),"Yes")</f>
        <v>Yes</v>
      </c>
      <c r="W291" s="60" t="str">
        <f ca="1">IFERROR(__xludf.DUMMYFUNCTION("QUERY('Volunteer Survey'!P300)"),"Yes I am very interested to join this group. ")</f>
        <v xml:space="preserve">Yes I am very interested to join this group. </v>
      </c>
      <c r="X291" s="58" t="str">
        <f ca="1">IFERROR(__xludf.DUMMYFUNCTION("QUERY('Volunteer Survey'!R300)"),"Yes- I am willing to volunteer with any available ClinGen group")</f>
        <v>Yes- I am willing to volunteer with any available ClinGen group</v>
      </c>
      <c r="Y291" s="47"/>
      <c r="Z291" s="49"/>
      <c r="AA291" s="49"/>
      <c r="AB291" s="49"/>
      <c r="AC291" s="49"/>
      <c r="AD291" s="49"/>
      <c r="AE291" s="49"/>
      <c r="AF291" s="49"/>
      <c r="AG291" s="49"/>
      <c r="AH291" s="49"/>
      <c r="AI291" s="49"/>
      <c r="AJ291" s="49"/>
      <c r="AK291" s="49"/>
      <c r="AL291" s="49"/>
      <c r="AM291" s="49"/>
      <c r="AN291" s="49"/>
      <c r="AO291" s="49"/>
    </row>
    <row r="292" spans="1:41" ht="14">
      <c r="A292" s="44">
        <f ca="1">IFERROR(__xludf.DUMMYFUNCTION("QUERY('Volunteer Survey'!A301)"),43714.7015272337)</f>
        <v>43714.701527233701</v>
      </c>
      <c r="B292" s="42" t="s">
        <v>108</v>
      </c>
      <c r="C292" s="47"/>
      <c r="D292" s="49"/>
      <c r="E292" s="49"/>
      <c r="F292" s="42" t="s">
        <v>130</v>
      </c>
      <c r="G292" s="42" t="s">
        <v>202</v>
      </c>
      <c r="H292" s="47"/>
      <c r="I292" s="45" t="s">
        <v>139</v>
      </c>
      <c r="J292" s="49"/>
      <c r="K292" s="49"/>
      <c r="L292" s="49" t="str">
        <f ca="1">IFERROR(__xludf.DUMMYFUNCTION("QUERY('Volunteer Survey'!B301)"),"Nathaniel Jue")</f>
        <v>Nathaniel Jue</v>
      </c>
      <c r="M292" s="49" t="str">
        <f ca="1">IFERROR(__xludf.DUMMYFUNCTION("QUERY('Volunteer Survey'!E301)"),"njue@csumb.edu")</f>
        <v>njue@csumb.edu</v>
      </c>
      <c r="N292" s="49" t="str">
        <f ca="1">IFERROR(__xludf.DUMMYFUNCTION("QUERY('Volunteer Survey'!F301)"),"Scientific Researcher")</f>
        <v>Scientific Researcher</v>
      </c>
      <c r="O292" s="42" t="str">
        <f ca="1">IFERROR(__xludf.DUMMYFUNCTION("QUERY('Volunteer Survey'!H301)"),"Baseline")</f>
        <v>Baseline</v>
      </c>
      <c r="P292" s="49" t="str">
        <f ca="1">IFERROR(__xludf.DUMMYFUNCTION("QUERY('Volunteer Survey'!I301)"),"")</f>
        <v/>
      </c>
      <c r="Q292" s="54" t="str">
        <f ca="1">IFERROR(__xludf.DUMMYFUNCTION("QUERY('Volunteer Survey'!J301)"),"")</f>
        <v/>
      </c>
      <c r="R292" s="49" t="str">
        <f ca="1">IFERROR(__xludf.DUMMYFUNCTION("QUERY('Volunteer Survey'!K301)"),"")</f>
        <v/>
      </c>
      <c r="S292" s="49" t="str">
        <f ca="1">IFERROR(__xludf.DUMMYFUNCTION("QUERY('Volunteer Survey'!L301)"),"")</f>
        <v/>
      </c>
      <c r="T292" s="49" t="str">
        <f ca="1">IFERROR(__xludf.DUMMYFUNCTION("QUERY('Volunteer Survey'!M301)"),"")</f>
        <v/>
      </c>
      <c r="U292" s="58" t="str">
        <f ca="1">IFERROR(__xludf.DUMMYFUNCTION("QUERY('Volunteer Survey'!N301)"),"De novo genome annotation")</f>
        <v>De novo genome annotation</v>
      </c>
      <c r="V292" s="49" t="str">
        <f ca="1">IFERROR(__xludf.DUMMYFUNCTION("QUERY('Volunteer Survey'!O301)"),"Possibly")</f>
        <v>Possibly</v>
      </c>
      <c r="W292" s="60" t="str">
        <f ca="1">IFERROR(__xludf.DUMMYFUNCTION("QUERY('Volunteer Survey'!P301)"),"No")</f>
        <v>No</v>
      </c>
      <c r="X292" s="58" t="str">
        <f ca="1">IFERROR(__xludf.DUMMYFUNCTION("QUERY('Volunteer Survey'!R301)"),"Maybe -- please contact me with other options, and I will decide based on what is available")</f>
        <v>Maybe -- please contact me with other options, and I will decide based on what is available</v>
      </c>
      <c r="Y292" s="47"/>
      <c r="Z292" s="49"/>
      <c r="AA292" s="49"/>
      <c r="AB292" s="49"/>
      <c r="AC292" s="49"/>
      <c r="AD292" s="49"/>
      <c r="AE292" s="49"/>
      <c r="AF292" s="49"/>
      <c r="AG292" s="49"/>
      <c r="AH292" s="49"/>
      <c r="AI292" s="49"/>
      <c r="AJ292" s="49"/>
      <c r="AK292" s="49"/>
      <c r="AL292" s="49"/>
      <c r="AM292" s="49"/>
      <c r="AN292" s="49"/>
      <c r="AO292" s="49"/>
    </row>
    <row r="293" spans="1:41" ht="14">
      <c r="A293" s="44">
        <f ca="1">IFERROR(__xludf.DUMMYFUNCTION("QUERY('Volunteer Survey'!A302)"),43716.6957171064)</f>
        <v>43716.695717106399</v>
      </c>
      <c r="B293" s="42" t="s">
        <v>322</v>
      </c>
      <c r="C293" s="47"/>
      <c r="D293" s="49"/>
      <c r="E293" s="49"/>
      <c r="F293" s="42" t="s">
        <v>130</v>
      </c>
      <c r="G293" s="42" t="s">
        <v>136</v>
      </c>
      <c r="H293" s="47"/>
      <c r="I293" s="47"/>
      <c r="J293" s="49"/>
      <c r="K293" s="49"/>
      <c r="L293" s="49" t="str">
        <f ca="1">IFERROR(__xludf.DUMMYFUNCTION("QUERY('Volunteer Survey'!B302)"),"Nihal Ahmed ")</f>
        <v xml:space="preserve">Nihal Ahmed </v>
      </c>
      <c r="M293" s="49" t="str">
        <f ca="1">IFERROR(__xludf.DUMMYFUNCTION("QUERY('Volunteer Survey'!E302)"),"nihalahmed087@gmail.com")</f>
        <v>nihalahmed087@gmail.com</v>
      </c>
      <c r="N293" s="49" t="str">
        <f ca="1">IFERROR(__xludf.DUMMYFUNCTION("QUERY('Volunteer Survey'!F302)"),"Undergraduate Student")</f>
        <v>Undergraduate Student</v>
      </c>
      <c r="O293" s="42" t="str">
        <f ca="1">IFERROR(__xludf.DUMMYFUNCTION("QUERY('Volunteer Survey'!H302)"),"Comprehensive")</f>
        <v>Comprehensive</v>
      </c>
      <c r="P293" s="49" t="str">
        <f ca="1">IFERROR(__xludf.DUMMYFUNCTION("QUERY('Volunteer Survey'!I302)"),"Somatic Cancer")</f>
        <v>Somatic Cancer</v>
      </c>
      <c r="Q293" s="54" t="str">
        <f ca="1">IFERROR(__xludf.DUMMYFUNCTION("QUERY('Volunteer Survey'!J302)"),"Gene-Disease Validity")</f>
        <v>Gene-Disease Validity</v>
      </c>
      <c r="R293" s="49" t="str">
        <f ca="1">IFERROR(__xludf.DUMMYFUNCTION("QUERY('Volunteer Survey'!K302)"),"Variant Pathogenicity")</f>
        <v>Variant Pathogenicity</v>
      </c>
      <c r="S293" s="49" t="str">
        <f ca="1">IFERROR(__xludf.DUMMYFUNCTION("QUERY('Volunteer Survey'!L302)"),"Clinical Actionability")</f>
        <v>Clinical Actionability</v>
      </c>
      <c r="T293" s="49" t="str">
        <f ca="1">IFERROR(__xludf.DUMMYFUNCTION("QUERY('Volunteer Survey'!M302)"),"Dosage Sensitivity")</f>
        <v>Dosage Sensitivity</v>
      </c>
      <c r="U293" s="58" t="str">
        <f ca="1">IFERROR(__xludf.DUMMYFUNCTION("QUERY('Volunteer Survey'!N302)"),"No, this is the first time for me to join something like this")</f>
        <v>No, this is the first time for me to join something like this</v>
      </c>
      <c r="V293" s="49" t="str">
        <f ca="1">IFERROR(__xludf.DUMMYFUNCTION("QUERY('Volunteer Survey'!O302)"),"Possibly")</f>
        <v>Possibly</v>
      </c>
      <c r="W293" s="60" t="str">
        <f ca="1">IFERROR(__xludf.DUMMYFUNCTION("QUERY('Volunteer Survey'!P302)"),"Not so interested ")</f>
        <v xml:space="preserve">Not so interested </v>
      </c>
      <c r="X293" s="58" t="str">
        <f ca="1">IFERROR(__xludf.DUMMYFUNCTION("QUERY('Volunteer Survey'!R302)"),"Maybe -- please contact me with other options, and I will decide based on what is available")</f>
        <v>Maybe -- please contact me with other options, and I will decide based on what is available</v>
      </c>
      <c r="Y293" s="47"/>
      <c r="Z293" s="49"/>
      <c r="AA293" s="49"/>
      <c r="AB293" s="49"/>
      <c r="AC293" s="49"/>
      <c r="AD293" s="49"/>
      <c r="AE293" s="49"/>
      <c r="AF293" s="49"/>
      <c r="AG293" s="49"/>
      <c r="AH293" s="49"/>
      <c r="AI293" s="49"/>
      <c r="AJ293" s="49"/>
      <c r="AK293" s="49"/>
      <c r="AL293" s="49"/>
      <c r="AM293" s="49"/>
      <c r="AN293" s="49"/>
      <c r="AO293" s="49"/>
    </row>
    <row r="294" spans="1:41" ht="14">
      <c r="A294" s="44">
        <f ca="1">IFERROR(__xludf.DUMMYFUNCTION("QUERY('Volunteer Survey'!A303)"),43717.7217262268)</f>
        <v>43717.721726226802</v>
      </c>
      <c r="B294" s="42" t="s">
        <v>108</v>
      </c>
      <c r="C294" s="73">
        <v>43819</v>
      </c>
      <c r="D294" s="67">
        <v>43846</v>
      </c>
      <c r="E294" s="42" t="s">
        <v>117</v>
      </c>
      <c r="F294" s="42" t="s">
        <v>130</v>
      </c>
      <c r="G294" s="42" t="s">
        <v>122</v>
      </c>
      <c r="H294" s="47"/>
      <c r="I294" s="47"/>
      <c r="J294" s="49"/>
      <c r="K294" s="49"/>
      <c r="L294" s="49" t="str">
        <f ca="1">IFERROR(__xludf.DUMMYFUNCTION("QUERY('Volunteer Survey'!B303)"),"Xiaoting Ma")</f>
        <v>Xiaoting Ma</v>
      </c>
      <c r="M294" s="49" t="str">
        <f ca="1">IFERROR(__xludf.DUMMYFUNCTION("QUERY('Volunteer Survey'!E303)"),"Xiaoting.Ma@childrens.harvard.edu")</f>
        <v>Xiaoting.Ma@childrens.harvard.edu</v>
      </c>
      <c r="N294" s="49" t="str">
        <f ca="1">IFERROR(__xludf.DUMMYFUNCTION("QUERY('Volunteer Survey'!F303)"),"Post Doc/Resident/Fellow (MD and/or PhD)")</f>
        <v>Post Doc/Resident/Fellow (MD and/or PhD)</v>
      </c>
      <c r="O294" s="42" t="str">
        <f ca="1">IFERROR(__xludf.DUMMYFUNCTION("QUERY('Volunteer Survey'!H303)"),"Comprehensive")</f>
        <v>Comprehensive</v>
      </c>
      <c r="P294" s="49" t="str">
        <f ca="1">IFERROR(__xludf.DUMMYFUNCTION("QUERY('Volunteer Survey'!I303)"),"Gene-Disease Validity")</f>
        <v>Gene-Disease Validity</v>
      </c>
      <c r="Q294" s="54" t="str">
        <f ca="1">IFERROR(__xludf.DUMMYFUNCTION("QUERY('Volunteer Survey'!J303)"),"Variant Pathogenicity")</f>
        <v>Variant Pathogenicity</v>
      </c>
      <c r="R294" s="49" t="str">
        <f ca="1">IFERROR(__xludf.DUMMYFUNCTION("QUERY('Volunteer Survey'!K303)"),"Somatic Cancer")</f>
        <v>Somatic Cancer</v>
      </c>
      <c r="S294" s="49" t="str">
        <f ca="1">IFERROR(__xludf.DUMMYFUNCTION("QUERY('Volunteer Survey'!L303)"),"Dosage Sensitivity")</f>
        <v>Dosage Sensitivity</v>
      </c>
      <c r="T294" s="49" t="str">
        <f ca="1">IFERROR(__xludf.DUMMYFUNCTION("QUERY('Volunteer Survey'!M303)"),"Clinical Actionability")</f>
        <v>Clinical Actionability</v>
      </c>
      <c r="U294" s="58" t="str">
        <f ca="1">IFERROR(__xludf.DUMMYFUNCTION("QUERY('Volunteer Survey'!N303)"),"")</f>
        <v/>
      </c>
      <c r="V294" s="49" t="str">
        <f ca="1">IFERROR(__xludf.DUMMYFUNCTION("QUERY('Volunteer Survey'!O303)"),"Yes")</f>
        <v>Yes</v>
      </c>
      <c r="W294" s="60" t="str">
        <f ca="1">IFERROR(__xludf.DUMMYFUNCTION("QUERY('Volunteer Survey'!P303)"),"I am open to any opportunities")</f>
        <v>I am open to any opportunities</v>
      </c>
      <c r="X294" s="58" t="str">
        <f ca="1">IFERROR(__xludf.DUMMYFUNCTION("QUERY('Volunteer Survey'!R303)"),"Yes- I am willing to volunteer with any available ClinGen group")</f>
        <v>Yes- I am willing to volunteer with any available ClinGen group</v>
      </c>
      <c r="Y294" s="47"/>
      <c r="Z294" s="49"/>
      <c r="AA294" s="49"/>
      <c r="AB294" s="49"/>
      <c r="AC294" s="49"/>
      <c r="AD294" s="49"/>
      <c r="AE294" s="49"/>
      <c r="AF294" s="49"/>
      <c r="AG294" s="49"/>
      <c r="AH294" s="49"/>
      <c r="AI294" s="49"/>
      <c r="AJ294" s="49"/>
      <c r="AK294" s="49"/>
      <c r="AL294" s="49"/>
      <c r="AM294" s="49"/>
      <c r="AN294" s="49"/>
      <c r="AO294" s="49"/>
    </row>
    <row r="295" spans="1:41" ht="14">
      <c r="A295" s="44">
        <f ca="1">IFERROR(__xludf.DUMMYFUNCTION("QUERY('Volunteer Survey'!A304)"),43717.7789646296)</f>
        <v>43717.778964629601</v>
      </c>
      <c r="B295" s="42" t="s">
        <v>108</v>
      </c>
      <c r="C295" s="73">
        <v>43819</v>
      </c>
      <c r="D295" s="49"/>
      <c r="E295" s="49"/>
      <c r="F295" s="42" t="s">
        <v>130</v>
      </c>
      <c r="G295" s="42" t="s">
        <v>251</v>
      </c>
      <c r="H295" s="47"/>
      <c r="I295" s="47"/>
      <c r="J295" s="49"/>
      <c r="K295" s="49"/>
      <c r="L295" s="49" t="str">
        <f ca="1">IFERROR(__xludf.DUMMYFUNCTION("QUERY('Volunteer Survey'!B304)"),"Saja El Yaacoub")</f>
        <v>Saja El Yaacoub</v>
      </c>
      <c r="M295" s="49" t="str">
        <f ca="1">IFERROR(__xludf.DUMMYFUNCTION("QUERY('Volunteer Survey'!E304)"),"saja.alyaacoub@live.com")</f>
        <v>saja.alyaacoub@live.com</v>
      </c>
      <c r="N295" s="49" t="str">
        <f ca="1">IFERROR(__xludf.DUMMYFUNCTION("QUERY('Volunteer Survey'!F304)"),"Graduate Student")</f>
        <v>Graduate Student</v>
      </c>
      <c r="O295" s="42" t="str">
        <f ca="1">IFERROR(__xludf.DUMMYFUNCTION("QUERY('Volunteer Survey'!H304)"),"Comprehensive")</f>
        <v>Comprehensive</v>
      </c>
      <c r="P295" s="49" t="str">
        <f ca="1">IFERROR(__xludf.DUMMYFUNCTION("QUERY('Volunteer Survey'!I304)"),"Variant Pathogenicity")</f>
        <v>Variant Pathogenicity</v>
      </c>
      <c r="Q295" s="54" t="str">
        <f ca="1">IFERROR(__xludf.DUMMYFUNCTION("QUERY('Volunteer Survey'!J304)"),"Gene-Disease Validity")</f>
        <v>Gene-Disease Validity</v>
      </c>
      <c r="R295" s="49" t="str">
        <f ca="1">IFERROR(__xludf.DUMMYFUNCTION("QUERY('Volunteer Survey'!K304)"),"Somatic Cancer")</f>
        <v>Somatic Cancer</v>
      </c>
      <c r="S295" s="49" t="str">
        <f ca="1">IFERROR(__xludf.DUMMYFUNCTION("QUERY('Volunteer Survey'!L304)"),"Dosage Sensitivity")</f>
        <v>Dosage Sensitivity</v>
      </c>
      <c r="T295" s="49" t="str">
        <f ca="1">IFERROR(__xludf.DUMMYFUNCTION("QUERY('Volunteer Survey'!M304)"),"Clinical Actionability")</f>
        <v>Clinical Actionability</v>
      </c>
      <c r="U295" s="58" t="str">
        <f ca="1">IFERROR(__xludf.DUMMYFUNCTION("QUERY('Volunteer Survey'!N304)"),"")</f>
        <v/>
      </c>
      <c r="V295" s="49" t="str">
        <f ca="1">IFERROR(__xludf.DUMMYFUNCTION("QUERY('Volunteer Survey'!O304)"),"No")</f>
        <v>No</v>
      </c>
      <c r="W295" s="60" t="str">
        <f ca="1">IFERROR(__xludf.DUMMYFUNCTION("QUERY('Volunteer Survey'!P304)"),"Mitochondrial Diseases")</f>
        <v>Mitochondrial Diseases</v>
      </c>
      <c r="X295" s="58" t="str">
        <f ca="1">IFERROR(__xludf.DUMMYFUNCTION("QUERY('Volunteer Survey'!R304)"),"Yes- I am willing to volunteer with any available ClinGen group")</f>
        <v>Yes- I am willing to volunteer with any available ClinGen group</v>
      </c>
      <c r="Y295" s="47"/>
      <c r="Z295" s="49"/>
      <c r="AA295" s="49"/>
      <c r="AB295" s="49"/>
      <c r="AC295" s="49"/>
      <c r="AD295" s="49"/>
      <c r="AE295" s="49"/>
      <c r="AF295" s="49"/>
      <c r="AG295" s="49"/>
      <c r="AH295" s="49"/>
      <c r="AI295" s="49"/>
      <c r="AJ295" s="49"/>
      <c r="AK295" s="49"/>
      <c r="AL295" s="49"/>
      <c r="AM295" s="49"/>
      <c r="AN295" s="49"/>
      <c r="AO295" s="49"/>
    </row>
    <row r="296" spans="1:41" ht="14">
      <c r="A296" s="44">
        <f ca="1">IFERROR(__xludf.DUMMYFUNCTION("QUERY('Volunteer Survey'!A305)"),43718.6167821759)</f>
        <v>43718.616782175901</v>
      </c>
      <c r="B296" s="42" t="s">
        <v>168</v>
      </c>
      <c r="C296" s="47"/>
      <c r="D296" s="49"/>
      <c r="E296" s="49"/>
      <c r="F296" s="42" t="s">
        <v>130</v>
      </c>
      <c r="G296" s="42" t="s">
        <v>19</v>
      </c>
      <c r="H296" s="47"/>
      <c r="I296" s="47"/>
      <c r="J296" s="49"/>
      <c r="K296" s="49"/>
      <c r="L296" s="49" t="str">
        <f ca="1">IFERROR(__xludf.DUMMYFUNCTION("QUERY('Volunteer Survey'!B305)"),"Andrew Langlois")</f>
        <v>Andrew Langlois</v>
      </c>
      <c r="M296" s="49" t="str">
        <f ca="1">IFERROR(__xludf.DUMMYFUNCTION("QUERY('Volunteer Survey'!E305)"),"andrewlanglois001@gmail.com")</f>
        <v>andrewlanglois001@gmail.com</v>
      </c>
      <c r="N296" s="49" t="str">
        <f ca="1">IFERROR(__xludf.DUMMYFUNCTION("QUERY('Volunteer Survey'!F305)"),"Graduate Student")</f>
        <v>Graduate Student</v>
      </c>
      <c r="O296" s="42" t="str">
        <f ca="1">IFERROR(__xludf.DUMMYFUNCTION("QUERY('Volunteer Survey'!H305)"),"Comprehensive")</f>
        <v>Comprehensive</v>
      </c>
      <c r="P296" s="49" t="str">
        <f ca="1">IFERROR(__xludf.DUMMYFUNCTION("QUERY('Volunteer Survey'!I305)"),"Clinical Actionability")</f>
        <v>Clinical Actionability</v>
      </c>
      <c r="Q296" s="54" t="str">
        <f ca="1">IFERROR(__xludf.DUMMYFUNCTION("QUERY('Volunteer Survey'!J305)"),"Dosage Sensitivity")</f>
        <v>Dosage Sensitivity</v>
      </c>
      <c r="R296" s="49" t="str">
        <f ca="1">IFERROR(__xludf.DUMMYFUNCTION("QUERY('Volunteer Survey'!K305)"),"Somatic Cancer")</f>
        <v>Somatic Cancer</v>
      </c>
      <c r="S296" s="49" t="str">
        <f ca="1">IFERROR(__xludf.DUMMYFUNCTION("QUERY('Volunteer Survey'!L305)"),"Variant Pathogenicity")</f>
        <v>Variant Pathogenicity</v>
      </c>
      <c r="T296" s="49" t="str">
        <f ca="1">IFERROR(__xludf.DUMMYFUNCTION("QUERY('Volunteer Survey'!M305)"),"Gene-Disease Validity")</f>
        <v>Gene-Disease Validity</v>
      </c>
      <c r="U296" s="58" t="str">
        <f ca="1">IFERROR(__xludf.DUMMYFUNCTION("QUERY('Volunteer Survey'!N305)"),"No")</f>
        <v>No</v>
      </c>
      <c r="V296" s="49" t="str">
        <f ca="1">IFERROR(__xludf.DUMMYFUNCTION("QUERY('Volunteer Survey'!O305)"),"Yes")</f>
        <v>Yes</v>
      </c>
      <c r="W296" s="60" t="str">
        <f ca="1">IFERROR(__xludf.DUMMYFUNCTION("QUERY('Volunteer Survey'!P305)"),"")</f>
        <v/>
      </c>
      <c r="X296" s="58" t="str">
        <f ca="1">IFERROR(__xludf.DUMMYFUNCTION("QUERY('Volunteer Survey'!R305)"),"Yes- I am willing to volunteer with any available ClinGen group")</f>
        <v>Yes- I am willing to volunteer with any available ClinGen group</v>
      </c>
      <c r="Y296" s="47"/>
      <c r="Z296" s="49"/>
      <c r="AA296" s="49"/>
      <c r="AB296" s="49"/>
      <c r="AC296" s="49"/>
      <c r="AD296" s="49"/>
      <c r="AE296" s="49"/>
      <c r="AF296" s="49"/>
      <c r="AG296" s="49"/>
      <c r="AH296" s="49"/>
      <c r="AI296" s="49"/>
      <c r="AJ296" s="49"/>
      <c r="AK296" s="49"/>
      <c r="AL296" s="49"/>
      <c r="AM296" s="49"/>
      <c r="AN296" s="49"/>
      <c r="AO296" s="49"/>
    </row>
    <row r="297" spans="1:41" ht="14">
      <c r="A297" s="44">
        <f ca="1">IFERROR(__xludf.DUMMYFUNCTION("QUERY('Volunteer Survey'!A306)"),43720.9022698495)</f>
        <v>43720.902269849503</v>
      </c>
      <c r="B297" s="42" t="s">
        <v>108</v>
      </c>
      <c r="C297" s="73">
        <v>43819</v>
      </c>
      <c r="D297" s="49"/>
      <c r="E297" s="49"/>
      <c r="F297" s="42" t="s">
        <v>130</v>
      </c>
      <c r="G297" s="42" t="s">
        <v>251</v>
      </c>
      <c r="H297" s="47"/>
      <c r="I297" s="47"/>
      <c r="J297" s="49"/>
      <c r="K297" s="49"/>
      <c r="L297" s="49" t="str">
        <f ca="1">IFERROR(__xludf.DUMMYFUNCTION("QUERY('Volunteer Survey'!B306)"),"Brandon Chalazan")</f>
        <v>Brandon Chalazan</v>
      </c>
      <c r="M297" s="49" t="str">
        <f ca="1">IFERROR(__xludf.DUMMYFUNCTION("QUERY('Volunteer Survey'!E306)"),"brandon.chalazan@cw.bc.ca")</f>
        <v>brandon.chalazan@cw.bc.ca</v>
      </c>
      <c r="N297" s="49" t="str">
        <f ca="1">IFERROR(__xludf.DUMMYFUNCTION("QUERY('Volunteer Survey'!F306)"),"Post Doc/Resident/Fellow (MD and/or PhD)")</f>
        <v>Post Doc/Resident/Fellow (MD and/or PhD)</v>
      </c>
      <c r="O297" s="42" t="str">
        <f ca="1">IFERROR(__xludf.DUMMYFUNCTION("QUERY('Volunteer Survey'!H306)"),"Comprehensive")</f>
        <v>Comprehensive</v>
      </c>
      <c r="P297" s="49" t="str">
        <f ca="1">IFERROR(__xludf.DUMMYFUNCTION("QUERY('Volunteer Survey'!I306)"),"Variant Pathogenicity")</f>
        <v>Variant Pathogenicity</v>
      </c>
      <c r="Q297" s="54" t="str">
        <f ca="1">IFERROR(__xludf.DUMMYFUNCTION("QUERY('Volunteer Survey'!J306)"),"Dosage Sensitivity")</f>
        <v>Dosage Sensitivity</v>
      </c>
      <c r="R297" s="49" t="str">
        <f ca="1">IFERROR(__xludf.DUMMYFUNCTION("QUERY('Volunteer Survey'!K306)"),"Gene-Disease Validity")</f>
        <v>Gene-Disease Validity</v>
      </c>
      <c r="S297" s="49" t="str">
        <f ca="1">IFERROR(__xludf.DUMMYFUNCTION("QUERY('Volunteer Survey'!L306)"),"Clinical Actionability")</f>
        <v>Clinical Actionability</v>
      </c>
      <c r="T297" s="49" t="str">
        <f ca="1">IFERROR(__xludf.DUMMYFUNCTION("QUERY('Volunteer Survey'!M306)"),"")</f>
        <v/>
      </c>
      <c r="U297" s="58" t="str">
        <f ca="1">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49" t="str">
        <f ca="1">IFERROR(__xludf.DUMMYFUNCTION("QUERY('Volunteer Survey'!O306)"),"Possibly")</f>
        <v>Possibly</v>
      </c>
      <c r="W297" s="60" t="str">
        <f ca="1">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58" t="str">
        <f ca="1">IFERROR(__xludf.DUMMYFUNCTION("QUERY('Volunteer Survey'!R306)"),"Maybe -- please contact me with other options, and I will decide based on what is available")</f>
        <v>Maybe -- please contact me with other options, and I will decide based on what is available</v>
      </c>
      <c r="Y297" s="47"/>
      <c r="Z297" s="49"/>
      <c r="AA297" s="49"/>
      <c r="AB297" s="49"/>
      <c r="AC297" s="49"/>
      <c r="AD297" s="49"/>
      <c r="AE297" s="49"/>
      <c r="AF297" s="49"/>
      <c r="AG297" s="49"/>
      <c r="AH297" s="49"/>
      <c r="AI297" s="49"/>
      <c r="AJ297" s="49"/>
      <c r="AK297" s="49"/>
      <c r="AL297" s="49"/>
      <c r="AM297" s="49"/>
      <c r="AN297" s="49"/>
      <c r="AO297" s="49"/>
    </row>
    <row r="298" spans="1:41" ht="14">
      <c r="A298" s="44">
        <f ca="1">IFERROR(__xludf.DUMMYFUNCTION("QUERY('Volunteer Survey'!A307)"),43721.4084676504)</f>
        <v>43721.408467650399</v>
      </c>
      <c r="B298" s="42" t="s">
        <v>108</v>
      </c>
      <c r="C298" s="73">
        <v>43819</v>
      </c>
      <c r="D298" s="49"/>
      <c r="E298" s="49"/>
      <c r="F298" s="42" t="s">
        <v>130</v>
      </c>
      <c r="G298" s="42" t="s">
        <v>251</v>
      </c>
      <c r="H298" s="47"/>
      <c r="I298" s="47"/>
      <c r="J298" s="49"/>
      <c r="K298" s="49"/>
      <c r="L298" s="49" t="str">
        <f ca="1">IFERROR(__xludf.DUMMYFUNCTION("QUERY('Volunteer Survey'!B307)"),"jean-leon chong")</f>
        <v>jean-leon chong</v>
      </c>
      <c r="M298" s="49" t="str">
        <f ca="1">IFERROR(__xludf.DUMMYFUNCTION("QUERY('Volunteer Survey'!E307)"),"leon0044@gmail.com")</f>
        <v>leon0044@gmail.com</v>
      </c>
      <c r="N298" s="49" t="str">
        <f ca="1">IFERROR(__xludf.DUMMYFUNCTION("QUERY('Volunteer Survey'!F307)"),"biochemical genetics lab director")</f>
        <v>biochemical genetics lab director</v>
      </c>
      <c r="O298" s="42" t="str">
        <f ca="1">IFERROR(__xludf.DUMMYFUNCTION("QUERY('Volunteer Survey'!H307)"),"Comprehensive")</f>
        <v>Comprehensive</v>
      </c>
      <c r="P298" s="49" t="str">
        <f ca="1">IFERROR(__xludf.DUMMYFUNCTION("QUERY('Volunteer Survey'!I307)"),"Variant Pathogenicity")</f>
        <v>Variant Pathogenicity</v>
      </c>
      <c r="Q298" s="54" t="str">
        <f ca="1">IFERROR(__xludf.DUMMYFUNCTION("QUERY('Volunteer Survey'!J307)"),"Gene-Disease Validity")</f>
        <v>Gene-Disease Validity</v>
      </c>
      <c r="R298" s="49" t="str">
        <f ca="1">IFERROR(__xludf.DUMMYFUNCTION("QUERY('Volunteer Survey'!K307)"),"")</f>
        <v/>
      </c>
      <c r="S298" s="49" t="str">
        <f ca="1">IFERROR(__xludf.DUMMYFUNCTION("QUERY('Volunteer Survey'!L307)"),"")</f>
        <v/>
      </c>
      <c r="T298" s="49" t="str">
        <f ca="1">IFERROR(__xludf.DUMMYFUNCTION("QUERY('Volunteer Survey'!M307)"),"")</f>
        <v/>
      </c>
      <c r="U298" s="58" t="str">
        <f ca="1">IFERROR(__xludf.DUMMYFUNCTION("QUERY('Volunteer Survey'!N307)"),"some experience during fellowship training ")</f>
        <v xml:space="preserve">some experience during fellowship training </v>
      </c>
      <c r="V298" s="49" t="str">
        <f ca="1">IFERROR(__xludf.DUMMYFUNCTION("QUERY('Volunteer Survey'!O307)"),"Possibly")</f>
        <v>Possibly</v>
      </c>
      <c r="W298" s="60" t="str">
        <f ca="1">IFERROR(__xludf.DUMMYFUNCTION("QUERY('Volunteer Survey'!P307)"),"")</f>
        <v/>
      </c>
      <c r="X298" s="58" t="str">
        <f ca="1">IFERROR(__xludf.DUMMYFUNCTION("QUERY('Volunteer Survey'!R307)"),"Maybe -- please contact me with other options, and I will decide based on what is available")</f>
        <v>Maybe -- please contact me with other options, and I will decide based on what is available</v>
      </c>
      <c r="Y298" s="47"/>
      <c r="Z298" s="49"/>
      <c r="AA298" s="49"/>
      <c r="AB298" s="49"/>
      <c r="AC298" s="49"/>
      <c r="AD298" s="49"/>
      <c r="AE298" s="49"/>
      <c r="AF298" s="49"/>
      <c r="AG298" s="49"/>
      <c r="AH298" s="49"/>
      <c r="AI298" s="49"/>
      <c r="AJ298" s="49"/>
      <c r="AK298" s="49"/>
      <c r="AL298" s="49"/>
      <c r="AM298" s="49"/>
      <c r="AN298" s="49"/>
      <c r="AO298" s="49"/>
    </row>
    <row r="299" spans="1:41" ht="14">
      <c r="A299" s="44">
        <f ca="1">IFERROR(__xludf.DUMMYFUNCTION("QUERY('Volunteer Survey'!A308)"),43721.6622042361)</f>
        <v>43721.662204236098</v>
      </c>
      <c r="B299" s="42" t="s">
        <v>108</v>
      </c>
      <c r="C299" s="73">
        <v>43819</v>
      </c>
      <c r="D299" s="49"/>
      <c r="E299" s="49"/>
      <c r="F299" s="42" t="s">
        <v>130</v>
      </c>
      <c r="G299" s="42" t="s">
        <v>251</v>
      </c>
      <c r="H299" s="47"/>
      <c r="I299" s="47"/>
      <c r="J299" s="49"/>
      <c r="K299" s="49"/>
      <c r="L299" s="49" t="str">
        <f ca="1">IFERROR(__xludf.DUMMYFUNCTION("QUERY('Volunteer Survey'!B308)"),"Terra Brannan")</f>
        <v>Terra Brannan</v>
      </c>
      <c r="M299" s="49" t="str">
        <f ca="1">IFERROR(__xludf.DUMMYFUNCTION("QUERY('Volunteer Survey'!E308)"),"tbrannan@ambrygen.com")</f>
        <v>tbrannan@ambrygen.com</v>
      </c>
      <c r="N299" s="49" t="str">
        <f ca="1">IFERROR(__xludf.DUMMYFUNCTION("QUERY('Volunteer Survey'!F308)"),"Variant Analyst/Scientist - Industry")</f>
        <v>Variant Analyst/Scientist - Industry</v>
      </c>
      <c r="O299" s="42" t="str">
        <f ca="1">IFERROR(__xludf.DUMMYFUNCTION("QUERY('Volunteer Survey'!H308)"),"Comprehensive")</f>
        <v>Comprehensive</v>
      </c>
      <c r="P299" s="49" t="str">
        <f ca="1">IFERROR(__xludf.DUMMYFUNCTION("QUERY('Volunteer Survey'!I308)"),"Variant Pathogenicity")</f>
        <v>Variant Pathogenicity</v>
      </c>
      <c r="Q299" s="54" t="str">
        <f ca="1">IFERROR(__xludf.DUMMYFUNCTION("QUERY('Volunteer Survey'!J308)"),"")</f>
        <v/>
      </c>
      <c r="R299" s="49" t="str">
        <f ca="1">IFERROR(__xludf.DUMMYFUNCTION("QUERY('Volunteer Survey'!K308)"),"")</f>
        <v/>
      </c>
      <c r="S299" s="49" t="str">
        <f ca="1">IFERROR(__xludf.DUMMYFUNCTION("QUERY('Volunteer Survey'!L308)"),"")</f>
        <v/>
      </c>
      <c r="T299" s="49" t="str">
        <f ca="1">IFERROR(__xludf.DUMMYFUNCTION("QUERY('Volunteer Survey'!M308)"),"")</f>
        <v/>
      </c>
      <c r="U299" s="58" t="str">
        <f ca="1">IFERROR(__xludf.DUMMYFUNCTION("QUERY('Volunteer Survey'!N308)"),"Yes, I have been performing variant assessment since December 2018")</f>
        <v>Yes, I have been performing variant assessment since December 2018</v>
      </c>
      <c r="V299" s="49" t="str">
        <f ca="1">IFERROR(__xludf.DUMMYFUNCTION("QUERY('Volunteer Survey'!O308)"),"No")</f>
        <v>No</v>
      </c>
      <c r="W299" s="60" t="str">
        <f ca="1">IFERROR(__xludf.DUMMYFUNCTION("QUERY('Volunteer Survey'!P308)"),"CDH1")</f>
        <v>CDH1</v>
      </c>
      <c r="X299" s="58" t="str">
        <f ca="1">IFERROR(__xludf.DUMMYFUNCTION("QUERY('Volunteer Survey'!R308)"),"No - I am only interested in the group(s) I previously indicated")</f>
        <v>No - I am only interested in the group(s) I previously indicated</v>
      </c>
      <c r="Y299" s="47"/>
      <c r="Z299" s="49"/>
      <c r="AA299" s="49"/>
      <c r="AB299" s="49"/>
      <c r="AC299" s="49"/>
      <c r="AD299" s="49"/>
      <c r="AE299" s="49"/>
      <c r="AF299" s="49"/>
      <c r="AG299" s="49"/>
      <c r="AH299" s="49"/>
      <c r="AI299" s="49"/>
      <c r="AJ299" s="49"/>
      <c r="AK299" s="49"/>
      <c r="AL299" s="49"/>
      <c r="AM299" s="49"/>
      <c r="AN299" s="49"/>
      <c r="AO299" s="49"/>
    </row>
    <row r="300" spans="1:41" ht="14">
      <c r="A300" s="44">
        <f ca="1">IFERROR(__xludf.DUMMYFUNCTION("QUERY('Volunteer Survey'!A309)"),43724.5553965277)</f>
        <v>43724.555396527699</v>
      </c>
      <c r="B300" s="42" t="s">
        <v>322</v>
      </c>
      <c r="C300" s="47"/>
      <c r="D300" s="49"/>
      <c r="E300" s="49"/>
      <c r="F300" s="42" t="s">
        <v>130</v>
      </c>
      <c r="G300" s="42" t="s">
        <v>163</v>
      </c>
      <c r="H300" s="47"/>
      <c r="I300" s="47"/>
      <c r="J300" s="49"/>
      <c r="K300" s="49"/>
      <c r="L300" s="49" t="str">
        <f ca="1">IFERROR(__xludf.DUMMYFUNCTION("QUERY('Volunteer Survey'!B309)"),"Ankita Patel")</f>
        <v>Ankita Patel</v>
      </c>
      <c r="M300" s="49" t="str">
        <f ca="1">IFERROR(__xludf.DUMMYFUNCTION("QUERY('Volunteer Survey'!E309)"),"aspatel1@yahoo.com")</f>
        <v>aspatel1@yahoo.com</v>
      </c>
      <c r="N300" s="49" t="str">
        <f ca="1">IFERROR(__xludf.DUMMYFUNCTION("QUERY('Volunteer Survey'!F309)"),"Independent cytogenetic consultant")</f>
        <v>Independent cytogenetic consultant</v>
      </c>
      <c r="O300" s="42" t="str">
        <f ca="1">IFERROR(__xludf.DUMMYFUNCTION("QUERY('Volunteer Survey'!H309)"),"Comprehensive")</f>
        <v>Comprehensive</v>
      </c>
      <c r="P300" s="49" t="str">
        <f ca="1">IFERROR(__xludf.DUMMYFUNCTION("QUERY('Volunteer Survey'!I309)"),"Dosage Sensitivity")</f>
        <v>Dosage Sensitivity</v>
      </c>
      <c r="Q300" s="54" t="str">
        <f ca="1">IFERROR(__xludf.DUMMYFUNCTION("QUERY('Volunteer Survey'!J309)"),"Variant Pathogenicity")</f>
        <v>Variant Pathogenicity</v>
      </c>
      <c r="R300" s="49" t="str">
        <f ca="1">IFERROR(__xludf.DUMMYFUNCTION("QUERY('Volunteer Survey'!K309)"),"Gene-Disease Validity")</f>
        <v>Gene-Disease Validity</v>
      </c>
      <c r="S300" s="49" t="str">
        <f ca="1">IFERROR(__xludf.DUMMYFUNCTION("QUERY('Volunteer Survey'!L309)"),"Clinical Actionability")</f>
        <v>Clinical Actionability</v>
      </c>
      <c r="T300" s="49" t="str">
        <f ca="1">IFERROR(__xludf.DUMMYFUNCTION("QUERY('Volunteer Survey'!M309)"),"Somatic Cancer")</f>
        <v>Somatic Cancer</v>
      </c>
      <c r="U300" s="58" t="str">
        <f ca="1">IFERROR(__xludf.DUMMYFUNCTION("QUERY('Volunteer Survey'!N309)"),"Part of the CLinGen CNV ")</f>
        <v xml:space="preserve">Part of the CLinGen CNV </v>
      </c>
      <c r="V300" s="49" t="str">
        <f ca="1">IFERROR(__xludf.DUMMYFUNCTION("QUERY('Volunteer Survey'!O309)"),"Yes")</f>
        <v>Yes</v>
      </c>
      <c r="W300" s="60" t="str">
        <f ca="1">IFERROR(__xludf.DUMMYFUNCTION("QUERY('Volunteer Survey'!P309)"),"no- can owrk on where there is need")</f>
        <v>no- can owrk on where there is need</v>
      </c>
      <c r="X300" s="58" t="str">
        <f ca="1">IFERROR(__xludf.DUMMYFUNCTION("QUERY('Volunteer Survey'!R309)"),"Yes- I am willing to volunteer with any available ClinGen group")</f>
        <v>Yes- I am willing to volunteer with any available ClinGen group</v>
      </c>
      <c r="Y300" s="47"/>
      <c r="Z300" s="49"/>
      <c r="AA300" s="49"/>
      <c r="AB300" s="49"/>
      <c r="AC300" s="49"/>
      <c r="AD300" s="49"/>
      <c r="AE300" s="49"/>
      <c r="AF300" s="49"/>
      <c r="AG300" s="49"/>
      <c r="AH300" s="49"/>
      <c r="AI300" s="49"/>
      <c r="AJ300" s="49"/>
      <c r="AK300" s="49"/>
      <c r="AL300" s="49"/>
      <c r="AM300" s="49"/>
      <c r="AN300" s="49"/>
      <c r="AO300" s="49"/>
    </row>
    <row r="301" spans="1:41" ht="14">
      <c r="A301" s="44">
        <f ca="1">IFERROR(__xludf.DUMMYFUNCTION("QUERY('Volunteer Survey'!A310)"),43724.6840868634)</f>
        <v>43724.684086863403</v>
      </c>
      <c r="B301" s="42" t="s">
        <v>108</v>
      </c>
      <c r="C301" s="73">
        <v>43819</v>
      </c>
      <c r="D301" s="49"/>
      <c r="E301" s="49"/>
      <c r="F301" s="42" t="s">
        <v>130</v>
      </c>
      <c r="G301" s="42" t="s">
        <v>251</v>
      </c>
      <c r="H301" s="47"/>
      <c r="I301" s="47"/>
      <c r="J301" s="49"/>
      <c r="K301" s="49"/>
      <c r="L301" s="49" t="str">
        <f ca="1">IFERROR(__xludf.DUMMYFUNCTION("QUERY('Volunteer Survey'!B310)"),"Jordan Stern")</f>
        <v>Jordan Stern</v>
      </c>
      <c r="M301" s="49" t="str">
        <f ca="1">IFERROR(__xludf.DUMMYFUNCTION("QUERY('Volunteer Survey'!E310)"),"jordanjnstern@gmail.com")</f>
        <v>jordanjnstern@gmail.com</v>
      </c>
      <c r="N301" s="49" t="str">
        <f ca="1">IFERROR(__xludf.DUMMYFUNCTION("QUERY('Volunteer Survey'!F310)"),"Undergraduate Student")</f>
        <v>Undergraduate Student</v>
      </c>
      <c r="O301" s="42" t="str">
        <f ca="1">IFERROR(__xludf.DUMMYFUNCTION("QUERY('Volunteer Survey'!H310)"),"Comprehensive")</f>
        <v>Comprehensive</v>
      </c>
      <c r="P301" s="49" t="str">
        <f ca="1">IFERROR(__xludf.DUMMYFUNCTION("QUERY('Volunteer Survey'!I310)"),"Variant Pathogenicity")</f>
        <v>Variant Pathogenicity</v>
      </c>
      <c r="Q301" s="54" t="str">
        <f ca="1">IFERROR(__xludf.DUMMYFUNCTION("QUERY('Volunteer Survey'!J310)"),"Dosage Sensitivity")</f>
        <v>Dosage Sensitivity</v>
      </c>
      <c r="R301" s="49" t="str">
        <f ca="1">IFERROR(__xludf.DUMMYFUNCTION("QUERY('Volunteer Survey'!K310)"),"Clinical Actionability")</f>
        <v>Clinical Actionability</v>
      </c>
      <c r="S301" s="49" t="str">
        <f ca="1">IFERROR(__xludf.DUMMYFUNCTION("QUERY('Volunteer Survey'!L310)"),"Gene-Disease Validity")</f>
        <v>Gene-Disease Validity</v>
      </c>
      <c r="T301" s="49" t="str">
        <f ca="1">IFERROR(__xludf.DUMMYFUNCTION("QUERY('Volunteer Survey'!M310)"),"Somatic Cancer")</f>
        <v>Somatic Cancer</v>
      </c>
      <c r="U301" s="58" t="str">
        <f ca="1">IFERROR(__xludf.DUMMYFUNCTION("QUERY('Volunteer Survey'!N310)"),"")</f>
        <v/>
      </c>
      <c r="V301" s="49" t="str">
        <f ca="1">IFERROR(__xludf.DUMMYFUNCTION("QUERY('Volunteer Survey'!O310)"),"Yes")</f>
        <v>Yes</v>
      </c>
      <c r="W301" s="60" t="str">
        <f ca="1">IFERROR(__xludf.DUMMYFUNCTION("QUERY('Volunteer Survey'!P310)"),"yes")</f>
        <v>yes</v>
      </c>
      <c r="X301" s="58" t="str">
        <f ca="1">IFERROR(__xludf.DUMMYFUNCTION("QUERY('Volunteer Survey'!R310)"),"Yes- I am willing to volunteer with any available ClinGen group")</f>
        <v>Yes- I am willing to volunteer with any available ClinGen group</v>
      </c>
      <c r="Y301" s="47"/>
      <c r="Z301" s="49"/>
      <c r="AA301" s="49"/>
      <c r="AB301" s="49"/>
      <c r="AC301" s="49"/>
      <c r="AD301" s="49"/>
      <c r="AE301" s="49"/>
      <c r="AF301" s="49"/>
      <c r="AG301" s="49"/>
      <c r="AH301" s="49"/>
      <c r="AI301" s="49"/>
      <c r="AJ301" s="49"/>
      <c r="AK301" s="49"/>
      <c r="AL301" s="49"/>
      <c r="AM301" s="49"/>
      <c r="AN301" s="49"/>
      <c r="AO301" s="49"/>
    </row>
    <row r="302" spans="1:41" ht="14">
      <c r="A302" s="44">
        <f ca="1">IFERROR(__xludf.DUMMYFUNCTION("QUERY('Volunteer Survey'!A311)"),43725.5943007754)</f>
        <v>43725.594300775403</v>
      </c>
      <c r="B302" s="42" t="s">
        <v>108</v>
      </c>
      <c r="C302" s="47"/>
      <c r="D302" s="49"/>
      <c r="E302" s="49"/>
      <c r="F302" s="42" t="s">
        <v>130</v>
      </c>
      <c r="G302" s="42" t="s">
        <v>202</v>
      </c>
      <c r="H302" s="47"/>
      <c r="I302" s="45" t="s">
        <v>139</v>
      </c>
      <c r="J302" s="49"/>
      <c r="K302" s="49"/>
      <c r="L302" s="49" t="str">
        <f ca="1">IFERROR(__xludf.DUMMYFUNCTION("QUERY('Volunteer Survey'!B311)"),"Chris Darnell")</f>
        <v>Chris Darnell</v>
      </c>
      <c r="M302" s="49" t="str">
        <f ca="1">IFERROR(__xludf.DUMMYFUNCTION("QUERY('Volunteer Survey'!E311)"),"chris.darnell@bluewaterdxlab.com")</f>
        <v>chris.darnell@bluewaterdxlab.com</v>
      </c>
      <c r="N302" s="49" t="str">
        <f ca="1">IFERROR(__xludf.DUMMYFUNCTION("QUERY('Volunteer Survey'!F311)"),"Laboratory Technical Supervisor")</f>
        <v>Laboratory Technical Supervisor</v>
      </c>
      <c r="O302" s="42" t="str">
        <f ca="1">IFERROR(__xludf.DUMMYFUNCTION("QUERY('Volunteer Survey'!H311)"),"Baseline")</f>
        <v>Baseline</v>
      </c>
      <c r="P302" s="49" t="str">
        <f ca="1">IFERROR(__xludf.DUMMYFUNCTION("QUERY('Volunteer Survey'!I311)"),"Gene-Disease Validity")</f>
        <v>Gene-Disease Validity</v>
      </c>
      <c r="Q302" s="54" t="str">
        <f ca="1">IFERROR(__xludf.DUMMYFUNCTION("QUERY('Volunteer Survey'!J311)"),"Variant Pathogenicity")</f>
        <v>Variant Pathogenicity</v>
      </c>
      <c r="R302" s="49" t="str">
        <f ca="1">IFERROR(__xludf.DUMMYFUNCTION("QUERY('Volunteer Survey'!K311)"),"Somatic Cancer")</f>
        <v>Somatic Cancer</v>
      </c>
      <c r="S302" s="49" t="str">
        <f ca="1">IFERROR(__xludf.DUMMYFUNCTION("QUERY('Volunteer Survey'!L311)"),"Dosage Sensitivity")</f>
        <v>Dosage Sensitivity</v>
      </c>
      <c r="T302" s="49" t="str">
        <f ca="1">IFERROR(__xludf.DUMMYFUNCTION("QUERY('Volunteer Survey'!M311)"),"Clinical Actionability")</f>
        <v>Clinical Actionability</v>
      </c>
      <c r="U302" s="58" t="str">
        <f ca="1">IFERROR(__xludf.DUMMYFUNCTION("QUERY('Volunteer Survey'!N311)"),"")</f>
        <v/>
      </c>
      <c r="V302" s="49" t="str">
        <f ca="1">IFERROR(__xludf.DUMMYFUNCTION("QUERY('Volunteer Survey'!O311)"),"Yes")</f>
        <v>Yes</v>
      </c>
      <c r="W302" s="60" t="str">
        <f ca="1">IFERROR(__xludf.DUMMYFUNCTION("QUERY('Volunteer Survey'!P311)"),"")</f>
        <v/>
      </c>
      <c r="X302" s="58" t="str">
        <f ca="1">IFERROR(__xludf.DUMMYFUNCTION("QUERY('Volunteer Survey'!R311)"),"")</f>
        <v/>
      </c>
      <c r="Y302" s="47"/>
      <c r="Z302" s="49"/>
      <c r="AA302" s="49"/>
      <c r="AB302" s="49"/>
      <c r="AC302" s="49"/>
      <c r="AD302" s="49"/>
      <c r="AE302" s="49"/>
      <c r="AF302" s="49"/>
      <c r="AG302" s="49"/>
      <c r="AH302" s="49"/>
      <c r="AI302" s="49"/>
      <c r="AJ302" s="49"/>
      <c r="AK302" s="49"/>
      <c r="AL302" s="49"/>
      <c r="AM302" s="49"/>
      <c r="AN302" s="49"/>
      <c r="AO302" s="49"/>
    </row>
    <row r="303" spans="1:41" ht="14">
      <c r="A303" s="44">
        <f ca="1">IFERROR(__xludf.DUMMYFUNCTION("QUERY('Volunteer Survey'!A312)"),43727.8252852314)</f>
        <v>43727.825285231404</v>
      </c>
      <c r="B303" s="42" t="s">
        <v>168</v>
      </c>
      <c r="C303" s="47"/>
      <c r="D303" s="49"/>
      <c r="E303" s="49"/>
      <c r="F303" s="42" t="s">
        <v>130</v>
      </c>
      <c r="G303" s="42" t="s">
        <v>19</v>
      </c>
      <c r="H303" s="47"/>
      <c r="I303" s="47"/>
      <c r="J303" s="49"/>
      <c r="K303" s="49"/>
      <c r="L303" s="49" t="str">
        <f ca="1">IFERROR(__xludf.DUMMYFUNCTION("QUERY('Volunteer Survey'!B312)"),"Sally Pea ")</f>
        <v xml:space="preserve">Sally Pea </v>
      </c>
      <c r="M303" s="49" t="str">
        <f ca="1">IFERROR(__xludf.DUMMYFUNCTION("QUERY('Volunteer Survey'!E312)"),"spea@live.com")</f>
        <v>spea@live.com</v>
      </c>
      <c r="N303" s="49" t="str">
        <f ca="1">IFERROR(__xludf.DUMMYFUNCTION("QUERY('Volunteer Survey'!F312)"),"Citizen Scientist/Patient Advocate")</f>
        <v>Citizen Scientist/Patient Advocate</v>
      </c>
      <c r="O303" s="42" t="str">
        <f ca="1">IFERROR(__xludf.DUMMYFUNCTION("QUERY('Volunteer Survey'!H312)"),"Comprehensive")</f>
        <v>Comprehensive</v>
      </c>
      <c r="P303" s="49" t="str">
        <f ca="1">IFERROR(__xludf.DUMMYFUNCTION("QUERY('Volunteer Survey'!I312)"),"Clinical Actionability")</f>
        <v>Clinical Actionability</v>
      </c>
      <c r="Q303" s="54" t="str">
        <f ca="1">IFERROR(__xludf.DUMMYFUNCTION("QUERY('Volunteer Survey'!J312)"),"Gene-Disease Validity")</f>
        <v>Gene-Disease Validity</v>
      </c>
      <c r="R303" s="49" t="str">
        <f ca="1">IFERROR(__xludf.DUMMYFUNCTION("QUERY('Volunteer Survey'!K312)"),"Variant Pathogenicity")</f>
        <v>Variant Pathogenicity</v>
      </c>
      <c r="S303" s="49" t="str">
        <f ca="1">IFERROR(__xludf.DUMMYFUNCTION("QUERY('Volunteer Survey'!L312)"),"Dosage Sensitivity")</f>
        <v>Dosage Sensitivity</v>
      </c>
      <c r="T303" s="49" t="str">
        <f ca="1">IFERROR(__xludf.DUMMYFUNCTION("QUERY('Volunteer Survey'!M312)"),"Somatic Cancer")</f>
        <v>Somatic Cancer</v>
      </c>
      <c r="U303" s="58" t="str">
        <f ca="1">IFERROR(__xludf.DUMMYFUNCTION("QUERY('Volunteer Survey'!N312)"),"No")</f>
        <v>No</v>
      </c>
      <c r="V303" s="49" t="str">
        <f ca="1">IFERROR(__xludf.DUMMYFUNCTION("QUERY('Volunteer Survey'!O312)"),"Yes")</f>
        <v>Yes</v>
      </c>
      <c r="W303" s="60" t="str">
        <f ca="1">IFERROR(__xludf.DUMMYFUNCTION("QUERY('Volunteer Survey'!P312)"),"Congenital Myopathies or Limb Girdle Dystrophies or anywhere needed")</f>
        <v>Congenital Myopathies or Limb Girdle Dystrophies or anywhere needed</v>
      </c>
      <c r="X303" s="58" t="str">
        <f ca="1">IFERROR(__xludf.DUMMYFUNCTION("QUERY('Volunteer Survey'!R312)"),"Yes- I am willing to volunteer with any available ClinGen group")</f>
        <v>Yes- I am willing to volunteer with any available ClinGen group</v>
      </c>
      <c r="Y303" s="47"/>
      <c r="Z303" s="49"/>
      <c r="AA303" s="49"/>
      <c r="AB303" s="49"/>
      <c r="AC303" s="49"/>
      <c r="AD303" s="49"/>
      <c r="AE303" s="49"/>
      <c r="AF303" s="49"/>
      <c r="AG303" s="49"/>
      <c r="AH303" s="49"/>
      <c r="AI303" s="49"/>
      <c r="AJ303" s="49"/>
      <c r="AK303" s="49"/>
      <c r="AL303" s="49"/>
      <c r="AM303" s="49"/>
      <c r="AN303" s="49"/>
      <c r="AO303" s="49"/>
    </row>
    <row r="304" spans="1:41" ht="14">
      <c r="A304" s="44">
        <f ca="1">IFERROR(__xludf.DUMMYFUNCTION("QUERY('Volunteer Survey'!A313)"),43727.9494733217)</f>
        <v>43727.9494733217</v>
      </c>
      <c r="B304" s="42" t="s">
        <v>108</v>
      </c>
      <c r="C304" s="73">
        <v>43819</v>
      </c>
      <c r="D304" s="49"/>
      <c r="E304" s="49"/>
      <c r="F304" s="42" t="s">
        <v>130</v>
      </c>
      <c r="G304" s="42" t="s">
        <v>122</v>
      </c>
      <c r="H304" s="47"/>
      <c r="I304" s="47"/>
      <c r="J304" s="49"/>
      <c r="K304" s="49"/>
      <c r="L304" s="49" t="str">
        <f ca="1">IFERROR(__xludf.DUMMYFUNCTION("QUERY('Volunteer Survey'!B313)"),"Sali Farhan")</f>
        <v>Sali Farhan</v>
      </c>
      <c r="M304" s="49" t="str">
        <f ca="1">IFERROR(__xludf.DUMMYFUNCTION("QUERY('Volunteer Survey'!E313)"),"sfarhan@broadinstitute.org")</f>
        <v>sfarhan@broadinstitute.org</v>
      </c>
      <c r="N304" s="49" t="str">
        <f ca="1">IFERROR(__xludf.DUMMYFUNCTION("QUERY('Volunteer Survey'!F313)"),"Post Doc/Resident/Fellow (MD and/or PhD)")</f>
        <v>Post Doc/Resident/Fellow (MD and/or PhD)</v>
      </c>
      <c r="O304" s="42" t="str">
        <f ca="1">IFERROR(__xludf.DUMMYFUNCTION("QUERY('Volunteer Survey'!H313)"),"Comprehensive")</f>
        <v>Comprehensive</v>
      </c>
      <c r="P304" s="49" t="str">
        <f ca="1">IFERROR(__xludf.DUMMYFUNCTION("QUERY('Volunteer Survey'!I313)"),"Gene-Disease Validity")</f>
        <v>Gene-Disease Validity</v>
      </c>
      <c r="Q304" s="54" t="str">
        <f ca="1">IFERROR(__xludf.DUMMYFUNCTION("QUERY('Volunteer Survey'!J313)"),"Variant Pathogenicity")</f>
        <v>Variant Pathogenicity</v>
      </c>
      <c r="R304" s="49" t="str">
        <f ca="1">IFERROR(__xludf.DUMMYFUNCTION("QUERY('Volunteer Survey'!K313)"),"Clinical Actionability")</f>
        <v>Clinical Actionability</v>
      </c>
      <c r="S304" s="49" t="str">
        <f ca="1">IFERROR(__xludf.DUMMYFUNCTION("QUERY('Volunteer Survey'!L313)"),"Dosage Sensitivity")</f>
        <v>Dosage Sensitivity</v>
      </c>
      <c r="T304" s="49" t="str">
        <f ca="1">IFERROR(__xludf.DUMMYFUNCTION("QUERY('Volunteer Survey'!M313)"),"Somatic Cancer")</f>
        <v>Somatic Cancer</v>
      </c>
      <c r="U304" s="58" t="str">
        <f ca="1">IFERROR(__xludf.DUMMYFUNCTION("QUERY('Volunteer Survey'!N313)"),"")</f>
        <v/>
      </c>
      <c r="V304" s="49" t="str">
        <f ca="1">IFERROR(__xludf.DUMMYFUNCTION("QUERY('Volunteer Survey'!O313)"),"No")</f>
        <v>No</v>
      </c>
      <c r="W304" s="60" t="str">
        <f ca="1">IFERROR(__xludf.DUMMYFUNCTION("QUERY('Volunteer Survey'!P313)"),"")</f>
        <v/>
      </c>
      <c r="X304" s="58" t="str">
        <f ca="1">IFERROR(__xludf.DUMMYFUNCTION("QUERY('Volunteer Survey'!R313)"),"No - I am only interested in the group(s) I previously indicated")</f>
        <v>No - I am only interested in the group(s) I previously indicated</v>
      </c>
      <c r="Y304" s="47"/>
      <c r="Z304" s="49"/>
      <c r="AA304" s="49"/>
      <c r="AB304" s="49"/>
      <c r="AC304" s="49"/>
      <c r="AD304" s="49"/>
      <c r="AE304" s="49"/>
      <c r="AF304" s="49"/>
      <c r="AG304" s="49"/>
      <c r="AH304" s="49"/>
      <c r="AI304" s="49"/>
      <c r="AJ304" s="49"/>
      <c r="AK304" s="49"/>
      <c r="AL304" s="49"/>
      <c r="AM304" s="49"/>
      <c r="AN304" s="49"/>
      <c r="AO304" s="49"/>
    </row>
    <row r="305" spans="1:41" ht="14">
      <c r="A305" s="44">
        <f ca="1">IFERROR(__xludf.DUMMYFUNCTION("QUERY('Volunteer Survey'!A314)"),43731.7024725115)</f>
        <v>43731.702472511497</v>
      </c>
      <c r="B305" s="42" t="s">
        <v>108</v>
      </c>
      <c r="C305" s="47"/>
      <c r="D305" s="67">
        <v>43846</v>
      </c>
      <c r="E305" s="42" t="s">
        <v>117</v>
      </c>
      <c r="F305" s="42" t="s">
        <v>117</v>
      </c>
      <c r="G305" s="42" t="s">
        <v>122</v>
      </c>
      <c r="H305" s="47"/>
      <c r="I305" s="47"/>
      <c r="J305" s="49"/>
      <c r="K305" s="49"/>
      <c r="L305" s="49" t="str">
        <f ca="1">IFERROR(__xludf.DUMMYFUNCTION("QUERY('Volunteer Survey'!B314)"),"Julie Kim ")</f>
        <v xml:space="preserve">Julie Kim </v>
      </c>
      <c r="M305" s="49" t="str">
        <f ca="1">IFERROR(__xludf.DUMMYFUNCTION("QUERY('Volunteer Survey'!E314)"),"serin.kim@nih.gov")</f>
        <v>serin.kim@nih.gov</v>
      </c>
      <c r="N305" s="49" t="str">
        <f ca="1">IFERROR(__xludf.DUMMYFUNCTION("QUERY('Volunteer Survey'!F314)"),"Scientific Program Analyst at NHGRI")</f>
        <v>Scientific Program Analyst at NHGRI</v>
      </c>
      <c r="O305" s="42" t="str">
        <f ca="1">IFERROR(__xludf.DUMMYFUNCTION("QUERY('Volunteer Survey'!H314)"),"Comprehensive")</f>
        <v>Comprehensive</v>
      </c>
      <c r="P305" s="49" t="str">
        <f ca="1">IFERROR(__xludf.DUMMYFUNCTION("QUERY('Volunteer Survey'!I314)"),"Gene-Disease Validity")</f>
        <v>Gene-Disease Validity</v>
      </c>
      <c r="Q305" s="54" t="str">
        <f ca="1">IFERROR(__xludf.DUMMYFUNCTION("QUERY('Volunteer Survey'!J314)"),"Clinical Actionability")</f>
        <v>Clinical Actionability</v>
      </c>
      <c r="R305" s="49" t="str">
        <f ca="1">IFERROR(__xludf.DUMMYFUNCTION("QUERY('Volunteer Survey'!K314)"),"")</f>
        <v/>
      </c>
      <c r="S305" s="49" t="str">
        <f ca="1">IFERROR(__xludf.DUMMYFUNCTION("QUERY('Volunteer Survey'!L314)"),"")</f>
        <v/>
      </c>
      <c r="T305" s="49" t="str">
        <f ca="1">IFERROR(__xludf.DUMMYFUNCTION("QUERY('Volunteer Survey'!M314)"),"")</f>
        <v/>
      </c>
      <c r="U305" s="58" t="str">
        <f ca="1">IFERROR(__xludf.DUMMYFUNCTION("QUERY('Volunteer Survey'!N314)"),"")</f>
        <v/>
      </c>
      <c r="V305" s="49" t="str">
        <f ca="1">IFERROR(__xludf.DUMMYFUNCTION("QUERY('Volunteer Survey'!O314)"),"No")</f>
        <v>No</v>
      </c>
      <c r="W305" s="60" t="str">
        <f ca="1">IFERROR(__xludf.DUMMYFUNCTION("QUERY('Volunteer Survey'!P314)"),"Cardiomyopathy, Brain Malformations, hearing loss")</f>
        <v>Cardiomyopathy, Brain Malformations, hearing loss</v>
      </c>
      <c r="X305" s="58" t="str">
        <f ca="1">IFERROR(__xludf.DUMMYFUNCTION("QUERY('Volunteer Survey'!R314)"),"Yes- I am willing to volunteer with any available ClinGen group")</f>
        <v>Yes- I am willing to volunteer with any available ClinGen group</v>
      </c>
      <c r="Y305" s="45" t="s">
        <v>1747</v>
      </c>
      <c r="Z305" s="49"/>
      <c r="AA305" s="49"/>
      <c r="AB305" s="49"/>
      <c r="AC305" s="49"/>
      <c r="AD305" s="49"/>
      <c r="AE305" s="49"/>
      <c r="AF305" s="49"/>
      <c r="AG305" s="49"/>
      <c r="AH305" s="49"/>
      <c r="AI305" s="49"/>
      <c r="AJ305" s="49"/>
      <c r="AK305" s="49"/>
      <c r="AL305" s="49"/>
      <c r="AM305" s="49"/>
      <c r="AN305" s="49"/>
      <c r="AO305" s="49"/>
    </row>
    <row r="306" spans="1:41" ht="14">
      <c r="A306" s="44">
        <f ca="1">IFERROR(__xludf.DUMMYFUNCTION("QUERY('Volunteer Survey'!A315)"),43733.739980405)</f>
        <v>43733.739980405</v>
      </c>
      <c r="B306" s="42" t="s">
        <v>108</v>
      </c>
      <c r="C306" s="73">
        <v>43819</v>
      </c>
      <c r="D306" s="49"/>
      <c r="E306" s="49"/>
      <c r="F306" s="42" t="s">
        <v>130</v>
      </c>
      <c r="G306" s="42" t="s">
        <v>251</v>
      </c>
      <c r="H306" s="47"/>
      <c r="I306" s="47"/>
      <c r="J306" s="49"/>
      <c r="K306" s="49"/>
      <c r="L306" s="49" t="str">
        <f ca="1">IFERROR(__xludf.DUMMYFUNCTION("QUERY('Volunteer Survey'!B315)"),"Jamie Maciaszek")</f>
        <v>Jamie Maciaszek</v>
      </c>
      <c r="M306" s="49" t="str">
        <f ca="1">IFERROR(__xludf.DUMMYFUNCTION("QUERY('Volunteer Survey'!E315)"),"jamie.maciaszek@stjude.org")</f>
        <v>jamie.maciaszek@stjude.org</v>
      </c>
      <c r="N306" s="49" t="str">
        <f ca="1">IFERROR(__xludf.DUMMYFUNCTION("QUERY('Volunteer Survey'!F315)"),"Scientific Researcher")</f>
        <v>Scientific Researcher</v>
      </c>
      <c r="O306" s="42" t="str">
        <f ca="1">IFERROR(__xludf.DUMMYFUNCTION("QUERY('Volunteer Survey'!H315)"),"Comprehensive")</f>
        <v>Comprehensive</v>
      </c>
      <c r="P306" s="49" t="str">
        <f ca="1">IFERROR(__xludf.DUMMYFUNCTION("QUERY('Volunteer Survey'!I315)"),"Variant Pathogenicity")</f>
        <v>Variant Pathogenicity</v>
      </c>
      <c r="Q306" s="54" t="str">
        <f ca="1">IFERROR(__xludf.DUMMYFUNCTION("QUERY('Volunteer Survey'!J315)"),"Gene-Disease Validity")</f>
        <v>Gene-Disease Validity</v>
      </c>
      <c r="R306" s="49" t="str">
        <f ca="1">IFERROR(__xludf.DUMMYFUNCTION("QUERY('Volunteer Survey'!K315)"),"Somatic Cancer")</f>
        <v>Somatic Cancer</v>
      </c>
      <c r="S306" s="49" t="str">
        <f ca="1">IFERROR(__xludf.DUMMYFUNCTION("QUERY('Volunteer Survey'!L315)"),"Clinical Actionability")</f>
        <v>Clinical Actionability</v>
      </c>
      <c r="T306" s="49" t="str">
        <f ca="1">IFERROR(__xludf.DUMMYFUNCTION("QUERY('Volunteer Survey'!M315)"),"Dosage Sensitivity")</f>
        <v>Dosage Sensitivity</v>
      </c>
      <c r="U306" s="58" t="str">
        <f ca="1">IFERROR(__xludf.DUMMYFUNCTION("QUERY('Volunteer Survey'!N315)"),"working on SJFAMILY study to curate variants in suspected cases of hereditary cancer")</f>
        <v>working on SJFAMILY study to curate variants in suspected cases of hereditary cancer</v>
      </c>
      <c r="V306" s="49" t="str">
        <f ca="1">IFERROR(__xludf.DUMMYFUNCTION("QUERY('Volunteer Survey'!O315)"),"Possibly")</f>
        <v>Possibly</v>
      </c>
      <c r="W306" s="60" t="str">
        <f ca="1">IFERROR(__xludf.DUMMYFUNCTION("QUERY('Volunteer Survey'!P315)"),"Myeloid Malignancy, Hereditary Cancer")</f>
        <v>Myeloid Malignancy, Hereditary Cancer</v>
      </c>
      <c r="X306" s="58" t="str">
        <f ca="1">IFERROR(__xludf.DUMMYFUNCTION("QUERY('Volunteer Survey'!R315)"),"Yes- I am willing to volunteer with any available ClinGen group")</f>
        <v>Yes- I am willing to volunteer with any available ClinGen group</v>
      </c>
      <c r="Y306" s="47"/>
      <c r="Z306" s="49"/>
      <c r="AA306" s="49"/>
      <c r="AB306" s="49"/>
      <c r="AC306" s="49"/>
      <c r="AD306" s="49"/>
      <c r="AE306" s="49"/>
      <c r="AF306" s="49"/>
      <c r="AG306" s="49"/>
      <c r="AH306" s="49"/>
      <c r="AI306" s="49"/>
      <c r="AJ306" s="49"/>
      <c r="AK306" s="49"/>
      <c r="AL306" s="49"/>
      <c r="AM306" s="49"/>
      <c r="AN306" s="49"/>
      <c r="AO306" s="49"/>
    </row>
    <row r="307" spans="1:41" ht="14">
      <c r="A307" s="44">
        <f ca="1">IFERROR(__xludf.DUMMYFUNCTION("QUERY('Volunteer Survey'!A316)"),43734.3440148726)</f>
        <v>43734.3440148726</v>
      </c>
      <c r="B307" s="42" t="s">
        <v>108</v>
      </c>
      <c r="C307" s="73">
        <v>43819</v>
      </c>
      <c r="D307" s="49"/>
      <c r="E307" s="49"/>
      <c r="F307" s="42" t="s">
        <v>130</v>
      </c>
      <c r="G307" s="42" t="s">
        <v>251</v>
      </c>
      <c r="H307" s="47"/>
      <c r="I307" s="47"/>
      <c r="J307" s="49"/>
      <c r="K307" s="49"/>
      <c r="L307" s="49" t="str">
        <f ca="1">IFERROR(__xludf.DUMMYFUNCTION("QUERY('Volunteer Survey'!B316)"),"Olivier Bluteau")</f>
        <v>Olivier Bluteau</v>
      </c>
      <c r="M307" s="49" t="str">
        <f ca="1">IFERROR(__xludf.DUMMYFUNCTION("QUERY('Volunteer Survey'!E316)"),"olivier.bluteau@aphp.fr")</f>
        <v>olivier.bluteau@aphp.fr</v>
      </c>
      <c r="N307" s="49" t="str">
        <f ca="1">IFERROR(__xludf.DUMMYFUNCTION("QUERY('Volunteer Survey'!F316)"),"Variant Analyst/Scientist - Academic")</f>
        <v>Variant Analyst/Scientist - Academic</v>
      </c>
      <c r="O307" s="42" t="str">
        <f ca="1">IFERROR(__xludf.DUMMYFUNCTION("QUERY('Volunteer Survey'!H316)"),"Comprehensive")</f>
        <v>Comprehensive</v>
      </c>
      <c r="P307" s="49" t="str">
        <f ca="1">IFERROR(__xludf.DUMMYFUNCTION("QUERY('Volunteer Survey'!I316)"),"Variant Pathogenicity")</f>
        <v>Variant Pathogenicity</v>
      </c>
      <c r="Q307" s="54" t="str">
        <f ca="1">IFERROR(__xludf.DUMMYFUNCTION("QUERY('Volunteer Survey'!J316)"),"Gene-Disease Validity")</f>
        <v>Gene-Disease Validity</v>
      </c>
      <c r="R307" s="49" t="str">
        <f ca="1">IFERROR(__xludf.DUMMYFUNCTION("QUERY('Volunteer Survey'!K316)"),"Clinical Actionability")</f>
        <v>Clinical Actionability</v>
      </c>
      <c r="S307" s="49" t="str">
        <f ca="1">IFERROR(__xludf.DUMMYFUNCTION("QUERY('Volunteer Survey'!L316)"),"Dosage Sensitivity")</f>
        <v>Dosage Sensitivity</v>
      </c>
      <c r="T307" s="49" t="str">
        <f ca="1">IFERROR(__xludf.DUMMYFUNCTION("QUERY('Volunteer Survey'!M316)"),"Somatic Cancer")</f>
        <v>Somatic Cancer</v>
      </c>
      <c r="U307" s="58" t="str">
        <f ca="1">IFERROR(__xludf.DUMMYFUNCTION("QUERY('Volunteer Survey'!N316)"),"")</f>
        <v/>
      </c>
      <c r="V307" s="49" t="str">
        <f ca="1">IFERROR(__xludf.DUMMYFUNCTION("QUERY('Volunteer Survey'!O316)"),"No")</f>
        <v>No</v>
      </c>
      <c r="W307" s="60" t="str">
        <f ca="1">IFERROR(__xludf.DUMMYFUNCTION("QUERY('Volunteer Survey'!P316)"),"Familial Hypercholesterolemia Variant Curation Expert Panel")</f>
        <v>Familial Hypercholesterolemia Variant Curation Expert Panel</v>
      </c>
      <c r="X307" s="58" t="str">
        <f ca="1">IFERROR(__xludf.DUMMYFUNCTION("QUERY('Volunteer Survey'!R316)"),"No - I am only interested in the group(s) I previously indicated")</f>
        <v>No - I am only interested in the group(s) I previously indicated</v>
      </c>
      <c r="Y307" s="47"/>
      <c r="Z307" s="49"/>
      <c r="AA307" s="49"/>
      <c r="AB307" s="49"/>
      <c r="AC307" s="49"/>
      <c r="AD307" s="49"/>
      <c r="AE307" s="49"/>
      <c r="AF307" s="49"/>
      <c r="AG307" s="49"/>
      <c r="AH307" s="49"/>
      <c r="AI307" s="49"/>
      <c r="AJ307" s="49"/>
      <c r="AK307" s="49"/>
      <c r="AL307" s="49"/>
      <c r="AM307" s="49"/>
      <c r="AN307" s="49"/>
      <c r="AO307" s="49"/>
    </row>
    <row r="308" spans="1:41" ht="14">
      <c r="A308" s="44">
        <f ca="1">IFERROR(__xludf.DUMMYFUNCTION("QUERY('Volunteer Survey'!A317)"),43734.386442905)</f>
        <v>43734.386442905001</v>
      </c>
      <c r="B308" s="42" t="s">
        <v>108</v>
      </c>
      <c r="C308" s="47"/>
      <c r="D308" s="49"/>
      <c r="E308" s="49"/>
      <c r="F308" s="42" t="s">
        <v>130</v>
      </c>
      <c r="G308" s="42" t="s">
        <v>202</v>
      </c>
      <c r="H308" s="47"/>
      <c r="I308" s="45" t="s">
        <v>139</v>
      </c>
      <c r="J308" s="49"/>
      <c r="K308" s="49"/>
      <c r="L308" s="49" t="str">
        <f ca="1">IFERROR(__xludf.DUMMYFUNCTION("QUERY('Volunteer Survey'!B317)"),"Alexandra Miller")</f>
        <v>Alexandra Miller</v>
      </c>
      <c r="M308" s="49" t="str">
        <f ca="1">IFERROR(__xludf.DUMMYFUNCTION("QUERY('Volunteer Survey'!E317)"),"miller.alexandra@mayo.edu")</f>
        <v>miller.alexandra@mayo.edu</v>
      </c>
      <c r="N308" s="49" t="str">
        <f ca="1">IFERROR(__xludf.DUMMYFUNCTION("QUERY('Volunteer Survey'!F317)"),"Scientific Researcher")</f>
        <v>Scientific Researcher</v>
      </c>
      <c r="O308" s="42" t="str">
        <f ca="1">IFERROR(__xludf.DUMMYFUNCTION("QUERY('Volunteer Survey'!H317)"),"Baseline")</f>
        <v>Baseline</v>
      </c>
      <c r="P308" s="49" t="str">
        <f ca="1">IFERROR(__xludf.DUMMYFUNCTION("QUERY('Volunteer Survey'!I317)"),"Variant Pathogenicity")</f>
        <v>Variant Pathogenicity</v>
      </c>
      <c r="Q308" s="54" t="str">
        <f ca="1">IFERROR(__xludf.DUMMYFUNCTION("QUERY('Volunteer Survey'!J317)"),"Clinical Actionability")</f>
        <v>Clinical Actionability</v>
      </c>
      <c r="R308" s="49" t="str">
        <f ca="1">IFERROR(__xludf.DUMMYFUNCTION("QUERY('Volunteer Survey'!K317)"),"Gene-Disease Validity")</f>
        <v>Gene-Disease Validity</v>
      </c>
      <c r="S308" s="49" t="str">
        <f ca="1">IFERROR(__xludf.DUMMYFUNCTION("QUERY('Volunteer Survey'!L317)"),"Dosage Sensitivity")</f>
        <v>Dosage Sensitivity</v>
      </c>
      <c r="T308" s="49" t="str">
        <f ca="1">IFERROR(__xludf.DUMMYFUNCTION("QUERY('Volunteer Survey'!M317)"),"Somatic Cancer")</f>
        <v>Somatic Cancer</v>
      </c>
      <c r="U308" s="58" t="str">
        <f ca="1">IFERROR(__xludf.DUMMYFUNCTION("QUERY('Volunteer Survey'!N317)"),"")</f>
        <v/>
      </c>
      <c r="V308" s="49" t="str">
        <f ca="1">IFERROR(__xludf.DUMMYFUNCTION("QUERY('Volunteer Survey'!O317)"),"No")</f>
        <v>No</v>
      </c>
      <c r="W308" s="60" t="str">
        <f ca="1">IFERROR(__xludf.DUMMYFUNCTION("QUERY('Volunteer Survey'!P317)"),"FH VCEP")</f>
        <v>FH VCEP</v>
      </c>
      <c r="X308" s="58" t="str">
        <f ca="1">IFERROR(__xludf.DUMMYFUNCTION("QUERY('Volunteer Survey'!R317)"),"No - I am only interested in the group(s) I previously indicated")</f>
        <v>No - I am only interested in the group(s) I previously indicated</v>
      </c>
      <c r="Y308" s="47"/>
      <c r="Z308" s="49"/>
      <c r="AA308" s="49"/>
      <c r="AB308" s="49"/>
      <c r="AC308" s="49"/>
      <c r="AD308" s="49"/>
      <c r="AE308" s="49"/>
      <c r="AF308" s="49"/>
      <c r="AG308" s="49"/>
      <c r="AH308" s="49"/>
      <c r="AI308" s="49"/>
      <c r="AJ308" s="49"/>
      <c r="AK308" s="49"/>
      <c r="AL308" s="49"/>
      <c r="AM308" s="49"/>
      <c r="AN308" s="49"/>
      <c r="AO308" s="49"/>
    </row>
    <row r="309" spans="1:41" ht="14">
      <c r="A309" s="44">
        <f ca="1">IFERROR(__xludf.DUMMYFUNCTION("QUERY('Volunteer Survey'!A318)"),43735.7369703124)</f>
        <v>43735.736970312399</v>
      </c>
      <c r="B309" s="42" t="s">
        <v>322</v>
      </c>
      <c r="C309" s="47"/>
      <c r="D309" s="49"/>
      <c r="E309" s="49"/>
      <c r="F309" s="42" t="s">
        <v>130</v>
      </c>
      <c r="G309" s="42" t="s">
        <v>136</v>
      </c>
      <c r="H309" s="47"/>
      <c r="I309" s="47"/>
      <c r="J309" s="49"/>
      <c r="K309" s="49"/>
      <c r="L309" s="49" t="str">
        <f ca="1">IFERROR(__xludf.DUMMYFUNCTION("QUERY('Volunteer Survey'!B318)"),"Zonggao Shi")</f>
        <v>Zonggao Shi</v>
      </c>
      <c r="M309" s="49" t="str">
        <f ca="1">IFERROR(__xludf.DUMMYFUNCTION("QUERY('Volunteer Survey'!E318)"),"zshi1@stjude.org")</f>
        <v>zshi1@stjude.org</v>
      </c>
      <c r="N309" s="49" t="str">
        <f ca="1">IFERROR(__xludf.DUMMYFUNCTION("QUERY('Volunteer Survey'!F318)"),"Variant Analyst/Scientist - Academic")</f>
        <v>Variant Analyst/Scientist - Academic</v>
      </c>
      <c r="O309" s="42" t="str">
        <f ca="1">IFERROR(__xludf.DUMMYFUNCTION("QUERY('Volunteer Survey'!H318)"),"Comprehensive")</f>
        <v>Comprehensive</v>
      </c>
      <c r="P309" s="49" t="str">
        <f ca="1">IFERROR(__xludf.DUMMYFUNCTION("QUERY('Volunteer Survey'!I318)"),"Somatic Cancer")</f>
        <v>Somatic Cancer</v>
      </c>
      <c r="Q309" s="54" t="str">
        <f ca="1">IFERROR(__xludf.DUMMYFUNCTION("QUERY('Volunteer Survey'!J318)"),"Variant Pathogenicity")</f>
        <v>Variant Pathogenicity</v>
      </c>
      <c r="R309" s="49" t="str">
        <f ca="1">IFERROR(__xludf.DUMMYFUNCTION("QUERY('Volunteer Survey'!K318)"),"Clinical Actionability")</f>
        <v>Clinical Actionability</v>
      </c>
      <c r="S309" s="49" t="str">
        <f ca="1">IFERROR(__xludf.DUMMYFUNCTION("QUERY('Volunteer Survey'!L318)"),"Gene-Disease Validity")</f>
        <v>Gene-Disease Validity</v>
      </c>
      <c r="T309" s="49" t="str">
        <f ca="1">IFERROR(__xludf.DUMMYFUNCTION("QUERY('Volunteer Survey'!M318)"),"Dosage Sensitivity")</f>
        <v>Dosage Sensitivity</v>
      </c>
      <c r="U309" s="58" t="str">
        <f ca="1">IFERROR(__xludf.DUMMYFUNCTION("QUERY('Volunteer Survey'!N318)"),"Yes, currently working as an analyst for the manual review of variants and a member of our somatic cancer variant pathogenicity committee in St Jude Children's Clinical Genomics Team. ")</f>
        <v xml:space="preserve">Yes, currently working as an analyst for the manual review of variants and a member of our somatic cancer variant pathogenicity committee in St Jude Children's Clinical Genomics Team. </v>
      </c>
      <c r="V309" s="49" t="str">
        <f ca="1">IFERROR(__xludf.DUMMYFUNCTION("QUERY('Volunteer Survey'!O318)"),"Possibly")</f>
        <v>Possibly</v>
      </c>
      <c r="W309" s="60" t="str">
        <f ca="1">IFERROR(__xludf.DUMMYFUNCTION("QUERY('Volunteer Survey'!P318)"),"Yes, Somatic Cancer Pediatric Taskforce would be a good match")</f>
        <v>Yes, Somatic Cancer Pediatric Taskforce would be a good match</v>
      </c>
      <c r="X309" s="58" t="str">
        <f ca="1">IFERROR(__xludf.DUMMYFUNCTION("QUERY('Volunteer Survey'!R318)"),"Yes- I am willing to volunteer with any available ClinGen group")</f>
        <v>Yes- I am willing to volunteer with any available ClinGen group</v>
      </c>
      <c r="Y309" s="47"/>
      <c r="Z309" s="49"/>
      <c r="AA309" s="49"/>
      <c r="AB309" s="49"/>
      <c r="AC309" s="49"/>
      <c r="AD309" s="49"/>
      <c r="AE309" s="49"/>
      <c r="AF309" s="49"/>
      <c r="AG309" s="49"/>
      <c r="AH309" s="49"/>
      <c r="AI309" s="49"/>
      <c r="AJ309" s="49"/>
      <c r="AK309" s="49"/>
      <c r="AL309" s="49"/>
      <c r="AM309" s="49"/>
      <c r="AN309" s="49"/>
      <c r="AO309" s="49"/>
    </row>
    <row r="310" spans="1:41" ht="14">
      <c r="A310" s="44">
        <f ca="1">IFERROR(__xludf.DUMMYFUNCTION("QUERY('Volunteer Survey'!A319)"),43736.418810243)</f>
        <v>43736.418810242998</v>
      </c>
      <c r="B310" s="42" t="s">
        <v>108</v>
      </c>
      <c r="C310" s="73">
        <v>43819</v>
      </c>
      <c r="D310" s="49"/>
      <c r="E310" s="49"/>
      <c r="F310" s="42" t="s">
        <v>130</v>
      </c>
      <c r="G310" s="42" t="s">
        <v>251</v>
      </c>
      <c r="H310" s="47"/>
      <c r="I310" s="47"/>
      <c r="J310" s="49"/>
      <c r="K310" s="49"/>
      <c r="L310" s="49" t="str">
        <f ca="1">IFERROR(__xludf.DUMMYFUNCTION("QUERY('Volunteer Survey'!B319)"),"Linlin Zhang")</f>
        <v>Linlin Zhang</v>
      </c>
      <c r="M310" s="49" t="str">
        <f ca="1">IFERROR(__xludf.DUMMYFUNCTION("QUERY('Volunteer Survey'!E319)"),"linlinzhang277@gmail.com")</f>
        <v>linlinzhang277@gmail.com</v>
      </c>
      <c r="N310" s="49" t="str">
        <f ca="1">IFERROR(__xludf.DUMMYFUNCTION("QUERY('Volunteer Survey'!F319)"),"Clinical laboratory geneticist")</f>
        <v>Clinical laboratory geneticist</v>
      </c>
      <c r="O310" s="42" t="str">
        <f ca="1">IFERROR(__xludf.DUMMYFUNCTION("QUERY('Volunteer Survey'!H319)"),"Comprehensive")</f>
        <v>Comprehensive</v>
      </c>
      <c r="P310" s="49" t="str">
        <f ca="1">IFERROR(__xludf.DUMMYFUNCTION("QUERY('Volunteer Survey'!I319)"),"Variant Pathogenicity")</f>
        <v>Variant Pathogenicity</v>
      </c>
      <c r="Q310" s="54" t="str">
        <f ca="1">IFERROR(__xludf.DUMMYFUNCTION("QUERY('Volunteer Survey'!J319)"),"Dosage Sensitivity")</f>
        <v>Dosage Sensitivity</v>
      </c>
      <c r="R310" s="49" t="str">
        <f ca="1">IFERROR(__xludf.DUMMYFUNCTION("QUERY('Volunteer Survey'!K319)"),"Gene-Disease Validity")</f>
        <v>Gene-Disease Validity</v>
      </c>
      <c r="S310" s="49" t="str">
        <f ca="1">IFERROR(__xludf.DUMMYFUNCTION("QUERY('Volunteer Survey'!L319)"),"Clinical Actionability")</f>
        <v>Clinical Actionability</v>
      </c>
      <c r="T310" s="49" t="str">
        <f ca="1">IFERROR(__xludf.DUMMYFUNCTION("QUERY('Volunteer Survey'!M319)"),"Somatic Cancer")</f>
        <v>Somatic Cancer</v>
      </c>
      <c r="U310" s="58" t="str">
        <f ca="1">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49" t="str">
        <f ca="1">IFERROR(__xludf.DUMMYFUNCTION("QUERY('Volunteer Survey'!O319)"),"Yes")</f>
        <v>Yes</v>
      </c>
      <c r="W310" s="60" t="str">
        <f ca="1">IFERROR(__xludf.DUMMYFUNCTION("QUERY('Volunteer Survey'!P319)"),"Dosage Sensitivity Working Group  or Variant Curation Expert Panels in Phenylketonuria")</f>
        <v>Dosage Sensitivity Working Group  or Variant Curation Expert Panels in Phenylketonuria</v>
      </c>
      <c r="X310" s="58" t="str">
        <f ca="1">IFERROR(__xludf.DUMMYFUNCTION("QUERY('Volunteer Survey'!R319)"),"Yes- I am willing to volunteer with any available ClinGen group")</f>
        <v>Yes- I am willing to volunteer with any available ClinGen group</v>
      </c>
      <c r="Y310" s="47"/>
      <c r="Z310" s="49"/>
      <c r="AA310" s="49"/>
      <c r="AB310" s="49"/>
      <c r="AC310" s="49"/>
      <c r="AD310" s="49"/>
      <c r="AE310" s="49"/>
      <c r="AF310" s="49"/>
      <c r="AG310" s="49"/>
      <c r="AH310" s="49"/>
      <c r="AI310" s="49"/>
      <c r="AJ310" s="49"/>
      <c r="AK310" s="49"/>
      <c r="AL310" s="49"/>
      <c r="AM310" s="49"/>
      <c r="AN310" s="49"/>
      <c r="AO310" s="49"/>
    </row>
    <row r="311" spans="1:41" ht="14">
      <c r="A311" s="44">
        <f ca="1">IFERROR(__xludf.DUMMYFUNCTION("QUERY('Volunteer Survey'!A320)"),43739.0382272337)</f>
        <v>43739.038227233701</v>
      </c>
      <c r="B311" s="42" t="s">
        <v>108</v>
      </c>
      <c r="C311" s="73">
        <v>43819</v>
      </c>
      <c r="D311" s="49"/>
      <c r="E311" s="49"/>
      <c r="F311" s="42" t="s">
        <v>130</v>
      </c>
      <c r="G311" s="42" t="s">
        <v>251</v>
      </c>
      <c r="H311" s="47"/>
      <c r="I311" s="47"/>
      <c r="J311" s="49"/>
      <c r="K311" s="49"/>
      <c r="L311" s="49" t="str">
        <f ca="1">IFERROR(__xludf.DUMMYFUNCTION("QUERY('Volunteer Survey'!B320)"),"Marco Montes de Oca")</f>
        <v>Marco Montes de Oca</v>
      </c>
      <c r="M311" s="49" t="str">
        <f ca="1">IFERROR(__xludf.DUMMYFUNCTION("QUERY('Volunteer Survey'!E320)"),"montesm@student.unimelb.edu.au")</f>
        <v>montesm@student.unimelb.edu.au</v>
      </c>
      <c r="N311" s="49" t="str">
        <f ca="1">IFERROR(__xludf.DUMMYFUNCTION("QUERY('Volunteer Survey'!F320)"),"Graduate Student")</f>
        <v>Graduate Student</v>
      </c>
      <c r="O311" s="42" t="str">
        <f ca="1">IFERROR(__xludf.DUMMYFUNCTION("QUERY('Volunteer Survey'!H320)"),"Comprehensive")</f>
        <v>Comprehensive</v>
      </c>
      <c r="P311" s="49" t="str">
        <f ca="1">IFERROR(__xludf.DUMMYFUNCTION("QUERY('Volunteer Survey'!I320)"),"Variant Pathogenicity")</f>
        <v>Variant Pathogenicity</v>
      </c>
      <c r="Q311" s="54" t="str">
        <f ca="1">IFERROR(__xludf.DUMMYFUNCTION("QUERY('Volunteer Survey'!J320)"),"Gene-Disease Validity")</f>
        <v>Gene-Disease Validity</v>
      </c>
      <c r="R311" s="49" t="str">
        <f ca="1">IFERROR(__xludf.DUMMYFUNCTION("QUERY('Volunteer Survey'!K320)"),"Dosage Sensitivity")</f>
        <v>Dosage Sensitivity</v>
      </c>
      <c r="S311" s="49" t="str">
        <f ca="1">IFERROR(__xludf.DUMMYFUNCTION("QUERY('Volunteer Survey'!L320)"),"")</f>
        <v/>
      </c>
      <c r="T311" s="49" t="str">
        <f ca="1">IFERROR(__xludf.DUMMYFUNCTION("QUERY('Volunteer Survey'!M320)"),"")</f>
        <v/>
      </c>
      <c r="U311" s="58" t="str">
        <f ca="1">IFERROR(__xludf.DUMMYFUNCTION("QUERY('Volunteer Survey'!N320)"),"")</f>
        <v/>
      </c>
      <c r="V311" s="49" t="str">
        <f ca="1">IFERROR(__xludf.DUMMYFUNCTION("QUERY('Volunteer Survey'!O320)"),"No")</f>
        <v>No</v>
      </c>
      <c r="W311" s="60" t="str">
        <f ca="1">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58" t="str">
        <f ca="1">IFERROR(__xludf.DUMMYFUNCTION("QUERY('Volunteer Survey'!R320)"),"Yes- I am willing to volunteer with any available ClinGen group")</f>
        <v>Yes- I am willing to volunteer with any available ClinGen group</v>
      </c>
      <c r="Y311" s="45" t="s">
        <v>1910</v>
      </c>
      <c r="Z311" s="49"/>
      <c r="AA311" s="49"/>
      <c r="AB311" s="49"/>
      <c r="AC311" s="49"/>
      <c r="AD311" s="49"/>
      <c r="AE311" s="49"/>
      <c r="AF311" s="49"/>
      <c r="AG311" s="49"/>
      <c r="AH311" s="49"/>
      <c r="AI311" s="49"/>
      <c r="AJ311" s="49"/>
      <c r="AK311" s="49"/>
      <c r="AL311" s="49"/>
      <c r="AM311" s="49"/>
      <c r="AN311" s="49"/>
      <c r="AO311" s="49"/>
    </row>
    <row r="312" spans="1:41" ht="14">
      <c r="A312" s="44">
        <f ca="1">IFERROR(__xludf.DUMMYFUNCTION("QUERY('Volunteer Survey'!A321)"),43739.3803571296)</f>
        <v>43739.380357129601</v>
      </c>
      <c r="B312" s="42" t="s">
        <v>108</v>
      </c>
      <c r="C312" s="47"/>
      <c r="D312" s="49"/>
      <c r="E312" s="49"/>
      <c r="F312" s="42" t="s">
        <v>130</v>
      </c>
      <c r="G312" s="42" t="s">
        <v>202</v>
      </c>
      <c r="H312" s="47"/>
      <c r="I312" s="47"/>
      <c r="J312" s="49"/>
      <c r="K312" s="49"/>
      <c r="L312" s="49" t="str">
        <f ca="1">IFERROR(__xludf.DUMMYFUNCTION("QUERY('Volunteer Survey'!B321)"),"Carolina Bustamante")</f>
        <v>Carolina Bustamante</v>
      </c>
      <c r="M312" s="49" t="str">
        <f ca="1">IFERROR(__xludf.DUMMYFUNCTION("QUERY('Volunteer Survey'!E321)"),"carolina.bustamante@gmail.com")</f>
        <v>carolina.bustamante@gmail.com</v>
      </c>
      <c r="N312" s="49" t="str">
        <f ca="1">IFERROR(__xludf.DUMMYFUNCTION("QUERY('Volunteer Survey'!F321)"),"Clinical laboratory geneticist")</f>
        <v>Clinical laboratory geneticist</v>
      </c>
      <c r="O312" s="42" t="str">
        <f ca="1">IFERROR(__xludf.DUMMYFUNCTION("QUERY('Volunteer Survey'!H321)"),"Baseline")</f>
        <v>Baseline</v>
      </c>
      <c r="P312" s="49" t="str">
        <f ca="1">IFERROR(__xludf.DUMMYFUNCTION("QUERY('Volunteer Survey'!I321)"),"Somatic Cancer")</f>
        <v>Somatic Cancer</v>
      </c>
      <c r="Q312" s="54" t="str">
        <f ca="1">IFERROR(__xludf.DUMMYFUNCTION("QUERY('Volunteer Survey'!J321)"),"Variant Pathogenicity")</f>
        <v>Variant Pathogenicity</v>
      </c>
      <c r="R312" s="49" t="str">
        <f ca="1">IFERROR(__xludf.DUMMYFUNCTION("QUERY('Volunteer Survey'!K321)"),"Clinical Actionability")</f>
        <v>Clinical Actionability</v>
      </c>
      <c r="S312" s="49" t="str">
        <f ca="1">IFERROR(__xludf.DUMMYFUNCTION("QUERY('Volunteer Survey'!L321)"),"Gene-Disease Validity")</f>
        <v>Gene-Disease Validity</v>
      </c>
      <c r="T312" s="49" t="str">
        <f ca="1">IFERROR(__xludf.DUMMYFUNCTION("QUERY('Volunteer Survey'!M321)"),"Dosage Sensitivity")</f>
        <v>Dosage Sensitivity</v>
      </c>
      <c r="U312" s="58" t="str">
        <f ca="1">IFERROR(__xludf.DUMMYFUNCTION("QUERY('Volunteer Survey'!N321)"),"Yes, I work in a clinical laboratory with NGS panels ")</f>
        <v xml:space="preserve">Yes, I work in a clinical laboratory with NGS panels </v>
      </c>
      <c r="V312" s="49" t="str">
        <f ca="1">IFERROR(__xludf.DUMMYFUNCTION("QUERY('Volunteer Survey'!O321)"),"Possibly")</f>
        <v>Possibly</v>
      </c>
      <c r="W312" s="60" t="str">
        <f ca="1">IFERROR(__xludf.DUMMYFUNCTION("QUERY('Volunteer Survey'!P321)"),"Cancer, lung cancer, Hereditary cancer, cardiomyopathy, TP53, colorectal cancer, genitourinary tract cancer")</f>
        <v>Cancer, lung cancer, Hereditary cancer, cardiomyopathy, TP53, colorectal cancer, genitourinary tract cancer</v>
      </c>
      <c r="X312" s="58" t="str">
        <f ca="1">IFERROR(__xludf.DUMMYFUNCTION("QUERY('Volunteer Survey'!R321)"),"Yes- I am willing to volunteer with any available ClinGen group")</f>
        <v>Yes- I am willing to volunteer with any available ClinGen group</v>
      </c>
      <c r="Y312" s="47"/>
      <c r="Z312" s="49"/>
      <c r="AA312" s="49"/>
      <c r="AB312" s="49"/>
      <c r="AC312" s="49"/>
      <c r="AD312" s="49"/>
      <c r="AE312" s="49"/>
      <c r="AF312" s="49"/>
      <c r="AG312" s="49"/>
      <c r="AH312" s="49"/>
      <c r="AI312" s="49"/>
      <c r="AJ312" s="49"/>
      <c r="AK312" s="49"/>
      <c r="AL312" s="49"/>
      <c r="AM312" s="49"/>
      <c r="AN312" s="49"/>
      <c r="AO312" s="49"/>
    </row>
    <row r="313" spans="1:41" ht="14">
      <c r="A313" s="44">
        <f ca="1">IFERROR(__xludf.DUMMYFUNCTION("QUERY('Volunteer Survey'!A322)"),43739.4634738541)</f>
        <v>43739.463473854099</v>
      </c>
      <c r="B313" s="42" t="s">
        <v>108</v>
      </c>
      <c r="C313" s="47"/>
      <c r="D313" s="49"/>
      <c r="E313" s="49"/>
      <c r="F313" s="42" t="s">
        <v>130</v>
      </c>
      <c r="G313" s="42" t="s">
        <v>202</v>
      </c>
      <c r="H313" s="47"/>
      <c r="I313" s="47"/>
      <c r="J313" s="49"/>
      <c r="K313" s="49"/>
      <c r="L313" s="49" t="str">
        <f ca="1">IFERROR(__xludf.DUMMYFUNCTION("QUERY('Volunteer Survey'!B322)"),"Alex Gout")</f>
        <v>Alex Gout</v>
      </c>
      <c r="M313" s="49" t="str">
        <f ca="1">IFERROR(__xludf.DUMMYFUNCTION("QUERY('Volunteer Survey'!E322)"),"alex.gout@stjude.org")</f>
        <v>alex.gout@stjude.org</v>
      </c>
      <c r="N313" s="49" t="str">
        <f ca="1">IFERROR(__xludf.DUMMYFUNCTION("QUERY('Volunteer Survey'!F322)"),"Scientific Researcher")</f>
        <v>Scientific Researcher</v>
      </c>
      <c r="O313" s="42" t="str">
        <f ca="1">IFERROR(__xludf.DUMMYFUNCTION("QUERY('Volunteer Survey'!H322)"),"Baseline")</f>
        <v>Baseline</v>
      </c>
      <c r="P313" s="49" t="str">
        <f ca="1">IFERROR(__xludf.DUMMYFUNCTION("QUERY('Volunteer Survey'!I322)"),"")</f>
        <v/>
      </c>
      <c r="Q313" s="54" t="str">
        <f ca="1">IFERROR(__xludf.DUMMYFUNCTION("QUERY('Volunteer Survey'!J322)"),"")</f>
        <v/>
      </c>
      <c r="R313" s="49" t="str">
        <f ca="1">IFERROR(__xludf.DUMMYFUNCTION("QUERY('Volunteer Survey'!K322)"),"")</f>
        <v/>
      </c>
      <c r="S313" s="49" t="str">
        <f ca="1">IFERROR(__xludf.DUMMYFUNCTION("QUERY('Volunteer Survey'!L322)"),"")</f>
        <v/>
      </c>
      <c r="T313" s="49" t="str">
        <f ca="1">IFERROR(__xludf.DUMMYFUNCTION("QUERY('Volunteer Survey'!M322)"),"")</f>
        <v/>
      </c>
      <c r="U313" s="58" t="str">
        <f ca="1">IFERROR(__xludf.DUMMYFUNCTION("QUERY('Volunteer Survey'!N322)"),"")</f>
        <v/>
      </c>
      <c r="V313" s="49" t="str">
        <f ca="1">IFERROR(__xludf.DUMMYFUNCTION("QUERY('Volunteer Survey'!O322)"),"Possibly")</f>
        <v>Possibly</v>
      </c>
      <c r="W313" s="60" t="str">
        <f ca="1">IFERROR(__xludf.DUMMYFUNCTION("QUERY('Volunteer Survey'!P322)"),"somatic cancer working group - pediatric")</f>
        <v>somatic cancer working group - pediatric</v>
      </c>
      <c r="X313" s="58" t="str">
        <f ca="1">IFERROR(__xludf.DUMMYFUNCTION("QUERY('Volunteer Survey'!R322)"),"Maybe -- please contact me with other options, and I will decide based on what is available")</f>
        <v>Maybe -- please contact me with other options, and I will decide based on what is available</v>
      </c>
      <c r="Y313" s="47"/>
      <c r="Z313" s="49"/>
      <c r="AA313" s="49"/>
      <c r="AB313" s="49"/>
      <c r="AC313" s="49"/>
      <c r="AD313" s="49"/>
      <c r="AE313" s="49"/>
      <c r="AF313" s="49"/>
      <c r="AG313" s="49"/>
      <c r="AH313" s="49"/>
      <c r="AI313" s="49"/>
      <c r="AJ313" s="49"/>
      <c r="AK313" s="49"/>
      <c r="AL313" s="49"/>
      <c r="AM313" s="49"/>
      <c r="AN313" s="49"/>
      <c r="AO313" s="49"/>
    </row>
    <row r="314" spans="1:41" ht="14">
      <c r="A314" s="44">
        <f ca="1">IFERROR(__xludf.DUMMYFUNCTION("QUERY('Volunteer Survey'!A323)"),43742.0541094791)</f>
        <v>43742.054109479097</v>
      </c>
      <c r="B314" s="42" t="s">
        <v>108</v>
      </c>
      <c r="C314" s="47"/>
      <c r="D314" s="49"/>
      <c r="E314" s="49"/>
      <c r="F314" s="42" t="s">
        <v>130</v>
      </c>
      <c r="G314" s="42" t="s">
        <v>202</v>
      </c>
      <c r="H314" s="47"/>
      <c r="I314" s="47"/>
      <c r="J314" s="49"/>
      <c r="K314" s="49"/>
      <c r="L314" s="49" t="str">
        <f ca="1">IFERROR(__xludf.DUMMYFUNCTION("QUERY('Volunteer Survey'!B323)"),"Kim Phuong Tong")</f>
        <v>Kim Phuong Tong</v>
      </c>
      <c r="M314" s="49" t="str">
        <f ca="1">IFERROR(__xludf.DUMMYFUNCTION("QUERY('Volunteer Survey'!E323)"),"ktongpotter@yahoo.com")</f>
        <v>ktongpotter@yahoo.com</v>
      </c>
      <c r="N314" s="49" t="str">
        <f ca="1">IFERROR(__xludf.DUMMYFUNCTION("QUERY('Volunteer Survey'!F323)"),"Citizen Scientist/Patient Advocate")</f>
        <v>Citizen Scientist/Patient Advocate</v>
      </c>
      <c r="O314" s="42" t="str">
        <f ca="1">IFERROR(__xludf.DUMMYFUNCTION("QUERY('Volunteer Survey'!H323)"),"Baseline")</f>
        <v>Baseline</v>
      </c>
      <c r="P314" s="49" t="str">
        <f ca="1">IFERROR(__xludf.DUMMYFUNCTION("QUERY('Volunteer Survey'!I323)"),"Gene-Disease Validity")</f>
        <v>Gene-Disease Validity</v>
      </c>
      <c r="Q314" s="54" t="str">
        <f ca="1">IFERROR(__xludf.DUMMYFUNCTION("QUERY('Volunteer Survey'!J323)"),"Clinical Actionability")</f>
        <v>Clinical Actionability</v>
      </c>
      <c r="R314" s="49" t="str">
        <f ca="1">IFERROR(__xludf.DUMMYFUNCTION("QUERY('Volunteer Survey'!K323)"),"Variant Pathogenicity")</f>
        <v>Variant Pathogenicity</v>
      </c>
      <c r="S314" s="49" t="str">
        <f ca="1">IFERROR(__xludf.DUMMYFUNCTION("QUERY('Volunteer Survey'!L323)"),"")</f>
        <v/>
      </c>
      <c r="T314" s="49" t="str">
        <f ca="1">IFERROR(__xludf.DUMMYFUNCTION("QUERY('Volunteer Survey'!M323)"),"")</f>
        <v/>
      </c>
      <c r="U314" s="58" t="str">
        <f ca="1">IFERROR(__xludf.DUMMYFUNCTION("QUERY('Volunteer Survey'!N323)"),"")</f>
        <v/>
      </c>
      <c r="V314" s="49" t="str">
        <f ca="1">IFERROR(__xludf.DUMMYFUNCTION("QUERY('Volunteer Survey'!O323)"),"Possibly")</f>
        <v>Possibly</v>
      </c>
      <c r="W314" s="60" t="str">
        <f ca="1">IFERROR(__xludf.DUMMYFUNCTION("QUERY('Volunteer Survey'!P323)"),"")</f>
        <v/>
      </c>
      <c r="X314" s="58" t="str">
        <f ca="1">IFERROR(__xludf.DUMMYFUNCTION("QUERY('Volunteer Survey'!R323)"),"Maybe -- please contact me with other options, and I will decide based on what is available")</f>
        <v>Maybe -- please contact me with other options, and I will decide based on what is available</v>
      </c>
      <c r="Y314" s="47"/>
      <c r="Z314" s="49"/>
      <c r="AA314" s="49"/>
      <c r="AB314" s="49"/>
      <c r="AC314" s="49"/>
      <c r="AD314" s="49"/>
      <c r="AE314" s="49"/>
      <c r="AF314" s="49"/>
      <c r="AG314" s="49"/>
      <c r="AH314" s="49"/>
      <c r="AI314" s="49"/>
      <c r="AJ314" s="49"/>
      <c r="AK314" s="49"/>
      <c r="AL314" s="49"/>
      <c r="AM314" s="49"/>
      <c r="AN314" s="49"/>
      <c r="AO314" s="49"/>
    </row>
    <row r="315" spans="1:41" ht="14">
      <c r="A315" s="44">
        <f ca="1">IFERROR(__xludf.DUMMYFUNCTION("QUERY('Volunteer Survey'!A324)"),43742.6688535069)</f>
        <v>43742.668853506897</v>
      </c>
      <c r="B315" s="42" t="s">
        <v>108</v>
      </c>
      <c r="C315" s="73">
        <v>43819</v>
      </c>
      <c r="D315" s="49"/>
      <c r="E315" s="49"/>
      <c r="F315" s="42" t="s">
        <v>130</v>
      </c>
      <c r="G315" s="42" t="s">
        <v>251</v>
      </c>
      <c r="H315" s="47"/>
      <c r="I315" s="47"/>
      <c r="J315" s="49"/>
      <c r="K315" s="49"/>
      <c r="L315" s="49" t="str">
        <f ca="1">IFERROR(__xludf.DUMMYFUNCTION("QUERY('Volunteer Survey'!B324)"),"Heather Harris")</f>
        <v>Heather Harris</v>
      </c>
      <c r="M315" s="49" t="str">
        <f ca="1">IFERROR(__xludf.DUMMYFUNCTION("QUERY('Volunteer Survey'!E324)"),"heatherkharris1@gmail.com")</f>
        <v>heatherkharris1@gmail.com</v>
      </c>
      <c r="N315" s="49" t="str">
        <f ca="1">IFERROR(__xludf.DUMMYFUNCTION("QUERY('Volunteer Survey'!F324)"),"Genetic counselor")</f>
        <v>Genetic counselor</v>
      </c>
      <c r="O315" s="42" t="str">
        <f ca="1">IFERROR(__xludf.DUMMYFUNCTION("QUERY('Volunteer Survey'!H324)"),"Comprehensive")</f>
        <v>Comprehensive</v>
      </c>
      <c r="P315" s="49" t="str">
        <f ca="1">IFERROR(__xludf.DUMMYFUNCTION("QUERY('Volunteer Survey'!I324)"),"Variant Pathogenicity")</f>
        <v>Variant Pathogenicity</v>
      </c>
      <c r="Q315" s="54" t="str">
        <f ca="1">IFERROR(__xludf.DUMMYFUNCTION("QUERY('Volunteer Survey'!J324)"),"Clinical Actionability")</f>
        <v>Clinical Actionability</v>
      </c>
      <c r="R315" s="49" t="str">
        <f ca="1">IFERROR(__xludf.DUMMYFUNCTION("QUERY('Volunteer Survey'!K324)"),"Gene-Disease Validity")</f>
        <v>Gene-Disease Validity</v>
      </c>
      <c r="S315" s="49" t="str">
        <f ca="1">IFERROR(__xludf.DUMMYFUNCTION("QUERY('Volunteer Survey'!L324)"),"Somatic Cancer")</f>
        <v>Somatic Cancer</v>
      </c>
      <c r="T315" s="49" t="str">
        <f ca="1">IFERROR(__xludf.DUMMYFUNCTION("QUERY('Volunteer Survey'!M324)"),"Dosage Sensitivity")</f>
        <v>Dosage Sensitivity</v>
      </c>
      <c r="U315" s="58" t="str">
        <f ca="1">IFERROR(__xludf.DUMMYFUNCTION("QUERY('Volunteer Survey'!N324)"),"Limited experience with creating variant descriptions for lab report writing. ")</f>
        <v xml:space="preserve">Limited experience with creating variant descriptions for lab report writing. </v>
      </c>
      <c r="V315" s="49" t="str">
        <f ca="1">IFERROR(__xludf.DUMMYFUNCTION("QUERY('Volunteer Survey'!O324)"),"No")</f>
        <v>No</v>
      </c>
      <c r="W315" s="60" t="str">
        <f ca="1">IFERROR(__xludf.DUMMYFUNCTION("QUERY('Volunteer Survey'!P324)"),"I am open to any opportunity.")</f>
        <v>I am open to any opportunity.</v>
      </c>
      <c r="X315" s="58" t="str">
        <f ca="1">IFERROR(__xludf.DUMMYFUNCTION("QUERY('Volunteer Survey'!R324)"),"")</f>
        <v/>
      </c>
      <c r="Y315" s="47"/>
      <c r="Z315" s="49"/>
      <c r="AA315" s="49"/>
      <c r="AB315" s="49"/>
      <c r="AC315" s="49"/>
      <c r="AD315" s="49"/>
      <c r="AE315" s="49"/>
      <c r="AF315" s="49"/>
      <c r="AG315" s="49"/>
      <c r="AH315" s="49"/>
      <c r="AI315" s="49"/>
      <c r="AJ315" s="49"/>
      <c r="AK315" s="49"/>
      <c r="AL315" s="49"/>
      <c r="AM315" s="49"/>
      <c r="AN315" s="49"/>
      <c r="AO315" s="49"/>
    </row>
    <row r="316" spans="1:41" ht="14">
      <c r="A316" s="44">
        <f ca="1">IFERROR(__xludf.DUMMYFUNCTION("QUERY('Volunteer Survey'!A325)"),43744.7547774074)</f>
        <v>43744.754777407397</v>
      </c>
      <c r="B316" s="42" t="s">
        <v>108</v>
      </c>
      <c r="C316" s="47"/>
      <c r="D316" s="49"/>
      <c r="E316" s="49"/>
      <c r="F316" s="42" t="s">
        <v>130</v>
      </c>
      <c r="G316" s="42" t="s">
        <v>202</v>
      </c>
      <c r="H316" s="47"/>
      <c r="I316" s="47"/>
      <c r="J316" s="49"/>
      <c r="K316" s="49"/>
      <c r="L316" s="49" t="str">
        <f ca="1">IFERROR(__xludf.DUMMYFUNCTION("QUERY('Volunteer Survey'!B325)"),"C. Anwar A. Chahal")</f>
        <v>C. Anwar A. Chahal</v>
      </c>
      <c r="M316" s="49" t="str">
        <f ca="1">IFERROR(__xludf.DUMMYFUNCTION("QUERY('Volunteer Survey'!E325)"),"anwar.chahal@uphs.upenn.edu")</f>
        <v>anwar.chahal@uphs.upenn.edu</v>
      </c>
      <c r="N316" s="49" t="str">
        <f ca="1">IFERROR(__xludf.DUMMYFUNCTION("QUERY('Volunteer Survey'!F325)"),"Clinician Scientist, EP and Inherited CV Diseases, in final year clinical EP Fellowship")</f>
        <v>Clinician Scientist, EP and Inherited CV Diseases, in final year clinical EP Fellowship</v>
      </c>
      <c r="O316" s="42" t="str">
        <f ca="1">IFERROR(__xludf.DUMMYFUNCTION("QUERY('Volunteer Survey'!H325)"),"Baseline")</f>
        <v>Baseline</v>
      </c>
      <c r="P316" s="49" t="str">
        <f ca="1">IFERROR(__xludf.DUMMYFUNCTION("QUERY('Volunteer Survey'!I325)"),"Variant Pathogenicity")</f>
        <v>Variant Pathogenicity</v>
      </c>
      <c r="Q316" s="54" t="str">
        <f ca="1">IFERROR(__xludf.DUMMYFUNCTION("QUERY('Volunteer Survey'!J325)"),"Gene-Disease Validity")</f>
        <v>Gene-Disease Validity</v>
      </c>
      <c r="R316" s="49" t="str">
        <f ca="1">IFERROR(__xludf.DUMMYFUNCTION("QUERY('Volunteer Survey'!K325)"),"Clinical Actionability")</f>
        <v>Clinical Actionability</v>
      </c>
      <c r="S316" s="49" t="str">
        <f ca="1">IFERROR(__xludf.DUMMYFUNCTION("QUERY('Volunteer Survey'!L325)"),"")</f>
        <v/>
      </c>
      <c r="T316" s="49" t="str">
        <f ca="1">IFERROR(__xludf.DUMMYFUNCTION("QUERY('Volunteer Survey'!M325)"),"")</f>
        <v/>
      </c>
      <c r="U316" s="58" t="str">
        <f ca="1">IFERROR(__xludf.DUMMYFUNCTION("QUERY('Volunteer Survey'!N325)"),"Not curation, experience in geneomics (PhD, American Heart Association)")</f>
        <v>Not curation, experience in geneomics (PhD, American Heart Association)</v>
      </c>
      <c r="V316" s="49" t="str">
        <f ca="1">IFERROR(__xludf.DUMMYFUNCTION("QUERY('Volunteer Survey'!O325)"),"Possibly")</f>
        <v>Possibly</v>
      </c>
      <c r="W316" s="60" t="str">
        <f ca="1">IFERROR(__xludf.DUMMYFUNCTION("QUERY('Volunteer Survey'!P325)"),"Congenital myopathies, Cardiomyopathy* (these are my areas of expertise/interest)")</f>
        <v>Congenital myopathies, Cardiomyopathy* (these are my areas of expertise/interest)</v>
      </c>
      <c r="X316" s="58" t="str">
        <f ca="1">IFERROR(__xludf.DUMMYFUNCTION("QUERY('Volunteer Survey'!R325)"),"No - I am only interested in the group(s) I previously indicated")</f>
        <v>No - I am only interested in the group(s) I previously indicated</v>
      </c>
      <c r="Y316" s="47"/>
      <c r="Z316" s="49"/>
      <c r="AA316" s="49"/>
      <c r="AB316" s="49"/>
      <c r="AC316" s="49"/>
      <c r="AD316" s="49"/>
      <c r="AE316" s="49"/>
      <c r="AF316" s="49"/>
      <c r="AG316" s="49"/>
      <c r="AH316" s="49"/>
      <c r="AI316" s="49"/>
      <c r="AJ316" s="49"/>
      <c r="AK316" s="49"/>
      <c r="AL316" s="49"/>
      <c r="AM316" s="49"/>
      <c r="AN316" s="49"/>
      <c r="AO316" s="49"/>
    </row>
    <row r="317" spans="1:41" ht="14">
      <c r="A317" s="44">
        <f ca="1">IFERROR(__xludf.DUMMYFUNCTION("QUERY('Volunteer Survey'!A326)"),43745.6517298611)</f>
        <v>43745.6517298611</v>
      </c>
      <c r="B317" s="42" t="s">
        <v>108</v>
      </c>
      <c r="C317" s="73">
        <v>43819</v>
      </c>
      <c r="D317" s="49"/>
      <c r="E317" s="49"/>
      <c r="F317" s="42" t="s">
        <v>130</v>
      </c>
      <c r="G317" s="42" t="s">
        <v>251</v>
      </c>
      <c r="H317" s="47"/>
      <c r="I317" s="47"/>
      <c r="J317" s="49"/>
      <c r="K317" s="49"/>
      <c r="L317" s="49" t="str">
        <f ca="1">IFERROR(__xludf.DUMMYFUNCTION("QUERY('Volunteer Survey'!B326)"),"Kaitlin Lenhart")</f>
        <v>Kaitlin Lenhart</v>
      </c>
      <c r="M317" s="49" t="str">
        <f ca="1">IFERROR(__xludf.DUMMYFUNCTION("QUERY('Volunteer Survey'!E326)"),"kaitlin.lenhart@slh.wisc.edu")</f>
        <v>kaitlin.lenhart@slh.wisc.edu</v>
      </c>
      <c r="N317" s="49" t="str">
        <f ca="1">IFERROR(__xludf.DUMMYFUNCTION("QUERY('Volunteer Survey'!F326)"),"Clinical laboratory geneticist")</f>
        <v>Clinical laboratory geneticist</v>
      </c>
      <c r="O317" s="42" t="str">
        <f ca="1">IFERROR(__xludf.DUMMYFUNCTION("QUERY('Volunteer Survey'!H326)"),"Comprehensive")</f>
        <v>Comprehensive</v>
      </c>
      <c r="P317" s="49" t="str">
        <f ca="1">IFERROR(__xludf.DUMMYFUNCTION("QUERY('Volunteer Survey'!I326)"),"Variant Pathogenicity")</f>
        <v>Variant Pathogenicity</v>
      </c>
      <c r="Q317" s="54" t="str">
        <f ca="1">IFERROR(__xludf.DUMMYFUNCTION("QUERY('Volunteer Survey'!J326)"),"Gene-Disease Validity")</f>
        <v>Gene-Disease Validity</v>
      </c>
      <c r="R317" s="49" t="str">
        <f ca="1">IFERROR(__xludf.DUMMYFUNCTION("QUERY('Volunteer Survey'!K326)"),"Dosage Sensitivity")</f>
        <v>Dosage Sensitivity</v>
      </c>
      <c r="S317" s="49" t="str">
        <f ca="1">IFERROR(__xludf.DUMMYFUNCTION("QUERY('Volunteer Survey'!L326)"),"Clinical Actionability")</f>
        <v>Clinical Actionability</v>
      </c>
      <c r="T317" s="49" t="str">
        <f ca="1">IFERROR(__xludf.DUMMYFUNCTION("QUERY('Volunteer Survey'!M326)"),"")</f>
        <v/>
      </c>
      <c r="U317" s="58" t="str">
        <f ca="1">IFERROR(__xludf.DUMMYFUNCTION("QUERY('Volunteer Survey'!N326)"),"")</f>
        <v/>
      </c>
      <c r="V317" s="49" t="str">
        <f ca="1">IFERROR(__xludf.DUMMYFUNCTION("QUERY('Volunteer Survey'!O326)"),"Possibly")</f>
        <v>Possibly</v>
      </c>
      <c r="W317" s="60" t="str">
        <f ca="1">IFERROR(__xludf.DUMMYFUNCTION("QUERY('Volunteer Survey'!P326)"),"")</f>
        <v/>
      </c>
      <c r="X317" s="58" t="str">
        <f ca="1">IFERROR(__xludf.DUMMYFUNCTION("QUERY('Volunteer Survey'!R326)"),"Maybe -- please contact me with other options, and I will decide based on what is available")</f>
        <v>Maybe -- please contact me with other options, and I will decide based on what is available</v>
      </c>
      <c r="Y317" s="47"/>
      <c r="Z317" s="49"/>
      <c r="AA317" s="49"/>
      <c r="AB317" s="49"/>
      <c r="AC317" s="49"/>
      <c r="AD317" s="49"/>
      <c r="AE317" s="49"/>
      <c r="AF317" s="49"/>
      <c r="AG317" s="49"/>
      <c r="AH317" s="49"/>
      <c r="AI317" s="49"/>
      <c r="AJ317" s="49"/>
      <c r="AK317" s="49"/>
      <c r="AL317" s="49"/>
      <c r="AM317" s="49"/>
      <c r="AN317" s="49"/>
      <c r="AO317" s="49"/>
    </row>
    <row r="318" spans="1:41" ht="14">
      <c r="A318" s="44">
        <f ca="1">IFERROR(__xludf.DUMMYFUNCTION("QUERY('Volunteer Survey'!A327)"),43746.8638248263)</f>
        <v>43746.863824826301</v>
      </c>
      <c r="B318" s="42" t="s">
        <v>108</v>
      </c>
      <c r="C318" s="73">
        <v>43819</v>
      </c>
      <c r="D318" s="49"/>
      <c r="E318" s="49"/>
      <c r="F318" s="42" t="s">
        <v>130</v>
      </c>
      <c r="G318" s="42" t="s">
        <v>251</v>
      </c>
      <c r="H318" s="47"/>
      <c r="I318" s="47"/>
      <c r="J318" s="49"/>
      <c r="K318" s="49"/>
      <c r="L318" s="49" t="str">
        <f ca="1">IFERROR(__xludf.DUMMYFUNCTION("QUERY('Volunteer Survey'!B327)"),"YANYI YAO")</f>
        <v>YANYI YAO</v>
      </c>
      <c r="M318" s="49" t="str">
        <f ca="1">IFERROR(__xludf.DUMMYFUNCTION("QUERY('Volunteer Survey'!E327)"),"yaoyanyi@hotmail.com")</f>
        <v>yaoyanyi@hotmail.com</v>
      </c>
      <c r="N318" s="49" t="str">
        <f ca="1">IFERROR(__xludf.DUMMYFUNCTION("QUERY('Volunteer Survey'!F327)"),"Post Doc/Resident/Fellow (MD and/or PhD)")</f>
        <v>Post Doc/Resident/Fellow (MD and/or PhD)</v>
      </c>
      <c r="O318" s="42" t="str">
        <f ca="1">IFERROR(__xludf.DUMMYFUNCTION("QUERY('Volunteer Survey'!H327)"),"Comprehensive")</f>
        <v>Comprehensive</v>
      </c>
      <c r="P318" s="49" t="str">
        <f ca="1">IFERROR(__xludf.DUMMYFUNCTION("QUERY('Volunteer Survey'!I327)"),"Variant Pathogenicity")</f>
        <v>Variant Pathogenicity</v>
      </c>
      <c r="Q318" s="54" t="str">
        <f ca="1">IFERROR(__xludf.DUMMYFUNCTION("QUERY('Volunteer Survey'!J327)"),"Gene-Disease Validity")</f>
        <v>Gene-Disease Validity</v>
      </c>
      <c r="R318" s="49" t="str">
        <f ca="1">IFERROR(__xludf.DUMMYFUNCTION("QUERY('Volunteer Survey'!K327)"),"Dosage Sensitivity")</f>
        <v>Dosage Sensitivity</v>
      </c>
      <c r="S318" s="49" t="str">
        <f ca="1">IFERROR(__xludf.DUMMYFUNCTION("QUERY('Volunteer Survey'!L327)"),"Clinical Actionability")</f>
        <v>Clinical Actionability</v>
      </c>
      <c r="T318" s="49" t="str">
        <f ca="1">IFERROR(__xludf.DUMMYFUNCTION("QUERY('Volunteer Survey'!M327)"),"")</f>
        <v/>
      </c>
      <c r="U318" s="58" t="str">
        <f ca="1">IFERROR(__xludf.DUMMYFUNCTION("QUERY('Volunteer Survey'!N327)"),"I attended Interpreting Genomes for Rare Disease 2019.")</f>
        <v>I attended Interpreting Genomes for Rare Disease 2019.</v>
      </c>
      <c r="V318" s="49" t="str">
        <f ca="1">IFERROR(__xludf.DUMMYFUNCTION("QUERY('Volunteer Survey'!O327)"),"Possibly")</f>
        <v>Possibly</v>
      </c>
      <c r="W318" s="60" t="str">
        <f ca="1">IFERROR(__xludf.DUMMYFUNCTION("QUERY('Volunteer Survey'!P327)"),"Limb Girdle Muscular Dystrophy ")</f>
        <v xml:space="preserve">Limb Girdle Muscular Dystrophy </v>
      </c>
      <c r="X318" s="58" t="str">
        <f ca="1">IFERROR(__xludf.DUMMYFUNCTION("QUERY('Volunteer Survey'!R327)"),"Yes- I am willing to volunteer with any available ClinGen group")</f>
        <v>Yes- I am willing to volunteer with any available ClinGen group</v>
      </c>
      <c r="Y318" s="47"/>
      <c r="Z318" s="49"/>
      <c r="AA318" s="49"/>
      <c r="AB318" s="49"/>
      <c r="AC318" s="49"/>
      <c r="AD318" s="49"/>
      <c r="AE318" s="49"/>
      <c r="AF318" s="49"/>
      <c r="AG318" s="49"/>
      <c r="AH318" s="49"/>
      <c r="AI318" s="49"/>
      <c r="AJ318" s="49"/>
      <c r="AK318" s="49"/>
      <c r="AL318" s="49"/>
      <c r="AM318" s="49"/>
      <c r="AN318" s="49"/>
      <c r="AO318" s="49"/>
    </row>
    <row r="319" spans="1:41" ht="14">
      <c r="A319" s="44">
        <f ca="1">IFERROR(__xludf.DUMMYFUNCTION("QUERY('Volunteer Survey'!A328)"),43747.5422410532)</f>
        <v>43747.542241053197</v>
      </c>
      <c r="B319" s="42" t="s">
        <v>108</v>
      </c>
      <c r="C319" s="73">
        <v>43819</v>
      </c>
      <c r="D319" s="67">
        <v>43846</v>
      </c>
      <c r="E319" s="42" t="s">
        <v>117</v>
      </c>
      <c r="F319" s="42" t="s">
        <v>130</v>
      </c>
      <c r="G319" s="42" t="s">
        <v>122</v>
      </c>
      <c r="H319" s="47"/>
      <c r="I319" s="47"/>
      <c r="J319" s="49"/>
      <c r="K319" s="49"/>
      <c r="L319" s="49" t="str">
        <f ca="1">IFERROR(__xludf.DUMMYFUNCTION("QUERY('Volunteer Survey'!B328)"),"Ikeoluwa Osei-Owusu")</f>
        <v>Ikeoluwa Osei-Owusu</v>
      </c>
      <c r="M319" s="49" t="str">
        <f ca="1">IFERROR(__xludf.DUMMYFUNCTION("QUERY('Volunteer Survey'!E328)"),"ikeoluwa@jhmi.edu")</f>
        <v>ikeoluwa@jhmi.edu</v>
      </c>
      <c r="N319" s="49" t="str">
        <f ca="1">IFERROR(__xludf.DUMMYFUNCTION("QUERY('Volunteer Survey'!F328)"),"Graduate Student")</f>
        <v>Graduate Student</v>
      </c>
      <c r="O319" s="42" t="str">
        <f ca="1">IFERROR(__xludf.DUMMYFUNCTION("QUERY('Volunteer Survey'!H328)"),"Comprehensive")</f>
        <v>Comprehensive</v>
      </c>
      <c r="P319" s="49" t="str">
        <f ca="1">IFERROR(__xludf.DUMMYFUNCTION("QUERY('Volunteer Survey'!I328)"),"Gene-Disease Validity")</f>
        <v>Gene-Disease Validity</v>
      </c>
      <c r="Q319" s="54" t="str">
        <f ca="1">IFERROR(__xludf.DUMMYFUNCTION("QUERY('Volunteer Survey'!J328)"),"Variant Pathogenicity")</f>
        <v>Variant Pathogenicity</v>
      </c>
      <c r="R319" s="49" t="str">
        <f ca="1">IFERROR(__xludf.DUMMYFUNCTION("QUERY('Volunteer Survey'!K328)"),"Dosage Sensitivity")</f>
        <v>Dosage Sensitivity</v>
      </c>
      <c r="S319" s="49" t="str">
        <f ca="1">IFERROR(__xludf.DUMMYFUNCTION("QUERY('Volunteer Survey'!L328)"),"Clinical Actionability")</f>
        <v>Clinical Actionability</v>
      </c>
      <c r="T319" s="49" t="str">
        <f ca="1">IFERROR(__xludf.DUMMYFUNCTION("QUERY('Volunteer Survey'!M328)"),"Somatic Cancer")</f>
        <v>Somatic Cancer</v>
      </c>
      <c r="U319" s="58" t="str">
        <f ca="1">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49" t="str">
        <f ca="1">IFERROR(__xludf.DUMMYFUNCTION("QUERY('Volunteer Survey'!O328)"),"Possibly")</f>
        <v>Possibly</v>
      </c>
      <c r="W319" s="60" t="str">
        <f ca="1">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58" t="str">
        <f ca="1">IFERROR(__xludf.DUMMYFUNCTION("QUERY('Volunteer Survey'!R328)"),"Maybe -- please contact me with other options, and I will decide based on what is available")</f>
        <v>Maybe -- please contact me with other options, and I will decide based on what is available</v>
      </c>
      <c r="Y319" s="47"/>
      <c r="Z319" s="49"/>
      <c r="AA319" s="49"/>
      <c r="AB319" s="49"/>
      <c r="AC319" s="49"/>
      <c r="AD319" s="49"/>
      <c r="AE319" s="49"/>
      <c r="AF319" s="49"/>
      <c r="AG319" s="49"/>
      <c r="AH319" s="49"/>
      <c r="AI319" s="49"/>
      <c r="AJ319" s="49"/>
      <c r="AK319" s="49"/>
      <c r="AL319" s="49"/>
      <c r="AM319" s="49"/>
      <c r="AN319" s="49"/>
      <c r="AO319" s="49"/>
    </row>
    <row r="320" spans="1:41" ht="14">
      <c r="A320" s="44">
        <f ca="1">IFERROR(__xludf.DUMMYFUNCTION("QUERY('Volunteer Survey'!A329)"),43749.6818134143)</f>
        <v>43749.681813414303</v>
      </c>
      <c r="B320" s="42" t="s">
        <v>108</v>
      </c>
      <c r="C320" s="73">
        <v>43819</v>
      </c>
      <c r="D320" s="49"/>
      <c r="E320" s="49"/>
      <c r="F320" s="42" t="s">
        <v>130</v>
      </c>
      <c r="G320" s="42" t="s">
        <v>251</v>
      </c>
      <c r="H320" s="47"/>
      <c r="I320" s="47"/>
      <c r="J320" s="49"/>
      <c r="K320" s="49"/>
      <c r="L320" s="49" t="str">
        <f ca="1">IFERROR(__xludf.DUMMYFUNCTION("QUERY('Volunteer Survey'!B329)"),"Daniela Martiniuc")</f>
        <v>Daniela Martiniuc</v>
      </c>
      <c r="M320" s="49" t="str">
        <f ca="1">IFERROR(__xludf.DUMMYFUNCTION("QUERY('Volunteer Survey'!E329)"),"dmartiniuc@ucdavis.edu")</f>
        <v>dmartiniuc@ucdavis.edu</v>
      </c>
      <c r="N320" s="49" t="str">
        <f ca="1">IFERROR(__xludf.DUMMYFUNCTION("QUERY('Volunteer Survey'!F329)"),"Genetic counselor")</f>
        <v>Genetic counselor</v>
      </c>
      <c r="O320" s="42" t="str">
        <f ca="1">IFERROR(__xludf.DUMMYFUNCTION("QUERY('Volunteer Survey'!H329)"),"Comprehensive")</f>
        <v>Comprehensive</v>
      </c>
      <c r="P320" s="49" t="str">
        <f ca="1">IFERROR(__xludf.DUMMYFUNCTION("QUERY('Volunteer Survey'!I329)"),"Variant Pathogenicity")</f>
        <v>Variant Pathogenicity</v>
      </c>
      <c r="Q320" s="54" t="str">
        <f ca="1">IFERROR(__xludf.DUMMYFUNCTION("QUERY('Volunteer Survey'!J329)"),"Clinical Actionability")</f>
        <v>Clinical Actionability</v>
      </c>
      <c r="R320" s="49" t="str">
        <f ca="1">IFERROR(__xludf.DUMMYFUNCTION("QUERY('Volunteer Survey'!K329)"),"Gene-Disease Validity")</f>
        <v>Gene-Disease Validity</v>
      </c>
      <c r="S320" s="49" t="str">
        <f ca="1">IFERROR(__xludf.DUMMYFUNCTION("QUERY('Volunteer Survey'!L329)"),"")</f>
        <v/>
      </c>
      <c r="T320" s="49" t="str">
        <f ca="1">IFERROR(__xludf.DUMMYFUNCTION("QUERY('Volunteer Survey'!M329)"),"")</f>
        <v/>
      </c>
      <c r="U320" s="58" t="str">
        <f ca="1">IFERROR(__xludf.DUMMYFUNCTION("QUERY('Volunteer Survey'!N329)"),"I have no experience with curation")</f>
        <v>I have no experience with curation</v>
      </c>
      <c r="V320" s="49" t="str">
        <f ca="1">IFERROR(__xludf.DUMMYFUNCTION("QUERY('Volunteer Survey'!O329)"),"No")</f>
        <v>No</v>
      </c>
      <c r="W320" s="60" t="str">
        <f ca="1">IFERROR(__xludf.DUMMYFUNCTION("QUERY('Volunteer Survey'!P329)"),"")</f>
        <v/>
      </c>
      <c r="X320" s="58" t="str">
        <f ca="1">IFERROR(__xludf.DUMMYFUNCTION("QUERY('Volunteer Survey'!R329)"),"Maybe -- please contact me with other options, and I will decide based on what is available")</f>
        <v>Maybe -- please contact me with other options, and I will decide based on what is available</v>
      </c>
      <c r="Y320" s="47"/>
      <c r="Z320" s="49"/>
      <c r="AA320" s="49"/>
      <c r="AB320" s="49"/>
      <c r="AC320" s="49"/>
      <c r="AD320" s="49"/>
      <c r="AE320" s="49"/>
      <c r="AF320" s="49"/>
      <c r="AG320" s="49"/>
      <c r="AH320" s="49"/>
      <c r="AI320" s="49"/>
      <c r="AJ320" s="49"/>
      <c r="AK320" s="49"/>
      <c r="AL320" s="49"/>
      <c r="AM320" s="49"/>
      <c r="AN320" s="49"/>
      <c r="AO320" s="49"/>
    </row>
    <row r="321" spans="1:41" ht="14">
      <c r="A321" s="44">
        <f ca="1">IFERROR(__xludf.DUMMYFUNCTION("QUERY('Volunteer Survey'!A330)"),43753.641005324)</f>
        <v>43753.641005324003</v>
      </c>
      <c r="B321" s="42" t="s">
        <v>322</v>
      </c>
      <c r="C321" s="47"/>
      <c r="D321" s="49"/>
      <c r="E321" s="49"/>
      <c r="F321" s="42" t="s">
        <v>130</v>
      </c>
      <c r="G321" s="42" t="s">
        <v>136</v>
      </c>
      <c r="H321" s="47"/>
      <c r="I321" s="47"/>
      <c r="J321" s="49"/>
      <c r="K321" s="49"/>
      <c r="L321" s="49" t="str">
        <f ca="1">IFERROR(__xludf.DUMMYFUNCTION("QUERY('Volunteer Survey'!B330)"),"Emilie Lalonde")</f>
        <v>Emilie Lalonde</v>
      </c>
      <c r="M321" s="49" t="str">
        <f ca="1">IFERROR(__xludf.DUMMYFUNCTION("QUERY('Volunteer Survey'!E330)"),"lalondee@email.chop.edu")</f>
        <v>lalondee@email.chop.edu</v>
      </c>
      <c r="N321" s="49" t="str">
        <f ca="1">IFERROR(__xludf.DUMMYFUNCTION("QUERY('Volunteer Survey'!F330)"),"Clinical laboratory geneticist")</f>
        <v>Clinical laboratory geneticist</v>
      </c>
      <c r="O321" s="42" t="str">
        <f ca="1">IFERROR(__xludf.DUMMYFUNCTION("QUERY('Volunteer Survey'!H330)"),"Comprehensive")</f>
        <v>Comprehensive</v>
      </c>
      <c r="P321" s="49" t="str">
        <f ca="1">IFERROR(__xludf.DUMMYFUNCTION("QUERY('Volunteer Survey'!I330)"),"Somatic Cancer")</f>
        <v>Somatic Cancer</v>
      </c>
      <c r="Q321" s="54" t="str">
        <f ca="1">IFERROR(__xludf.DUMMYFUNCTION("QUERY('Volunteer Survey'!J330)"),"Clinical Actionability")</f>
        <v>Clinical Actionability</v>
      </c>
      <c r="R321" s="49" t="str">
        <f ca="1">IFERROR(__xludf.DUMMYFUNCTION("QUERY('Volunteer Survey'!K330)"),"Gene-Disease Validity")</f>
        <v>Gene-Disease Validity</v>
      </c>
      <c r="S321" s="49" t="str">
        <f ca="1">IFERROR(__xludf.DUMMYFUNCTION("QUERY('Volunteer Survey'!L330)"),"Dosage Sensitivity")</f>
        <v>Dosage Sensitivity</v>
      </c>
      <c r="T321" s="49" t="str">
        <f ca="1">IFERROR(__xludf.DUMMYFUNCTION("QUERY('Volunteer Survey'!M330)"),"Variant Pathogenicity")</f>
        <v>Variant Pathogenicity</v>
      </c>
      <c r="U321" s="58" t="str">
        <f ca="1">IFERROR(__xludf.DUMMYFUNCTION("QUERY('Volunteer Survey'!N330)"),"Yes within CHOP/Penn labs for new test design and/or standard variant interpretation")</f>
        <v>Yes within CHOP/Penn labs for new test design and/or standard variant interpretation</v>
      </c>
      <c r="V321" s="49" t="str">
        <f ca="1">IFERROR(__xludf.DUMMYFUNCTION("QUERY('Volunteer Survey'!O330)"),"Possibly")</f>
        <v>Possibly</v>
      </c>
      <c r="W321" s="60" t="str">
        <f ca="1">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58" t="str">
        <f ca="1">IFERROR(__xludf.DUMMYFUNCTION("QUERY('Volunteer Survey'!R330)"),"Maybe -- please contact me with other options, and I will decide based on what is available")</f>
        <v>Maybe -- please contact me with other options, and I will decide based on what is available</v>
      </c>
      <c r="Y321" s="47"/>
      <c r="Z321" s="49"/>
      <c r="AA321" s="49"/>
      <c r="AB321" s="49"/>
      <c r="AC321" s="49"/>
      <c r="AD321" s="49"/>
      <c r="AE321" s="49"/>
      <c r="AF321" s="49"/>
      <c r="AG321" s="49"/>
      <c r="AH321" s="49"/>
      <c r="AI321" s="49"/>
      <c r="AJ321" s="49"/>
      <c r="AK321" s="49"/>
      <c r="AL321" s="49"/>
      <c r="AM321" s="49"/>
      <c r="AN321" s="49"/>
      <c r="AO321" s="49"/>
    </row>
    <row r="322" spans="1:41" ht="14">
      <c r="A322" s="44">
        <f ca="1">IFERROR(__xludf.DUMMYFUNCTION("QUERY('Volunteer Survey'!A331)"),43755.5373836342)</f>
        <v>43755.537383634197</v>
      </c>
      <c r="B322" s="42" t="s">
        <v>108</v>
      </c>
      <c r="C322" s="73">
        <v>43819</v>
      </c>
      <c r="D322" s="49"/>
      <c r="E322" s="49"/>
      <c r="F322" s="42" t="s">
        <v>130</v>
      </c>
      <c r="G322" s="42" t="s">
        <v>251</v>
      </c>
      <c r="H322" s="47"/>
      <c r="I322" s="47"/>
      <c r="J322" s="49"/>
      <c r="K322" s="49"/>
      <c r="L322" s="49" t="str">
        <f ca="1">IFERROR(__xludf.DUMMYFUNCTION("QUERY('Volunteer Survey'!B331)"),"Elizabeth Ewen")</f>
        <v>Elizabeth Ewen</v>
      </c>
      <c r="M322" s="49" t="str">
        <f ca="1">IFERROR(__xludf.DUMMYFUNCTION("QUERY('Volunteer Survey'!E331)"),"elizabeth.ewen@agilent.com")</f>
        <v>elizabeth.ewen@agilent.com</v>
      </c>
      <c r="N322" s="49" t="str">
        <f ca="1">IFERROR(__xludf.DUMMYFUNCTION("QUERY('Volunteer Survey'!F331)"),"Variant Analyst/Scientist - Industry")</f>
        <v>Variant Analyst/Scientist - Industry</v>
      </c>
      <c r="O322" s="42" t="str">
        <f ca="1">IFERROR(__xludf.DUMMYFUNCTION("QUERY('Volunteer Survey'!H331)"),"Comprehensive")</f>
        <v>Comprehensive</v>
      </c>
      <c r="P322" s="49" t="str">
        <f ca="1">IFERROR(__xludf.DUMMYFUNCTION("QUERY('Volunteer Survey'!I331)"),"Variant Pathogenicity")</f>
        <v>Variant Pathogenicity</v>
      </c>
      <c r="Q322" s="54" t="str">
        <f ca="1">IFERROR(__xludf.DUMMYFUNCTION("QUERY('Volunteer Survey'!J331)"),"Gene-Disease Validity")</f>
        <v>Gene-Disease Validity</v>
      </c>
      <c r="R322" s="49" t="str">
        <f ca="1">IFERROR(__xludf.DUMMYFUNCTION("QUERY('Volunteer Survey'!K331)"),"Clinical Actionability")</f>
        <v>Clinical Actionability</v>
      </c>
      <c r="S322" s="49" t="str">
        <f ca="1">IFERROR(__xludf.DUMMYFUNCTION("QUERY('Volunteer Survey'!L331)"),"Somatic Cancer")</f>
        <v>Somatic Cancer</v>
      </c>
      <c r="T322" s="49" t="str">
        <f ca="1">IFERROR(__xludf.DUMMYFUNCTION("QUERY('Volunteer Survey'!M331)"),"Dosage Sensitivity")</f>
        <v>Dosage Sensitivity</v>
      </c>
      <c r="U322" s="58" t="str">
        <f ca="1">IFERROR(__xludf.DUMMYFUNCTION("QUERY('Volunteer Survey'!N331)"),"Helping customers find clinically relevant/pathogenic variants")</f>
        <v>Helping customers find clinically relevant/pathogenic variants</v>
      </c>
      <c r="V322" s="49" t="str">
        <f ca="1">IFERROR(__xludf.DUMMYFUNCTION("QUERY('Volunteer Survey'!O331)"),"Possibly")</f>
        <v>Possibly</v>
      </c>
      <c r="W322" s="60" t="str">
        <f ca="1">IFERROR(__xludf.DUMMYFUNCTION("QUERY('Volunteer Survey'!P331)"),"")</f>
        <v/>
      </c>
      <c r="X322" s="58" t="str">
        <f ca="1">IFERROR(__xludf.DUMMYFUNCTION("QUERY('Volunteer Survey'!R331)"),"Yes- I am willing to volunteer with any available ClinGen group")</f>
        <v>Yes- I am willing to volunteer with any available ClinGen group</v>
      </c>
      <c r="Y322" s="47"/>
      <c r="Z322" s="49"/>
      <c r="AA322" s="49"/>
      <c r="AB322" s="49"/>
      <c r="AC322" s="49"/>
      <c r="AD322" s="49"/>
      <c r="AE322" s="49"/>
      <c r="AF322" s="49"/>
      <c r="AG322" s="49"/>
      <c r="AH322" s="49"/>
      <c r="AI322" s="49"/>
      <c r="AJ322" s="49"/>
      <c r="AK322" s="49"/>
      <c r="AL322" s="49"/>
      <c r="AM322" s="49"/>
      <c r="AN322" s="49"/>
      <c r="AO322" s="49"/>
    </row>
    <row r="323" spans="1:41" ht="14">
      <c r="A323" s="44">
        <f ca="1">IFERROR(__xludf.DUMMYFUNCTION("QUERY('Volunteer Survey'!A332)"),43755.5898295833)</f>
        <v>43755.589829583303</v>
      </c>
      <c r="B323" s="42" t="s">
        <v>322</v>
      </c>
      <c r="C323" s="47"/>
      <c r="D323" s="49"/>
      <c r="E323" s="49"/>
      <c r="F323" s="42" t="s">
        <v>130</v>
      </c>
      <c r="G323" s="42" t="s">
        <v>313</v>
      </c>
      <c r="H323" s="47"/>
      <c r="I323" s="47"/>
      <c r="J323" s="49"/>
      <c r="K323" s="49"/>
      <c r="L323" s="49" t="str">
        <f ca="1">IFERROR(__xludf.DUMMYFUNCTION("QUERY('Volunteer Survey'!B332)"),"Brigette Brown-Kipphut")</f>
        <v>Brigette Brown-Kipphut</v>
      </c>
      <c r="M323" s="49" t="str">
        <f ca="1">IFERROR(__xludf.DUMMYFUNCTION("QUERY('Volunteer Survey'!E332)"),"brigette.kipphut@agilent.com")</f>
        <v>brigette.kipphut@agilent.com</v>
      </c>
      <c r="N323" s="49" t="str">
        <f ca="1">IFERROR(__xludf.DUMMYFUNCTION("QUERY('Volunteer Survey'!F332)"),"Variant Analyst/Scientist - Industry")</f>
        <v>Variant Analyst/Scientist - Industry</v>
      </c>
      <c r="O323" s="42" t="str">
        <f ca="1">IFERROR(__xludf.DUMMYFUNCTION("QUERY('Volunteer Survey'!H332)"),"Baseline")</f>
        <v>Baseline</v>
      </c>
      <c r="P323" s="49" t="str">
        <f ca="1">IFERROR(__xludf.DUMMYFUNCTION("QUERY('Volunteer Survey'!I332)"),"Variant Pathogenicity")</f>
        <v>Variant Pathogenicity</v>
      </c>
      <c r="Q323" s="54" t="str">
        <f ca="1">IFERROR(__xludf.DUMMYFUNCTION("QUERY('Volunteer Survey'!J332)"),"Gene-Disease Validity")</f>
        <v>Gene-Disease Validity</v>
      </c>
      <c r="R323" s="49" t="str">
        <f ca="1">IFERROR(__xludf.DUMMYFUNCTION("QUERY('Volunteer Survey'!K332)"),"Clinical Actionability")</f>
        <v>Clinical Actionability</v>
      </c>
      <c r="S323" s="49" t="str">
        <f ca="1">IFERROR(__xludf.DUMMYFUNCTION("QUERY('Volunteer Survey'!L332)"),"Somatic Cancer")</f>
        <v>Somatic Cancer</v>
      </c>
      <c r="T323" s="49" t="str">
        <f ca="1">IFERROR(__xludf.DUMMYFUNCTION("QUERY('Volunteer Survey'!M332)"),"Dosage Sensitivity")</f>
        <v>Dosage Sensitivity</v>
      </c>
      <c r="U323" s="58" t="str">
        <f ca="1">IFERROR(__xludf.DUMMYFUNCTION("QUERY('Volunteer Survey'!N332)"),"Yes - performed variant analysis for NGS at CHOP and internally at Agilent")</f>
        <v>Yes - performed variant analysis for NGS at CHOP and internally at Agilent</v>
      </c>
      <c r="V323" s="49" t="str">
        <f ca="1">IFERROR(__xludf.DUMMYFUNCTION("QUERY('Volunteer Survey'!O332)"),"Yes")</f>
        <v>Yes</v>
      </c>
      <c r="W323" s="60" t="str">
        <f ca="1">IFERROR(__xludf.DUMMYFUNCTION("QUERY('Volunteer Survey'!P332)"),"")</f>
        <v/>
      </c>
      <c r="X323" s="58" t="str">
        <f ca="1">IFERROR(__xludf.DUMMYFUNCTION("QUERY('Volunteer Survey'!R332)"),"Maybe -- please contact me with other options, and I will decide based on what is available")</f>
        <v>Maybe -- please contact me with other options, and I will decide based on what is available</v>
      </c>
      <c r="Y323" s="47"/>
      <c r="Z323" s="49"/>
      <c r="AA323" s="49"/>
      <c r="AB323" s="49"/>
      <c r="AC323" s="49"/>
      <c r="AD323" s="49"/>
      <c r="AE323" s="49"/>
      <c r="AF323" s="49"/>
      <c r="AG323" s="49"/>
      <c r="AH323" s="49"/>
      <c r="AI323" s="49"/>
      <c r="AJ323" s="49"/>
      <c r="AK323" s="49"/>
      <c r="AL323" s="49"/>
      <c r="AM323" s="49"/>
      <c r="AN323" s="49"/>
      <c r="AO323" s="49"/>
    </row>
    <row r="324" spans="1:41" ht="14">
      <c r="A324" s="44">
        <f ca="1">IFERROR(__xludf.DUMMYFUNCTION("QUERY('Volunteer Survey'!A333)"),43755.7747853356)</f>
        <v>43755.774785335598</v>
      </c>
      <c r="B324" s="42" t="s">
        <v>322</v>
      </c>
      <c r="C324" s="47"/>
      <c r="D324" s="49"/>
      <c r="E324" s="49"/>
      <c r="F324" s="42" t="s">
        <v>130</v>
      </c>
      <c r="G324" s="42" t="s">
        <v>136</v>
      </c>
      <c r="H324" s="47"/>
      <c r="I324" s="47"/>
      <c r="J324" s="49"/>
      <c r="K324" s="49"/>
      <c r="L324" s="49" t="str">
        <f ca="1">IFERROR(__xludf.DUMMYFUNCTION("QUERY('Volunteer Survey'!B333)"),"KC Vavra")</f>
        <v>KC Vavra</v>
      </c>
      <c r="M324" s="49" t="str">
        <f ca="1">IFERROR(__xludf.DUMMYFUNCTION("QUERY('Volunteer Survey'!E333)"),"kc.vavra@agilent.com")</f>
        <v>kc.vavra@agilent.com</v>
      </c>
      <c r="N324" s="49" t="str">
        <f ca="1">IFERROR(__xludf.DUMMYFUNCTION("QUERY('Volunteer Survey'!F333)"),"Citizen Scientist/Patient Advocate")</f>
        <v>Citizen Scientist/Patient Advocate</v>
      </c>
      <c r="O324" s="42" t="str">
        <f ca="1">IFERROR(__xludf.DUMMYFUNCTION("QUERY('Volunteer Survey'!H333)"),"Comprehensive")</f>
        <v>Comprehensive</v>
      </c>
      <c r="P324" s="49" t="str">
        <f ca="1">IFERROR(__xludf.DUMMYFUNCTION("QUERY('Volunteer Survey'!I333)"),"Somatic Cancer")</f>
        <v>Somatic Cancer</v>
      </c>
      <c r="Q324" s="54" t="str">
        <f ca="1">IFERROR(__xludf.DUMMYFUNCTION("QUERY('Volunteer Survey'!J333)"),"Gene-Disease Validity")</f>
        <v>Gene-Disease Validity</v>
      </c>
      <c r="R324" s="49" t="str">
        <f ca="1">IFERROR(__xludf.DUMMYFUNCTION("QUERY('Volunteer Survey'!K333)"),"Clinical Actionability")</f>
        <v>Clinical Actionability</v>
      </c>
      <c r="S324" s="49" t="str">
        <f ca="1">IFERROR(__xludf.DUMMYFUNCTION("QUERY('Volunteer Survey'!L333)"),"Dosage Sensitivity")</f>
        <v>Dosage Sensitivity</v>
      </c>
      <c r="T324" s="49" t="str">
        <f ca="1">IFERROR(__xludf.DUMMYFUNCTION("QUERY('Volunteer Survey'!M333)"),"Variant Pathogenicity")</f>
        <v>Variant Pathogenicity</v>
      </c>
      <c r="U324" s="58" t="str">
        <f ca="1">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49" t="str">
        <f ca="1">IFERROR(__xludf.DUMMYFUNCTION("QUERY('Volunteer Survey'!O333)"),"Possibly")</f>
        <v>Possibly</v>
      </c>
      <c r="W324" s="60" t="str">
        <f ca="1">IFERROR(__xludf.DUMMYFUNCTION("QUERY('Volunteer Survey'!P333)"),"")</f>
        <v/>
      </c>
      <c r="X324" s="58" t="str">
        <f ca="1">IFERROR(__xludf.DUMMYFUNCTION("QUERY('Volunteer Survey'!R333)"),"Maybe -- please contact me with other options, and I will decide based on what is available")</f>
        <v>Maybe -- please contact me with other options, and I will decide based on what is available</v>
      </c>
      <c r="Y324" s="47"/>
      <c r="Z324" s="49"/>
      <c r="AA324" s="49"/>
      <c r="AB324" s="49"/>
      <c r="AC324" s="49"/>
      <c r="AD324" s="49"/>
      <c r="AE324" s="49"/>
      <c r="AF324" s="49"/>
      <c r="AG324" s="49"/>
      <c r="AH324" s="49"/>
      <c r="AI324" s="49"/>
      <c r="AJ324" s="49"/>
      <c r="AK324" s="49"/>
      <c r="AL324" s="49"/>
      <c r="AM324" s="49"/>
      <c r="AN324" s="49"/>
      <c r="AO324" s="49"/>
    </row>
    <row r="325" spans="1:41" ht="14">
      <c r="A325" s="44">
        <f ca="1">IFERROR(__xludf.DUMMYFUNCTION("QUERY('Volunteer Survey'!A334)"),43756.6804716087)</f>
        <v>43756.680471608699</v>
      </c>
      <c r="B325" s="42" t="s">
        <v>322</v>
      </c>
      <c r="C325" s="47"/>
      <c r="D325" s="49"/>
      <c r="E325" s="49"/>
      <c r="F325" s="42" t="s">
        <v>130</v>
      </c>
      <c r="G325" s="42" t="s">
        <v>313</v>
      </c>
      <c r="H325" s="47"/>
      <c r="I325" s="47"/>
      <c r="J325" s="49"/>
      <c r="K325" s="49"/>
      <c r="L325" s="49" t="str">
        <f ca="1">IFERROR(__xludf.DUMMYFUNCTION("QUERY('Volunteer Survey'!B334)"),"Chisato Yamasaki")</f>
        <v>Chisato Yamasaki</v>
      </c>
      <c r="M325" s="49" t="str">
        <f ca="1">IFERROR(__xludf.DUMMYFUNCTION("QUERY('Volunteer Survey'!E334)"),"cyamasak@eth.med.osaka-u.ac.jp")</f>
        <v>cyamasak@eth.med.osaka-u.ac.jp</v>
      </c>
      <c r="N325" s="49" t="str">
        <f ca="1">IFERROR(__xludf.DUMMYFUNCTION("QUERY('Volunteer Survey'!F334)"),"Post Doc/Resident/Fellow (MD and/or PhD)")</f>
        <v>Post Doc/Resident/Fellow (MD and/or PhD)</v>
      </c>
      <c r="O325" s="42" t="str">
        <f ca="1">IFERROR(__xludf.DUMMYFUNCTION("QUERY('Volunteer Survey'!H334)"),"Baseline")</f>
        <v>Baseline</v>
      </c>
      <c r="P325" s="49" t="str">
        <f ca="1">IFERROR(__xludf.DUMMYFUNCTION("QUERY('Volunteer Survey'!I334)"),"Gene-Disease Validity")</f>
        <v>Gene-Disease Validity</v>
      </c>
      <c r="Q325" s="54" t="str">
        <f ca="1">IFERROR(__xludf.DUMMYFUNCTION("QUERY('Volunteer Survey'!J334)"),"Variant Pathogenicity")</f>
        <v>Variant Pathogenicity</v>
      </c>
      <c r="R325" s="49" t="str">
        <f ca="1">IFERROR(__xludf.DUMMYFUNCTION("QUERY('Volunteer Survey'!K334)"),"Clinical Actionability")</f>
        <v>Clinical Actionability</v>
      </c>
      <c r="S325" s="49" t="str">
        <f ca="1">IFERROR(__xludf.DUMMYFUNCTION("QUERY('Volunteer Survey'!L334)"),"")</f>
        <v/>
      </c>
      <c r="T325" s="49" t="str">
        <f ca="1">IFERROR(__xludf.DUMMYFUNCTION("QUERY('Volunteer Survey'!M334)"),"")</f>
        <v/>
      </c>
      <c r="U325" s="58" t="str">
        <f ca="1">IFERROR(__xludf.DUMMYFUNCTION("QUERY('Volunteer Survey'!N334)"),"H-inv")</f>
        <v>H-inv</v>
      </c>
      <c r="V325" s="49" t="str">
        <f ca="1">IFERROR(__xludf.DUMMYFUNCTION("QUERY('Volunteer Survey'!O334)"),"Yes")</f>
        <v>Yes</v>
      </c>
      <c r="W325" s="60" t="str">
        <f ca="1">IFERROR(__xludf.DUMMYFUNCTION("QUERY('Volunteer Survey'!P334)"),"")</f>
        <v/>
      </c>
      <c r="X325" s="58" t="str">
        <f ca="1">IFERROR(__xludf.DUMMYFUNCTION("QUERY('Volunteer Survey'!R334)"),"No - I am only interested in the group(s) I previously indicated")</f>
        <v>No - I am only interested in the group(s) I previously indicated</v>
      </c>
      <c r="Y325" s="47"/>
      <c r="Z325" s="49"/>
      <c r="AA325" s="49"/>
      <c r="AB325" s="49"/>
      <c r="AC325" s="49"/>
      <c r="AD325" s="49"/>
      <c r="AE325" s="49"/>
      <c r="AF325" s="49"/>
      <c r="AG325" s="49"/>
      <c r="AH325" s="49"/>
      <c r="AI325" s="49"/>
      <c r="AJ325" s="49"/>
      <c r="AK325" s="49"/>
      <c r="AL325" s="49"/>
      <c r="AM325" s="49"/>
      <c r="AN325" s="49"/>
      <c r="AO325" s="49"/>
    </row>
    <row r="326" spans="1:41" ht="14">
      <c r="A326" s="44">
        <f ca="1">IFERROR(__xludf.DUMMYFUNCTION("QUERY('Volunteer Survey'!A335)"),43758.7028289814)</f>
        <v>43758.702828981397</v>
      </c>
      <c r="B326" s="42" t="s">
        <v>108</v>
      </c>
      <c r="C326" s="73">
        <v>43819</v>
      </c>
      <c r="D326" s="67">
        <v>43846</v>
      </c>
      <c r="E326" s="42" t="s">
        <v>117</v>
      </c>
      <c r="F326" s="42" t="s">
        <v>130</v>
      </c>
      <c r="G326" s="42" t="s">
        <v>122</v>
      </c>
      <c r="H326" s="47"/>
      <c r="I326" s="47"/>
      <c r="J326" s="49"/>
      <c r="K326" s="49"/>
      <c r="L326" s="49" t="str">
        <f ca="1">IFERROR(__xludf.DUMMYFUNCTION("QUERY('Volunteer Survey'!B335)"),"Beth Stronach")</f>
        <v>Beth Stronach</v>
      </c>
      <c r="M326" s="49" t="str">
        <f ca="1">IFERROR(__xludf.DUMMYFUNCTION("QUERY('Volunteer Survey'!E335)"),"stronach@pitt.edu")</f>
        <v>stronach@pitt.edu</v>
      </c>
      <c r="N326" s="49" t="str">
        <f ca="1">IFERROR(__xludf.DUMMYFUNCTION("QUERY('Volunteer Survey'!F335)"),"Scientific Researcher")</f>
        <v>Scientific Researcher</v>
      </c>
      <c r="O326" s="42" t="str">
        <f ca="1">IFERROR(__xludf.DUMMYFUNCTION("QUERY('Volunteer Survey'!H335)"),"Comprehensive")</f>
        <v>Comprehensive</v>
      </c>
      <c r="P326" s="49" t="str">
        <f ca="1">IFERROR(__xludf.DUMMYFUNCTION("QUERY('Volunteer Survey'!I335)"),"Gene-Disease Validity")</f>
        <v>Gene-Disease Validity</v>
      </c>
      <c r="Q326" s="54" t="str">
        <f ca="1">IFERROR(__xludf.DUMMYFUNCTION("QUERY('Volunteer Survey'!J335)"),"Variant Pathogenicity")</f>
        <v>Variant Pathogenicity</v>
      </c>
      <c r="R326" s="49" t="str">
        <f ca="1">IFERROR(__xludf.DUMMYFUNCTION("QUERY('Volunteer Survey'!K335)"),"Clinical Actionability")</f>
        <v>Clinical Actionability</v>
      </c>
      <c r="S326" s="49" t="str">
        <f ca="1">IFERROR(__xludf.DUMMYFUNCTION("QUERY('Volunteer Survey'!L335)"),"Somatic Cancer")</f>
        <v>Somatic Cancer</v>
      </c>
      <c r="T326" s="49" t="str">
        <f ca="1">IFERROR(__xludf.DUMMYFUNCTION("QUERY('Volunteer Survey'!M335)"),"Dosage Sensitivity")</f>
        <v>Dosage Sensitivity</v>
      </c>
      <c r="U326" s="58" t="str">
        <f ca="1">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49" t="str">
        <f ca="1">IFERROR(__xludf.DUMMYFUNCTION("QUERY('Volunteer Survey'!O335)"),"Possibly")</f>
        <v>Possibly</v>
      </c>
      <c r="W326" s="60" t="str">
        <f ca="1">IFERROR(__xludf.DUMMYFUNCTION("QUERY('Volunteer Survey'!P335)"),"RASopathy, neurodevelopmental, or myopathy groups")</f>
        <v>RASopathy, neurodevelopmental, or myopathy groups</v>
      </c>
      <c r="X326" s="58" t="str">
        <f ca="1">IFERROR(__xludf.DUMMYFUNCTION("QUERY('Volunteer Survey'!R335)"),"Yes- I am willing to volunteer with any available ClinGen group")</f>
        <v>Yes- I am willing to volunteer with any available ClinGen group</v>
      </c>
      <c r="Y326" s="47"/>
      <c r="Z326" s="49"/>
      <c r="AA326" s="49"/>
      <c r="AB326" s="49"/>
      <c r="AC326" s="49"/>
      <c r="AD326" s="49"/>
      <c r="AE326" s="49"/>
      <c r="AF326" s="49"/>
      <c r="AG326" s="49"/>
      <c r="AH326" s="49"/>
      <c r="AI326" s="49"/>
      <c r="AJ326" s="49"/>
      <c r="AK326" s="49"/>
      <c r="AL326" s="49"/>
      <c r="AM326" s="49"/>
      <c r="AN326" s="49"/>
      <c r="AO326" s="49"/>
    </row>
    <row r="327" spans="1:41" ht="14">
      <c r="A327" s="44">
        <f ca="1">IFERROR(__xludf.DUMMYFUNCTION("QUERY('Volunteer Survey'!A336)"),43759.3618434143)</f>
        <v>43759.361843414299</v>
      </c>
      <c r="B327" s="42" t="s">
        <v>322</v>
      </c>
      <c r="C327" s="47"/>
      <c r="D327" s="49"/>
      <c r="E327" s="49"/>
      <c r="F327" s="42" t="s">
        <v>130</v>
      </c>
      <c r="G327" s="42" t="s">
        <v>136</v>
      </c>
      <c r="H327" s="47"/>
      <c r="I327" s="47"/>
      <c r="J327" s="49"/>
      <c r="K327" s="49"/>
      <c r="L327" s="49" t="str">
        <f ca="1">IFERROR(__xludf.DUMMYFUNCTION("QUERY('Volunteer Survey'!B336)"),"Eileen Chen")</f>
        <v>Eileen Chen</v>
      </c>
      <c r="M327" s="49" t="str">
        <f ca="1">IFERROR(__xludf.DUMMYFUNCTION("QUERY('Volunteer Survey'!E336)"),"eileen.chen.x.q@sgh.com.sg")</f>
        <v>eileen.chen.x.q@sgh.com.sg</v>
      </c>
      <c r="N327" s="49" t="str">
        <f ca="1">IFERROR(__xludf.DUMMYFUNCTION("QUERY('Volunteer Survey'!F336)"),"Variant Analyst/Scientist - Academic")</f>
        <v>Variant Analyst/Scientist - Academic</v>
      </c>
      <c r="O327" s="42" t="str">
        <f ca="1">IFERROR(__xludf.DUMMYFUNCTION("QUERY('Volunteer Survey'!H336)"),"Comprehensive")</f>
        <v>Comprehensive</v>
      </c>
      <c r="P327" s="49" t="str">
        <f ca="1">IFERROR(__xludf.DUMMYFUNCTION("QUERY('Volunteer Survey'!I336)"),"Somatic Cancer")</f>
        <v>Somatic Cancer</v>
      </c>
      <c r="Q327" s="54" t="str">
        <f ca="1">IFERROR(__xludf.DUMMYFUNCTION("QUERY('Volunteer Survey'!J336)"),"Clinical Actionability")</f>
        <v>Clinical Actionability</v>
      </c>
      <c r="R327" s="49" t="str">
        <f ca="1">IFERROR(__xludf.DUMMYFUNCTION("QUERY('Volunteer Survey'!K336)"),"Dosage Sensitivity")</f>
        <v>Dosage Sensitivity</v>
      </c>
      <c r="S327" s="49" t="str">
        <f ca="1">IFERROR(__xludf.DUMMYFUNCTION("QUERY('Volunteer Survey'!L336)"),"Variant Pathogenicity")</f>
        <v>Variant Pathogenicity</v>
      </c>
      <c r="T327" s="49" t="str">
        <f ca="1">IFERROR(__xludf.DUMMYFUNCTION("QUERY('Volunteer Survey'!M336)"),"Gene-Disease Validity")</f>
        <v>Gene-Disease Validity</v>
      </c>
      <c r="U327" s="58" t="str">
        <f ca="1">IFERROR(__xludf.DUMMYFUNCTION("QUERY('Volunteer Survey'!N336)"),"No, only minimal training. ")</f>
        <v xml:space="preserve">No, only minimal training. </v>
      </c>
      <c r="V327" s="49" t="str">
        <f ca="1">IFERROR(__xludf.DUMMYFUNCTION("QUERY('Volunteer Survey'!O336)"),"Yes")</f>
        <v>Yes</v>
      </c>
      <c r="W327" s="60" t="str">
        <f ca="1">IFERROR(__xludf.DUMMYFUNCTION("QUERY('Volunteer Survey'!P336)"),"Yes. Somatic Cancer Working Group as the first choice.")</f>
        <v>Yes. Somatic Cancer Working Group as the first choice.</v>
      </c>
      <c r="X327" s="58" t="str">
        <f ca="1">IFERROR(__xludf.DUMMYFUNCTION("QUERY('Volunteer Survey'!R336)"),"Yes- I am willing to volunteer with any available ClinGen group")</f>
        <v>Yes- I am willing to volunteer with any available ClinGen group</v>
      </c>
      <c r="Y327" s="47"/>
      <c r="Z327" s="49"/>
      <c r="AA327" s="49"/>
      <c r="AB327" s="49"/>
      <c r="AC327" s="49"/>
      <c r="AD327" s="49"/>
      <c r="AE327" s="49"/>
      <c r="AF327" s="49"/>
      <c r="AG327" s="49"/>
      <c r="AH327" s="49"/>
      <c r="AI327" s="49"/>
      <c r="AJ327" s="49"/>
      <c r="AK327" s="49"/>
      <c r="AL327" s="49"/>
      <c r="AM327" s="49"/>
      <c r="AN327" s="49"/>
      <c r="AO327" s="49"/>
    </row>
    <row r="328" spans="1:41" ht="14">
      <c r="A328" s="44">
        <f ca="1">IFERROR(__xludf.DUMMYFUNCTION("QUERY('Volunteer Survey'!A337)"),43760.4814893402)</f>
        <v>43760.4814893402</v>
      </c>
      <c r="B328" s="42" t="s">
        <v>108</v>
      </c>
      <c r="C328" s="73">
        <v>43819</v>
      </c>
      <c r="D328" s="49"/>
      <c r="E328" s="49"/>
      <c r="F328" s="42" t="s">
        <v>130</v>
      </c>
      <c r="G328" s="42" t="s">
        <v>251</v>
      </c>
      <c r="H328" s="47"/>
      <c r="I328" s="47"/>
      <c r="J328" s="49"/>
      <c r="K328" s="49"/>
      <c r="L328" s="49" t="str">
        <f ca="1">IFERROR(__xludf.DUMMYFUNCTION("QUERY('Volunteer Survey'!B337)"),"Jennifer Sloan")</f>
        <v>Jennifer Sloan</v>
      </c>
      <c r="M328" s="49" t="str">
        <f ca="1">IFERROR(__xludf.DUMMYFUNCTION("QUERY('Volunteer Survey'!E337)"),"jsloan@mail.nih.gov")</f>
        <v>jsloan@mail.nih.gov</v>
      </c>
      <c r="N328" s="49" t="str">
        <f ca="1">IFERROR(__xludf.DUMMYFUNCTION("QUERY('Volunteer Survey'!F337)"),"Genetic counselor")</f>
        <v>Genetic counselor</v>
      </c>
      <c r="O328" s="42" t="str">
        <f ca="1">IFERROR(__xludf.DUMMYFUNCTION("QUERY('Volunteer Survey'!H337)"),"Comprehensive")</f>
        <v>Comprehensive</v>
      </c>
      <c r="P328" s="49" t="str">
        <f ca="1">IFERROR(__xludf.DUMMYFUNCTION("QUERY('Volunteer Survey'!I337)"),"Variant Pathogenicity")</f>
        <v>Variant Pathogenicity</v>
      </c>
      <c r="Q328" s="54" t="str">
        <f ca="1">IFERROR(__xludf.DUMMYFUNCTION("QUERY('Volunteer Survey'!J337)"),"Gene-Disease Validity")</f>
        <v>Gene-Disease Validity</v>
      </c>
      <c r="R328" s="49" t="str">
        <f ca="1">IFERROR(__xludf.DUMMYFUNCTION("QUERY('Volunteer Survey'!K337)"),"Clinical Actionability")</f>
        <v>Clinical Actionability</v>
      </c>
      <c r="S328" s="49" t="str">
        <f ca="1">IFERROR(__xludf.DUMMYFUNCTION("QUERY('Volunteer Survey'!L337)"),"Dosage Sensitivity")</f>
        <v>Dosage Sensitivity</v>
      </c>
      <c r="T328" s="49" t="str">
        <f ca="1">IFERROR(__xludf.DUMMYFUNCTION("QUERY('Volunteer Survey'!M337)"),"Somatic Cancer")</f>
        <v>Somatic Cancer</v>
      </c>
      <c r="U328" s="58" t="str">
        <f ca="1">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49" t="str">
        <f ca="1">IFERROR(__xludf.DUMMYFUNCTION("QUERY('Volunteer Survey'!O337)"),"Possibly")</f>
        <v>Possibly</v>
      </c>
      <c r="W328" s="60" t="str">
        <f ca="1">IFERROR(__xludf.DUMMYFUNCTION("QUERY('Volunteer Survey'!P337)"),"OTC")</f>
        <v>OTC</v>
      </c>
      <c r="X328" s="58" t="str">
        <f ca="1">IFERROR(__xludf.DUMMYFUNCTION("QUERY('Volunteer Survey'!R337)"),"Maybe -- please contact me with other options, and I will decide based on what is available")</f>
        <v>Maybe -- please contact me with other options, and I will decide based on what is available</v>
      </c>
      <c r="Y328" s="47"/>
      <c r="Z328" s="49"/>
      <c r="AA328" s="49"/>
      <c r="AB328" s="49"/>
      <c r="AC328" s="49"/>
      <c r="AD328" s="49"/>
      <c r="AE328" s="49"/>
      <c r="AF328" s="49"/>
      <c r="AG328" s="49"/>
      <c r="AH328" s="49"/>
      <c r="AI328" s="49"/>
      <c r="AJ328" s="49"/>
      <c r="AK328" s="49"/>
      <c r="AL328" s="49"/>
      <c r="AM328" s="49"/>
      <c r="AN328" s="49"/>
      <c r="AO328" s="49"/>
    </row>
    <row r="329" spans="1:41" ht="14">
      <c r="A329" s="44">
        <f ca="1">IFERROR(__xludf.DUMMYFUNCTION("QUERY('Volunteer Survey'!A338)"),43761.4006915509)</f>
        <v>43761.400691550902</v>
      </c>
      <c r="B329" s="42" t="s">
        <v>108</v>
      </c>
      <c r="C329" s="73">
        <v>43819</v>
      </c>
      <c r="D329" s="49"/>
      <c r="E329" s="49"/>
      <c r="F329" s="42" t="s">
        <v>130</v>
      </c>
      <c r="G329" s="42" t="s">
        <v>122</v>
      </c>
      <c r="H329" s="47"/>
      <c r="I329" s="47"/>
      <c r="J329" s="49"/>
      <c r="K329" s="49"/>
      <c r="L329" s="49" t="str">
        <f ca="1">IFERROR(__xludf.DUMMYFUNCTION("QUERY('Volunteer Survey'!B338)"),"Vasiliki Rahimzadeh")</f>
        <v>Vasiliki Rahimzadeh</v>
      </c>
      <c r="M329" s="49" t="str">
        <f ca="1">IFERROR(__xludf.DUMMYFUNCTION("QUERY('Volunteer Survey'!E338)"),"vrahim@stanford.edu")</f>
        <v>vrahim@stanford.edu</v>
      </c>
      <c r="N329" s="49" t="str">
        <f ca="1">IFERROR(__xludf.DUMMYFUNCTION("QUERY('Volunteer Survey'!F338)"),"Postdoctoral fellow ")</f>
        <v xml:space="preserve">Postdoctoral fellow </v>
      </c>
      <c r="O329" s="42" t="str">
        <f ca="1">IFERROR(__xludf.DUMMYFUNCTION("QUERY('Volunteer Survey'!H338)"),"Comprehensive")</f>
        <v>Comprehensive</v>
      </c>
      <c r="P329" s="49" t="str">
        <f ca="1">IFERROR(__xludf.DUMMYFUNCTION("QUERY('Volunteer Survey'!I338)"),"Gene-Disease Validity")</f>
        <v>Gene-Disease Validity</v>
      </c>
      <c r="Q329" s="54" t="str">
        <f ca="1">IFERROR(__xludf.DUMMYFUNCTION("QUERY('Volunteer Survey'!J338)"),"Variant Pathogenicity")</f>
        <v>Variant Pathogenicity</v>
      </c>
      <c r="R329" s="49" t="str">
        <f ca="1">IFERROR(__xludf.DUMMYFUNCTION("QUERY('Volunteer Survey'!K338)"),"Somatic Cancer")</f>
        <v>Somatic Cancer</v>
      </c>
      <c r="S329" s="49" t="str">
        <f ca="1">IFERROR(__xludf.DUMMYFUNCTION("QUERY('Volunteer Survey'!L338)"),"")</f>
        <v/>
      </c>
      <c r="T329" s="49" t="str">
        <f ca="1">IFERROR(__xludf.DUMMYFUNCTION("QUERY('Volunteer Survey'!M338)"),"")</f>
        <v/>
      </c>
      <c r="U329" s="58" t="str">
        <f ca="1">IFERROR(__xludf.DUMMYFUNCTION("QUERY('Volunteer Survey'!N338)"),"No, but have a basic theoretical background of genomic/genetic science ")</f>
        <v xml:space="preserve">No, but have a basic theoretical background of genomic/genetic science </v>
      </c>
      <c r="V329" s="49" t="str">
        <f ca="1">IFERROR(__xludf.DUMMYFUNCTION("QUERY('Volunteer Survey'!O338)"),"Possibly")</f>
        <v>Possibly</v>
      </c>
      <c r="W329" s="60" t="str">
        <f ca="1">IFERROR(__xludf.DUMMYFUNCTION("QUERY('Volunteer Survey'!P338)"),"Yes, pediatric cancer or rare genetic disease ")</f>
        <v xml:space="preserve">Yes, pediatric cancer or rare genetic disease </v>
      </c>
      <c r="X329" s="58" t="str">
        <f ca="1">IFERROR(__xludf.DUMMYFUNCTION("QUERY('Volunteer Survey'!R338)"),"Yes- I am willing to volunteer with any available ClinGen group")</f>
        <v>Yes- I am willing to volunteer with any available ClinGen group</v>
      </c>
      <c r="Y329" s="47"/>
      <c r="Z329" s="49"/>
      <c r="AA329" s="49"/>
      <c r="AB329" s="49"/>
      <c r="AC329" s="49"/>
      <c r="AD329" s="49"/>
      <c r="AE329" s="49"/>
      <c r="AF329" s="49"/>
      <c r="AG329" s="49"/>
      <c r="AH329" s="49"/>
      <c r="AI329" s="49"/>
      <c r="AJ329" s="49"/>
      <c r="AK329" s="49"/>
      <c r="AL329" s="49"/>
      <c r="AM329" s="49"/>
      <c r="AN329" s="49"/>
      <c r="AO329" s="49"/>
    </row>
    <row r="330" spans="1:41" ht="14">
      <c r="A330" s="44">
        <f ca="1">IFERROR(__xludf.DUMMYFUNCTION("QUERY('Volunteer Survey'!A339)"),43761.5122648958)</f>
        <v>43761.512264895799</v>
      </c>
      <c r="B330" s="42" t="s">
        <v>108</v>
      </c>
      <c r="C330" s="73">
        <v>43819</v>
      </c>
      <c r="D330" s="49"/>
      <c r="E330" s="49"/>
      <c r="F330" s="42" t="s">
        <v>130</v>
      </c>
      <c r="G330" s="42" t="s">
        <v>251</v>
      </c>
      <c r="H330" s="47"/>
      <c r="I330" s="47"/>
      <c r="J330" s="49"/>
      <c r="K330" s="49"/>
      <c r="L330" s="49" t="str">
        <f ca="1">IFERROR(__xludf.DUMMYFUNCTION("QUERY('Volunteer Survey'!B339)"),"Guadalupe Carvajal")</f>
        <v>Guadalupe Carvajal</v>
      </c>
      <c r="M330" s="49" t="str">
        <f ca="1">IFERROR(__xludf.DUMMYFUNCTION("QUERY('Volunteer Survey'!E339)"),"gcarvajal18@students.kgi.edu")</f>
        <v>gcarvajal18@students.kgi.edu</v>
      </c>
      <c r="N330" s="49" t="str">
        <f ca="1">IFERROR(__xludf.DUMMYFUNCTION("QUERY('Volunteer Survey'!F339)"),"Genetic counselor")</f>
        <v>Genetic counselor</v>
      </c>
      <c r="O330" s="42" t="str">
        <f ca="1">IFERROR(__xludf.DUMMYFUNCTION("QUERY('Volunteer Survey'!H339)"),"Comprehensive")</f>
        <v>Comprehensive</v>
      </c>
      <c r="P330" s="49" t="str">
        <f ca="1">IFERROR(__xludf.DUMMYFUNCTION("QUERY('Volunteer Survey'!I339)"),"Variant Pathogenicity")</f>
        <v>Variant Pathogenicity</v>
      </c>
      <c r="Q330" s="54" t="str">
        <f ca="1">IFERROR(__xludf.DUMMYFUNCTION("QUERY('Volunteer Survey'!J339)"),"Clinical Actionability")</f>
        <v>Clinical Actionability</v>
      </c>
      <c r="R330" s="49" t="str">
        <f ca="1">IFERROR(__xludf.DUMMYFUNCTION("QUERY('Volunteer Survey'!K339)"),"Somatic Cancer")</f>
        <v>Somatic Cancer</v>
      </c>
      <c r="S330" s="49" t="str">
        <f ca="1">IFERROR(__xludf.DUMMYFUNCTION("QUERY('Volunteer Survey'!L339)"),"Dosage Sensitivity")</f>
        <v>Dosage Sensitivity</v>
      </c>
      <c r="T330" s="49" t="str">
        <f ca="1">IFERROR(__xludf.DUMMYFUNCTION("QUERY('Volunteer Survey'!M339)"),"Gene-Disease Validity")</f>
        <v>Gene-Disease Validity</v>
      </c>
      <c r="U330" s="58" t="str">
        <f ca="1">IFERROR(__xludf.DUMMYFUNCTION("QUERY('Volunteer Survey'!N339)"),"Very basic work done in class")</f>
        <v>Very basic work done in class</v>
      </c>
      <c r="V330" s="49" t="str">
        <f ca="1">IFERROR(__xludf.DUMMYFUNCTION("QUERY('Volunteer Survey'!O339)"),"Yes")</f>
        <v>Yes</v>
      </c>
      <c r="W330" s="60" t="str">
        <f ca="1">IFERROR(__xludf.DUMMYFUNCTION("QUERY('Volunteer Survey'!P339)"),"")</f>
        <v/>
      </c>
      <c r="X330" s="58" t="str">
        <f ca="1">IFERROR(__xludf.DUMMYFUNCTION("QUERY('Volunteer Survey'!R339)"),"")</f>
        <v/>
      </c>
      <c r="Y330" s="47"/>
      <c r="Z330" s="49"/>
      <c r="AA330" s="49"/>
      <c r="AB330" s="49"/>
      <c r="AC330" s="49"/>
      <c r="AD330" s="49"/>
      <c r="AE330" s="49"/>
      <c r="AF330" s="49"/>
      <c r="AG330" s="49"/>
      <c r="AH330" s="49"/>
      <c r="AI330" s="49"/>
      <c r="AJ330" s="49"/>
      <c r="AK330" s="49"/>
      <c r="AL330" s="49"/>
      <c r="AM330" s="49"/>
      <c r="AN330" s="49"/>
      <c r="AO330" s="49"/>
    </row>
    <row r="331" spans="1:41" ht="14">
      <c r="A331" s="44">
        <f ca="1">IFERROR(__xludf.DUMMYFUNCTION("QUERY('Volunteer Survey'!A340)"),43762.7162558333)</f>
        <v>43762.7162558333</v>
      </c>
      <c r="B331" s="42" t="s">
        <v>108</v>
      </c>
      <c r="C331" s="73">
        <v>43819</v>
      </c>
      <c r="D331" s="49"/>
      <c r="E331" s="49"/>
      <c r="F331" s="42" t="s">
        <v>130</v>
      </c>
      <c r="G331" s="42" t="s">
        <v>251</v>
      </c>
      <c r="H331" s="47"/>
      <c r="I331" s="47"/>
      <c r="J331" s="49"/>
      <c r="K331" s="49"/>
      <c r="L331" s="49" t="str">
        <f ca="1">IFERROR(__xludf.DUMMYFUNCTION("QUERY('Volunteer Survey'!B340)"),"Liang Guo")</f>
        <v>Liang Guo</v>
      </c>
      <c r="M331" s="49" t="str">
        <f ca="1">IFERROR(__xludf.DUMMYFUNCTION("QUERY('Volunteer Survey'!E340)"),"lguo@cvpath.org")</f>
        <v>lguo@cvpath.org</v>
      </c>
      <c r="N331" s="49" t="str">
        <f ca="1">IFERROR(__xludf.DUMMYFUNCTION("QUERY('Volunteer Survey'!F340)"),"Scientific Researcher")</f>
        <v>Scientific Researcher</v>
      </c>
      <c r="O331" s="42" t="str">
        <f ca="1">IFERROR(__xludf.DUMMYFUNCTION("QUERY('Volunteer Survey'!H340)"),"Comprehensive")</f>
        <v>Comprehensive</v>
      </c>
      <c r="P331" s="49" t="str">
        <f ca="1">IFERROR(__xludf.DUMMYFUNCTION("QUERY('Volunteer Survey'!I340)"),"Variant Pathogenicity")</f>
        <v>Variant Pathogenicity</v>
      </c>
      <c r="Q331" s="54" t="str">
        <f ca="1">IFERROR(__xludf.DUMMYFUNCTION("QUERY('Volunteer Survey'!J340)"),"Gene-Disease Validity")</f>
        <v>Gene-Disease Validity</v>
      </c>
      <c r="R331" s="49" t="str">
        <f ca="1">IFERROR(__xludf.DUMMYFUNCTION("QUERY('Volunteer Survey'!K340)"),"Clinical Actionability")</f>
        <v>Clinical Actionability</v>
      </c>
      <c r="S331" s="49" t="str">
        <f ca="1">IFERROR(__xludf.DUMMYFUNCTION("QUERY('Volunteer Survey'!L340)"),"Dosage Sensitivity")</f>
        <v>Dosage Sensitivity</v>
      </c>
      <c r="T331" s="49" t="str">
        <f ca="1">IFERROR(__xludf.DUMMYFUNCTION("QUERY('Volunteer Survey'!M340)"),"Somatic Cancer")</f>
        <v>Somatic Cancer</v>
      </c>
      <c r="U331" s="58" t="str">
        <f ca="1">IFERROR(__xludf.DUMMYFUNCTION("QUERY('Volunteer Survey'!N340)"),"Yes, curation of hypertrophic cardiomyopathy")</f>
        <v>Yes, curation of hypertrophic cardiomyopathy</v>
      </c>
      <c r="V331" s="49" t="str">
        <f ca="1">IFERROR(__xludf.DUMMYFUNCTION("QUERY('Volunteer Survey'!O340)"),"Yes")</f>
        <v>Yes</v>
      </c>
      <c r="W331" s="60" t="str">
        <f ca="1">IFERROR(__xludf.DUMMYFUNCTION("QUERY('Volunteer Survey'!P340)"),"Cardiovascular working group")</f>
        <v>Cardiovascular working group</v>
      </c>
      <c r="X331" s="58" t="str">
        <f ca="1">IFERROR(__xludf.DUMMYFUNCTION("QUERY('Volunteer Survey'!R340)"),"No - I am only interested in the group(s) I previously indicated")</f>
        <v>No - I am only interested in the group(s) I previously indicated</v>
      </c>
      <c r="Y331" s="47"/>
      <c r="Z331" s="49"/>
      <c r="AA331" s="49"/>
      <c r="AB331" s="49"/>
      <c r="AC331" s="49"/>
      <c r="AD331" s="49"/>
      <c r="AE331" s="49"/>
      <c r="AF331" s="49"/>
      <c r="AG331" s="49"/>
      <c r="AH331" s="49"/>
      <c r="AI331" s="49"/>
      <c r="AJ331" s="49"/>
      <c r="AK331" s="49"/>
      <c r="AL331" s="49"/>
      <c r="AM331" s="49"/>
      <c r="AN331" s="49"/>
      <c r="AO331" s="49"/>
    </row>
    <row r="332" spans="1:41" ht="14">
      <c r="A332" s="44">
        <f ca="1">IFERROR(__xludf.DUMMYFUNCTION("QUERY('Volunteer Survey'!A341)"),43765.7261636226)</f>
        <v>43765.726163622603</v>
      </c>
      <c r="B332" s="42" t="s">
        <v>108</v>
      </c>
      <c r="C332" s="73">
        <v>43819</v>
      </c>
      <c r="D332" s="49"/>
      <c r="E332" s="49"/>
      <c r="F332" s="42" t="s">
        <v>130</v>
      </c>
      <c r="G332" s="42" t="s">
        <v>122</v>
      </c>
      <c r="H332" s="47"/>
      <c r="I332" s="47"/>
      <c r="J332" s="49"/>
      <c r="K332" s="49"/>
      <c r="L332" s="49" t="str">
        <f ca="1">IFERROR(__xludf.DUMMYFUNCTION("QUERY('Volunteer Survey'!B341)"),"Sha Tang")</f>
        <v>Sha Tang</v>
      </c>
      <c r="M332" s="49" t="str">
        <f ca="1">IFERROR(__xludf.DUMMYFUNCTION("QUERY('Volunteer Survey'!E341)"),"stang@wuxinextcode.cm")</f>
        <v>stang@wuxinextcode.cm</v>
      </c>
      <c r="N332" s="49" t="str">
        <f ca="1">IFERROR(__xludf.DUMMYFUNCTION("QUERY('Volunteer Survey'!F341)"),"Clinical laboratory geneticist")</f>
        <v>Clinical laboratory geneticist</v>
      </c>
      <c r="O332" s="42" t="str">
        <f ca="1">IFERROR(__xludf.DUMMYFUNCTION("QUERY('Volunteer Survey'!H341)"),"Comprehensive")</f>
        <v>Comprehensive</v>
      </c>
      <c r="P332" s="49" t="str">
        <f ca="1">IFERROR(__xludf.DUMMYFUNCTION("QUERY('Volunteer Survey'!I341)"),"Gene-Disease Validity")</f>
        <v>Gene-Disease Validity</v>
      </c>
      <c r="Q332" s="54" t="str">
        <f ca="1">IFERROR(__xludf.DUMMYFUNCTION("QUERY('Volunteer Survey'!J341)"),"Variant Pathogenicity")</f>
        <v>Variant Pathogenicity</v>
      </c>
      <c r="R332" s="49" t="str">
        <f ca="1">IFERROR(__xludf.DUMMYFUNCTION("QUERY('Volunteer Survey'!K341)"),"Dosage Sensitivity")</f>
        <v>Dosage Sensitivity</v>
      </c>
      <c r="S332" s="49" t="str">
        <f ca="1">IFERROR(__xludf.DUMMYFUNCTION("QUERY('Volunteer Survey'!L341)"),"Clinical Actionability")</f>
        <v>Clinical Actionability</v>
      </c>
      <c r="T332" s="49" t="str">
        <f ca="1">IFERROR(__xludf.DUMMYFUNCTION("QUERY('Volunteer Survey'!M341)"),"Somatic Cancer")</f>
        <v>Somatic Cancer</v>
      </c>
      <c r="U332" s="58" t="str">
        <f ca="1">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49" t="str">
        <f ca="1">IFERROR(__xludf.DUMMYFUNCTION("QUERY('Volunteer Survey'!O341)"),"Yes")</f>
        <v>Yes</v>
      </c>
      <c r="W332" s="60" t="str">
        <f ca="1">IFERROR(__xludf.DUMMYFUNCTION("QUERY('Volunteer Survey'!P341)"),"Intellectual Disability and Autism, Mitochondrial Diseases")</f>
        <v>Intellectual Disability and Autism, Mitochondrial Diseases</v>
      </c>
      <c r="X332" s="58" t="str">
        <f ca="1">IFERROR(__xludf.DUMMYFUNCTION("QUERY('Volunteer Survey'!R341)"),"Maybe -- please contact me with other options, and I will decide based on what is available")</f>
        <v>Maybe -- please contact me with other options, and I will decide based on what is available</v>
      </c>
      <c r="Y332" s="47"/>
      <c r="Z332" s="49"/>
      <c r="AA332" s="49"/>
      <c r="AB332" s="49"/>
      <c r="AC332" s="49"/>
      <c r="AD332" s="49"/>
      <c r="AE332" s="49"/>
      <c r="AF332" s="49"/>
      <c r="AG332" s="49"/>
      <c r="AH332" s="49"/>
      <c r="AI332" s="49"/>
      <c r="AJ332" s="49"/>
      <c r="AK332" s="49"/>
      <c r="AL332" s="49"/>
      <c r="AM332" s="49"/>
      <c r="AN332" s="49"/>
      <c r="AO332" s="49"/>
    </row>
    <row r="333" spans="1:41" ht="14">
      <c r="A333" s="44">
        <f ca="1">IFERROR(__xludf.DUMMYFUNCTION("QUERY('Volunteer Survey'!A342)"),43766.531923831)</f>
        <v>43766.531923830997</v>
      </c>
      <c r="B333" s="42" t="s">
        <v>322</v>
      </c>
      <c r="C333" s="47"/>
      <c r="D333" s="49"/>
      <c r="E333" s="49"/>
      <c r="F333" s="42" t="s">
        <v>130</v>
      </c>
      <c r="G333" s="42" t="s">
        <v>313</v>
      </c>
      <c r="H333" s="47"/>
      <c r="I333" s="47"/>
      <c r="J333" s="49"/>
      <c r="K333" s="49"/>
      <c r="L333" s="49" t="str">
        <f ca="1">IFERROR(__xludf.DUMMYFUNCTION("QUERY('Volunteer Survey'!B342)"),"Patrick Forny")</f>
        <v>Patrick Forny</v>
      </c>
      <c r="M333" s="49" t="str">
        <f ca="1">IFERROR(__xludf.DUMMYFUNCTION("QUERY('Volunteer Survey'!E342)"),"patrick.forny@kispi.uzh.ch")</f>
        <v>patrick.forny@kispi.uzh.ch</v>
      </c>
      <c r="N333" s="49" t="str">
        <f ca="1">IFERROR(__xludf.DUMMYFUNCTION("QUERY('Volunteer Survey'!F342)"),"Post Doc/Resident/Fellow (MD and/or PhD)")</f>
        <v>Post Doc/Resident/Fellow (MD and/or PhD)</v>
      </c>
      <c r="O333" s="42" t="str">
        <f ca="1">IFERROR(__xludf.DUMMYFUNCTION("QUERY('Volunteer Survey'!H342)"),"Baseline")</f>
        <v>Baseline</v>
      </c>
      <c r="P333" s="49" t="str">
        <f ca="1">IFERROR(__xludf.DUMMYFUNCTION("QUERY('Volunteer Survey'!I342)"),"Gene-Disease Validity, Variant Pathogenicity")</f>
        <v>Gene-Disease Validity, Variant Pathogenicity</v>
      </c>
      <c r="Q333" s="54" t="str">
        <f ca="1">IFERROR(__xludf.DUMMYFUNCTION("QUERY('Volunteer Survey'!J342)"),"Clinical Actionability")</f>
        <v>Clinical Actionability</v>
      </c>
      <c r="R333" s="49" t="str">
        <f ca="1">IFERROR(__xludf.DUMMYFUNCTION("QUERY('Volunteer Survey'!K342)"),"Dosage Sensitivity")</f>
        <v>Dosage Sensitivity</v>
      </c>
      <c r="S333" s="49" t="str">
        <f ca="1">IFERROR(__xludf.DUMMYFUNCTION("QUERY('Volunteer Survey'!L342)"),"Somatic Cancer")</f>
        <v>Somatic Cancer</v>
      </c>
      <c r="T333" s="49" t="str">
        <f ca="1">IFERROR(__xludf.DUMMYFUNCTION("QUERY('Volunteer Survey'!M342)"),"")</f>
        <v/>
      </c>
      <c r="U333" s="58" t="str">
        <f ca="1">IFERROR(__xludf.DUMMYFUNCTION("QUERY('Volunteer Survey'!N342)"),"")</f>
        <v/>
      </c>
      <c r="V333" s="49" t="str">
        <f ca="1">IFERROR(__xludf.DUMMYFUNCTION("QUERY('Volunteer Survey'!O342)"),"No")</f>
        <v>No</v>
      </c>
      <c r="W333" s="60" t="str">
        <f ca="1">IFERROR(__xludf.DUMMYFUNCTION("QUERY('Volunteer Survey'!P342)"),"")</f>
        <v/>
      </c>
      <c r="X333" s="58" t="str">
        <f ca="1">IFERROR(__xludf.DUMMYFUNCTION("QUERY('Volunteer Survey'!R342)"),"No - I am only interested in the group(s) I previously indicated")</f>
        <v>No - I am only interested in the group(s) I previously indicated</v>
      </c>
      <c r="Y333" s="47"/>
      <c r="Z333" s="49"/>
      <c r="AA333" s="49"/>
      <c r="AB333" s="49"/>
      <c r="AC333" s="49"/>
      <c r="AD333" s="49"/>
      <c r="AE333" s="49"/>
      <c r="AF333" s="49"/>
      <c r="AG333" s="49"/>
      <c r="AH333" s="49"/>
      <c r="AI333" s="49"/>
      <c r="AJ333" s="49"/>
      <c r="AK333" s="49"/>
      <c r="AL333" s="49"/>
      <c r="AM333" s="49"/>
      <c r="AN333" s="49"/>
      <c r="AO333" s="49"/>
    </row>
    <row r="334" spans="1:41" ht="14">
      <c r="A334" s="44">
        <f ca="1">IFERROR(__xludf.DUMMYFUNCTION("QUERY('Volunteer Survey'!A343)"),43767.2022327662)</f>
        <v>43767.202232766198</v>
      </c>
      <c r="B334" s="42" t="s">
        <v>322</v>
      </c>
      <c r="C334" s="47"/>
      <c r="D334" s="49"/>
      <c r="E334" s="49"/>
      <c r="F334" s="42" t="s">
        <v>130</v>
      </c>
      <c r="G334" s="42" t="s">
        <v>313</v>
      </c>
      <c r="H334" s="47"/>
      <c r="I334" s="47"/>
      <c r="J334" s="49"/>
      <c r="K334" s="49"/>
      <c r="L334" s="49" t="str">
        <f ca="1">IFERROR(__xludf.DUMMYFUNCTION("QUERY('Volunteer Survey'!B343)"),"Ximena Bonilla")</f>
        <v>Ximena Bonilla</v>
      </c>
      <c r="M334" s="49" t="str">
        <f ca="1">IFERROR(__xludf.DUMMYFUNCTION("QUERY('Volunteer Survey'!E343)"),"ximena.bonilla@inf.ethz.ch")</f>
        <v>ximena.bonilla@inf.ethz.ch</v>
      </c>
      <c r="N334" s="49" t="str">
        <f ca="1">IFERROR(__xludf.DUMMYFUNCTION("QUERY('Volunteer Survey'!F343)"),"Post Doc/Resident/Fellow (MD and/or PhD)")</f>
        <v>Post Doc/Resident/Fellow (MD and/or PhD)</v>
      </c>
      <c r="O334" s="42" t="str">
        <f ca="1">IFERROR(__xludf.DUMMYFUNCTION("QUERY('Volunteer Survey'!H343)"),"Baseline")</f>
        <v>Baseline</v>
      </c>
      <c r="P334" s="49" t="str">
        <f ca="1">IFERROR(__xludf.DUMMYFUNCTION("QUERY('Volunteer Survey'!I343)"),"Variant Pathogenicity")</f>
        <v>Variant Pathogenicity</v>
      </c>
      <c r="Q334" s="54" t="str">
        <f ca="1">IFERROR(__xludf.DUMMYFUNCTION("QUERY('Volunteer Survey'!J343)"),"Dosage Sensitivity")</f>
        <v>Dosage Sensitivity</v>
      </c>
      <c r="R334" s="49" t="str">
        <f ca="1">IFERROR(__xludf.DUMMYFUNCTION("QUERY('Volunteer Survey'!K343)"),"Gene-Disease Validity")</f>
        <v>Gene-Disease Validity</v>
      </c>
      <c r="S334" s="49" t="str">
        <f ca="1">IFERROR(__xludf.DUMMYFUNCTION("QUERY('Volunteer Survey'!L343)"),"")</f>
        <v/>
      </c>
      <c r="T334" s="49" t="str">
        <f ca="1">IFERROR(__xludf.DUMMYFUNCTION("QUERY('Volunteer Survey'!M343)"),"")</f>
        <v/>
      </c>
      <c r="U334" s="58" t="str">
        <f ca="1">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49" t="str">
        <f ca="1">IFERROR(__xludf.DUMMYFUNCTION("QUERY('Volunteer Survey'!O343)"),"Possibly")</f>
        <v>Possibly</v>
      </c>
      <c r="W334" s="60" t="str">
        <f ca="1">IFERROR(__xludf.DUMMYFUNCTION("QUERY('Volunteer Survey'!P343)"),"")</f>
        <v/>
      </c>
      <c r="X334" s="58" t="str">
        <f ca="1">IFERROR(__xludf.DUMMYFUNCTION("QUERY('Volunteer Survey'!R343)"),"Yes- I am willing to volunteer with any available ClinGen group")</f>
        <v>Yes- I am willing to volunteer with any available ClinGen group</v>
      </c>
      <c r="Y334" s="47"/>
      <c r="Z334" s="49"/>
      <c r="AA334" s="49"/>
      <c r="AB334" s="49"/>
      <c r="AC334" s="49"/>
      <c r="AD334" s="49"/>
      <c r="AE334" s="49"/>
      <c r="AF334" s="49"/>
      <c r="AG334" s="49"/>
      <c r="AH334" s="49"/>
      <c r="AI334" s="49"/>
      <c r="AJ334" s="49"/>
      <c r="AK334" s="49"/>
      <c r="AL334" s="49"/>
      <c r="AM334" s="49"/>
      <c r="AN334" s="49"/>
      <c r="AO334" s="49"/>
    </row>
    <row r="335" spans="1:41" ht="14">
      <c r="A335" s="44">
        <f ca="1">IFERROR(__xludf.DUMMYFUNCTION("QUERY('Volunteer Survey'!A344)"),43767.6245374074)</f>
        <v>43767.624537407399</v>
      </c>
      <c r="B335" s="42" t="s">
        <v>108</v>
      </c>
      <c r="C335" s="73">
        <v>43819</v>
      </c>
      <c r="D335" s="49"/>
      <c r="E335" s="49"/>
      <c r="F335" s="42" t="s">
        <v>130</v>
      </c>
      <c r="G335" s="42" t="s">
        <v>122</v>
      </c>
      <c r="H335" s="47"/>
      <c r="I335" s="47"/>
      <c r="J335" s="49"/>
      <c r="K335" s="49"/>
      <c r="L335" s="49" t="str">
        <f ca="1">IFERROR(__xludf.DUMMYFUNCTION("QUERY('Volunteer Survey'!B344)"),"Steve Waring")</f>
        <v>Steve Waring</v>
      </c>
      <c r="M335" s="49" t="str">
        <f ca="1">IFERROR(__xludf.DUMMYFUNCTION("QUERY('Volunteer Survey'!E344)"),"stephen.waring@essentiahealth.org")</f>
        <v>stephen.waring@essentiahealth.org</v>
      </c>
      <c r="N335" s="49" t="str">
        <f ca="1">IFERROR(__xludf.DUMMYFUNCTION("QUERY('Volunteer Survey'!F344)"),"Scientific Researcher")</f>
        <v>Scientific Researcher</v>
      </c>
      <c r="O335" s="42" t="str">
        <f ca="1">IFERROR(__xludf.DUMMYFUNCTION("QUERY('Volunteer Survey'!H344)"),"Comprehensive")</f>
        <v>Comprehensive</v>
      </c>
      <c r="P335" s="49" t="str">
        <f ca="1">IFERROR(__xludf.DUMMYFUNCTION("QUERY('Volunteer Survey'!I344)"),"Gene-Disease Validity")</f>
        <v>Gene-Disease Validity</v>
      </c>
      <c r="Q335" s="54" t="str">
        <f ca="1">IFERROR(__xludf.DUMMYFUNCTION("QUERY('Volunteer Survey'!J344)"),"Clinical Actionability")</f>
        <v>Clinical Actionability</v>
      </c>
      <c r="R335" s="49" t="str">
        <f ca="1">IFERROR(__xludf.DUMMYFUNCTION("QUERY('Volunteer Survey'!K344)"),"")</f>
        <v/>
      </c>
      <c r="S335" s="49" t="str">
        <f ca="1">IFERROR(__xludf.DUMMYFUNCTION("QUERY('Volunteer Survey'!L344)"),"")</f>
        <v/>
      </c>
      <c r="T335" s="49" t="str">
        <f ca="1">IFERROR(__xludf.DUMMYFUNCTION("QUERY('Volunteer Survey'!M344)"),"")</f>
        <v/>
      </c>
      <c r="U335" s="58" t="str">
        <f ca="1">IFERROR(__xludf.DUMMYFUNCTION("QUERY('Volunteer Survey'!N344)"),"Genetic epidemiology research involving gene-gene and gene-env interactions; PGx")</f>
        <v>Genetic epidemiology research involving gene-gene and gene-env interactions; PGx</v>
      </c>
      <c r="V335" s="49" t="str">
        <f ca="1">IFERROR(__xludf.DUMMYFUNCTION("QUERY('Volunteer Survey'!O344)"),"No")</f>
        <v>No</v>
      </c>
      <c r="W335" s="60" t="str">
        <f ca="1">IFERROR(__xludf.DUMMYFUNCTION("QUERY('Volunteer Survey'!P344)"),"Open to assignment based on greatest need")</f>
        <v>Open to assignment based on greatest need</v>
      </c>
      <c r="X335" s="58" t="str">
        <f ca="1">IFERROR(__xludf.DUMMYFUNCTION("QUERY('Volunteer Survey'!R344)"),"Yes- I am willing to volunteer with any available ClinGen group")</f>
        <v>Yes- I am willing to volunteer with any available ClinGen group</v>
      </c>
      <c r="Y335" s="47"/>
      <c r="Z335" s="49"/>
      <c r="AA335" s="49"/>
      <c r="AB335" s="49"/>
      <c r="AC335" s="49"/>
      <c r="AD335" s="49"/>
      <c r="AE335" s="49"/>
      <c r="AF335" s="49"/>
      <c r="AG335" s="49"/>
      <c r="AH335" s="49"/>
      <c r="AI335" s="49"/>
      <c r="AJ335" s="49"/>
      <c r="AK335" s="49"/>
      <c r="AL335" s="49"/>
      <c r="AM335" s="49"/>
      <c r="AN335" s="49"/>
      <c r="AO335" s="49"/>
    </row>
    <row r="336" spans="1:41" ht="14">
      <c r="A336" s="44">
        <f ca="1">IFERROR(__xludf.DUMMYFUNCTION("QUERY('Volunteer Survey'!A345)"),43769.5390624537)</f>
        <v>43769.539062453703</v>
      </c>
      <c r="B336" s="42" t="s">
        <v>108</v>
      </c>
      <c r="C336" s="73">
        <v>43819</v>
      </c>
      <c r="D336" s="49"/>
      <c r="E336" s="49"/>
      <c r="F336" s="42" t="s">
        <v>130</v>
      </c>
      <c r="G336" s="42" t="s">
        <v>251</v>
      </c>
      <c r="H336" s="47"/>
      <c r="I336" s="45" t="s">
        <v>356</v>
      </c>
      <c r="J336" s="49"/>
      <c r="K336" s="49"/>
      <c r="L336" s="49" t="str">
        <f ca="1">IFERROR(__xludf.DUMMYFUNCTION("QUERY('Volunteer Survey'!B345)"),"Abul Kalam Azad")</f>
        <v>Abul Kalam Azad</v>
      </c>
      <c r="M336" s="49" t="str">
        <f ca="1">IFERROR(__xludf.DUMMYFUNCTION("QUERY('Volunteer Survey'!E345)"),"azadak@gmail.com")</f>
        <v>azadak@gmail.com</v>
      </c>
      <c r="N336" s="49" t="str">
        <f ca="1">IFERROR(__xludf.DUMMYFUNCTION("QUERY('Volunteer Survey'!F345)"),"Post Doc/Resident/Fellow (MD and/or PhD)")</f>
        <v>Post Doc/Resident/Fellow (MD and/or PhD)</v>
      </c>
      <c r="O336" s="42" t="str">
        <f ca="1">IFERROR(__xludf.DUMMYFUNCTION("QUERY('Volunteer Survey'!H345)"),"Comprehensive")</f>
        <v>Comprehensive</v>
      </c>
      <c r="P336" s="49" t="str">
        <f ca="1">IFERROR(__xludf.DUMMYFUNCTION("QUERY('Volunteer Survey'!I345)"),"Variant Pathogenicity")</f>
        <v>Variant Pathogenicity</v>
      </c>
      <c r="Q336" s="54" t="str">
        <f ca="1">IFERROR(__xludf.DUMMYFUNCTION("QUERY('Volunteer Survey'!J345)"),"")</f>
        <v/>
      </c>
      <c r="R336" s="49" t="str">
        <f ca="1">IFERROR(__xludf.DUMMYFUNCTION("QUERY('Volunteer Survey'!K345)"),"")</f>
        <v/>
      </c>
      <c r="S336" s="49" t="str">
        <f ca="1">IFERROR(__xludf.DUMMYFUNCTION("QUERY('Volunteer Survey'!L345)"),"")</f>
        <v/>
      </c>
      <c r="T336" s="49" t="str">
        <f ca="1">IFERROR(__xludf.DUMMYFUNCTION("QUERY('Volunteer Survey'!M345)"),"")</f>
        <v/>
      </c>
      <c r="U336" s="58" t="str">
        <f ca="1">IFERROR(__xludf.DUMMYFUNCTION("QUERY('Volunteer Survey'!N345)"),"")</f>
        <v/>
      </c>
      <c r="V336" s="49" t="str">
        <f ca="1">IFERROR(__xludf.DUMMYFUNCTION("QUERY('Volunteer Survey'!O345)"),"Yes")</f>
        <v>Yes</v>
      </c>
      <c r="W336" s="60" t="str">
        <f ca="1">IFERROR(__xludf.DUMMYFUNCTION("QUERY('Volunteer Survey'!P345)"),"")</f>
        <v/>
      </c>
      <c r="X336" s="58" t="str">
        <f ca="1">IFERROR(__xludf.DUMMYFUNCTION("QUERY('Volunteer Survey'!R345)"),"Yes- I am willing to volunteer with any available ClinGen group")</f>
        <v>Yes- I am willing to volunteer with any available ClinGen group</v>
      </c>
      <c r="Y336" s="47"/>
      <c r="Z336" s="49"/>
      <c r="AA336" s="49"/>
      <c r="AB336" s="49"/>
      <c r="AC336" s="49"/>
      <c r="AD336" s="49"/>
      <c r="AE336" s="49"/>
      <c r="AF336" s="49"/>
      <c r="AG336" s="49"/>
      <c r="AH336" s="49"/>
      <c r="AI336" s="49"/>
      <c r="AJ336" s="49"/>
      <c r="AK336" s="49"/>
      <c r="AL336" s="49"/>
      <c r="AM336" s="49"/>
      <c r="AN336" s="49"/>
      <c r="AO336" s="49"/>
    </row>
    <row r="337" spans="1:41" ht="14">
      <c r="A337" s="44">
        <f ca="1">IFERROR(__xludf.DUMMYFUNCTION("QUERY('Volunteer Survey'!A346)"),43769.8890638773)</f>
        <v>43769.889063877301</v>
      </c>
      <c r="B337" s="42" t="s">
        <v>322</v>
      </c>
      <c r="C337" s="47"/>
      <c r="D337" s="49"/>
      <c r="E337" s="49"/>
      <c r="F337" s="42" t="s">
        <v>130</v>
      </c>
      <c r="G337" s="42" t="s">
        <v>313</v>
      </c>
      <c r="H337" s="47"/>
      <c r="I337" s="47"/>
      <c r="J337" s="49"/>
      <c r="K337" s="49"/>
      <c r="L337" s="49" t="str">
        <f ca="1">IFERROR(__xludf.DUMMYFUNCTION("QUERY('Volunteer Survey'!B346)"),"Lise Graversen")</f>
        <v>Lise Graversen</v>
      </c>
      <c r="M337" s="49" t="str">
        <f ca="1">IFERROR(__xludf.DUMMYFUNCTION("QUERY('Volunteer Survey'!E346)"),"lisega@rm.dk")</f>
        <v>lisega@rm.dk</v>
      </c>
      <c r="N337" s="49" t="str">
        <f ca="1">IFERROR(__xludf.DUMMYFUNCTION("QUERY('Volunteer Survey'!F346)"),"Clinical Medical Geneticist")</f>
        <v>Clinical Medical Geneticist</v>
      </c>
      <c r="O337" s="42" t="str">
        <f ca="1">IFERROR(__xludf.DUMMYFUNCTION("QUERY('Volunteer Survey'!H346)"),"Baseline")</f>
        <v>Baseline</v>
      </c>
      <c r="P337" s="49" t="str">
        <f ca="1">IFERROR(__xludf.DUMMYFUNCTION("QUERY('Volunteer Survey'!I346)"),"")</f>
        <v/>
      </c>
      <c r="Q337" s="54" t="str">
        <f ca="1">IFERROR(__xludf.DUMMYFUNCTION("QUERY('Volunteer Survey'!J346)"),"")</f>
        <v/>
      </c>
      <c r="R337" s="49" t="str">
        <f ca="1">IFERROR(__xludf.DUMMYFUNCTION("QUERY('Volunteer Survey'!K346)"),"")</f>
        <v/>
      </c>
      <c r="S337" s="49" t="str">
        <f ca="1">IFERROR(__xludf.DUMMYFUNCTION("QUERY('Volunteer Survey'!L346)"),"")</f>
        <v/>
      </c>
      <c r="T337" s="49" t="str">
        <f ca="1">IFERROR(__xludf.DUMMYFUNCTION("QUERY('Volunteer Survey'!M346)"),"")</f>
        <v/>
      </c>
      <c r="U337" s="58" t="str">
        <f ca="1">IFERROR(__xludf.DUMMYFUNCTION("QUERY('Volunteer Survey'!N346)"),"")</f>
        <v/>
      </c>
      <c r="V337" s="49" t="str">
        <f ca="1">IFERROR(__xludf.DUMMYFUNCTION("QUERY('Volunteer Survey'!O346)"),"No")</f>
        <v>No</v>
      </c>
      <c r="W337" s="60" t="str">
        <f ca="1">IFERROR(__xludf.DUMMYFUNCTION("QUERY('Volunteer Survey'!P346)"),"Insight mismatch repair")</f>
        <v>Insight mismatch repair</v>
      </c>
      <c r="X337" s="58" t="str">
        <f ca="1">IFERROR(__xludf.DUMMYFUNCTION("QUERY('Volunteer Survey'!R346)"),"No - I am only interested in the group(s) I previously indicated")</f>
        <v>No - I am only interested in the group(s) I previously indicated</v>
      </c>
      <c r="Y337" s="47"/>
      <c r="Z337" s="49"/>
      <c r="AA337" s="49"/>
      <c r="AB337" s="49"/>
      <c r="AC337" s="49"/>
      <c r="AD337" s="49"/>
      <c r="AE337" s="49"/>
      <c r="AF337" s="49"/>
      <c r="AG337" s="49"/>
      <c r="AH337" s="49"/>
      <c r="AI337" s="49"/>
      <c r="AJ337" s="49"/>
      <c r="AK337" s="49"/>
      <c r="AL337" s="49"/>
      <c r="AM337" s="49"/>
      <c r="AN337" s="49"/>
      <c r="AO337" s="49"/>
    </row>
    <row r="338" spans="1:41" ht="14">
      <c r="A338" s="44">
        <f ca="1">IFERROR(__xludf.DUMMYFUNCTION("QUERY('Volunteer Survey'!A347)"),43772.9457219097)</f>
        <v>43772.945721909702</v>
      </c>
      <c r="B338" s="42" t="s">
        <v>322</v>
      </c>
      <c r="C338" s="47"/>
      <c r="D338" s="49"/>
      <c r="E338" s="49"/>
      <c r="F338" s="42" t="s">
        <v>130</v>
      </c>
      <c r="G338" s="42" t="s">
        <v>313</v>
      </c>
      <c r="H338" s="47"/>
      <c r="I338" s="47"/>
      <c r="J338" s="49"/>
      <c r="K338" s="49"/>
      <c r="L338" s="49" t="str">
        <f ca="1">IFERROR(__xludf.DUMMYFUNCTION("QUERY('Volunteer Survey'!B347)"),"Ke Yu")</f>
        <v>Ke Yu</v>
      </c>
      <c r="M338" s="49" t="str">
        <f ca="1">IFERROR(__xludf.DUMMYFUNCTION("QUERY('Volunteer Survey'!E347)"),"yukefg@163.com")</f>
        <v>yukefg@163.com</v>
      </c>
      <c r="N338" s="49" t="str">
        <f ca="1">IFERROR(__xludf.DUMMYFUNCTION("QUERY('Volunteer Survey'!F347)"),"Clinical laboratory geneticist")</f>
        <v>Clinical laboratory geneticist</v>
      </c>
      <c r="O338" s="42" t="str">
        <f ca="1">IFERROR(__xludf.DUMMYFUNCTION("QUERY('Volunteer Survey'!H347)"),"Baseline")</f>
        <v>Baseline</v>
      </c>
      <c r="P338" s="49" t="str">
        <f ca="1">IFERROR(__xludf.DUMMYFUNCTION("QUERY('Volunteer Survey'!I347)"),"Variant Pathogenicity")</f>
        <v>Variant Pathogenicity</v>
      </c>
      <c r="Q338" s="54" t="str">
        <f ca="1">IFERROR(__xludf.DUMMYFUNCTION("QUERY('Volunteer Survey'!J347)"),"Gene-Disease Validity")</f>
        <v>Gene-Disease Validity</v>
      </c>
      <c r="R338" s="49" t="str">
        <f ca="1">IFERROR(__xludf.DUMMYFUNCTION("QUERY('Volunteer Survey'!K347)"),"Somatic Cancer")</f>
        <v>Somatic Cancer</v>
      </c>
      <c r="S338" s="49" t="str">
        <f ca="1">IFERROR(__xludf.DUMMYFUNCTION("QUERY('Volunteer Survey'!L347)"),"Dosage Sensitivity")</f>
        <v>Dosage Sensitivity</v>
      </c>
      <c r="T338" s="49" t="str">
        <f ca="1">IFERROR(__xludf.DUMMYFUNCTION("QUERY('Volunteer Survey'!M347)"),"Clinical Actionability")</f>
        <v>Clinical Actionability</v>
      </c>
      <c r="U338" s="58" t="str">
        <f ca="1">IFERROR(__xludf.DUMMYFUNCTION("QUERY('Volunteer Survey'!N347)"),"")</f>
        <v/>
      </c>
      <c r="V338" s="49" t="str">
        <f ca="1">IFERROR(__xludf.DUMMYFUNCTION("QUERY('Volunteer Survey'!O347)"),"Yes")</f>
        <v>Yes</v>
      </c>
      <c r="W338" s="60" t="str">
        <f ca="1">IFERROR(__xludf.DUMMYFUNCTION("QUERY('Volunteer Survey'!P347)"),"")</f>
        <v/>
      </c>
      <c r="X338" s="58" t="str">
        <f ca="1">IFERROR(__xludf.DUMMYFUNCTION("QUERY('Volunteer Survey'!R347)"),"Yes- I am willing to volunteer with any available ClinGen group")</f>
        <v>Yes- I am willing to volunteer with any available ClinGen group</v>
      </c>
      <c r="Y338" s="47"/>
      <c r="Z338" s="49"/>
      <c r="AA338" s="49"/>
      <c r="AB338" s="49"/>
      <c r="AC338" s="49"/>
      <c r="AD338" s="49"/>
      <c r="AE338" s="49"/>
      <c r="AF338" s="49"/>
      <c r="AG338" s="49"/>
      <c r="AH338" s="49"/>
      <c r="AI338" s="49"/>
      <c r="AJ338" s="49"/>
      <c r="AK338" s="49"/>
      <c r="AL338" s="49"/>
      <c r="AM338" s="49"/>
      <c r="AN338" s="49"/>
      <c r="AO338" s="49"/>
    </row>
    <row r="339" spans="1:41" ht="14">
      <c r="A339" s="44">
        <f ca="1">IFERROR(__xludf.DUMMYFUNCTION("QUERY('Volunteer Survey'!A348)"),43773.5855635532)</f>
        <v>43773.585563553199</v>
      </c>
      <c r="B339" s="42" t="s">
        <v>322</v>
      </c>
      <c r="C339" s="47"/>
      <c r="D339" s="49"/>
      <c r="E339" s="49"/>
      <c r="F339" s="42" t="s">
        <v>130</v>
      </c>
      <c r="G339" s="42" t="s">
        <v>313</v>
      </c>
      <c r="H339" s="47"/>
      <c r="I339" s="47"/>
      <c r="J339" s="49"/>
      <c r="K339" s="49"/>
      <c r="L339" s="49" t="str">
        <f ca="1">IFERROR(__xludf.DUMMYFUNCTION("QUERY('Volunteer Survey'!B348)"),"JELENA BREZO")</f>
        <v>JELENA BREZO</v>
      </c>
      <c r="M339" s="49" t="str">
        <f ca="1">IFERROR(__xludf.DUMMYFUNCTION("QUERY('Volunteer Survey'!E348)"),"dnalphabet@gmail.com")</f>
        <v>dnalphabet@gmail.com</v>
      </c>
      <c r="N339" s="49" t="str">
        <f ca="1">IFERROR(__xludf.DUMMYFUNCTION("QUERY('Volunteer Survey'!F348)"),"Clinical laboratory geneticist")</f>
        <v>Clinical laboratory geneticist</v>
      </c>
      <c r="O339" s="42" t="str">
        <f ca="1">IFERROR(__xludf.DUMMYFUNCTION("QUERY('Volunteer Survey'!H348)"),"Baseline")</f>
        <v>Baseline</v>
      </c>
      <c r="P339" s="49" t="str">
        <f ca="1">IFERROR(__xludf.DUMMYFUNCTION("QUERY('Volunteer Survey'!I348)"),"Clinical Actionability")</f>
        <v>Clinical Actionability</v>
      </c>
      <c r="Q339" s="54" t="str">
        <f ca="1">IFERROR(__xludf.DUMMYFUNCTION("QUERY('Volunteer Survey'!J348)"),"Gene-Disease Validity")</f>
        <v>Gene-Disease Validity</v>
      </c>
      <c r="R339" s="49" t="str">
        <f ca="1">IFERROR(__xludf.DUMMYFUNCTION("QUERY('Volunteer Survey'!K348)"),"Variant Pathogenicity")</f>
        <v>Variant Pathogenicity</v>
      </c>
      <c r="S339" s="49" t="str">
        <f ca="1">IFERROR(__xludf.DUMMYFUNCTION("QUERY('Volunteer Survey'!L348)"),"Somatic Cancer")</f>
        <v>Somatic Cancer</v>
      </c>
      <c r="T339" s="49" t="str">
        <f ca="1">IFERROR(__xludf.DUMMYFUNCTION("QUERY('Volunteer Survey'!M348)"),"Dosage Sensitivity")</f>
        <v>Dosage Sensitivity</v>
      </c>
      <c r="U339" s="58" t="str">
        <f ca="1">IFERROR(__xludf.DUMMYFUNCTION("QUERY('Volunteer Survey'!N348)"),"As a lab director, I reviewed interpretations for  a number of phenotypes")</f>
        <v>As a lab director, I reviewed interpretations for  a number of phenotypes</v>
      </c>
      <c r="V339" s="49" t="str">
        <f ca="1">IFERROR(__xludf.DUMMYFUNCTION("QUERY('Volunteer Survey'!O348)"),"Possibly")</f>
        <v>Possibly</v>
      </c>
      <c r="W339" s="60" t="str">
        <f ca="1">IFERROR(__xludf.DUMMYFUNCTION("QUERY('Volunteer Survey'!P348)"),"No specific interest")</f>
        <v>No specific interest</v>
      </c>
      <c r="X339" s="58" t="str">
        <f ca="1">IFERROR(__xludf.DUMMYFUNCTION("QUERY('Volunteer Survey'!R348)"),"Maybe -- please contact me with other options, and I will decide based on what is available")</f>
        <v>Maybe -- please contact me with other options, and I will decide based on what is available</v>
      </c>
      <c r="Y339" s="47"/>
      <c r="Z339" s="49"/>
      <c r="AA339" s="49"/>
      <c r="AB339" s="49"/>
      <c r="AC339" s="49"/>
      <c r="AD339" s="49"/>
      <c r="AE339" s="49"/>
      <c r="AF339" s="49"/>
      <c r="AG339" s="49"/>
      <c r="AH339" s="49"/>
      <c r="AI339" s="49"/>
      <c r="AJ339" s="49"/>
      <c r="AK339" s="49"/>
      <c r="AL339" s="49"/>
      <c r="AM339" s="49"/>
      <c r="AN339" s="49"/>
      <c r="AO339" s="49"/>
    </row>
    <row r="340" spans="1:41" ht="14">
      <c r="A340" s="44">
        <f ca="1">IFERROR(__xludf.DUMMYFUNCTION("QUERY('Volunteer Survey'!A349)"),43773.5962210532)</f>
        <v>43773.596221053202</v>
      </c>
      <c r="B340" s="42" t="s">
        <v>322</v>
      </c>
      <c r="C340" s="47"/>
      <c r="D340" s="49"/>
      <c r="E340" s="49"/>
      <c r="F340" s="42" t="s">
        <v>130</v>
      </c>
      <c r="G340" s="42" t="s">
        <v>136</v>
      </c>
      <c r="H340" s="47"/>
      <c r="I340" s="47"/>
      <c r="J340" s="49"/>
      <c r="K340" s="49"/>
      <c r="L340" s="49" t="str">
        <f ca="1">IFERROR(__xludf.DUMMYFUNCTION("QUERY('Volunteer Survey'!B349)"),"Qing Zhang")</f>
        <v>Qing Zhang</v>
      </c>
      <c r="M340" s="49" t="str">
        <f ca="1">IFERROR(__xludf.DUMMYFUNCTION("QUERY('Volunteer Survey'!E349)"),"qz1seattle@yahoo.com")</f>
        <v>qz1seattle@yahoo.com</v>
      </c>
      <c r="N340" s="49" t="str">
        <f ca="1">IFERROR(__xludf.DUMMYFUNCTION("QUERY('Volunteer Survey'!F349)"),"Scientific Researcher")</f>
        <v>Scientific Researcher</v>
      </c>
      <c r="O340" s="42" t="str">
        <f ca="1">IFERROR(__xludf.DUMMYFUNCTION("QUERY('Volunteer Survey'!H349)"),"Comprehensive")</f>
        <v>Comprehensive</v>
      </c>
      <c r="P340" s="49" t="str">
        <f ca="1">IFERROR(__xludf.DUMMYFUNCTION("QUERY('Volunteer Survey'!I349)"),"Somatic Cancer")</f>
        <v>Somatic Cancer</v>
      </c>
      <c r="Q340" s="54" t="str">
        <f ca="1">IFERROR(__xludf.DUMMYFUNCTION("QUERY('Volunteer Survey'!J349)"),"Variant Pathogenicity")</f>
        <v>Variant Pathogenicity</v>
      </c>
      <c r="R340" s="49" t="str">
        <f ca="1">IFERROR(__xludf.DUMMYFUNCTION("QUERY('Volunteer Survey'!K349)"),"Clinical Actionability")</f>
        <v>Clinical Actionability</v>
      </c>
      <c r="S340" s="49" t="str">
        <f ca="1">IFERROR(__xludf.DUMMYFUNCTION("QUERY('Volunteer Survey'!L349)"),"")</f>
        <v/>
      </c>
      <c r="T340" s="49" t="str">
        <f ca="1">IFERROR(__xludf.DUMMYFUNCTION("QUERY('Volunteer Survey'!M349)"),"")</f>
        <v/>
      </c>
      <c r="U340" s="58" t="str">
        <f ca="1">IFERROR(__xludf.DUMMYFUNCTION("QUERY('Volunteer Survey'!N349)"),"")</f>
        <v/>
      </c>
      <c r="V340" s="49" t="str">
        <f ca="1">IFERROR(__xludf.DUMMYFUNCTION("QUERY('Volunteer Survey'!O349)"),"Possibly")</f>
        <v>Possibly</v>
      </c>
      <c r="W340" s="60" t="str">
        <f ca="1">IFERROR(__xludf.DUMMYFUNCTION("QUERY('Volunteer Survey'!P349)"),"Somatic Cancer Working Group")</f>
        <v>Somatic Cancer Working Group</v>
      </c>
      <c r="X340" s="58" t="str">
        <f ca="1">IFERROR(__xludf.DUMMYFUNCTION("QUERY('Volunteer Survey'!R349)"),"Maybe -- please contact me with other options, and I will decide based on what is available")</f>
        <v>Maybe -- please contact me with other options, and I will decide based on what is available</v>
      </c>
      <c r="Y340" s="47"/>
      <c r="Z340" s="49"/>
      <c r="AA340" s="49"/>
      <c r="AB340" s="49"/>
      <c r="AC340" s="49"/>
      <c r="AD340" s="49"/>
      <c r="AE340" s="49"/>
      <c r="AF340" s="49"/>
      <c r="AG340" s="49"/>
      <c r="AH340" s="49"/>
      <c r="AI340" s="49"/>
      <c r="AJ340" s="49"/>
      <c r="AK340" s="49"/>
      <c r="AL340" s="49"/>
      <c r="AM340" s="49"/>
      <c r="AN340" s="49"/>
      <c r="AO340" s="49"/>
    </row>
    <row r="341" spans="1:41" ht="14">
      <c r="A341" s="44">
        <f ca="1">IFERROR(__xludf.DUMMYFUNCTION("QUERY('Volunteer Survey'!A350)"),43775.9284314236)</f>
        <v>43775.928431423599</v>
      </c>
      <c r="B341" s="42" t="s">
        <v>322</v>
      </c>
      <c r="C341" s="47"/>
      <c r="D341" s="49"/>
      <c r="E341" s="49"/>
      <c r="F341" s="42" t="s">
        <v>130</v>
      </c>
      <c r="G341" s="42" t="s">
        <v>313</v>
      </c>
      <c r="H341" s="47"/>
      <c r="I341" s="47"/>
      <c r="J341" s="49"/>
      <c r="K341" s="49"/>
      <c r="L341" s="49" t="str">
        <f ca="1">IFERROR(__xludf.DUMMYFUNCTION("QUERY('Volunteer Survey'!B350)"),"Cassandra Barrett")</f>
        <v>Cassandra Barrett</v>
      </c>
      <c r="M341" s="49" t="str">
        <f ca="1">IFERROR(__xludf.DUMMYFUNCTION("QUERY('Volunteer Survey'!E350)"),"cas9bar@gmail.com")</f>
        <v>cas9bar@gmail.com</v>
      </c>
      <c r="N341" s="49" t="str">
        <f ca="1">IFERROR(__xludf.DUMMYFUNCTION("QUERY('Volunteer Survey'!F350)"),"PhD in genetic engineering; currently in a genetic counseling graduate program")</f>
        <v>PhD in genetic engineering; currently in a genetic counseling graduate program</v>
      </c>
      <c r="O341" s="42" t="str">
        <f ca="1">IFERROR(__xludf.DUMMYFUNCTION("QUERY('Volunteer Survey'!H350)"),"Comprehensive")</f>
        <v>Comprehensive</v>
      </c>
      <c r="P341" s="49" t="str">
        <f ca="1">IFERROR(__xludf.DUMMYFUNCTION("QUERY('Volunteer Survey'!I350)"),"Dosage Sensitivity")</f>
        <v>Dosage Sensitivity</v>
      </c>
      <c r="Q341" s="54" t="str">
        <f ca="1">IFERROR(__xludf.DUMMYFUNCTION("QUERY('Volunteer Survey'!J350)"),"Clinical Actionability")</f>
        <v>Clinical Actionability</v>
      </c>
      <c r="R341" s="49" t="str">
        <f ca="1">IFERROR(__xludf.DUMMYFUNCTION("QUERY('Volunteer Survey'!K350)"),"Gene-Disease Validity")</f>
        <v>Gene-Disease Validity</v>
      </c>
      <c r="S341" s="49" t="str">
        <f ca="1">IFERROR(__xludf.DUMMYFUNCTION("QUERY('Volunteer Survey'!L350)"),"Variant Pathogenicity")</f>
        <v>Variant Pathogenicity</v>
      </c>
      <c r="T341" s="49" t="str">
        <f ca="1">IFERROR(__xludf.DUMMYFUNCTION("QUERY('Volunteer Survey'!M350)"),"Somatic Cancer")</f>
        <v>Somatic Cancer</v>
      </c>
      <c r="U341" s="58" t="str">
        <f ca="1">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49" t="str">
        <f ca="1">IFERROR(__xludf.DUMMYFUNCTION("QUERY('Volunteer Survey'!O350)"),"Possibly")</f>
        <v>Possibly</v>
      </c>
      <c r="W341" s="60" t="str">
        <f ca="1">IFERROR(__xludf.DUMMYFUNCTION("QUERY('Volunteer Survey'!P350)"),"")</f>
        <v/>
      </c>
      <c r="X341" s="58" t="str">
        <f ca="1">IFERROR(__xludf.DUMMYFUNCTION("QUERY('Volunteer Survey'!R350)"),"")</f>
        <v/>
      </c>
      <c r="Y341" s="47"/>
      <c r="Z341" s="49"/>
      <c r="AA341" s="49"/>
      <c r="AB341" s="49"/>
      <c r="AC341" s="49"/>
      <c r="AD341" s="49"/>
      <c r="AE341" s="49"/>
      <c r="AF341" s="49"/>
      <c r="AG341" s="49"/>
      <c r="AH341" s="49"/>
      <c r="AI341" s="49"/>
      <c r="AJ341" s="49"/>
      <c r="AK341" s="49"/>
      <c r="AL341" s="49"/>
      <c r="AM341" s="49"/>
      <c r="AN341" s="49"/>
      <c r="AO341" s="49"/>
    </row>
    <row r="342" spans="1:41" ht="14">
      <c r="A342" s="44">
        <f ca="1">IFERROR(__xludf.DUMMYFUNCTION("QUERY('Volunteer Survey'!A351)"),43776.037574699)</f>
        <v>43776.037574699003</v>
      </c>
      <c r="B342" s="42" t="s">
        <v>322</v>
      </c>
      <c r="C342" s="47"/>
      <c r="D342" s="49"/>
      <c r="E342" s="49"/>
      <c r="F342" s="42" t="s">
        <v>130</v>
      </c>
      <c r="G342" s="42" t="s">
        <v>313</v>
      </c>
      <c r="H342" s="47"/>
      <c r="I342" s="47"/>
      <c r="J342" s="49"/>
      <c r="K342" s="49"/>
      <c r="L342" s="49" t="str">
        <f ca="1">IFERROR(__xludf.DUMMYFUNCTION("QUERY('Volunteer Survey'!B351)"),"Punithavathi Sundaramurthy")</f>
        <v>Punithavathi Sundaramurthy</v>
      </c>
      <c r="M342" s="49" t="str">
        <f ca="1">IFERROR(__xludf.DUMMYFUNCTION("QUERY('Volunteer Survey'!E351)"),"PunitSundar95@gmail.com")</f>
        <v>PunitSundar95@gmail.com</v>
      </c>
      <c r="N342" s="49" t="str">
        <f ca="1">IFERROR(__xludf.DUMMYFUNCTION("QUERY('Volunteer Survey'!F351)"),"Graduate Student")</f>
        <v>Graduate Student</v>
      </c>
      <c r="O342" s="42" t="str">
        <f ca="1">IFERROR(__xludf.DUMMYFUNCTION("QUERY('Volunteer Survey'!H351)"),"Baseline")</f>
        <v>Baseline</v>
      </c>
      <c r="P342" s="49" t="str">
        <f ca="1">IFERROR(__xludf.DUMMYFUNCTION("QUERY('Volunteer Survey'!I351)"),"")</f>
        <v/>
      </c>
      <c r="Q342" s="54" t="str">
        <f ca="1">IFERROR(__xludf.DUMMYFUNCTION("QUERY('Volunteer Survey'!J351)"),"")</f>
        <v/>
      </c>
      <c r="R342" s="49" t="str">
        <f ca="1">IFERROR(__xludf.DUMMYFUNCTION("QUERY('Volunteer Survey'!K351)"),"")</f>
        <v/>
      </c>
      <c r="S342" s="49" t="str">
        <f ca="1">IFERROR(__xludf.DUMMYFUNCTION("QUERY('Volunteer Survey'!L351)"),"")</f>
        <v/>
      </c>
      <c r="T342" s="49" t="str">
        <f ca="1">IFERROR(__xludf.DUMMYFUNCTION("QUERY('Volunteer Survey'!M351)"),"")</f>
        <v/>
      </c>
      <c r="U342" s="58" t="str">
        <f ca="1">IFERROR(__xludf.DUMMYFUNCTION("QUERY('Volunteer Survey'!N351)"),"")</f>
        <v/>
      </c>
      <c r="V342" s="49" t="str">
        <f ca="1">IFERROR(__xludf.DUMMYFUNCTION("QUERY('Volunteer Survey'!O351)"),"Yes")</f>
        <v>Yes</v>
      </c>
      <c r="W342" s="60" t="str">
        <f ca="1">IFERROR(__xludf.DUMMYFUNCTION("QUERY('Volunteer Survey'!P351)"),"")</f>
        <v/>
      </c>
      <c r="X342" s="58" t="str">
        <f ca="1">IFERROR(__xludf.DUMMYFUNCTION("QUERY('Volunteer Survey'!R351)"),"Yes- I am willing to volunteer with any available ClinGen group")</f>
        <v>Yes- I am willing to volunteer with any available ClinGen group</v>
      </c>
      <c r="Y342" s="47"/>
      <c r="Z342" s="49"/>
      <c r="AA342" s="49"/>
      <c r="AB342" s="49"/>
      <c r="AC342" s="49"/>
      <c r="AD342" s="49"/>
      <c r="AE342" s="49"/>
      <c r="AF342" s="49"/>
      <c r="AG342" s="49"/>
      <c r="AH342" s="49"/>
      <c r="AI342" s="49"/>
      <c r="AJ342" s="49"/>
      <c r="AK342" s="49"/>
      <c r="AL342" s="49"/>
      <c r="AM342" s="49"/>
      <c r="AN342" s="49"/>
      <c r="AO342" s="49"/>
    </row>
    <row r="343" spans="1:41" ht="14">
      <c r="A343" s="44">
        <f ca="1">IFERROR(__xludf.DUMMYFUNCTION("QUERY('Volunteer Survey'!A352)"),43776.5550876736)</f>
        <v>43776.555087673602</v>
      </c>
      <c r="B343" s="42" t="s">
        <v>322</v>
      </c>
      <c r="C343" s="47"/>
      <c r="D343" s="49"/>
      <c r="E343" s="49"/>
      <c r="F343" s="42" t="s">
        <v>130</v>
      </c>
      <c r="G343" s="42" t="s">
        <v>313</v>
      </c>
      <c r="H343" s="47"/>
      <c r="I343" s="47"/>
      <c r="J343" s="49"/>
      <c r="K343" s="49"/>
      <c r="L343" s="49" t="str">
        <f ca="1">IFERROR(__xludf.DUMMYFUNCTION("QUERY('Volunteer Survey'!B352)"),"Madhulatha Pantrangi")</f>
        <v>Madhulatha Pantrangi</v>
      </c>
      <c r="M343" s="49" t="str">
        <f ca="1">IFERROR(__xludf.DUMMYFUNCTION("QUERY('Volunteer Survey'!E352)"),"madhu.pantrangi@preventiongenetics.com")</f>
        <v>madhu.pantrangi@preventiongenetics.com</v>
      </c>
      <c r="N343" s="49" t="str">
        <f ca="1">IFERROR(__xludf.DUMMYFUNCTION("QUERY('Volunteer Survey'!F352)"),"Clinical laboratory geneticist")</f>
        <v>Clinical laboratory geneticist</v>
      </c>
      <c r="O343" s="42" t="str">
        <f ca="1">IFERROR(__xludf.DUMMYFUNCTION("QUERY('Volunteer Survey'!H352)"),"Baseline")</f>
        <v>Baseline</v>
      </c>
      <c r="P343" s="49" t="str">
        <f ca="1">IFERROR(__xludf.DUMMYFUNCTION("QUERY('Volunteer Survey'!I352)"),"")</f>
        <v/>
      </c>
      <c r="Q343" s="54" t="str">
        <f ca="1">IFERROR(__xludf.DUMMYFUNCTION("QUERY('Volunteer Survey'!J352)"),"")</f>
        <v/>
      </c>
      <c r="R343" s="49" t="str">
        <f ca="1">IFERROR(__xludf.DUMMYFUNCTION("QUERY('Volunteer Survey'!K352)"),"")</f>
        <v/>
      </c>
      <c r="S343" s="49" t="str">
        <f ca="1">IFERROR(__xludf.DUMMYFUNCTION("QUERY('Volunteer Survey'!L352)"),"")</f>
        <v/>
      </c>
      <c r="T343" s="49" t="str">
        <f ca="1">IFERROR(__xludf.DUMMYFUNCTION("QUERY('Volunteer Survey'!M352)"),"")</f>
        <v/>
      </c>
      <c r="U343" s="58" t="str">
        <f ca="1">IFERROR(__xludf.DUMMYFUNCTION("QUERY('Volunteer Survey'!N352)"),"")</f>
        <v/>
      </c>
      <c r="V343" s="49" t="str">
        <f ca="1">IFERROR(__xludf.DUMMYFUNCTION("QUERY('Volunteer Survey'!O352)"),"Possibly")</f>
        <v>Possibly</v>
      </c>
      <c r="W343" s="60" t="str">
        <f ca="1">IFERROR(__xludf.DUMMYFUNCTION("QUERY('Volunteer Survey'!P352)"),"Peroxisomal Disorders ")</f>
        <v xml:space="preserve">Peroxisomal Disorders </v>
      </c>
      <c r="X343" s="58" t="str">
        <f ca="1">IFERROR(__xludf.DUMMYFUNCTION("QUERY('Volunteer Survey'!R352)"),"Maybe -- please contact me with other options, and I will decide based on what is available")</f>
        <v>Maybe -- please contact me with other options, and I will decide based on what is available</v>
      </c>
      <c r="Y343" s="47"/>
      <c r="Z343" s="49"/>
      <c r="AA343" s="49"/>
      <c r="AB343" s="49"/>
      <c r="AC343" s="49"/>
      <c r="AD343" s="49"/>
      <c r="AE343" s="49"/>
      <c r="AF343" s="49"/>
      <c r="AG343" s="49"/>
      <c r="AH343" s="49"/>
      <c r="AI343" s="49"/>
      <c r="AJ343" s="49"/>
      <c r="AK343" s="49"/>
      <c r="AL343" s="49"/>
      <c r="AM343" s="49"/>
      <c r="AN343" s="49"/>
      <c r="AO343" s="49"/>
    </row>
    <row r="344" spans="1:41" ht="14">
      <c r="A344" s="44">
        <f ca="1">IFERROR(__xludf.DUMMYFUNCTION("QUERY('Volunteer Survey'!A353)"),43777.2171097801)</f>
        <v>43777.217109780097</v>
      </c>
      <c r="B344" s="42" t="s">
        <v>108</v>
      </c>
      <c r="C344" s="73">
        <v>43819</v>
      </c>
      <c r="D344" s="49"/>
      <c r="E344" s="49"/>
      <c r="F344" s="42" t="s">
        <v>130</v>
      </c>
      <c r="G344" s="42" t="s">
        <v>251</v>
      </c>
      <c r="H344" s="47"/>
      <c r="I344" s="47"/>
      <c r="J344" s="49"/>
      <c r="K344" s="49"/>
      <c r="L344" s="49" t="str">
        <f ca="1">IFERROR(__xludf.DUMMYFUNCTION("QUERY('Volunteer Survey'!B353)"),"Celeste Bento")</f>
        <v>Celeste Bento</v>
      </c>
      <c r="M344" s="49" t="str">
        <f ca="1">IFERROR(__xludf.DUMMYFUNCTION("QUERY('Volunteer Survey'!E353)"),"celeste.bento@chuc.min-saude.pt")</f>
        <v>celeste.bento@chuc.min-saude.pt</v>
      </c>
      <c r="N344" s="49" t="str">
        <f ca="1">IFERROR(__xludf.DUMMYFUNCTION("QUERY('Volunteer Survey'!F353)"),"Clinical laboratory geneticist")</f>
        <v>Clinical laboratory geneticist</v>
      </c>
      <c r="O344" s="42" t="str">
        <f ca="1">IFERROR(__xludf.DUMMYFUNCTION("QUERY('Volunteer Survey'!H353)"),"Comprehensive")</f>
        <v>Comprehensive</v>
      </c>
      <c r="P344" s="49" t="str">
        <f ca="1">IFERROR(__xludf.DUMMYFUNCTION("QUERY('Volunteer Survey'!I353)"),"Variant Pathogenicity")</f>
        <v>Variant Pathogenicity</v>
      </c>
      <c r="Q344" s="54" t="str">
        <f ca="1">IFERROR(__xludf.DUMMYFUNCTION("QUERY('Volunteer Survey'!J353)"),"Gene-Disease Validity")</f>
        <v>Gene-Disease Validity</v>
      </c>
      <c r="R344" s="49" t="str">
        <f ca="1">IFERROR(__xludf.DUMMYFUNCTION("QUERY('Volunteer Survey'!K353)"),"Clinical Actionability")</f>
        <v>Clinical Actionability</v>
      </c>
      <c r="S344" s="49" t="str">
        <f ca="1">IFERROR(__xludf.DUMMYFUNCTION("QUERY('Volunteer Survey'!L353)"),"Dosage Sensitivity")</f>
        <v>Dosage Sensitivity</v>
      </c>
      <c r="T344" s="49" t="str">
        <f ca="1">IFERROR(__xludf.DUMMYFUNCTION("QUERY('Volunteer Survey'!M353)"),"Somatic Cancer")</f>
        <v>Somatic Cancer</v>
      </c>
      <c r="U344" s="58" t="str">
        <f ca="1">IFERROR(__xludf.DUMMYFUNCTION("QUERY('Volunteer Survey'!N353)"),"I need to apply the ACMG rules in my everyday work ")</f>
        <v xml:space="preserve">I need to apply the ACMG rules in my everyday work </v>
      </c>
      <c r="V344" s="49" t="str">
        <f ca="1">IFERROR(__xludf.DUMMYFUNCTION("QUERY('Volunteer Survey'!O353)"),"Possibly")</f>
        <v>Possibly</v>
      </c>
      <c r="W344" s="60" t="str">
        <f ca="1">IFERROR(__xludf.DUMMYFUNCTION("QUERY('Volunteer Survey'!P353)"),"I'm in the Core Task Team of ClinGen Haemoglobinopathy EP")</f>
        <v>I'm in the Core Task Team of ClinGen Haemoglobinopathy EP</v>
      </c>
      <c r="X344" s="58" t="str">
        <f ca="1">IFERROR(__xludf.DUMMYFUNCTION("QUERY('Volunteer Survey'!R353)"),"No - I am only interested in the group(s) I previously indicated")</f>
        <v>No - I am only interested in the group(s) I previously indicated</v>
      </c>
      <c r="Y344" s="47"/>
      <c r="Z344" s="49"/>
      <c r="AA344" s="49"/>
      <c r="AB344" s="49"/>
      <c r="AC344" s="49"/>
      <c r="AD344" s="49"/>
      <c r="AE344" s="49"/>
      <c r="AF344" s="49"/>
      <c r="AG344" s="49"/>
      <c r="AH344" s="49"/>
      <c r="AI344" s="49"/>
      <c r="AJ344" s="49"/>
      <c r="AK344" s="49"/>
      <c r="AL344" s="49"/>
      <c r="AM344" s="49"/>
      <c r="AN344" s="49"/>
      <c r="AO344" s="49"/>
    </row>
    <row r="345" spans="1:41" ht="14">
      <c r="A345" s="44">
        <f ca="1">IFERROR(__xludf.DUMMYFUNCTION("QUERY('Volunteer Survey'!A354)"),43777.5378215509)</f>
        <v>43777.537821550897</v>
      </c>
      <c r="B345" s="42" t="s">
        <v>322</v>
      </c>
      <c r="C345" s="47"/>
      <c r="D345" s="49"/>
      <c r="E345" s="49"/>
      <c r="F345" s="42" t="s">
        <v>130</v>
      </c>
      <c r="G345" s="42" t="s">
        <v>136</v>
      </c>
      <c r="H345" s="47"/>
      <c r="I345" s="47"/>
      <c r="J345" s="49"/>
      <c r="K345" s="49"/>
      <c r="L345" s="49" t="str">
        <f ca="1">IFERROR(__xludf.DUMMYFUNCTION("QUERY('Volunteer Survey'!B354)"),"Gokce Toruner")</f>
        <v>Gokce Toruner</v>
      </c>
      <c r="M345" s="49" t="str">
        <f ca="1">IFERROR(__xludf.DUMMYFUNCTION("QUERY('Volunteer Survey'!E354)"),"gatoruner@mdanderson.org")</f>
        <v>gatoruner@mdanderson.org</v>
      </c>
      <c r="N345" s="49" t="str">
        <f ca="1">IFERROR(__xludf.DUMMYFUNCTION("QUERY('Volunteer Survey'!F354)"),"Clinical laboratory geneticist")</f>
        <v>Clinical laboratory geneticist</v>
      </c>
      <c r="O345" s="42" t="str">
        <f ca="1">IFERROR(__xludf.DUMMYFUNCTION("QUERY('Volunteer Survey'!H354)"),"Comprehensive")</f>
        <v>Comprehensive</v>
      </c>
      <c r="P345" s="49" t="str">
        <f ca="1">IFERROR(__xludf.DUMMYFUNCTION("QUERY('Volunteer Survey'!I354)"),"Somatic Cancer")</f>
        <v>Somatic Cancer</v>
      </c>
      <c r="Q345" s="54" t="str">
        <f ca="1">IFERROR(__xludf.DUMMYFUNCTION("QUERY('Volunteer Survey'!J354)"),"")</f>
        <v/>
      </c>
      <c r="R345" s="49" t="str">
        <f ca="1">IFERROR(__xludf.DUMMYFUNCTION("QUERY('Volunteer Survey'!K354)"),"")</f>
        <v/>
      </c>
      <c r="S345" s="49" t="str">
        <f ca="1">IFERROR(__xludf.DUMMYFUNCTION("QUERY('Volunteer Survey'!L354)"),"")</f>
        <v/>
      </c>
      <c r="T345" s="49" t="str">
        <f ca="1">IFERROR(__xludf.DUMMYFUNCTION("QUERY('Volunteer Survey'!M354)"),"")</f>
        <v/>
      </c>
      <c r="U345" s="58" t="str">
        <f ca="1">IFERROR(__xludf.DUMMYFUNCTION("QUERY('Volunteer Survey'!N354)"),"")</f>
        <v/>
      </c>
      <c r="V345" s="49" t="str">
        <f ca="1">IFERROR(__xludf.DUMMYFUNCTION("QUERY('Volunteer Survey'!O354)"),"No")</f>
        <v>No</v>
      </c>
      <c r="W345" s="60" t="str">
        <f ca="1">IFERROR(__xludf.DUMMYFUNCTION("QUERY('Volunteer Survey'!P354)"),"Somatic Cancer")</f>
        <v>Somatic Cancer</v>
      </c>
      <c r="X345" s="58" t="str">
        <f ca="1">IFERROR(__xludf.DUMMYFUNCTION("QUERY('Volunteer Survey'!R354)"),"Maybe -- please contact me with other options, and I will decide based on what is available")</f>
        <v>Maybe -- please contact me with other options, and I will decide based on what is available</v>
      </c>
      <c r="Y345" s="47"/>
      <c r="Z345" s="49"/>
      <c r="AA345" s="49"/>
      <c r="AB345" s="49"/>
      <c r="AC345" s="49"/>
      <c r="AD345" s="49"/>
      <c r="AE345" s="49"/>
      <c r="AF345" s="49"/>
      <c r="AG345" s="49"/>
      <c r="AH345" s="49"/>
      <c r="AI345" s="49"/>
      <c r="AJ345" s="49"/>
      <c r="AK345" s="49"/>
      <c r="AL345" s="49"/>
      <c r="AM345" s="49"/>
      <c r="AN345" s="49"/>
      <c r="AO345" s="49"/>
    </row>
    <row r="346" spans="1:41" ht="14">
      <c r="A346" s="44">
        <f ca="1">IFERROR(__xludf.DUMMYFUNCTION("QUERY('Volunteer Survey'!A355)"),43777.9474189467)</f>
        <v>43777.9474189467</v>
      </c>
      <c r="B346" s="42" t="s">
        <v>322</v>
      </c>
      <c r="C346" s="47"/>
      <c r="D346" s="49"/>
      <c r="E346" s="49"/>
      <c r="F346" s="42" t="s">
        <v>130</v>
      </c>
      <c r="G346" s="42" t="s">
        <v>313</v>
      </c>
      <c r="H346" s="47"/>
      <c r="I346" s="47"/>
      <c r="J346" s="49"/>
      <c r="K346" s="49"/>
      <c r="L346" s="49" t="str">
        <f ca="1">IFERROR(__xludf.DUMMYFUNCTION("QUERY('Volunteer Survey'!B355)"),"rekha aaron")</f>
        <v>rekha aaron</v>
      </c>
      <c r="M346" s="49" t="str">
        <f ca="1">IFERROR(__xludf.DUMMYFUNCTION("QUERY('Volunteer Survey'!E355)"),"rekha.a@cmcvellore.ac.in")</f>
        <v>rekha.a@cmcvellore.ac.in</v>
      </c>
      <c r="N346" s="49" t="str">
        <f ca="1">IFERROR(__xludf.DUMMYFUNCTION("QUERY('Volunteer Survey'!F355)"),"Clinical laboratory geneticist")</f>
        <v>Clinical laboratory geneticist</v>
      </c>
      <c r="O346" s="42" t="str">
        <f ca="1">IFERROR(__xludf.DUMMYFUNCTION("QUERY('Volunteer Survey'!H355)"),"Baseline")</f>
        <v>Baseline</v>
      </c>
      <c r="P346" s="49" t="str">
        <f ca="1">IFERROR(__xludf.DUMMYFUNCTION("QUERY('Volunteer Survey'!I355)"),"Variant Pathogenicity")</f>
        <v>Variant Pathogenicity</v>
      </c>
      <c r="Q346" s="54" t="str">
        <f ca="1">IFERROR(__xludf.DUMMYFUNCTION("QUERY('Volunteer Survey'!J355)"),"Gene-Disease Validity")</f>
        <v>Gene-Disease Validity</v>
      </c>
      <c r="R346" s="49" t="str">
        <f ca="1">IFERROR(__xludf.DUMMYFUNCTION("QUERY('Volunteer Survey'!K355)"),"Dosage Sensitivity")</f>
        <v>Dosage Sensitivity</v>
      </c>
      <c r="S346" s="49" t="str">
        <f ca="1">IFERROR(__xludf.DUMMYFUNCTION("QUERY('Volunteer Survey'!L355)"),"Clinical Actionability")</f>
        <v>Clinical Actionability</v>
      </c>
      <c r="T346" s="49" t="str">
        <f ca="1">IFERROR(__xludf.DUMMYFUNCTION("QUERY('Volunteer Survey'!M355)"),"Somatic Cancer")</f>
        <v>Somatic Cancer</v>
      </c>
      <c r="U346" s="58" t="str">
        <f ca="1">IFERROR(__xludf.DUMMYFUNCTION("QUERY('Volunteer Survey'!N355)"),"My work regularly involved in variant analysis, interpretation &amp; reporting ")</f>
        <v xml:space="preserve">My work regularly involved in variant analysis, interpretation &amp; reporting </v>
      </c>
      <c r="V346" s="49" t="str">
        <f ca="1">IFERROR(__xludf.DUMMYFUNCTION("QUERY('Volunteer Survey'!O355)"),"Possibly")</f>
        <v>Possibly</v>
      </c>
      <c r="W346" s="60" t="str">
        <f ca="1">IFERROR(__xludf.DUMMYFUNCTION("QUERY('Volunteer Survey'!P355)"),"mitochondrial ,neurodevelopmental disorders,myopathies")</f>
        <v>mitochondrial ,neurodevelopmental disorders,myopathies</v>
      </c>
      <c r="X346" s="58" t="str">
        <f ca="1">IFERROR(__xludf.DUMMYFUNCTION("QUERY('Volunteer Survey'!R355)"),"Maybe -- please contact me with other options, and I will decide based on what is available")</f>
        <v>Maybe -- please contact me with other options, and I will decide based on what is available</v>
      </c>
      <c r="Y346" s="47"/>
      <c r="Z346" s="49"/>
      <c r="AA346" s="49"/>
      <c r="AB346" s="49"/>
      <c r="AC346" s="49"/>
      <c r="AD346" s="49"/>
      <c r="AE346" s="49"/>
      <c r="AF346" s="49"/>
      <c r="AG346" s="49"/>
      <c r="AH346" s="49"/>
      <c r="AI346" s="49"/>
      <c r="AJ346" s="49"/>
      <c r="AK346" s="49"/>
      <c r="AL346" s="49"/>
      <c r="AM346" s="49"/>
      <c r="AN346" s="49"/>
      <c r="AO346" s="49"/>
    </row>
    <row r="347" spans="1:41" ht="14">
      <c r="A347" s="44">
        <f ca="1">IFERROR(__xludf.DUMMYFUNCTION("QUERY('Volunteer Survey'!A356)"),43778.8432091898)</f>
        <v>43778.843209189799</v>
      </c>
      <c r="B347" s="42" t="s">
        <v>160</v>
      </c>
      <c r="C347" s="84">
        <v>44160</v>
      </c>
      <c r="D347" s="59">
        <v>43859</v>
      </c>
      <c r="E347" s="42" t="s">
        <v>117</v>
      </c>
      <c r="F347" s="42" t="s">
        <v>130</v>
      </c>
      <c r="G347" s="42" t="s">
        <v>19</v>
      </c>
      <c r="H347" s="47"/>
      <c r="I347" s="47"/>
      <c r="J347" s="49"/>
      <c r="K347" s="49"/>
      <c r="L347" s="49" t="str">
        <f ca="1">IFERROR(__xludf.DUMMYFUNCTION("QUERY('Volunteer Survey'!B356)"),"Larissa Waldman")</f>
        <v>Larissa Waldman</v>
      </c>
      <c r="M347" s="49" t="str">
        <f ca="1">IFERROR(__xludf.DUMMYFUNCTION("QUERY('Volunteer Survey'!E356)"),"larissa.waldman@gmail.com")</f>
        <v>larissa.waldman@gmail.com</v>
      </c>
      <c r="N347" s="49" t="str">
        <f ca="1">IFERROR(__xludf.DUMMYFUNCTION("QUERY('Volunteer Survey'!F356)"),"Genetic counselor")</f>
        <v>Genetic counselor</v>
      </c>
      <c r="O347" s="42" t="str">
        <f ca="1">IFERROR(__xludf.DUMMYFUNCTION("QUERY('Volunteer Survey'!H356)"),"Comprehensive")</f>
        <v>Comprehensive</v>
      </c>
      <c r="P347" s="49" t="str">
        <f ca="1">IFERROR(__xludf.DUMMYFUNCTION("QUERY('Volunteer Survey'!I356)"),"Clinical Actionability")</f>
        <v>Clinical Actionability</v>
      </c>
      <c r="Q347" s="54" t="str">
        <f ca="1">IFERROR(__xludf.DUMMYFUNCTION("QUERY('Volunteer Survey'!J356)"),"Gene-Disease Validity")</f>
        <v>Gene-Disease Validity</v>
      </c>
      <c r="R347" s="49" t="str">
        <f ca="1">IFERROR(__xludf.DUMMYFUNCTION("QUERY('Volunteer Survey'!K356)"),"Somatic Cancer")</f>
        <v>Somatic Cancer</v>
      </c>
      <c r="S347" s="49" t="str">
        <f ca="1">IFERROR(__xludf.DUMMYFUNCTION("QUERY('Volunteer Survey'!L356)"),"Variant Pathogenicity")</f>
        <v>Variant Pathogenicity</v>
      </c>
      <c r="T347" s="49" t="str">
        <f ca="1">IFERROR(__xludf.DUMMYFUNCTION("QUERY('Volunteer Survey'!M356)"),"Dosage Sensitivity")</f>
        <v>Dosage Sensitivity</v>
      </c>
      <c r="U347" s="58" t="str">
        <f ca="1">IFERROR(__xludf.DUMMYFUNCTION("QUERY('Volunteer Survey'!N356)"),"")</f>
        <v/>
      </c>
      <c r="V347" s="49" t="str">
        <f ca="1">IFERROR(__xludf.DUMMYFUNCTION("QUERY('Volunteer Survey'!O356)"),"No")</f>
        <v>No</v>
      </c>
      <c r="W347" s="60" t="str">
        <f ca="1">IFERROR(__xludf.DUMMYFUNCTION("QUERY('Volunteer Survey'!P356)"),"Hereditary cancer, myeloid malignancy, pediatric somatic")</f>
        <v>Hereditary cancer, myeloid malignancy, pediatric somatic</v>
      </c>
      <c r="X347" s="58" t="str">
        <f ca="1">IFERROR(__xludf.DUMMYFUNCTION("QUERY('Volunteer Survey'!R356)"),"Maybe -- please contact me with other options, and I will decide based on what is available")</f>
        <v>Maybe -- please contact me with other options, and I will decide based on what is available</v>
      </c>
      <c r="Y347" s="47"/>
      <c r="Z347" s="49"/>
      <c r="AA347" s="49"/>
      <c r="AB347" s="49"/>
      <c r="AC347" s="49"/>
      <c r="AD347" s="49"/>
      <c r="AE347" s="49"/>
      <c r="AF347" s="49"/>
      <c r="AG347" s="49"/>
      <c r="AH347" s="49"/>
      <c r="AI347" s="49"/>
      <c r="AJ347" s="49"/>
      <c r="AK347" s="49"/>
      <c r="AL347" s="49"/>
      <c r="AM347" s="49"/>
      <c r="AN347" s="49"/>
      <c r="AO347" s="49"/>
    </row>
    <row r="348" spans="1:41" ht="14">
      <c r="A348" s="44">
        <f ca="1">IFERROR(__xludf.DUMMYFUNCTION("QUERY('Volunteer Survey'!A357)"),43779.014280324)</f>
        <v>43779.014280324001</v>
      </c>
      <c r="B348" s="42" t="s">
        <v>108</v>
      </c>
      <c r="C348" s="73">
        <v>43819</v>
      </c>
      <c r="D348" s="49"/>
      <c r="E348" s="49"/>
      <c r="F348" s="42" t="s">
        <v>130</v>
      </c>
      <c r="G348" s="42" t="s">
        <v>251</v>
      </c>
      <c r="H348" s="47"/>
      <c r="I348" s="47"/>
      <c r="J348" s="49"/>
      <c r="K348" s="49"/>
      <c r="L348" s="49" t="str">
        <f ca="1">IFERROR(__xludf.DUMMYFUNCTION("QUERY('Volunteer Survey'!B357)"),"Prasad Rao Kopparapu")</f>
        <v>Prasad Rao Kopparapu</v>
      </c>
      <c r="M348" s="49" t="str">
        <f ca="1">IFERROR(__xludf.DUMMYFUNCTION("QUERY('Volunteer Survey'!E357)"),"prasaad82@gmail.com")</f>
        <v>prasaad82@gmail.com</v>
      </c>
      <c r="N348" s="49" t="str">
        <f ca="1">IFERROR(__xludf.DUMMYFUNCTION("QUERY('Volunteer Survey'!F357)"),"Post Doc/Resident/Fellow (MD and/or PhD)")</f>
        <v>Post Doc/Resident/Fellow (MD and/or PhD)</v>
      </c>
      <c r="O348" s="42" t="str">
        <f ca="1">IFERROR(__xludf.DUMMYFUNCTION("QUERY('Volunteer Survey'!H357)"),"Comprehensive")</f>
        <v>Comprehensive</v>
      </c>
      <c r="P348" s="49" t="str">
        <f ca="1">IFERROR(__xludf.DUMMYFUNCTION("QUERY('Volunteer Survey'!I357)"),"Variant Pathogenicity")</f>
        <v>Variant Pathogenicity</v>
      </c>
      <c r="Q348" s="54" t="str">
        <f ca="1">IFERROR(__xludf.DUMMYFUNCTION("QUERY('Volunteer Survey'!J357)"),"Gene-Disease Validity")</f>
        <v>Gene-Disease Validity</v>
      </c>
      <c r="R348" s="49" t="str">
        <f ca="1">IFERROR(__xludf.DUMMYFUNCTION("QUERY('Volunteer Survey'!K357)"),"Somatic Cancer")</f>
        <v>Somatic Cancer</v>
      </c>
      <c r="S348" s="49" t="str">
        <f ca="1">IFERROR(__xludf.DUMMYFUNCTION("QUERY('Volunteer Survey'!L357)"),"Dosage Sensitivity")</f>
        <v>Dosage Sensitivity</v>
      </c>
      <c r="T348" s="49" t="str">
        <f ca="1">IFERROR(__xludf.DUMMYFUNCTION("QUERY('Volunteer Survey'!M357)"),"Clinical Actionability")</f>
        <v>Clinical Actionability</v>
      </c>
      <c r="U348" s="58" t="str">
        <f ca="1">IFERROR(__xludf.DUMMYFUNCTION("QUERY('Volunteer Survey'!N357)"),"")</f>
        <v/>
      </c>
      <c r="V348" s="49" t="str">
        <f ca="1">IFERROR(__xludf.DUMMYFUNCTION("QUERY('Volunteer Survey'!O357)"),"Possibly")</f>
        <v>Possibly</v>
      </c>
      <c r="W348" s="60" t="str">
        <f ca="1">IFERROR(__xludf.DUMMYFUNCTION("QUERY('Volunteer Survey'!P357)"),"Variant Curation Expert Panels-TP53*, Somatic Cancer Working Group-Pediatric,")</f>
        <v>Variant Curation Expert Panels-TP53*, Somatic Cancer Working Group-Pediatric,</v>
      </c>
      <c r="X348" s="58" t="str">
        <f ca="1">IFERROR(__xludf.DUMMYFUNCTION("QUERY('Volunteer Survey'!R357)"),"Yes- I am willing to volunteer with any available ClinGen group")</f>
        <v>Yes- I am willing to volunteer with any available ClinGen group</v>
      </c>
      <c r="Y348" s="47"/>
      <c r="Z348" s="49"/>
      <c r="AA348" s="49"/>
      <c r="AB348" s="49"/>
      <c r="AC348" s="49"/>
      <c r="AD348" s="49"/>
      <c r="AE348" s="49"/>
      <c r="AF348" s="49"/>
      <c r="AG348" s="49"/>
      <c r="AH348" s="49"/>
      <c r="AI348" s="49"/>
      <c r="AJ348" s="49"/>
      <c r="AK348" s="49"/>
      <c r="AL348" s="49"/>
      <c r="AM348" s="49"/>
      <c r="AN348" s="49"/>
      <c r="AO348" s="49"/>
    </row>
    <row r="349" spans="1:41" ht="14">
      <c r="A349" s="44">
        <f ca="1">IFERROR(__xludf.DUMMYFUNCTION("QUERY('Volunteer Survey'!A358)"),43780.1970004629)</f>
        <v>43780.197000462897</v>
      </c>
      <c r="B349" s="42" t="s">
        <v>108</v>
      </c>
      <c r="C349" s="73">
        <v>43819</v>
      </c>
      <c r="D349" s="49"/>
      <c r="E349" s="49"/>
      <c r="F349" s="42" t="s">
        <v>130</v>
      </c>
      <c r="G349" s="42" t="s">
        <v>122</v>
      </c>
      <c r="H349" s="47"/>
      <c r="I349" s="47"/>
      <c r="J349" s="49"/>
      <c r="K349" s="49"/>
      <c r="L349" s="49" t="str">
        <f ca="1">IFERROR(__xludf.DUMMYFUNCTION("QUERY('Volunteer Survey'!B358)"),"Mansour Zamanpoor")</f>
        <v>Mansour Zamanpoor</v>
      </c>
      <c r="M349" s="49" t="str">
        <f ca="1">IFERROR(__xludf.DUMMYFUNCTION("QUERY('Volunteer Survey'!E358)"),"mansour.zamanpoor@ccdhb.org.nz")</f>
        <v>mansour.zamanpoor@ccdhb.org.nz</v>
      </c>
      <c r="N349" s="49" t="str">
        <f ca="1">IFERROR(__xludf.DUMMYFUNCTION("QUERY('Volunteer Survey'!F358)"),"Clinical laboratory geneticist")</f>
        <v>Clinical laboratory geneticist</v>
      </c>
      <c r="O349" s="42" t="str">
        <f ca="1">IFERROR(__xludf.DUMMYFUNCTION("QUERY('Volunteer Survey'!H358)"),"Comprehensive")</f>
        <v>Comprehensive</v>
      </c>
      <c r="P349" s="49" t="str">
        <f ca="1">IFERROR(__xludf.DUMMYFUNCTION("QUERY('Volunteer Survey'!I358)"),"Gene-Disease Validity")</f>
        <v>Gene-Disease Validity</v>
      </c>
      <c r="Q349" s="54" t="str">
        <f ca="1">IFERROR(__xludf.DUMMYFUNCTION("QUERY('Volunteer Survey'!J358)"),"Variant Pathogenicity")</f>
        <v>Variant Pathogenicity</v>
      </c>
      <c r="R349" s="49" t="str">
        <f ca="1">IFERROR(__xludf.DUMMYFUNCTION("QUERY('Volunteer Survey'!K358)"),"Somatic Cancer")</f>
        <v>Somatic Cancer</v>
      </c>
      <c r="S349" s="49" t="str">
        <f ca="1">IFERROR(__xludf.DUMMYFUNCTION("QUERY('Volunteer Survey'!L358)"),"Clinical Actionability")</f>
        <v>Clinical Actionability</v>
      </c>
      <c r="T349" s="49" t="str">
        <f ca="1">IFERROR(__xludf.DUMMYFUNCTION("QUERY('Volunteer Survey'!M358)"),"Dosage Sensitivity")</f>
        <v>Dosage Sensitivity</v>
      </c>
      <c r="U349" s="58" t="str">
        <f ca="1">IFERROR(__xludf.DUMMYFUNCTION("QUERY('Volunteer Survey'!N358)"),"I am actively involved in variant curation in a diagnostic genomic laboratory ")</f>
        <v xml:space="preserve">I am actively involved in variant curation in a diagnostic genomic laboratory </v>
      </c>
      <c r="V349" s="49" t="str">
        <f ca="1">IFERROR(__xludf.DUMMYFUNCTION("QUERY('Volunteer Survey'!O358)"),"Yes")</f>
        <v>Yes</v>
      </c>
      <c r="W349" s="60" t="str">
        <f ca="1">IFERROR(__xludf.DUMMYFUNCTION("QUERY('Volunteer Survey'!P358)"),"")</f>
        <v/>
      </c>
      <c r="X349" s="58" t="str">
        <f ca="1">IFERROR(__xludf.DUMMYFUNCTION("QUERY('Volunteer Survey'!R358)"),"Maybe -- please contact me with other options, and I will decide based on what is available")</f>
        <v>Maybe -- please contact me with other options, and I will decide based on what is available</v>
      </c>
      <c r="Y349" s="47"/>
      <c r="Z349" s="49"/>
      <c r="AA349" s="49"/>
      <c r="AB349" s="49"/>
      <c r="AC349" s="49"/>
      <c r="AD349" s="49"/>
      <c r="AE349" s="49"/>
      <c r="AF349" s="49"/>
      <c r="AG349" s="49"/>
      <c r="AH349" s="49"/>
      <c r="AI349" s="49"/>
      <c r="AJ349" s="49"/>
      <c r="AK349" s="49"/>
      <c r="AL349" s="49"/>
      <c r="AM349" s="49"/>
      <c r="AN349" s="49"/>
      <c r="AO349" s="49"/>
    </row>
    <row r="350" spans="1:41" ht="14">
      <c r="A350" s="44">
        <f ca="1">IFERROR(__xludf.DUMMYFUNCTION("QUERY('Volunteer Survey'!A359)"),43780.3746738888)</f>
        <v>43780.3746738888</v>
      </c>
      <c r="B350" s="42" t="s">
        <v>160</v>
      </c>
      <c r="C350" s="84">
        <v>43808</v>
      </c>
      <c r="D350" s="59">
        <v>43859</v>
      </c>
      <c r="E350" s="42" t="s">
        <v>117</v>
      </c>
      <c r="F350" s="42" t="s">
        <v>130</v>
      </c>
      <c r="G350" s="42" t="s">
        <v>19</v>
      </c>
      <c r="H350" s="47"/>
      <c r="I350" s="47"/>
      <c r="J350" s="49"/>
      <c r="K350" s="49"/>
      <c r="L350" s="49" t="str">
        <f ca="1">IFERROR(__xludf.DUMMYFUNCTION("QUERY('Volunteer Survey'!B359)"),"Mark Shlapobersky")</f>
        <v>Mark Shlapobersky</v>
      </c>
      <c r="M350" s="49" t="str">
        <f ca="1">IFERROR(__xludf.DUMMYFUNCTION("QUERY('Volunteer Survey'!E359)"),"marks@bmc.gov.il")</f>
        <v>marks@bmc.gov.il</v>
      </c>
      <c r="N350" s="49" t="str">
        <f ca="1">IFERROR(__xludf.DUMMYFUNCTION("QUERY('Volunteer Survey'!F359)"),"Director of Pathology lab")</f>
        <v>Director of Pathology lab</v>
      </c>
      <c r="O350" s="42" t="str">
        <f ca="1">IFERROR(__xludf.DUMMYFUNCTION("QUERY('Volunteer Survey'!H359)"),"Comprehensive")</f>
        <v>Comprehensive</v>
      </c>
      <c r="P350" s="49" t="str">
        <f ca="1">IFERROR(__xludf.DUMMYFUNCTION("QUERY('Volunteer Survey'!I359)"),"Clinical Actionability")</f>
        <v>Clinical Actionability</v>
      </c>
      <c r="Q350" s="54" t="str">
        <f ca="1">IFERROR(__xludf.DUMMYFUNCTION("QUERY('Volunteer Survey'!J359)"),"Variant Pathogenicity")</f>
        <v>Variant Pathogenicity</v>
      </c>
      <c r="R350" s="49" t="str">
        <f ca="1">IFERROR(__xludf.DUMMYFUNCTION("QUERY('Volunteer Survey'!K359)"),"Somatic Cancer")</f>
        <v>Somatic Cancer</v>
      </c>
      <c r="S350" s="49" t="str">
        <f ca="1">IFERROR(__xludf.DUMMYFUNCTION("QUERY('Volunteer Survey'!L359)"),"Gene-Disease Validity")</f>
        <v>Gene-Disease Validity</v>
      </c>
      <c r="T350" s="49" t="str">
        <f ca="1">IFERROR(__xludf.DUMMYFUNCTION("QUERY('Volunteer Survey'!M359)"),"Dosage Sensitivity")</f>
        <v>Dosage Sensitivity</v>
      </c>
      <c r="U350" s="58" t="str">
        <f ca="1">IFERROR(__xludf.DUMMYFUNCTION("QUERY('Volunteer Survey'!N359)"),"I was a curator for Pathway Genomics and Human Longevity")</f>
        <v>I was a curator for Pathway Genomics and Human Longevity</v>
      </c>
      <c r="V350" s="49" t="str">
        <f ca="1">IFERROR(__xludf.DUMMYFUNCTION("QUERY('Volunteer Survey'!O359)"),"Yes")</f>
        <v>Yes</v>
      </c>
      <c r="W350" s="60" t="str">
        <f ca="1">IFERROR(__xludf.DUMMYFUNCTION("QUERY('Volunteer Survey'!P359)"),"")</f>
        <v/>
      </c>
      <c r="X350" s="58" t="str">
        <f ca="1">IFERROR(__xludf.DUMMYFUNCTION("QUERY('Volunteer Survey'!R359)"),"Yes- I am willing to volunteer with any available ClinGen group")</f>
        <v>Yes- I am willing to volunteer with any available ClinGen group</v>
      </c>
      <c r="Y350" s="47"/>
      <c r="Z350" s="49"/>
      <c r="AA350" s="49"/>
      <c r="AB350" s="49"/>
      <c r="AC350" s="49"/>
      <c r="AD350" s="49"/>
      <c r="AE350" s="49"/>
      <c r="AF350" s="49"/>
      <c r="AG350" s="49"/>
      <c r="AH350" s="49"/>
      <c r="AI350" s="49"/>
      <c r="AJ350" s="49"/>
      <c r="AK350" s="49"/>
      <c r="AL350" s="49"/>
      <c r="AM350" s="49"/>
      <c r="AN350" s="49"/>
      <c r="AO350" s="49"/>
    </row>
    <row r="351" spans="1:41" ht="14">
      <c r="A351" s="44">
        <f ca="1">IFERROR(__xludf.DUMMYFUNCTION("QUERY('Volunteer Survey'!A360)"),43782.5691342129)</f>
        <v>43782.569134212899</v>
      </c>
      <c r="B351" s="42" t="s">
        <v>108</v>
      </c>
      <c r="C351" s="73">
        <v>43819</v>
      </c>
      <c r="D351" s="67">
        <v>43846</v>
      </c>
      <c r="E351" s="42" t="s">
        <v>117</v>
      </c>
      <c r="F351" s="42" t="s">
        <v>117</v>
      </c>
      <c r="G351" s="42" t="s">
        <v>122</v>
      </c>
      <c r="H351" s="47"/>
      <c r="I351" s="47"/>
      <c r="J351" s="49"/>
      <c r="K351" s="49"/>
      <c r="L351" s="49" t="str">
        <f ca="1">IFERROR(__xludf.DUMMYFUNCTION("QUERY('Volunteer Survey'!B360)"),"Marie-Luise Brennan")</f>
        <v>Marie-Luise Brennan</v>
      </c>
      <c r="M351" s="49" t="str">
        <f ca="1">IFERROR(__xludf.DUMMYFUNCTION("QUERY('Volunteer Survey'!E360)"),"mbrennan@acmg.net")</f>
        <v>mbrennan@acmg.net</v>
      </c>
      <c r="N351" s="49" t="str">
        <f ca="1">IFERROR(__xludf.DUMMYFUNCTION("QUERY('Volunteer Survey'!F360)"),"Clinical Medical Geneticist")</f>
        <v>Clinical Medical Geneticist</v>
      </c>
      <c r="O351" s="42" t="str">
        <f ca="1">IFERROR(__xludf.DUMMYFUNCTION("QUERY('Volunteer Survey'!H360)"),"Comprehensive")</f>
        <v>Comprehensive</v>
      </c>
      <c r="P351" s="49" t="str">
        <f ca="1">IFERROR(__xludf.DUMMYFUNCTION("QUERY('Volunteer Survey'!I360)"),"Gene-Disease Validity")</f>
        <v>Gene-Disease Validity</v>
      </c>
      <c r="Q351" s="54" t="str">
        <f ca="1">IFERROR(__xludf.DUMMYFUNCTION("QUERY('Volunteer Survey'!J360)"),"Variant Pathogenicity")</f>
        <v>Variant Pathogenicity</v>
      </c>
      <c r="R351" s="49" t="str">
        <f ca="1">IFERROR(__xludf.DUMMYFUNCTION("QUERY('Volunteer Survey'!K360)"),"Dosage Sensitivity")</f>
        <v>Dosage Sensitivity</v>
      </c>
      <c r="S351" s="49" t="str">
        <f ca="1">IFERROR(__xludf.DUMMYFUNCTION("QUERY('Volunteer Survey'!L360)"),"Clinical Actionability")</f>
        <v>Clinical Actionability</v>
      </c>
      <c r="T351" s="49" t="str">
        <f ca="1">IFERROR(__xludf.DUMMYFUNCTION("QUERY('Volunteer Survey'!M360)"),"Somatic Cancer")</f>
        <v>Somatic Cancer</v>
      </c>
      <c r="U351" s="58" t="str">
        <f ca="1">IFERROR(__xludf.DUMMYFUNCTION("QUERY('Volunteer Survey'!N360)"),"No prior experience with curation. ")</f>
        <v xml:space="preserve">No prior experience with curation. </v>
      </c>
      <c r="V351" s="49" t="str">
        <f ca="1">IFERROR(__xludf.DUMMYFUNCTION("QUERY('Volunteer Survey'!O360)"),"Yes")</f>
        <v>Yes</v>
      </c>
      <c r="W351" s="60" t="str">
        <f ca="1">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58" t="str">
        <f ca="1">IFERROR(__xludf.DUMMYFUNCTION("QUERY('Volunteer Survey'!R360)"),"Yes- I am willing to volunteer with any available ClinGen group")</f>
        <v>Yes- I am willing to volunteer with any available ClinGen group</v>
      </c>
      <c r="Y351" s="47"/>
      <c r="Z351" s="49"/>
      <c r="AA351" s="49"/>
      <c r="AB351" s="49"/>
      <c r="AC351" s="49"/>
      <c r="AD351" s="49"/>
      <c r="AE351" s="49"/>
      <c r="AF351" s="49"/>
      <c r="AG351" s="49"/>
      <c r="AH351" s="49"/>
      <c r="AI351" s="49"/>
      <c r="AJ351" s="49"/>
      <c r="AK351" s="49"/>
      <c r="AL351" s="49"/>
      <c r="AM351" s="49"/>
      <c r="AN351" s="49"/>
      <c r="AO351" s="49"/>
    </row>
    <row r="352" spans="1:41" ht="14">
      <c r="A352" s="44">
        <f ca="1">IFERROR(__xludf.DUMMYFUNCTION("QUERY('Volunteer Survey'!A361)"),43789.3792843055)</f>
        <v>43789.379284305498</v>
      </c>
      <c r="B352" s="42" t="s">
        <v>108</v>
      </c>
      <c r="C352" s="73">
        <v>43819</v>
      </c>
      <c r="D352" s="49"/>
      <c r="E352" s="49"/>
      <c r="F352" s="42" t="s">
        <v>130</v>
      </c>
      <c r="G352" s="42" t="s">
        <v>251</v>
      </c>
      <c r="H352" s="47"/>
      <c r="I352" s="47"/>
      <c r="J352" s="49"/>
      <c r="K352" s="49"/>
      <c r="L352" s="49" t="str">
        <f ca="1">IFERROR(__xludf.DUMMYFUNCTION("QUERY('Volunteer Survey'!B361)"),"Shawn Gessay")</f>
        <v>Shawn Gessay</v>
      </c>
      <c r="M352" s="49" t="str">
        <f ca="1">IFERROR(__xludf.DUMMYFUNCTION("QUERY('Volunteer Survey'!E361)"),"gessays75@gmail.com")</f>
        <v>gessays75@gmail.com</v>
      </c>
      <c r="N352" s="49" t="str">
        <f ca="1">IFERROR(__xludf.DUMMYFUNCTION("QUERY('Volunteer Survey'!F361)"),"Genetic counselor")</f>
        <v>Genetic counselor</v>
      </c>
      <c r="O352" s="42" t="str">
        <f ca="1">IFERROR(__xludf.DUMMYFUNCTION("QUERY('Volunteer Survey'!H361)"),"Comprehensive")</f>
        <v>Comprehensive</v>
      </c>
      <c r="P352" s="49" t="str">
        <f ca="1">IFERROR(__xludf.DUMMYFUNCTION("QUERY('Volunteer Survey'!I361)"),"Variant Pathogenicity")</f>
        <v>Variant Pathogenicity</v>
      </c>
      <c r="Q352" s="54" t="str">
        <f ca="1">IFERROR(__xludf.DUMMYFUNCTION("QUERY('Volunteer Survey'!J361)"),"Clinical Actionability")</f>
        <v>Clinical Actionability</v>
      </c>
      <c r="R352" s="49" t="str">
        <f ca="1">IFERROR(__xludf.DUMMYFUNCTION("QUERY('Volunteer Survey'!K361)"),"Gene-Disease Validity")</f>
        <v>Gene-Disease Validity</v>
      </c>
      <c r="S352" s="49" t="str">
        <f ca="1">IFERROR(__xludf.DUMMYFUNCTION("QUERY('Volunteer Survey'!L361)"),"Dosage Sensitivity")</f>
        <v>Dosage Sensitivity</v>
      </c>
      <c r="T352" s="49" t="str">
        <f ca="1">IFERROR(__xludf.DUMMYFUNCTION("QUERY('Volunteer Survey'!M361)"),"Somatic Cancer")</f>
        <v>Somatic Cancer</v>
      </c>
      <c r="U352" s="58" t="str">
        <f ca="1">IFERROR(__xludf.DUMMYFUNCTION("QUERY('Volunteer Survey'!N361)"),"No ")</f>
        <v xml:space="preserve">No </v>
      </c>
      <c r="V352" s="49" t="str">
        <f ca="1">IFERROR(__xludf.DUMMYFUNCTION("QUERY('Volunteer Survey'!O361)"),"Yes")</f>
        <v>Yes</v>
      </c>
      <c r="W352" s="60" t="str">
        <f ca="1">IFERROR(__xludf.DUMMYFUNCTION("QUERY('Volunteer Survey'!P361)"),"RASopathy")</f>
        <v>RASopathy</v>
      </c>
      <c r="X352" s="58" t="str">
        <f ca="1">IFERROR(__xludf.DUMMYFUNCTION("QUERY('Volunteer Survey'!R361)"),"Yes- I am willing to volunteer with any available ClinGen group")</f>
        <v>Yes- I am willing to volunteer with any available ClinGen group</v>
      </c>
      <c r="Y352" s="47"/>
      <c r="Z352" s="49"/>
      <c r="AA352" s="49"/>
      <c r="AB352" s="49"/>
      <c r="AC352" s="49"/>
      <c r="AD352" s="49"/>
      <c r="AE352" s="49"/>
      <c r="AF352" s="49"/>
      <c r="AG352" s="49"/>
      <c r="AH352" s="49"/>
      <c r="AI352" s="49"/>
      <c r="AJ352" s="49"/>
      <c r="AK352" s="49"/>
      <c r="AL352" s="49"/>
      <c r="AM352" s="49"/>
      <c r="AN352" s="49"/>
      <c r="AO352" s="49"/>
    </row>
    <row r="353" spans="1:41" ht="14">
      <c r="A353" s="44">
        <f ca="1">IFERROR(__xludf.DUMMYFUNCTION("QUERY('Volunteer Survey'!A362)"),43789.5611372337)</f>
        <v>43789.561137233701</v>
      </c>
      <c r="B353" s="42" t="s">
        <v>108</v>
      </c>
      <c r="C353" s="73">
        <v>43819</v>
      </c>
      <c r="D353" s="49"/>
      <c r="E353" s="49"/>
      <c r="F353" s="42" t="s">
        <v>130</v>
      </c>
      <c r="G353" s="42" t="s">
        <v>251</v>
      </c>
      <c r="H353" s="47"/>
      <c r="I353" s="47"/>
      <c r="J353" s="49"/>
      <c r="K353" s="49"/>
      <c r="L353" s="49" t="str">
        <f ca="1">IFERROR(__xludf.DUMMYFUNCTION("QUERY('Volunteer Survey'!B362)"),"Angela Hoang")</f>
        <v>Angela Hoang</v>
      </c>
      <c r="M353" s="49" t="str">
        <f ca="1">IFERROR(__xludf.DUMMYFUNCTION("QUERY('Volunteer Survey'!E362)"),"ahoang18@students.kgi.edu")</f>
        <v>ahoang18@students.kgi.edu</v>
      </c>
      <c r="N353" s="49" t="str">
        <f ca="1">IFERROR(__xludf.DUMMYFUNCTION("QUERY('Volunteer Survey'!F362)"),"Graduate Student")</f>
        <v>Graduate Student</v>
      </c>
      <c r="O353" s="42" t="str">
        <f ca="1">IFERROR(__xludf.DUMMYFUNCTION("QUERY('Volunteer Survey'!H362)"),"Comprehensive")</f>
        <v>Comprehensive</v>
      </c>
      <c r="P353" s="49" t="str">
        <f ca="1">IFERROR(__xludf.DUMMYFUNCTION("QUERY('Volunteer Survey'!I362)"),"Variant Pathogenicity")</f>
        <v>Variant Pathogenicity</v>
      </c>
      <c r="Q353" s="54" t="str">
        <f ca="1">IFERROR(__xludf.DUMMYFUNCTION("QUERY('Volunteer Survey'!J362)"),"Gene-Disease Validity")</f>
        <v>Gene-Disease Validity</v>
      </c>
      <c r="R353" s="49" t="str">
        <f ca="1">IFERROR(__xludf.DUMMYFUNCTION("QUERY('Volunteer Survey'!K362)"),"Clinical Actionability")</f>
        <v>Clinical Actionability</v>
      </c>
      <c r="S353" s="49" t="str">
        <f ca="1">IFERROR(__xludf.DUMMYFUNCTION("QUERY('Volunteer Survey'!L362)"),"")</f>
        <v/>
      </c>
      <c r="T353" s="49" t="str">
        <f ca="1">IFERROR(__xludf.DUMMYFUNCTION("QUERY('Volunteer Survey'!M362)"),"")</f>
        <v/>
      </c>
      <c r="U353" s="58" t="str">
        <f ca="1">IFERROR(__xludf.DUMMYFUNCTION("QUERY('Volunteer Survey'!N362)"),"Yes, I have educational experience with variant classification and gene-disease association. ")</f>
        <v xml:space="preserve">Yes, I have educational experience with variant classification and gene-disease association. </v>
      </c>
      <c r="V353" s="49" t="str">
        <f ca="1">IFERROR(__xludf.DUMMYFUNCTION("QUERY('Volunteer Survey'!O362)"),"Possibly")</f>
        <v>Possibly</v>
      </c>
      <c r="W353" s="60" t="str">
        <f ca="1">IFERROR(__xludf.DUMMYFUNCTION("QUERY('Volunteer Survey'!P362)"),"N/A")</f>
        <v>N/A</v>
      </c>
      <c r="X353" s="58" t="str">
        <f ca="1">IFERROR(__xludf.DUMMYFUNCTION("QUERY('Volunteer Survey'!R362)"),"Yes- I am willing to volunteer with any available ClinGen group")</f>
        <v>Yes- I am willing to volunteer with any available ClinGen group</v>
      </c>
      <c r="Y353" s="47"/>
      <c r="Z353" s="49"/>
      <c r="AA353" s="49"/>
      <c r="AB353" s="49"/>
      <c r="AC353" s="49"/>
      <c r="AD353" s="49"/>
      <c r="AE353" s="49"/>
      <c r="AF353" s="49"/>
      <c r="AG353" s="49"/>
      <c r="AH353" s="49"/>
      <c r="AI353" s="49"/>
      <c r="AJ353" s="49"/>
      <c r="AK353" s="49"/>
      <c r="AL353" s="49"/>
      <c r="AM353" s="49"/>
      <c r="AN353" s="49"/>
      <c r="AO353" s="49"/>
    </row>
    <row r="354" spans="1:41" ht="14">
      <c r="A354" s="44">
        <f ca="1">IFERROR(__xludf.DUMMYFUNCTION("QUERY('Volunteer Survey'!A363)"),43790.7100888078)</f>
        <v>43790.710088807798</v>
      </c>
      <c r="B354" s="42" t="s">
        <v>108</v>
      </c>
      <c r="C354" s="73">
        <v>43819</v>
      </c>
      <c r="D354" s="49"/>
      <c r="E354" s="49"/>
      <c r="F354" s="42" t="s">
        <v>130</v>
      </c>
      <c r="G354" s="42" t="s">
        <v>251</v>
      </c>
      <c r="H354" s="47"/>
      <c r="I354" s="47"/>
      <c r="J354" s="49"/>
      <c r="K354" s="49"/>
      <c r="L354" s="49" t="str">
        <f ca="1">IFERROR(__xludf.DUMMYFUNCTION("QUERY('Volunteer Survey'!B363)"),"Poornima Vijayan")</f>
        <v>Poornima Vijayan</v>
      </c>
      <c r="M354" s="49" t="str">
        <f ca="1">IFERROR(__xludf.DUMMYFUNCTION("QUERY('Volunteer Survey'!E363)"),"poornima2785@gmail.com")</f>
        <v>poornima2785@gmail.com</v>
      </c>
      <c r="N354" s="49" t="str">
        <f ca="1">IFERROR(__xludf.DUMMYFUNCTION("QUERY('Volunteer Survey'!F363)"),"Graduate Student")</f>
        <v>Graduate Student</v>
      </c>
      <c r="O354" s="42" t="str">
        <f ca="1">IFERROR(__xludf.DUMMYFUNCTION("QUERY('Volunteer Survey'!H363)"),"Comprehensive")</f>
        <v>Comprehensive</v>
      </c>
      <c r="P354" s="49" t="str">
        <f ca="1">IFERROR(__xludf.DUMMYFUNCTION("QUERY('Volunteer Survey'!I363)"),"Variant Pathogenicity")</f>
        <v>Variant Pathogenicity</v>
      </c>
      <c r="Q354" s="54" t="str">
        <f ca="1">IFERROR(__xludf.DUMMYFUNCTION("QUERY('Volunteer Survey'!J363)"),"Clinical Actionability")</f>
        <v>Clinical Actionability</v>
      </c>
      <c r="R354" s="49" t="str">
        <f ca="1">IFERROR(__xludf.DUMMYFUNCTION("QUERY('Volunteer Survey'!K363)"),"Gene-Disease Validity")</f>
        <v>Gene-Disease Validity</v>
      </c>
      <c r="S354" s="49" t="str">
        <f ca="1">IFERROR(__xludf.DUMMYFUNCTION("QUERY('Volunteer Survey'!L363)"),"Somatic Cancer")</f>
        <v>Somatic Cancer</v>
      </c>
      <c r="T354" s="49" t="str">
        <f ca="1">IFERROR(__xludf.DUMMYFUNCTION("QUERY('Volunteer Survey'!M363)"),"Dosage Sensitivity")</f>
        <v>Dosage Sensitivity</v>
      </c>
      <c r="U354" s="58" t="str">
        <f ca="1">IFERROR(__xludf.DUMMYFUNCTION("QUERY('Volunteer Survey'!N363)"),"I am a student of medical genomics")</f>
        <v>I am a student of medical genomics</v>
      </c>
      <c r="V354" s="49" t="str">
        <f ca="1">IFERROR(__xludf.DUMMYFUNCTION("QUERY('Volunteer Survey'!O363)"),"Yes")</f>
        <v>Yes</v>
      </c>
      <c r="W354" s="60" t="str">
        <f ca="1">IFERROR(__xludf.DUMMYFUNCTION("QUERY('Volunteer Survey'!P363)"),"")</f>
        <v/>
      </c>
      <c r="X354" s="58" t="str">
        <f ca="1">IFERROR(__xludf.DUMMYFUNCTION("QUERY('Volunteer Survey'!R363)"),"Yes- I am willing to volunteer with any available ClinGen group")</f>
        <v>Yes- I am willing to volunteer with any available ClinGen group</v>
      </c>
      <c r="Y354" s="47"/>
      <c r="Z354" s="49"/>
      <c r="AA354" s="49"/>
      <c r="AB354" s="49"/>
      <c r="AC354" s="49"/>
      <c r="AD354" s="49"/>
      <c r="AE354" s="49"/>
      <c r="AF354" s="49"/>
      <c r="AG354" s="49"/>
      <c r="AH354" s="49"/>
      <c r="AI354" s="49"/>
      <c r="AJ354" s="49"/>
      <c r="AK354" s="49"/>
      <c r="AL354" s="49"/>
      <c r="AM354" s="49"/>
      <c r="AN354" s="49"/>
      <c r="AO354" s="49"/>
    </row>
    <row r="355" spans="1:41" ht="14">
      <c r="A355" s="44">
        <f ca="1">IFERROR(__xludf.DUMMYFUNCTION("QUERY('Volunteer Survey'!A364)"),43794.3135085185)</f>
        <v>43794.313508518499</v>
      </c>
      <c r="B355" s="42" t="s">
        <v>108</v>
      </c>
      <c r="C355" s="73">
        <v>43819</v>
      </c>
      <c r="D355" s="67">
        <v>43846</v>
      </c>
      <c r="E355" s="42" t="s">
        <v>117</v>
      </c>
      <c r="F355" s="42" t="s">
        <v>130</v>
      </c>
      <c r="G355" s="42" t="s">
        <v>122</v>
      </c>
      <c r="H355" s="47"/>
      <c r="I355" s="45" t="s">
        <v>299</v>
      </c>
      <c r="J355" s="49"/>
      <c r="K355" s="49"/>
      <c r="L355" s="49" t="str">
        <f ca="1">IFERROR(__xludf.DUMMYFUNCTION("QUERY('Volunteer Survey'!B364)"),"Adriana Bastos Carvalho")</f>
        <v>Adriana Bastos Carvalho</v>
      </c>
      <c r="M355" s="49" t="str">
        <f ca="1">IFERROR(__xludf.DUMMYFUNCTION("QUERY('Volunteer Survey'!E364)"),"carvalhoab@biof.ufrj.br")</f>
        <v>carvalhoab@biof.ufrj.br</v>
      </c>
      <c r="N355" s="49" t="str">
        <f ca="1">IFERROR(__xludf.DUMMYFUNCTION("QUERY('Volunteer Survey'!F364)"),"Scientific Researcher")</f>
        <v>Scientific Researcher</v>
      </c>
      <c r="O355" s="42" t="str">
        <f ca="1">IFERROR(__xludf.DUMMYFUNCTION("QUERY('Volunteer Survey'!H364)"),"Comprehensive")</f>
        <v>Comprehensive</v>
      </c>
      <c r="P355" s="49" t="str">
        <f ca="1">IFERROR(__xludf.DUMMYFUNCTION("QUERY('Volunteer Survey'!I364)"),"Gene-Disease Validity")</f>
        <v>Gene-Disease Validity</v>
      </c>
      <c r="Q355" s="54" t="str">
        <f ca="1">IFERROR(__xludf.DUMMYFUNCTION("QUERY('Volunteer Survey'!J364)"),"Variant Pathogenicity")</f>
        <v>Variant Pathogenicity</v>
      </c>
      <c r="R355" s="49" t="str">
        <f ca="1">IFERROR(__xludf.DUMMYFUNCTION("QUERY('Volunteer Survey'!K364)"),"Clinical Actionability")</f>
        <v>Clinical Actionability</v>
      </c>
      <c r="S355" s="49" t="str">
        <f ca="1">IFERROR(__xludf.DUMMYFUNCTION("QUERY('Volunteer Survey'!L364)"),"Dosage Sensitivity")</f>
        <v>Dosage Sensitivity</v>
      </c>
      <c r="T355" s="49" t="str">
        <f ca="1">IFERROR(__xludf.DUMMYFUNCTION("QUERY('Volunteer Survey'!M364)"),"Somatic Cancer")</f>
        <v>Somatic Cancer</v>
      </c>
      <c r="U355" s="58" t="str">
        <f ca="1">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49" t="str">
        <f ca="1">IFERROR(__xludf.DUMMYFUNCTION("QUERY('Volunteer Survey'!O364)"),"Yes")</f>
        <v>Yes</v>
      </c>
      <c r="W355" s="60" t="str">
        <f ca="1">IFERROR(__xludf.DUMMYFUNCTION("QUERY('Volunteer Survey'!P364)"),"Cardiomyopathy Variant Curation Expert Panel")</f>
        <v>Cardiomyopathy Variant Curation Expert Panel</v>
      </c>
      <c r="X355" s="58" t="str">
        <f ca="1">IFERROR(__xludf.DUMMYFUNCTION("QUERY('Volunteer Survey'!R364)"),"Yes- I am willing to volunteer with any available ClinGen group")</f>
        <v>Yes- I am willing to volunteer with any available ClinGen group</v>
      </c>
      <c r="Y355" s="47"/>
      <c r="Z355" s="49"/>
      <c r="AA355" s="49"/>
      <c r="AB355" s="49"/>
      <c r="AC355" s="49"/>
      <c r="AD355" s="49"/>
      <c r="AE355" s="49"/>
      <c r="AF355" s="49"/>
      <c r="AG355" s="49"/>
      <c r="AH355" s="49"/>
      <c r="AI355" s="49"/>
      <c r="AJ355" s="49"/>
      <c r="AK355" s="49"/>
      <c r="AL355" s="49"/>
      <c r="AM355" s="49"/>
      <c r="AN355" s="49"/>
      <c r="AO355" s="49"/>
    </row>
    <row r="356" spans="1:41" ht="14">
      <c r="A356" s="44">
        <f ca="1">IFERROR(__xludf.DUMMYFUNCTION("QUERY('Volunteer Survey'!A365)"),43795.4660768055)</f>
        <v>43795.466076805496</v>
      </c>
      <c r="B356" s="42" t="s">
        <v>108</v>
      </c>
      <c r="C356" s="73">
        <v>43819</v>
      </c>
      <c r="D356" s="49"/>
      <c r="E356" s="49"/>
      <c r="F356" s="42" t="s">
        <v>130</v>
      </c>
      <c r="G356" s="42" t="s">
        <v>122</v>
      </c>
      <c r="H356" s="47"/>
      <c r="I356" s="47"/>
      <c r="J356" s="49"/>
      <c r="K356" s="49"/>
      <c r="L356" s="49" t="str">
        <f ca="1">IFERROR(__xludf.DUMMYFUNCTION("QUERY('Volunteer Survey'!B365)"),"Megan Puckelwartz")</f>
        <v>Megan Puckelwartz</v>
      </c>
      <c r="M356" s="49" t="str">
        <f ca="1">IFERROR(__xludf.DUMMYFUNCTION("QUERY('Volunteer Survey'!E365)"),"m.puckelwartz@northwestern.edu")</f>
        <v>m.puckelwartz@northwestern.edu</v>
      </c>
      <c r="N356" s="49" t="str">
        <f ca="1">IFERROR(__xludf.DUMMYFUNCTION("QUERY('Volunteer Survey'!F365)"),"Scientific Researcher")</f>
        <v>Scientific Researcher</v>
      </c>
      <c r="O356" s="42" t="str">
        <f ca="1">IFERROR(__xludf.DUMMYFUNCTION("QUERY('Volunteer Survey'!H365)"),"Comprehensive")</f>
        <v>Comprehensive</v>
      </c>
      <c r="P356" s="49" t="str">
        <f ca="1">IFERROR(__xludf.DUMMYFUNCTION("QUERY('Volunteer Survey'!I365)"),"Gene-Disease Validity")</f>
        <v>Gene-Disease Validity</v>
      </c>
      <c r="Q356" s="54" t="str">
        <f ca="1">IFERROR(__xludf.DUMMYFUNCTION("QUERY('Volunteer Survey'!J365)"),"Variant Pathogenicity")</f>
        <v>Variant Pathogenicity</v>
      </c>
      <c r="R356" s="49" t="str">
        <f ca="1">IFERROR(__xludf.DUMMYFUNCTION("QUERY('Volunteer Survey'!K365)"),"Clinical Actionability")</f>
        <v>Clinical Actionability</v>
      </c>
      <c r="S356" s="49" t="str">
        <f ca="1">IFERROR(__xludf.DUMMYFUNCTION("QUERY('Volunteer Survey'!L365)"),"Dosage Sensitivity")</f>
        <v>Dosage Sensitivity</v>
      </c>
      <c r="T356" s="49" t="str">
        <f ca="1">IFERROR(__xludf.DUMMYFUNCTION("QUERY('Volunteer Survey'!M365)"),"")</f>
        <v/>
      </c>
      <c r="U356" s="58" t="str">
        <f ca="1">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49" t="str">
        <f ca="1">IFERROR(__xludf.DUMMYFUNCTION("QUERY('Volunteer Survey'!O365)"),"Yes")</f>
        <v>Yes</v>
      </c>
      <c r="W356" s="60" t="str">
        <f ca="1">IFERROR(__xludf.DUMMYFUNCTION("QUERY('Volunteer Survey'!P365)"),"cardiomyopathy")</f>
        <v>cardiomyopathy</v>
      </c>
      <c r="X356" s="58" t="str">
        <f ca="1">IFERROR(__xludf.DUMMYFUNCTION("QUERY('Volunteer Survey'!R365)"),"Maybe -- please contact me with other options, and I will decide based on what is available")</f>
        <v>Maybe -- please contact me with other options, and I will decide based on what is available</v>
      </c>
      <c r="Y356" s="47"/>
      <c r="Z356" s="49"/>
      <c r="AA356" s="49"/>
      <c r="AB356" s="49"/>
      <c r="AC356" s="49"/>
      <c r="AD356" s="49"/>
      <c r="AE356" s="49"/>
      <c r="AF356" s="49"/>
      <c r="AG356" s="49"/>
      <c r="AH356" s="49"/>
      <c r="AI356" s="49"/>
      <c r="AJ356" s="49"/>
      <c r="AK356" s="49"/>
      <c r="AL356" s="49"/>
      <c r="AM356" s="49"/>
      <c r="AN356" s="49"/>
      <c r="AO356" s="49"/>
    </row>
    <row r="357" spans="1:41" ht="14">
      <c r="A357" s="44">
        <f ca="1">IFERROR(__xludf.DUMMYFUNCTION("QUERY('Volunteer Survey'!A366)"),43796.3159703356)</f>
        <v>43796.3159703356</v>
      </c>
      <c r="B357" s="42" t="s">
        <v>322</v>
      </c>
      <c r="C357" s="47"/>
      <c r="D357" s="49"/>
      <c r="E357" s="49"/>
      <c r="F357" s="42" t="s">
        <v>130</v>
      </c>
      <c r="G357" s="42" t="s">
        <v>136</v>
      </c>
      <c r="H357" s="47"/>
      <c r="I357" s="47"/>
      <c r="J357" s="49"/>
      <c r="K357" s="49"/>
      <c r="L357" s="49" t="str">
        <f ca="1">IFERROR(__xludf.DUMMYFUNCTION("QUERY('Volunteer Survey'!B366)"),"Nicole Hinceman")</f>
        <v>Nicole Hinceman</v>
      </c>
      <c r="M357" s="49" t="str">
        <f ca="1">IFERROR(__xludf.DUMMYFUNCTION("QUERY('Volunteer Survey'!E366)"),"nhinceman@genedx.com")</f>
        <v>nhinceman@genedx.com</v>
      </c>
      <c r="N357" s="49" t="str">
        <f ca="1">IFERROR(__xludf.DUMMYFUNCTION("QUERY('Volunteer Survey'!F366)"),"Prospective Genetic Counseling Student &amp; Variant Analyst (currently a Genetic Counseling Assistant)")</f>
        <v>Prospective Genetic Counseling Student &amp; Variant Analyst (currently a Genetic Counseling Assistant)</v>
      </c>
      <c r="O357" s="42" t="str">
        <f ca="1">IFERROR(__xludf.DUMMYFUNCTION("QUERY('Volunteer Survey'!H366)"),"Comprehensive")</f>
        <v>Comprehensive</v>
      </c>
      <c r="P357" s="49" t="str">
        <f ca="1">IFERROR(__xludf.DUMMYFUNCTION("QUERY('Volunteer Survey'!I366)"),"Somatic Cancer")</f>
        <v>Somatic Cancer</v>
      </c>
      <c r="Q357" s="54" t="str">
        <f ca="1">IFERROR(__xludf.DUMMYFUNCTION("QUERY('Volunteer Survey'!J366)"),"Gene-Disease Validity")</f>
        <v>Gene-Disease Validity</v>
      </c>
      <c r="R357" s="49" t="str">
        <f ca="1">IFERROR(__xludf.DUMMYFUNCTION("QUERY('Volunteer Survey'!K366)"),"Clinical Actionability")</f>
        <v>Clinical Actionability</v>
      </c>
      <c r="S357" s="49" t="str">
        <f ca="1">IFERROR(__xludf.DUMMYFUNCTION("QUERY('Volunteer Survey'!L366)"),"Variant Pathogenicity")</f>
        <v>Variant Pathogenicity</v>
      </c>
      <c r="T357" s="49" t="str">
        <f ca="1">IFERROR(__xludf.DUMMYFUNCTION("QUERY('Volunteer Survey'!M366)"),"Dosage Sensitivity")</f>
        <v>Dosage Sensitivity</v>
      </c>
      <c r="U357" s="58" t="str">
        <f ca="1">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49" t="str">
        <f ca="1">IFERROR(__xludf.DUMMYFUNCTION("QUERY('Volunteer Survey'!O366)"),"Possibly")</f>
        <v>Possibly</v>
      </c>
      <c r="W357" s="60" t="str">
        <f ca="1">IFERROR(__xludf.DUMMYFUNCTION("QUERY('Volunteer Survey'!P366)"),"Pediatric Somatic Cancer Working Group")</f>
        <v>Pediatric Somatic Cancer Working Group</v>
      </c>
      <c r="X357" s="58" t="str">
        <f ca="1">IFERROR(__xludf.DUMMYFUNCTION("QUERY('Volunteer Survey'!R366)"),"Yes- I am willing to volunteer with any available ClinGen group")</f>
        <v>Yes- I am willing to volunteer with any available ClinGen group</v>
      </c>
      <c r="Y357" s="47"/>
      <c r="Z357" s="49"/>
      <c r="AA357" s="49"/>
      <c r="AB357" s="49"/>
      <c r="AC357" s="49"/>
      <c r="AD357" s="49"/>
      <c r="AE357" s="49"/>
      <c r="AF357" s="49"/>
      <c r="AG357" s="49"/>
      <c r="AH357" s="49"/>
      <c r="AI357" s="49"/>
      <c r="AJ357" s="49"/>
      <c r="AK357" s="49"/>
      <c r="AL357" s="49"/>
      <c r="AM357" s="49"/>
      <c r="AN357" s="49"/>
      <c r="AO357" s="49"/>
    </row>
    <row r="358" spans="1:41" ht="14">
      <c r="A358" s="44">
        <f ca="1">IFERROR(__xludf.DUMMYFUNCTION("QUERY('Volunteer Survey'!A367)"),43796.4486307986)</f>
        <v>43796.448630798601</v>
      </c>
      <c r="B358" s="42" t="s">
        <v>322</v>
      </c>
      <c r="C358" s="47"/>
      <c r="D358" s="49"/>
      <c r="E358" s="49"/>
      <c r="F358" s="42" t="s">
        <v>130</v>
      </c>
      <c r="G358" s="42" t="s">
        <v>313</v>
      </c>
      <c r="H358" s="47"/>
      <c r="I358" s="47"/>
      <c r="J358" s="49"/>
      <c r="K358" s="49"/>
      <c r="L358" s="49" t="str">
        <f ca="1">IFERROR(__xludf.DUMMYFUNCTION("QUERY('Volunteer Survey'!B367)"),"Ekaterini Iordanou")</f>
        <v>Ekaterini Iordanou</v>
      </c>
      <c r="M358" s="49" t="str">
        <f ca="1">IFERROR(__xludf.DUMMYFUNCTION("QUERY('Volunteer Survey'!E367)"),"iordanoue@childrensdayton.org")</f>
        <v>iordanoue@childrensdayton.org</v>
      </c>
      <c r="N358" s="49" t="str">
        <f ca="1">IFERROR(__xludf.DUMMYFUNCTION("QUERY('Volunteer Survey'!F367)"),"Clinical laboratory geneticist")</f>
        <v>Clinical laboratory geneticist</v>
      </c>
      <c r="O358" s="42" t="str">
        <f ca="1">IFERROR(__xludf.DUMMYFUNCTION("QUERY('Volunteer Survey'!H367)"),"Comprehensive")</f>
        <v>Comprehensive</v>
      </c>
      <c r="P358" s="49" t="str">
        <f ca="1">IFERROR(__xludf.DUMMYFUNCTION("QUERY('Volunteer Survey'!I367)"),"Dosage Sensitivity")</f>
        <v>Dosage Sensitivity</v>
      </c>
      <c r="Q358" s="54" t="str">
        <f ca="1">IFERROR(__xludf.DUMMYFUNCTION("QUERY('Volunteer Survey'!J367)"),"Variant Pathogenicity")</f>
        <v>Variant Pathogenicity</v>
      </c>
      <c r="R358" s="49" t="str">
        <f ca="1">IFERROR(__xludf.DUMMYFUNCTION("QUERY('Volunteer Survey'!K367)"),"")</f>
        <v/>
      </c>
      <c r="S358" s="49" t="str">
        <f ca="1">IFERROR(__xludf.DUMMYFUNCTION("QUERY('Volunteer Survey'!L367)"),"")</f>
        <v/>
      </c>
      <c r="T358" s="49" t="str">
        <f ca="1">IFERROR(__xludf.DUMMYFUNCTION("QUERY('Volunteer Survey'!M367)"),"")</f>
        <v/>
      </c>
      <c r="U358" s="58" t="str">
        <f ca="1">IFERROR(__xludf.DUMMYFUNCTION("QUERY('Volunteer Survey'!N367)"),"")</f>
        <v/>
      </c>
      <c r="V358" s="49" t="str">
        <f ca="1">IFERROR(__xludf.DUMMYFUNCTION("QUERY('Volunteer Survey'!O367)"),"Possibly")</f>
        <v>Possibly</v>
      </c>
      <c r="W358" s="60" t="str">
        <f ca="1">IFERROR(__xludf.DUMMYFUNCTION("QUERY('Volunteer Survey'!P367)"),"")</f>
        <v/>
      </c>
      <c r="X358" s="58" t="str">
        <f ca="1">IFERROR(__xludf.DUMMYFUNCTION("QUERY('Volunteer Survey'!R367)"),"Maybe -- please contact me with other options, and I will decide based on what is available")</f>
        <v>Maybe -- please contact me with other options, and I will decide based on what is available</v>
      </c>
      <c r="Y358" s="47"/>
      <c r="Z358" s="49"/>
      <c r="AA358" s="49"/>
      <c r="AB358" s="49"/>
      <c r="AC358" s="49"/>
      <c r="AD358" s="49"/>
      <c r="AE358" s="49"/>
      <c r="AF358" s="49"/>
      <c r="AG358" s="49"/>
      <c r="AH358" s="49"/>
      <c r="AI358" s="49"/>
      <c r="AJ358" s="49"/>
      <c r="AK358" s="49"/>
      <c r="AL358" s="49"/>
      <c r="AM358" s="49"/>
      <c r="AN358" s="49"/>
      <c r="AO358" s="49"/>
    </row>
    <row r="359" spans="1:41" ht="14">
      <c r="A359" s="44">
        <f ca="1">IFERROR(__xludf.DUMMYFUNCTION("QUERY('Volunteer Survey'!A368)"),43803.3785675578)</f>
        <v>43803.378567557796</v>
      </c>
      <c r="B359" s="42" t="s">
        <v>108</v>
      </c>
      <c r="C359" s="47"/>
      <c r="D359" s="49"/>
      <c r="E359" s="49"/>
      <c r="F359" s="42" t="s">
        <v>130</v>
      </c>
      <c r="G359" s="42" t="s">
        <v>19</v>
      </c>
      <c r="H359" s="47"/>
      <c r="I359" s="47"/>
      <c r="J359" s="49"/>
      <c r="K359" s="49"/>
      <c r="L359" s="49" t="str">
        <f ca="1">IFERROR(__xludf.DUMMYFUNCTION("QUERY('Volunteer Survey'!B368)"),"Laurie Connors")</f>
        <v>Laurie Connors</v>
      </c>
      <c r="M359" s="49" t="str">
        <f ca="1">IFERROR(__xludf.DUMMYFUNCTION("QUERY('Volunteer Survey'!E368)"),"laurie.m.connors@vanderbilt.edu")</f>
        <v>laurie.m.connors@vanderbilt.edu</v>
      </c>
      <c r="N359" s="49" t="str">
        <f ca="1">IFERROR(__xludf.DUMMYFUNCTION("QUERY('Volunteer Survey'!F368)"),"Clinical geneticist, Genetic Nurse Practitioner")</f>
        <v>Clinical geneticist, Genetic Nurse Practitioner</v>
      </c>
      <c r="O359" s="42" t="str">
        <f ca="1">IFERROR(__xludf.DUMMYFUNCTION("QUERY('Volunteer Survey'!H368)"),"Comprehensive")</f>
        <v>Comprehensive</v>
      </c>
      <c r="P359" s="49" t="str">
        <f ca="1">IFERROR(__xludf.DUMMYFUNCTION("QUERY('Volunteer Survey'!I368)"),"Clinical Actionability")</f>
        <v>Clinical Actionability</v>
      </c>
      <c r="Q359" s="54" t="str">
        <f ca="1">IFERROR(__xludf.DUMMYFUNCTION("QUERY('Volunteer Survey'!J368)"),"Variant Pathogenicity")</f>
        <v>Variant Pathogenicity</v>
      </c>
      <c r="R359" s="49" t="str">
        <f ca="1">IFERROR(__xludf.DUMMYFUNCTION("QUERY('Volunteer Survey'!K368)"),"Gene-Disease Validity")</f>
        <v>Gene-Disease Validity</v>
      </c>
      <c r="S359" s="49" t="str">
        <f ca="1">IFERROR(__xludf.DUMMYFUNCTION("QUERY('Volunteer Survey'!L368)"),"Somatic Cancer")</f>
        <v>Somatic Cancer</v>
      </c>
      <c r="T359" s="49" t="str">
        <f ca="1">IFERROR(__xludf.DUMMYFUNCTION("QUERY('Volunteer Survey'!M368)"),"Dosage Sensitivity")</f>
        <v>Dosage Sensitivity</v>
      </c>
      <c r="U359" s="58" t="str">
        <f ca="1">IFERROR(__xludf.DUMMYFUNCTION("QUERY('Volunteer Survey'!N368)"),"No")</f>
        <v>No</v>
      </c>
      <c r="V359" s="49" t="str">
        <f ca="1">IFERROR(__xludf.DUMMYFUNCTION("QUERY('Volunteer Survey'!O368)"),"Yes")</f>
        <v>Yes</v>
      </c>
      <c r="W359" s="60" t="str">
        <f ca="1">IFERROR(__xludf.DUMMYFUNCTION("QUERY('Volunteer Survey'!P368)"),"Hereditary Cancer, PTEN, VHL")</f>
        <v>Hereditary Cancer, PTEN, VHL</v>
      </c>
      <c r="X359" s="58" t="str">
        <f ca="1">IFERROR(__xludf.DUMMYFUNCTION("QUERY('Volunteer Survey'!R368)"),"Maybe -- please contact me with other options, and I will decide based on what is available")</f>
        <v>Maybe -- please contact me with other options, and I will decide based on what is available</v>
      </c>
      <c r="Y359" s="47"/>
      <c r="Z359" s="49"/>
      <c r="AA359" s="49"/>
      <c r="AB359" s="49"/>
      <c r="AC359" s="49"/>
      <c r="AD359" s="49"/>
      <c r="AE359" s="49"/>
      <c r="AF359" s="49"/>
      <c r="AG359" s="49"/>
      <c r="AH359" s="49"/>
      <c r="AI359" s="49"/>
      <c r="AJ359" s="49"/>
      <c r="AK359" s="49"/>
      <c r="AL359" s="49"/>
      <c r="AM359" s="49"/>
      <c r="AN359" s="49"/>
      <c r="AO359" s="49"/>
    </row>
    <row r="360" spans="1:41" ht="14">
      <c r="A360" s="44">
        <f ca="1">IFERROR(__xludf.DUMMYFUNCTION("QUERY('Volunteer Survey'!A369)"),43809.8067020717)</f>
        <v>43809.806702071699</v>
      </c>
      <c r="B360" s="42" t="s">
        <v>322</v>
      </c>
      <c r="C360" s="47"/>
      <c r="D360" s="49"/>
      <c r="E360" s="49"/>
      <c r="F360" s="42" t="s">
        <v>130</v>
      </c>
      <c r="G360" s="42" t="s">
        <v>313</v>
      </c>
      <c r="H360" s="47"/>
      <c r="I360" s="47"/>
      <c r="J360" s="49"/>
      <c r="K360" s="49"/>
      <c r="L360" s="49" t="str">
        <f ca="1">IFERROR(__xludf.DUMMYFUNCTION("QUERY('Volunteer Survey'!B369)"),"Jian Zhao")</f>
        <v>Jian Zhao</v>
      </c>
      <c r="M360" s="49" t="str">
        <f ca="1">IFERROR(__xludf.DUMMYFUNCTION("QUERY('Volunteer Survey'!E369)"),"jian.zhao@aruplab.com")</f>
        <v>jian.zhao@aruplab.com</v>
      </c>
      <c r="N360" s="49" t="str">
        <f ca="1">IFERROR(__xludf.DUMMYFUNCTION("QUERY('Volunteer Survey'!F369)"),"Post Doc/Resident/Fellow (MD and/or PhD)")</f>
        <v>Post Doc/Resident/Fellow (MD and/or PhD)</v>
      </c>
      <c r="O360" s="42" t="str">
        <f ca="1">IFERROR(__xludf.DUMMYFUNCTION("QUERY('Volunteer Survey'!H369)"),"Baseline")</f>
        <v>Baseline</v>
      </c>
      <c r="P360" s="49" t="str">
        <f ca="1">IFERROR(__xludf.DUMMYFUNCTION("QUERY('Volunteer Survey'!I369)"),"Dosage Sensitivity")</f>
        <v>Dosage Sensitivity</v>
      </c>
      <c r="Q360" s="54" t="str">
        <f ca="1">IFERROR(__xludf.DUMMYFUNCTION("QUERY('Volunteer Survey'!J369)"),"")</f>
        <v/>
      </c>
      <c r="R360" s="49" t="str">
        <f ca="1">IFERROR(__xludf.DUMMYFUNCTION("QUERY('Volunteer Survey'!K369)"),"")</f>
        <v/>
      </c>
      <c r="S360" s="49" t="str">
        <f ca="1">IFERROR(__xludf.DUMMYFUNCTION("QUERY('Volunteer Survey'!L369)"),"")</f>
        <v/>
      </c>
      <c r="T360" s="49" t="str">
        <f ca="1">IFERROR(__xludf.DUMMYFUNCTION("QUERY('Volunteer Survey'!M369)"),"")</f>
        <v/>
      </c>
      <c r="U360" s="58" t="str">
        <f ca="1">IFERROR(__xludf.DUMMYFUNCTION("QUERY('Volunteer Survey'!N369)"),"I was a variant analyst at EGL Genetics before joining ARUP for LGG fellowship")</f>
        <v>I was a variant analyst at EGL Genetics before joining ARUP for LGG fellowship</v>
      </c>
      <c r="V360" s="49" t="str">
        <f ca="1">IFERROR(__xludf.DUMMYFUNCTION("QUERY('Volunteer Survey'!O369)"),"Possibly")</f>
        <v>Possibly</v>
      </c>
      <c r="W360" s="60" t="str">
        <f ca="1">IFERROR(__xludf.DUMMYFUNCTION("QUERY('Volunteer Survey'!P369)"),"")</f>
        <v/>
      </c>
      <c r="X360" s="58" t="str">
        <f ca="1">IFERROR(__xludf.DUMMYFUNCTION("QUERY('Volunteer Survey'!R369)"),"Maybe -- please contact me with other options, and I will decide based on what is available")</f>
        <v>Maybe -- please contact me with other options, and I will decide based on what is available</v>
      </c>
      <c r="Y360" s="47"/>
      <c r="Z360" s="49"/>
      <c r="AA360" s="49"/>
      <c r="AB360" s="49"/>
      <c r="AC360" s="49"/>
      <c r="AD360" s="49"/>
      <c r="AE360" s="49"/>
      <c r="AF360" s="49"/>
      <c r="AG360" s="49"/>
      <c r="AH360" s="49"/>
      <c r="AI360" s="49"/>
      <c r="AJ360" s="49"/>
      <c r="AK360" s="49"/>
      <c r="AL360" s="49"/>
      <c r="AM360" s="49"/>
      <c r="AN360" s="49"/>
      <c r="AO360" s="49"/>
    </row>
    <row r="361" spans="1:41" ht="14">
      <c r="A361" s="44">
        <f ca="1">IFERROR(__xludf.DUMMYFUNCTION("QUERY('Volunteer Survey'!A370)"),43810.6278993865)</f>
        <v>43810.627899386498</v>
      </c>
      <c r="B361" s="42" t="s">
        <v>108</v>
      </c>
      <c r="C361" s="73">
        <v>43819</v>
      </c>
      <c r="D361" s="67">
        <v>43846</v>
      </c>
      <c r="E361" s="42" t="s">
        <v>117</v>
      </c>
      <c r="F361" s="42" t="s">
        <v>130</v>
      </c>
      <c r="G361" s="42" t="s">
        <v>122</v>
      </c>
      <c r="H361" s="47"/>
      <c r="I361" s="47"/>
      <c r="J361" s="49"/>
      <c r="K361" s="49"/>
      <c r="L361" s="49" t="str">
        <f ca="1">IFERROR(__xludf.DUMMYFUNCTION("QUERY('Volunteer Survey'!B370)"),"Tess Levy")</f>
        <v>Tess Levy</v>
      </c>
      <c r="M361" s="49" t="str">
        <f ca="1">IFERROR(__xludf.DUMMYFUNCTION("QUERY('Volunteer Survey'!E370)"),"tess.levy@mssm.edu")</f>
        <v>tess.levy@mssm.edu</v>
      </c>
      <c r="N361" s="49" t="str">
        <f ca="1">IFERROR(__xludf.DUMMYFUNCTION("QUERY('Volunteer Survey'!F370)"),"Genetic counselor")</f>
        <v>Genetic counselor</v>
      </c>
      <c r="O361" s="42" t="str">
        <f ca="1">IFERROR(__xludf.DUMMYFUNCTION("QUERY('Volunteer Survey'!H370)"),"Comprehensive")</f>
        <v>Comprehensive</v>
      </c>
      <c r="P361" s="49" t="str">
        <f ca="1">IFERROR(__xludf.DUMMYFUNCTION("QUERY('Volunteer Survey'!I370)"),"Gene-Disease Validity")</f>
        <v>Gene-Disease Validity</v>
      </c>
      <c r="Q361" s="54" t="str">
        <f ca="1">IFERROR(__xludf.DUMMYFUNCTION("QUERY('Volunteer Survey'!J370)"),"")</f>
        <v/>
      </c>
      <c r="R361" s="49" t="str">
        <f ca="1">IFERROR(__xludf.DUMMYFUNCTION("QUERY('Volunteer Survey'!K370)"),"")</f>
        <v/>
      </c>
      <c r="S361" s="49" t="str">
        <f ca="1">IFERROR(__xludf.DUMMYFUNCTION("QUERY('Volunteer Survey'!L370)"),"")</f>
        <v/>
      </c>
      <c r="T361" s="49" t="str">
        <f ca="1">IFERROR(__xludf.DUMMYFUNCTION("QUERY('Volunteer Survey'!M370)"),"")</f>
        <v/>
      </c>
      <c r="U361" s="58" t="str">
        <f ca="1">IFERROR(__xludf.DUMMYFUNCTION("QUERY('Volunteer Survey'!N370)"),"Interpretation of whole genome sequences for individuals with undiagnosed neurodevelopment disorders ")</f>
        <v xml:space="preserve">Interpretation of whole genome sequences for individuals with undiagnosed neurodevelopment disorders </v>
      </c>
      <c r="V361" s="49" t="str">
        <f ca="1">IFERROR(__xludf.DUMMYFUNCTION("QUERY('Volunteer Survey'!O370)"),"Possibly")</f>
        <v>Possibly</v>
      </c>
      <c r="W361" s="60" t="str">
        <f ca="1">IFERROR(__xludf.DUMMYFUNCTION("QUERY('Volunteer Survey'!P370)"),"ASD/ID")</f>
        <v>ASD/ID</v>
      </c>
      <c r="X361" s="58" t="str">
        <f ca="1">IFERROR(__xludf.DUMMYFUNCTION("QUERY('Volunteer Survey'!R370)"),"Maybe -- please contact me with other options, and I will decide based on what is available")</f>
        <v>Maybe -- please contact me with other options, and I will decide based on what is available</v>
      </c>
      <c r="Y361" s="47"/>
      <c r="Z361" s="49"/>
      <c r="AA361" s="49"/>
      <c r="AB361" s="49"/>
      <c r="AC361" s="49"/>
      <c r="AD361" s="49"/>
      <c r="AE361" s="49"/>
      <c r="AF361" s="49"/>
      <c r="AG361" s="49"/>
      <c r="AH361" s="49"/>
      <c r="AI361" s="49"/>
      <c r="AJ361" s="49"/>
      <c r="AK361" s="49"/>
      <c r="AL361" s="49"/>
      <c r="AM361" s="49"/>
      <c r="AN361" s="49"/>
      <c r="AO361" s="49"/>
    </row>
    <row r="362" spans="1:41" ht="14">
      <c r="A362" s="44">
        <f ca="1">IFERROR(__xludf.DUMMYFUNCTION("QUERY('Volunteer Survey'!A371)"),43811.1499500925)</f>
        <v>43811.149950092498</v>
      </c>
      <c r="B362" s="42" t="s">
        <v>108</v>
      </c>
      <c r="C362" s="73">
        <v>43819</v>
      </c>
      <c r="D362" s="67">
        <v>43846</v>
      </c>
      <c r="E362" s="42" t="s">
        <v>117</v>
      </c>
      <c r="F362" s="42" t="s">
        <v>117</v>
      </c>
      <c r="G362" s="42" t="s">
        <v>122</v>
      </c>
      <c r="H362" s="47"/>
      <c r="I362" s="47"/>
      <c r="J362" s="49"/>
      <c r="K362" s="49"/>
      <c r="L362" s="49" t="str">
        <f ca="1">IFERROR(__xludf.DUMMYFUNCTION("QUERY('Volunteer Survey'!B371)"),"Xiaoyan Guo ")</f>
        <v xml:space="preserve">Xiaoyan Guo </v>
      </c>
      <c r="M362" s="49" t="str">
        <f ca="1">IFERROR(__xludf.DUMMYFUNCTION("QUERY('Volunteer Survey'!E371)"),"540842557@qq.com")</f>
        <v>540842557@qq.com</v>
      </c>
      <c r="N362" s="49" t="str">
        <f ca="1">IFERROR(__xludf.DUMMYFUNCTION("QUERY('Volunteer Survey'!F371)"),"Post Doc/Resident/Fellow (MD and/or PhD)")</f>
        <v>Post Doc/Resident/Fellow (MD and/or PhD)</v>
      </c>
      <c r="O362" s="42" t="str">
        <f ca="1">IFERROR(__xludf.DUMMYFUNCTION("QUERY('Volunteer Survey'!H371)"),"Comprehensive")</f>
        <v>Comprehensive</v>
      </c>
      <c r="P362" s="49" t="str">
        <f ca="1">IFERROR(__xludf.DUMMYFUNCTION("QUERY('Volunteer Survey'!I371)"),"Gene-Disease Validity")</f>
        <v>Gene-Disease Validity</v>
      </c>
      <c r="Q362" s="54" t="str">
        <f ca="1">IFERROR(__xludf.DUMMYFUNCTION("QUERY('Volunteer Survey'!J371)"),"Variant Pathogenicity")</f>
        <v>Variant Pathogenicity</v>
      </c>
      <c r="R362" s="49" t="str">
        <f ca="1">IFERROR(__xludf.DUMMYFUNCTION("QUERY('Volunteer Survey'!K371)"),"Dosage Sensitivity")</f>
        <v>Dosage Sensitivity</v>
      </c>
      <c r="S362" s="49" t="str">
        <f ca="1">IFERROR(__xludf.DUMMYFUNCTION("QUERY('Volunteer Survey'!L371)"),"Somatic Cancer")</f>
        <v>Somatic Cancer</v>
      </c>
      <c r="T362" s="49" t="str">
        <f ca="1">IFERROR(__xludf.DUMMYFUNCTION("QUERY('Volunteer Survey'!M371)"),"Clinical Actionability")</f>
        <v>Clinical Actionability</v>
      </c>
      <c r="U362" s="58" t="str">
        <f ca="1">IFERROR(__xludf.DUMMYFUNCTION("QUERY('Volunteer Survey'!N371)"),"")</f>
        <v/>
      </c>
      <c r="V362" s="49" t="str">
        <f ca="1">IFERROR(__xludf.DUMMYFUNCTION("QUERY('Volunteer Survey'!O371)"),"Possibly")</f>
        <v>Possibly</v>
      </c>
      <c r="W362" s="60" t="str">
        <f ca="1">IFERROR(__xludf.DUMMYFUNCTION("QUERY('Volunteer Survey'!P371)"),"")</f>
        <v/>
      </c>
      <c r="X362" s="58" t="str">
        <f ca="1">IFERROR(__xludf.DUMMYFUNCTION("QUERY('Volunteer Survey'!R371)"),"Yes- I am willing to volunteer with any available ClinGen group")</f>
        <v>Yes- I am willing to volunteer with any available ClinGen group</v>
      </c>
      <c r="Y362" s="47"/>
      <c r="Z362" s="49"/>
      <c r="AA362" s="49"/>
      <c r="AB362" s="49"/>
      <c r="AC362" s="49"/>
      <c r="AD362" s="49"/>
      <c r="AE362" s="49"/>
      <c r="AF362" s="49"/>
      <c r="AG362" s="49"/>
      <c r="AH362" s="49"/>
      <c r="AI362" s="49"/>
      <c r="AJ362" s="49"/>
      <c r="AK362" s="49"/>
      <c r="AL362" s="49"/>
      <c r="AM362" s="49"/>
      <c r="AN362" s="49"/>
      <c r="AO362" s="49"/>
    </row>
    <row r="363" spans="1:41" ht="14">
      <c r="A363" s="44">
        <f ca="1">IFERROR(__xludf.DUMMYFUNCTION("QUERY('Volunteer Survey'!A372)"),43811.7965180555)</f>
        <v>43811.796518055497</v>
      </c>
      <c r="B363" s="42" t="s">
        <v>322</v>
      </c>
      <c r="C363" s="47"/>
      <c r="D363" s="49"/>
      <c r="E363" s="49"/>
      <c r="F363" s="42" t="s">
        <v>130</v>
      </c>
      <c r="G363" s="42" t="s">
        <v>313</v>
      </c>
      <c r="H363" s="47"/>
      <c r="I363" s="47"/>
      <c r="J363" s="49"/>
      <c r="K363" s="49"/>
      <c r="L363" s="49" t="str">
        <f ca="1">IFERROR(__xludf.DUMMYFUNCTION("QUERY('Volunteer Survey'!B372)"),"Benjamin Clyde")</f>
        <v>Benjamin Clyde</v>
      </c>
      <c r="M363" s="49" t="str">
        <f ca="1">IFERROR(__xludf.DUMMYFUNCTION("QUERY('Volunteer Survey'!E372)"),"benjamin.clyde@aruplab.com")</f>
        <v>benjamin.clyde@aruplab.com</v>
      </c>
      <c r="N363" s="49" t="str">
        <f ca="1">IFERROR(__xludf.DUMMYFUNCTION("QUERY('Volunteer Survey'!F372)"),"Variant Analyst/Scientist - Industry")</f>
        <v>Variant Analyst/Scientist - Industry</v>
      </c>
      <c r="O363" s="42" t="str">
        <f ca="1">IFERROR(__xludf.DUMMYFUNCTION("QUERY('Volunteer Survey'!H372)"),"Comprehensive")</f>
        <v>Comprehensive</v>
      </c>
      <c r="P363" s="49" t="str">
        <f ca="1">IFERROR(__xludf.DUMMYFUNCTION("QUERY('Volunteer Survey'!I372)"),"Dosage Sensitivity")</f>
        <v>Dosage Sensitivity</v>
      </c>
      <c r="Q363" s="54" t="str">
        <f ca="1">IFERROR(__xludf.DUMMYFUNCTION("QUERY('Volunteer Survey'!J372)"),"Somatic Cancer")</f>
        <v>Somatic Cancer</v>
      </c>
      <c r="R363" s="49" t="str">
        <f ca="1">IFERROR(__xludf.DUMMYFUNCTION("QUERY('Volunteer Survey'!K372)"),"")</f>
        <v/>
      </c>
      <c r="S363" s="49" t="str">
        <f ca="1">IFERROR(__xludf.DUMMYFUNCTION("QUERY('Volunteer Survey'!L372)"),"")</f>
        <v/>
      </c>
      <c r="T363" s="49" t="str">
        <f ca="1">IFERROR(__xludf.DUMMYFUNCTION("QUERY('Volunteer Survey'!M372)"),"")</f>
        <v/>
      </c>
      <c r="U363" s="58" t="str">
        <f ca="1">IFERROR(__xludf.DUMMYFUNCTION("QUERY('Volunteer Survey'!N372)"),"")</f>
        <v/>
      </c>
      <c r="V363" s="49" t="str">
        <f ca="1">IFERROR(__xludf.DUMMYFUNCTION("QUERY('Volunteer Survey'!O372)"),"")</f>
        <v/>
      </c>
      <c r="W363" s="60" t="str">
        <f ca="1">IFERROR(__xludf.DUMMYFUNCTION("QUERY('Volunteer Survey'!P372)"),"Hereditary Cancer Dosage Sensitivity Subgroup")</f>
        <v>Hereditary Cancer Dosage Sensitivity Subgroup</v>
      </c>
      <c r="X363" s="58" t="str">
        <f ca="1">IFERROR(__xludf.DUMMYFUNCTION("QUERY('Volunteer Survey'!R372)"),"Maybe -- please contact me with other options, and I will decide based on what is available")</f>
        <v>Maybe -- please contact me with other options, and I will decide based on what is available</v>
      </c>
      <c r="Y363" s="47"/>
      <c r="Z363" s="49"/>
      <c r="AA363" s="49"/>
      <c r="AB363" s="49"/>
      <c r="AC363" s="49"/>
      <c r="AD363" s="49"/>
      <c r="AE363" s="49"/>
      <c r="AF363" s="49"/>
      <c r="AG363" s="49"/>
      <c r="AH363" s="49"/>
      <c r="AI363" s="49"/>
      <c r="AJ363" s="49"/>
      <c r="AK363" s="49"/>
      <c r="AL363" s="49"/>
      <c r="AM363" s="49"/>
      <c r="AN363" s="49"/>
      <c r="AO363" s="49"/>
    </row>
    <row r="364" spans="1:41" ht="14">
      <c r="A364" s="44">
        <f ca="1">IFERROR(__xludf.DUMMYFUNCTION("QUERY('Volunteer Survey'!A373)"),43815.7970407407)</f>
        <v>43815.797040740697</v>
      </c>
      <c r="B364" s="42" t="s">
        <v>322</v>
      </c>
      <c r="C364" s="47"/>
      <c r="D364" s="49"/>
      <c r="E364" s="49"/>
      <c r="F364" s="42" t="s">
        <v>130</v>
      </c>
      <c r="G364" s="42" t="s">
        <v>136</v>
      </c>
      <c r="H364" s="47"/>
      <c r="I364" s="47"/>
      <c r="J364" s="49"/>
      <c r="K364" s="49"/>
      <c r="L364" s="49" t="str">
        <f ca="1">IFERROR(__xludf.DUMMYFUNCTION("QUERY('Volunteer Survey'!B373)"),"cynthia chow")</f>
        <v>cynthia chow</v>
      </c>
      <c r="M364" s="49" t="str">
        <f ca="1">IFERROR(__xludf.DUMMYFUNCTION("QUERY('Volunteer Survey'!E373)"),"cchow3@bccancer.bc.ca")</f>
        <v>cchow3@bccancer.bc.ca</v>
      </c>
      <c r="N364" s="49" t="str">
        <f ca="1">IFERROR(__xludf.DUMMYFUNCTION("QUERY('Volunteer Survey'!F373)"),"Variant Analyst for an In-house Oncopanel and Myeloid Panels")</f>
        <v>Variant Analyst for an In-house Oncopanel and Myeloid Panels</v>
      </c>
      <c r="O364" s="42" t="str">
        <f ca="1">IFERROR(__xludf.DUMMYFUNCTION("QUERY('Volunteer Survey'!H373)"),"Comprehensive")</f>
        <v>Comprehensive</v>
      </c>
      <c r="P364" s="49" t="str">
        <f ca="1">IFERROR(__xludf.DUMMYFUNCTION("QUERY('Volunteer Survey'!I373)"),"Somatic Cancer")</f>
        <v>Somatic Cancer</v>
      </c>
      <c r="Q364" s="54" t="str">
        <f ca="1">IFERROR(__xludf.DUMMYFUNCTION("QUERY('Volunteer Survey'!J373)"),"Clinical Actionability")</f>
        <v>Clinical Actionability</v>
      </c>
      <c r="R364" s="49" t="str">
        <f ca="1">IFERROR(__xludf.DUMMYFUNCTION("QUERY('Volunteer Survey'!K373)"),"Variant Pathogenicity")</f>
        <v>Variant Pathogenicity</v>
      </c>
      <c r="S364" s="49" t="str">
        <f ca="1">IFERROR(__xludf.DUMMYFUNCTION("QUERY('Volunteer Survey'!L373)"),"Gene-Disease Validity")</f>
        <v>Gene-Disease Validity</v>
      </c>
      <c r="T364" s="49" t="str">
        <f ca="1">IFERROR(__xludf.DUMMYFUNCTION("QUERY('Volunteer Survey'!M373)"),"Dosage Sensitivity")</f>
        <v>Dosage Sensitivity</v>
      </c>
      <c r="U364" s="58" t="str">
        <f ca="1">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49" t="str">
        <f ca="1">IFERROR(__xludf.DUMMYFUNCTION("QUERY('Volunteer Survey'!O373)"),"Yes")</f>
        <v>Yes</v>
      </c>
      <c r="W364" s="60" t="str">
        <f ca="1">IFERROR(__xludf.DUMMYFUNCTION("QUERY('Volunteer Survey'!P373)"),"")</f>
        <v/>
      </c>
      <c r="X364" s="58" t="str">
        <f ca="1">IFERROR(__xludf.DUMMYFUNCTION("QUERY('Volunteer Survey'!R373)"),"Maybe -- please contact me with other options, and I will decide based on what is available")</f>
        <v>Maybe -- please contact me with other options, and I will decide based on what is available</v>
      </c>
      <c r="Y364" s="47"/>
      <c r="Z364" s="49"/>
      <c r="AA364" s="49"/>
      <c r="AB364" s="49"/>
      <c r="AC364" s="49"/>
      <c r="AD364" s="49"/>
      <c r="AE364" s="49"/>
      <c r="AF364" s="49"/>
      <c r="AG364" s="49"/>
      <c r="AH364" s="49"/>
      <c r="AI364" s="49"/>
      <c r="AJ364" s="49"/>
      <c r="AK364" s="49"/>
      <c r="AL364" s="49"/>
      <c r="AM364" s="49"/>
      <c r="AN364" s="49"/>
      <c r="AO364" s="49"/>
    </row>
    <row r="365" spans="1:41" ht="14">
      <c r="A365" s="44">
        <f ca="1">IFERROR(__xludf.DUMMYFUNCTION("QUERY('Volunteer Survey'!A374)"),43817.6204590393)</f>
        <v>43817.620459039303</v>
      </c>
      <c r="B365" s="42" t="s">
        <v>108</v>
      </c>
      <c r="C365" s="73">
        <v>43819</v>
      </c>
      <c r="D365" s="49"/>
      <c r="E365" s="49"/>
      <c r="F365" s="42" t="s">
        <v>130</v>
      </c>
      <c r="G365" s="42" t="s">
        <v>122</v>
      </c>
      <c r="H365" s="47"/>
      <c r="I365" s="47"/>
      <c r="J365" s="49"/>
      <c r="K365" s="49"/>
      <c r="L365" s="49" t="str">
        <f ca="1">IFERROR(__xludf.DUMMYFUNCTION("QUERY('Volunteer Survey'!B374)"),"Marco Leung")</f>
        <v>Marco Leung</v>
      </c>
      <c r="M365" s="49" t="str">
        <f ca="1">IFERROR(__xludf.DUMMYFUNCTION("QUERY('Volunteer Survey'!E374)"),"marcoleung@me.com")</f>
        <v>marcoleung@me.com</v>
      </c>
      <c r="N365" s="49" t="str">
        <f ca="1">IFERROR(__xludf.DUMMYFUNCTION("QUERY('Volunteer Survey'!F374)"),"Clinical laboratory geneticist")</f>
        <v>Clinical laboratory geneticist</v>
      </c>
      <c r="O365" s="42" t="str">
        <f ca="1">IFERROR(__xludf.DUMMYFUNCTION("QUERY('Volunteer Survey'!H374)"),"Comprehensive")</f>
        <v>Comprehensive</v>
      </c>
      <c r="P365" s="49" t="str">
        <f ca="1">IFERROR(__xludf.DUMMYFUNCTION("QUERY('Volunteer Survey'!I374)"),"Gene-Disease Validity")</f>
        <v>Gene-Disease Validity</v>
      </c>
      <c r="Q365" s="54" t="str">
        <f ca="1">IFERROR(__xludf.DUMMYFUNCTION("QUERY('Volunteer Survey'!J374)"),"Variant Pathogenicity")</f>
        <v>Variant Pathogenicity</v>
      </c>
      <c r="R365" s="49" t="str">
        <f ca="1">IFERROR(__xludf.DUMMYFUNCTION("QUERY('Volunteer Survey'!K374)"),"Clinical Actionability")</f>
        <v>Clinical Actionability</v>
      </c>
      <c r="S365" s="49" t="str">
        <f ca="1">IFERROR(__xludf.DUMMYFUNCTION("QUERY('Volunteer Survey'!L374)"),"Dosage Sensitivity")</f>
        <v>Dosage Sensitivity</v>
      </c>
      <c r="T365" s="49" t="str">
        <f ca="1">IFERROR(__xludf.DUMMYFUNCTION("QUERY('Volunteer Survey'!M374)"),"Somatic Cancer")</f>
        <v>Somatic Cancer</v>
      </c>
      <c r="U365" s="58" t="str">
        <f ca="1">IFERROR(__xludf.DUMMYFUNCTION("QUERY('Volunteer Survey'!N374)"),"Determining gene-disease validity and variant pathogenicity is my everyday job")</f>
        <v>Determining gene-disease validity and variant pathogenicity is my everyday job</v>
      </c>
      <c r="V365" s="49" t="str">
        <f ca="1">IFERROR(__xludf.DUMMYFUNCTION("QUERY('Volunteer Survey'!O374)"),"Yes")</f>
        <v>Yes</v>
      </c>
      <c r="W365" s="60" t="str">
        <f ca="1">IFERROR(__xludf.DUMMYFUNCTION("QUERY('Volunteer Survey'!P374)"),"")</f>
        <v/>
      </c>
      <c r="X365" s="58" t="str">
        <f ca="1">IFERROR(__xludf.DUMMYFUNCTION("QUERY('Volunteer Survey'!R374)"),"Yes- I am willing to volunteer with any available ClinGen group")</f>
        <v>Yes- I am willing to volunteer with any available ClinGen group</v>
      </c>
      <c r="Y365" s="47"/>
      <c r="Z365" s="49"/>
      <c r="AA365" s="49"/>
      <c r="AB365" s="49"/>
      <c r="AC365" s="49"/>
      <c r="AD365" s="49"/>
      <c r="AE365" s="49"/>
      <c r="AF365" s="49"/>
      <c r="AG365" s="49"/>
      <c r="AH365" s="49"/>
      <c r="AI365" s="49"/>
      <c r="AJ365" s="49"/>
      <c r="AK365" s="49"/>
      <c r="AL365" s="49"/>
      <c r="AM365" s="49"/>
      <c r="AN365" s="49"/>
      <c r="AO365" s="49"/>
    </row>
    <row r="366" spans="1:41" ht="14">
      <c r="A366" s="44">
        <f ca="1">IFERROR(__xludf.DUMMYFUNCTION("QUERY('Volunteer Survey'!A375)"),43817.6338315509)</f>
        <v>43817.633831550898</v>
      </c>
      <c r="B366" s="42" t="s">
        <v>322</v>
      </c>
      <c r="C366" s="47"/>
      <c r="D366" s="49"/>
      <c r="E366" s="49"/>
      <c r="F366" s="42" t="s">
        <v>130</v>
      </c>
      <c r="G366" s="42" t="s">
        <v>313</v>
      </c>
      <c r="H366" s="47"/>
      <c r="I366" s="47"/>
      <c r="J366" s="49"/>
      <c r="K366" s="49"/>
      <c r="L366" s="49" t="str">
        <f ca="1">IFERROR(__xludf.DUMMYFUNCTION("QUERY('Volunteer Survey'!B375)"),"Alaa Koleilat")</f>
        <v>Alaa Koleilat</v>
      </c>
      <c r="M366" s="49" t="str">
        <f ca="1">IFERROR(__xludf.DUMMYFUNCTION("QUERY('Volunteer Survey'!E375)"),"koleilat.alaa@mayo.edu")</f>
        <v>koleilat.alaa@mayo.edu</v>
      </c>
      <c r="N366" s="49" t="str">
        <f ca="1">IFERROR(__xludf.DUMMYFUNCTION("QUERY('Volunteer Survey'!F375)"),"Graduate Student")</f>
        <v>Graduate Student</v>
      </c>
      <c r="O366" s="42" t="str">
        <f ca="1">IFERROR(__xludf.DUMMYFUNCTION("QUERY('Volunteer Survey'!H375)"),"Baseline")</f>
        <v>Baseline</v>
      </c>
      <c r="P366" s="49" t="str">
        <f ca="1">IFERROR(__xludf.DUMMYFUNCTION("QUERY('Volunteer Survey'!I375)"),"Variant Pathogenicity")</f>
        <v>Variant Pathogenicity</v>
      </c>
      <c r="Q366" s="54" t="str">
        <f ca="1">IFERROR(__xludf.DUMMYFUNCTION("QUERY('Volunteer Survey'!J375)"),"Gene-Disease Validity")</f>
        <v>Gene-Disease Validity</v>
      </c>
      <c r="R366" s="49" t="str">
        <f ca="1">IFERROR(__xludf.DUMMYFUNCTION("QUERY('Volunteer Survey'!K375)"),"Somatic Cancer")</f>
        <v>Somatic Cancer</v>
      </c>
      <c r="S366" s="49" t="str">
        <f ca="1">IFERROR(__xludf.DUMMYFUNCTION("QUERY('Volunteer Survey'!L375)"),"Clinical Actionability")</f>
        <v>Clinical Actionability</v>
      </c>
      <c r="T366" s="49" t="str">
        <f ca="1">IFERROR(__xludf.DUMMYFUNCTION("QUERY('Volunteer Survey'!M375)"),"Dosage Sensitivity")</f>
        <v>Dosage Sensitivity</v>
      </c>
      <c r="U366" s="58" t="str">
        <f ca="1">IFERROR(__xludf.DUMMYFUNCTION("QUERY('Volunteer Survey'!N375)"),"")</f>
        <v/>
      </c>
      <c r="V366" s="49" t="str">
        <f ca="1">IFERROR(__xludf.DUMMYFUNCTION("QUERY('Volunteer Survey'!O375)"),"Yes")</f>
        <v>Yes</v>
      </c>
      <c r="W366" s="60" t="str">
        <f ca="1">IFERROR(__xludf.DUMMYFUNCTION("QUERY('Volunteer Survey'!P375)"),"mitochondrial disease, pediatric somatic cancer")</f>
        <v>mitochondrial disease, pediatric somatic cancer</v>
      </c>
      <c r="X366" s="58" t="str">
        <f ca="1">IFERROR(__xludf.DUMMYFUNCTION("QUERY('Volunteer Survey'!R375)"),"Yes- I am willing to volunteer with any available ClinGen group")</f>
        <v>Yes- I am willing to volunteer with any available ClinGen group</v>
      </c>
      <c r="Y366" s="47"/>
      <c r="Z366" s="49"/>
      <c r="AA366" s="49"/>
      <c r="AB366" s="49"/>
      <c r="AC366" s="49"/>
      <c r="AD366" s="49"/>
      <c r="AE366" s="49"/>
      <c r="AF366" s="49"/>
      <c r="AG366" s="49"/>
      <c r="AH366" s="49"/>
      <c r="AI366" s="49"/>
      <c r="AJ366" s="49"/>
      <c r="AK366" s="49"/>
      <c r="AL366" s="49"/>
      <c r="AM366" s="49"/>
      <c r="AN366" s="49"/>
      <c r="AO366" s="49"/>
    </row>
    <row r="367" spans="1:41" ht="14">
      <c r="A367" s="44">
        <f ca="1">IFERROR(__xludf.DUMMYFUNCTION("QUERY('Volunteer Survey'!A376)"),43818.5194019097)</f>
        <v>43818.519401909703</v>
      </c>
      <c r="B367" s="42" t="s">
        <v>108</v>
      </c>
      <c r="C367" s="73">
        <v>43819</v>
      </c>
      <c r="D367" s="67">
        <v>43846</v>
      </c>
      <c r="E367" s="42" t="s">
        <v>117</v>
      </c>
      <c r="F367" s="42" t="s">
        <v>117</v>
      </c>
      <c r="G367" s="42" t="s">
        <v>122</v>
      </c>
      <c r="H367" s="47"/>
      <c r="I367" s="47"/>
      <c r="J367" s="49"/>
      <c r="K367" s="49"/>
      <c r="L367" s="49" t="str">
        <f ca="1">IFERROR(__xludf.DUMMYFUNCTION("QUERY('Volunteer Survey'!B376)"),"Thanuja Selvanayagam")</f>
        <v>Thanuja Selvanayagam</v>
      </c>
      <c r="M367" s="49" t="str">
        <f ca="1">IFERROR(__xludf.DUMMYFUNCTION("QUERY('Volunteer Survey'!E376)"),"tselvanayagam@cheo.on.ca")</f>
        <v>tselvanayagam@cheo.on.ca</v>
      </c>
      <c r="N367" s="49" t="str">
        <f ca="1">IFERROR(__xludf.DUMMYFUNCTION("QUERY('Volunteer Survey'!F376)"),"Genetic counselor")</f>
        <v>Genetic counselor</v>
      </c>
      <c r="O367" s="42" t="str">
        <f ca="1">IFERROR(__xludf.DUMMYFUNCTION("QUERY('Volunteer Survey'!H376)"),"Comprehensive")</f>
        <v>Comprehensive</v>
      </c>
      <c r="P367" s="49" t="str">
        <f ca="1">IFERROR(__xludf.DUMMYFUNCTION("QUERY('Volunteer Survey'!I376)"),"Gene-Disease Validity")</f>
        <v>Gene-Disease Validity</v>
      </c>
      <c r="Q367" s="54" t="str">
        <f ca="1">IFERROR(__xludf.DUMMYFUNCTION("QUERY('Volunteer Survey'!J376)"),"Variant Pathogenicity")</f>
        <v>Variant Pathogenicity</v>
      </c>
      <c r="R367" s="49" t="str">
        <f ca="1">IFERROR(__xludf.DUMMYFUNCTION("QUERY('Volunteer Survey'!K376)"),"Clinical Actionability")</f>
        <v>Clinical Actionability</v>
      </c>
      <c r="S367" s="49" t="str">
        <f ca="1">IFERROR(__xludf.DUMMYFUNCTION("QUERY('Volunteer Survey'!L376)"),"Dosage Sensitivity")</f>
        <v>Dosage Sensitivity</v>
      </c>
      <c r="T367" s="49" t="str">
        <f ca="1">IFERROR(__xludf.DUMMYFUNCTION("QUERY('Volunteer Survey'!M376)"),"Somatic Cancer")</f>
        <v>Somatic Cancer</v>
      </c>
      <c r="U367" s="58" t="str">
        <f ca="1">IFERROR(__xludf.DUMMYFUNCTION("QUERY('Volunteer Survey'!N376)"),"NO")</f>
        <v>NO</v>
      </c>
      <c r="V367" s="49" t="str">
        <f ca="1">IFERROR(__xludf.DUMMYFUNCTION("QUERY('Volunteer Survey'!O376)"),"Possibly")</f>
        <v>Possibly</v>
      </c>
      <c r="W367" s="60" t="str">
        <f ca="1">IFERROR(__xludf.DUMMYFUNCTION("QUERY('Volunteer Survey'!P376)"),"Cardiomyopathy ")</f>
        <v xml:space="preserve">Cardiomyopathy </v>
      </c>
      <c r="X367" s="58" t="str">
        <f ca="1">IFERROR(__xludf.DUMMYFUNCTION("QUERY('Volunteer Survey'!R376)"),"Maybe -- please contact me with other options, and I will decide based on what is available")</f>
        <v>Maybe -- please contact me with other options, and I will decide based on what is available</v>
      </c>
      <c r="Y367" s="47"/>
      <c r="Z367" s="49"/>
      <c r="AA367" s="49"/>
      <c r="AB367" s="49"/>
      <c r="AC367" s="49"/>
      <c r="AD367" s="49"/>
      <c r="AE367" s="49"/>
      <c r="AF367" s="49"/>
      <c r="AG367" s="49"/>
      <c r="AH367" s="49"/>
      <c r="AI367" s="49"/>
      <c r="AJ367" s="49"/>
      <c r="AK367" s="49"/>
      <c r="AL367" s="49"/>
      <c r="AM367" s="49"/>
      <c r="AN367" s="49"/>
      <c r="AO367" s="49"/>
    </row>
    <row r="368" spans="1:41" ht="14">
      <c r="A368" s="44">
        <f ca="1">IFERROR(__xludf.DUMMYFUNCTION("QUERY('Volunteer Survey'!A377)"),43822.7809561111)</f>
        <v>43822.780956111099</v>
      </c>
      <c r="B368" s="42" t="s">
        <v>160</v>
      </c>
      <c r="C368" s="84">
        <v>43860</v>
      </c>
      <c r="D368" s="49"/>
      <c r="E368" s="49"/>
      <c r="F368" s="42" t="s">
        <v>130</v>
      </c>
      <c r="G368" s="42" t="s">
        <v>19</v>
      </c>
      <c r="H368" s="47"/>
      <c r="I368" s="47"/>
      <c r="J368" s="49"/>
      <c r="K368" s="49"/>
      <c r="L368" s="49" t="str">
        <f ca="1">IFERROR(__xludf.DUMMYFUNCTION("QUERY('Volunteer Survey'!B377)"),"Shrutika Jadhav")</f>
        <v>Shrutika Jadhav</v>
      </c>
      <c r="M368" s="49" t="str">
        <f ca="1">IFERROR(__xludf.DUMMYFUNCTION("QUERY('Volunteer Survey'!E377)"),"shrutikajadhav18@gmail.com")</f>
        <v>shrutikajadhav18@gmail.com</v>
      </c>
      <c r="N368" s="49" t="str">
        <f ca="1">IFERROR(__xludf.DUMMYFUNCTION("QUERY('Volunteer Survey'!F377)"),"Graduate Student")</f>
        <v>Graduate Student</v>
      </c>
      <c r="O368" s="42" t="str">
        <f ca="1">IFERROR(__xludf.DUMMYFUNCTION("QUERY('Volunteer Survey'!H377)"),"Comprehensive")</f>
        <v>Comprehensive</v>
      </c>
      <c r="P368" s="49" t="str">
        <f ca="1">IFERROR(__xludf.DUMMYFUNCTION("QUERY('Volunteer Survey'!I377)"),"Clinical Actionability")</f>
        <v>Clinical Actionability</v>
      </c>
      <c r="Q368" s="54" t="str">
        <f ca="1">IFERROR(__xludf.DUMMYFUNCTION("QUERY('Volunteer Survey'!J377)"),"Gene-Disease Validity")</f>
        <v>Gene-Disease Validity</v>
      </c>
      <c r="R368" s="49" t="str">
        <f ca="1">IFERROR(__xludf.DUMMYFUNCTION("QUERY('Volunteer Survey'!K377)"),"Variant Pathogenicity")</f>
        <v>Variant Pathogenicity</v>
      </c>
      <c r="S368" s="49" t="str">
        <f ca="1">IFERROR(__xludf.DUMMYFUNCTION("QUERY('Volunteer Survey'!L377)"),"Dosage Sensitivity")</f>
        <v>Dosage Sensitivity</v>
      </c>
      <c r="T368" s="49" t="str">
        <f ca="1">IFERROR(__xludf.DUMMYFUNCTION("QUERY('Volunteer Survey'!M377)"),"Somatic Cancer")</f>
        <v>Somatic Cancer</v>
      </c>
      <c r="U368" s="58" t="str">
        <f ca="1">IFERROR(__xludf.DUMMYFUNCTION("QUERY('Volunteer Survey'!N377)"),"No")</f>
        <v>No</v>
      </c>
      <c r="V368" s="49" t="str">
        <f ca="1">IFERROR(__xludf.DUMMYFUNCTION("QUERY('Volunteer Survey'!O377)"),"Yes")</f>
        <v>Yes</v>
      </c>
      <c r="W368" s="60" t="str">
        <f ca="1">IFERROR(__xludf.DUMMYFUNCTION("QUERY('Volunteer Survey'!P377)"),"Brain Malformations, Intellectual Disability and Autism, Pediatric ")</f>
        <v xml:space="preserve">Brain Malformations, Intellectual Disability and Autism, Pediatric </v>
      </c>
      <c r="X368" s="58" t="str">
        <f ca="1">IFERROR(__xludf.DUMMYFUNCTION("QUERY('Volunteer Survey'!R377)"),"Yes- I am willing to volunteer with any available ClinGen group")</f>
        <v>Yes- I am willing to volunteer with any available ClinGen group</v>
      </c>
      <c r="Y368" s="47"/>
      <c r="Z368" s="49"/>
      <c r="AA368" s="49"/>
      <c r="AB368" s="49"/>
      <c r="AC368" s="49"/>
      <c r="AD368" s="49"/>
      <c r="AE368" s="49"/>
      <c r="AF368" s="49"/>
      <c r="AG368" s="49"/>
      <c r="AH368" s="49"/>
      <c r="AI368" s="49"/>
      <c r="AJ368" s="49"/>
      <c r="AK368" s="49"/>
      <c r="AL368" s="49"/>
      <c r="AM368" s="49"/>
      <c r="AN368" s="49"/>
      <c r="AO368" s="49"/>
    </row>
    <row r="369" spans="1:41" ht="14">
      <c r="A369" s="44">
        <f ca="1">IFERROR(__xludf.DUMMYFUNCTION("QUERY('Volunteer Survey'!A378)"),43833.4417677662)</f>
        <v>43833.441767766199</v>
      </c>
      <c r="B369" s="42" t="s">
        <v>108</v>
      </c>
      <c r="C369" s="73">
        <v>43838</v>
      </c>
      <c r="D369" s="49"/>
      <c r="E369" s="49"/>
      <c r="F369" s="42" t="s">
        <v>130</v>
      </c>
      <c r="G369" s="42" t="s">
        <v>122</v>
      </c>
      <c r="H369" s="47"/>
      <c r="I369" s="47"/>
      <c r="J369" s="49"/>
      <c r="K369" s="49"/>
      <c r="L369" s="49" t="str">
        <f ca="1">IFERROR(__xludf.DUMMYFUNCTION("QUERY('Volunteer Survey'!B378)"),"JACQUELINE BATANIAN")</f>
        <v>JACQUELINE BATANIAN</v>
      </c>
      <c r="M369" s="49" t="str">
        <f ca="1">IFERROR(__xludf.DUMMYFUNCTION("QUERY('Volunteer Survey'!E378)"),"JACQUELINE.BATANIAN@HEALTH.SLU.EDU")</f>
        <v>JACQUELINE.BATANIAN@HEALTH.SLU.EDU</v>
      </c>
      <c r="N369" s="49" t="str">
        <f ca="1">IFERROR(__xludf.DUMMYFUNCTION("QUERY('Volunteer Survey'!F378)"),"Clinical laboratory geneticist")</f>
        <v>Clinical laboratory geneticist</v>
      </c>
      <c r="O369" s="42" t="str">
        <f ca="1">IFERROR(__xludf.DUMMYFUNCTION("QUERY('Volunteer Survey'!H378)"),"Comprehensive")</f>
        <v>Comprehensive</v>
      </c>
      <c r="P369" s="49" t="str">
        <f ca="1">IFERROR(__xludf.DUMMYFUNCTION("QUERY('Volunteer Survey'!I378)"),"Gene-Disease Validity")</f>
        <v>Gene-Disease Validity</v>
      </c>
      <c r="Q369" s="54" t="str">
        <f ca="1">IFERROR(__xludf.DUMMYFUNCTION("QUERY('Volunteer Survey'!J378)"),"Somatic Cancer")</f>
        <v>Somatic Cancer</v>
      </c>
      <c r="R369" s="49" t="str">
        <f ca="1">IFERROR(__xludf.DUMMYFUNCTION("QUERY('Volunteer Survey'!K378)"),"Variant Pathogenicity")</f>
        <v>Variant Pathogenicity</v>
      </c>
      <c r="S369" s="49" t="str">
        <f ca="1">IFERROR(__xludf.DUMMYFUNCTION("QUERY('Volunteer Survey'!L378)"),"Dosage Sensitivity")</f>
        <v>Dosage Sensitivity</v>
      </c>
      <c r="T369" s="49" t="str">
        <f ca="1">IFERROR(__xludf.DUMMYFUNCTION("QUERY('Volunteer Survey'!M378)"),"Clinical Actionability")</f>
        <v>Clinical Actionability</v>
      </c>
      <c r="U369" s="58" t="str">
        <f ca="1">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49" t="str">
        <f ca="1">IFERROR(__xludf.DUMMYFUNCTION("QUERY('Volunteer Survey'!O378)"),"Yes")</f>
        <v>Yes</v>
      </c>
      <c r="W369" s="60" t="str">
        <f ca="1">IFERROR(__xludf.DUMMYFUNCTION("QUERY('Volunteer Survey'!P378)"),"Cardiovascular diseases and Pediatric cancer")</f>
        <v>Cardiovascular diseases and Pediatric cancer</v>
      </c>
      <c r="X369" s="58" t="str">
        <f ca="1">IFERROR(__xludf.DUMMYFUNCTION("QUERY('Volunteer Survey'!R378)"),"Yes- I am willing to volunteer with any available ClinGen group")</f>
        <v>Yes- I am willing to volunteer with any available ClinGen group</v>
      </c>
      <c r="Y369" s="47"/>
      <c r="Z369" s="49"/>
      <c r="AA369" s="49"/>
      <c r="AB369" s="49"/>
      <c r="AC369" s="49"/>
      <c r="AD369" s="49"/>
      <c r="AE369" s="49"/>
      <c r="AF369" s="49"/>
      <c r="AG369" s="49"/>
      <c r="AH369" s="49"/>
      <c r="AI369" s="49"/>
      <c r="AJ369" s="49"/>
      <c r="AK369" s="49"/>
      <c r="AL369" s="49"/>
      <c r="AM369" s="49"/>
      <c r="AN369" s="49"/>
      <c r="AO369" s="49"/>
    </row>
    <row r="370" spans="1:41" ht="14">
      <c r="A370" s="44">
        <f ca="1">IFERROR(__xludf.DUMMYFUNCTION("QUERY('Volunteer Survey'!A379)"),43833.7118985648)</f>
        <v>43833.711898564798</v>
      </c>
      <c r="B370" s="42" t="s">
        <v>322</v>
      </c>
      <c r="C370" s="47"/>
      <c r="D370" s="49"/>
      <c r="E370" s="49"/>
      <c r="F370" s="42" t="s">
        <v>130</v>
      </c>
      <c r="G370" s="42" t="s">
        <v>313</v>
      </c>
      <c r="H370" s="47"/>
      <c r="I370" s="47"/>
      <c r="J370" s="49"/>
      <c r="K370" s="49"/>
      <c r="L370" s="49" t="str">
        <f ca="1">IFERROR(__xludf.DUMMYFUNCTION("QUERY('Volunteer Survey'!B379)"),"Nan Jiang")</f>
        <v>Nan Jiang</v>
      </c>
      <c r="M370" s="49" t="str">
        <f ca="1">IFERROR(__xludf.DUMMYFUNCTION("QUERY('Volunteer Survey'!E379)"),"nj2421@cumc.columbia.edu")</f>
        <v>nj2421@cumc.columbia.edu</v>
      </c>
      <c r="N370" s="49" t="str">
        <f ca="1">IFERROR(__xludf.DUMMYFUNCTION("QUERY('Volunteer Survey'!F379)"),"Post Doc/Resident/Fellow (MD and/or PhD)")</f>
        <v>Post Doc/Resident/Fellow (MD and/or PhD)</v>
      </c>
      <c r="O370" s="42" t="str">
        <f ca="1">IFERROR(__xludf.DUMMYFUNCTION("QUERY('Volunteer Survey'!H379)"),"Comprehensive")</f>
        <v>Comprehensive</v>
      </c>
      <c r="P370" s="49" t="str">
        <f ca="1">IFERROR(__xludf.DUMMYFUNCTION("QUERY('Volunteer Survey'!I379)"),"Somatic Cancer")</f>
        <v>Somatic Cancer</v>
      </c>
      <c r="Q370" s="54" t="str">
        <f ca="1">IFERROR(__xludf.DUMMYFUNCTION("QUERY('Volunteer Survey'!J379)"),"Gene-Disease Validity")</f>
        <v>Gene-Disease Validity</v>
      </c>
      <c r="R370" s="49" t="str">
        <f ca="1">IFERROR(__xludf.DUMMYFUNCTION("QUERY('Volunteer Survey'!K379)"),"Clinical Actionability")</f>
        <v>Clinical Actionability</v>
      </c>
      <c r="S370" s="49" t="str">
        <f ca="1">IFERROR(__xludf.DUMMYFUNCTION("QUERY('Volunteer Survey'!L379)"),"Variant Pathogenicity")</f>
        <v>Variant Pathogenicity</v>
      </c>
      <c r="T370" s="49" t="str">
        <f ca="1">IFERROR(__xludf.DUMMYFUNCTION("QUERY('Volunteer Survey'!M379)"),"Dosage Sensitivity")</f>
        <v>Dosage Sensitivity</v>
      </c>
      <c r="U370" s="58" t="str">
        <f ca="1">IFERROR(__xludf.DUMMYFUNCTION("QUERY('Volunteer Survey'!N379)"),"Yes. I am currently a LGG fellow at Columbia. I do SOMA analysis, WES variant curation on daily bases. ")</f>
        <v xml:space="preserve">Yes. I am currently a LGG fellow at Columbia. I do SOMA analysis, WES variant curation on daily bases. </v>
      </c>
      <c r="V370" s="49" t="str">
        <f ca="1">IFERROR(__xludf.DUMMYFUNCTION("QUERY('Volunteer Survey'!O379)"),"Yes")</f>
        <v>Yes</v>
      </c>
      <c r="W370" s="60" t="str">
        <f ca="1">IFERROR(__xludf.DUMMYFUNCTION("QUERY('Volunteer Survey'!P379)"),"Hereditary Cancer, Brain Malformations , Somatic Cancer Pediatric")</f>
        <v>Hereditary Cancer, Brain Malformations , Somatic Cancer Pediatric</v>
      </c>
      <c r="X370" s="58" t="str">
        <f ca="1">IFERROR(__xludf.DUMMYFUNCTION("QUERY('Volunteer Survey'!R379)"),"Yes- I am willing to volunteer with any available ClinGen group")</f>
        <v>Yes- I am willing to volunteer with any available ClinGen group</v>
      </c>
      <c r="Y370" s="47"/>
      <c r="Z370" s="49"/>
      <c r="AA370" s="49"/>
      <c r="AB370" s="49"/>
      <c r="AC370" s="49"/>
      <c r="AD370" s="49"/>
      <c r="AE370" s="49"/>
      <c r="AF370" s="49"/>
      <c r="AG370" s="49"/>
      <c r="AH370" s="49"/>
      <c r="AI370" s="49"/>
      <c r="AJ370" s="49"/>
      <c r="AK370" s="49"/>
      <c r="AL370" s="49"/>
      <c r="AM370" s="49"/>
      <c r="AN370" s="49"/>
      <c r="AO370" s="49"/>
    </row>
    <row r="371" spans="1:41" ht="14">
      <c r="A371" s="44">
        <f ca="1">IFERROR(__xludf.DUMMYFUNCTION("QUERY('Volunteer Survey'!A380)"),43836.6499405555)</f>
        <v>43836.649940555501</v>
      </c>
      <c r="B371" s="42" t="s">
        <v>322</v>
      </c>
      <c r="C371" s="47"/>
      <c r="D371" s="49"/>
      <c r="E371" s="49"/>
      <c r="F371" s="42" t="s">
        <v>130</v>
      </c>
      <c r="G371" s="42" t="s">
        <v>313</v>
      </c>
      <c r="H371" s="47"/>
      <c r="I371" s="47"/>
      <c r="J371" s="49"/>
      <c r="K371" s="49"/>
      <c r="L371" s="49" t="str">
        <f ca="1">IFERROR(__xludf.DUMMYFUNCTION("QUERY('Volunteer Survey'!B380)"),"Jaime Nagy")</f>
        <v>Jaime Nagy</v>
      </c>
      <c r="M371" s="49" t="str">
        <f ca="1">IFERROR(__xludf.DUMMYFUNCTION("QUERY('Volunteer Survey'!E380)"),"jaime-nagy@uiowa.edu")</f>
        <v>jaime-nagy@uiowa.edu</v>
      </c>
      <c r="N371" s="49" t="str">
        <f ca="1">IFERROR(__xludf.DUMMYFUNCTION("QUERY('Volunteer Survey'!F380)"),"Clinical laboratory geneticist")</f>
        <v>Clinical laboratory geneticist</v>
      </c>
      <c r="O371" s="42" t="str">
        <f ca="1">IFERROR(__xludf.DUMMYFUNCTION("QUERY('Volunteer Survey'!H380)"),"Comprehensive")</f>
        <v>Comprehensive</v>
      </c>
      <c r="P371" s="49" t="str">
        <f ca="1">IFERROR(__xludf.DUMMYFUNCTION("QUERY('Volunteer Survey'!I380)"),"Dosage Sensitivity")</f>
        <v>Dosage Sensitivity</v>
      </c>
      <c r="Q371" s="54" t="str">
        <f ca="1">IFERROR(__xludf.DUMMYFUNCTION("QUERY('Volunteer Survey'!J380)"),"")</f>
        <v/>
      </c>
      <c r="R371" s="49" t="str">
        <f ca="1">IFERROR(__xludf.DUMMYFUNCTION("QUERY('Volunteer Survey'!K380)"),"")</f>
        <v/>
      </c>
      <c r="S371" s="49" t="str">
        <f ca="1">IFERROR(__xludf.DUMMYFUNCTION("QUERY('Volunteer Survey'!L380)"),"")</f>
        <v/>
      </c>
      <c r="T371" s="49" t="str">
        <f ca="1">IFERROR(__xludf.DUMMYFUNCTION("QUERY('Volunteer Survey'!M380)"),"")</f>
        <v/>
      </c>
      <c r="U371" s="58" t="str">
        <f ca="1">IFERROR(__xludf.DUMMYFUNCTION("QUERY('Volunteer Survey'!N380)"),"Review and interpretation of clinical CMA cases")</f>
        <v>Review and interpretation of clinical CMA cases</v>
      </c>
      <c r="V371" s="49" t="str">
        <f ca="1">IFERROR(__xludf.DUMMYFUNCTION("QUERY('Volunteer Survey'!O380)"),"No")</f>
        <v>No</v>
      </c>
      <c r="W371" s="60" t="str">
        <f ca="1">IFERROR(__xludf.DUMMYFUNCTION("QUERY('Volunteer Survey'!P380)"),"Dosage Sensitivity working group")</f>
        <v>Dosage Sensitivity working group</v>
      </c>
      <c r="X371" s="58" t="str">
        <f ca="1">IFERROR(__xludf.DUMMYFUNCTION("QUERY('Volunteer Survey'!R380)"),"Maybe -- please contact me with other options, and I will decide based on what is available")</f>
        <v>Maybe -- please contact me with other options, and I will decide based on what is available</v>
      </c>
      <c r="Y371" s="47"/>
      <c r="Z371" s="49"/>
      <c r="AA371" s="49"/>
      <c r="AB371" s="49"/>
      <c r="AC371" s="49"/>
      <c r="AD371" s="49"/>
      <c r="AE371" s="49"/>
      <c r="AF371" s="49"/>
      <c r="AG371" s="49"/>
      <c r="AH371" s="49"/>
      <c r="AI371" s="49"/>
      <c r="AJ371" s="49"/>
      <c r="AK371" s="49"/>
      <c r="AL371" s="49"/>
      <c r="AM371" s="49"/>
      <c r="AN371" s="49"/>
      <c r="AO371" s="49"/>
    </row>
    <row r="372" spans="1:41" ht="14">
      <c r="A372" s="44">
        <f ca="1">IFERROR(__xludf.DUMMYFUNCTION("QUERY('Volunteer Survey'!A381)"),43838.049425787)</f>
        <v>43838.049425787001</v>
      </c>
      <c r="B372" s="42" t="s">
        <v>322</v>
      </c>
      <c r="C372" s="47"/>
      <c r="D372" s="49"/>
      <c r="E372" s="49"/>
      <c r="F372" s="42" t="s">
        <v>130</v>
      </c>
      <c r="G372" s="42" t="s">
        <v>313</v>
      </c>
      <c r="H372" s="47"/>
      <c r="I372" s="47"/>
      <c r="J372" s="49"/>
      <c r="K372" s="49"/>
      <c r="L372" s="49" t="str">
        <f ca="1">IFERROR(__xludf.DUMMYFUNCTION("QUERY('Volunteer Survey'!B381)"),"Indu Raja")</f>
        <v>Indu Raja</v>
      </c>
      <c r="M372" s="49" t="str">
        <f ca="1">IFERROR(__xludf.DUMMYFUNCTION("QUERY('Volunteer Survey'!E381)"),"indudraja@gmail.com")</f>
        <v>indudraja@gmail.com</v>
      </c>
      <c r="N372" s="49" t="str">
        <f ca="1">IFERROR(__xludf.DUMMYFUNCTION("QUERY('Volunteer Survey'!F381)"),"Laboratory Technologist")</f>
        <v>Laboratory Technologist</v>
      </c>
      <c r="O372" s="42" t="str">
        <f ca="1">IFERROR(__xludf.DUMMYFUNCTION("QUERY('Volunteer Survey'!H381)"),"Comprehensive")</f>
        <v>Comprehensive</v>
      </c>
      <c r="P372" s="49" t="str">
        <f ca="1">IFERROR(__xludf.DUMMYFUNCTION("QUERY('Volunteer Survey'!I381)"),"Gene-Disease Validity")</f>
        <v>Gene-Disease Validity</v>
      </c>
      <c r="Q372" s="54" t="str">
        <f ca="1">IFERROR(__xludf.DUMMYFUNCTION("QUERY('Volunteer Survey'!J381)"),"Clinical Actionability")</f>
        <v>Clinical Actionability</v>
      </c>
      <c r="R372" s="49" t="str">
        <f ca="1">IFERROR(__xludf.DUMMYFUNCTION("QUERY('Volunteer Survey'!K381)"),"Variant Pathogenicity")</f>
        <v>Variant Pathogenicity</v>
      </c>
      <c r="S372" s="49" t="str">
        <f ca="1">IFERROR(__xludf.DUMMYFUNCTION("QUERY('Volunteer Survey'!L381)"),"Dosage Sensitivity")</f>
        <v>Dosage Sensitivity</v>
      </c>
      <c r="T372" s="49" t="str">
        <f ca="1">IFERROR(__xludf.DUMMYFUNCTION("QUERY('Volunteer Survey'!M381)"),"")</f>
        <v/>
      </c>
      <c r="U372" s="58" t="str">
        <f ca="1">IFERROR(__xludf.DUMMYFUNCTION("QUERY('Volunteer Survey'!N381)"),"No")</f>
        <v>No</v>
      </c>
      <c r="V372" s="49" t="str">
        <f ca="1">IFERROR(__xludf.DUMMYFUNCTION("QUERY('Volunteer Survey'!O381)"),"Possibly")</f>
        <v>Possibly</v>
      </c>
      <c r="W372" s="60" t="str">
        <f ca="1">IFERROR(__xludf.DUMMYFUNCTION("QUERY('Volunteer Survey'!P381)"),"Gene curation (Intellectual disability &amp; Autism), Dosage Sensitivity &amp; Clinical Actionability")</f>
        <v>Gene curation (Intellectual disability &amp; Autism), Dosage Sensitivity &amp; Clinical Actionability</v>
      </c>
      <c r="X372" s="58" t="str">
        <f ca="1">IFERROR(__xludf.DUMMYFUNCTION("QUERY('Volunteer Survey'!R381)"),"Yes- I am willing to volunteer with any available ClinGen group")</f>
        <v>Yes- I am willing to volunteer with any available ClinGen group</v>
      </c>
      <c r="Y372" s="47"/>
      <c r="Z372" s="49"/>
      <c r="AA372" s="49"/>
      <c r="AB372" s="49"/>
      <c r="AC372" s="49"/>
      <c r="AD372" s="49"/>
      <c r="AE372" s="49"/>
      <c r="AF372" s="49"/>
      <c r="AG372" s="49"/>
      <c r="AH372" s="49"/>
      <c r="AI372" s="49"/>
      <c r="AJ372" s="49"/>
      <c r="AK372" s="49"/>
      <c r="AL372" s="49"/>
      <c r="AM372" s="49"/>
      <c r="AN372" s="49"/>
      <c r="AO372" s="49"/>
    </row>
    <row r="373" spans="1:41" ht="14">
      <c r="A373" s="44">
        <f ca="1">IFERROR(__xludf.DUMMYFUNCTION("QUERY('Volunteer Survey'!A382)"),43838.5919259259)</f>
        <v>43838.591925925903</v>
      </c>
      <c r="B373" s="42" t="s">
        <v>108</v>
      </c>
      <c r="C373" s="81">
        <v>43847</v>
      </c>
      <c r="D373" s="49"/>
      <c r="E373" s="49"/>
      <c r="F373" s="42" t="s">
        <v>130</v>
      </c>
      <c r="G373" s="42" t="s">
        <v>251</v>
      </c>
      <c r="H373" s="47"/>
      <c r="I373" s="47"/>
      <c r="J373" s="49"/>
      <c r="K373" s="49"/>
      <c r="L373" s="49" t="str">
        <f ca="1">IFERROR(__xludf.DUMMYFUNCTION("QUERY('Volunteer Survey'!B382)"),"Kendrah Kidd")</f>
        <v>Kendrah Kidd</v>
      </c>
      <c r="M373" s="49" t="str">
        <f ca="1">IFERROR(__xludf.DUMMYFUNCTION("QUERY('Volunteer Survey'!E382)"),"kkidd@wakehealth.edu")</f>
        <v>kkidd@wakehealth.edu</v>
      </c>
      <c r="N373" s="49" t="str">
        <f ca="1">IFERROR(__xludf.DUMMYFUNCTION("QUERY('Volunteer Survey'!F382)"),"Scientific Researcher")</f>
        <v>Scientific Researcher</v>
      </c>
      <c r="O373" s="42" t="str">
        <f ca="1">IFERROR(__xludf.DUMMYFUNCTION("QUERY('Volunteer Survey'!H382)"),"Comprehensive")</f>
        <v>Comprehensive</v>
      </c>
      <c r="P373" s="49" t="str">
        <f ca="1">IFERROR(__xludf.DUMMYFUNCTION("QUERY('Volunteer Survey'!I382)"),"Variant Pathogenicity")</f>
        <v>Variant Pathogenicity</v>
      </c>
      <c r="Q373" s="54" t="str">
        <f ca="1">IFERROR(__xludf.DUMMYFUNCTION("QUERY('Volunteer Survey'!J382)"),"Gene-Disease Validity")</f>
        <v>Gene-Disease Validity</v>
      </c>
      <c r="R373" s="49" t="str">
        <f ca="1">IFERROR(__xludf.DUMMYFUNCTION("QUERY('Volunteer Survey'!K382)"),"")</f>
        <v/>
      </c>
      <c r="S373" s="49" t="str">
        <f ca="1">IFERROR(__xludf.DUMMYFUNCTION("QUERY('Volunteer Survey'!L382)"),"")</f>
        <v/>
      </c>
      <c r="T373" s="49" t="str">
        <f ca="1">IFERROR(__xludf.DUMMYFUNCTION("QUERY('Volunteer Survey'!M382)"),"")</f>
        <v/>
      </c>
      <c r="U373" s="58" t="str">
        <f ca="1">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c r="V373" s="49" t="str">
        <f ca="1">IFERROR(__xludf.DUMMYFUNCTION("QUERY('Volunteer Survey'!O382)"),"Possibly")</f>
        <v>Possibly</v>
      </c>
      <c r="W373" s="60" t="str">
        <f ca="1">IFERROR(__xludf.DUMMYFUNCTION("QUERY('Volunteer Survey'!P382)"),"I would be interested in forming one for inherited kidney diseases ")</f>
        <v xml:space="preserve">I would be interested in forming one for inherited kidney diseases </v>
      </c>
      <c r="X373" s="58" t="str">
        <f ca="1">IFERROR(__xludf.DUMMYFUNCTION("QUERY('Volunteer Survey'!R382)"),"Maybe -- please contact me with other options, and I will decide based on what is available")</f>
        <v>Maybe -- please contact me with other options, and I will decide based on what is available</v>
      </c>
      <c r="Y373" s="47"/>
      <c r="Z373" s="49"/>
      <c r="AA373" s="49"/>
      <c r="AB373" s="49"/>
      <c r="AC373" s="49"/>
      <c r="AD373" s="49"/>
      <c r="AE373" s="49"/>
      <c r="AF373" s="49"/>
      <c r="AG373" s="49"/>
      <c r="AH373" s="49"/>
      <c r="AI373" s="49"/>
      <c r="AJ373" s="49"/>
      <c r="AK373" s="49"/>
      <c r="AL373" s="49"/>
      <c r="AM373" s="49"/>
      <c r="AN373" s="49"/>
      <c r="AO373" s="49"/>
    </row>
    <row r="374" spans="1:41" ht="14">
      <c r="A374" s="44">
        <f ca="1">IFERROR(__xludf.DUMMYFUNCTION("QUERY('Volunteer Survey'!A383)"),43840.3567429513)</f>
        <v>43840.356742951299</v>
      </c>
      <c r="B374" s="42" t="s">
        <v>322</v>
      </c>
      <c r="C374" s="47"/>
      <c r="D374" s="49"/>
      <c r="E374" s="49"/>
      <c r="F374" s="42" t="s">
        <v>130</v>
      </c>
      <c r="G374" s="42" t="s">
        <v>313</v>
      </c>
      <c r="H374" s="47"/>
      <c r="I374" s="47"/>
      <c r="J374" s="49"/>
      <c r="K374" s="49"/>
      <c r="L374" s="49" t="str">
        <f ca="1">IFERROR(__xludf.DUMMYFUNCTION("QUERY('Volunteer Survey'!B383)"),"Joanne Adelberg")</f>
        <v>Joanne Adelberg</v>
      </c>
      <c r="M374" s="49" t="str">
        <f ca="1">IFERROR(__xludf.DUMMYFUNCTION("QUERY('Volunteer Survey'!E383)"),"joanneadelberg@gmail.com")</f>
        <v>joanneadelberg@gmail.com</v>
      </c>
      <c r="N374" s="49" t="str">
        <f ca="1">IFERROR(__xludf.DUMMYFUNCTION("QUERY('Volunteer Survey'!F383)"),"Scientific Researcher")</f>
        <v>Scientific Researcher</v>
      </c>
      <c r="O374" s="42" t="str">
        <f ca="1">IFERROR(__xludf.DUMMYFUNCTION("QUERY('Volunteer Survey'!H383)"),"Comprehensive")</f>
        <v>Comprehensive</v>
      </c>
      <c r="P374" s="49" t="str">
        <f ca="1">IFERROR(__xludf.DUMMYFUNCTION("QUERY('Volunteer Survey'!I383)"),"Gene-Disease Validity")</f>
        <v>Gene-Disease Validity</v>
      </c>
      <c r="Q374" s="54" t="str">
        <f ca="1">IFERROR(__xludf.DUMMYFUNCTION("QUERY('Volunteer Survey'!J383)"),"Clinical Actionability")</f>
        <v>Clinical Actionability</v>
      </c>
      <c r="R374" s="49" t="str">
        <f ca="1">IFERROR(__xludf.DUMMYFUNCTION("QUERY('Volunteer Survey'!K383)"),"Variant Pathogenicity")</f>
        <v>Variant Pathogenicity</v>
      </c>
      <c r="S374" s="49" t="str">
        <f ca="1">IFERROR(__xludf.DUMMYFUNCTION("QUERY('Volunteer Survey'!L383)"),"Dosage Sensitivity")</f>
        <v>Dosage Sensitivity</v>
      </c>
      <c r="T374" s="49" t="str">
        <f ca="1">IFERROR(__xludf.DUMMYFUNCTION("QUERY('Volunteer Survey'!M383)"),"Somatic Cancer")</f>
        <v>Somatic Cancer</v>
      </c>
      <c r="U374" s="58" t="str">
        <f ca="1">IFERROR(__xludf.DUMMYFUNCTION("QUERY('Volunteer Survey'!N383)"),"")</f>
        <v/>
      </c>
      <c r="V374" s="49" t="str">
        <f ca="1">IFERROR(__xludf.DUMMYFUNCTION("QUERY('Volunteer Survey'!O383)"),"Possibly")</f>
        <v>Possibly</v>
      </c>
      <c r="W374" s="60" t="str">
        <f ca="1">IFERROR(__xludf.DUMMYFUNCTION("QUERY('Volunteer Survey'!P383)"),"Will work on groups with the most need-excited for the learning opportunity")</f>
        <v>Will work on groups with the most need-excited for the learning opportunity</v>
      </c>
      <c r="X374" s="58" t="str">
        <f ca="1">IFERROR(__xludf.DUMMYFUNCTION("QUERY('Volunteer Survey'!R383)"),"Yes- I am willing to volunteer with any available ClinGen group")</f>
        <v>Yes- I am willing to volunteer with any available ClinGen group</v>
      </c>
      <c r="Y374" s="47"/>
      <c r="Z374" s="49"/>
      <c r="AA374" s="49"/>
      <c r="AB374" s="49"/>
      <c r="AC374" s="49"/>
      <c r="AD374" s="49"/>
      <c r="AE374" s="49"/>
      <c r="AF374" s="49"/>
      <c r="AG374" s="49"/>
      <c r="AH374" s="49"/>
      <c r="AI374" s="49"/>
      <c r="AJ374" s="49"/>
      <c r="AK374" s="49"/>
      <c r="AL374" s="49"/>
      <c r="AM374" s="49"/>
      <c r="AN374" s="49"/>
      <c r="AO374" s="49"/>
    </row>
    <row r="375" spans="1:41" ht="14">
      <c r="A375" s="44">
        <f ca="1">IFERROR(__xludf.DUMMYFUNCTION("QUERY('Volunteer Survey'!A384)"),43842.7025740046)</f>
        <v>43842.702574004601</v>
      </c>
      <c r="B375" s="42" t="s">
        <v>322</v>
      </c>
      <c r="C375" s="47"/>
      <c r="D375" s="49"/>
      <c r="E375" s="49"/>
      <c r="F375" s="42" t="s">
        <v>130</v>
      </c>
      <c r="G375" s="42" t="s">
        <v>313</v>
      </c>
      <c r="H375" s="47"/>
      <c r="I375" s="47"/>
      <c r="J375" s="49"/>
      <c r="K375" s="49"/>
      <c r="L375" s="49" t="str">
        <f ca="1">IFERROR(__xludf.DUMMYFUNCTION("QUERY('Volunteer Survey'!B384)"),"Erika Meaddough")</f>
        <v>Erika Meaddough</v>
      </c>
      <c r="M375" s="49" t="str">
        <f ca="1">IFERROR(__xludf.DUMMYFUNCTION("QUERY('Volunteer Survey'!E384)"),"meaddough@yahoo.com")</f>
        <v>meaddough@yahoo.com</v>
      </c>
      <c r="N375" s="49" t="str">
        <f ca="1">IFERROR(__xludf.DUMMYFUNCTION("QUERY('Volunteer Survey'!F384)"),"Graduate Student")</f>
        <v>Graduate Student</v>
      </c>
      <c r="O375" s="42" t="str">
        <f ca="1">IFERROR(__xludf.DUMMYFUNCTION("QUERY('Volunteer Survey'!H384)"),"Baseline")</f>
        <v>Baseline</v>
      </c>
      <c r="P375" s="49" t="str">
        <f ca="1">IFERROR(__xludf.DUMMYFUNCTION("QUERY('Volunteer Survey'!I384)"),"")</f>
        <v/>
      </c>
      <c r="Q375" s="54" t="str">
        <f ca="1">IFERROR(__xludf.DUMMYFUNCTION("QUERY('Volunteer Survey'!J384)"),"")</f>
        <v/>
      </c>
      <c r="R375" s="49" t="str">
        <f ca="1">IFERROR(__xludf.DUMMYFUNCTION("QUERY('Volunteer Survey'!K384)"),"")</f>
        <v/>
      </c>
      <c r="S375" s="49" t="str">
        <f ca="1">IFERROR(__xludf.DUMMYFUNCTION("QUERY('Volunteer Survey'!L384)"),"")</f>
        <v/>
      </c>
      <c r="T375" s="49" t="str">
        <f ca="1">IFERROR(__xludf.DUMMYFUNCTION("QUERY('Volunteer Survey'!M384)"),"")</f>
        <v/>
      </c>
      <c r="U375" s="58" t="str">
        <f ca="1">IFERROR(__xludf.DUMMYFUNCTION("QUERY('Volunteer Survey'!N384)"),"")</f>
        <v/>
      </c>
      <c r="V375" s="49" t="str">
        <f ca="1">IFERROR(__xludf.DUMMYFUNCTION("QUERY('Volunteer Survey'!O384)"),"Possibly")</f>
        <v>Possibly</v>
      </c>
      <c r="W375" s="60" t="str">
        <f ca="1">IFERROR(__xludf.DUMMYFUNCTION("QUERY('Volunteer Survey'!P384)"),"Dosage Sensitivity Working Group")</f>
        <v>Dosage Sensitivity Working Group</v>
      </c>
      <c r="X375" s="58" t="str">
        <f ca="1">IFERROR(__xludf.DUMMYFUNCTION("QUERY('Volunteer Survey'!R384)"),"Yes- I am willing to volunteer with any available ClinGen group")</f>
        <v>Yes- I am willing to volunteer with any available ClinGen group</v>
      </c>
      <c r="Y375" s="47"/>
      <c r="Z375" s="49"/>
      <c r="AA375" s="49"/>
      <c r="AB375" s="49"/>
      <c r="AC375" s="49"/>
      <c r="AD375" s="49"/>
      <c r="AE375" s="49"/>
      <c r="AF375" s="49"/>
      <c r="AG375" s="49"/>
      <c r="AH375" s="49"/>
      <c r="AI375" s="49"/>
      <c r="AJ375" s="49"/>
      <c r="AK375" s="49"/>
      <c r="AL375" s="49"/>
      <c r="AM375" s="49"/>
      <c r="AN375" s="49"/>
      <c r="AO375" s="49"/>
    </row>
    <row r="376" spans="1:41" ht="14">
      <c r="A376" s="44">
        <f ca="1">IFERROR(__xludf.DUMMYFUNCTION("QUERY('Volunteer Survey'!A385)"),43846.6386489004)</f>
        <v>43846.6386489004</v>
      </c>
      <c r="B376" s="42" t="s">
        <v>322</v>
      </c>
      <c r="C376" s="47"/>
      <c r="D376" s="49"/>
      <c r="E376" s="49"/>
      <c r="F376" s="42" t="s">
        <v>130</v>
      </c>
      <c r="G376" s="42" t="s">
        <v>313</v>
      </c>
      <c r="H376" s="47"/>
      <c r="I376" s="47"/>
      <c r="J376" s="49"/>
      <c r="K376" s="49"/>
      <c r="L376" s="49" t="str">
        <f ca="1">IFERROR(__xludf.DUMMYFUNCTION("QUERY('Volunteer Survey'!B385)"),"Vijay Ganesh")</f>
        <v>Vijay Ganesh</v>
      </c>
      <c r="M376" s="49" t="str">
        <f ca="1">IFERROR(__xludf.DUMMYFUNCTION("QUERY('Volunteer Survey'!E385)"),"vganesh@bwh.harvard.edu")</f>
        <v>vganesh@bwh.harvard.edu</v>
      </c>
      <c r="N376" s="49" t="str">
        <f ca="1">IFERROR(__xludf.DUMMYFUNCTION("QUERY('Volunteer Survey'!F385)"),"Post Doc/Resident/Fellow (MD and/or PhD)")</f>
        <v>Post Doc/Resident/Fellow (MD and/or PhD)</v>
      </c>
      <c r="O376" s="42" t="str">
        <f ca="1">IFERROR(__xludf.DUMMYFUNCTION("QUERY('Volunteer Survey'!H385)"),"Baseline")</f>
        <v>Baseline</v>
      </c>
      <c r="P376" s="49" t="str">
        <f ca="1">IFERROR(__xludf.DUMMYFUNCTION("QUERY('Volunteer Survey'!I385)"),"Gene-Disease Validity")</f>
        <v>Gene-Disease Validity</v>
      </c>
      <c r="Q376" s="54" t="str">
        <f ca="1">IFERROR(__xludf.DUMMYFUNCTION("QUERY('Volunteer Survey'!J385)"),"Variant Pathogenicity")</f>
        <v>Variant Pathogenicity</v>
      </c>
      <c r="R376" s="49" t="str">
        <f ca="1">IFERROR(__xludf.DUMMYFUNCTION("QUERY('Volunteer Survey'!K385)"),"Clinical Actionability")</f>
        <v>Clinical Actionability</v>
      </c>
      <c r="S376" s="49" t="str">
        <f ca="1">IFERROR(__xludf.DUMMYFUNCTION("QUERY('Volunteer Survey'!L385)"),"Dosage Sensitivity")</f>
        <v>Dosage Sensitivity</v>
      </c>
      <c r="T376" s="49" t="str">
        <f ca="1">IFERROR(__xludf.DUMMYFUNCTION("QUERY('Volunteer Survey'!M385)"),"Somatic Cancer")</f>
        <v>Somatic Cancer</v>
      </c>
      <c r="U376" s="58" t="str">
        <f ca="1">IFERROR(__xludf.DUMMYFUNCTION("QUERY('Volunteer Survey'!N385)"),"None")</f>
        <v>None</v>
      </c>
      <c r="V376" s="49" t="str">
        <f ca="1">IFERROR(__xludf.DUMMYFUNCTION("QUERY('Volunteer Survey'!O385)"),"Yes")</f>
        <v>Yes</v>
      </c>
      <c r="W376" s="60" t="str">
        <f ca="1">IFERROR(__xludf.DUMMYFUNCTION("QUERY('Volunteer Survey'!P385)"),"Limb Girdle Muscular Dystrophy; Congenital Myopathies; Charcot-Marie Tooth")</f>
        <v>Limb Girdle Muscular Dystrophy; Congenital Myopathies; Charcot-Marie Tooth</v>
      </c>
      <c r="X376" s="58" t="str">
        <f ca="1">IFERROR(__xludf.DUMMYFUNCTION("QUERY('Volunteer Survey'!R385)"),"No - I am only interested in the group(s) I previously indicated")</f>
        <v>No - I am only interested in the group(s) I previously indicated</v>
      </c>
      <c r="Y376" s="47"/>
      <c r="Z376" s="49"/>
      <c r="AA376" s="49"/>
      <c r="AB376" s="49"/>
      <c r="AC376" s="49"/>
      <c r="AD376" s="49"/>
      <c r="AE376" s="49"/>
      <c r="AF376" s="49"/>
      <c r="AG376" s="49"/>
      <c r="AH376" s="49"/>
      <c r="AI376" s="49"/>
      <c r="AJ376" s="49"/>
      <c r="AK376" s="49"/>
      <c r="AL376" s="49"/>
      <c r="AM376" s="49"/>
      <c r="AN376" s="49"/>
      <c r="AO376" s="49"/>
    </row>
    <row r="377" spans="1:41" ht="14">
      <c r="A377" s="44">
        <f ca="1">IFERROR(__xludf.DUMMYFUNCTION("QUERY('Volunteer Survey'!A386)"),43846.6398908564)</f>
        <v>43846.639890856401</v>
      </c>
      <c r="B377" s="42" t="s">
        <v>108</v>
      </c>
      <c r="C377" s="47"/>
      <c r="D377" s="67">
        <v>43846</v>
      </c>
      <c r="E377" s="42" t="s">
        <v>117</v>
      </c>
      <c r="F377" s="42" t="s">
        <v>117</v>
      </c>
      <c r="G377" s="42" t="s">
        <v>122</v>
      </c>
      <c r="H377" s="47"/>
      <c r="I377" s="47"/>
      <c r="J377" s="49"/>
      <c r="K377" s="49"/>
      <c r="L377" s="49" t="str">
        <f ca="1">IFERROR(__xludf.DUMMYFUNCTION("QUERY('Volunteer Survey'!B386)"),"Julie Hathaway")</f>
        <v>Julie Hathaway</v>
      </c>
      <c r="M377" s="49" t="str">
        <f ca="1">IFERROR(__xludf.DUMMYFUNCTION("QUERY('Volunteer Survey'!E386)"),"julie.hathaway@blueprintgenetics.com")</f>
        <v>julie.hathaway@blueprintgenetics.com</v>
      </c>
      <c r="N377" s="49" t="str">
        <f ca="1">IFERROR(__xludf.DUMMYFUNCTION("QUERY('Volunteer Survey'!F386)"),"Genetic counselor")</f>
        <v>Genetic counselor</v>
      </c>
      <c r="O377" s="42" t="str">
        <f ca="1">IFERROR(__xludf.DUMMYFUNCTION("QUERY('Volunteer Survey'!H386)"),"Comprehensive")</f>
        <v>Comprehensive</v>
      </c>
      <c r="P377" s="49" t="str">
        <f ca="1">IFERROR(__xludf.DUMMYFUNCTION("QUERY('Volunteer Survey'!I386)"),"Gene-Disease Validity")</f>
        <v>Gene-Disease Validity</v>
      </c>
      <c r="Q377" s="54" t="str">
        <f ca="1">IFERROR(__xludf.DUMMYFUNCTION("QUERY('Volunteer Survey'!J386)"),"Variant Pathogenicity")</f>
        <v>Variant Pathogenicity</v>
      </c>
      <c r="R377" s="49" t="str">
        <f ca="1">IFERROR(__xludf.DUMMYFUNCTION("QUERY('Volunteer Survey'!K386)"),"Clinical Actionability")</f>
        <v>Clinical Actionability</v>
      </c>
      <c r="S377" s="49" t="str">
        <f ca="1">IFERROR(__xludf.DUMMYFUNCTION("QUERY('Volunteer Survey'!L386)"),"Dosage Sensitivity")</f>
        <v>Dosage Sensitivity</v>
      </c>
      <c r="T377" s="49" t="str">
        <f ca="1">IFERROR(__xludf.DUMMYFUNCTION("QUERY('Volunteer Survey'!M386)"),"Somatic Cancer")</f>
        <v>Somatic Cancer</v>
      </c>
      <c r="U377" s="58" t="str">
        <f ca="1">IFERROR(__xludf.DUMMYFUNCTION("QUERY('Volunteer Survey'!N386)"),"")</f>
        <v/>
      </c>
      <c r="V377" s="49" t="str">
        <f ca="1">IFERROR(__xludf.DUMMYFUNCTION("QUERY('Volunteer Survey'!O386)"),"No")</f>
        <v>No</v>
      </c>
      <c r="W377" s="60" t="str">
        <f ca="1">IFERROR(__xludf.DUMMYFUNCTION("QUERY('Volunteer Survey'!P386)"),"Cardiomyopathy")</f>
        <v>Cardiomyopathy</v>
      </c>
      <c r="X377" s="58" t="str">
        <f ca="1">IFERROR(__xludf.DUMMYFUNCTION("QUERY('Volunteer Survey'!R386)"),"Maybe -- please contact me with other options, and I will decide based on what is available")</f>
        <v>Maybe -- please contact me with other options, and I will decide based on what is available</v>
      </c>
      <c r="Y377" s="47"/>
      <c r="Z377" s="49"/>
      <c r="AA377" s="49"/>
      <c r="AB377" s="49"/>
      <c r="AC377" s="49"/>
      <c r="AD377" s="49"/>
      <c r="AE377" s="49"/>
      <c r="AF377" s="49"/>
      <c r="AG377" s="49"/>
      <c r="AH377" s="49"/>
      <c r="AI377" s="49"/>
      <c r="AJ377" s="49"/>
      <c r="AK377" s="49"/>
      <c r="AL377" s="49"/>
      <c r="AM377" s="49"/>
      <c r="AN377" s="49"/>
      <c r="AO377" s="49"/>
    </row>
    <row r="378" spans="1:41" ht="14">
      <c r="A378" s="44">
        <f ca="1">IFERROR(__xludf.DUMMYFUNCTION("QUERY('Volunteer Survey'!A387)"),43846.6503298032)</f>
        <v>43846.650329803197</v>
      </c>
      <c r="B378" s="42" t="s">
        <v>108</v>
      </c>
      <c r="C378" s="47"/>
      <c r="D378" s="67">
        <v>43846</v>
      </c>
      <c r="E378" s="42" t="s">
        <v>117</v>
      </c>
      <c r="F378" s="42" t="s">
        <v>130</v>
      </c>
      <c r="G378" s="42" t="s">
        <v>122</v>
      </c>
      <c r="H378" s="47"/>
      <c r="I378" s="47"/>
      <c r="J378" s="49"/>
      <c r="K378" s="49"/>
      <c r="L378" s="49" t="str">
        <f ca="1">IFERROR(__xludf.DUMMYFUNCTION("QUERY('Volunteer Survey'!B387)"),"Devon Thrush")</f>
        <v>Devon Thrush</v>
      </c>
      <c r="M378" s="49" t="str">
        <f ca="1">IFERROR(__xludf.DUMMYFUNCTION("QUERY('Volunteer Survey'!E387)"),"dthrush@ambrygen.com")</f>
        <v>dthrush@ambrygen.com</v>
      </c>
      <c r="N378" s="49" t="str">
        <f ca="1">IFERROR(__xludf.DUMMYFUNCTION("QUERY('Volunteer Survey'!F387)"),"Genetic counselor")</f>
        <v>Genetic counselor</v>
      </c>
      <c r="O378" s="42" t="str">
        <f ca="1">IFERROR(__xludf.DUMMYFUNCTION("QUERY('Volunteer Survey'!H387)"),"Comprehensive")</f>
        <v>Comprehensive</v>
      </c>
      <c r="P378" s="49" t="str">
        <f ca="1">IFERROR(__xludf.DUMMYFUNCTION("QUERY('Volunteer Survey'!I387)"),"Gene-Disease Validity")</f>
        <v>Gene-Disease Validity</v>
      </c>
      <c r="Q378" s="54" t="str">
        <f ca="1">IFERROR(__xludf.DUMMYFUNCTION("QUERY('Volunteer Survey'!J387)"),"Variant Pathogenicity")</f>
        <v>Variant Pathogenicity</v>
      </c>
      <c r="R378" s="49" t="str">
        <f ca="1">IFERROR(__xludf.DUMMYFUNCTION("QUERY('Volunteer Survey'!K387)"),"Somatic Cancer")</f>
        <v>Somatic Cancer</v>
      </c>
      <c r="S378" s="49" t="str">
        <f ca="1">IFERROR(__xludf.DUMMYFUNCTION("QUERY('Volunteer Survey'!L387)"),"Clinical Actionability")</f>
        <v>Clinical Actionability</v>
      </c>
      <c r="T378" s="49" t="str">
        <f ca="1">IFERROR(__xludf.DUMMYFUNCTION("QUERY('Volunteer Survey'!M387)"),"Dosage Sensitivity")</f>
        <v>Dosage Sensitivity</v>
      </c>
      <c r="U378" s="58" t="str">
        <f ca="1">IFERROR(__xludf.DUMMYFUNCTION("QUERY('Volunteer Survey'!N387)"),"I currently perform this type of work in my job. ")</f>
        <v xml:space="preserve">I currently perform this type of work in my job. </v>
      </c>
      <c r="V378" s="49" t="str">
        <f ca="1">IFERROR(__xludf.DUMMYFUNCTION("QUERY('Volunteer Survey'!O387)"),"No")</f>
        <v>No</v>
      </c>
      <c r="W378" s="60" t="str">
        <f ca="1">IFERROR(__xludf.DUMMYFUNCTION("QUERY('Volunteer Survey'!P387)"),"")</f>
        <v/>
      </c>
      <c r="X378" s="58" t="str">
        <f ca="1">IFERROR(__xludf.DUMMYFUNCTION("QUERY('Volunteer Survey'!R387)"),"Yes- I am willing to volunteer with any available ClinGen group")</f>
        <v>Yes- I am willing to volunteer with any available ClinGen group</v>
      </c>
      <c r="Y378" s="47"/>
      <c r="Z378" s="49"/>
      <c r="AA378" s="49"/>
      <c r="AB378" s="49"/>
      <c r="AC378" s="49"/>
      <c r="AD378" s="49"/>
      <c r="AE378" s="49"/>
      <c r="AF378" s="49"/>
      <c r="AG378" s="49"/>
      <c r="AH378" s="49"/>
      <c r="AI378" s="49"/>
      <c r="AJ378" s="49"/>
      <c r="AK378" s="49"/>
      <c r="AL378" s="49"/>
      <c r="AM378" s="49"/>
      <c r="AN378" s="49"/>
      <c r="AO378" s="49"/>
    </row>
    <row r="379" spans="1:41" ht="14">
      <c r="A379" s="44">
        <f ca="1">IFERROR(__xludf.DUMMYFUNCTION("QUERY('Volunteer Survey'!A388)"),43847.4378778125)</f>
        <v>43847.437877812503</v>
      </c>
      <c r="B379" s="42" t="s">
        <v>108</v>
      </c>
      <c r="C379" s="81">
        <v>43482</v>
      </c>
      <c r="D379" s="67">
        <v>43846</v>
      </c>
      <c r="E379" s="42" t="s">
        <v>117</v>
      </c>
      <c r="F379" s="42" t="s">
        <v>117</v>
      </c>
      <c r="G379" s="42" t="s">
        <v>251</v>
      </c>
      <c r="H379" s="47"/>
      <c r="I379" s="45" t="s">
        <v>356</v>
      </c>
      <c r="J379" s="49"/>
      <c r="K379" s="49"/>
      <c r="L379" s="49" t="str">
        <f ca="1">IFERROR(__xludf.DUMMYFUNCTION("QUERY('Volunteer Survey'!B388)"),"Adriana Bastos Carvalho")</f>
        <v>Adriana Bastos Carvalho</v>
      </c>
      <c r="M379" s="49" t="str">
        <f ca="1">IFERROR(__xludf.DUMMYFUNCTION("QUERY('Volunteer Survey'!E388)"),"carvalhoab@biof.ufrj.br")</f>
        <v>carvalhoab@biof.ufrj.br</v>
      </c>
      <c r="N379" s="49" t="str">
        <f ca="1">IFERROR(__xludf.DUMMYFUNCTION("QUERY('Volunteer Survey'!F388)"),"Scientific Researcher")</f>
        <v>Scientific Researcher</v>
      </c>
      <c r="O379" s="42" t="str">
        <f ca="1">IFERROR(__xludf.DUMMYFUNCTION("QUERY('Volunteer Survey'!H388)"),"Comprehensive")</f>
        <v>Comprehensive</v>
      </c>
      <c r="P379" s="49" t="str">
        <f ca="1">IFERROR(__xludf.DUMMYFUNCTION("QUERY('Volunteer Survey'!I388)"),"Variant Pathogenicity")</f>
        <v>Variant Pathogenicity</v>
      </c>
      <c r="Q379" s="54" t="str">
        <f ca="1">IFERROR(__xludf.DUMMYFUNCTION("QUERY('Volunteer Survey'!J388)"),"")</f>
        <v/>
      </c>
      <c r="R379" s="49" t="str">
        <f ca="1">IFERROR(__xludf.DUMMYFUNCTION("QUERY('Volunteer Survey'!K388)"),"")</f>
        <v/>
      </c>
      <c r="S379" s="49" t="str">
        <f ca="1">IFERROR(__xludf.DUMMYFUNCTION("QUERY('Volunteer Survey'!L388)"),"")</f>
        <v/>
      </c>
      <c r="T379" s="49" t="str">
        <f ca="1">IFERROR(__xludf.DUMMYFUNCTION("QUERY('Volunteer Survey'!M388)"),"")</f>
        <v/>
      </c>
      <c r="U379" s="58" t="str">
        <f ca="1">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49" t="str">
        <f ca="1">IFERROR(__xludf.DUMMYFUNCTION("QUERY('Volunteer Survey'!O388)"),"Yes")</f>
        <v>Yes</v>
      </c>
      <c r="W379" s="60" t="str">
        <f ca="1">IFERROR(__xludf.DUMMYFUNCTION("QUERY('Volunteer Survey'!P388)"),"Cardiomyopathy Variant Curation Expert Panel")</f>
        <v>Cardiomyopathy Variant Curation Expert Panel</v>
      </c>
      <c r="X379" s="58" t="str">
        <f ca="1">IFERROR(__xludf.DUMMYFUNCTION("QUERY('Volunteer Survey'!R388)"),"Yes- I am willing to volunteer with any available ClinGen group")</f>
        <v>Yes- I am willing to volunteer with any available ClinGen group</v>
      </c>
      <c r="Y379" s="47"/>
      <c r="Z379" s="49"/>
      <c r="AA379" s="49"/>
      <c r="AB379" s="49"/>
      <c r="AC379" s="49"/>
      <c r="AD379" s="49"/>
      <c r="AE379" s="49"/>
      <c r="AF379" s="49"/>
      <c r="AG379" s="49"/>
      <c r="AH379" s="49"/>
      <c r="AI379" s="49"/>
      <c r="AJ379" s="49"/>
      <c r="AK379" s="49"/>
      <c r="AL379" s="49"/>
      <c r="AM379" s="49"/>
      <c r="AN379" s="49"/>
      <c r="AO379" s="49"/>
    </row>
    <row r="380" spans="1:41" ht="14">
      <c r="A380" s="44">
        <f ca="1">IFERROR(__xludf.DUMMYFUNCTION("QUERY('Volunteer Survey'!A389)"),43847.6695517476)</f>
        <v>43847.669551747596</v>
      </c>
      <c r="B380" s="42" t="s">
        <v>108</v>
      </c>
      <c r="C380" s="47"/>
      <c r="D380" s="67">
        <v>43846</v>
      </c>
      <c r="E380" s="42" t="s">
        <v>117</v>
      </c>
      <c r="F380" s="42" t="s">
        <v>117</v>
      </c>
      <c r="G380" s="42" t="s">
        <v>122</v>
      </c>
      <c r="H380" s="47"/>
      <c r="I380" s="47"/>
      <c r="J380" s="49"/>
      <c r="K380" s="49"/>
      <c r="L380" s="49" t="str">
        <f ca="1">IFERROR(__xludf.DUMMYFUNCTION("QUERY('Volunteer Survey'!B389)"),"Shiloh Martin")</f>
        <v>Shiloh Martin</v>
      </c>
      <c r="M380" s="49" t="str">
        <f ca="1">IFERROR(__xludf.DUMMYFUNCTION("QUERY('Volunteer Survey'!E389)"),"shiloh.martin@invitae.com")</f>
        <v>shiloh.martin@invitae.com</v>
      </c>
      <c r="N380" s="49" t="str">
        <f ca="1">IFERROR(__xludf.DUMMYFUNCTION("QUERY('Volunteer Survey'!F389)"),"Variant Analyst/Scientist - Industry")</f>
        <v>Variant Analyst/Scientist - Industry</v>
      </c>
      <c r="O380" s="42" t="str">
        <f ca="1">IFERROR(__xludf.DUMMYFUNCTION("QUERY('Volunteer Survey'!H389)"),"Comprehensive")</f>
        <v>Comprehensive</v>
      </c>
      <c r="P380" s="49" t="str">
        <f ca="1">IFERROR(__xludf.DUMMYFUNCTION("QUERY('Volunteer Survey'!I389)"),"Gene-Disease Validity")</f>
        <v>Gene-Disease Validity</v>
      </c>
      <c r="Q380" s="54" t="str">
        <f ca="1">IFERROR(__xludf.DUMMYFUNCTION("QUERY('Volunteer Survey'!J389)"),"Variant Pathogenicity")</f>
        <v>Variant Pathogenicity</v>
      </c>
      <c r="R380" s="49" t="str">
        <f ca="1">IFERROR(__xludf.DUMMYFUNCTION("QUERY('Volunteer Survey'!K389)"),"")</f>
        <v/>
      </c>
      <c r="S380" s="49" t="str">
        <f ca="1">IFERROR(__xludf.DUMMYFUNCTION("QUERY('Volunteer Survey'!L389)"),"")</f>
        <v/>
      </c>
      <c r="T380" s="49" t="str">
        <f ca="1">IFERROR(__xludf.DUMMYFUNCTION("QUERY('Volunteer Survey'!M389)"),"")</f>
        <v/>
      </c>
      <c r="U380" s="58" t="str">
        <f ca="1">IFERROR(__xludf.DUMMYFUNCTION("QUERY('Volunteer Survey'!N389)"),"I currently do gene-disease curations and variant interpretation at Invitae")</f>
        <v>I currently do gene-disease curations and variant interpretation at Invitae</v>
      </c>
      <c r="V380" s="49" t="str">
        <f ca="1">IFERROR(__xludf.DUMMYFUNCTION("QUERY('Volunteer Survey'!O389)"),"No")</f>
        <v>No</v>
      </c>
      <c r="W380" s="60" t="str">
        <f ca="1">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58" t="str">
        <f ca="1">IFERROR(__xludf.DUMMYFUNCTION("QUERY('Volunteer Survey'!R389)"),"Maybe -- please contact me with other options, and I will decide based on what is available")</f>
        <v>Maybe -- please contact me with other options, and I will decide based on what is available</v>
      </c>
      <c r="Y380" s="47"/>
      <c r="Z380" s="49"/>
      <c r="AA380" s="49"/>
      <c r="AB380" s="49"/>
      <c r="AC380" s="49"/>
      <c r="AD380" s="49"/>
      <c r="AE380" s="49"/>
      <c r="AF380" s="49"/>
      <c r="AG380" s="49"/>
      <c r="AH380" s="49"/>
      <c r="AI380" s="49"/>
      <c r="AJ380" s="49"/>
      <c r="AK380" s="49"/>
      <c r="AL380" s="49"/>
      <c r="AM380" s="49"/>
      <c r="AN380" s="49"/>
      <c r="AO380" s="49"/>
    </row>
    <row r="381" spans="1:41" ht="14">
      <c r="A381" s="44">
        <f ca="1">IFERROR(__xludf.DUMMYFUNCTION("QUERY('Volunteer Survey'!A390)"),43847.8215832638)</f>
        <v>43847.821583263802</v>
      </c>
      <c r="B381" s="42" t="s">
        <v>322</v>
      </c>
      <c r="C381" s="47"/>
      <c r="D381" s="49"/>
      <c r="E381" s="49"/>
      <c r="F381" s="42" t="s">
        <v>130</v>
      </c>
      <c r="G381" s="42" t="s">
        <v>313</v>
      </c>
      <c r="H381" s="47"/>
      <c r="I381" s="47"/>
      <c r="J381" s="49"/>
      <c r="K381" s="49"/>
      <c r="L381" s="49" t="str">
        <f ca="1">IFERROR(__xludf.DUMMYFUNCTION("QUERY('Volunteer Survey'!B390)"),"Jennifer Holle")</f>
        <v>Jennifer Holle</v>
      </c>
      <c r="M381" s="49" t="str">
        <f ca="1">IFERROR(__xludf.DUMMYFUNCTION("QUERY('Volunteer Survey'!E390)"),"jennifer.holle@invitae.com")</f>
        <v>jennifer.holle@invitae.com</v>
      </c>
      <c r="N381" s="49" t="str">
        <f ca="1">IFERROR(__xludf.DUMMYFUNCTION("QUERY('Volunteer Survey'!F390)"),"Variant Analyst/Scientist - Industry")</f>
        <v>Variant Analyst/Scientist - Industry</v>
      </c>
      <c r="O381" s="42" t="str">
        <f ca="1">IFERROR(__xludf.DUMMYFUNCTION("QUERY('Volunteer Survey'!H390)"),"Comprehensive")</f>
        <v>Comprehensive</v>
      </c>
      <c r="P381" s="49" t="str">
        <f ca="1">IFERROR(__xludf.DUMMYFUNCTION("QUERY('Volunteer Survey'!I390)"),"Gene-Disease Validity")</f>
        <v>Gene-Disease Validity</v>
      </c>
      <c r="Q381" s="54" t="str">
        <f ca="1">IFERROR(__xludf.DUMMYFUNCTION("QUERY('Volunteer Survey'!J390)"),"Variant Pathogenicity")</f>
        <v>Variant Pathogenicity</v>
      </c>
      <c r="R381" s="49" t="str">
        <f ca="1">IFERROR(__xludf.DUMMYFUNCTION("QUERY('Volunteer Survey'!K390)"),"")</f>
        <v/>
      </c>
      <c r="S381" s="49" t="str">
        <f ca="1">IFERROR(__xludf.DUMMYFUNCTION("QUERY('Volunteer Survey'!L390)"),"")</f>
        <v/>
      </c>
      <c r="T381" s="49" t="str">
        <f ca="1">IFERROR(__xludf.DUMMYFUNCTION("QUERY('Volunteer Survey'!M390)"),"")</f>
        <v/>
      </c>
      <c r="U381" s="58" t="str">
        <f ca="1">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49" t="str">
        <f ca="1">IFERROR(__xludf.DUMMYFUNCTION("QUERY('Volunteer Survey'!O390)"),"Possibly")</f>
        <v>Possibly</v>
      </c>
      <c r="W381" s="60" t="str">
        <f ca="1">IFERROR(__xludf.DUMMYFUNCTION("QUERY('Volunteer Survey'!P390)"),"The primary immunodeficiency group - didn't see it on the list, but I know it's upcoming")</f>
        <v>The primary immunodeficiency group - didn't see it on the list, but I know it's upcoming</v>
      </c>
      <c r="X381" s="58" t="str">
        <f ca="1">IFERROR(__xludf.DUMMYFUNCTION("QUERY('Volunteer Survey'!R390)"),"Maybe -- please contact me with other options, and I will decide based on what is available")</f>
        <v>Maybe -- please contact me with other options, and I will decide based on what is available</v>
      </c>
      <c r="Y381" s="47"/>
      <c r="Z381" s="49"/>
      <c r="AA381" s="49"/>
      <c r="AB381" s="49"/>
      <c r="AC381" s="49"/>
      <c r="AD381" s="49"/>
      <c r="AE381" s="49"/>
      <c r="AF381" s="49"/>
      <c r="AG381" s="49"/>
      <c r="AH381" s="49"/>
      <c r="AI381" s="49"/>
      <c r="AJ381" s="49"/>
      <c r="AK381" s="49"/>
      <c r="AL381" s="49"/>
      <c r="AM381" s="49"/>
      <c r="AN381" s="49"/>
      <c r="AO381" s="49"/>
    </row>
    <row r="382" spans="1:41" ht="14">
      <c r="A382" s="44">
        <f ca="1">IFERROR(__xludf.DUMMYFUNCTION("QUERY('Volunteer Survey'!A391)"),43851.4003759837)</f>
        <v>43851.4003759837</v>
      </c>
      <c r="B382" s="42" t="s">
        <v>160</v>
      </c>
      <c r="C382" s="84">
        <v>43860</v>
      </c>
      <c r="D382" s="49"/>
      <c r="E382" s="49"/>
      <c r="F382" s="42" t="s">
        <v>130</v>
      </c>
      <c r="G382" s="42" t="s">
        <v>313</v>
      </c>
      <c r="H382" s="47"/>
      <c r="I382" s="47"/>
      <c r="J382" s="49"/>
      <c r="K382" s="49"/>
      <c r="L382" s="49" t="str">
        <f ca="1">IFERROR(__xludf.DUMMYFUNCTION("QUERY('Volunteer Survey'!B391)"),"George Jour")</f>
        <v>George Jour</v>
      </c>
      <c r="M382" s="49" t="str">
        <f ca="1">IFERROR(__xludf.DUMMYFUNCTION("QUERY('Volunteer Survey'!E391)"),"george.jour@nyulangone.org")</f>
        <v>george.jour@nyulangone.org</v>
      </c>
      <c r="N382" s="49" t="str">
        <f ca="1">IFERROR(__xludf.DUMMYFUNCTION("QUERY('Volunteer Survey'!F391)"),"Physician (Non-geneticist)")</f>
        <v>Physician (Non-geneticist)</v>
      </c>
      <c r="O382" s="42" t="str">
        <f ca="1">IFERROR(__xludf.DUMMYFUNCTION("QUERY('Volunteer Survey'!H391)"),"Baseline")</f>
        <v>Baseline</v>
      </c>
      <c r="P382" s="49" t="str">
        <f ca="1">IFERROR(__xludf.DUMMYFUNCTION("QUERY('Volunteer Survey'!I391)"),"Clinical Actionability")</f>
        <v>Clinical Actionability</v>
      </c>
      <c r="Q382" s="54" t="str">
        <f ca="1">IFERROR(__xludf.DUMMYFUNCTION("QUERY('Volunteer Survey'!J391)"),"Somatic Cancer")</f>
        <v>Somatic Cancer</v>
      </c>
      <c r="R382" s="49" t="str">
        <f ca="1">IFERROR(__xludf.DUMMYFUNCTION("QUERY('Volunteer Survey'!K391)"),"Gene-Disease Validity")</f>
        <v>Gene-Disease Validity</v>
      </c>
      <c r="S382" s="49" t="str">
        <f ca="1">IFERROR(__xludf.DUMMYFUNCTION("QUERY('Volunteer Survey'!L391)"),"Variant Pathogenicity")</f>
        <v>Variant Pathogenicity</v>
      </c>
      <c r="T382" s="49" t="str">
        <f ca="1">IFERROR(__xludf.DUMMYFUNCTION("QUERY('Volunteer Survey'!M391)"),"")</f>
        <v/>
      </c>
      <c r="U382" s="58" t="str">
        <f ca="1">IFERROR(__xludf.DUMMYFUNCTION("QUERY('Volunteer Survey'!N391)"),"I did help curate an internal database during my fellowship for an inherited cancer NGS panel")</f>
        <v>I did help curate an internal database during my fellowship for an inherited cancer NGS panel</v>
      </c>
      <c r="V382" s="49" t="str">
        <f ca="1">IFERROR(__xludf.DUMMYFUNCTION("QUERY('Volunteer Survey'!O391)"),"Yes")</f>
        <v>Yes</v>
      </c>
      <c r="W382" s="60" t="str">
        <f ca="1">IFERROR(__xludf.DUMMYFUNCTION("QUERY('Volunteer Survey'!P391)"),"Rasopathies; hearing Loss; inherited cancers")</f>
        <v>Rasopathies; hearing Loss; inherited cancers</v>
      </c>
      <c r="X382" s="58" t="str">
        <f ca="1">IFERROR(__xludf.DUMMYFUNCTION("QUERY('Volunteer Survey'!R391)"),"Maybe -- please contact me with other options, and I will decide based on what is available")</f>
        <v>Maybe -- please contact me with other options, and I will decide based on what is available</v>
      </c>
      <c r="Y382" s="47"/>
      <c r="Z382" s="49"/>
      <c r="AA382" s="49"/>
      <c r="AB382" s="49"/>
      <c r="AC382" s="49"/>
      <c r="AD382" s="49"/>
      <c r="AE382" s="49"/>
      <c r="AF382" s="49"/>
      <c r="AG382" s="49"/>
      <c r="AH382" s="49"/>
      <c r="AI382" s="49"/>
      <c r="AJ382" s="49"/>
      <c r="AK382" s="49"/>
      <c r="AL382" s="49"/>
      <c r="AM382" s="49"/>
      <c r="AN382" s="49"/>
      <c r="AO382" s="49"/>
    </row>
    <row r="383" spans="1:41" ht="28">
      <c r="A383" s="44">
        <f ca="1">IFERROR(__xludf.DUMMYFUNCTION("QUERY('Volunteer Survey'!A392)"),43851.4155711226)</f>
        <v>43851.415571122598</v>
      </c>
      <c r="B383" s="42" t="s">
        <v>322</v>
      </c>
      <c r="C383" s="45" t="s">
        <v>3144</v>
      </c>
      <c r="D383" s="49"/>
      <c r="E383" s="49"/>
      <c r="F383" s="42" t="s">
        <v>130</v>
      </c>
      <c r="G383" s="42" t="s">
        <v>313</v>
      </c>
      <c r="H383" s="47"/>
      <c r="I383" s="47"/>
      <c r="J383" s="49"/>
      <c r="K383" s="49"/>
      <c r="L383" s="49" t="str">
        <f ca="1">IFERROR(__xludf.DUMMYFUNCTION("QUERY('Volunteer Survey'!B392)"),"George Jour")</f>
        <v>George Jour</v>
      </c>
      <c r="M383" s="49" t="str">
        <f ca="1">IFERROR(__xludf.DUMMYFUNCTION("QUERY('Volunteer Survey'!E392)"),"george.jour@nyulangone.org")</f>
        <v>george.jour@nyulangone.org</v>
      </c>
      <c r="N383" s="49" t="str">
        <f ca="1">IFERROR(__xludf.DUMMYFUNCTION("QUERY('Volunteer Survey'!F392)"),"Physician (Non-geneticist)")</f>
        <v>Physician (Non-geneticist)</v>
      </c>
      <c r="O383" s="42" t="str">
        <f ca="1">IFERROR(__xludf.DUMMYFUNCTION("QUERY('Volunteer Survey'!H392)"),"Baseline")</f>
        <v>Baseline</v>
      </c>
      <c r="P383" s="49" t="str">
        <f ca="1">IFERROR(__xludf.DUMMYFUNCTION("QUERY('Volunteer Survey'!I392)"),"Clinical Actionability")</f>
        <v>Clinical Actionability</v>
      </c>
      <c r="Q383" s="54" t="str">
        <f ca="1">IFERROR(__xludf.DUMMYFUNCTION("QUERY('Volunteer Survey'!J392)"),"Somatic Cancer")</f>
        <v>Somatic Cancer</v>
      </c>
      <c r="R383" s="49" t="str">
        <f ca="1">IFERROR(__xludf.DUMMYFUNCTION("QUERY('Volunteer Survey'!K392)"),"Gene-Disease Validity")</f>
        <v>Gene-Disease Validity</v>
      </c>
      <c r="S383" s="49" t="str">
        <f ca="1">IFERROR(__xludf.DUMMYFUNCTION("QUERY('Volunteer Survey'!L392)"),"Variant Pathogenicity")</f>
        <v>Variant Pathogenicity</v>
      </c>
      <c r="T383" s="49" t="str">
        <f ca="1">IFERROR(__xludf.DUMMYFUNCTION("QUERY('Volunteer Survey'!M392)"),"")</f>
        <v/>
      </c>
      <c r="U383" s="58" t="str">
        <f ca="1">IFERROR(__xludf.DUMMYFUNCTION("QUERY('Volunteer Survey'!N392)"),"I did help curate an internal database during my fellowship for an inherited cancer NGS panel")</f>
        <v>I did help curate an internal database during my fellowship for an inherited cancer NGS panel</v>
      </c>
      <c r="V383" s="49" t="str">
        <f ca="1">IFERROR(__xludf.DUMMYFUNCTION("QUERY('Volunteer Survey'!O392)"),"Yes")</f>
        <v>Yes</v>
      </c>
      <c r="W383" s="60" t="str">
        <f ca="1">IFERROR(__xludf.DUMMYFUNCTION("QUERY('Volunteer Survey'!P392)"),"Rasopathies; hearing Loss; inherited cancers")</f>
        <v>Rasopathies; hearing Loss; inherited cancers</v>
      </c>
      <c r="X383" s="58" t="str">
        <f ca="1">IFERROR(__xludf.DUMMYFUNCTION("QUERY('Volunteer Survey'!R392)"),"Maybe -- please contact me with other options, and I will decide based on what is available")</f>
        <v>Maybe -- please contact me with other options, and I will decide based on what is available</v>
      </c>
      <c r="Y383" s="47"/>
      <c r="Z383" s="49"/>
      <c r="AA383" s="49"/>
      <c r="AB383" s="49"/>
      <c r="AC383" s="49"/>
      <c r="AD383" s="49"/>
      <c r="AE383" s="49"/>
      <c r="AF383" s="49"/>
      <c r="AG383" s="49"/>
      <c r="AH383" s="49"/>
      <c r="AI383" s="49"/>
      <c r="AJ383" s="49"/>
      <c r="AK383" s="49"/>
      <c r="AL383" s="49"/>
      <c r="AM383" s="49"/>
      <c r="AN383" s="49"/>
      <c r="AO383" s="49"/>
    </row>
    <row r="384" spans="1:41" ht="14">
      <c r="A384" s="44">
        <f ca="1">IFERROR(__xludf.DUMMYFUNCTION("QUERY('Volunteer Survey'!A393)"),43851.8164046064)</f>
        <v>43851.816404606398</v>
      </c>
      <c r="B384" s="42" t="s">
        <v>322</v>
      </c>
      <c r="C384" s="47"/>
      <c r="D384" s="49"/>
      <c r="E384" s="49"/>
      <c r="F384" s="42" t="s">
        <v>130</v>
      </c>
      <c r="G384" s="42" t="s">
        <v>313</v>
      </c>
      <c r="H384" s="47"/>
      <c r="I384" s="47"/>
      <c r="J384" s="49"/>
      <c r="K384" s="49"/>
      <c r="L384" s="49" t="str">
        <f ca="1">IFERROR(__xludf.DUMMYFUNCTION("QUERY('Volunteer Survey'!B393)"),"Emily Hansen-Kiss")</f>
        <v>Emily Hansen-Kiss</v>
      </c>
      <c r="M384" s="49" t="str">
        <f ca="1">IFERROR(__xludf.DUMMYFUNCTION("QUERY('Volunteer Survey'!E393)"),"Emily.HansenKiss@uth.tmc.edu")</f>
        <v>Emily.HansenKiss@uth.tmc.edu</v>
      </c>
      <c r="N384" s="49" t="str">
        <f ca="1">IFERROR(__xludf.DUMMYFUNCTION("QUERY('Volunteer Survey'!F393)"),"Genetic counselor")</f>
        <v>Genetic counselor</v>
      </c>
      <c r="O384" s="42" t="str">
        <f ca="1">IFERROR(__xludf.DUMMYFUNCTION("QUERY('Volunteer Survey'!H393)"),"Comprehensive")</f>
        <v>Comprehensive</v>
      </c>
      <c r="P384" s="49" t="str">
        <f ca="1">IFERROR(__xludf.DUMMYFUNCTION("QUERY('Volunteer Survey'!I393)"),"Variant Pathogenicity")</f>
        <v>Variant Pathogenicity</v>
      </c>
      <c r="Q384" s="54" t="str">
        <f ca="1">IFERROR(__xludf.DUMMYFUNCTION("QUERY('Volunteer Survey'!J393)"),"Clinical Actionability")</f>
        <v>Clinical Actionability</v>
      </c>
      <c r="R384" s="49" t="str">
        <f ca="1">IFERROR(__xludf.DUMMYFUNCTION("QUERY('Volunteer Survey'!K393)"),"Gene-Disease Validity")</f>
        <v>Gene-Disease Validity</v>
      </c>
      <c r="S384" s="49" t="str">
        <f ca="1">IFERROR(__xludf.DUMMYFUNCTION("QUERY('Volunteer Survey'!L393)"),"Dosage Sensitivity")</f>
        <v>Dosage Sensitivity</v>
      </c>
      <c r="T384" s="49" t="str">
        <f ca="1">IFERROR(__xludf.DUMMYFUNCTION("QUERY('Volunteer Survey'!M393)"),"")</f>
        <v/>
      </c>
      <c r="U384" s="58" t="str">
        <f ca="1">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49" t="str">
        <f ca="1">IFERROR(__xludf.DUMMYFUNCTION("QUERY('Volunteer Survey'!O393)"),"Possibly")</f>
        <v>Possibly</v>
      </c>
      <c r="W384" s="60" t="str">
        <f ca="1">IFERROR(__xludf.DUMMYFUNCTION("QUERY('Volunteer Survey'!P393)"),"PTEN")</f>
        <v>PTEN</v>
      </c>
      <c r="X384" s="58" t="str">
        <f ca="1">IFERROR(__xludf.DUMMYFUNCTION("QUERY('Volunteer Survey'!R393)"),"No - I am only interested in the group(s) I previously indicated")</f>
        <v>No - I am only interested in the group(s) I previously indicated</v>
      </c>
      <c r="Y384" s="47"/>
      <c r="Z384" s="49"/>
      <c r="AA384" s="49"/>
      <c r="AB384" s="49"/>
      <c r="AC384" s="49"/>
      <c r="AD384" s="49"/>
      <c r="AE384" s="49"/>
      <c r="AF384" s="49"/>
      <c r="AG384" s="49"/>
      <c r="AH384" s="49"/>
      <c r="AI384" s="49"/>
      <c r="AJ384" s="49"/>
      <c r="AK384" s="49"/>
      <c r="AL384" s="49"/>
      <c r="AM384" s="49"/>
      <c r="AN384" s="49"/>
      <c r="AO384" s="49"/>
    </row>
    <row r="385" spans="1:41" ht="14">
      <c r="A385" s="44">
        <f ca="1">IFERROR(__xludf.DUMMYFUNCTION("QUERY('Volunteer Survey'!A394)"),43852.4315767592)</f>
        <v>43852.431576759198</v>
      </c>
      <c r="B385" s="42" t="s">
        <v>322</v>
      </c>
      <c r="C385" s="47"/>
      <c r="D385" s="49"/>
      <c r="E385" s="49"/>
      <c r="F385" s="42" t="s">
        <v>130</v>
      </c>
      <c r="G385" s="42" t="s">
        <v>313</v>
      </c>
      <c r="H385" s="47"/>
      <c r="I385" s="47"/>
      <c r="J385" s="49"/>
      <c r="K385" s="49"/>
      <c r="L385" s="49" t="str">
        <f ca="1">IFERROR(__xludf.DUMMYFUNCTION("QUERY('Volunteer Survey'!B394)"),"Chitra Chandrasekaran")</f>
        <v>Chitra Chandrasekaran</v>
      </c>
      <c r="M385" s="49" t="str">
        <f ca="1">IFERROR(__xludf.DUMMYFUNCTION("QUERY('Volunteer Survey'!E394)"),"cchandrasekaran@txwes.edu")</f>
        <v>cchandrasekaran@txwes.edu</v>
      </c>
      <c r="N385" s="49" t="str">
        <f ca="1">IFERROR(__xludf.DUMMYFUNCTION("QUERY('Volunteer Survey'!F394)"),"Biology Professor")</f>
        <v>Biology Professor</v>
      </c>
      <c r="O385" s="42" t="str">
        <f ca="1">IFERROR(__xludf.DUMMYFUNCTION("QUERY('Volunteer Survey'!H394)"),"Comprehensive")</f>
        <v>Comprehensive</v>
      </c>
      <c r="P385" s="49" t="str">
        <f ca="1">IFERROR(__xludf.DUMMYFUNCTION("QUERY('Volunteer Survey'!I394)"),"Gene-Disease Validity")</f>
        <v>Gene-Disease Validity</v>
      </c>
      <c r="Q385" s="54" t="str">
        <f ca="1">IFERROR(__xludf.DUMMYFUNCTION("QUERY('Volunteer Survey'!J394)"),"Variant Pathogenicity")</f>
        <v>Variant Pathogenicity</v>
      </c>
      <c r="R385" s="49" t="str">
        <f ca="1">IFERROR(__xludf.DUMMYFUNCTION("QUERY('Volunteer Survey'!K394)"),"Somatic Cancer")</f>
        <v>Somatic Cancer</v>
      </c>
      <c r="S385" s="49" t="str">
        <f ca="1">IFERROR(__xludf.DUMMYFUNCTION("QUERY('Volunteer Survey'!L394)"),"Dosage Sensitivity")</f>
        <v>Dosage Sensitivity</v>
      </c>
      <c r="T385" s="49" t="str">
        <f ca="1">IFERROR(__xludf.DUMMYFUNCTION("QUERY('Volunteer Survey'!M394)"),"Clinical Actionability")</f>
        <v>Clinical Actionability</v>
      </c>
      <c r="U385" s="58" t="str">
        <f ca="1">IFERROR(__xludf.DUMMYFUNCTION("QUERY('Volunteer Survey'!N394)"),"I do not have any previous experience with the activities mentioned above.")</f>
        <v>I do not have any previous experience with the activities mentioned above.</v>
      </c>
      <c r="V385" s="49" t="str">
        <f ca="1">IFERROR(__xludf.DUMMYFUNCTION("QUERY('Volunteer Survey'!O394)"),"Possibly")</f>
        <v>Possibly</v>
      </c>
      <c r="W385" s="60" t="str">
        <f ca="1">IFERROR(__xludf.DUMMYFUNCTION("QUERY('Volunteer Survey'!P394)"),"")</f>
        <v/>
      </c>
      <c r="X385" s="58" t="str">
        <f ca="1">IFERROR(__xludf.DUMMYFUNCTION("QUERY('Volunteer Survey'!R394)"),"")</f>
        <v/>
      </c>
      <c r="Y385" s="47"/>
      <c r="Z385" s="49"/>
      <c r="AA385" s="49"/>
      <c r="AB385" s="49"/>
      <c r="AC385" s="49"/>
      <c r="AD385" s="49"/>
      <c r="AE385" s="49"/>
      <c r="AF385" s="49"/>
      <c r="AG385" s="49"/>
      <c r="AH385" s="49"/>
      <c r="AI385" s="49"/>
      <c r="AJ385" s="49"/>
      <c r="AK385" s="49"/>
      <c r="AL385" s="49"/>
      <c r="AM385" s="49"/>
      <c r="AN385" s="49"/>
      <c r="AO385" s="49"/>
    </row>
    <row r="386" spans="1:41" ht="14">
      <c r="A386" s="44">
        <f ca="1">IFERROR(__xludf.DUMMYFUNCTION("QUERY('Volunteer Survey'!A395)"),43852.752405405)</f>
        <v>43852.752405405001</v>
      </c>
      <c r="B386" s="42" t="s">
        <v>322</v>
      </c>
      <c r="C386" s="47"/>
      <c r="D386" s="49"/>
      <c r="E386" s="49"/>
      <c r="F386" s="42" t="s">
        <v>130</v>
      </c>
      <c r="G386" s="42" t="s">
        <v>313</v>
      </c>
      <c r="H386" s="47"/>
      <c r="I386" s="47"/>
      <c r="J386" s="49"/>
      <c r="K386" s="49"/>
      <c r="L386" s="49" t="str">
        <f ca="1">IFERROR(__xludf.DUMMYFUNCTION("QUERY('Volunteer Survey'!B395)"),"Silke Waap")</f>
        <v>Silke Waap</v>
      </c>
      <c r="M386" s="49" t="str">
        <f ca="1">IFERROR(__xludf.DUMMYFUNCTION("QUERY('Volunteer Survey'!E395)"),"silkewaap@gmail.com")</f>
        <v>silkewaap@gmail.com</v>
      </c>
      <c r="N386" s="49" t="str">
        <f ca="1">IFERROR(__xludf.DUMMYFUNCTION("QUERY('Volunteer Survey'!F395)"),"Scientific Researcher")</f>
        <v>Scientific Researcher</v>
      </c>
      <c r="O386" s="42" t="str">
        <f ca="1">IFERROR(__xludf.DUMMYFUNCTION("QUERY('Volunteer Survey'!H395)"),"Comprehensive")</f>
        <v>Comprehensive</v>
      </c>
      <c r="P386" s="49" t="str">
        <f ca="1">IFERROR(__xludf.DUMMYFUNCTION("QUERY('Volunteer Survey'!I395)"),"Gene-Disease Validity")</f>
        <v>Gene-Disease Validity</v>
      </c>
      <c r="Q386" s="54" t="str">
        <f ca="1">IFERROR(__xludf.DUMMYFUNCTION("QUERY('Volunteer Survey'!J395)"),"Variant Pathogenicity")</f>
        <v>Variant Pathogenicity</v>
      </c>
      <c r="R386" s="49" t="str">
        <f ca="1">IFERROR(__xludf.DUMMYFUNCTION("QUERY('Volunteer Survey'!K395)"),"")</f>
        <v/>
      </c>
      <c r="S386" s="49" t="str">
        <f ca="1">IFERROR(__xludf.DUMMYFUNCTION("QUERY('Volunteer Survey'!L395)"),"")</f>
        <v/>
      </c>
      <c r="T386" s="49" t="str">
        <f ca="1">IFERROR(__xludf.DUMMYFUNCTION("QUERY('Volunteer Survey'!M395)"),"")</f>
        <v/>
      </c>
      <c r="U386" s="58" t="str">
        <f ca="1">IFERROR(__xludf.DUMMYFUNCTION("QUERY('Volunteer Survey'!N395)"),"My scientific research expertise has been on evolutionary processes, involving gene variation (SNPs) and laboratory next generation sequencing techniques and bioinformatic analyses of genetic barcodes. ")</f>
        <v xml:space="preserve">My scientific research expertise has been on evolutionary processes, involving gene variation (SNPs) and laboratory next generation sequencing techniques and bioinformatic analyses of genetic barcodes. </v>
      </c>
      <c r="V386" s="49" t="str">
        <f ca="1">IFERROR(__xludf.DUMMYFUNCTION("QUERY('Volunteer Survey'!O395)"),"Yes")</f>
        <v>Yes</v>
      </c>
      <c r="W386" s="60" t="str">
        <f ca="1">IFERROR(__xludf.DUMMYFUNCTION("QUERY('Volunteer Survey'!P395)"),"")</f>
        <v/>
      </c>
      <c r="X386" s="58" t="str">
        <f ca="1">IFERROR(__xludf.DUMMYFUNCTION("QUERY('Volunteer Survey'!R395)"),"Yes- I am willing to volunteer with any available ClinGen group")</f>
        <v>Yes- I am willing to volunteer with any available ClinGen group</v>
      </c>
      <c r="Y386" s="47"/>
      <c r="Z386" s="49"/>
      <c r="AA386" s="49"/>
      <c r="AB386" s="49"/>
      <c r="AC386" s="49"/>
      <c r="AD386" s="49"/>
      <c r="AE386" s="49"/>
      <c r="AF386" s="49"/>
      <c r="AG386" s="49"/>
      <c r="AH386" s="49"/>
      <c r="AI386" s="49"/>
      <c r="AJ386" s="49"/>
      <c r="AK386" s="49"/>
      <c r="AL386" s="49"/>
      <c r="AM386" s="49"/>
      <c r="AN386" s="49"/>
      <c r="AO386" s="49"/>
    </row>
    <row r="387" spans="1:41" ht="14">
      <c r="A387" s="49" t="str">
        <f ca="1">IFERROR(__xludf.DUMMYFUNCTION("QUERY('Volunteer Survey'!A405)"),"")</f>
        <v/>
      </c>
      <c r="B387" s="42" t="s">
        <v>322</v>
      </c>
      <c r="C387" s="47"/>
      <c r="D387" s="49"/>
      <c r="E387" s="49"/>
      <c r="F387" s="49" t="b">
        <v>0</v>
      </c>
      <c r="G387" s="42" t="s">
        <v>313</v>
      </c>
      <c r="H387" s="47"/>
      <c r="I387" s="47"/>
      <c r="J387" s="49"/>
      <c r="K387" s="49"/>
      <c r="L387" s="49" t="str">
        <f ca="1">IFERROR(__xludf.DUMMYFUNCTION("QUERY('Volunteer Survey'!B405)"),"")</f>
        <v/>
      </c>
      <c r="M387" s="49" t="str">
        <f ca="1">IFERROR(__xludf.DUMMYFUNCTION("QUERY('Volunteer Survey'!E405)"),"")</f>
        <v/>
      </c>
      <c r="N387" s="49" t="str">
        <f ca="1">IFERROR(__xludf.DUMMYFUNCTION("QUERY('Volunteer Survey'!F405)"),"")</f>
        <v/>
      </c>
      <c r="O387" s="42" t="str">
        <f ca="1">IFERROR(__xludf.DUMMYFUNCTION("QUERY('Volunteer Survey'!H405)"),"")</f>
        <v/>
      </c>
      <c r="P387" s="49" t="str">
        <f ca="1">IFERROR(__xludf.DUMMYFUNCTION("QUERY('Volunteer Survey'!I413)"),"")</f>
        <v/>
      </c>
      <c r="Q387" s="54" t="str">
        <f ca="1">IFERROR(__xludf.DUMMYFUNCTION("QUERY('Volunteer Survey'!J405)"),"")</f>
        <v/>
      </c>
      <c r="R387" s="49" t="str">
        <f ca="1">IFERROR(__xludf.DUMMYFUNCTION("QUERY('Volunteer Survey'!K405)"),"")</f>
        <v/>
      </c>
      <c r="S387" s="49" t="str">
        <f ca="1">IFERROR(__xludf.DUMMYFUNCTION("QUERY('Volunteer Survey'!L405)"),"")</f>
        <v/>
      </c>
      <c r="T387" s="49" t="str">
        <f ca="1">IFERROR(__xludf.DUMMYFUNCTION("QUERY('Volunteer Survey'!M405)"),"")</f>
        <v/>
      </c>
      <c r="U387" s="58" t="str">
        <f ca="1">IFERROR(__xludf.DUMMYFUNCTION("QUERY('Volunteer Survey'!N405)"),"")</f>
        <v/>
      </c>
      <c r="V387" s="49" t="str">
        <f ca="1">IFERROR(__xludf.DUMMYFUNCTION("QUERY('Volunteer Survey'!O405)"),"")</f>
        <v/>
      </c>
      <c r="W387" s="60" t="str">
        <f ca="1">IFERROR(__xludf.DUMMYFUNCTION("QUERY('Volunteer Survey'!P405)"),"")</f>
        <v/>
      </c>
      <c r="X387" s="58" t="str">
        <f ca="1">IFERROR(__xludf.DUMMYFUNCTION("QUERY('Volunteer Survey'!R405)"),"")</f>
        <v/>
      </c>
      <c r="Y387" s="47"/>
      <c r="Z387" s="49"/>
      <c r="AA387" s="49"/>
      <c r="AB387" s="49"/>
      <c r="AC387" s="49"/>
      <c r="AD387" s="49"/>
      <c r="AE387" s="49"/>
      <c r="AF387" s="49"/>
      <c r="AG387" s="49"/>
      <c r="AH387" s="49"/>
      <c r="AI387" s="49"/>
      <c r="AJ387" s="49"/>
      <c r="AK387" s="49"/>
      <c r="AL387" s="49"/>
      <c r="AM387" s="49"/>
      <c r="AN387" s="49"/>
      <c r="AO387" s="49"/>
    </row>
    <row r="388" spans="1:41" ht="14">
      <c r="A388" s="49" t="str">
        <f ca="1">IFERROR(__xludf.DUMMYFUNCTION("QUERY('Volunteer Survey'!A406)"),"")</f>
        <v/>
      </c>
      <c r="B388" s="42" t="s">
        <v>322</v>
      </c>
      <c r="C388" s="47"/>
      <c r="D388" s="49"/>
      <c r="E388" s="49"/>
      <c r="F388" s="49" t="b">
        <v>0</v>
      </c>
      <c r="G388" s="42" t="s">
        <v>313</v>
      </c>
      <c r="H388" s="47"/>
      <c r="I388" s="47"/>
      <c r="J388" s="49"/>
      <c r="K388" s="49"/>
      <c r="L388" s="49" t="str">
        <f ca="1">IFERROR(__xludf.DUMMYFUNCTION("QUERY('Volunteer Survey'!B414)"),"")</f>
        <v/>
      </c>
      <c r="M388" s="49" t="str">
        <f ca="1">IFERROR(__xludf.DUMMYFUNCTION("QUERY('Volunteer Survey'!E414)"),"")</f>
        <v/>
      </c>
      <c r="N388" s="49" t="str">
        <f ca="1">IFERROR(__xludf.DUMMYFUNCTION("QUERY('Volunteer Survey'!F406)"),"")</f>
        <v/>
      </c>
      <c r="O388" s="42" t="str">
        <f ca="1">IFERROR(__xludf.DUMMYFUNCTION("QUERY('Volunteer Survey'!H406)"),"")</f>
        <v/>
      </c>
      <c r="P388" s="49" t="str">
        <f ca="1">IFERROR(__xludf.DUMMYFUNCTION("QUERY('Volunteer Survey'!I414)"),"")</f>
        <v/>
      </c>
      <c r="Q388" s="54" t="str">
        <f ca="1">IFERROR(__xludf.DUMMYFUNCTION("QUERY('Volunteer Survey'!J414)"),"")</f>
        <v/>
      </c>
      <c r="R388" s="49" t="str">
        <f ca="1">IFERROR(__xludf.DUMMYFUNCTION("QUERY('Volunteer Survey'!K406)"),"")</f>
        <v/>
      </c>
      <c r="S388" s="49" t="str">
        <f ca="1">IFERROR(__xludf.DUMMYFUNCTION("QUERY('Volunteer Survey'!L406)"),"")</f>
        <v/>
      </c>
      <c r="T388" s="49" t="str">
        <f ca="1">IFERROR(__xludf.DUMMYFUNCTION("QUERY('Volunteer Survey'!M406)"),"")</f>
        <v/>
      </c>
      <c r="U388" s="58" t="str">
        <f ca="1">IFERROR(__xludf.DUMMYFUNCTION("QUERY('Volunteer Survey'!N406)"),"")</f>
        <v/>
      </c>
      <c r="V388" s="49" t="str">
        <f ca="1">IFERROR(__xludf.DUMMYFUNCTION("QUERY('Volunteer Survey'!O406)"),"")</f>
        <v/>
      </c>
      <c r="W388" s="60" t="str">
        <f ca="1">IFERROR(__xludf.DUMMYFUNCTION("QUERY('Volunteer Survey'!P406)"),"")</f>
        <v/>
      </c>
      <c r="X388" s="58" t="str">
        <f ca="1">IFERROR(__xludf.DUMMYFUNCTION("QUERY('Volunteer Survey'!R414)"),"")</f>
        <v/>
      </c>
      <c r="Y388" s="47"/>
      <c r="Z388" s="49"/>
      <c r="AA388" s="49"/>
      <c r="AB388" s="49"/>
      <c r="AC388" s="49"/>
      <c r="AD388" s="49"/>
      <c r="AE388" s="49"/>
      <c r="AF388" s="49"/>
      <c r="AG388" s="49"/>
      <c r="AH388" s="49"/>
      <c r="AI388" s="49"/>
      <c r="AJ388" s="49"/>
      <c r="AK388" s="49"/>
      <c r="AL388" s="49"/>
      <c r="AM388" s="49"/>
      <c r="AN388" s="49"/>
      <c r="AO388" s="49"/>
    </row>
    <row r="389" spans="1:41" ht="14">
      <c r="A389" s="49" t="str">
        <f ca="1">IFERROR(__xludf.DUMMYFUNCTION("QUERY('Volunteer Survey'!A407)"),"")</f>
        <v/>
      </c>
      <c r="B389" s="42" t="s">
        <v>322</v>
      </c>
      <c r="C389" s="47"/>
      <c r="D389" s="49"/>
      <c r="E389" s="49"/>
      <c r="F389" s="49" t="b">
        <v>0</v>
      </c>
      <c r="G389" s="42" t="s">
        <v>313</v>
      </c>
      <c r="H389" s="47"/>
      <c r="I389" s="47"/>
      <c r="J389" s="49"/>
      <c r="K389" s="49"/>
      <c r="L389" s="49" t="str">
        <f ca="1">IFERROR(__xludf.DUMMYFUNCTION("QUERY('Volunteer Survey'!B415)"),"")</f>
        <v/>
      </c>
      <c r="M389" s="49" t="str">
        <f ca="1">IFERROR(__xludf.DUMMYFUNCTION("QUERY('Volunteer Survey'!E415)"),"")</f>
        <v/>
      </c>
      <c r="N389" s="49" t="str">
        <f ca="1">IFERROR(__xludf.DUMMYFUNCTION("QUERY('Volunteer Survey'!F415)"),"")</f>
        <v/>
      </c>
      <c r="O389" s="42" t="str">
        <f ca="1">IFERROR(__xludf.DUMMYFUNCTION("QUERY('Volunteer Survey'!H407)"),"")</f>
        <v/>
      </c>
      <c r="P389" s="49" t="str">
        <f ca="1">IFERROR(__xludf.DUMMYFUNCTION("QUERY('Volunteer Survey'!I415)"),"")</f>
        <v/>
      </c>
      <c r="Q389" s="54" t="str">
        <f ca="1">IFERROR(__xludf.DUMMYFUNCTION("QUERY('Volunteer Survey'!J415)"),"")</f>
        <v/>
      </c>
      <c r="R389" s="49" t="str">
        <f ca="1">IFERROR(__xludf.DUMMYFUNCTION("QUERY('Volunteer Survey'!K415)"),"")</f>
        <v/>
      </c>
      <c r="S389" s="49" t="str">
        <f ca="1">IFERROR(__xludf.DUMMYFUNCTION("QUERY('Volunteer Survey'!L407)"),"")</f>
        <v/>
      </c>
      <c r="T389" s="49" t="str">
        <f ca="1">IFERROR(__xludf.DUMMYFUNCTION("QUERY('Volunteer Survey'!M407)"),"")</f>
        <v/>
      </c>
      <c r="U389" s="58" t="str">
        <f ca="1">IFERROR(__xludf.DUMMYFUNCTION("QUERY('Volunteer Survey'!N407)"),"")</f>
        <v/>
      </c>
      <c r="V389" s="49" t="str">
        <f ca="1">IFERROR(__xludf.DUMMYFUNCTION("QUERY('Volunteer Survey'!O415)"),"")</f>
        <v/>
      </c>
      <c r="W389" s="60" t="str">
        <f ca="1">IFERROR(__xludf.DUMMYFUNCTION("QUERY('Volunteer Survey'!P415)"),"")</f>
        <v/>
      </c>
      <c r="X389" s="58" t="str">
        <f ca="1">IFERROR(__xludf.DUMMYFUNCTION("QUERY('Volunteer Survey'!R415)"),"")</f>
        <v/>
      </c>
      <c r="Y389" s="47"/>
      <c r="Z389" s="49"/>
      <c r="AA389" s="49"/>
      <c r="AB389" s="49"/>
      <c r="AC389" s="49"/>
      <c r="AD389" s="49"/>
      <c r="AE389" s="49"/>
      <c r="AF389" s="49"/>
      <c r="AG389" s="49"/>
      <c r="AH389" s="49"/>
      <c r="AI389" s="49"/>
      <c r="AJ389" s="49"/>
      <c r="AK389" s="49"/>
      <c r="AL389" s="49"/>
      <c r="AM389" s="49"/>
      <c r="AN389" s="49"/>
      <c r="AO389" s="49"/>
    </row>
    <row r="390" spans="1:41" ht="14">
      <c r="A390" s="49" t="str">
        <f ca="1">IFERROR(__xludf.DUMMYFUNCTION("QUERY('Volunteer Survey'!A408)"),"")</f>
        <v/>
      </c>
      <c r="B390" s="42" t="s">
        <v>322</v>
      </c>
      <c r="C390" s="47"/>
      <c r="D390" s="49"/>
      <c r="E390" s="49"/>
      <c r="F390" s="49" t="b">
        <v>0</v>
      </c>
      <c r="G390" s="42" t="s">
        <v>313</v>
      </c>
      <c r="H390" s="47"/>
      <c r="I390" s="47"/>
      <c r="J390" s="49"/>
      <c r="K390" s="49"/>
      <c r="L390" s="49" t="str">
        <f ca="1">IFERROR(__xludf.DUMMYFUNCTION("QUERY('Volunteer Survey'!B416)"),"")</f>
        <v/>
      </c>
      <c r="M390" s="49" t="str">
        <f ca="1">IFERROR(__xludf.DUMMYFUNCTION("QUERY('Volunteer Survey'!E416)"),"")</f>
        <v/>
      </c>
      <c r="N390" s="49" t="str">
        <f ca="1">IFERROR(__xludf.DUMMYFUNCTION("QUERY('Volunteer Survey'!F416)"),"")</f>
        <v/>
      </c>
      <c r="O390" s="42" t="str">
        <f ca="1">IFERROR(__xludf.DUMMYFUNCTION("QUERY('Volunteer Survey'!H416)"),"")</f>
        <v/>
      </c>
      <c r="P390" s="49" t="str">
        <f ca="1">IFERROR(__xludf.DUMMYFUNCTION("QUERY('Volunteer Survey'!I416)"),"")</f>
        <v/>
      </c>
      <c r="Q390" s="54" t="str">
        <f ca="1">IFERROR(__xludf.DUMMYFUNCTION("QUERY('Volunteer Survey'!J416)"),"")</f>
        <v/>
      </c>
      <c r="R390" s="49" t="str">
        <f ca="1">IFERROR(__xludf.DUMMYFUNCTION("QUERY('Volunteer Survey'!K416)"),"")</f>
        <v/>
      </c>
      <c r="S390" s="49" t="str">
        <f ca="1">IFERROR(__xludf.DUMMYFUNCTION("QUERY('Volunteer Survey'!L416)"),"")</f>
        <v/>
      </c>
      <c r="T390" s="49" t="str">
        <f ca="1">IFERROR(__xludf.DUMMYFUNCTION("QUERY('Volunteer Survey'!M416)"),"")</f>
        <v/>
      </c>
      <c r="U390" s="58" t="str">
        <f ca="1">IFERROR(__xludf.DUMMYFUNCTION("QUERY('Volunteer Survey'!N416)"),"")</f>
        <v/>
      </c>
      <c r="V390" s="49" t="str">
        <f ca="1">IFERROR(__xludf.DUMMYFUNCTION("QUERY('Volunteer Survey'!O416)"),"")</f>
        <v/>
      </c>
      <c r="W390" s="60" t="str">
        <f ca="1">IFERROR(__xludf.DUMMYFUNCTION("QUERY('Volunteer Survey'!P416)"),"")</f>
        <v/>
      </c>
      <c r="X390" s="58" t="str">
        <f ca="1">IFERROR(__xludf.DUMMYFUNCTION("QUERY('Volunteer Survey'!R416)"),"")</f>
        <v/>
      </c>
      <c r="Y390" s="47"/>
      <c r="Z390" s="49"/>
      <c r="AA390" s="49"/>
      <c r="AB390" s="49"/>
      <c r="AC390" s="49"/>
      <c r="AD390" s="49"/>
      <c r="AE390" s="49"/>
      <c r="AF390" s="49"/>
      <c r="AG390" s="49"/>
      <c r="AH390" s="49"/>
      <c r="AI390" s="49"/>
      <c r="AJ390" s="49"/>
      <c r="AK390" s="49"/>
      <c r="AL390" s="49"/>
      <c r="AM390" s="49"/>
      <c r="AN390" s="49"/>
      <c r="AO390" s="49"/>
    </row>
    <row r="391" spans="1:41" ht="14">
      <c r="A391" s="49" t="str">
        <f ca="1">IFERROR(__xludf.DUMMYFUNCTION("QUERY('Volunteer Survey'!A409)"),"")</f>
        <v/>
      </c>
      <c r="B391" s="42" t="s">
        <v>322</v>
      </c>
      <c r="C391" s="47"/>
      <c r="D391" s="49"/>
      <c r="E391" s="49"/>
      <c r="F391" s="49" t="b">
        <v>0</v>
      </c>
      <c r="G391" s="42" t="s">
        <v>313</v>
      </c>
      <c r="H391" s="47"/>
      <c r="I391" s="47"/>
      <c r="J391" s="49"/>
      <c r="K391" s="49"/>
      <c r="L391" s="49" t="str">
        <f ca="1">IFERROR(__xludf.DUMMYFUNCTION("QUERY('Volunteer Survey'!B417)"),"")</f>
        <v/>
      </c>
      <c r="M391" s="49" t="str">
        <f ca="1">IFERROR(__xludf.DUMMYFUNCTION("QUERY('Volunteer Survey'!E417)"),"")</f>
        <v/>
      </c>
      <c r="N391" s="49" t="str">
        <f ca="1">IFERROR(__xludf.DUMMYFUNCTION("QUERY('Volunteer Survey'!F417)"),"")</f>
        <v/>
      </c>
      <c r="O391" s="42" t="str">
        <f ca="1">IFERROR(__xludf.DUMMYFUNCTION("QUERY('Volunteer Survey'!H417)"),"")</f>
        <v/>
      </c>
      <c r="P391" s="49" t="str">
        <f ca="1">IFERROR(__xludf.DUMMYFUNCTION("QUERY('Volunteer Survey'!I417)"),"")</f>
        <v/>
      </c>
      <c r="Q391" s="54" t="str">
        <f ca="1">IFERROR(__xludf.DUMMYFUNCTION("QUERY('Volunteer Survey'!J417)"),"")</f>
        <v/>
      </c>
      <c r="R391" s="49" t="str">
        <f ca="1">IFERROR(__xludf.DUMMYFUNCTION("QUERY('Volunteer Survey'!K417)"),"")</f>
        <v/>
      </c>
      <c r="S391" s="49" t="str">
        <f ca="1">IFERROR(__xludf.DUMMYFUNCTION("QUERY('Volunteer Survey'!L417)"),"")</f>
        <v/>
      </c>
      <c r="T391" s="49" t="str">
        <f ca="1">IFERROR(__xludf.DUMMYFUNCTION("QUERY('Volunteer Survey'!M417)"),"")</f>
        <v/>
      </c>
      <c r="U391" s="58" t="str">
        <f ca="1">IFERROR(__xludf.DUMMYFUNCTION("QUERY('Volunteer Survey'!N417)"),"")</f>
        <v/>
      </c>
      <c r="V391" s="49" t="str">
        <f ca="1">IFERROR(__xludf.DUMMYFUNCTION("QUERY('Volunteer Survey'!O417)"),"")</f>
        <v/>
      </c>
      <c r="W391" s="60" t="str">
        <f ca="1">IFERROR(__xludf.DUMMYFUNCTION("QUERY('Volunteer Survey'!P417)"),"")</f>
        <v/>
      </c>
      <c r="X391" s="58" t="str">
        <f ca="1">IFERROR(__xludf.DUMMYFUNCTION("QUERY('Volunteer Survey'!R417)"),"")</f>
        <v/>
      </c>
      <c r="Y391" s="47"/>
      <c r="Z391" s="49"/>
      <c r="AA391" s="49"/>
      <c r="AB391" s="49"/>
      <c r="AC391" s="49"/>
      <c r="AD391" s="49"/>
      <c r="AE391" s="49"/>
      <c r="AF391" s="49"/>
      <c r="AG391" s="49"/>
      <c r="AH391" s="49"/>
      <c r="AI391" s="49"/>
      <c r="AJ391" s="49"/>
      <c r="AK391" s="49"/>
      <c r="AL391" s="49"/>
      <c r="AM391" s="49"/>
      <c r="AN391" s="49"/>
      <c r="AO391" s="49"/>
    </row>
    <row r="392" spans="1:41" ht="14">
      <c r="A392" s="49" t="str">
        <f ca="1">IFERROR(__xludf.DUMMYFUNCTION("QUERY('Volunteer Survey'!A786)"),"")</f>
        <v/>
      </c>
      <c r="B392" s="42" t="s">
        <v>322</v>
      </c>
      <c r="C392" s="47"/>
      <c r="D392" s="49"/>
      <c r="E392" s="49"/>
      <c r="F392" s="49" t="b">
        <v>0</v>
      </c>
      <c r="G392" s="42" t="s">
        <v>313</v>
      </c>
      <c r="H392" s="47"/>
      <c r="I392" s="47"/>
      <c r="J392" s="49"/>
      <c r="K392" s="49"/>
      <c r="L392" s="49" t="str">
        <f ca="1">IFERROR(__xludf.DUMMYFUNCTION("QUERY('Volunteer Survey'!B418)"),"")</f>
        <v/>
      </c>
      <c r="M392" s="49" t="str">
        <f ca="1">IFERROR(__xludf.DUMMYFUNCTION("QUERY('Volunteer Survey'!E418)"),"")</f>
        <v/>
      </c>
      <c r="N392" s="49" t="str">
        <f ca="1">IFERROR(__xludf.DUMMYFUNCTION("QUERY('Volunteer Survey'!F418)"),"")</f>
        <v/>
      </c>
      <c r="O392" s="42" t="str">
        <f ca="1">IFERROR(__xludf.DUMMYFUNCTION("QUERY('Volunteer Survey'!H418)"),"")</f>
        <v/>
      </c>
      <c r="P392" s="49" t="str">
        <f ca="1">IFERROR(__xludf.DUMMYFUNCTION("QUERY('Volunteer Survey'!I418)"),"")</f>
        <v/>
      </c>
      <c r="Q392" s="54" t="str">
        <f ca="1">IFERROR(__xludf.DUMMYFUNCTION("QUERY('Volunteer Survey'!J418)"),"")</f>
        <v/>
      </c>
      <c r="R392" s="49" t="str">
        <f ca="1">IFERROR(__xludf.DUMMYFUNCTION("QUERY('Volunteer Survey'!K418)"),"")</f>
        <v/>
      </c>
      <c r="S392" s="49" t="str">
        <f ca="1">IFERROR(__xludf.DUMMYFUNCTION("QUERY('Volunteer Survey'!L418)"),"")</f>
        <v/>
      </c>
      <c r="T392" s="49" t="str">
        <f ca="1">IFERROR(__xludf.DUMMYFUNCTION("QUERY('Volunteer Survey'!M418)"),"")</f>
        <v/>
      </c>
      <c r="U392" s="58" t="str">
        <f ca="1">IFERROR(__xludf.DUMMYFUNCTION("QUERY('Volunteer Survey'!N418)"),"")</f>
        <v/>
      </c>
      <c r="V392" s="49" t="str">
        <f ca="1">IFERROR(__xludf.DUMMYFUNCTION("QUERY('Volunteer Survey'!O418)"),"")</f>
        <v/>
      </c>
      <c r="W392" s="60" t="str">
        <f ca="1">IFERROR(__xludf.DUMMYFUNCTION("QUERY('Volunteer Survey'!P418)"),"")</f>
        <v/>
      </c>
      <c r="X392" s="58" t="str">
        <f ca="1">IFERROR(__xludf.DUMMYFUNCTION("QUERY('Volunteer Survey'!R418)"),"")</f>
        <v/>
      </c>
      <c r="Y392" s="47"/>
      <c r="Z392" s="49"/>
      <c r="AA392" s="49"/>
      <c r="AB392" s="49"/>
      <c r="AC392" s="49"/>
      <c r="AD392" s="49"/>
      <c r="AE392" s="49"/>
      <c r="AF392" s="49"/>
      <c r="AG392" s="49"/>
      <c r="AH392" s="49"/>
      <c r="AI392" s="49"/>
      <c r="AJ392" s="49"/>
      <c r="AK392" s="49"/>
      <c r="AL392" s="49"/>
      <c r="AM392" s="49"/>
      <c r="AN392" s="49"/>
      <c r="AO392" s="49"/>
    </row>
    <row r="393" spans="1:41" ht="14">
      <c r="A393" s="49" t="str">
        <f ca="1">IFERROR(__xludf.DUMMYFUNCTION("QUERY('Volunteer Survey'!A787)"),"")</f>
        <v/>
      </c>
      <c r="B393" s="42" t="s">
        <v>322</v>
      </c>
      <c r="C393" s="47"/>
      <c r="D393" s="49"/>
      <c r="E393" s="49"/>
      <c r="F393" s="49" t="b">
        <v>0</v>
      </c>
      <c r="G393" s="42" t="s">
        <v>313</v>
      </c>
      <c r="H393" s="47"/>
      <c r="I393" s="47"/>
      <c r="J393" s="49"/>
      <c r="K393" s="49"/>
      <c r="L393" s="49" t="str">
        <f ca="1">IFERROR(__xludf.DUMMYFUNCTION("QUERY('Volunteer Survey'!B419)"),"")</f>
        <v/>
      </c>
      <c r="M393" s="49" t="str">
        <f ca="1">IFERROR(__xludf.DUMMYFUNCTION("QUERY('Volunteer Survey'!E419)"),"")</f>
        <v/>
      </c>
      <c r="N393" s="49" t="str">
        <f ca="1">IFERROR(__xludf.DUMMYFUNCTION("QUERY('Volunteer Survey'!F419)"),"")</f>
        <v/>
      </c>
      <c r="O393" s="42" t="str">
        <f ca="1">IFERROR(__xludf.DUMMYFUNCTION("QUERY('Volunteer Survey'!H419)"),"")</f>
        <v/>
      </c>
      <c r="P393" s="49" t="str">
        <f ca="1">IFERROR(__xludf.DUMMYFUNCTION("QUERY('Volunteer Survey'!I419)"),"")</f>
        <v/>
      </c>
      <c r="Q393" s="54" t="str">
        <f ca="1">IFERROR(__xludf.DUMMYFUNCTION("QUERY('Volunteer Survey'!J419)"),"")</f>
        <v/>
      </c>
      <c r="R393" s="49" t="str">
        <f ca="1">IFERROR(__xludf.DUMMYFUNCTION("QUERY('Volunteer Survey'!K419)"),"")</f>
        <v/>
      </c>
      <c r="S393" s="49" t="str">
        <f ca="1">IFERROR(__xludf.DUMMYFUNCTION("QUERY('Volunteer Survey'!L419)"),"")</f>
        <v/>
      </c>
      <c r="T393" s="49" t="str">
        <f ca="1">IFERROR(__xludf.DUMMYFUNCTION("QUERY('Volunteer Survey'!M419)"),"")</f>
        <v/>
      </c>
      <c r="U393" s="58" t="str">
        <f ca="1">IFERROR(__xludf.DUMMYFUNCTION("QUERY('Volunteer Survey'!N419)"),"")</f>
        <v/>
      </c>
      <c r="V393" s="49" t="str">
        <f ca="1">IFERROR(__xludf.DUMMYFUNCTION("QUERY('Volunteer Survey'!O419)"),"")</f>
        <v/>
      </c>
      <c r="W393" s="60" t="str">
        <f ca="1">IFERROR(__xludf.DUMMYFUNCTION("QUERY('Volunteer Survey'!P419)"),"")</f>
        <v/>
      </c>
      <c r="X393" s="58" t="str">
        <f ca="1">IFERROR(__xludf.DUMMYFUNCTION("QUERY('Volunteer Survey'!R419)"),"")</f>
        <v/>
      </c>
      <c r="Y393" s="47"/>
      <c r="Z393" s="49"/>
      <c r="AA393" s="49"/>
      <c r="AB393" s="49"/>
      <c r="AC393" s="49"/>
      <c r="AD393" s="49"/>
      <c r="AE393" s="49"/>
      <c r="AF393" s="49"/>
      <c r="AG393" s="49"/>
      <c r="AH393" s="49"/>
      <c r="AI393" s="49"/>
      <c r="AJ393" s="49"/>
      <c r="AK393" s="49"/>
      <c r="AL393" s="49"/>
      <c r="AM393" s="49"/>
      <c r="AN393" s="49"/>
      <c r="AO393" s="49"/>
    </row>
    <row r="394" spans="1:41" ht="14">
      <c r="A394" s="49" t="str">
        <f ca="1">IFERROR(__xludf.DUMMYFUNCTION("QUERY('Volunteer Survey'!A788)"),"")</f>
        <v/>
      </c>
      <c r="B394" s="42" t="s">
        <v>322</v>
      </c>
      <c r="C394" s="47"/>
      <c r="D394" s="49"/>
      <c r="E394" s="49"/>
      <c r="F394" s="49" t="b">
        <v>0</v>
      </c>
      <c r="G394" s="42" t="s">
        <v>313</v>
      </c>
      <c r="H394" s="47"/>
      <c r="I394" s="47"/>
      <c r="J394" s="49"/>
      <c r="K394" s="49"/>
      <c r="L394" s="49" t="str">
        <f ca="1">IFERROR(__xludf.DUMMYFUNCTION("QUERY('Volunteer Survey'!B420)"),"")</f>
        <v/>
      </c>
      <c r="M394" s="49" t="str">
        <f ca="1">IFERROR(__xludf.DUMMYFUNCTION("QUERY('Volunteer Survey'!E420)"),"")</f>
        <v/>
      </c>
      <c r="N394" s="49" t="str">
        <f ca="1">IFERROR(__xludf.DUMMYFUNCTION("QUERY('Volunteer Survey'!F420)"),"")</f>
        <v/>
      </c>
      <c r="O394" s="42" t="str">
        <f ca="1">IFERROR(__xludf.DUMMYFUNCTION("QUERY('Volunteer Survey'!H420)"),"")</f>
        <v/>
      </c>
      <c r="P394" s="49" t="str">
        <f ca="1">IFERROR(__xludf.DUMMYFUNCTION("QUERY('Volunteer Survey'!I420)"),"")</f>
        <v/>
      </c>
      <c r="Q394" s="54" t="str">
        <f ca="1">IFERROR(__xludf.DUMMYFUNCTION("QUERY('Volunteer Survey'!J420)"),"")</f>
        <v/>
      </c>
      <c r="R394" s="49" t="str">
        <f ca="1">IFERROR(__xludf.DUMMYFUNCTION("QUERY('Volunteer Survey'!K420)"),"")</f>
        <v/>
      </c>
      <c r="S394" s="49" t="str">
        <f ca="1">IFERROR(__xludf.DUMMYFUNCTION("QUERY('Volunteer Survey'!L420)"),"")</f>
        <v/>
      </c>
      <c r="T394" s="49" t="str">
        <f ca="1">IFERROR(__xludf.DUMMYFUNCTION("QUERY('Volunteer Survey'!M420)"),"")</f>
        <v/>
      </c>
      <c r="U394" s="58" t="str">
        <f ca="1">IFERROR(__xludf.DUMMYFUNCTION("QUERY('Volunteer Survey'!N420)"),"")</f>
        <v/>
      </c>
      <c r="V394" s="49" t="str">
        <f ca="1">IFERROR(__xludf.DUMMYFUNCTION("QUERY('Volunteer Survey'!O420)"),"")</f>
        <v/>
      </c>
      <c r="W394" s="60" t="str">
        <f ca="1">IFERROR(__xludf.DUMMYFUNCTION("QUERY('Volunteer Survey'!P420)"),"")</f>
        <v/>
      </c>
      <c r="X394" s="58" t="str">
        <f ca="1">IFERROR(__xludf.DUMMYFUNCTION("QUERY('Volunteer Survey'!R420)"),"")</f>
        <v/>
      </c>
      <c r="Y394" s="47"/>
      <c r="Z394" s="49"/>
      <c r="AA394" s="49"/>
      <c r="AB394" s="49"/>
      <c r="AC394" s="49"/>
      <c r="AD394" s="49"/>
      <c r="AE394" s="49"/>
      <c r="AF394" s="49"/>
      <c r="AG394" s="49"/>
      <c r="AH394" s="49"/>
      <c r="AI394" s="49"/>
      <c r="AJ394" s="49"/>
      <c r="AK394" s="49"/>
      <c r="AL394" s="49"/>
      <c r="AM394" s="49"/>
      <c r="AN394" s="49"/>
      <c r="AO394" s="49"/>
    </row>
    <row r="395" spans="1:41" ht="14">
      <c r="A395" s="49" t="str">
        <f ca="1">IFERROR(__xludf.DUMMYFUNCTION("QUERY('Volunteer Survey'!A789)"),"")</f>
        <v/>
      </c>
      <c r="B395" s="42" t="s">
        <v>322</v>
      </c>
      <c r="C395" s="47"/>
      <c r="D395" s="49"/>
      <c r="E395" s="49"/>
      <c r="F395" s="49" t="b">
        <v>0</v>
      </c>
      <c r="G395" s="42" t="s">
        <v>313</v>
      </c>
      <c r="H395" s="47"/>
      <c r="I395" s="47"/>
      <c r="J395" s="49"/>
      <c r="K395" s="49"/>
      <c r="L395" s="49" t="str">
        <f ca="1">IFERROR(__xludf.DUMMYFUNCTION("QUERY('Volunteer Survey'!B421)"),"")</f>
        <v/>
      </c>
      <c r="M395" s="49" t="str">
        <f ca="1">IFERROR(__xludf.DUMMYFUNCTION("QUERY('Volunteer Survey'!E421)"),"")</f>
        <v/>
      </c>
      <c r="N395" s="49" t="str">
        <f ca="1">IFERROR(__xludf.DUMMYFUNCTION("QUERY('Volunteer Survey'!F421)"),"")</f>
        <v/>
      </c>
      <c r="O395" s="42" t="str">
        <f ca="1">IFERROR(__xludf.DUMMYFUNCTION("QUERY('Volunteer Survey'!H421)"),"")</f>
        <v/>
      </c>
      <c r="P395" s="49" t="str">
        <f ca="1">IFERROR(__xludf.DUMMYFUNCTION("QUERY('Volunteer Survey'!I421)"),"")</f>
        <v/>
      </c>
      <c r="Q395" s="54" t="str">
        <f ca="1">IFERROR(__xludf.DUMMYFUNCTION("QUERY('Volunteer Survey'!J421)"),"")</f>
        <v/>
      </c>
      <c r="R395" s="49" t="str">
        <f ca="1">IFERROR(__xludf.DUMMYFUNCTION("QUERY('Volunteer Survey'!K421)"),"")</f>
        <v/>
      </c>
      <c r="S395" s="49" t="str">
        <f ca="1">IFERROR(__xludf.DUMMYFUNCTION("QUERY('Volunteer Survey'!L421)"),"")</f>
        <v/>
      </c>
      <c r="T395" s="49" t="str">
        <f ca="1">IFERROR(__xludf.DUMMYFUNCTION("QUERY('Volunteer Survey'!M421)"),"")</f>
        <v/>
      </c>
      <c r="U395" s="58" t="str">
        <f ca="1">IFERROR(__xludf.DUMMYFUNCTION("QUERY('Volunteer Survey'!N421)"),"")</f>
        <v/>
      </c>
      <c r="V395" s="49" t="str">
        <f ca="1">IFERROR(__xludf.DUMMYFUNCTION("QUERY('Volunteer Survey'!O421)"),"")</f>
        <v/>
      </c>
      <c r="W395" s="60" t="str">
        <f ca="1">IFERROR(__xludf.DUMMYFUNCTION("QUERY('Volunteer Survey'!P421)"),"")</f>
        <v/>
      </c>
      <c r="X395" s="58" t="str">
        <f ca="1">IFERROR(__xludf.DUMMYFUNCTION("QUERY('Volunteer Survey'!R421)"),"")</f>
        <v/>
      </c>
      <c r="Y395" s="47"/>
      <c r="Z395" s="49"/>
      <c r="AA395" s="49"/>
      <c r="AB395" s="49"/>
      <c r="AC395" s="49"/>
      <c r="AD395" s="49"/>
      <c r="AE395" s="49"/>
      <c r="AF395" s="49"/>
      <c r="AG395" s="49"/>
      <c r="AH395" s="49"/>
      <c r="AI395" s="49"/>
      <c r="AJ395" s="49"/>
      <c r="AK395" s="49"/>
      <c r="AL395" s="49"/>
      <c r="AM395" s="49"/>
      <c r="AN395" s="49"/>
      <c r="AO395" s="49"/>
    </row>
    <row r="396" spans="1:41" ht="14">
      <c r="A396" s="49" t="str">
        <f ca="1">IFERROR(__xludf.DUMMYFUNCTION("QUERY('Volunteer Survey'!A790)"),"")</f>
        <v/>
      </c>
      <c r="B396" s="42" t="s">
        <v>322</v>
      </c>
      <c r="C396" s="47"/>
      <c r="D396" s="49"/>
      <c r="E396" s="49"/>
      <c r="F396" s="49" t="b">
        <v>0</v>
      </c>
      <c r="G396" s="42" t="s">
        <v>313</v>
      </c>
      <c r="H396" s="47"/>
      <c r="I396" s="47"/>
      <c r="J396" s="49"/>
      <c r="K396" s="49"/>
      <c r="L396" s="49" t="str">
        <f ca="1">IFERROR(__xludf.DUMMYFUNCTION("QUERY('Volunteer Survey'!B422)"),"")</f>
        <v/>
      </c>
      <c r="M396" s="49" t="str">
        <f ca="1">IFERROR(__xludf.DUMMYFUNCTION("QUERY('Volunteer Survey'!E422)"),"")</f>
        <v/>
      </c>
      <c r="N396" s="49" t="str">
        <f ca="1">IFERROR(__xludf.DUMMYFUNCTION("QUERY('Volunteer Survey'!F422)"),"")</f>
        <v/>
      </c>
      <c r="O396" s="42" t="str">
        <f ca="1">IFERROR(__xludf.DUMMYFUNCTION("QUERY('Volunteer Survey'!H422)"),"")</f>
        <v/>
      </c>
      <c r="P396" s="49" t="str">
        <f ca="1">IFERROR(__xludf.DUMMYFUNCTION("QUERY('Volunteer Survey'!I422)"),"")</f>
        <v/>
      </c>
      <c r="Q396" s="54" t="str">
        <f ca="1">IFERROR(__xludf.DUMMYFUNCTION("QUERY('Volunteer Survey'!J422)"),"")</f>
        <v/>
      </c>
      <c r="R396" s="49" t="str">
        <f ca="1">IFERROR(__xludf.DUMMYFUNCTION("QUERY('Volunteer Survey'!K422)"),"")</f>
        <v/>
      </c>
      <c r="S396" s="49" t="str">
        <f ca="1">IFERROR(__xludf.DUMMYFUNCTION("QUERY('Volunteer Survey'!L422)"),"")</f>
        <v/>
      </c>
      <c r="T396" s="49" t="str">
        <f ca="1">IFERROR(__xludf.DUMMYFUNCTION("QUERY('Volunteer Survey'!M422)"),"")</f>
        <v/>
      </c>
      <c r="U396" s="58" t="str">
        <f ca="1">IFERROR(__xludf.DUMMYFUNCTION("QUERY('Volunteer Survey'!N422)"),"")</f>
        <v/>
      </c>
      <c r="V396" s="49" t="str">
        <f ca="1">IFERROR(__xludf.DUMMYFUNCTION("QUERY('Volunteer Survey'!O422)"),"")</f>
        <v/>
      </c>
      <c r="W396" s="60" t="str">
        <f ca="1">IFERROR(__xludf.DUMMYFUNCTION("QUERY('Volunteer Survey'!P422)"),"")</f>
        <v/>
      </c>
      <c r="X396" s="58" t="str">
        <f ca="1">IFERROR(__xludf.DUMMYFUNCTION("QUERY('Volunteer Survey'!R422)"),"")</f>
        <v/>
      </c>
      <c r="Y396" s="47"/>
      <c r="Z396" s="49"/>
      <c r="AA396" s="49"/>
      <c r="AB396" s="49"/>
      <c r="AC396" s="49"/>
      <c r="AD396" s="49"/>
      <c r="AE396" s="49"/>
      <c r="AF396" s="49"/>
      <c r="AG396" s="49"/>
      <c r="AH396" s="49"/>
      <c r="AI396" s="49"/>
      <c r="AJ396" s="49"/>
      <c r="AK396" s="49"/>
      <c r="AL396" s="49"/>
      <c r="AM396" s="49"/>
      <c r="AN396" s="49"/>
      <c r="AO396" s="49"/>
    </row>
    <row r="397" spans="1:41" ht="14">
      <c r="A397" s="49" t="str">
        <f ca="1">IFERROR(__xludf.DUMMYFUNCTION("QUERY('Volunteer Survey'!A791)"),"")</f>
        <v/>
      </c>
      <c r="B397" s="42" t="s">
        <v>322</v>
      </c>
      <c r="C397" s="47"/>
      <c r="D397" s="49"/>
      <c r="E397" s="49"/>
      <c r="F397" s="49" t="b">
        <v>0</v>
      </c>
      <c r="G397" s="49"/>
      <c r="H397" s="47"/>
      <c r="I397" s="47"/>
      <c r="J397" s="49"/>
      <c r="K397" s="49"/>
      <c r="L397" s="49" t="str">
        <f ca="1">IFERROR(__xludf.DUMMYFUNCTION("QUERY('Volunteer Survey'!B791)"),"")</f>
        <v/>
      </c>
      <c r="M397" s="49" t="str">
        <f ca="1">IFERROR(__xludf.DUMMYFUNCTION("QUERY('Volunteer Survey'!E791)"),"")</f>
        <v/>
      </c>
      <c r="N397" s="49" t="str">
        <f ca="1">IFERROR(__xludf.DUMMYFUNCTION("QUERY('Volunteer Survey'!F791)"),"")</f>
        <v/>
      </c>
      <c r="O397" s="42" t="str">
        <f ca="1">IFERROR(__xludf.DUMMYFUNCTION("QUERY('Volunteer Survey'!H791)"),"")</f>
        <v/>
      </c>
      <c r="P397" s="49" t="str">
        <f ca="1">IFERROR(__xludf.DUMMYFUNCTION("QUERY('Volunteer Survey'!I791)"),"")</f>
        <v/>
      </c>
      <c r="Q397" s="54" t="str">
        <f ca="1">IFERROR(__xludf.DUMMYFUNCTION("QUERY('Volunteer Survey'!J791)"),"")</f>
        <v/>
      </c>
      <c r="R397" s="49" t="str">
        <f ca="1">IFERROR(__xludf.DUMMYFUNCTION("QUERY('Volunteer Survey'!K791)"),"")</f>
        <v/>
      </c>
      <c r="S397" s="49" t="str">
        <f ca="1">IFERROR(__xludf.DUMMYFUNCTION("QUERY('Volunteer Survey'!L791)"),"")</f>
        <v/>
      </c>
      <c r="T397" s="49" t="str">
        <f ca="1">IFERROR(__xludf.DUMMYFUNCTION("QUERY('Volunteer Survey'!M791)"),"")</f>
        <v/>
      </c>
      <c r="U397" s="58" t="str">
        <f ca="1">IFERROR(__xludf.DUMMYFUNCTION("QUERY('Volunteer Survey'!N791)"),"")</f>
        <v/>
      </c>
      <c r="V397" s="49" t="str">
        <f ca="1">IFERROR(__xludf.DUMMYFUNCTION("QUERY('Volunteer Survey'!O791)"),"")</f>
        <v/>
      </c>
      <c r="W397" s="60" t="str">
        <f ca="1">IFERROR(__xludf.DUMMYFUNCTION("QUERY('Volunteer Survey'!P791)"),"")</f>
        <v/>
      </c>
      <c r="X397" s="58" t="str">
        <f ca="1">IFERROR(__xludf.DUMMYFUNCTION("QUERY('Volunteer Survey'!R791)"),"")</f>
        <v/>
      </c>
      <c r="Y397" s="47"/>
      <c r="Z397" s="49"/>
      <c r="AA397" s="49"/>
      <c r="AB397" s="49"/>
      <c r="AC397" s="49"/>
      <c r="AD397" s="49"/>
      <c r="AE397" s="49"/>
      <c r="AF397" s="49"/>
      <c r="AG397" s="49"/>
      <c r="AH397" s="49"/>
      <c r="AI397" s="49"/>
      <c r="AJ397" s="49"/>
      <c r="AK397" s="49"/>
      <c r="AL397" s="49"/>
      <c r="AM397" s="49"/>
      <c r="AN397" s="49"/>
      <c r="AO397" s="49"/>
    </row>
    <row r="398" spans="1:41" ht="14">
      <c r="A398" s="49" t="str">
        <f ca="1">IFERROR(__xludf.DUMMYFUNCTION("QUERY('Volunteer Survey'!A792)"),"")</f>
        <v/>
      </c>
      <c r="B398" s="42" t="s">
        <v>322</v>
      </c>
      <c r="C398" s="47"/>
      <c r="D398" s="49"/>
      <c r="E398" s="49"/>
      <c r="F398" s="49" t="b">
        <v>0</v>
      </c>
      <c r="G398" s="49"/>
      <c r="H398" s="47"/>
      <c r="I398" s="47"/>
      <c r="J398" s="49"/>
      <c r="K398" s="49"/>
      <c r="L398" s="49" t="str">
        <f ca="1">IFERROR(__xludf.DUMMYFUNCTION("QUERY('Volunteer Survey'!B792)"),"")</f>
        <v/>
      </c>
      <c r="M398" s="49" t="str">
        <f ca="1">IFERROR(__xludf.DUMMYFUNCTION("QUERY('Volunteer Survey'!E792)"),"")</f>
        <v/>
      </c>
      <c r="N398" s="49" t="str">
        <f ca="1">IFERROR(__xludf.DUMMYFUNCTION("QUERY('Volunteer Survey'!F792)"),"")</f>
        <v/>
      </c>
      <c r="O398" s="42" t="str">
        <f ca="1">IFERROR(__xludf.DUMMYFUNCTION("QUERY('Volunteer Survey'!H792)"),"")</f>
        <v/>
      </c>
      <c r="P398" s="49" t="str">
        <f ca="1">IFERROR(__xludf.DUMMYFUNCTION("QUERY('Volunteer Survey'!I792)"),"")</f>
        <v/>
      </c>
      <c r="Q398" s="54" t="str">
        <f ca="1">IFERROR(__xludf.DUMMYFUNCTION("QUERY('Volunteer Survey'!J792)"),"")</f>
        <v/>
      </c>
      <c r="R398" s="49" t="str">
        <f ca="1">IFERROR(__xludf.DUMMYFUNCTION("QUERY('Volunteer Survey'!K792)"),"")</f>
        <v/>
      </c>
      <c r="S398" s="49" t="str">
        <f ca="1">IFERROR(__xludf.DUMMYFUNCTION("QUERY('Volunteer Survey'!L792)"),"")</f>
        <v/>
      </c>
      <c r="T398" s="49" t="str">
        <f ca="1">IFERROR(__xludf.DUMMYFUNCTION("QUERY('Volunteer Survey'!M792)"),"")</f>
        <v/>
      </c>
      <c r="U398" s="58" t="str">
        <f ca="1">IFERROR(__xludf.DUMMYFUNCTION("QUERY('Volunteer Survey'!N792)"),"")</f>
        <v/>
      </c>
      <c r="V398" s="49" t="str">
        <f ca="1">IFERROR(__xludf.DUMMYFUNCTION("QUERY('Volunteer Survey'!O792)"),"")</f>
        <v/>
      </c>
      <c r="W398" s="60" t="str">
        <f ca="1">IFERROR(__xludf.DUMMYFUNCTION("QUERY('Volunteer Survey'!P792)"),"")</f>
        <v/>
      </c>
      <c r="X398" s="58" t="str">
        <f ca="1">IFERROR(__xludf.DUMMYFUNCTION("QUERY('Volunteer Survey'!R792)"),"")</f>
        <v/>
      </c>
      <c r="Y398" s="47"/>
      <c r="Z398" s="49"/>
      <c r="AA398" s="49"/>
      <c r="AB398" s="49"/>
      <c r="AC398" s="49"/>
      <c r="AD398" s="49"/>
      <c r="AE398" s="49"/>
      <c r="AF398" s="49"/>
      <c r="AG398" s="49"/>
      <c r="AH398" s="49"/>
      <c r="AI398" s="49"/>
      <c r="AJ398" s="49"/>
      <c r="AK398" s="49"/>
      <c r="AL398" s="49"/>
      <c r="AM398" s="49"/>
      <c r="AN398" s="49"/>
      <c r="AO398" s="49"/>
    </row>
    <row r="399" spans="1:41" ht="14">
      <c r="A399" s="49" t="str">
        <f ca="1">IFERROR(__xludf.DUMMYFUNCTION("QUERY('Volunteer Survey'!A793)"),"")</f>
        <v/>
      </c>
      <c r="B399" s="42" t="s">
        <v>322</v>
      </c>
      <c r="C399" s="47"/>
      <c r="D399" s="49"/>
      <c r="E399" s="49"/>
      <c r="F399" s="49" t="b">
        <v>0</v>
      </c>
      <c r="G399" s="49"/>
      <c r="H399" s="47"/>
      <c r="I399" s="47"/>
      <c r="J399" s="49"/>
      <c r="K399" s="49"/>
      <c r="L399" s="49" t="str">
        <f ca="1">IFERROR(__xludf.DUMMYFUNCTION("QUERY('Volunteer Survey'!B793)"),"")</f>
        <v/>
      </c>
      <c r="M399" s="49" t="str">
        <f ca="1">IFERROR(__xludf.DUMMYFUNCTION("QUERY('Volunteer Survey'!E793)"),"")</f>
        <v/>
      </c>
      <c r="N399" s="49" t="str">
        <f ca="1">IFERROR(__xludf.DUMMYFUNCTION("QUERY('Volunteer Survey'!F793)"),"")</f>
        <v/>
      </c>
      <c r="O399" s="42" t="str">
        <f ca="1">IFERROR(__xludf.DUMMYFUNCTION("QUERY('Volunteer Survey'!H793)"),"")</f>
        <v/>
      </c>
      <c r="P399" s="49" t="str">
        <f ca="1">IFERROR(__xludf.DUMMYFUNCTION("QUERY('Volunteer Survey'!I793)"),"")</f>
        <v/>
      </c>
      <c r="Q399" s="54" t="str">
        <f ca="1">IFERROR(__xludf.DUMMYFUNCTION("QUERY('Volunteer Survey'!J793)"),"")</f>
        <v/>
      </c>
      <c r="R399" s="49" t="str">
        <f ca="1">IFERROR(__xludf.DUMMYFUNCTION("QUERY('Volunteer Survey'!K793)"),"")</f>
        <v/>
      </c>
      <c r="S399" s="49" t="str">
        <f ca="1">IFERROR(__xludf.DUMMYFUNCTION("QUERY('Volunteer Survey'!L793)"),"")</f>
        <v/>
      </c>
      <c r="T399" s="49" t="str">
        <f ca="1">IFERROR(__xludf.DUMMYFUNCTION("QUERY('Volunteer Survey'!M793)"),"")</f>
        <v/>
      </c>
      <c r="U399" s="58" t="str">
        <f ca="1">IFERROR(__xludf.DUMMYFUNCTION("QUERY('Volunteer Survey'!N793)"),"")</f>
        <v/>
      </c>
      <c r="V399" s="49" t="str">
        <f ca="1">IFERROR(__xludf.DUMMYFUNCTION("QUERY('Volunteer Survey'!O793)"),"")</f>
        <v/>
      </c>
      <c r="W399" s="60" t="str">
        <f ca="1">IFERROR(__xludf.DUMMYFUNCTION("QUERY('Volunteer Survey'!P793)"),"")</f>
        <v/>
      </c>
      <c r="X399" s="58" t="str">
        <f ca="1">IFERROR(__xludf.DUMMYFUNCTION("QUERY('Volunteer Survey'!R793)"),"")</f>
        <v/>
      </c>
      <c r="Y399" s="47"/>
      <c r="Z399" s="49"/>
      <c r="AA399" s="49"/>
      <c r="AB399" s="49"/>
      <c r="AC399" s="49"/>
      <c r="AD399" s="49"/>
      <c r="AE399" s="49"/>
      <c r="AF399" s="49"/>
      <c r="AG399" s="49"/>
      <c r="AH399" s="49"/>
      <c r="AI399" s="49"/>
      <c r="AJ399" s="49"/>
      <c r="AK399" s="49"/>
      <c r="AL399" s="49"/>
      <c r="AM399" s="49"/>
      <c r="AN399" s="49"/>
      <c r="AO399" s="49"/>
    </row>
    <row r="400" spans="1:41" ht="14">
      <c r="A400" s="49" t="str">
        <f ca="1">IFERROR(__xludf.DUMMYFUNCTION("QUERY('Volunteer Survey'!A794)"),"")</f>
        <v/>
      </c>
      <c r="B400" s="42" t="s">
        <v>322</v>
      </c>
      <c r="C400" s="47"/>
      <c r="D400" s="49"/>
      <c r="E400" s="49"/>
      <c r="F400" s="49" t="b">
        <v>0</v>
      </c>
      <c r="G400" s="49"/>
      <c r="H400" s="47"/>
      <c r="I400" s="47"/>
      <c r="J400" s="49"/>
      <c r="K400" s="49"/>
      <c r="L400" s="49" t="str">
        <f ca="1">IFERROR(__xludf.DUMMYFUNCTION("QUERY('Volunteer Survey'!B794)"),"")</f>
        <v/>
      </c>
      <c r="M400" s="49" t="str">
        <f ca="1">IFERROR(__xludf.DUMMYFUNCTION("QUERY('Volunteer Survey'!E794)"),"")</f>
        <v/>
      </c>
      <c r="N400" s="49" t="str">
        <f ca="1">IFERROR(__xludf.DUMMYFUNCTION("QUERY('Volunteer Survey'!F794)"),"")</f>
        <v/>
      </c>
      <c r="O400" s="42" t="str">
        <f ca="1">IFERROR(__xludf.DUMMYFUNCTION("QUERY('Volunteer Survey'!H794)"),"")</f>
        <v/>
      </c>
      <c r="P400" s="49" t="str">
        <f ca="1">IFERROR(__xludf.DUMMYFUNCTION("QUERY('Volunteer Survey'!I794)"),"")</f>
        <v/>
      </c>
      <c r="Q400" s="54" t="str">
        <f ca="1">IFERROR(__xludf.DUMMYFUNCTION("QUERY('Volunteer Survey'!J794)"),"")</f>
        <v/>
      </c>
      <c r="R400" s="49" t="str">
        <f ca="1">IFERROR(__xludf.DUMMYFUNCTION("QUERY('Volunteer Survey'!K794)"),"")</f>
        <v/>
      </c>
      <c r="S400" s="49" t="str">
        <f ca="1">IFERROR(__xludf.DUMMYFUNCTION("QUERY('Volunteer Survey'!L794)"),"")</f>
        <v/>
      </c>
      <c r="T400" s="49" t="str">
        <f ca="1">IFERROR(__xludf.DUMMYFUNCTION("QUERY('Volunteer Survey'!M794)"),"")</f>
        <v/>
      </c>
      <c r="U400" s="58" t="str">
        <f ca="1">IFERROR(__xludf.DUMMYFUNCTION("QUERY('Volunteer Survey'!N794)"),"")</f>
        <v/>
      </c>
      <c r="V400" s="49" t="str">
        <f ca="1">IFERROR(__xludf.DUMMYFUNCTION("QUERY('Volunteer Survey'!O794)"),"")</f>
        <v/>
      </c>
      <c r="W400" s="60" t="str">
        <f ca="1">IFERROR(__xludf.DUMMYFUNCTION("QUERY('Volunteer Survey'!P794)"),"")</f>
        <v/>
      </c>
      <c r="X400" s="58" t="str">
        <f ca="1">IFERROR(__xludf.DUMMYFUNCTION("QUERY('Volunteer Survey'!R794)"),"")</f>
        <v/>
      </c>
      <c r="Y400" s="47"/>
      <c r="Z400" s="49"/>
      <c r="AA400" s="49"/>
      <c r="AB400" s="49"/>
      <c r="AC400" s="49"/>
      <c r="AD400" s="49"/>
      <c r="AE400" s="49"/>
      <c r="AF400" s="49"/>
      <c r="AG400" s="49"/>
      <c r="AH400" s="49"/>
      <c r="AI400" s="49"/>
      <c r="AJ400" s="49"/>
      <c r="AK400" s="49"/>
      <c r="AL400" s="49"/>
      <c r="AM400" s="49"/>
      <c r="AN400" s="49"/>
      <c r="AO400" s="49"/>
    </row>
    <row r="401" spans="1:41" ht="14">
      <c r="A401" s="49" t="str">
        <f ca="1">IFERROR(__xludf.DUMMYFUNCTION("QUERY('Volunteer Survey'!A795)"),"")</f>
        <v/>
      </c>
      <c r="B401" s="42" t="s">
        <v>322</v>
      </c>
      <c r="C401" s="47"/>
      <c r="D401" s="49"/>
      <c r="E401" s="49"/>
      <c r="F401" s="49" t="b">
        <v>0</v>
      </c>
      <c r="G401" s="49"/>
      <c r="H401" s="47"/>
      <c r="I401" s="47"/>
      <c r="J401" s="49"/>
      <c r="K401" s="49"/>
      <c r="L401" s="49" t="str">
        <f ca="1">IFERROR(__xludf.DUMMYFUNCTION("QUERY('Volunteer Survey'!B795)"),"")</f>
        <v/>
      </c>
      <c r="M401" s="49" t="str">
        <f ca="1">IFERROR(__xludf.DUMMYFUNCTION("QUERY('Volunteer Survey'!E795)"),"")</f>
        <v/>
      </c>
      <c r="N401" s="49" t="str">
        <f ca="1">IFERROR(__xludf.DUMMYFUNCTION("QUERY('Volunteer Survey'!F795)"),"")</f>
        <v/>
      </c>
      <c r="O401" s="42" t="str">
        <f ca="1">IFERROR(__xludf.DUMMYFUNCTION("QUERY('Volunteer Survey'!H795)"),"")</f>
        <v/>
      </c>
      <c r="P401" s="49" t="str">
        <f ca="1">IFERROR(__xludf.DUMMYFUNCTION("QUERY('Volunteer Survey'!I795)"),"")</f>
        <v/>
      </c>
      <c r="Q401" s="54" t="str">
        <f ca="1">IFERROR(__xludf.DUMMYFUNCTION("QUERY('Volunteer Survey'!J795)"),"")</f>
        <v/>
      </c>
      <c r="R401" s="49" t="str">
        <f ca="1">IFERROR(__xludf.DUMMYFUNCTION("QUERY('Volunteer Survey'!K795)"),"")</f>
        <v/>
      </c>
      <c r="S401" s="49" t="str">
        <f ca="1">IFERROR(__xludf.DUMMYFUNCTION("QUERY('Volunteer Survey'!L795)"),"")</f>
        <v/>
      </c>
      <c r="T401" s="49" t="str">
        <f ca="1">IFERROR(__xludf.DUMMYFUNCTION("QUERY('Volunteer Survey'!M795)"),"")</f>
        <v/>
      </c>
      <c r="U401" s="58" t="str">
        <f ca="1">IFERROR(__xludf.DUMMYFUNCTION("QUERY('Volunteer Survey'!N795)"),"")</f>
        <v/>
      </c>
      <c r="V401" s="49" t="str">
        <f ca="1">IFERROR(__xludf.DUMMYFUNCTION("QUERY('Volunteer Survey'!O795)"),"")</f>
        <v/>
      </c>
      <c r="W401" s="60" t="str">
        <f ca="1">IFERROR(__xludf.DUMMYFUNCTION("QUERY('Volunteer Survey'!P795)"),"")</f>
        <v/>
      </c>
      <c r="X401" s="58" t="str">
        <f ca="1">IFERROR(__xludf.DUMMYFUNCTION("QUERY('Volunteer Survey'!R795)"),"")</f>
        <v/>
      </c>
      <c r="Y401" s="47"/>
      <c r="Z401" s="49"/>
      <c r="AA401" s="49"/>
      <c r="AB401" s="49"/>
      <c r="AC401" s="49"/>
      <c r="AD401" s="49"/>
      <c r="AE401" s="49"/>
      <c r="AF401" s="49"/>
      <c r="AG401" s="49"/>
      <c r="AH401" s="49"/>
      <c r="AI401" s="49"/>
      <c r="AJ401" s="49"/>
      <c r="AK401" s="49"/>
      <c r="AL401" s="49"/>
      <c r="AM401" s="49"/>
      <c r="AN401" s="49"/>
      <c r="AO401" s="49"/>
    </row>
    <row r="402" spans="1:41" ht="14">
      <c r="A402" s="49" t="str">
        <f ca="1">IFERROR(__xludf.DUMMYFUNCTION("QUERY('Volunteer Survey'!A796)"),"")</f>
        <v/>
      </c>
      <c r="B402" s="42" t="s">
        <v>322</v>
      </c>
      <c r="C402" s="47"/>
      <c r="D402" s="49"/>
      <c r="E402" s="49"/>
      <c r="F402" s="49" t="b">
        <v>0</v>
      </c>
      <c r="G402" s="49"/>
      <c r="H402" s="47"/>
      <c r="I402" s="47"/>
      <c r="J402" s="49"/>
      <c r="K402" s="49"/>
      <c r="L402" s="49" t="str">
        <f ca="1">IFERROR(__xludf.DUMMYFUNCTION("QUERY('Volunteer Survey'!B796)"),"")</f>
        <v/>
      </c>
      <c r="M402" s="49" t="str">
        <f ca="1">IFERROR(__xludf.DUMMYFUNCTION("QUERY('Volunteer Survey'!E796)"),"")</f>
        <v/>
      </c>
      <c r="N402" s="49" t="str">
        <f ca="1">IFERROR(__xludf.DUMMYFUNCTION("QUERY('Volunteer Survey'!F796)"),"")</f>
        <v/>
      </c>
      <c r="O402" s="42" t="str">
        <f ca="1">IFERROR(__xludf.DUMMYFUNCTION("QUERY('Volunteer Survey'!H796)"),"")</f>
        <v/>
      </c>
      <c r="P402" s="49" t="str">
        <f ca="1">IFERROR(__xludf.DUMMYFUNCTION("QUERY('Volunteer Survey'!I796)"),"")</f>
        <v/>
      </c>
      <c r="Q402" s="54" t="str">
        <f ca="1">IFERROR(__xludf.DUMMYFUNCTION("QUERY('Volunteer Survey'!J796)"),"")</f>
        <v/>
      </c>
      <c r="R402" s="49" t="str">
        <f ca="1">IFERROR(__xludf.DUMMYFUNCTION("QUERY('Volunteer Survey'!K796)"),"")</f>
        <v/>
      </c>
      <c r="S402" s="49" t="str">
        <f ca="1">IFERROR(__xludf.DUMMYFUNCTION("QUERY('Volunteer Survey'!L796)"),"")</f>
        <v/>
      </c>
      <c r="T402" s="49" t="str">
        <f ca="1">IFERROR(__xludf.DUMMYFUNCTION("QUERY('Volunteer Survey'!M796)"),"")</f>
        <v/>
      </c>
      <c r="U402" s="58" t="str">
        <f ca="1">IFERROR(__xludf.DUMMYFUNCTION("QUERY('Volunteer Survey'!N796)"),"")</f>
        <v/>
      </c>
      <c r="V402" s="49" t="str">
        <f ca="1">IFERROR(__xludf.DUMMYFUNCTION("QUERY('Volunteer Survey'!O796)"),"")</f>
        <v/>
      </c>
      <c r="W402" s="60" t="str">
        <f ca="1">IFERROR(__xludf.DUMMYFUNCTION("QUERY('Volunteer Survey'!P796)"),"")</f>
        <v/>
      </c>
      <c r="X402" s="58" t="str">
        <f ca="1">IFERROR(__xludf.DUMMYFUNCTION("QUERY('Volunteer Survey'!R796)"),"")</f>
        <v/>
      </c>
      <c r="Y402" s="47"/>
      <c r="Z402" s="49"/>
      <c r="AA402" s="49"/>
      <c r="AB402" s="49"/>
      <c r="AC402" s="49"/>
      <c r="AD402" s="49"/>
      <c r="AE402" s="49"/>
      <c r="AF402" s="49"/>
      <c r="AG402" s="49"/>
      <c r="AH402" s="49"/>
      <c r="AI402" s="49"/>
      <c r="AJ402" s="49"/>
      <c r="AK402" s="49"/>
      <c r="AL402" s="49"/>
      <c r="AM402" s="49"/>
      <c r="AN402" s="49"/>
      <c r="AO402" s="49"/>
    </row>
    <row r="403" spans="1:41" ht="14">
      <c r="A403" s="49" t="str">
        <f ca="1">IFERROR(__xludf.DUMMYFUNCTION("QUERY('Volunteer Survey'!A797)"),"")</f>
        <v/>
      </c>
      <c r="B403" s="42" t="s">
        <v>322</v>
      </c>
      <c r="C403" s="47"/>
      <c r="D403" s="49"/>
      <c r="E403" s="49"/>
      <c r="F403" s="49" t="b">
        <v>0</v>
      </c>
      <c r="G403" s="49"/>
      <c r="H403" s="47"/>
      <c r="I403" s="47"/>
      <c r="J403" s="49"/>
      <c r="K403" s="49"/>
      <c r="L403" s="49" t="str">
        <f ca="1">IFERROR(__xludf.DUMMYFUNCTION("QUERY('Volunteer Survey'!B797)"),"")</f>
        <v/>
      </c>
      <c r="M403" s="49" t="str">
        <f ca="1">IFERROR(__xludf.DUMMYFUNCTION("QUERY('Volunteer Survey'!E797)"),"")</f>
        <v/>
      </c>
      <c r="N403" s="49" t="str">
        <f ca="1">IFERROR(__xludf.DUMMYFUNCTION("QUERY('Volunteer Survey'!F797)"),"")</f>
        <v/>
      </c>
      <c r="O403" s="42" t="str">
        <f ca="1">IFERROR(__xludf.DUMMYFUNCTION("QUERY('Volunteer Survey'!H797)"),"")</f>
        <v/>
      </c>
      <c r="P403" s="49" t="str">
        <f ca="1">IFERROR(__xludf.DUMMYFUNCTION("QUERY('Volunteer Survey'!I797)"),"")</f>
        <v/>
      </c>
      <c r="Q403" s="54" t="str">
        <f ca="1">IFERROR(__xludf.DUMMYFUNCTION("QUERY('Volunteer Survey'!J797)"),"")</f>
        <v/>
      </c>
      <c r="R403" s="49" t="str">
        <f ca="1">IFERROR(__xludf.DUMMYFUNCTION("QUERY('Volunteer Survey'!K797)"),"")</f>
        <v/>
      </c>
      <c r="S403" s="49" t="str">
        <f ca="1">IFERROR(__xludf.DUMMYFUNCTION("QUERY('Volunteer Survey'!L797)"),"")</f>
        <v/>
      </c>
      <c r="T403" s="49" t="str">
        <f ca="1">IFERROR(__xludf.DUMMYFUNCTION("QUERY('Volunteer Survey'!M797)"),"")</f>
        <v/>
      </c>
      <c r="U403" s="58" t="str">
        <f ca="1">IFERROR(__xludf.DUMMYFUNCTION("QUERY('Volunteer Survey'!N797)"),"")</f>
        <v/>
      </c>
      <c r="V403" s="49" t="str">
        <f ca="1">IFERROR(__xludf.DUMMYFUNCTION("QUERY('Volunteer Survey'!O797)"),"")</f>
        <v/>
      </c>
      <c r="W403" s="60" t="str">
        <f ca="1">IFERROR(__xludf.DUMMYFUNCTION("QUERY('Volunteer Survey'!P797)"),"")</f>
        <v/>
      </c>
      <c r="X403" s="58" t="str">
        <f ca="1">IFERROR(__xludf.DUMMYFUNCTION("QUERY('Volunteer Survey'!R797)"),"")</f>
        <v/>
      </c>
      <c r="Y403" s="47"/>
      <c r="Z403" s="49"/>
      <c r="AA403" s="49"/>
      <c r="AB403" s="49"/>
      <c r="AC403" s="49"/>
      <c r="AD403" s="49"/>
      <c r="AE403" s="49"/>
      <c r="AF403" s="49"/>
      <c r="AG403" s="49"/>
      <c r="AH403" s="49"/>
      <c r="AI403" s="49"/>
      <c r="AJ403" s="49"/>
      <c r="AK403" s="49"/>
      <c r="AL403" s="49"/>
      <c r="AM403" s="49"/>
      <c r="AN403" s="49"/>
      <c r="AO403" s="49"/>
    </row>
    <row r="404" spans="1:41" ht="14">
      <c r="A404" s="49" t="str">
        <f ca="1">IFERROR(__xludf.DUMMYFUNCTION("QUERY('Volunteer Survey'!A798)"),"")</f>
        <v/>
      </c>
      <c r="B404" s="42" t="s">
        <v>322</v>
      </c>
      <c r="C404" s="47"/>
      <c r="D404" s="49"/>
      <c r="E404" s="49"/>
      <c r="F404" s="49" t="b">
        <v>0</v>
      </c>
      <c r="G404" s="49"/>
      <c r="H404" s="47"/>
      <c r="I404" s="47"/>
      <c r="J404" s="49"/>
      <c r="K404" s="49"/>
      <c r="L404" s="49" t="str">
        <f ca="1">IFERROR(__xludf.DUMMYFUNCTION("QUERY('Volunteer Survey'!B798)"),"")</f>
        <v/>
      </c>
      <c r="M404" s="49" t="str">
        <f ca="1">IFERROR(__xludf.DUMMYFUNCTION("QUERY('Volunteer Survey'!E798)"),"")</f>
        <v/>
      </c>
      <c r="N404" s="49" t="str">
        <f ca="1">IFERROR(__xludf.DUMMYFUNCTION("QUERY('Volunteer Survey'!F798)"),"")</f>
        <v/>
      </c>
      <c r="O404" s="42" t="str">
        <f ca="1">IFERROR(__xludf.DUMMYFUNCTION("QUERY('Volunteer Survey'!H798)"),"")</f>
        <v/>
      </c>
      <c r="P404" s="49" t="str">
        <f ca="1">IFERROR(__xludf.DUMMYFUNCTION("QUERY('Volunteer Survey'!I798)"),"")</f>
        <v/>
      </c>
      <c r="Q404" s="54" t="str">
        <f ca="1">IFERROR(__xludf.DUMMYFUNCTION("QUERY('Volunteer Survey'!J798)"),"")</f>
        <v/>
      </c>
      <c r="R404" s="49" t="str">
        <f ca="1">IFERROR(__xludf.DUMMYFUNCTION("QUERY('Volunteer Survey'!K798)"),"")</f>
        <v/>
      </c>
      <c r="S404" s="49" t="str">
        <f ca="1">IFERROR(__xludf.DUMMYFUNCTION("QUERY('Volunteer Survey'!L798)"),"")</f>
        <v/>
      </c>
      <c r="T404" s="49" t="str">
        <f ca="1">IFERROR(__xludf.DUMMYFUNCTION("QUERY('Volunteer Survey'!M798)"),"")</f>
        <v/>
      </c>
      <c r="U404" s="58" t="str">
        <f ca="1">IFERROR(__xludf.DUMMYFUNCTION("QUERY('Volunteer Survey'!N798)"),"")</f>
        <v/>
      </c>
      <c r="V404" s="49" t="str">
        <f ca="1">IFERROR(__xludf.DUMMYFUNCTION("QUERY('Volunteer Survey'!O798)"),"")</f>
        <v/>
      </c>
      <c r="W404" s="60" t="str">
        <f ca="1">IFERROR(__xludf.DUMMYFUNCTION("QUERY('Volunteer Survey'!P798)"),"")</f>
        <v/>
      </c>
      <c r="X404" s="58" t="str">
        <f ca="1">IFERROR(__xludf.DUMMYFUNCTION("QUERY('Volunteer Survey'!R798)"),"")</f>
        <v/>
      </c>
      <c r="Y404" s="47"/>
      <c r="Z404" s="49"/>
      <c r="AA404" s="49"/>
      <c r="AB404" s="49"/>
      <c r="AC404" s="49"/>
      <c r="AD404" s="49"/>
      <c r="AE404" s="49"/>
      <c r="AF404" s="49"/>
      <c r="AG404" s="49"/>
      <c r="AH404" s="49"/>
      <c r="AI404" s="49"/>
      <c r="AJ404" s="49"/>
      <c r="AK404" s="49"/>
      <c r="AL404" s="49"/>
      <c r="AM404" s="49"/>
      <c r="AN404" s="49"/>
      <c r="AO404" s="49"/>
    </row>
    <row r="405" spans="1:41" ht="14">
      <c r="A405" s="49" t="str">
        <f ca="1">IFERROR(__xludf.DUMMYFUNCTION("QUERY('Volunteer Survey'!A799)"),"")</f>
        <v/>
      </c>
      <c r="B405" s="42" t="s">
        <v>322</v>
      </c>
      <c r="C405" s="47"/>
      <c r="D405" s="49"/>
      <c r="E405" s="49"/>
      <c r="F405" s="49" t="b">
        <v>0</v>
      </c>
      <c r="G405" s="49"/>
      <c r="H405" s="47"/>
      <c r="I405" s="47"/>
      <c r="J405" s="49"/>
      <c r="K405" s="49"/>
      <c r="L405" s="49" t="str">
        <f ca="1">IFERROR(__xludf.DUMMYFUNCTION("QUERY('Volunteer Survey'!B799)"),"")</f>
        <v/>
      </c>
      <c r="M405" s="49" t="str">
        <f ca="1">IFERROR(__xludf.DUMMYFUNCTION("QUERY('Volunteer Survey'!E799)"),"")</f>
        <v/>
      </c>
      <c r="N405" s="49" t="str">
        <f ca="1">IFERROR(__xludf.DUMMYFUNCTION("QUERY('Volunteer Survey'!F799)"),"")</f>
        <v/>
      </c>
      <c r="O405" s="42" t="str">
        <f ca="1">IFERROR(__xludf.DUMMYFUNCTION("QUERY('Volunteer Survey'!H799)"),"")</f>
        <v/>
      </c>
      <c r="P405" s="49" t="str">
        <f ca="1">IFERROR(__xludf.DUMMYFUNCTION("QUERY('Volunteer Survey'!I799)"),"")</f>
        <v/>
      </c>
      <c r="Q405" s="54" t="str">
        <f ca="1">IFERROR(__xludf.DUMMYFUNCTION("QUERY('Volunteer Survey'!J799)"),"")</f>
        <v/>
      </c>
      <c r="R405" s="49" t="str">
        <f ca="1">IFERROR(__xludf.DUMMYFUNCTION("QUERY('Volunteer Survey'!K799)"),"")</f>
        <v/>
      </c>
      <c r="S405" s="49" t="str">
        <f ca="1">IFERROR(__xludf.DUMMYFUNCTION("QUERY('Volunteer Survey'!L799)"),"")</f>
        <v/>
      </c>
      <c r="T405" s="49" t="str">
        <f ca="1">IFERROR(__xludf.DUMMYFUNCTION("QUERY('Volunteer Survey'!M799)"),"")</f>
        <v/>
      </c>
      <c r="U405" s="58" t="str">
        <f ca="1">IFERROR(__xludf.DUMMYFUNCTION("QUERY('Volunteer Survey'!N799)"),"")</f>
        <v/>
      </c>
      <c r="V405" s="49" t="str">
        <f ca="1">IFERROR(__xludf.DUMMYFUNCTION("QUERY('Volunteer Survey'!O799)"),"")</f>
        <v/>
      </c>
      <c r="W405" s="60" t="str">
        <f ca="1">IFERROR(__xludf.DUMMYFUNCTION("QUERY('Volunteer Survey'!P799)"),"")</f>
        <v/>
      </c>
      <c r="X405" s="58" t="str">
        <f ca="1">IFERROR(__xludf.DUMMYFUNCTION("QUERY('Volunteer Survey'!R799)"),"")</f>
        <v/>
      </c>
      <c r="Y405" s="47"/>
      <c r="Z405" s="49"/>
      <c r="AA405" s="49"/>
      <c r="AB405" s="49"/>
      <c r="AC405" s="49"/>
      <c r="AD405" s="49"/>
      <c r="AE405" s="49"/>
      <c r="AF405" s="49"/>
      <c r="AG405" s="49"/>
      <c r="AH405" s="49"/>
      <c r="AI405" s="49"/>
      <c r="AJ405" s="49"/>
      <c r="AK405" s="49"/>
      <c r="AL405" s="49"/>
      <c r="AM405" s="49"/>
      <c r="AN405" s="49"/>
      <c r="AO405" s="49"/>
    </row>
    <row r="406" spans="1:41" ht="14">
      <c r="A406" s="49" t="str">
        <f ca="1">IFERROR(__xludf.DUMMYFUNCTION("QUERY('Volunteer Survey'!A800)"),"")</f>
        <v/>
      </c>
      <c r="B406" s="42" t="s">
        <v>322</v>
      </c>
      <c r="C406" s="47"/>
      <c r="D406" s="49"/>
      <c r="E406" s="49"/>
      <c r="F406" s="49" t="b">
        <v>0</v>
      </c>
      <c r="G406" s="49"/>
      <c r="H406" s="47"/>
      <c r="I406" s="47"/>
      <c r="J406" s="49"/>
      <c r="K406" s="49"/>
      <c r="L406" s="49" t="str">
        <f ca="1">IFERROR(__xludf.DUMMYFUNCTION("QUERY('Volunteer Survey'!B800)"),"")</f>
        <v/>
      </c>
      <c r="M406" s="49" t="str">
        <f ca="1">IFERROR(__xludf.DUMMYFUNCTION("QUERY('Volunteer Survey'!E800)"),"")</f>
        <v/>
      </c>
      <c r="N406" s="49" t="str">
        <f ca="1">IFERROR(__xludf.DUMMYFUNCTION("QUERY('Volunteer Survey'!F800)"),"")</f>
        <v/>
      </c>
      <c r="O406" s="42" t="str">
        <f ca="1">IFERROR(__xludf.DUMMYFUNCTION("QUERY('Volunteer Survey'!H800)"),"")</f>
        <v/>
      </c>
      <c r="P406" s="49" t="str">
        <f ca="1">IFERROR(__xludf.DUMMYFUNCTION("QUERY('Volunteer Survey'!I800)"),"")</f>
        <v/>
      </c>
      <c r="Q406" s="54" t="str">
        <f ca="1">IFERROR(__xludf.DUMMYFUNCTION("QUERY('Volunteer Survey'!J800)"),"")</f>
        <v/>
      </c>
      <c r="R406" s="49" t="str">
        <f ca="1">IFERROR(__xludf.DUMMYFUNCTION("QUERY('Volunteer Survey'!K800)"),"")</f>
        <v/>
      </c>
      <c r="S406" s="49" t="str">
        <f ca="1">IFERROR(__xludf.DUMMYFUNCTION("QUERY('Volunteer Survey'!L800)"),"")</f>
        <v/>
      </c>
      <c r="T406" s="49" t="str">
        <f ca="1">IFERROR(__xludf.DUMMYFUNCTION("QUERY('Volunteer Survey'!M800)"),"")</f>
        <v/>
      </c>
      <c r="U406" s="58" t="str">
        <f ca="1">IFERROR(__xludf.DUMMYFUNCTION("QUERY('Volunteer Survey'!N800)"),"")</f>
        <v/>
      </c>
      <c r="V406" s="49" t="str">
        <f ca="1">IFERROR(__xludf.DUMMYFUNCTION("QUERY('Volunteer Survey'!O800)"),"")</f>
        <v/>
      </c>
      <c r="W406" s="60" t="str">
        <f ca="1">IFERROR(__xludf.DUMMYFUNCTION("QUERY('Volunteer Survey'!P800)"),"")</f>
        <v/>
      </c>
      <c r="X406" s="58" t="str">
        <f ca="1">IFERROR(__xludf.DUMMYFUNCTION("QUERY('Volunteer Survey'!R800)"),"")</f>
        <v/>
      </c>
      <c r="Y406" s="47"/>
      <c r="Z406" s="49"/>
      <c r="AA406" s="49"/>
      <c r="AB406" s="49"/>
      <c r="AC406" s="49"/>
      <c r="AD406" s="49"/>
      <c r="AE406" s="49"/>
      <c r="AF406" s="49"/>
      <c r="AG406" s="49"/>
      <c r="AH406" s="49"/>
      <c r="AI406" s="49"/>
      <c r="AJ406" s="49"/>
      <c r="AK406" s="49"/>
      <c r="AL406" s="49"/>
      <c r="AM406" s="49"/>
      <c r="AN406" s="49"/>
      <c r="AO406" s="49"/>
    </row>
    <row r="407" spans="1:41" ht="14">
      <c r="A407" s="49" t="str">
        <f ca="1">IFERROR(__xludf.DUMMYFUNCTION("QUERY('Volunteer Survey'!A801)"),"")</f>
        <v/>
      </c>
      <c r="B407" s="42" t="s">
        <v>322</v>
      </c>
      <c r="C407" s="47"/>
      <c r="D407" s="49"/>
      <c r="E407" s="49"/>
      <c r="F407" s="49" t="b">
        <v>0</v>
      </c>
      <c r="G407" s="49"/>
      <c r="H407" s="47"/>
      <c r="I407" s="47"/>
      <c r="J407" s="49"/>
      <c r="K407" s="49"/>
      <c r="L407" s="49" t="str">
        <f ca="1">IFERROR(__xludf.DUMMYFUNCTION("QUERY('Volunteer Survey'!B801)"),"")</f>
        <v/>
      </c>
      <c r="M407" s="49" t="str">
        <f ca="1">IFERROR(__xludf.DUMMYFUNCTION("QUERY('Volunteer Survey'!E801)"),"")</f>
        <v/>
      </c>
      <c r="N407" s="49" t="str">
        <f ca="1">IFERROR(__xludf.DUMMYFUNCTION("QUERY('Volunteer Survey'!F801)"),"")</f>
        <v/>
      </c>
      <c r="O407" s="42" t="str">
        <f ca="1">IFERROR(__xludf.DUMMYFUNCTION("QUERY('Volunteer Survey'!H801)"),"")</f>
        <v/>
      </c>
      <c r="P407" s="49" t="str">
        <f ca="1">IFERROR(__xludf.DUMMYFUNCTION("QUERY('Volunteer Survey'!I801)"),"")</f>
        <v/>
      </c>
      <c r="Q407" s="54" t="str">
        <f ca="1">IFERROR(__xludf.DUMMYFUNCTION("QUERY('Volunteer Survey'!J801)"),"")</f>
        <v/>
      </c>
      <c r="R407" s="49" t="str">
        <f ca="1">IFERROR(__xludf.DUMMYFUNCTION("QUERY('Volunteer Survey'!K801)"),"")</f>
        <v/>
      </c>
      <c r="S407" s="49" t="str">
        <f ca="1">IFERROR(__xludf.DUMMYFUNCTION("QUERY('Volunteer Survey'!L801)"),"")</f>
        <v/>
      </c>
      <c r="T407" s="49" t="str">
        <f ca="1">IFERROR(__xludf.DUMMYFUNCTION("QUERY('Volunteer Survey'!M801)"),"")</f>
        <v/>
      </c>
      <c r="U407" s="58" t="str">
        <f ca="1">IFERROR(__xludf.DUMMYFUNCTION("QUERY('Volunteer Survey'!N801)"),"")</f>
        <v/>
      </c>
      <c r="V407" s="49" t="str">
        <f ca="1">IFERROR(__xludf.DUMMYFUNCTION("QUERY('Volunteer Survey'!O801)"),"")</f>
        <v/>
      </c>
      <c r="W407" s="60" t="str">
        <f ca="1">IFERROR(__xludf.DUMMYFUNCTION("QUERY('Volunteer Survey'!P801)"),"")</f>
        <v/>
      </c>
      <c r="X407" s="58" t="str">
        <f ca="1">IFERROR(__xludf.DUMMYFUNCTION("QUERY('Volunteer Survey'!R801)"),"")</f>
        <v/>
      </c>
      <c r="Y407" s="47"/>
      <c r="Z407" s="49"/>
      <c r="AA407" s="49"/>
      <c r="AB407" s="49"/>
      <c r="AC407" s="49"/>
      <c r="AD407" s="49"/>
      <c r="AE407" s="49"/>
      <c r="AF407" s="49"/>
      <c r="AG407" s="49"/>
      <c r="AH407" s="49"/>
      <c r="AI407" s="49"/>
      <c r="AJ407" s="49"/>
      <c r="AK407" s="49"/>
      <c r="AL407" s="49"/>
      <c r="AM407" s="49"/>
      <c r="AN407" s="49"/>
      <c r="AO407" s="49"/>
    </row>
    <row r="408" spans="1:41" ht="14">
      <c r="A408" s="49" t="str">
        <f ca="1">IFERROR(__xludf.DUMMYFUNCTION("QUERY('Volunteer Survey'!A802)"),"")</f>
        <v/>
      </c>
      <c r="B408" s="42" t="s">
        <v>322</v>
      </c>
      <c r="C408" s="47"/>
      <c r="D408" s="49"/>
      <c r="E408" s="49"/>
      <c r="F408" s="49" t="b">
        <v>0</v>
      </c>
      <c r="G408" s="49"/>
      <c r="H408" s="47"/>
      <c r="I408" s="47"/>
      <c r="J408" s="49"/>
      <c r="K408" s="49"/>
      <c r="L408" s="49" t="str">
        <f ca="1">IFERROR(__xludf.DUMMYFUNCTION("QUERY('Volunteer Survey'!B802)"),"")</f>
        <v/>
      </c>
      <c r="M408" s="49" t="str">
        <f ca="1">IFERROR(__xludf.DUMMYFUNCTION("QUERY('Volunteer Survey'!E802)"),"")</f>
        <v/>
      </c>
      <c r="N408" s="49" t="str">
        <f ca="1">IFERROR(__xludf.DUMMYFUNCTION("QUERY('Volunteer Survey'!F802)"),"")</f>
        <v/>
      </c>
      <c r="O408" s="42" t="str">
        <f ca="1">IFERROR(__xludf.DUMMYFUNCTION("QUERY('Volunteer Survey'!H802)"),"")</f>
        <v/>
      </c>
      <c r="P408" s="49" t="str">
        <f ca="1">IFERROR(__xludf.DUMMYFUNCTION("QUERY('Volunteer Survey'!I802)"),"")</f>
        <v/>
      </c>
      <c r="Q408" s="54" t="str">
        <f ca="1">IFERROR(__xludf.DUMMYFUNCTION("QUERY('Volunteer Survey'!J802)"),"")</f>
        <v/>
      </c>
      <c r="R408" s="49" t="str">
        <f ca="1">IFERROR(__xludf.DUMMYFUNCTION("QUERY('Volunteer Survey'!K802)"),"")</f>
        <v/>
      </c>
      <c r="S408" s="49" t="str">
        <f ca="1">IFERROR(__xludf.DUMMYFUNCTION("QUERY('Volunteer Survey'!L802)"),"")</f>
        <v/>
      </c>
      <c r="T408" s="49" t="str">
        <f ca="1">IFERROR(__xludf.DUMMYFUNCTION("QUERY('Volunteer Survey'!M802)"),"")</f>
        <v/>
      </c>
      <c r="U408" s="58" t="str">
        <f ca="1">IFERROR(__xludf.DUMMYFUNCTION("QUERY('Volunteer Survey'!N802)"),"")</f>
        <v/>
      </c>
      <c r="V408" s="49" t="str">
        <f ca="1">IFERROR(__xludf.DUMMYFUNCTION("QUERY('Volunteer Survey'!O802)"),"")</f>
        <v/>
      </c>
      <c r="W408" s="60" t="str">
        <f ca="1">IFERROR(__xludf.DUMMYFUNCTION("QUERY('Volunteer Survey'!P802)"),"")</f>
        <v/>
      </c>
      <c r="X408" s="58" t="str">
        <f ca="1">IFERROR(__xludf.DUMMYFUNCTION("QUERY('Volunteer Survey'!R802)"),"")</f>
        <v/>
      </c>
      <c r="Y408" s="47"/>
      <c r="Z408" s="49"/>
      <c r="AA408" s="49"/>
      <c r="AB408" s="49"/>
      <c r="AC408" s="49"/>
      <c r="AD408" s="49"/>
      <c r="AE408" s="49"/>
      <c r="AF408" s="49"/>
      <c r="AG408" s="49"/>
      <c r="AH408" s="49"/>
      <c r="AI408" s="49"/>
      <c r="AJ408" s="49"/>
      <c r="AK408" s="49"/>
      <c r="AL408" s="49"/>
      <c r="AM408" s="49"/>
      <c r="AN408" s="49"/>
      <c r="AO408" s="49"/>
    </row>
    <row r="409" spans="1:41" ht="14">
      <c r="A409" s="49" t="str">
        <f ca="1">IFERROR(__xludf.DUMMYFUNCTION("QUERY('Volunteer Survey'!A803)"),"")</f>
        <v/>
      </c>
      <c r="B409" s="42" t="s">
        <v>322</v>
      </c>
      <c r="C409" s="47"/>
      <c r="D409" s="49"/>
      <c r="E409" s="49"/>
      <c r="F409" s="49" t="b">
        <v>0</v>
      </c>
      <c r="G409" s="49"/>
      <c r="H409" s="47"/>
      <c r="I409" s="47"/>
      <c r="J409" s="49"/>
      <c r="K409" s="49"/>
      <c r="L409" s="49" t="str">
        <f ca="1">IFERROR(__xludf.DUMMYFUNCTION("QUERY('Volunteer Survey'!B803)"),"")</f>
        <v/>
      </c>
      <c r="M409" s="49" t="str">
        <f ca="1">IFERROR(__xludf.DUMMYFUNCTION("QUERY('Volunteer Survey'!E803)"),"")</f>
        <v/>
      </c>
      <c r="N409" s="49" t="str">
        <f ca="1">IFERROR(__xludf.DUMMYFUNCTION("QUERY('Volunteer Survey'!F803)"),"")</f>
        <v/>
      </c>
      <c r="O409" s="42" t="str">
        <f ca="1">IFERROR(__xludf.DUMMYFUNCTION("QUERY('Volunteer Survey'!H803)"),"")</f>
        <v/>
      </c>
      <c r="P409" s="49" t="str">
        <f ca="1">IFERROR(__xludf.DUMMYFUNCTION("QUERY('Volunteer Survey'!I803)"),"")</f>
        <v/>
      </c>
      <c r="Q409" s="54" t="str">
        <f ca="1">IFERROR(__xludf.DUMMYFUNCTION("QUERY('Volunteer Survey'!J803)"),"")</f>
        <v/>
      </c>
      <c r="R409" s="49" t="str">
        <f ca="1">IFERROR(__xludf.DUMMYFUNCTION("QUERY('Volunteer Survey'!K803)"),"")</f>
        <v/>
      </c>
      <c r="S409" s="49" t="str">
        <f ca="1">IFERROR(__xludf.DUMMYFUNCTION("QUERY('Volunteer Survey'!L803)"),"")</f>
        <v/>
      </c>
      <c r="T409" s="49" t="str">
        <f ca="1">IFERROR(__xludf.DUMMYFUNCTION("QUERY('Volunteer Survey'!M803)"),"")</f>
        <v/>
      </c>
      <c r="U409" s="58" t="str">
        <f ca="1">IFERROR(__xludf.DUMMYFUNCTION("QUERY('Volunteer Survey'!N803)"),"")</f>
        <v/>
      </c>
      <c r="V409" s="49" t="str">
        <f ca="1">IFERROR(__xludf.DUMMYFUNCTION("QUERY('Volunteer Survey'!O803)"),"")</f>
        <v/>
      </c>
      <c r="W409" s="60" t="str">
        <f ca="1">IFERROR(__xludf.DUMMYFUNCTION("QUERY('Volunteer Survey'!P803)"),"")</f>
        <v/>
      </c>
      <c r="X409" s="58" t="str">
        <f ca="1">IFERROR(__xludf.DUMMYFUNCTION("QUERY('Volunteer Survey'!R803)"),"")</f>
        <v/>
      </c>
      <c r="Y409" s="47"/>
      <c r="Z409" s="49"/>
      <c r="AA409" s="49"/>
      <c r="AB409" s="49"/>
      <c r="AC409" s="49"/>
      <c r="AD409" s="49"/>
      <c r="AE409" s="49"/>
      <c r="AF409" s="49"/>
      <c r="AG409" s="49"/>
      <c r="AH409" s="49"/>
      <c r="AI409" s="49"/>
      <c r="AJ409" s="49"/>
      <c r="AK409" s="49"/>
      <c r="AL409" s="49"/>
      <c r="AM409" s="49"/>
      <c r="AN409" s="49"/>
      <c r="AO409" s="49"/>
    </row>
    <row r="410" spans="1:41" ht="14">
      <c r="A410" s="49" t="str">
        <f ca="1">IFERROR(__xludf.DUMMYFUNCTION("QUERY('Volunteer Survey'!A804)"),"")</f>
        <v/>
      </c>
      <c r="B410" s="42" t="s">
        <v>322</v>
      </c>
      <c r="C410" s="47"/>
      <c r="D410" s="49"/>
      <c r="E410" s="49"/>
      <c r="F410" s="49" t="b">
        <v>0</v>
      </c>
      <c r="G410" s="49"/>
      <c r="H410" s="47"/>
      <c r="I410" s="47"/>
      <c r="J410" s="49"/>
      <c r="K410" s="49"/>
      <c r="L410" s="49" t="str">
        <f ca="1">IFERROR(__xludf.DUMMYFUNCTION("QUERY('Volunteer Survey'!B804)"),"")</f>
        <v/>
      </c>
      <c r="M410" s="49" t="str">
        <f ca="1">IFERROR(__xludf.DUMMYFUNCTION("QUERY('Volunteer Survey'!E804)"),"")</f>
        <v/>
      </c>
      <c r="N410" s="49" t="str">
        <f ca="1">IFERROR(__xludf.DUMMYFUNCTION("QUERY('Volunteer Survey'!F804)"),"")</f>
        <v/>
      </c>
      <c r="O410" s="42" t="str">
        <f ca="1">IFERROR(__xludf.DUMMYFUNCTION("QUERY('Volunteer Survey'!H804)"),"")</f>
        <v/>
      </c>
      <c r="P410" s="49" t="str">
        <f ca="1">IFERROR(__xludf.DUMMYFUNCTION("QUERY('Volunteer Survey'!I804)"),"")</f>
        <v/>
      </c>
      <c r="Q410" s="54" t="str">
        <f ca="1">IFERROR(__xludf.DUMMYFUNCTION("QUERY('Volunteer Survey'!J804)"),"")</f>
        <v/>
      </c>
      <c r="R410" s="49" t="str">
        <f ca="1">IFERROR(__xludf.DUMMYFUNCTION("QUERY('Volunteer Survey'!K804)"),"")</f>
        <v/>
      </c>
      <c r="S410" s="49" t="str">
        <f ca="1">IFERROR(__xludf.DUMMYFUNCTION("QUERY('Volunteer Survey'!L804)"),"")</f>
        <v/>
      </c>
      <c r="T410" s="49" t="str">
        <f ca="1">IFERROR(__xludf.DUMMYFUNCTION("QUERY('Volunteer Survey'!M804)"),"")</f>
        <v/>
      </c>
      <c r="U410" s="58" t="str">
        <f ca="1">IFERROR(__xludf.DUMMYFUNCTION("QUERY('Volunteer Survey'!N804)"),"")</f>
        <v/>
      </c>
      <c r="V410" s="49" t="str">
        <f ca="1">IFERROR(__xludf.DUMMYFUNCTION("QUERY('Volunteer Survey'!O804)"),"")</f>
        <v/>
      </c>
      <c r="W410" s="60" t="str">
        <f ca="1">IFERROR(__xludf.DUMMYFUNCTION("QUERY('Volunteer Survey'!P804)"),"")</f>
        <v/>
      </c>
      <c r="X410" s="58" t="str">
        <f ca="1">IFERROR(__xludf.DUMMYFUNCTION("QUERY('Volunteer Survey'!R804)"),"")</f>
        <v/>
      </c>
      <c r="Y410" s="47"/>
      <c r="Z410" s="49"/>
      <c r="AA410" s="49"/>
      <c r="AB410" s="49"/>
      <c r="AC410" s="49"/>
      <c r="AD410" s="49"/>
      <c r="AE410" s="49"/>
      <c r="AF410" s="49"/>
      <c r="AG410" s="49"/>
      <c r="AH410" s="49"/>
      <c r="AI410" s="49"/>
      <c r="AJ410" s="49"/>
      <c r="AK410" s="49"/>
      <c r="AL410" s="49"/>
      <c r="AM410" s="49"/>
      <c r="AN410" s="49"/>
      <c r="AO410" s="49"/>
    </row>
    <row r="411" spans="1:41" ht="14">
      <c r="A411" s="49" t="str">
        <f ca="1">IFERROR(__xludf.DUMMYFUNCTION("QUERY('Volunteer Survey'!A805)"),"")</f>
        <v/>
      </c>
      <c r="B411" s="42" t="s">
        <v>322</v>
      </c>
      <c r="C411" s="47"/>
      <c r="D411" s="49"/>
      <c r="E411" s="49"/>
      <c r="F411" s="49" t="b">
        <v>0</v>
      </c>
      <c r="G411" s="49"/>
      <c r="H411" s="47"/>
      <c r="I411" s="47"/>
      <c r="J411" s="49"/>
      <c r="K411" s="49"/>
      <c r="L411" s="49" t="str">
        <f ca="1">IFERROR(__xludf.DUMMYFUNCTION("QUERY('Volunteer Survey'!B805)"),"")</f>
        <v/>
      </c>
      <c r="M411" s="49" t="str">
        <f ca="1">IFERROR(__xludf.DUMMYFUNCTION("QUERY('Volunteer Survey'!E805)"),"")</f>
        <v/>
      </c>
      <c r="N411" s="49" t="str">
        <f ca="1">IFERROR(__xludf.DUMMYFUNCTION("QUERY('Volunteer Survey'!F805)"),"")</f>
        <v/>
      </c>
      <c r="O411" s="42" t="str">
        <f ca="1">IFERROR(__xludf.DUMMYFUNCTION("QUERY('Volunteer Survey'!H805)"),"")</f>
        <v/>
      </c>
      <c r="P411" s="49" t="str">
        <f ca="1">IFERROR(__xludf.DUMMYFUNCTION("QUERY('Volunteer Survey'!I805)"),"")</f>
        <v/>
      </c>
      <c r="Q411" s="54" t="str">
        <f ca="1">IFERROR(__xludf.DUMMYFUNCTION("QUERY('Volunteer Survey'!J805)"),"")</f>
        <v/>
      </c>
      <c r="R411" s="49" t="str">
        <f ca="1">IFERROR(__xludf.DUMMYFUNCTION("QUERY('Volunteer Survey'!K805)"),"")</f>
        <v/>
      </c>
      <c r="S411" s="49" t="str">
        <f ca="1">IFERROR(__xludf.DUMMYFUNCTION("QUERY('Volunteer Survey'!L805)"),"")</f>
        <v/>
      </c>
      <c r="T411" s="49" t="str">
        <f ca="1">IFERROR(__xludf.DUMMYFUNCTION("QUERY('Volunteer Survey'!M805)"),"")</f>
        <v/>
      </c>
      <c r="U411" s="58" t="str">
        <f ca="1">IFERROR(__xludf.DUMMYFUNCTION("QUERY('Volunteer Survey'!N805)"),"")</f>
        <v/>
      </c>
      <c r="V411" s="49" t="str">
        <f ca="1">IFERROR(__xludf.DUMMYFUNCTION("QUERY('Volunteer Survey'!O805)"),"")</f>
        <v/>
      </c>
      <c r="W411" s="60" t="str">
        <f ca="1">IFERROR(__xludf.DUMMYFUNCTION("QUERY('Volunteer Survey'!P805)"),"")</f>
        <v/>
      </c>
      <c r="X411" s="58" t="str">
        <f ca="1">IFERROR(__xludf.DUMMYFUNCTION("QUERY('Volunteer Survey'!R805)"),"")</f>
        <v/>
      </c>
      <c r="Y411" s="47"/>
      <c r="Z411" s="49"/>
      <c r="AA411" s="49"/>
      <c r="AB411" s="49"/>
      <c r="AC411" s="49"/>
      <c r="AD411" s="49"/>
      <c r="AE411" s="49"/>
      <c r="AF411" s="49"/>
      <c r="AG411" s="49"/>
      <c r="AH411" s="49"/>
      <c r="AI411" s="49"/>
      <c r="AJ411" s="49"/>
      <c r="AK411" s="49"/>
      <c r="AL411" s="49"/>
      <c r="AM411" s="49"/>
      <c r="AN411" s="49"/>
      <c r="AO411" s="49"/>
    </row>
    <row r="412" spans="1:41" ht="14">
      <c r="A412" s="49" t="str">
        <f ca="1">IFERROR(__xludf.DUMMYFUNCTION("QUERY('Volunteer Survey'!A806)"),"")</f>
        <v/>
      </c>
      <c r="B412" s="42" t="s">
        <v>322</v>
      </c>
      <c r="C412" s="47"/>
      <c r="D412" s="49"/>
      <c r="E412" s="49"/>
      <c r="F412" s="49" t="b">
        <v>0</v>
      </c>
      <c r="G412" s="49"/>
      <c r="H412" s="47"/>
      <c r="I412" s="47"/>
      <c r="J412" s="49"/>
      <c r="K412" s="49"/>
      <c r="L412" s="49" t="str">
        <f ca="1">IFERROR(__xludf.DUMMYFUNCTION("QUERY('Volunteer Survey'!B806)"),"")</f>
        <v/>
      </c>
      <c r="M412" s="49" t="str">
        <f ca="1">IFERROR(__xludf.DUMMYFUNCTION("QUERY('Volunteer Survey'!E806)"),"")</f>
        <v/>
      </c>
      <c r="N412" s="49" t="str">
        <f ca="1">IFERROR(__xludf.DUMMYFUNCTION("QUERY('Volunteer Survey'!F806)"),"")</f>
        <v/>
      </c>
      <c r="O412" s="42" t="str">
        <f ca="1">IFERROR(__xludf.DUMMYFUNCTION("QUERY('Volunteer Survey'!H806)"),"")</f>
        <v/>
      </c>
      <c r="P412" s="49" t="str">
        <f ca="1">IFERROR(__xludf.DUMMYFUNCTION("QUERY('Volunteer Survey'!I806)"),"")</f>
        <v/>
      </c>
      <c r="Q412" s="54" t="str">
        <f ca="1">IFERROR(__xludf.DUMMYFUNCTION("QUERY('Volunteer Survey'!J806)"),"")</f>
        <v/>
      </c>
      <c r="R412" s="49" t="str">
        <f ca="1">IFERROR(__xludf.DUMMYFUNCTION("QUERY('Volunteer Survey'!K806)"),"")</f>
        <v/>
      </c>
      <c r="S412" s="49" t="str">
        <f ca="1">IFERROR(__xludf.DUMMYFUNCTION("QUERY('Volunteer Survey'!L806)"),"")</f>
        <v/>
      </c>
      <c r="T412" s="49" t="str">
        <f ca="1">IFERROR(__xludf.DUMMYFUNCTION("QUERY('Volunteer Survey'!M806)"),"")</f>
        <v/>
      </c>
      <c r="U412" s="58" t="str">
        <f ca="1">IFERROR(__xludf.DUMMYFUNCTION("QUERY('Volunteer Survey'!N806)"),"")</f>
        <v/>
      </c>
      <c r="V412" s="49" t="str">
        <f ca="1">IFERROR(__xludf.DUMMYFUNCTION("QUERY('Volunteer Survey'!O806)"),"")</f>
        <v/>
      </c>
      <c r="W412" s="60" t="str">
        <f ca="1">IFERROR(__xludf.DUMMYFUNCTION("QUERY('Volunteer Survey'!P806)"),"")</f>
        <v/>
      </c>
      <c r="X412" s="58" t="str">
        <f ca="1">IFERROR(__xludf.DUMMYFUNCTION("QUERY('Volunteer Survey'!R806)"),"")</f>
        <v/>
      </c>
      <c r="Y412" s="47"/>
      <c r="Z412" s="49"/>
      <c r="AA412" s="49"/>
      <c r="AB412" s="49"/>
      <c r="AC412" s="49"/>
      <c r="AD412" s="49"/>
      <c r="AE412" s="49"/>
      <c r="AF412" s="49"/>
      <c r="AG412" s="49"/>
      <c r="AH412" s="49"/>
      <c r="AI412" s="49"/>
      <c r="AJ412" s="49"/>
      <c r="AK412" s="49"/>
      <c r="AL412" s="49"/>
      <c r="AM412" s="49"/>
      <c r="AN412" s="49"/>
      <c r="AO412" s="49"/>
    </row>
    <row r="413" spans="1:41" ht="14">
      <c r="A413" s="49" t="str">
        <f ca="1">IFERROR(__xludf.DUMMYFUNCTION("QUERY('Volunteer Survey'!A807)"),"")</f>
        <v/>
      </c>
      <c r="B413" s="42" t="s">
        <v>322</v>
      </c>
      <c r="C413" s="47"/>
      <c r="D413" s="49"/>
      <c r="E413" s="49"/>
      <c r="F413" s="49" t="b">
        <v>0</v>
      </c>
      <c r="G413" s="49"/>
      <c r="H413" s="47"/>
      <c r="I413" s="47"/>
      <c r="J413" s="49"/>
      <c r="K413" s="49"/>
      <c r="L413" s="49" t="str">
        <f ca="1">IFERROR(__xludf.DUMMYFUNCTION("QUERY('Volunteer Survey'!B807)"),"")</f>
        <v/>
      </c>
      <c r="M413" s="49" t="str">
        <f ca="1">IFERROR(__xludf.DUMMYFUNCTION("QUERY('Volunteer Survey'!E807)"),"")</f>
        <v/>
      </c>
      <c r="N413" s="49" t="str">
        <f ca="1">IFERROR(__xludf.DUMMYFUNCTION("QUERY('Volunteer Survey'!F807)"),"")</f>
        <v/>
      </c>
      <c r="O413" s="42" t="str">
        <f ca="1">IFERROR(__xludf.DUMMYFUNCTION("QUERY('Volunteer Survey'!H807)"),"")</f>
        <v/>
      </c>
      <c r="P413" s="49" t="str">
        <f ca="1">IFERROR(__xludf.DUMMYFUNCTION("QUERY('Volunteer Survey'!I807)"),"")</f>
        <v/>
      </c>
      <c r="Q413" s="54" t="str">
        <f ca="1">IFERROR(__xludf.DUMMYFUNCTION("QUERY('Volunteer Survey'!J807)"),"")</f>
        <v/>
      </c>
      <c r="R413" s="49" t="str">
        <f ca="1">IFERROR(__xludf.DUMMYFUNCTION("QUERY('Volunteer Survey'!K807)"),"")</f>
        <v/>
      </c>
      <c r="S413" s="49" t="str">
        <f ca="1">IFERROR(__xludf.DUMMYFUNCTION("QUERY('Volunteer Survey'!L807)"),"")</f>
        <v/>
      </c>
      <c r="T413" s="49" t="str">
        <f ca="1">IFERROR(__xludf.DUMMYFUNCTION("QUERY('Volunteer Survey'!M807)"),"")</f>
        <v/>
      </c>
      <c r="U413" s="58" t="str">
        <f ca="1">IFERROR(__xludf.DUMMYFUNCTION("QUERY('Volunteer Survey'!N807)"),"")</f>
        <v/>
      </c>
      <c r="V413" s="49" t="str">
        <f ca="1">IFERROR(__xludf.DUMMYFUNCTION("QUERY('Volunteer Survey'!O807)"),"")</f>
        <v/>
      </c>
      <c r="W413" s="60" t="str">
        <f ca="1">IFERROR(__xludf.DUMMYFUNCTION("QUERY('Volunteer Survey'!P807)"),"")</f>
        <v/>
      </c>
      <c r="X413" s="58" t="str">
        <f ca="1">IFERROR(__xludf.DUMMYFUNCTION("QUERY('Volunteer Survey'!R807)"),"")</f>
        <v/>
      </c>
      <c r="Y413" s="47"/>
      <c r="Z413" s="49"/>
      <c r="AA413" s="49"/>
      <c r="AB413" s="49"/>
      <c r="AC413" s="49"/>
      <c r="AD413" s="49"/>
      <c r="AE413" s="49"/>
      <c r="AF413" s="49"/>
      <c r="AG413" s="49"/>
      <c r="AH413" s="49"/>
      <c r="AI413" s="49"/>
      <c r="AJ413" s="49"/>
      <c r="AK413" s="49"/>
      <c r="AL413" s="49"/>
      <c r="AM413" s="49"/>
      <c r="AN413" s="49"/>
      <c r="AO413" s="49"/>
    </row>
    <row r="414" spans="1:41" ht="14">
      <c r="A414" s="49" t="str">
        <f ca="1">IFERROR(__xludf.DUMMYFUNCTION("QUERY('Volunteer Survey'!A808)"),"")</f>
        <v/>
      </c>
      <c r="B414" s="42" t="s">
        <v>322</v>
      </c>
      <c r="C414" s="47"/>
      <c r="D414" s="49"/>
      <c r="E414" s="49"/>
      <c r="F414" s="49" t="b">
        <v>0</v>
      </c>
      <c r="G414" s="49"/>
      <c r="H414" s="47"/>
      <c r="I414" s="47"/>
      <c r="J414" s="49"/>
      <c r="K414" s="49"/>
      <c r="L414" s="49" t="str">
        <f ca="1">IFERROR(__xludf.DUMMYFUNCTION("QUERY('Volunteer Survey'!B808)"),"")</f>
        <v/>
      </c>
      <c r="M414" s="49" t="str">
        <f ca="1">IFERROR(__xludf.DUMMYFUNCTION("QUERY('Volunteer Survey'!E808)"),"")</f>
        <v/>
      </c>
      <c r="N414" s="49" t="str">
        <f ca="1">IFERROR(__xludf.DUMMYFUNCTION("QUERY('Volunteer Survey'!F808)"),"")</f>
        <v/>
      </c>
      <c r="O414" s="42" t="str">
        <f ca="1">IFERROR(__xludf.DUMMYFUNCTION("QUERY('Volunteer Survey'!H808)"),"")</f>
        <v/>
      </c>
      <c r="P414" s="49" t="str">
        <f ca="1">IFERROR(__xludf.DUMMYFUNCTION("QUERY('Volunteer Survey'!I808)"),"")</f>
        <v/>
      </c>
      <c r="Q414" s="54" t="str">
        <f ca="1">IFERROR(__xludf.DUMMYFUNCTION("QUERY('Volunteer Survey'!J808)"),"")</f>
        <v/>
      </c>
      <c r="R414" s="49" t="str">
        <f ca="1">IFERROR(__xludf.DUMMYFUNCTION("QUERY('Volunteer Survey'!K808)"),"")</f>
        <v/>
      </c>
      <c r="S414" s="49" t="str">
        <f ca="1">IFERROR(__xludf.DUMMYFUNCTION("QUERY('Volunteer Survey'!L808)"),"")</f>
        <v/>
      </c>
      <c r="T414" s="49" t="str">
        <f ca="1">IFERROR(__xludf.DUMMYFUNCTION("QUERY('Volunteer Survey'!M808)"),"")</f>
        <v/>
      </c>
      <c r="U414" s="58" t="str">
        <f ca="1">IFERROR(__xludf.DUMMYFUNCTION("QUERY('Volunteer Survey'!N808)"),"")</f>
        <v/>
      </c>
      <c r="V414" s="49" t="str">
        <f ca="1">IFERROR(__xludf.DUMMYFUNCTION("QUERY('Volunteer Survey'!O808)"),"")</f>
        <v/>
      </c>
      <c r="W414" s="60" t="str">
        <f ca="1">IFERROR(__xludf.DUMMYFUNCTION("QUERY('Volunteer Survey'!P808)"),"")</f>
        <v/>
      </c>
      <c r="X414" s="58" t="str">
        <f ca="1">IFERROR(__xludf.DUMMYFUNCTION("QUERY('Volunteer Survey'!R808)"),"")</f>
        <v/>
      </c>
      <c r="Y414" s="47"/>
      <c r="Z414" s="49"/>
      <c r="AA414" s="49"/>
      <c r="AB414" s="49"/>
      <c r="AC414" s="49"/>
      <c r="AD414" s="49"/>
      <c r="AE414" s="49"/>
      <c r="AF414" s="49"/>
      <c r="AG414" s="49"/>
      <c r="AH414" s="49"/>
      <c r="AI414" s="49"/>
      <c r="AJ414" s="49"/>
      <c r="AK414" s="49"/>
      <c r="AL414" s="49"/>
      <c r="AM414" s="49"/>
      <c r="AN414" s="49"/>
      <c r="AO414" s="49"/>
    </row>
    <row r="415" spans="1:41" ht="14">
      <c r="A415" s="49" t="str">
        <f ca="1">IFERROR(__xludf.DUMMYFUNCTION("QUERY('Volunteer Survey'!A809)"),"")</f>
        <v/>
      </c>
      <c r="B415" s="42" t="s">
        <v>322</v>
      </c>
      <c r="C415" s="47"/>
      <c r="D415" s="49"/>
      <c r="E415" s="49"/>
      <c r="F415" s="49" t="b">
        <v>0</v>
      </c>
      <c r="G415" s="49"/>
      <c r="H415" s="47"/>
      <c r="I415" s="47"/>
      <c r="J415" s="49"/>
      <c r="K415" s="49"/>
      <c r="L415" s="49" t="str">
        <f ca="1">IFERROR(__xludf.DUMMYFUNCTION("QUERY('Volunteer Survey'!B809)"),"")</f>
        <v/>
      </c>
      <c r="M415" s="49" t="str">
        <f ca="1">IFERROR(__xludf.DUMMYFUNCTION("QUERY('Volunteer Survey'!E809)"),"")</f>
        <v/>
      </c>
      <c r="N415" s="49" t="str">
        <f ca="1">IFERROR(__xludf.DUMMYFUNCTION("QUERY('Volunteer Survey'!F809)"),"")</f>
        <v/>
      </c>
      <c r="O415" s="42" t="str">
        <f ca="1">IFERROR(__xludf.DUMMYFUNCTION("QUERY('Volunteer Survey'!H809)"),"")</f>
        <v/>
      </c>
      <c r="P415" s="49" t="str">
        <f ca="1">IFERROR(__xludf.DUMMYFUNCTION("QUERY('Volunteer Survey'!I809)"),"")</f>
        <v/>
      </c>
      <c r="Q415" s="54" t="str">
        <f ca="1">IFERROR(__xludf.DUMMYFUNCTION("QUERY('Volunteer Survey'!J809)"),"")</f>
        <v/>
      </c>
      <c r="R415" s="49" t="str">
        <f ca="1">IFERROR(__xludf.DUMMYFUNCTION("QUERY('Volunteer Survey'!K809)"),"")</f>
        <v/>
      </c>
      <c r="S415" s="49" t="str">
        <f ca="1">IFERROR(__xludf.DUMMYFUNCTION("QUERY('Volunteer Survey'!L809)"),"")</f>
        <v/>
      </c>
      <c r="T415" s="49" t="str">
        <f ca="1">IFERROR(__xludf.DUMMYFUNCTION("QUERY('Volunteer Survey'!M809)"),"")</f>
        <v/>
      </c>
      <c r="U415" s="58" t="str">
        <f ca="1">IFERROR(__xludf.DUMMYFUNCTION("QUERY('Volunteer Survey'!N809)"),"")</f>
        <v/>
      </c>
      <c r="V415" s="49" t="str">
        <f ca="1">IFERROR(__xludf.DUMMYFUNCTION("QUERY('Volunteer Survey'!O809)"),"")</f>
        <v/>
      </c>
      <c r="W415" s="60" t="str">
        <f ca="1">IFERROR(__xludf.DUMMYFUNCTION("QUERY('Volunteer Survey'!P809)"),"")</f>
        <v/>
      </c>
      <c r="X415" s="58" t="str">
        <f ca="1">IFERROR(__xludf.DUMMYFUNCTION("QUERY('Volunteer Survey'!R809)"),"")</f>
        <v/>
      </c>
      <c r="Y415" s="47"/>
      <c r="Z415" s="49"/>
      <c r="AA415" s="49"/>
      <c r="AB415" s="49"/>
      <c r="AC415" s="49"/>
      <c r="AD415" s="49"/>
      <c r="AE415" s="49"/>
      <c r="AF415" s="49"/>
      <c r="AG415" s="49"/>
      <c r="AH415" s="49"/>
      <c r="AI415" s="49"/>
      <c r="AJ415" s="49"/>
      <c r="AK415" s="49"/>
      <c r="AL415" s="49"/>
      <c r="AM415" s="49"/>
      <c r="AN415" s="49"/>
      <c r="AO415" s="49"/>
    </row>
    <row r="416" spans="1:41" ht="14">
      <c r="A416" s="49" t="str">
        <f ca="1">IFERROR(__xludf.DUMMYFUNCTION("QUERY('Volunteer Survey'!A810)"),"")</f>
        <v/>
      </c>
      <c r="B416" s="42" t="s">
        <v>322</v>
      </c>
      <c r="C416" s="47"/>
      <c r="D416" s="49"/>
      <c r="E416" s="49"/>
      <c r="F416" s="49" t="b">
        <v>0</v>
      </c>
      <c r="G416" s="49"/>
      <c r="H416" s="47"/>
      <c r="I416" s="47"/>
      <c r="J416" s="49"/>
      <c r="K416" s="49"/>
      <c r="L416" s="49" t="str">
        <f ca="1">IFERROR(__xludf.DUMMYFUNCTION("QUERY('Volunteer Survey'!B810)"),"")</f>
        <v/>
      </c>
      <c r="M416" s="49" t="str">
        <f ca="1">IFERROR(__xludf.DUMMYFUNCTION("QUERY('Volunteer Survey'!E810)"),"")</f>
        <v/>
      </c>
      <c r="N416" s="49" t="str">
        <f ca="1">IFERROR(__xludf.DUMMYFUNCTION("QUERY('Volunteer Survey'!F810)"),"")</f>
        <v/>
      </c>
      <c r="O416" s="42" t="str">
        <f ca="1">IFERROR(__xludf.DUMMYFUNCTION("QUERY('Volunteer Survey'!H810)"),"")</f>
        <v/>
      </c>
      <c r="P416" s="49" t="str">
        <f ca="1">IFERROR(__xludf.DUMMYFUNCTION("QUERY('Volunteer Survey'!I810)"),"")</f>
        <v/>
      </c>
      <c r="Q416" s="54" t="str">
        <f ca="1">IFERROR(__xludf.DUMMYFUNCTION("QUERY('Volunteer Survey'!J810)"),"")</f>
        <v/>
      </c>
      <c r="R416" s="49" t="str">
        <f ca="1">IFERROR(__xludf.DUMMYFUNCTION("QUERY('Volunteer Survey'!K810)"),"")</f>
        <v/>
      </c>
      <c r="S416" s="49" t="str">
        <f ca="1">IFERROR(__xludf.DUMMYFUNCTION("QUERY('Volunteer Survey'!L810)"),"")</f>
        <v/>
      </c>
      <c r="T416" s="49" t="str">
        <f ca="1">IFERROR(__xludf.DUMMYFUNCTION("QUERY('Volunteer Survey'!M810)"),"")</f>
        <v/>
      </c>
      <c r="U416" s="58" t="str">
        <f ca="1">IFERROR(__xludf.DUMMYFUNCTION("QUERY('Volunteer Survey'!N810)"),"")</f>
        <v/>
      </c>
      <c r="V416" s="49" t="str">
        <f ca="1">IFERROR(__xludf.DUMMYFUNCTION("QUERY('Volunteer Survey'!O810)"),"")</f>
        <v/>
      </c>
      <c r="W416" s="60" t="str">
        <f ca="1">IFERROR(__xludf.DUMMYFUNCTION("QUERY('Volunteer Survey'!P810)"),"")</f>
        <v/>
      </c>
      <c r="X416" s="58" t="str">
        <f ca="1">IFERROR(__xludf.DUMMYFUNCTION("QUERY('Volunteer Survey'!R810)"),"")</f>
        <v/>
      </c>
      <c r="Y416" s="47"/>
      <c r="Z416" s="49"/>
      <c r="AA416" s="49"/>
      <c r="AB416" s="49"/>
      <c r="AC416" s="49"/>
      <c r="AD416" s="49"/>
      <c r="AE416" s="49"/>
      <c r="AF416" s="49"/>
      <c r="AG416" s="49"/>
      <c r="AH416" s="49"/>
      <c r="AI416" s="49"/>
      <c r="AJ416" s="49"/>
      <c r="AK416" s="49"/>
      <c r="AL416" s="49"/>
      <c r="AM416" s="49"/>
      <c r="AN416" s="49"/>
      <c r="AO416" s="49"/>
    </row>
    <row r="417" spans="1:41" ht="14">
      <c r="A417" s="49" t="str">
        <f ca="1">IFERROR(__xludf.DUMMYFUNCTION("QUERY('Volunteer Survey'!A811)"),"")</f>
        <v/>
      </c>
      <c r="B417" s="42" t="s">
        <v>322</v>
      </c>
      <c r="C417" s="47"/>
      <c r="D417" s="49"/>
      <c r="E417" s="49"/>
      <c r="F417" s="49" t="b">
        <v>0</v>
      </c>
      <c r="G417" s="49"/>
      <c r="H417" s="47"/>
      <c r="I417" s="47"/>
      <c r="J417" s="49"/>
      <c r="K417" s="49"/>
      <c r="L417" s="49" t="str">
        <f ca="1">IFERROR(__xludf.DUMMYFUNCTION("QUERY('Volunteer Survey'!B811)"),"")</f>
        <v/>
      </c>
      <c r="M417" s="49" t="str">
        <f ca="1">IFERROR(__xludf.DUMMYFUNCTION("QUERY('Volunteer Survey'!E811)"),"")</f>
        <v/>
      </c>
      <c r="N417" s="49" t="str">
        <f ca="1">IFERROR(__xludf.DUMMYFUNCTION("QUERY('Volunteer Survey'!F811)"),"")</f>
        <v/>
      </c>
      <c r="O417" s="42" t="str">
        <f ca="1">IFERROR(__xludf.DUMMYFUNCTION("QUERY('Volunteer Survey'!H811)"),"")</f>
        <v/>
      </c>
      <c r="P417" s="49" t="str">
        <f ca="1">IFERROR(__xludf.DUMMYFUNCTION("QUERY('Volunteer Survey'!I811)"),"")</f>
        <v/>
      </c>
      <c r="Q417" s="54" t="str">
        <f ca="1">IFERROR(__xludf.DUMMYFUNCTION("QUERY('Volunteer Survey'!J811)"),"")</f>
        <v/>
      </c>
      <c r="R417" s="49" t="str">
        <f ca="1">IFERROR(__xludf.DUMMYFUNCTION("QUERY('Volunteer Survey'!K811)"),"")</f>
        <v/>
      </c>
      <c r="S417" s="49" t="str">
        <f ca="1">IFERROR(__xludf.DUMMYFUNCTION("QUERY('Volunteer Survey'!L811)"),"")</f>
        <v/>
      </c>
      <c r="T417" s="49" t="str">
        <f ca="1">IFERROR(__xludf.DUMMYFUNCTION("QUERY('Volunteer Survey'!M811)"),"")</f>
        <v/>
      </c>
      <c r="U417" s="58" t="str">
        <f ca="1">IFERROR(__xludf.DUMMYFUNCTION("QUERY('Volunteer Survey'!N811)"),"")</f>
        <v/>
      </c>
      <c r="V417" s="49" t="str">
        <f ca="1">IFERROR(__xludf.DUMMYFUNCTION("QUERY('Volunteer Survey'!O811)"),"")</f>
        <v/>
      </c>
      <c r="W417" s="60" t="str">
        <f ca="1">IFERROR(__xludf.DUMMYFUNCTION("QUERY('Volunteer Survey'!P811)"),"")</f>
        <v/>
      </c>
      <c r="X417" s="58" t="str">
        <f ca="1">IFERROR(__xludf.DUMMYFUNCTION("QUERY('Volunteer Survey'!R811)"),"")</f>
        <v/>
      </c>
      <c r="Y417" s="47"/>
      <c r="Z417" s="49"/>
      <c r="AA417" s="49"/>
      <c r="AB417" s="49"/>
      <c r="AC417" s="49"/>
      <c r="AD417" s="49"/>
      <c r="AE417" s="49"/>
      <c r="AF417" s="49"/>
      <c r="AG417" s="49"/>
      <c r="AH417" s="49"/>
      <c r="AI417" s="49"/>
      <c r="AJ417" s="49"/>
      <c r="AK417" s="49"/>
      <c r="AL417" s="49"/>
      <c r="AM417" s="49"/>
      <c r="AN417" s="49"/>
      <c r="AO417" s="49"/>
    </row>
    <row r="418" spans="1:41" ht="14">
      <c r="A418" s="49" t="str">
        <f ca="1">IFERROR(__xludf.DUMMYFUNCTION("QUERY('Volunteer Survey'!A812)"),"")</f>
        <v/>
      </c>
      <c r="B418" s="42" t="s">
        <v>322</v>
      </c>
      <c r="C418" s="47"/>
      <c r="D418" s="49"/>
      <c r="E418" s="49"/>
      <c r="F418" s="49" t="b">
        <v>0</v>
      </c>
      <c r="G418" s="49"/>
      <c r="H418" s="47"/>
      <c r="I418" s="47"/>
      <c r="J418" s="49"/>
      <c r="K418" s="49"/>
      <c r="L418" s="49" t="str">
        <f ca="1">IFERROR(__xludf.DUMMYFUNCTION("QUERY('Volunteer Survey'!B812)"),"")</f>
        <v/>
      </c>
      <c r="M418" s="49" t="str">
        <f ca="1">IFERROR(__xludf.DUMMYFUNCTION("QUERY('Volunteer Survey'!E812)"),"")</f>
        <v/>
      </c>
      <c r="N418" s="49" t="str">
        <f ca="1">IFERROR(__xludf.DUMMYFUNCTION("QUERY('Volunteer Survey'!F812)"),"")</f>
        <v/>
      </c>
      <c r="O418" s="42" t="str">
        <f ca="1">IFERROR(__xludf.DUMMYFUNCTION("QUERY('Volunteer Survey'!H812)"),"")</f>
        <v/>
      </c>
      <c r="P418" s="49" t="str">
        <f ca="1">IFERROR(__xludf.DUMMYFUNCTION("QUERY('Volunteer Survey'!I812)"),"")</f>
        <v/>
      </c>
      <c r="Q418" s="54" t="str">
        <f ca="1">IFERROR(__xludf.DUMMYFUNCTION("QUERY('Volunteer Survey'!J812)"),"")</f>
        <v/>
      </c>
      <c r="R418" s="49" t="str">
        <f ca="1">IFERROR(__xludf.DUMMYFUNCTION("QUERY('Volunteer Survey'!K812)"),"")</f>
        <v/>
      </c>
      <c r="S418" s="49" t="str">
        <f ca="1">IFERROR(__xludf.DUMMYFUNCTION("QUERY('Volunteer Survey'!L812)"),"")</f>
        <v/>
      </c>
      <c r="T418" s="49" t="str">
        <f ca="1">IFERROR(__xludf.DUMMYFUNCTION("QUERY('Volunteer Survey'!M812)"),"")</f>
        <v/>
      </c>
      <c r="U418" s="58" t="str">
        <f ca="1">IFERROR(__xludf.DUMMYFUNCTION("QUERY('Volunteer Survey'!N812)"),"")</f>
        <v/>
      </c>
      <c r="V418" s="49" t="str">
        <f ca="1">IFERROR(__xludf.DUMMYFUNCTION("QUERY('Volunteer Survey'!O812)"),"")</f>
        <v/>
      </c>
      <c r="W418" s="60" t="str">
        <f ca="1">IFERROR(__xludf.DUMMYFUNCTION("QUERY('Volunteer Survey'!P812)"),"")</f>
        <v/>
      </c>
      <c r="X418" s="58" t="str">
        <f ca="1">IFERROR(__xludf.DUMMYFUNCTION("QUERY('Volunteer Survey'!R812)"),"")</f>
        <v/>
      </c>
      <c r="Y418" s="47"/>
      <c r="Z418" s="49"/>
      <c r="AA418" s="49"/>
      <c r="AB418" s="49"/>
      <c r="AC418" s="49"/>
      <c r="AD418" s="49"/>
      <c r="AE418" s="49"/>
      <c r="AF418" s="49"/>
      <c r="AG418" s="49"/>
      <c r="AH418" s="49"/>
      <c r="AI418" s="49"/>
      <c r="AJ418" s="49"/>
      <c r="AK418" s="49"/>
      <c r="AL418" s="49"/>
      <c r="AM418" s="49"/>
      <c r="AN418" s="49"/>
      <c r="AO418" s="49"/>
    </row>
    <row r="419" spans="1:41" ht="14">
      <c r="A419" s="49" t="str">
        <f ca="1">IFERROR(__xludf.DUMMYFUNCTION("QUERY('Volunteer Survey'!A813)"),"")</f>
        <v/>
      </c>
      <c r="B419" s="42" t="s">
        <v>322</v>
      </c>
      <c r="C419" s="47"/>
      <c r="D419" s="49"/>
      <c r="E419" s="49"/>
      <c r="F419" s="49" t="b">
        <v>0</v>
      </c>
      <c r="G419" s="49"/>
      <c r="H419" s="47"/>
      <c r="I419" s="47"/>
      <c r="J419" s="49"/>
      <c r="K419" s="49"/>
      <c r="L419" s="49" t="str">
        <f ca="1">IFERROR(__xludf.DUMMYFUNCTION("QUERY('Volunteer Survey'!B813)"),"")</f>
        <v/>
      </c>
      <c r="M419" s="49" t="str">
        <f ca="1">IFERROR(__xludf.DUMMYFUNCTION("QUERY('Volunteer Survey'!E813)"),"")</f>
        <v/>
      </c>
      <c r="N419" s="49" t="str">
        <f ca="1">IFERROR(__xludf.DUMMYFUNCTION("QUERY('Volunteer Survey'!F813)"),"")</f>
        <v/>
      </c>
      <c r="O419" s="42" t="str">
        <f ca="1">IFERROR(__xludf.DUMMYFUNCTION("QUERY('Volunteer Survey'!H813)"),"")</f>
        <v/>
      </c>
      <c r="P419" s="49" t="str">
        <f ca="1">IFERROR(__xludf.DUMMYFUNCTION("QUERY('Volunteer Survey'!I813)"),"")</f>
        <v/>
      </c>
      <c r="Q419" s="54" t="str">
        <f ca="1">IFERROR(__xludf.DUMMYFUNCTION("QUERY('Volunteer Survey'!J813)"),"")</f>
        <v/>
      </c>
      <c r="R419" s="49" t="str">
        <f ca="1">IFERROR(__xludf.DUMMYFUNCTION("QUERY('Volunteer Survey'!K813)"),"")</f>
        <v/>
      </c>
      <c r="S419" s="49" t="str">
        <f ca="1">IFERROR(__xludf.DUMMYFUNCTION("QUERY('Volunteer Survey'!L813)"),"")</f>
        <v/>
      </c>
      <c r="T419" s="49" t="str">
        <f ca="1">IFERROR(__xludf.DUMMYFUNCTION("QUERY('Volunteer Survey'!M813)"),"")</f>
        <v/>
      </c>
      <c r="U419" s="58" t="str">
        <f ca="1">IFERROR(__xludf.DUMMYFUNCTION("QUERY('Volunteer Survey'!N813)"),"")</f>
        <v/>
      </c>
      <c r="V419" s="49" t="str">
        <f ca="1">IFERROR(__xludf.DUMMYFUNCTION("QUERY('Volunteer Survey'!O813)"),"")</f>
        <v/>
      </c>
      <c r="W419" s="60" t="str">
        <f ca="1">IFERROR(__xludf.DUMMYFUNCTION("QUERY('Volunteer Survey'!P813)"),"")</f>
        <v/>
      </c>
      <c r="X419" s="58" t="str">
        <f ca="1">IFERROR(__xludf.DUMMYFUNCTION("QUERY('Volunteer Survey'!R813)"),"")</f>
        <v/>
      </c>
      <c r="Y419" s="47"/>
      <c r="Z419" s="49"/>
      <c r="AA419" s="49"/>
      <c r="AB419" s="49"/>
      <c r="AC419" s="49"/>
      <c r="AD419" s="49"/>
      <c r="AE419" s="49"/>
      <c r="AF419" s="49"/>
      <c r="AG419" s="49"/>
      <c r="AH419" s="49"/>
      <c r="AI419" s="49"/>
      <c r="AJ419" s="49"/>
      <c r="AK419" s="49"/>
      <c r="AL419" s="49"/>
      <c r="AM419" s="49"/>
      <c r="AN419" s="49"/>
      <c r="AO419" s="49"/>
    </row>
    <row r="420" spans="1:41" ht="14">
      <c r="A420" s="49" t="str">
        <f ca="1">IFERROR(__xludf.DUMMYFUNCTION("QUERY('Volunteer Survey'!A814)"),"")</f>
        <v/>
      </c>
      <c r="B420" s="42" t="s">
        <v>322</v>
      </c>
      <c r="C420" s="47"/>
      <c r="D420" s="49"/>
      <c r="E420" s="49"/>
      <c r="F420" s="49" t="b">
        <v>0</v>
      </c>
      <c r="G420" s="49"/>
      <c r="H420" s="47"/>
      <c r="I420" s="47"/>
      <c r="J420" s="49"/>
      <c r="K420" s="49"/>
      <c r="L420" s="49" t="str">
        <f ca="1">IFERROR(__xludf.DUMMYFUNCTION("QUERY('Volunteer Survey'!B814)"),"")</f>
        <v/>
      </c>
      <c r="M420" s="49" t="str">
        <f ca="1">IFERROR(__xludf.DUMMYFUNCTION("QUERY('Volunteer Survey'!E814)"),"")</f>
        <v/>
      </c>
      <c r="N420" s="49" t="str">
        <f ca="1">IFERROR(__xludf.DUMMYFUNCTION("QUERY('Volunteer Survey'!F814)"),"")</f>
        <v/>
      </c>
      <c r="O420" s="42" t="str">
        <f ca="1">IFERROR(__xludf.DUMMYFUNCTION("QUERY('Volunteer Survey'!H814)"),"")</f>
        <v/>
      </c>
      <c r="P420" s="49" t="str">
        <f ca="1">IFERROR(__xludf.DUMMYFUNCTION("QUERY('Volunteer Survey'!I814)"),"")</f>
        <v/>
      </c>
      <c r="Q420" s="54" t="str">
        <f ca="1">IFERROR(__xludf.DUMMYFUNCTION("QUERY('Volunteer Survey'!J814)"),"")</f>
        <v/>
      </c>
      <c r="R420" s="49" t="str">
        <f ca="1">IFERROR(__xludf.DUMMYFUNCTION("QUERY('Volunteer Survey'!K814)"),"")</f>
        <v/>
      </c>
      <c r="S420" s="49" t="str">
        <f ca="1">IFERROR(__xludf.DUMMYFUNCTION("QUERY('Volunteer Survey'!L814)"),"")</f>
        <v/>
      </c>
      <c r="T420" s="49" t="str">
        <f ca="1">IFERROR(__xludf.DUMMYFUNCTION("QUERY('Volunteer Survey'!M814)"),"")</f>
        <v/>
      </c>
      <c r="U420" s="58" t="str">
        <f ca="1">IFERROR(__xludf.DUMMYFUNCTION("QUERY('Volunteer Survey'!N814)"),"")</f>
        <v/>
      </c>
      <c r="V420" s="49" t="str">
        <f ca="1">IFERROR(__xludf.DUMMYFUNCTION("QUERY('Volunteer Survey'!O814)"),"")</f>
        <v/>
      </c>
      <c r="W420" s="60" t="str">
        <f ca="1">IFERROR(__xludf.DUMMYFUNCTION("QUERY('Volunteer Survey'!P814)"),"")</f>
        <v/>
      </c>
      <c r="X420" s="58" t="str">
        <f ca="1">IFERROR(__xludf.DUMMYFUNCTION("QUERY('Volunteer Survey'!R814)"),"")</f>
        <v/>
      </c>
      <c r="Y420" s="47"/>
      <c r="Z420" s="49"/>
      <c r="AA420" s="49"/>
      <c r="AB420" s="49"/>
      <c r="AC420" s="49"/>
      <c r="AD420" s="49"/>
      <c r="AE420" s="49"/>
      <c r="AF420" s="49"/>
      <c r="AG420" s="49"/>
      <c r="AH420" s="49"/>
      <c r="AI420" s="49"/>
      <c r="AJ420" s="49"/>
      <c r="AK420" s="49"/>
      <c r="AL420" s="49"/>
      <c r="AM420" s="49"/>
      <c r="AN420" s="49"/>
      <c r="AO420" s="49"/>
    </row>
    <row r="421" spans="1:41" ht="14">
      <c r="A421" s="49" t="str">
        <f ca="1">IFERROR(__xludf.DUMMYFUNCTION("QUERY('Volunteer Survey'!A815)"),"")</f>
        <v/>
      </c>
      <c r="B421" s="42" t="s">
        <v>322</v>
      </c>
      <c r="C421" s="47"/>
      <c r="D421" s="49"/>
      <c r="E421" s="49"/>
      <c r="F421" s="49" t="b">
        <v>0</v>
      </c>
      <c r="G421" s="49"/>
      <c r="H421" s="47"/>
      <c r="I421" s="47"/>
      <c r="J421" s="49"/>
      <c r="K421" s="49"/>
      <c r="L421" s="49" t="str">
        <f ca="1">IFERROR(__xludf.DUMMYFUNCTION("QUERY('Volunteer Survey'!B815)"),"")</f>
        <v/>
      </c>
      <c r="M421" s="49" t="str">
        <f ca="1">IFERROR(__xludf.DUMMYFUNCTION("QUERY('Volunteer Survey'!E815)"),"")</f>
        <v/>
      </c>
      <c r="N421" s="49" t="str">
        <f ca="1">IFERROR(__xludf.DUMMYFUNCTION("QUERY('Volunteer Survey'!F815)"),"")</f>
        <v/>
      </c>
      <c r="O421" s="42" t="str">
        <f ca="1">IFERROR(__xludf.DUMMYFUNCTION("QUERY('Volunteer Survey'!H815)"),"")</f>
        <v/>
      </c>
      <c r="P421" s="49" t="str">
        <f ca="1">IFERROR(__xludf.DUMMYFUNCTION("QUERY('Volunteer Survey'!I815)"),"")</f>
        <v/>
      </c>
      <c r="Q421" s="54" t="str">
        <f ca="1">IFERROR(__xludf.DUMMYFUNCTION("QUERY('Volunteer Survey'!J815)"),"")</f>
        <v/>
      </c>
      <c r="R421" s="49" t="str">
        <f ca="1">IFERROR(__xludf.DUMMYFUNCTION("QUERY('Volunteer Survey'!K815)"),"")</f>
        <v/>
      </c>
      <c r="S421" s="49" t="str">
        <f ca="1">IFERROR(__xludf.DUMMYFUNCTION("QUERY('Volunteer Survey'!L815)"),"")</f>
        <v/>
      </c>
      <c r="T421" s="49" t="str">
        <f ca="1">IFERROR(__xludf.DUMMYFUNCTION("QUERY('Volunteer Survey'!M815)"),"")</f>
        <v/>
      </c>
      <c r="U421" s="58" t="str">
        <f ca="1">IFERROR(__xludf.DUMMYFUNCTION("QUERY('Volunteer Survey'!N815)"),"")</f>
        <v/>
      </c>
      <c r="V421" s="49" t="str">
        <f ca="1">IFERROR(__xludf.DUMMYFUNCTION("QUERY('Volunteer Survey'!O815)"),"")</f>
        <v/>
      </c>
      <c r="W421" s="60" t="str">
        <f ca="1">IFERROR(__xludf.DUMMYFUNCTION("QUERY('Volunteer Survey'!P815)"),"")</f>
        <v/>
      </c>
      <c r="X421" s="58" t="str">
        <f ca="1">IFERROR(__xludf.DUMMYFUNCTION("QUERY('Volunteer Survey'!R815)"),"")</f>
        <v/>
      </c>
      <c r="Y421" s="47"/>
      <c r="Z421" s="49"/>
      <c r="AA421" s="49"/>
      <c r="AB421" s="49"/>
      <c r="AC421" s="49"/>
      <c r="AD421" s="49"/>
      <c r="AE421" s="49"/>
      <c r="AF421" s="49"/>
      <c r="AG421" s="49"/>
      <c r="AH421" s="49"/>
      <c r="AI421" s="49"/>
      <c r="AJ421" s="49"/>
      <c r="AK421" s="49"/>
      <c r="AL421" s="49"/>
      <c r="AM421" s="49"/>
      <c r="AN421" s="49"/>
      <c r="AO421" s="49"/>
    </row>
    <row r="422" spans="1:41" ht="14">
      <c r="A422" s="49" t="str">
        <f ca="1">IFERROR(__xludf.DUMMYFUNCTION("QUERY('Volunteer Survey'!A816)"),"")</f>
        <v/>
      </c>
      <c r="B422" s="42" t="s">
        <v>322</v>
      </c>
      <c r="C422" s="47"/>
      <c r="D422" s="49"/>
      <c r="E422" s="49"/>
      <c r="F422" s="49" t="b">
        <v>0</v>
      </c>
      <c r="G422" s="49"/>
      <c r="H422" s="47"/>
      <c r="I422" s="47"/>
      <c r="J422" s="49"/>
      <c r="K422" s="49"/>
      <c r="L422" s="49" t="str">
        <f ca="1">IFERROR(__xludf.DUMMYFUNCTION("QUERY('Volunteer Survey'!B816)"),"")</f>
        <v/>
      </c>
      <c r="M422" s="49" t="str">
        <f ca="1">IFERROR(__xludf.DUMMYFUNCTION("QUERY('Volunteer Survey'!E816)"),"")</f>
        <v/>
      </c>
      <c r="N422" s="49" t="str">
        <f ca="1">IFERROR(__xludf.DUMMYFUNCTION("QUERY('Volunteer Survey'!F816)"),"")</f>
        <v/>
      </c>
      <c r="O422" s="42" t="str">
        <f ca="1">IFERROR(__xludf.DUMMYFUNCTION("QUERY('Volunteer Survey'!H816)"),"")</f>
        <v/>
      </c>
      <c r="P422" s="49" t="str">
        <f ca="1">IFERROR(__xludf.DUMMYFUNCTION("QUERY('Volunteer Survey'!I816)"),"")</f>
        <v/>
      </c>
      <c r="Q422" s="54" t="str">
        <f ca="1">IFERROR(__xludf.DUMMYFUNCTION("QUERY('Volunteer Survey'!J816)"),"")</f>
        <v/>
      </c>
      <c r="R422" s="49" t="str">
        <f ca="1">IFERROR(__xludf.DUMMYFUNCTION("QUERY('Volunteer Survey'!K816)"),"")</f>
        <v/>
      </c>
      <c r="S422" s="49" t="str">
        <f ca="1">IFERROR(__xludf.DUMMYFUNCTION("QUERY('Volunteer Survey'!L816)"),"")</f>
        <v/>
      </c>
      <c r="T422" s="49" t="str">
        <f ca="1">IFERROR(__xludf.DUMMYFUNCTION("QUERY('Volunteer Survey'!M816)"),"")</f>
        <v/>
      </c>
      <c r="U422" s="58" t="str">
        <f ca="1">IFERROR(__xludf.DUMMYFUNCTION("QUERY('Volunteer Survey'!N816)"),"")</f>
        <v/>
      </c>
      <c r="V422" s="49" t="str">
        <f ca="1">IFERROR(__xludf.DUMMYFUNCTION("QUERY('Volunteer Survey'!O816)"),"")</f>
        <v/>
      </c>
      <c r="W422" s="60" t="str">
        <f ca="1">IFERROR(__xludf.DUMMYFUNCTION("QUERY('Volunteer Survey'!P816)"),"")</f>
        <v/>
      </c>
      <c r="X422" s="58" t="str">
        <f ca="1">IFERROR(__xludf.DUMMYFUNCTION("QUERY('Volunteer Survey'!R816)"),"")</f>
        <v/>
      </c>
      <c r="Y422" s="47"/>
      <c r="Z422" s="49"/>
      <c r="AA422" s="49"/>
      <c r="AB422" s="49"/>
      <c r="AC422" s="49"/>
      <c r="AD422" s="49"/>
      <c r="AE422" s="49"/>
      <c r="AF422" s="49"/>
      <c r="AG422" s="49"/>
      <c r="AH422" s="49"/>
      <c r="AI422" s="49"/>
      <c r="AJ422" s="49"/>
      <c r="AK422" s="49"/>
      <c r="AL422" s="49"/>
      <c r="AM422" s="49"/>
      <c r="AN422" s="49"/>
      <c r="AO422" s="49"/>
    </row>
    <row r="423" spans="1:41" ht="14">
      <c r="A423" s="49" t="str">
        <f ca="1">IFERROR(__xludf.DUMMYFUNCTION("QUERY('Volunteer Survey'!A817)"),"")</f>
        <v/>
      </c>
      <c r="B423" s="42" t="s">
        <v>322</v>
      </c>
      <c r="C423" s="47"/>
      <c r="D423" s="49"/>
      <c r="E423" s="49"/>
      <c r="F423" s="49" t="b">
        <v>0</v>
      </c>
      <c r="G423" s="49"/>
      <c r="H423" s="47"/>
      <c r="I423" s="47"/>
      <c r="J423" s="49"/>
      <c r="K423" s="49"/>
      <c r="L423" s="49" t="str">
        <f ca="1">IFERROR(__xludf.DUMMYFUNCTION("QUERY('Volunteer Survey'!B817)"),"")</f>
        <v/>
      </c>
      <c r="M423" s="49" t="str">
        <f ca="1">IFERROR(__xludf.DUMMYFUNCTION("QUERY('Volunteer Survey'!E817)"),"")</f>
        <v/>
      </c>
      <c r="N423" s="49" t="str">
        <f ca="1">IFERROR(__xludf.DUMMYFUNCTION("QUERY('Volunteer Survey'!F817)"),"")</f>
        <v/>
      </c>
      <c r="O423" s="42" t="str">
        <f ca="1">IFERROR(__xludf.DUMMYFUNCTION("QUERY('Volunteer Survey'!H817)"),"")</f>
        <v/>
      </c>
      <c r="P423" s="49" t="str">
        <f ca="1">IFERROR(__xludf.DUMMYFUNCTION("QUERY('Volunteer Survey'!I817)"),"")</f>
        <v/>
      </c>
      <c r="Q423" s="54" t="str">
        <f ca="1">IFERROR(__xludf.DUMMYFUNCTION("QUERY('Volunteer Survey'!J817)"),"")</f>
        <v/>
      </c>
      <c r="R423" s="49" t="str">
        <f ca="1">IFERROR(__xludf.DUMMYFUNCTION("QUERY('Volunteer Survey'!K817)"),"")</f>
        <v/>
      </c>
      <c r="S423" s="49" t="str">
        <f ca="1">IFERROR(__xludf.DUMMYFUNCTION("QUERY('Volunteer Survey'!L817)"),"")</f>
        <v/>
      </c>
      <c r="T423" s="49" t="str">
        <f ca="1">IFERROR(__xludf.DUMMYFUNCTION("QUERY('Volunteer Survey'!M817)"),"")</f>
        <v/>
      </c>
      <c r="U423" s="58" t="str">
        <f ca="1">IFERROR(__xludf.DUMMYFUNCTION("QUERY('Volunteer Survey'!N817)"),"")</f>
        <v/>
      </c>
      <c r="V423" s="49" t="str">
        <f ca="1">IFERROR(__xludf.DUMMYFUNCTION("QUERY('Volunteer Survey'!O817)"),"")</f>
        <v/>
      </c>
      <c r="W423" s="60" t="str">
        <f ca="1">IFERROR(__xludf.DUMMYFUNCTION("QUERY('Volunteer Survey'!P817)"),"")</f>
        <v/>
      </c>
      <c r="X423" s="58" t="str">
        <f ca="1">IFERROR(__xludf.DUMMYFUNCTION("QUERY('Volunteer Survey'!R817)"),"")</f>
        <v/>
      </c>
      <c r="Y423" s="47"/>
      <c r="Z423" s="49"/>
      <c r="AA423" s="49"/>
      <c r="AB423" s="49"/>
      <c r="AC423" s="49"/>
      <c r="AD423" s="49"/>
      <c r="AE423" s="49"/>
      <c r="AF423" s="49"/>
      <c r="AG423" s="49"/>
      <c r="AH423" s="49"/>
      <c r="AI423" s="49"/>
      <c r="AJ423" s="49"/>
      <c r="AK423" s="49"/>
      <c r="AL423" s="49"/>
      <c r="AM423" s="49"/>
      <c r="AN423" s="49"/>
      <c r="AO423" s="49"/>
    </row>
    <row r="424" spans="1:41" ht="14">
      <c r="A424" s="49" t="str">
        <f ca="1">IFERROR(__xludf.DUMMYFUNCTION("QUERY('Volunteer Survey'!A818)"),"")</f>
        <v/>
      </c>
      <c r="B424" s="42" t="s">
        <v>322</v>
      </c>
      <c r="C424" s="47"/>
      <c r="D424" s="49"/>
      <c r="E424" s="49"/>
      <c r="F424" s="49" t="b">
        <v>0</v>
      </c>
      <c r="G424" s="49"/>
      <c r="H424" s="47"/>
      <c r="I424" s="47"/>
      <c r="J424" s="49"/>
      <c r="K424" s="49"/>
      <c r="L424" s="49" t="str">
        <f ca="1">IFERROR(__xludf.DUMMYFUNCTION("QUERY('Volunteer Survey'!B818)"),"")</f>
        <v/>
      </c>
      <c r="M424" s="49" t="str">
        <f ca="1">IFERROR(__xludf.DUMMYFUNCTION("QUERY('Volunteer Survey'!E818)"),"")</f>
        <v/>
      </c>
      <c r="N424" s="49" t="str">
        <f ca="1">IFERROR(__xludf.DUMMYFUNCTION("QUERY('Volunteer Survey'!F818)"),"")</f>
        <v/>
      </c>
      <c r="O424" s="42" t="str">
        <f ca="1">IFERROR(__xludf.DUMMYFUNCTION("QUERY('Volunteer Survey'!H818)"),"")</f>
        <v/>
      </c>
      <c r="P424" s="49" t="str">
        <f ca="1">IFERROR(__xludf.DUMMYFUNCTION("QUERY('Volunteer Survey'!I818)"),"")</f>
        <v/>
      </c>
      <c r="Q424" s="54" t="str">
        <f ca="1">IFERROR(__xludf.DUMMYFUNCTION("QUERY('Volunteer Survey'!J818)"),"")</f>
        <v/>
      </c>
      <c r="R424" s="49" t="str">
        <f ca="1">IFERROR(__xludf.DUMMYFUNCTION("QUERY('Volunteer Survey'!K818)"),"")</f>
        <v/>
      </c>
      <c r="S424" s="49" t="str">
        <f ca="1">IFERROR(__xludf.DUMMYFUNCTION("QUERY('Volunteer Survey'!L818)"),"")</f>
        <v/>
      </c>
      <c r="T424" s="49" t="str">
        <f ca="1">IFERROR(__xludf.DUMMYFUNCTION("QUERY('Volunteer Survey'!M818)"),"")</f>
        <v/>
      </c>
      <c r="U424" s="58" t="str">
        <f ca="1">IFERROR(__xludf.DUMMYFUNCTION("QUERY('Volunteer Survey'!N818)"),"")</f>
        <v/>
      </c>
      <c r="V424" s="49" t="str">
        <f ca="1">IFERROR(__xludf.DUMMYFUNCTION("QUERY('Volunteer Survey'!O818)"),"")</f>
        <v/>
      </c>
      <c r="W424" s="60" t="str">
        <f ca="1">IFERROR(__xludf.DUMMYFUNCTION("QUERY('Volunteer Survey'!P818)"),"")</f>
        <v/>
      </c>
      <c r="X424" s="58" t="str">
        <f ca="1">IFERROR(__xludf.DUMMYFUNCTION("QUERY('Volunteer Survey'!R818)"),"")</f>
        <v/>
      </c>
      <c r="Y424" s="47"/>
      <c r="Z424" s="49"/>
      <c r="AA424" s="49"/>
      <c r="AB424" s="49"/>
      <c r="AC424" s="49"/>
      <c r="AD424" s="49"/>
      <c r="AE424" s="49"/>
      <c r="AF424" s="49"/>
      <c r="AG424" s="49"/>
      <c r="AH424" s="49"/>
      <c r="AI424" s="49"/>
      <c r="AJ424" s="49"/>
      <c r="AK424" s="49"/>
      <c r="AL424" s="49"/>
      <c r="AM424" s="49"/>
      <c r="AN424" s="49"/>
      <c r="AO424" s="49"/>
    </row>
    <row r="425" spans="1:41" ht="14">
      <c r="A425" s="49" t="str">
        <f ca="1">IFERROR(__xludf.DUMMYFUNCTION("QUERY('Volunteer Survey'!A819)"),"")</f>
        <v/>
      </c>
      <c r="B425" s="42" t="s">
        <v>322</v>
      </c>
      <c r="C425" s="47"/>
      <c r="D425" s="49"/>
      <c r="E425" s="49"/>
      <c r="F425" s="49" t="b">
        <v>0</v>
      </c>
      <c r="G425" s="49"/>
      <c r="H425" s="47"/>
      <c r="I425" s="47"/>
      <c r="J425" s="49"/>
      <c r="K425" s="49"/>
      <c r="L425" s="49" t="str">
        <f ca="1">IFERROR(__xludf.DUMMYFUNCTION("QUERY('Volunteer Survey'!B819)"),"")</f>
        <v/>
      </c>
      <c r="M425" s="49" t="str">
        <f ca="1">IFERROR(__xludf.DUMMYFUNCTION("QUERY('Volunteer Survey'!E819)"),"")</f>
        <v/>
      </c>
      <c r="N425" s="49" t="str">
        <f ca="1">IFERROR(__xludf.DUMMYFUNCTION("QUERY('Volunteer Survey'!F819)"),"")</f>
        <v/>
      </c>
      <c r="O425" s="42" t="str">
        <f ca="1">IFERROR(__xludf.DUMMYFUNCTION("QUERY('Volunteer Survey'!H819)"),"")</f>
        <v/>
      </c>
      <c r="P425" s="49" t="str">
        <f ca="1">IFERROR(__xludf.DUMMYFUNCTION("QUERY('Volunteer Survey'!I819)"),"")</f>
        <v/>
      </c>
      <c r="Q425" s="54" t="str">
        <f ca="1">IFERROR(__xludf.DUMMYFUNCTION("QUERY('Volunteer Survey'!J819)"),"")</f>
        <v/>
      </c>
      <c r="R425" s="49" t="str">
        <f ca="1">IFERROR(__xludf.DUMMYFUNCTION("QUERY('Volunteer Survey'!K819)"),"")</f>
        <v/>
      </c>
      <c r="S425" s="49" t="str">
        <f ca="1">IFERROR(__xludf.DUMMYFUNCTION("QUERY('Volunteer Survey'!L819)"),"")</f>
        <v/>
      </c>
      <c r="T425" s="49" t="str">
        <f ca="1">IFERROR(__xludf.DUMMYFUNCTION("QUERY('Volunteer Survey'!M819)"),"")</f>
        <v/>
      </c>
      <c r="U425" s="58" t="str">
        <f ca="1">IFERROR(__xludf.DUMMYFUNCTION("QUERY('Volunteer Survey'!N819)"),"")</f>
        <v/>
      </c>
      <c r="V425" s="49" t="str">
        <f ca="1">IFERROR(__xludf.DUMMYFUNCTION("QUERY('Volunteer Survey'!O819)"),"")</f>
        <v/>
      </c>
      <c r="W425" s="60" t="str">
        <f ca="1">IFERROR(__xludf.DUMMYFUNCTION("QUERY('Volunteer Survey'!P819)"),"")</f>
        <v/>
      </c>
      <c r="X425" s="58" t="str">
        <f ca="1">IFERROR(__xludf.DUMMYFUNCTION("QUERY('Volunteer Survey'!R819)"),"")</f>
        <v/>
      </c>
      <c r="Y425" s="47"/>
      <c r="Z425" s="49"/>
      <c r="AA425" s="49"/>
      <c r="AB425" s="49"/>
      <c r="AC425" s="49"/>
      <c r="AD425" s="49"/>
      <c r="AE425" s="49"/>
      <c r="AF425" s="49"/>
      <c r="AG425" s="49"/>
      <c r="AH425" s="49"/>
      <c r="AI425" s="49"/>
      <c r="AJ425" s="49"/>
      <c r="AK425" s="49"/>
      <c r="AL425" s="49"/>
      <c r="AM425" s="49"/>
      <c r="AN425" s="49"/>
      <c r="AO425" s="49"/>
    </row>
    <row r="426" spans="1:41" ht="14">
      <c r="A426" s="49" t="str">
        <f ca="1">IFERROR(__xludf.DUMMYFUNCTION("QUERY('Volunteer Survey'!A820)"),"")</f>
        <v/>
      </c>
      <c r="B426" s="42" t="s">
        <v>322</v>
      </c>
      <c r="C426" s="47"/>
      <c r="D426" s="49"/>
      <c r="E426" s="49"/>
      <c r="F426" s="49" t="b">
        <v>0</v>
      </c>
      <c r="G426" s="49"/>
      <c r="H426" s="47"/>
      <c r="I426" s="47"/>
      <c r="J426" s="49"/>
      <c r="K426" s="49"/>
      <c r="L426" s="49" t="str">
        <f ca="1">IFERROR(__xludf.DUMMYFUNCTION("QUERY('Volunteer Survey'!B820)"),"")</f>
        <v/>
      </c>
      <c r="M426" s="49" t="str">
        <f ca="1">IFERROR(__xludf.DUMMYFUNCTION("QUERY('Volunteer Survey'!E820)"),"")</f>
        <v/>
      </c>
      <c r="N426" s="49" t="str">
        <f ca="1">IFERROR(__xludf.DUMMYFUNCTION("QUERY('Volunteer Survey'!F820)"),"")</f>
        <v/>
      </c>
      <c r="O426" s="42" t="str">
        <f ca="1">IFERROR(__xludf.DUMMYFUNCTION("QUERY('Volunteer Survey'!H820)"),"")</f>
        <v/>
      </c>
      <c r="P426" s="49" t="str">
        <f ca="1">IFERROR(__xludf.DUMMYFUNCTION("QUERY('Volunteer Survey'!I820)"),"")</f>
        <v/>
      </c>
      <c r="Q426" s="54" t="str">
        <f ca="1">IFERROR(__xludf.DUMMYFUNCTION("QUERY('Volunteer Survey'!J820)"),"")</f>
        <v/>
      </c>
      <c r="R426" s="49" t="str">
        <f ca="1">IFERROR(__xludf.DUMMYFUNCTION("QUERY('Volunteer Survey'!K820)"),"")</f>
        <v/>
      </c>
      <c r="S426" s="49" t="str">
        <f ca="1">IFERROR(__xludf.DUMMYFUNCTION("QUERY('Volunteer Survey'!L820)"),"")</f>
        <v/>
      </c>
      <c r="T426" s="49" t="str">
        <f ca="1">IFERROR(__xludf.DUMMYFUNCTION("QUERY('Volunteer Survey'!M820)"),"")</f>
        <v/>
      </c>
      <c r="U426" s="58" t="str">
        <f ca="1">IFERROR(__xludf.DUMMYFUNCTION("QUERY('Volunteer Survey'!N820)"),"")</f>
        <v/>
      </c>
      <c r="V426" s="49" t="str">
        <f ca="1">IFERROR(__xludf.DUMMYFUNCTION("QUERY('Volunteer Survey'!O820)"),"")</f>
        <v/>
      </c>
      <c r="W426" s="60" t="str">
        <f ca="1">IFERROR(__xludf.DUMMYFUNCTION("QUERY('Volunteer Survey'!P820)"),"")</f>
        <v/>
      </c>
      <c r="X426" s="58" t="str">
        <f ca="1">IFERROR(__xludf.DUMMYFUNCTION("QUERY('Volunteer Survey'!R820)"),"")</f>
        <v/>
      </c>
      <c r="Y426" s="47"/>
      <c r="Z426" s="49"/>
      <c r="AA426" s="49"/>
      <c r="AB426" s="49"/>
      <c r="AC426" s="49"/>
      <c r="AD426" s="49"/>
      <c r="AE426" s="49"/>
      <c r="AF426" s="49"/>
      <c r="AG426" s="49"/>
      <c r="AH426" s="49"/>
      <c r="AI426" s="49"/>
      <c r="AJ426" s="49"/>
      <c r="AK426" s="49"/>
      <c r="AL426" s="49"/>
      <c r="AM426" s="49"/>
      <c r="AN426" s="49"/>
      <c r="AO426" s="49"/>
    </row>
    <row r="427" spans="1:41" ht="14">
      <c r="A427" s="49" t="str">
        <f ca="1">IFERROR(__xludf.DUMMYFUNCTION("QUERY('Volunteer Survey'!A821)"),"")</f>
        <v/>
      </c>
      <c r="B427" s="42" t="s">
        <v>322</v>
      </c>
      <c r="C427" s="47"/>
      <c r="D427" s="49"/>
      <c r="E427" s="49"/>
      <c r="F427" s="49" t="b">
        <v>0</v>
      </c>
      <c r="G427" s="49"/>
      <c r="H427" s="47"/>
      <c r="I427" s="47"/>
      <c r="J427" s="49"/>
      <c r="K427" s="49"/>
      <c r="L427" s="49" t="str">
        <f ca="1">IFERROR(__xludf.DUMMYFUNCTION("QUERY('Volunteer Survey'!B821)"),"")</f>
        <v/>
      </c>
      <c r="M427" s="49" t="str">
        <f ca="1">IFERROR(__xludf.DUMMYFUNCTION("QUERY('Volunteer Survey'!E821)"),"")</f>
        <v/>
      </c>
      <c r="N427" s="49" t="str">
        <f ca="1">IFERROR(__xludf.DUMMYFUNCTION("QUERY('Volunteer Survey'!F821)"),"")</f>
        <v/>
      </c>
      <c r="O427" s="42" t="str">
        <f ca="1">IFERROR(__xludf.DUMMYFUNCTION("QUERY('Volunteer Survey'!H821)"),"")</f>
        <v/>
      </c>
      <c r="P427" s="49" t="str">
        <f ca="1">IFERROR(__xludf.DUMMYFUNCTION("QUERY('Volunteer Survey'!I821)"),"")</f>
        <v/>
      </c>
      <c r="Q427" s="54" t="str">
        <f ca="1">IFERROR(__xludf.DUMMYFUNCTION("QUERY('Volunteer Survey'!J821)"),"")</f>
        <v/>
      </c>
      <c r="R427" s="49" t="str">
        <f ca="1">IFERROR(__xludf.DUMMYFUNCTION("QUERY('Volunteer Survey'!K821)"),"")</f>
        <v/>
      </c>
      <c r="S427" s="49" t="str">
        <f ca="1">IFERROR(__xludf.DUMMYFUNCTION("QUERY('Volunteer Survey'!L821)"),"")</f>
        <v/>
      </c>
      <c r="T427" s="49" t="str">
        <f ca="1">IFERROR(__xludf.DUMMYFUNCTION("QUERY('Volunteer Survey'!M821)"),"")</f>
        <v/>
      </c>
      <c r="U427" s="58" t="str">
        <f ca="1">IFERROR(__xludf.DUMMYFUNCTION("QUERY('Volunteer Survey'!N821)"),"")</f>
        <v/>
      </c>
      <c r="V427" s="49" t="str">
        <f ca="1">IFERROR(__xludf.DUMMYFUNCTION("QUERY('Volunteer Survey'!O821)"),"")</f>
        <v/>
      </c>
      <c r="W427" s="60" t="str">
        <f ca="1">IFERROR(__xludf.DUMMYFUNCTION("QUERY('Volunteer Survey'!P821)"),"")</f>
        <v/>
      </c>
      <c r="X427" s="58" t="str">
        <f ca="1">IFERROR(__xludf.DUMMYFUNCTION("QUERY('Volunteer Survey'!R821)"),"")</f>
        <v/>
      </c>
      <c r="Y427" s="47"/>
      <c r="Z427" s="49"/>
      <c r="AA427" s="49"/>
      <c r="AB427" s="49"/>
      <c r="AC427" s="49"/>
      <c r="AD427" s="49"/>
      <c r="AE427" s="49"/>
      <c r="AF427" s="49"/>
      <c r="AG427" s="49"/>
      <c r="AH427" s="49"/>
      <c r="AI427" s="49"/>
      <c r="AJ427" s="49"/>
      <c r="AK427" s="49"/>
      <c r="AL427" s="49"/>
      <c r="AM427" s="49"/>
      <c r="AN427" s="49"/>
      <c r="AO427" s="49"/>
    </row>
    <row r="428" spans="1:41" ht="14">
      <c r="A428" s="49" t="str">
        <f ca="1">IFERROR(__xludf.DUMMYFUNCTION("QUERY('Volunteer Survey'!A822)"),"")</f>
        <v/>
      </c>
      <c r="B428" s="42" t="s">
        <v>322</v>
      </c>
      <c r="C428" s="47"/>
      <c r="D428" s="49"/>
      <c r="E428" s="49"/>
      <c r="F428" s="49" t="b">
        <v>0</v>
      </c>
      <c r="G428" s="49"/>
      <c r="H428" s="47"/>
      <c r="I428" s="47"/>
      <c r="J428" s="49"/>
      <c r="K428" s="49"/>
      <c r="L428" s="49" t="str">
        <f ca="1">IFERROR(__xludf.DUMMYFUNCTION("QUERY('Volunteer Survey'!B822)"),"")</f>
        <v/>
      </c>
      <c r="M428" s="49" t="str">
        <f ca="1">IFERROR(__xludf.DUMMYFUNCTION("QUERY('Volunteer Survey'!E822)"),"")</f>
        <v/>
      </c>
      <c r="N428" s="49" t="str">
        <f ca="1">IFERROR(__xludf.DUMMYFUNCTION("QUERY('Volunteer Survey'!F822)"),"")</f>
        <v/>
      </c>
      <c r="O428" s="42" t="str">
        <f ca="1">IFERROR(__xludf.DUMMYFUNCTION("QUERY('Volunteer Survey'!H822)"),"")</f>
        <v/>
      </c>
      <c r="P428" s="49" t="str">
        <f ca="1">IFERROR(__xludf.DUMMYFUNCTION("QUERY('Volunteer Survey'!I822)"),"")</f>
        <v/>
      </c>
      <c r="Q428" s="54" t="str">
        <f ca="1">IFERROR(__xludf.DUMMYFUNCTION("QUERY('Volunteer Survey'!J822)"),"")</f>
        <v/>
      </c>
      <c r="R428" s="49" t="str">
        <f ca="1">IFERROR(__xludf.DUMMYFUNCTION("QUERY('Volunteer Survey'!K822)"),"")</f>
        <v/>
      </c>
      <c r="S428" s="49" t="str">
        <f ca="1">IFERROR(__xludf.DUMMYFUNCTION("QUERY('Volunteer Survey'!L822)"),"")</f>
        <v/>
      </c>
      <c r="T428" s="49" t="str">
        <f ca="1">IFERROR(__xludf.DUMMYFUNCTION("QUERY('Volunteer Survey'!M822)"),"")</f>
        <v/>
      </c>
      <c r="U428" s="58" t="str">
        <f ca="1">IFERROR(__xludf.DUMMYFUNCTION("QUERY('Volunteer Survey'!N822)"),"")</f>
        <v/>
      </c>
      <c r="V428" s="49" t="str">
        <f ca="1">IFERROR(__xludf.DUMMYFUNCTION("QUERY('Volunteer Survey'!O822)"),"")</f>
        <v/>
      </c>
      <c r="W428" s="60" t="str">
        <f ca="1">IFERROR(__xludf.DUMMYFUNCTION("QUERY('Volunteer Survey'!P822)"),"")</f>
        <v/>
      </c>
      <c r="X428" s="58" t="str">
        <f ca="1">IFERROR(__xludf.DUMMYFUNCTION("QUERY('Volunteer Survey'!R822)"),"")</f>
        <v/>
      </c>
      <c r="Y428" s="47"/>
      <c r="Z428" s="49"/>
      <c r="AA428" s="49"/>
      <c r="AB428" s="49"/>
      <c r="AC428" s="49"/>
      <c r="AD428" s="49"/>
      <c r="AE428" s="49"/>
      <c r="AF428" s="49"/>
      <c r="AG428" s="49"/>
      <c r="AH428" s="49"/>
      <c r="AI428" s="49"/>
      <c r="AJ428" s="49"/>
      <c r="AK428" s="49"/>
      <c r="AL428" s="49"/>
      <c r="AM428" s="49"/>
      <c r="AN428" s="49"/>
      <c r="AO428" s="49"/>
    </row>
    <row r="429" spans="1:41" ht="14">
      <c r="A429" s="49" t="str">
        <f ca="1">IFERROR(__xludf.DUMMYFUNCTION("QUERY('Volunteer Survey'!A823)"),"")</f>
        <v/>
      </c>
      <c r="B429" s="42" t="s">
        <v>322</v>
      </c>
      <c r="C429" s="47"/>
      <c r="D429" s="49"/>
      <c r="E429" s="49"/>
      <c r="F429" s="49" t="b">
        <v>0</v>
      </c>
      <c r="G429" s="49"/>
      <c r="H429" s="47"/>
      <c r="I429" s="47"/>
      <c r="J429" s="49"/>
      <c r="K429" s="49"/>
      <c r="L429" s="49" t="str">
        <f ca="1">IFERROR(__xludf.DUMMYFUNCTION("QUERY('Volunteer Survey'!B823)"),"")</f>
        <v/>
      </c>
      <c r="M429" s="49" t="str">
        <f ca="1">IFERROR(__xludf.DUMMYFUNCTION("QUERY('Volunteer Survey'!E823)"),"")</f>
        <v/>
      </c>
      <c r="N429" s="49" t="str">
        <f ca="1">IFERROR(__xludf.DUMMYFUNCTION("QUERY('Volunteer Survey'!F823)"),"")</f>
        <v/>
      </c>
      <c r="O429" s="42" t="str">
        <f ca="1">IFERROR(__xludf.DUMMYFUNCTION("QUERY('Volunteer Survey'!H823)"),"")</f>
        <v/>
      </c>
      <c r="P429" s="49" t="str">
        <f ca="1">IFERROR(__xludf.DUMMYFUNCTION("QUERY('Volunteer Survey'!I823)"),"")</f>
        <v/>
      </c>
      <c r="Q429" s="54" t="str">
        <f ca="1">IFERROR(__xludf.DUMMYFUNCTION("QUERY('Volunteer Survey'!J823)"),"")</f>
        <v/>
      </c>
      <c r="R429" s="49" t="str">
        <f ca="1">IFERROR(__xludf.DUMMYFUNCTION("QUERY('Volunteer Survey'!K823)"),"")</f>
        <v/>
      </c>
      <c r="S429" s="49" t="str">
        <f ca="1">IFERROR(__xludf.DUMMYFUNCTION("QUERY('Volunteer Survey'!L823)"),"")</f>
        <v/>
      </c>
      <c r="T429" s="49" t="str">
        <f ca="1">IFERROR(__xludf.DUMMYFUNCTION("QUERY('Volunteer Survey'!M823)"),"")</f>
        <v/>
      </c>
      <c r="U429" s="58" t="str">
        <f ca="1">IFERROR(__xludf.DUMMYFUNCTION("QUERY('Volunteer Survey'!N823)"),"")</f>
        <v/>
      </c>
      <c r="V429" s="49" t="str">
        <f ca="1">IFERROR(__xludf.DUMMYFUNCTION("QUERY('Volunteer Survey'!O823)"),"")</f>
        <v/>
      </c>
      <c r="W429" s="60" t="str">
        <f ca="1">IFERROR(__xludf.DUMMYFUNCTION("QUERY('Volunteer Survey'!P823)"),"")</f>
        <v/>
      </c>
      <c r="X429" s="58" t="str">
        <f ca="1">IFERROR(__xludf.DUMMYFUNCTION("QUERY('Volunteer Survey'!R823)"),"")</f>
        <v/>
      </c>
      <c r="Y429" s="47"/>
      <c r="Z429" s="49"/>
      <c r="AA429" s="49"/>
      <c r="AB429" s="49"/>
      <c r="AC429" s="49"/>
      <c r="AD429" s="49"/>
      <c r="AE429" s="49"/>
      <c r="AF429" s="49"/>
      <c r="AG429" s="49"/>
      <c r="AH429" s="49"/>
      <c r="AI429" s="49"/>
      <c r="AJ429" s="49"/>
      <c r="AK429" s="49"/>
      <c r="AL429" s="49"/>
      <c r="AM429" s="49"/>
      <c r="AN429" s="49"/>
      <c r="AO429" s="49"/>
    </row>
    <row r="430" spans="1:41" ht="14">
      <c r="A430" s="49" t="str">
        <f ca="1">IFERROR(__xludf.DUMMYFUNCTION("QUERY('Volunteer Survey'!A824)"),"")</f>
        <v/>
      </c>
      <c r="B430" s="42" t="s">
        <v>322</v>
      </c>
      <c r="C430" s="47"/>
      <c r="D430" s="49"/>
      <c r="E430" s="49"/>
      <c r="F430" s="49" t="b">
        <v>0</v>
      </c>
      <c r="G430" s="49"/>
      <c r="H430" s="47"/>
      <c r="I430" s="47"/>
      <c r="J430" s="49"/>
      <c r="K430" s="49"/>
      <c r="L430" s="49" t="str">
        <f ca="1">IFERROR(__xludf.DUMMYFUNCTION("QUERY('Volunteer Survey'!B824)"),"")</f>
        <v/>
      </c>
      <c r="M430" s="49" t="str">
        <f ca="1">IFERROR(__xludf.DUMMYFUNCTION("QUERY('Volunteer Survey'!E824)"),"")</f>
        <v/>
      </c>
      <c r="N430" s="49" t="str">
        <f ca="1">IFERROR(__xludf.DUMMYFUNCTION("QUERY('Volunteer Survey'!F824)"),"")</f>
        <v/>
      </c>
      <c r="O430" s="42" t="str">
        <f ca="1">IFERROR(__xludf.DUMMYFUNCTION("QUERY('Volunteer Survey'!H824)"),"")</f>
        <v/>
      </c>
      <c r="P430" s="49" t="str">
        <f ca="1">IFERROR(__xludf.DUMMYFUNCTION("QUERY('Volunteer Survey'!I824)"),"")</f>
        <v/>
      </c>
      <c r="Q430" s="54" t="str">
        <f ca="1">IFERROR(__xludf.DUMMYFUNCTION("QUERY('Volunteer Survey'!J824)"),"")</f>
        <v/>
      </c>
      <c r="R430" s="49" t="str">
        <f ca="1">IFERROR(__xludf.DUMMYFUNCTION("QUERY('Volunteer Survey'!K824)"),"")</f>
        <v/>
      </c>
      <c r="S430" s="49" t="str">
        <f ca="1">IFERROR(__xludf.DUMMYFUNCTION("QUERY('Volunteer Survey'!L824)"),"")</f>
        <v/>
      </c>
      <c r="T430" s="49" t="str">
        <f ca="1">IFERROR(__xludf.DUMMYFUNCTION("QUERY('Volunteer Survey'!M824)"),"")</f>
        <v/>
      </c>
      <c r="U430" s="58" t="str">
        <f ca="1">IFERROR(__xludf.DUMMYFUNCTION("QUERY('Volunteer Survey'!N824)"),"")</f>
        <v/>
      </c>
      <c r="V430" s="49" t="str">
        <f ca="1">IFERROR(__xludf.DUMMYFUNCTION("QUERY('Volunteer Survey'!O824)"),"")</f>
        <v/>
      </c>
      <c r="W430" s="60" t="str">
        <f ca="1">IFERROR(__xludf.DUMMYFUNCTION("QUERY('Volunteer Survey'!P824)"),"")</f>
        <v/>
      </c>
      <c r="X430" s="58" t="str">
        <f ca="1">IFERROR(__xludf.DUMMYFUNCTION("QUERY('Volunteer Survey'!R824)"),"")</f>
        <v/>
      </c>
      <c r="Y430" s="47"/>
      <c r="Z430" s="49"/>
      <c r="AA430" s="49"/>
      <c r="AB430" s="49"/>
      <c r="AC430" s="49"/>
      <c r="AD430" s="49"/>
      <c r="AE430" s="49"/>
      <c r="AF430" s="49"/>
      <c r="AG430" s="49"/>
      <c r="AH430" s="49"/>
      <c r="AI430" s="49"/>
      <c r="AJ430" s="49"/>
      <c r="AK430" s="49"/>
      <c r="AL430" s="49"/>
      <c r="AM430" s="49"/>
      <c r="AN430" s="49"/>
      <c r="AO430" s="49"/>
    </row>
    <row r="431" spans="1:41" ht="14">
      <c r="A431" s="49" t="str">
        <f ca="1">IFERROR(__xludf.DUMMYFUNCTION("QUERY('Volunteer Survey'!A825)"),"")</f>
        <v/>
      </c>
      <c r="B431" s="42" t="s">
        <v>322</v>
      </c>
      <c r="C431" s="47"/>
      <c r="D431" s="49"/>
      <c r="E431" s="49"/>
      <c r="F431" s="49" t="b">
        <v>0</v>
      </c>
      <c r="G431" s="49"/>
      <c r="H431" s="47"/>
      <c r="I431" s="47"/>
      <c r="J431" s="49"/>
      <c r="K431" s="49"/>
      <c r="L431" s="49" t="str">
        <f ca="1">IFERROR(__xludf.DUMMYFUNCTION("QUERY('Volunteer Survey'!B825)"),"")</f>
        <v/>
      </c>
      <c r="M431" s="49" t="str">
        <f ca="1">IFERROR(__xludf.DUMMYFUNCTION("QUERY('Volunteer Survey'!E825)"),"")</f>
        <v/>
      </c>
      <c r="N431" s="49" t="str">
        <f ca="1">IFERROR(__xludf.DUMMYFUNCTION("QUERY('Volunteer Survey'!F825)"),"")</f>
        <v/>
      </c>
      <c r="O431" s="42" t="str">
        <f ca="1">IFERROR(__xludf.DUMMYFUNCTION("QUERY('Volunteer Survey'!H825)"),"")</f>
        <v/>
      </c>
      <c r="P431" s="49" t="str">
        <f ca="1">IFERROR(__xludf.DUMMYFUNCTION("QUERY('Volunteer Survey'!I825)"),"")</f>
        <v/>
      </c>
      <c r="Q431" s="54" t="str">
        <f ca="1">IFERROR(__xludf.DUMMYFUNCTION("QUERY('Volunteer Survey'!J825)"),"")</f>
        <v/>
      </c>
      <c r="R431" s="49" t="str">
        <f ca="1">IFERROR(__xludf.DUMMYFUNCTION("QUERY('Volunteer Survey'!K825)"),"")</f>
        <v/>
      </c>
      <c r="S431" s="49" t="str">
        <f ca="1">IFERROR(__xludf.DUMMYFUNCTION("QUERY('Volunteer Survey'!L825)"),"")</f>
        <v/>
      </c>
      <c r="T431" s="49" t="str">
        <f ca="1">IFERROR(__xludf.DUMMYFUNCTION("QUERY('Volunteer Survey'!M825)"),"")</f>
        <v/>
      </c>
      <c r="U431" s="58" t="str">
        <f ca="1">IFERROR(__xludf.DUMMYFUNCTION("QUERY('Volunteer Survey'!N825)"),"")</f>
        <v/>
      </c>
      <c r="V431" s="49" t="str">
        <f ca="1">IFERROR(__xludf.DUMMYFUNCTION("QUERY('Volunteer Survey'!O825)"),"")</f>
        <v/>
      </c>
      <c r="W431" s="60" t="str">
        <f ca="1">IFERROR(__xludf.DUMMYFUNCTION("QUERY('Volunteer Survey'!P825)"),"")</f>
        <v/>
      </c>
      <c r="X431" s="58" t="str">
        <f ca="1">IFERROR(__xludf.DUMMYFUNCTION("QUERY('Volunteer Survey'!R825)"),"")</f>
        <v/>
      </c>
      <c r="Y431" s="47"/>
      <c r="Z431" s="49"/>
      <c r="AA431" s="49"/>
      <c r="AB431" s="49"/>
      <c r="AC431" s="49"/>
      <c r="AD431" s="49"/>
      <c r="AE431" s="49"/>
      <c r="AF431" s="49"/>
      <c r="AG431" s="49"/>
      <c r="AH431" s="49"/>
      <c r="AI431" s="49"/>
      <c r="AJ431" s="49"/>
      <c r="AK431" s="49"/>
      <c r="AL431" s="49"/>
      <c r="AM431" s="49"/>
      <c r="AN431" s="49"/>
      <c r="AO431" s="49"/>
    </row>
    <row r="432" spans="1:41" ht="14">
      <c r="A432" s="49" t="str">
        <f ca="1">IFERROR(__xludf.DUMMYFUNCTION("QUERY('Volunteer Survey'!A826)"),"")</f>
        <v/>
      </c>
      <c r="B432" s="42" t="s">
        <v>322</v>
      </c>
      <c r="C432" s="47"/>
      <c r="D432" s="49"/>
      <c r="E432" s="49"/>
      <c r="F432" s="49" t="b">
        <v>0</v>
      </c>
      <c r="G432" s="49"/>
      <c r="H432" s="47"/>
      <c r="I432" s="47"/>
      <c r="J432" s="49"/>
      <c r="K432" s="49"/>
      <c r="L432" s="49" t="str">
        <f ca="1">IFERROR(__xludf.DUMMYFUNCTION("QUERY('Volunteer Survey'!B826)"),"")</f>
        <v/>
      </c>
      <c r="M432" s="49" t="str">
        <f ca="1">IFERROR(__xludf.DUMMYFUNCTION("QUERY('Volunteer Survey'!E826)"),"")</f>
        <v/>
      </c>
      <c r="N432" s="49" t="str">
        <f ca="1">IFERROR(__xludf.DUMMYFUNCTION("QUERY('Volunteer Survey'!F826)"),"")</f>
        <v/>
      </c>
      <c r="O432" s="42" t="str">
        <f ca="1">IFERROR(__xludf.DUMMYFUNCTION("QUERY('Volunteer Survey'!H826)"),"")</f>
        <v/>
      </c>
      <c r="P432" s="49" t="str">
        <f ca="1">IFERROR(__xludf.DUMMYFUNCTION("QUERY('Volunteer Survey'!I826)"),"")</f>
        <v/>
      </c>
      <c r="Q432" s="54" t="str">
        <f ca="1">IFERROR(__xludf.DUMMYFUNCTION("QUERY('Volunteer Survey'!J826)"),"")</f>
        <v/>
      </c>
      <c r="R432" s="49" t="str">
        <f ca="1">IFERROR(__xludf.DUMMYFUNCTION("QUERY('Volunteer Survey'!K826)"),"")</f>
        <v/>
      </c>
      <c r="S432" s="49" t="str">
        <f ca="1">IFERROR(__xludf.DUMMYFUNCTION("QUERY('Volunteer Survey'!L826)"),"")</f>
        <v/>
      </c>
      <c r="T432" s="49" t="str">
        <f ca="1">IFERROR(__xludf.DUMMYFUNCTION("QUERY('Volunteer Survey'!M826)"),"")</f>
        <v/>
      </c>
      <c r="U432" s="58" t="str">
        <f ca="1">IFERROR(__xludf.DUMMYFUNCTION("QUERY('Volunteer Survey'!N826)"),"")</f>
        <v/>
      </c>
      <c r="V432" s="49" t="str">
        <f ca="1">IFERROR(__xludf.DUMMYFUNCTION("QUERY('Volunteer Survey'!O826)"),"")</f>
        <v/>
      </c>
      <c r="W432" s="60" t="str">
        <f ca="1">IFERROR(__xludf.DUMMYFUNCTION("QUERY('Volunteer Survey'!P826)"),"")</f>
        <v/>
      </c>
      <c r="X432" s="58" t="str">
        <f ca="1">IFERROR(__xludf.DUMMYFUNCTION("QUERY('Volunteer Survey'!R826)"),"")</f>
        <v/>
      </c>
      <c r="Y432" s="47"/>
      <c r="Z432" s="49"/>
      <c r="AA432" s="49"/>
      <c r="AB432" s="49"/>
      <c r="AC432" s="49"/>
      <c r="AD432" s="49"/>
      <c r="AE432" s="49"/>
      <c r="AF432" s="49"/>
      <c r="AG432" s="49"/>
      <c r="AH432" s="49"/>
      <c r="AI432" s="49"/>
      <c r="AJ432" s="49"/>
      <c r="AK432" s="49"/>
      <c r="AL432" s="49"/>
      <c r="AM432" s="49"/>
      <c r="AN432" s="49"/>
      <c r="AO432" s="49"/>
    </row>
    <row r="433" spans="1:41" ht="14">
      <c r="A433" s="49" t="str">
        <f ca="1">IFERROR(__xludf.DUMMYFUNCTION("QUERY('Volunteer Survey'!A827)"),"")</f>
        <v/>
      </c>
      <c r="B433" s="42" t="s">
        <v>322</v>
      </c>
      <c r="C433" s="47"/>
      <c r="D433" s="49"/>
      <c r="E433" s="49"/>
      <c r="F433" s="49" t="b">
        <v>0</v>
      </c>
      <c r="G433" s="49"/>
      <c r="H433" s="47"/>
      <c r="I433" s="47"/>
      <c r="J433" s="49"/>
      <c r="K433" s="49"/>
      <c r="L433" s="49" t="str">
        <f ca="1">IFERROR(__xludf.DUMMYFUNCTION("QUERY('Volunteer Survey'!B827)"),"")</f>
        <v/>
      </c>
      <c r="M433" s="49" t="str">
        <f ca="1">IFERROR(__xludf.DUMMYFUNCTION("QUERY('Volunteer Survey'!E827)"),"")</f>
        <v/>
      </c>
      <c r="N433" s="49" t="str">
        <f ca="1">IFERROR(__xludf.DUMMYFUNCTION("QUERY('Volunteer Survey'!F827)"),"")</f>
        <v/>
      </c>
      <c r="O433" s="42" t="str">
        <f ca="1">IFERROR(__xludf.DUMMYFUNCTION("QUERY('Volunteer Survey'!H827)"),"")</f>
        <v/>
      </c>
      <c r="P433" s="49" t="str">
        <f ca="1">IFERROR(__xludf.DUMMYFUNCTION("QUERY('Volunteer Survey'!I827)"),"")</f>
        <v/>
      </c>
      <c r="Q433" s="54" t="str">
        <f ca="1">IFERROR(__xludf.DUMMYFUNCTION("QUERY('Volunteer Survey'!J827)"),"")</f>
        <v/>
      </c>
      <c r="R433" s="49" t="str">
        <f ca="1">IFERROR(__xludf.DUMMYFUNCTION("QUERY('Volunteer Survey'!K827)"),"")</f>
        <v/>
      </c>
      <c r="S433" s="49" t="str">
        <f ca="1">IFERROR(__xludf.DUMMYFUNCTION("QUERY('Volunteer Survey'!L827)"),"")</f>
        <v/>
      </c>
      <c r="T433" s="49" t="str">
        <f ca="1">IFERROR(__xludf.DUMMYFUNCTION("QUERY('Volunteer Survey'!M827)"),"")</f>
        <v/>
      </c>
      <c r="U433" s="58" t="str">
        <f ca="1">IFERROR(__xludf.DUMMYFUNCTION("QUERY('Volunteer Survey'!N827)"),"")</f>
        <v/>
      </c>
      <c r="V433" s="49" t="str">
        <f ca="1">IFERROR(__xludf.DUMMYFUNCTION("QUERY('Volunteer Survey'!O827)"),"")</f>
        <v/>
      </c>
      <c r="W433" s="60" t="str">
        <f ca="1">IFERROR(__xludf.DUMMYFUNCTION("QUERY('Volunteer Survey'!P827)"),"")</f>
        <v/>
      </c>
      <c r="X433" s="58" t="str">
        <f ca="1">IFERROR(__xludf.DUMMYFUNCTION("QUERY('Volunteer Survey'!R827)"),"")</f>
        <v/>
      </c>
      <c r="Y433" s="47"/>
      <c r="Z433" s="49"/>
      <c r="AA433" s="49"/>
      <c r="AB433" s="49"/>
      <c r="AC433" s="49"/>
      <c r="AD433" s="49"/>
      <c r="AE433" s="49"/>
      <c r="AF433" s="49"/>
      <c r="AG433" s="49"/>
      <c r="AH433" s="49"/>
      <c r="AI433" s="49"/>
      <c r="AJ433" s="49"/>
      <c r="AK433" s="49"/>
      <c r="AL433" s="49"/>
      <c r="AM433" s="49"/>
      <c r="AN433" s="49"/>
      <c r="AO433" s="49"/>
    </row>
    <row r="434" spans="1:41" ht="14">
      <c r="A434" s="49" t="str">
        <f ca="1">IFERROR(__xludf.DUMMYFUNCTION("QUERY('Volunteer Survey'!A828)"),"")</f>
        <v/>
      </c>
      <c r="B434" s="42" t="s">
        <v>322</v>
      </c>
      <c r="C434" s="47"/>
      <c r="D434" s="49"/>
      <c r="E434" s="49"/>
      <c r="F434" s="49" t="b">
        <v>0</v>
      </c>
      <c r="G434" s="49"/>
      <c r="H434" s="47"/>
      <c r="I434" s="47"/>
      <c r="J434" s="49"/>
      <c r="K434" s="49"/>
      <c r="L434" s="49" t="str">
        <f ca="1">IFERROR(__xludf.DUMMYFUNCTION("QUERY('Volunteer Survey'!B828)"),"")</f>
        <v/>
      </c>
      <c r="M434" s="49" t="str">
        <f ca="1">IFERROR(__xludf.DUMMYFUNCTION("QUERY('Volunteer Survey'!E828)"),"")</f>
        <v/>
      </c>
      <c r="N434" s="49" t="str">
        <f ca="1">IFERROR(__xludf.DUMMYFUNCTION("QUERY('Volunteer Survey'!F828)"),"")</f>
        <v/>
      </c>
      <c r="O434" s="42" t="str">
        <f ca="1">IFERROR(__xludf.DUMMYFUNCTION("QUERY('Volunteer Survey'!H828)"),"")</f>
        <v/>
      </c>
      <c r="P434" s="49" t="str">
        <f ca="1">IFERROR(__xludf.DUMMYFUNCTION("QUERY('Volunteer Survey'!I828)"),"")</f>
        <v/>
      </c>
      <c r="Q434" s="54" t="str">
        <f ca="1">IFERROR(__xludf.DUMMYFUNCTION("QUERY('Volunteer Survey'!J828)"),"")</f>
        <v/>
      </c>
      <c r="R434" s="49" t="str">
        <f ca="1">IFERROR(__xludf.DUMMYFUNCTION("QUERY('Volunteer Survey'!K828)"),"")</f>
        <v/>
      </c>
      <c r="S434" s="49" t="str">
        <f ca="1">IFERROR(__xludf.DUMMYFUNCTION("QUERY('Volunteer Survey'!L828)"),"")</f>
        <v/>
      </c>
      <c r="T434" s="49" t="str">
        <f ca="1">IFERROR(__xludf.DUMMYFUNCTION("QUERY('Volunteer Survey'!M828)"),"")</f>
        <v/>
      </c>
      <c r="U434" s="58" t="str">
        <f ca="1">IFERROR(__xludf.DUMMYFUNCTION("QUERY('Volunteer Survey'!N828)"),"")</f>
        <v/>
      </c>
      <c r="V434" s="49" t="str">
        <f ca="1">IFERROR(__xludf.DUMMYFUNCTION("QUERY('Volunteer Survey'!O828)"),"")</f>
        <v/>
      </c>
      <c r="W434" s="60" t="str">
        <f ca="1">IFERROR(__xludf.DUMMYFUNCTION("QUERY('Volunteer Survey'!P828)"),"")</f>
        <v/>
      </c>
      <c r="X434" s="58" t="str">
        <f ca="1">IFERROR(__xludf.DUMMYFUNCTION("QUERY('Volunteer Survey'!R828)"),"")</f>
        <v/>
      </c>
      <c r="Y434" s="47"/>
      <c r="Z434" s="49"/>
      <c r="AA434" s="49"/>
      <c r="AB434" s="49"/>
      <c r="AC434" s="49"/>
      <c r="AD434" s="49"/>
      <c r="AE434" s="49"/>
      <c r="AF434" s="49"/>
      <c r="AG434" s="49"/>
      <c r="AH434" s="49"/>
      <c r="AI434" s="49"/>
      <c r="AJ434" s="49"/>
      <c r="AK434" s="49"/>
      <c r="AL434" s="49"/>
      <c r="AM434" s="49"/>
      <c r="AN434" s="49"/>
      <c r="AO434" s="49"/>
    </row>
    <row r="435" spans="1:41" ht="14">
      <c r="A435" s="49" t="str">
        <f ca="1">IFERROR(__xludf.DUMMYFUNCTION("QUERY('Volunteer Survey'!A829)"),"")</f>
        <v/>
      </c>
      <c r="B435" s="42" t="s">
        <v>322</v>
      </c>
      <c r="C435" s="47"/>
      <c r="D435" s="49"/>
      <c r="E435" s="49"/>
      <c r="F435" s="49" t="b">
        <v>0</v>
      </c>
      <c r="G435" s="49"/>
      <c r="H435" s="47"/>
      <c r="I435" s="47"/>
      <c r="J435" s="49"/>
      <c r="K435" s="49"/>
      <c r="L435" s="49" t="str">
        <f ca="1">IFERROR(__xludf.DUMMYFUNCTION("QUERY('Volunteer Survey'!B829)"),"")</f>
        <v/>
      </c>
      <c r="M435" s="49" t="str">
        <f ca="1">IFERROR(__xludf.DUMMYFUNCTION("QUERY('Volunteer Survey'!E829)"),"")</f>
        <v/>
      </c>
      <c r="N435" s="49" t="str">
        <f ca="1">IFERROR(__xludf.DUMMYFUNCTION("QUERY('Volunteer Survey'!F829)"),"")</f>
        <v/>
      </c>
      <c r="O435" s="42" t="str">
        <f ca="1">IFERROR(__xludf.DUMMYFUNCTION("QUERY('Volunteer Survey'!H829)"),"")</f>
        <v/>
      </c>
      <c r="P435" s="49" t="str">
        <f ca="1">IFERROR(__xludf.DUMMYFUNCTION("QUERY('Volunteer Survey'!I829)"),"")</f>
        <v/>
      </c>
      <c r="Q435" s="54" t="str">
        <f ca="1">IFERROR(__xludf.DUMMYFUNCTION("QUERY('Volunteer Survey'!J829)"),"")</f>
        <v/>
      </c>
      <c r="R435" s="49" t="str">
        <f ca="1">IFERROR(__xludf.DUMMYFUNCTION("QUERY('Volunteer Survey'!K829)"),"")</f>
        <v/>
      </c>
      <c r="S435" s="49" t="str">
        <f ca="1">IFERROR(__xludf.DUMMYFUNCTION("QUERY('Volunteer Survey'!L829)"),"")</f>
        <v/>
      </c>
      <c r="T435" s="49" t="str">
        <f ca="1">IFERROR(__xludf.DUMMYFUNCTION("QUERY('Volunteer Survey'!M829)"),"")</f>
        <v/>
      </c>
      <c r="U435" s="58" t="str">
        <f ca="1">IFERROR(__xludf.DUMMYFUNCTION("QUERY('Volunteer Survey'!N829)"),"")</f>
        <v/>
      </c>
      <c r="V435" s="49" t="str">
        <f ca="1">IFERROR(__xludf.DUMMYFUNCTION("QUERY('Volunteer Survey'!O829)"),"")</f>
        <v/>
      </c>
      <c r="W435" s="60" t="str">
        <f ca="1">IFERROR(__xludf.DUMMYFUNCTION("QUERY('Volunteer Survey'!P829)"),"")</f>
        <v/>
      </c>
      <c r="X435" s="58" t="str">
        <f ca="1">IFERROR(__xludf.DUMMYFUNCTION("QUERY('Volunteer Survey'!R829)"),"")</f>
        <v/>
      </c>
      <c r="Y435" s="47"/>
      <c r="Z435" s="49"/>
      <c r="AA435" s="49"/>
      <c r="AB435" s="49"/>
      <c r="AC435" s="49"/>
      <c r="AD435" s="49"/>
      <c r="AE435" s="49"/>
      <c r="AF435" s="49"/>
      <c r="AG435" s="49"/>
      <c r="AH435" s="49"/>
      <c r="AI435" s="49"/>
      <c r="AJ435" s="49"/>
      <c r="AK435" s="49"/>
      <c r="AL435" s="49"/>
      <c r="AM435" s="49"/>
      <c r="AN435" s="49"/>
      <c r="AO435" s="49"/>
    </row>
    <row r="436" spans="1:41" ht="14">
      <c r="A436" s="49" t="str">
        <f ca="1">IFERROR(__xludf.DUMMYFUNCTION("QUERY('Volunteer Survey'!A830)"),"")</f>
        <v/>
      </c>
      <c r="B436" s="42" t="s">
        <v>322</v>
      </c>
      <c r="C436" s="47"/>
      <c r="D436" s="49"/>
      <c r="E436" s="49"/>
      <c r="F436" s="49" t="b">
        <v>0</v>
      </c>
      <c r="G436" s="49"/>
      <c r="H436" s="47"/>
      <c r="I436" s="47"/>
      <c r="J436" s="49"/>
      <c r="K436" s="49"/>
      <c r="L436" s="49" t="str">
        <f ca="1">IFERROR(__xludf.DUMMYFUNCTION("QUERY('Volunteer Survey'!B830)"),"")</f>
        <v/>
      </c>
      <c r="M436" s="49" t="str">
        <f ca="1">IFERROR(__xludf.DUMMYFUNCTION("QUERY('Volunteer Survey'!E830)"),"")</f>
        <v/>
      </c>
      <c r="N436" s="49" t="str">
        <f ca="1">IFERROR(__xludf.DUMMYFUNCTION("QUERY('Volunteer Survey'!F830)"),"")</f>
        <v/>
      </c>
      <c r="O436" s="42" t="str">
        <f ca="1">IFERROR(__xludf.DUMMYFUNCTION("QUERY('Volunteer Survey'!H830)"),"")</f>
        <v/>
      </c>
      <c r="P436" s="49" t="str">
        <f ca="1">IFERROR(__xludf.DUMMYFUNCTION("QUERY('Volunteer Survey'!I830)"),"")</f>
        <v/>
      </c>
      <c r="Q436" s="54" t="str">
        <f ca="1">IFERROR(__xludf.DUMMYFUNCTION("QUERY('Volunteer Survey'!J830)"),"")</f>
        <v/>
      </c>
      <c r="R436" s="49" t="str">
        <f ca="1">IFERROR(__xludf.DUMMYFUNCTION("QUERY('Volunteer Survey'!K830)"),"")</f>
        <v/>
      </c>
      <c r="S436" s="49" t="str">
        <f ca="1">IFERROR(__xludf.DUMMYFUNCTION("QUERY('Volunteer Survey'!L830)"),"")</f>
        <v/>
      </c>
      <c r="T436" s="49" t="str">
        <f ca="1">IFERROR(__xludf.DUMMYFUNCTION("QUERY('Volunteer Survey'!M830)"),"")</f>
        <v/>
      </c>
      <c r="U436" s="58" t="str">
        <f ca="1">IFERROR(__xludf.DUMMYFUNCTION("QUERY('Volunteer Survey'!N830)"),"")</f>
        <v/>
      </c>
      <c r="V436" s="49" t="str">
        <f ca="1">IFERROR(__xludf.DUMMYFUNCTION("QUERY('Volunteer Survey'!O830)"),"")</f>
        <v/>
      </c>
      <c r="W436" s="60" t="str">
        <f ca="1">IFERROR(__xludf.DUMMYFUNCTION("QUERY('Volunteer Survey'!P830)"),"")</f>
        <v/>
      </c>
      <c r="X436" s="58" t="str">
        <f ca="1">IFERROR(__xludf.DUMMYFUNCTION("QUERY('Volunteer Survey'!R830)"),"")</f>
        <v/>
      </c>
      <c r="Y436" s="47"/>
      <c r="Z436" s="49"/>
      <c r="AA436" s="49"/>
      <c r="AB436" s="49"/>
      <c r="AC436" s="49"/>
      <c r="AD436" s="49"/>
      <c r="AE436" s="49"/>
      <c r="AF436" s="49"/>
      <c r="AG436" s="49"/>
      <c r="AH436" s="49"/>
      <c r="AI436" s="49"/>
      <c r="AJ436" s="49"/>
      <c r="AK436" s="49"/>
      <c r="AL436" s="49"/>
      <c r="AM436" s="49"/>
      <c r="AN436" s="49"/>
      <c r="AO436" s="49"/>
    </row>
    <row r="437" spans="1:41" ht="14">
      <c r="A437" s="49" t="str">
        <f ca="1">IFERROR(__xludf.DUMMYFUNCTION("QUERY('Volunteer Survey'!A831)"),"")</f>
        <v/>
      </c>
      <c r="B437" s="42" t="s">
        <v>322</v>
      </c>
      <c r="C437" s="47"/>
      <c r="D437" s="49"/>
      <c r="E437" s="49"/>
      <c r="F437" s="49" t="b">
        <v>0</v>
      </c>
      <c r="G437" s="49"/>
      <c r="H437" s="47"/>
      <c r="I437" s="47"/>
      <c r="J437" s="49"/>
      <c r="K437" s="49"/>
      <c r="L437" s="49" t="str">
        <f ca="1">IFERROR(__xludf.DUMMYFUNCTION("QUERY('Volunteer Survey'!B831)"),"")</f>
        <v/>
      </c>
      <c r="M437" s="49" t="str">
        <f ca="1">IFERROR(__xludf.DUMMYFUNCTION("QUERY('Volunteer Survey'!E831)"),"")</f>
        <v/>
      </c>
      <c r="N437" s="49" t="str">
        <f ca="1">IFERROR(__xludf.DUMMYFUNCTION("QUERY('Volunteer Survey'!F831)"),"")</f>
        <v/>
      </c>
      <c r="O437" s="42" t="str">
        <f ca="1">IFERROR(__xludf.DUMMYFUNCTION("QUERY('Volunteer Survey'!H831)"),"")</f>
        <v/>
      </c>
      <c r="P437" s="49" t="str">
        <f ca="1">IFERROR(__xludf.DUMMYFUNCTION("QUERY('Volunteer Survey'!I831)"),"")</f>
        <v/>
      </c>
      <c r="Q437" s="54" t="str">
        <f ca="1">IFERROR(__xludf.DUMMYFUNCTION("QUERY('Volunteer Survey'!J831)"),"")</f>
        <v/>
      </c>
      <c r="R437" s="49" t="str">
        <f ca="1">IFERROR(__xludf.DUMMYFUNCTION("QUERY('Volunteer Survey'!K831)"),"")</f>
        <v/>
      </c>
      <c r="S437" s="49" t="str">
        <f ca="1">IFERROR(__xludf.DUMMYFUNCTION("QUERY('Volunteer Survey'!L831)"),"")</f>
        <v/>
      </c>
      <c r="T437" s="49">
        <f>'Volunteer Survey'!M847</f>
        <v>0</v>
      </c>
      <c r="U437" s="58" t="str">
        <f ca="1">IFERROR(__xludf.DUMMYFUNCTION("QUERY('Volunteer Survey'!N831)"),"")</f>
        <v/>
      </c>
      <c r="V437" s="49" t="str">
        <f ca="1">IFERROR(__xludf.DUMMYFUNCTION("QUERY('Volunteer Survey'!O831)"),"")</f>
        <v/>
      </c>
      <c r="W437" s="60" t="str">
        <f ca="1">IFERROR(__xludf.DUMMYFUNCTION("QUERY('Volunteer Survey'!P831)"),"")</f>
        <v/>
      </c>
      <c r="X437" s="58" t="str">
        <f ca="1">IFERROR(__xludf.DUMMYFUNCTION("QUERY('Volunteer Survey'!R831)"),"")</f>
        <v/>
      </c>
      <c r="Y437" s="47"/>
      <c r="Z437" s="49"/>
      <c r="AA437" s="49"/>
      <c r="AB437" s="49"/>
      <c r="AC437" s="49"/>
      <c r="AD437" s="49"/>
      <c r="AE437" s="49"/>
      <c r="AF437" s="49"/>
      <c r="AG437" s="49"/>
      <c r="AH437" s="49"/>
      <c r="AI437" s="49"/>
      <c r="AJ437" s="49"/>
      <c r="AK437" s="49"/>
      <c r="AL437" s="49"/>
      <c r="AM437" s="49"/>
      <c r="AN437" s="49"/>
      <c r="AO437" s="49"/>
    </row>
    <row r="438" spans="1:41" ht="14">
      <c r="A438" s="49" t="str">
        <f ca="1">IFERROR(__xludf.DUMMYFUNCTION("QUERY('Volunteer Survey'!A832)"),"")</f>
        <v/>
      </c>
      <c r="B438" s="42" t="s">
        <v>322</v>
      </c>
      <c r="C438" s="47"/>
      <c r="D438" s="49"/>
      <c r="E438" s="49"/>
      <c r="F438" s="49" t="b">
        <v>0</v>
      </c>
      <c r="G438" s="49"/>
      <c r="H438" s="47"/>
      <c r="I438" s="47"/>
      <c r="J438" s="49"/>
      <c r="K438" s="49"/>
      <c r="L438" s="49" t="str">
        <f ca="1">IFERROR(__xludf.DUMMYFUNCTION("QUERY('Volunteer Survey'!B832)"),"")</f>
        <v/>
      </c>
      <c r="M438" s="49" t="str">
        <f ca="1">IFERROR(__xludf.DUMMYFUNCTION("QUERY('Volunteer Survey'!E832)"),"")</f>
        <v/>
      </c>
      <c r="N438" s="49" t="str">
        <f ca="1">IFERROR(__xludf.DUMMYFUNCTION("QUERY('Volunteer Survey'!F832)"),"")</f>
        <v/>
      </c>
      <c r="O438" s="42">
        <f>'Volunteer Survey'!H849</f>
        <v>0</v>
      </c>
      <c r="P438" s="49" t="str">
        <f ca="1">IFERROR(__xludf.DUMMYFUNCTION("QUERY('Volunteer Survey'!I832)"),"")</f>
        <v/>
      </c>
      <c r="Q438" s="54" t="str">
        <f ca="1">IFERROR(__xludf.DUMMYFUNCTION("QUERY('Volunteer Survey'!J832)"),"")</f>
        <v/>
      </c>
      <c r="R438" s="49" t="str">
        <f ca="1">IFERROR(__xludf.DUMMYFUNCTION("QUERY('Volunteer Survey'!K832)"),"")</f>
        <v/>
      </c>
      <c r="S438" s="49" t="str">
        <f ca="1">IFERROR(__xludf.DUMMYFUNCTION("QUERY('Volunteer Survey'!L832)"),"")</f>
        <v/>
      </c>
      <c r="T438" s="49">
        <f>'Volunteer Survey'!M848</f>
        <v>0</v>
      </c>
      <c r="U438" s="58" t="str">
        <f ca="1">IFERROR(__xludf.DUMMYFUNCTION("QUERY('Volunteer Survey'!N832)"),"")</f>
        <v/>
      </c>
      <c r="V438" s="49">
        <f>'Volunteer Survey'!O848</f>
        <v>0</v>
      </c>
      <c r="W438" s="60" t="str">
        <f ca="1">IFERROR(__xludf.DUMMYFUNCTION("QUERY('Volunteer Survey'!P832)"),"")</f>
        <v/>
      </c>
      <c r="X438" s="58" t="str">
        <f ca="1">IFERROR(__xludf.DUMMYFUNCTION("QUERY('Volunteer Survey'!R832)"),"")</f>
        <v/>
      </c>
      <c r="Y438" s="47"/>
      <c r="Z438" s="49"/>
      <c r="AA438" s="49"/>
      <c r="AB438" s="49"/>
      <c r="AC438" s="49"/>
      <c r="AD438" s="49"/>
      <c r="AE438" s="49"/>
      <c r="AF438" s="49"/>
      <c r="AG438" s="49"/>
      <c r="AH438" s="49"/>
      <c r="AI438" s="49"/>
      <c r="AJ438" s="49"/>
      <c r="AK438" s="49"/>
      <c r="AL438" s="49"/>
      <c r="AM438" s="49"/>
      <c r="AN438" s="49"/>
      <c r="AO438" s="49"/>
    </row>
    <row r="439" spans="1:41" ht="14">
      <c r="A439" s="49" t="str">
        <f ca="1">IFERROR(__xludf.DUMMYFUNCTION("QUERY('Volunteer Survey'!A833)"),"")</f>
        <v/>
      </c>
      <c r="B439" s="42" t="s">
        <v>322</v>
      </c>
      <c r="C439" s="47"/>
      <c r="D439" s="49"/>
      <c r="E439" s="49"/>
      <c r="F439" s="49" t="b">
        <v>0</v>
      </c>
      <c r="G439" s="49"/>
      <c r="H439" s="47"/>
      <c r="I439" s="47"/>
      <c r="J439" s="49"/>
      <c r="K439" s="49"/>
      <c r="L439" s="49" t="str">
        <f ca="1">IFERROR(__xludf.DUMMYFUNCTION("QUERY('Volunteer Survey'!B833)"),"")</f>
        <v/>
      </c>
      <c r="M439" s="49" t="str">
        <f ca="1">IFERROR(__xludf.DUMMYFUNCTION("QUERY('Volunteer Survey'!E833)"),"")</f>
        <v/>
      </c>
      <c r="N439" s="49" t="str">
        <f ca="1">IFERROR(__xludf.DUMMYFUNCTION("QUERY('Volunteer Survey'!F833)"),"")</f>
        <v/>
      </c>
      <c r="O439" s="42">
        <f>'Volunteer Survey'!H850</f>
        <v>0</v>
      </c>
      <c r="P439" s="49" t="str">
        <f ca="1">IFERROR(__xludf.DUMMYFUNCTION("QUERY('Volunteer Survey'!I833)"),"")</f>
        <v/>
      </c>
      <c r="Q439" s="54" t="str">
        <f ca="1">IFERROR(__xludf.DUMMYFUNCTION("QUERY('Volunteer Survey'!J833)"),"")</f>
        <v/>
      </c>
      <c r="R439" s="49" t="str">
        <f ca="1">IFERROR(__xludf.DUMMYFUNCTION("QUERY('Volunteer Survey'!K833)"),"")</f>
        <v/>
      </c>
      <c r="S439" s="49" t="str">
        <f ca="1">IFERROR(__xludf.DUMMYFUNCTION("QUERY('Volunteer Survey'!L833)"),"")</f>
        <v/>
      </c>
      <c r="T439" s="49">
        <f>'Volunteer Survey'!M849</f>
        <v>0</v>
      </c>
      <c r="U439" s="58" t="str">
        <f ca="1">IFERROR(__xludf.DUMMYFUNCTION("QUERY('Volunteer Survey'!N833)"),"")</f>
        <v/>
      </c>
      <c r="V439" s="49">
        <f>'Volunteer Survey'!O849</f>
        <v>0</v>
      </c>
      <c r="W439" s="60" t="str">
        <f ca="1">IFERROR(__xludf.DUMMYFUNCTION("QUERY('Volunteer Survey'!P833)"),"")</f>
        <v/>
      </c>
      <c r="X439" s="58" t="str">
        <f ca="1">IFERROR(__xludf.DUMMYFUNCTION("QUERY('Volunteer Survey'!R833)"),"")</f>
        <v/>
      </c>
      <c r="Y439" s="47"/>
      <c r="Z439" s="49"/>
      <c r="AA439" s="49"/>
      <c r="AB439" s="49"/>
      <c r="AC439" s="49"/>
      <c r="AD439" s="49"/>
      <c r="AE439" s="49"/>
      <c r="AF439" s="49"/>
      <c r="AG439" s="49"/>
      <c r="AH439" s="49"/>
      <c r="AI439" s="49"/>
      <c r="AJ439" s="49"/>
      <c r="AK439" s="49"/>
      <c r="AL439" s="49"/>
      <c r="AM439" s="49"/>
      <c r="AN439" s="49"/>
      <c r="AO439" s="49"/>
    </row>
    <row r="440" spans="1:41" ht="14">
      <c r="A440" s="49" t="str">
        <f ca="1">IFERROR(__xludf.DUMMYFUNCTION("QUERY('Volunteer Survey'!A834)"),"")</f>
        <v/>
      </c>
      <c r="B440" s="42" t="s">
        <v>322</v>
      </c>
      <c r="C440" s="47"/>
      <c r="D440" s="49"/>
      <c r="E440" s="49"/>
      <c r="F440" s="49" t="b">
        <v>0</v>
      </c>
      <c r="G440" s="49"/>
      <c r="H440" s="47"/>
      <c r="I440" s="47"/>
      <c r="J440" s="49"/>
      <c r="K440" s="49"/>
      <c r="L440" s="49" t="str">
        <f ca="1">IFERROR(__xludf.DUMMYFUNCTION("QUERY('Volunteer Survey'!B834)"),"")</f>
        <v/>
      </c>
      <c r="M440" s="49" t="str">
        <f ca="1">IFERROR(__xludf.DUMMYFUNCTION("QUERY('Volunteer Survey'!E834)"),"")</f>
        <v/>
      </c>
      <c r="N440" s="49" t="str">
        <f ca="1">IFERROR(__xludf.DUMMYFUNCTION("QUERY('Volunteer Survey'!F834)"),"")</f>
        <v/>
      </c>
      <c r="O440" s="42">
        <f>'Volunteer Survey'!H851</f>
        <v>0</v>
      </c>
      <c r="P440" s="49" t="str">
        <f ca="1">IFERROR(__xludf.DUMMYFUNCTION("QUERY('Volunteer Survey'!I834)"),"")</f>
        <v/>
      </c>
      <c r="Q440" s="54" t="str">
        <f ca="1">IFERROR(__xludf.DUMMYFUNCTION("QUERY('Volunteer Survey'!J834)"),"")</f>
        <v/>
      </c>
      <c r="R440" s="49" t="str">
        <f ca="1">IFERROR(__xludf.DUMMYFUNCTION("QUERY('Volunteer Survey'!K834)"),"")</f>
        <v/>
      </c>
      <c r="S440" s="49" t="str">
        <f ca="1">IFERROR(__xludf.DUMMYFUNCTION("QUERY('Volunteer Survey'!L834)"),"")</f>
        <v/>
      </c>
      <c r="T440" s="49">
        <f>'Volunteer Survey'!M850</f>
        <v>0</v>
      </c>
      <c r="U440" s="58" t="str">
        <f ca="1">IFERROR(__xludf.DUMMYFUNCTION("QUERY('Volunteer Survey'!N834)"),"")</f>
        <v/>
      </c>
      <c r="V440" s="49">
        <f>'Volunteer Survey'!O850</f>
        <v>0</v>
      </c>
      <c r="W440" s="60" t="str">
        <f ca="1">IFERROR(__xludf.DUMMYFUNCTION("QUERY('Volunteer Survey'!P834)"),"")</f>
        <v/>
      </c>
      <c r="X440" s="58" t="str">
        <f ca="1">IFERROR(__xludf.DUMMYFUNCTION("QUERY('Volunteer Survey'!R834)"),"")</f>
        <v/>
      </c>
      <c r="Y440" s="47"/>
      <c r="Z440" s="49"/>
      <c r="AA440" s="49"/>
      <c r="AB440" s="49"/>
      <c r="AC440" s="49"/>
      <c r="AD440" s="49"/>
      <c r="AE440" s="49"/>
      <c r="AF440" s="49"/>
      <c r="AG440" s="49"/>
      <c r="AH440" s="49"/>
      <c r="AI440" s="49"/>
      <c r="AJ440" s="49"/>
      <c r="AK440" s="49"/>
      <c r="AL440" s="49"/>
      <c r="AM440" s="49"/>
      <c r="AN440" s="49"/>
      <c r="AO440" s="49"/>
    </row>
    <row r="441" spans="1:41" ht="14">
      <c r="A441" s="49" t="str">
        <f ca="1">IFERROR(__xludf.DUMMYFUNCTION("QUERY('Volunteer Survey'!A835)"),"")</f>
        <v/>
      </c>
      <c r="B441" s="42" t="s">
        <v>322</v>
      </c>
      <c r="C441" s="47"/>
      <c r="D441" s="49"/>
      <c r="E441" s="49"/>
      <c r="F441" s="49" t="b">
        <v>0</v>
      </c>
      <c r="G441" s="49"/>
      <c r="H441" s="47"/>
      <c r="I441" s="47"/>
      <c r="J441" s="49"/>
      <c r="K441" s="49"/>
      <c r="L441" s="49" t="str">
        <f ca="1">IFERROR(__xludf.DUMMYFUNCTION("QUERY('Volunteer Survey'!B835)"),"")</f>
        <v/>
      </c>
      <c r="M441" s="49" t="str">
        <f ca="1">IFERROR(__xludf.DUMMYFUNCTION("QUERY('Volunteer Survey'!E835)"),"")</f>
        <v/>
      </c>
      <c r="N441" s="49" t="str">
        <f ca="1">IFERROR(__xludf.DUMMYFUNCTION("QUERY('Volunteer Survey'!F835)"),"")</f>
        <v/>
      </c>
      <c r="O441" s="42">
        <f>'Volunteer Survey'!H852</f>
        <v>0</v>
      </c>
      <c r="P441" s="49" t="str">
        <f ca="1">IFERROR(__xludf.DUMMYFUNCTION("QUERY('Volunteer Survey'!I835)"),"")</f>
        <v/>
      </c>
      <c r="Q441" s="54" t="str">
        <f ca="1">IFERROR(__xludf.DUMMYFUNCTION("QUERY('Volunteer Survey'!J835)"),"")</f>
        <v/>
      </c>
      <c r="R441" s="49" t="str">
        <f ca="1">IFERROR(__xludf.DUMMYFUNCTION("QUERY('Volunteer Survey'!K835)"),"")</f>
        <v/>
      </c>
      <c r="S441" s="49" t="str">
        <f ca="1">IFERROR(__xludf.DUMMYFUNCTION("QUERY('Volunteer Survey'!L835)"),"")</f>
        <v/>
      </c>
      <c r="T441" s="49">
        <f>'Volunteer Survey'!M851</f>
        <v>0</v>
      </c>
      <c r="U441" s="58" t="str">
        <f ca="1">IFERROR(__xludf.DUMMYFUNCTION("QUERY('Volunteer Survey'!N835)"),"")</f>
        <v/>
      </c>
      <c r="V441" s="49">
        <f>'Volunteer Survey'!O851</f>
        <v>0</v>
      </c>
      <c r="W441" s="60" t="str">
        <f ca="1">IFERROR(__xludf.DUMMYFUNCTION("QUERY('Volunteer Survey'!P835)"),"")</f>
        <v/>
      </c>
      <c r="X441" s="58" t="str">
        <f ca="1">IFERROR(__xludf.DUMMYFUNCTION("QUERY('Volunteer Survey'!R835)"),"")</f>
        <v/>
      </c>
      <c r="Y441" s="47"/>
      <c r="Z441" s="49"/>
      <c r="AA441" s="49"/>
      <c r="AB441" s="49"/>
      <c r="AC441" s="49"/>
      <c r="AD441" s="49"/>
      <c r="AE441" s="49"/>
      <c r="AF441" s="49"/>
      <c r="AG441" s="49"/>
      <c r="AH441" s="49"/>
      <c r="AI441" s="49"/>
      <c r="AJ441" s="49"/>
      <c r="AK441" s="49"/>
      <c r="AL441" s="49"/>
      <c r="AM441" s="49"/>
      <c r="AN441" s="49"/>
      <c r="AO441" s="49"/>
    </row>
    <row r="442" spans="1:41" ht="14">
      <c r="A442" s="49" t="str">
        <f ca="1">IFERROR(__xludf.DUMMYFUNCTION("QUERY('Volunteer Survey'!A836)"),"")</f>
        <v/>
      </c>
      <c r="B442" s="42" t="s">
        <v>322</v>
      </c>
      <c r="C442" s="47"/>
      <c r="D442" s="49"/>
      <c r="E442" s="49"/>
      <c r="F442" s="49" t="b">
        <v>0</v>
      </c>
      <c r="G442" s="49"/>
      <c r="H442" s="47"/>
      <c r="I442" s="47"/>
      <c r="J442" s="49"/>
      <c r="K442" s="49"/>
      <c r="L442" s="49" t="str">
        <f ca="1">IFERROR(__xludf.DUMMYFUNCTION("QUERY('Volunteer Survey'!B836)"),"")</f>
        <v/>
      </c>
      <c r="M442" s="49" t="str">
        <f ca="1">IFERROR(__xludf.DUMMYFUNCTION("QUERY('Volunteer Survey'!E836)"),"")</f>
        <v/>
      </c>
      <c r="N442" s="49" t="str">
        <f ca="1">IFERROR(__xludf.DUMMYFUNCTION("QUERY('Volunteer Survey'!F836)"),"")</f>
        <v/>
      </c>
      <c r="O442" s="42">
        <f>'Volunteer Survey'!H853</f>
        <v>0</v>
      </c>
      <c r="P442" s="49" t="str">
        <f ca="1">IFERROR(__xludf.DUMMYFUNCTION("QUERY('Volunteer Survey'!I836)"),"")</f>
        <v/>
      </c>
      <c r="Q442" s="54" t="str">
        <f ca="1">IFERROR(__xludf.DUMMYFUNCTION("QUERY('Volunteer Survey'!J836)"),"")</f>
        <v/>
      </c>
      <c r="R442" s="49" t="str">
        <f ca="1">IFERROR(__xludf.DUMMYFUNCTION("QUERY('Volunteer Survey'!K836)"),"")</f>
        <v/>
      </c>
      <c r="S442" s="49" t="str">
        <f ca="1">IFERROR(__xludf.DUMMYFUNCTION("QUERY('Volunteer Survey'!L836)"),"")</f>
        <v/>
      </c>
      <c r="T442" s="49">
        <f>'Volunteer Survey'!M852</f>
        <v>0</v>
      </c>
      <c r="U442" s="58" t="str">
        <f ca="1">IFERROR(__xludf.DUMMYFUNCTION("QUERY('Volunteer Survey'!N836)"),"")</f>
        <v/>
      </c>
      <c r="V442" s="49">
        <f>'Volunteer Survey'!O852</f>
        <v>0</v>
      </c>
      <c r="W442" s="60" t="str">
        <f ca="1">IFERROR(__xludf.DUMMYFUNCTION("QUERY('Volunteer Survey'!P836)"),"")</f>
        <v/>
      </c>
      <c r="X442" s="58" t="str">
        <f ca="1">IFERROR(__xludf.DUMMYFUNCTION("QUERY('Volunteer Survey'!R836)"),"")</f>
        <v/>
      </c>
      <c r="Y442" s="47"/>
      <c r="Z442" s="49"/>
      <c r="AA442" s="49"/>
      <c r="AB442" s="49"/>
      <c r="AC442" s="49"/>
      <c r="AD442" s="49"/>
      <c r="AE442" s="49"/>
      <c r="AF442" s="49"/>
      <c r="AG442" s="49"/>
      <c r="AH442" s="49"/>
      <c r="AI442" s="49"/>
      <c r="AJ442" s="49"/>
      <c r="AK442" s="49"/>
      <c r="AL442" s="49"/>
      <c r="AM442" s="49"/>
      <c r="AN442" s="49"/>
      <c r="AO442" s="49"/>
    </row>
    <row r="443" spans="1:41" ht="14">
      <c r="A443" s="49" t="str">
        <f ca="1">IFERROR(__xludf.DUMMYFUNCTION("QUERY('Volunteer Survey'!A837)"),"")</f>
        <v/>
      </c>
      <c r="B443" s="42" t="s">
        <v>322</v>
      </c>
      <c r="C443" s="47"/>
      <c r="D443" s="49"/>
      <c r="E443" s="49"/>
      <c r="F443" s="49" t="b">
        <v>0</v>
      </c>
      <c r="G443" s="49"/>
      <c r="H443" s="47"/>
      <c r="I443" s="47"/>
      <c r="J443" s="49"/>
      <c r="K443" s="49"/>
      <c r="L443" s="49" t="str">
        <f ca="1">IFERROR(__xludf.DUMMYFUNCTION("QUERY('Volunteer Survey'!B837)"),"")</f>
        <v/>
      </c>
      <c r="M443" s="49" t="str">
        <f ca="1">IFERROR(__xludf.DUMMYFUNCTION("QUERY('Volunteer Survey'!E837)"),"")</f>
        <v/>
      </c>
      <c r="N443" s="49" t="str">
        <f ca="1">IFERROR(__xludf.DUMMYFUNCTION("QUERY('Volunteer Survey'!F837)"),"")</f>
        <v/>
      </c>
      <c r="O443" s="42">
        <f>'Volunteer Survey'!H854</f>
        <v>0</v>
      </c>
      <c r="P443" s="49" t="str">
        <f ca="1">IFERROR(__xludf.DUMMYFUNCTION("QUERY('Volunteer Survey'!I837)"),"")</f>
        <v/>
      </c>
      <c r="Q443" s="54" t="str">
        <f ca="1">IFERROR(__xludf.DUMMYFUNCTION("QUERY('Volunteer Survey'!J837)"),"")</f>
        <v/>
      </c>
      <c r="R443" s="49" t="str">
        <f ca="1">IFERROR(__xludf.DUMMYFUNCTION("QUERY('Volunteer Survey'!K837)"),"")</f>
        <v/>
      </c>
      <c r="S443" s="49" t="str">
        <f ca="1">IFERROR(__xludf.DUMMYFUNCTION("QUERY('Volunteer Survey'!L837)"),"")</f>
        <v/>
      </c>
      <c r="T443" s="49">
        <f>'Volunteer Survey'!M853</f>
        <v>0</v>
      </c>
      <c r="U443" s="58" t="str">
        <f ca="1">IFERROR(__xludf.DUMMYFUNCTION("QUERY('Volunteer Survey'!N837)"),"")</f>
        <v/>
      </c>
      <c r="V443" s="49">
        <f>'Volunteer Survey'!O853</f>
        <v>0</v>
      </c>
      <c r="W443" s="60" t="str">
        <f ca="1">IFERROR(__xludf.DUMMYFUNCTION("QUERY('Volunteer Survey'!P837)"),"")</f>
        <v/>
      </c>
      <c r="X443" s="58" t="str">
        <f ca="1">IFERROR(__xludf.DUMMYFUNCTION("QUERY('Volunteer Survey'!R837)"),"")</f>
        <v/>
      </c>
      <c r="Y443" s="47"/>
      <c r="Z443" s="49"/>
      <c r="AA443" s="49"/>
      <c r="AB443" s="49"/>
      <c r="AC443" s="49"/>
      <c r="AD443" s="49"/>
      <c r="AE443" s="49"/>
      <c r="AF443" s="49"/>
      <c r="AG443" s="49"/>
      <c r="AH443" s="49"/>
      <c r="AI443" s="49"/>
      <c r="AJ443" s="49"/>
      <c r="AK443" s="49"/>
      <c r="AL443" s="49"/>
      <c r="AM443" s="49"/>
      <c r="AN443" s="49"/>
      <c r="AO443" s="49"/>
    </row>
    <row r="444" spans="1:41" ht="14">
      <c r="A444" s="49" t="str">
        <f ca="1">IFERROR(__xludf.DUMMYFUNCTION("QUERY('Volunteer Survey'!A838)"),"")</f>
        <v/>
      </c>
      <c r="B444" s="42" t="s">
        <v>322</v>
      </c>
      <c r="C444" s="47"/>
      <c r="D444" s="49"/>
      <c r="E444" s="49"/>
      <c r="F444" s="49" t="b">
        <v>0</v>
      </c>
      <c r="G444" s="49"/>
      <c r="H444" s="47"/>
      <c r="I444" s="47"/>
      <c r="J444" s="49"/>
      <c r="K444" s="49"/>
      <c r="L444" s="49" t="str">
        <f ca="1">IFERROR(__xludf.DUMMYFUNCTION("QUERY('Volunteer Survey'!B838)"),"")</f>
        <v/>
      </c>
      <c r="M444" s="49" t="str">
        <f ca="1">IFERROR(__xludf.DUMMYFUNCTION("QUERY('Volunteer Survey'!E838)"),"")</f>
        <v/>
      </c>
      <c r="N444" s="49" t="str">
        <f ca="1">IFERROR(__xludf.DUMMYFUNCTION("QUERY('Volunteer Survey'!F838)"),"")</f>
        <v/>
      </c>
      <c r="O444" s="42">
        <f>'Volunteer Survey'!H855</f>
        <v>0</v>
      </c>
      <c r="P444" s="49" t="str">
        <f ca="1">IFERROR(__xludf.DUMMYFUNCTION("QUERY('Volunteer Survey'!I838)"),"")</f>
        <v/>
      </c>
      <c r="Q444" s="54" t="str">
        <f ca="1">IFERROR(__xludf.DUMMYFUNCTION("QUERY('Volunteer Survey'!J838)"),"")</f>
        <v/>
      </c>
      <c r="R444" s="49" t="str">
        <f ca="1">IFERROR(__xludf.DUMMYFUNCTION("QUERY('Volunteer Survey'!K838)"),"")</f>
        <v/>
      </c>
      <c r="S444" s="49" t="str">
        <f ca="1">IFERROR(__xludf.DUMMYFUNCTION("QUERY('Volunteer Survey'!L838)"),"")</f>
        <v/>
      </c>
      <c r="T444" s="49">
        <f>'Volunteer Survey'!M854</f>
        <v>0</v>
      </c>
      <c r="U444" s="58" t="str">
        <f ca="1">IFERROR(__xludf.DUMMYFUNCTION("QUERY('Volunteer Survey'!N838)"),"")</f>
        <v/>
      </c>
      <c r="V444" s="49">
        <f>'Volunteer Survey'!O854</f>
        <v>0</v>
      </c>
      <c r="W444" s="60" t="str">
        <f ca="1">IFERROR(__xludf.DUMMYFUNCTION("QUERY('Volunteer Survey'!P838)"),"")</f>
        <v/>
      </c>
      <c r="X444" s="58" t="str">
        <f ca="1">IFERROR(__xludf.DUMMYFUNCTION("QUERY('Volunteer Survey'!R838)"),"")</f>
        <v/>
      </c>
      <c r="Y444" s="47"/>
      <c r="Z444" s="49"/>
      <c r="AA444" s="49"/>
      <c r="AB444" s="49"/>
      <c r="AC444" s="49"/>
      <c r="AD444" s="49"/>
      <c r="AE444" s="49"/>
      <c r="AF444" s="49"/>
      <c r="AG444" s="49"/>
      <c r="AH444" s="49"/>
      <c r="AI444" s="49"/>
      <c r="AJ444" s="49"/>
      <c r="AK444" s="49"/>
      <c r="AL444" s="49"/>
      <c r="AM444" s="49"/>
      <c r="AN444" s="49"/>
      <c r="AO444" s="49"/>
    </row>
    <row r="445" spans="1:41" ht="14">
      <c r="A445" s="49" t="str">
        <f ca="1">IFERROR(__xludf.DUMMYFUNCTION("QUERY('Volunteer Survey'!A839)"),"")</f>
        <v/>
      </c>
      <c r="B445" s="42" t="s">
        <v>322</v>
      </c>
      <c r="C445" s="47"/>
      <c r="D445" s="49"/>
      <c r="E445" s="49"/>
      <c r="F445" s="49" t="b">
        <v>0</v>
      </c>
      <c r="G445" s="49"/>
      <c r="H445" s="47"/>
      <c r="I445" s="47"/>
      <c r="J445" s="49"/>
      <c r="K445" s="49"/>
      <c r="L445" s="49" t="str">
        <f ca="1">IFERROR(__xludf.DUMMYFUNCTION("QUERY('Volunteer Survey'!B839)"),"")</f>
        <v/>
      </c>
      <c r="M445" s="49" t="str">
        <f ca="1">IFERROR(__xludf.DUMMYFUNCTION("QUERY('Volunteer Survey'!E839)"),"")</f>
        <v/>
      </c>
      <c r="N445" s="49">
        <f>'Volunteer Survey'!F855</f>
        <v>0</v>
      </c>
      <c r="O445" s="42">
        <f>'Volunteer Survey'!H856</f>
        <v>0</v>
      </c>
      <c r="P445" s="49" t="str">
        <f ca="1">IFERROR(__xludf.DUMMYFUNCTION("QUERY('Volunteer Survey'!I839)"),"")</f>
        <v/>
      </c>
      <c r="Q445" s="54" t="str">
        <f ca="1">IFERROR(__xludf.DUMMYFUNCTION("QUERY('Volunteer Survey'!J839)"),"")</f>
        <v/>
      </c>
      <c r="R445" s="49" t="str">
        <f ca="1">IFERROR(__xludf.DUMMYFUNCTION("QUERY('Volunteer Survey'!K839)"),"")</f>
        <v/>
      </c>
      <c r="S445" s="49" t="str">
        <f ca="1">IFERROR(__xludf.DUMMYFUNCTION("QUERY('Volunteer Survey'!L839)"),"")</f>
        <v/>
      </c>
      <c r="T445" s="49">
        <f>'Volunteer Survey'!M855</f>
        <v>0</v>
      </c>
      <c r="U445" s="58" t="str">
        <f ca="1">IFERROR(__xludf.DUMMYFUNCTION("QUERY('Volunteer Survey'!N839)"),"")</f>
        <v/>
      </c>
      <c r="V445" s="49">
        <f>'Volunteer Survey'!O855</f>
        <v>0</v>
      </c>
      <c r="W445" s="60" t="str">
        <f ca="1">IFERROR(__xludf.DUMMYFUNCTION("QUERY('Volunteer Survey'!P839)"),"")</f>
        <v/>
      </c>
      <c r="X445" s="58" t="str">
        <f ca="1">IFERROR(__xludf.DUMMYFUNCTION("QUERY('Volunteer Survey'!R839)"),"")</f>
        <v/>
      </c>
      <c r="Y445" s="47"/>
      <c r="Z445" s="49"/>
      <c r="AA445" s="49"/>
      <c r="AB445" s="49"/>
      <c r="AC445" s="49"/>
      <c r="AD445" s="49"/>
      <c r="AE445" s="49"/>
      <c r="AF445" s="49"/>
      <c r="AG445" s="49"/>
      <c r="AH445" s="49"/>
      <c r="AI445" s="49"/>
      <c r="AJ445" s="49"/>
      <c r="AK445" s="49"/>
      <c r="AL445" s="49"/>
      <c r="AM445" s="49"/>
      <c r="AN445" s="49"/>
      <c r="AO445" s="49"/>
    </row>
    <row r="446" spans="1:41" ht="14">
      <c r="A446" s="49" t="str">
        <f ca="1">IFERROR(__xludf.DUMMYFUNCTION("QUERY('Volunteer Survey'!A840)"),"")</f>
        <v/>
      </c>
      <c r="B446" s="42" t="s">
        <v>322</v>
      </c>
      <c r="C446" s="47"/>
      <c r="D446" s="49"/>
      <c r="E446" s="49"/>
      <c r="F446" s="49" t="b">
        <v>0</v>
      </c>
      <c r="G446" s="49"/>
      <c r="H446" s="47"/>
      <c r="I446" s="47"/>
      <c r="J446" s="49"/>
      <c r="K446" s="49"/>
      <c r="L446" s="49" t="str">
        <f ca="1">IFERROR(__xludf.DUMMYFUNCTION("QUERY('Volunteer Survey'!B840)"),"")</f>
        <v/>
      </c>
      <c r="M446" s="49" t="str">
        <f ca="1">IFERROR(__xludf.DUMMYFUNCTION("QUERY('Volunteer Survey'!E840)"),"")</f>
        <v/>
      </c>
      <c r="N446" s="49">
        <f>'Volunteer Survey'!F856</f>
        <v>0</v>
      </c>
      <c r="O446" s="42">
        <f>'Volunteer Survey'!H857</f>
        <v>0</v>
      </c>
      <c r="P446" s="49" t="str">
        <f ca="1">IFERROR(__xludf.DUMMYFUNCTION("QUERY('Volunteer Survey'!I840)"),"")</f>
        <v/>
      </c>
      <c r="Q446" s="54" t="str">
        <f ca="1">IFERROR(__xludf.DUMMYFUNCTION("QUERY('Volunteer Survey'!J840)"),"")</f>
        <v/>
      </c>
      <c r="R446" s="49" t="str">
        <f ca="1">IFERROR(__xludf.DUMMYFUNCTION("QUERY('Volunteer Survey'!K840)"),"")</f>
        <v/>
      </c>
      <c r="S446" s="49" t="str">
        <f ca="1">IFERROR(__xludf.DUMMYFUNCTION("QUERY('Volunteer Survey'!L840)"),"")</f>
        <v/>
      </c>
      <c r="T446" s="49">
        <f>'Volunteer Survey'!M856</f>
        <v>0</v>
      </c>
      <c r="U446" s="58" t="str">
        <f ca="1">IFERROR(__xludf.DUMMYFUNCTION("QUERY('Volunteer Survey'!N840)"),"")</f>
        <v/>
      </c>
      <c r="V446" s="49">
        <f>'Volunteer Survey'!O856</f>
        <v>0</v>
      </c>
      <c r="W446" s="60" t="str">
        <f ca="1">IFERROR(__xludf.DUMMYFUNCTION("QUERY('Volunteer Survey'!P840)"),"")</f>
        <v/>
      </c>
      <c r="X446" s="58" t="str">
        <f ca="1">IFERROR(__xludf.DUMMYFUNCTION("QUERY('Volunteer Survey'!R840)"),"")</f>
        <v/>
      </c>
      <c r="Y446" s="47"/>
      <c r="Z446" s="49"/>
      <c r="AA446" s="49"/>
      <c r="AB446" s="49"/>
      <c r="AC446" s="49"/>
      <c r="AD446" s="49"/>
      <c r="AE446" s="49"/>
      <c r="AF446" s="49"/>
      <c r="AG446" s="49"/>
      <c r="AH446" s="49"/>
      <c r="AI446" s="49"/>
      <c r="AJ446" s="49"/>
      <c r="AK446" s="49"/>
      <c r="AL446" s="49"/>
      <c r="AM446" s="49"/>
      <c r="AN446" s="49"/>
      <c r="AO446" s="49"/>
    </row>
    <row r="447" spans="1:41" ht="14">
      <c r="A447" s="49" t="str">
        <f ca="1">IFERROR(__xludf.DUMMYFUNCTION("QUERY('Volunteer Survey'!A841)"),"")</f>
        <v/>
      </c>
      <c r="B447" s="42" t="s">
        <v>322</v>
      </c>
      <c r="C447" s="47"/>
      <c r="D447" s="49"/>
      <c r="E447" s="49"/>
      <c r="F447" s="49" t="b">
        <v>0</v>
      </c>
      <c r="G447" s="49"/>
      <c r="H447" s="47"/>
      <c r="I447" s="47"/>
      <c r="J447" s="49"/>
      <c r="K447" s="49"/>
      <c r="L447" s="49" t="str">
        <f ca="1">IFERROR(__xludf.DUMMYFUNCTION("QUERY('Volunteer Survey'!B841)"),"")</f>
        <v/>
      </c>
      <c r="M447" s="49" t="str">
        <f ca="1">IFERROR(__xludf.DUMMYFUNCTION("QUERY('Volunteer Survey'!E841)"),"")</f>
        <v/>
      </c>
      <c r="N447" s="49">
        <f>'Volunteer Survey'!F857</f>
        <v>0</v>
      </c>
      <c r="O447" s="42">
        <f>'Volunteer Survey'!H858</f>
        <v>0</v>
      </c>
      <c r="P447" s="49" t="str">
        <f ca="1">IFERROR(__xludf.DUMMYFUNCTION("QUERY('Volunteer Survey'!I841)"),"")</f>
        <v/>
      </c>
      <c r="Q447" s="54" t="str">
        <f ca="1">IFERROR(__xludf.DUMMYFUNCTION("QUERY('Volunteer Survey'!J841)"),"")</f>
        <v/>
      </c>
      <c r="R447" s="49" t="str">
        <f ca="1">IFERROR(__xludf.DUMMYFUNCTION("QUERY('Volunteer Survey'!K841)"),"")</f>
        <v/>
      </c>
      <c r="S447" s="49" t="str">
        <f ca="1">IFERROR(__xludf.DUMMYFUNCTION("QUERY('Volunteer Survey'!L841)"),"")</f>
        <v/>
      </c>
      <c r="T447" s="49">
        <f>'Volunteer Survey'!M857</f>
        <v>0</v>
      </c>
      <c r="U447" s="58" t="str">
        <f ca="1">IFERROR(__xludf.DUMMYFUNCTION("QUERY('Volunteer Survey'!N841)"),"")</f>
        <v/>
      </c>
      <c r="V447" s="49">
        <f>'Volunteer Survey'!O857</f>
        <v>0</v>
      </c>
      <c r="W447" s="60" t="str">
        <f ca="1">IFERROR(__xludf.DUMMYFUNCTION("QUERY('Volunteer Survey'!P841)"),"")</f>
        <v/>
      </c>
      <c r="X447" s="58" t="str">
        <f ca="1">IFERROR(__xludf.DUMMYFUNCTION("QUERY('Volunteer Survey'!R841)"),"")</f>
        <v/>
      </c>
      <c r="Y447" s="47"/>
      <c r="Z447" s="49"/>
      <c r="AA447" s="49"/>
      <c r="AB447" s="49"/>
      <c r="AC447" s="49"/>
      <c r="AD447" s="49"/>
      <c r="AE447" s="49"/>
      <c r="AF447" s="49"/>
      <c r="AG447" s="49"/>
      <c r="AH447" s="49"/>
      <c r="AI447" s="49"/>
      <c r="AJ447" s="49"/>
      <c r="AK447" s="49"/>
      <c r="AL447" s="49"/>
      <c r="AM447" s="49"/>
      <c r="AN447" s="49"/>
      <c r="AO447" s="49"/>
    </row>
    <row r="448" spans="1:41" ht="14">
      <c r="A448" s="49" t="str">
        <f ca="1">IFERROR(__xludf.DUMMYFUNCTION("QUERY('Volunteer Survey'!A842)"),"")</f>
        <v/>
      </c>
      <c r="B448" s="42" t="s">
        <v>322</v>
      </c>
      <c r="C448" s="47"/>
      <c r="D448" s="49"/>
      <c r="E448" s="49"/>
      <c r="F448" s="49" t="b">
        <v>0</v>
      </c>
      <c r="G448" s="49"/>
      <c r="H448" s="47"/>
      <c r="I448" s="47"/>
      <c r="J448" s="49"/>
      <c r="K448" s="49"/>
      <c r="L448" s="49" t="str">
        <f ca="1">IFERROR(__xludf.DUMMYFUNCTION("QUERY('Volunteer Survey'!B842)"),"")</f>
        <v/>
      </c>
      <c r="M448" s="49" t="str">
        <f ca="1">IFERROR(__xludf.DUMMYFUNCTION("QUERY('Volunteer Survey'!E842)"),"")</f>
        <v/>
      </c>
      <c r="N448" s="49">
        <f>'Volunteer Survey'!F858</f>
        <v>0</v>
      </c>
      <c r="O448" s="42">
        <f>'Volunteer Survey'!H859</f>
        <v>0</v>
      </c>
      <c r="P448" s="49" t="str">
        <f ca="1">IFERROR(__xludf.DUMMYFUNCTION("QUERY('Volunteer Survey'!I842)"),"")</f>
        <v/>
      </c>
      <c r="Q448" s="54" t="str">
        <f ca="1">IFERROR(__xludf.DUMMYFUNCTION("QUERY('Volunteer Survey'!J842)"),"")</f>
        <v/>
      </c>
      <c r="R448" s="49" t="str">
        <f ca="1">IFERROR(__xludf.DUMMYFUNCTION("QUERY('Volunteer Survey'!K842)"),"")</f>
        <v/>
      </c>
      <c r="S448" s="49" t="str">
        <f ca="1">IFERROR(__xludf.DUMMYFUNCTION("QUERY('Volunteer Survey'!L842)"),"")</f>
        <v/>
      </c>
      <c r="T448" s="49">
        <f>'Volunteer Survey'!M858</f>
        <v>0</v>
      </c>
      <c r="U448" s="58" t="str">
        <f ca="1">IFERROR(__xludf.DUMMYFUNCTION("QUERY('Volunteer Survey'!N842)"),"")</f>
        <v/>
      </c>
      <c r="V448" s="49">
        <f>'Volunteer Survey'!O858</f>
        <v>0</v>
      </c>
      <c r="W448" s="60" t="str">
        <f ca="1">IFERROR(__xludf.DUMMYFUNCTION("QUERY('Volunteer Survey'!P842)"),"")</f>
        <v/>
      </c>
      <c r="X448" s="58" t="str">
        <f ca="1">IFERROR(__xludf.DUMMYFUNCTION("QUERY('Volunteer Survey'!R842)"),"")</f>
        <v/>
      </c>
      <c r="Y448" s="47"/>
      <c r="Z448" s="49"/>
      <c r="AA448" s="49"/>
      <c r="AB448" s="49"/>
      <c r="AC448" s="49"/>
      <c r="AD448" s="49"/>
      <c r="AE448" s="49"/>
      <c r="AF448" s="49"/>
      <c r="AG448" s="49"/>
      <c r="AH448" s="49"/>
      <c r="AI448" s="49"/>
      <c r="AJ448" s="49"/>
      <c r="AK448" s="49"/>
      <c r="AL448" s="49"/>
      <c r="AM448" s="49"/>
      <c r="AN448" s="49"/>
      <c r="AO448" s="49"/>
    </row>
    <row r="449" spans="1:41" ht="14">
      <c r="A449" s="49" t="str">
        <f ca="1">IFERROR(__xludf.DUMMYFUNCTION("QUERY('Volunteer Survey'!A843)"),"")</f>
        <v/>
      </c>
      <c r="B449" s="42" t="s">
        <v>322</v>
      </c>
      <c r="C449" s="47"/>
      <c r="D449" s="49"/>
      <c r="E449" s="49"/>
      <c r="F449" s="49" t="b">
        <v>0</v>
      </c>
      <c r="G449" s="49"/>
      <c r="H449" s="47"/>
      <c r="I449" s="47"/>
      <c r="J449" s="49"/>
      <c r="K449" s="49"/>
      <c r="L449" s="49" t="str">
        <f ca="1">IFERROR(__xludf.DUMMYFUNCTION("QUERY('Volunteer Survey'!B843)"),"")</f>
        <v/>
      </c>
      <c r="M449" s="49" t="str">
        <f ca="1">IFERROR(__xludf.DUMMYFUNCTION("QUERY('Volunteer Survey'!E843)"),"")</f>
        <v/>
      </c>
      <c r="N449" s="49">
        <f>'Volunteer Survey'!F859</f>
        <v>0</v>
      </c>
      <c r="O449" s="42">
        <f>'Volunteer Survey'!H860</f>
        <v>0</v>
      </c>
      <c r="P449" s="49" t="str">
        <f ca="1">IFERROR(__xludf.DUMMYFUNCTION("QUERY('Volunteer Survey'!I843)"),"")</f>
        <v/>
      </c>
      <c r="Q449" s="54" t="str">
        <f ca="1">IFERROR(__xludf.DUMMYFUNCTION("QUERY('Volunteer Survey'!J843)"),"")</f>
        <v/>
      </c>
      <c r="R449" s="49" t="str">
        <f ca="1">IFERROR(__xludf.DUMMYFUNCTION("QUERY('Volunteer Survey'!K843)"),"")</f>
        <v/>
      </c>
      <c r="S449" s="49" t="str">
        <f ca="1">IFERROR(__xludf.DUMMYFUNCTION("QUERY('Volunteer Survey'!L843)"),"")</f>
        <v/>
      </c>
      <c r="T449" s="49">
        <f>'Volunteer Survey'!M859</f>
        <v>0</v>
      </c>
      <c r="U449" s="58" t="str">
        <f ca="1">IFERROR(__xludf.DUMMYFUNCTION("QUERY('Volunteer Survey'!N843)"),"")</f>
        <v/>
      </c>
      <c r="V449" s="49">
        <f>'Volunteer Survey'!O859</f>
        <v>0</v>
      </c>
      <c r="W449" s="60" t="str">
        <f ca="1">IFERROR(__xludf.DUMMYFUNCTION("QUERY('Volunteer Survey'!P843)"),"")</f>
        <v/>
      </c>
      <c r="X449" s="58" t="str">
        <f ca="1">IFERROR(__xludf.DUMMYFUNCTION("QUERY('Volunteer Survey'!R843)"),"")</f>
        <v/>
      </c>
      <c r="Y449" s="47"/>
      <c r="Z449" s="49"/>
      <c r="AA449" s="49"/>
      <c r="AB449" s="49"/>
      <c r="AC449" s="49"/>
      <c r="AD449" s="49"/>
      <c r="AE449" s="49"/>
      <c r="AF449" s="49"/>
      <c r="AG449" s="49"/>
      <c r="AH449" s="49"/>
      <c r="AI449" s="49"/>
      <c r="AJ449" s="49"/>
      <c r="AK449" s="49"/>
      <c r="AL449" s="49"/>
      <c r="AM449" s="49"/>
      <c r="AN449" s="49"/>
      <c r="AO449" s="49"/>
    </row>
    <row r="450" spans="1:41" ht="14">
      <c r="A450" s="49" t="str">
        <f ca="1">IFERROR(__xludf.DUMMYFUNCTION("QUERY('Volunteer Survey'!A844)"),"")</f>
        <v/>
      </c>
      <c r="B450" s="42" t="s">
        <v>322</v>
      </c>
      <c r="C450" s="47"/>
      <c r="D450" s="49"/>
      <c r="E450" s="49"/>
      <c r="F450" s="49" t="b">
        <v>0</v>
      </c>
      <c r="G450" s="49"/>
      <c r="H450" s="47"/>
      <c r="I450" s="47"/>
      <c r="J450" s="49"/>
      <c r="K450" s="49"/>
      <c r="L450" s="49" t="str">
        <f ca="1">IFERROR(__xludf.DUMMYFUNCTION("QUERY('Volunteer Survey'!B844)"),"")</f>
        <v/>
      </c>
      <c r="M450" s="49" t="str">
        <f ca="1">IFERROR(__xludf.DUMMYFUNCTION("QUERY('Volunteer Survey'!E844)"),"")</f>
        <v/>
      </c>
      <c r="N450" s="49">
        <f>'Volunteer Survey'!F860</f>
        <v>0</v>
      </c>
      <c r="O450" s="42">
        <f>'Volunteer Survey'!H861</f>
        <v>0</v>
      </c>
      <c r="P450" s="49" t="str">
        <f ca="1">IFERROR(__xludf.DUMMYFUNCTION("QUERY('Volunteer Survey'!I844)"),"")</f>
        <v/>
      </c>
      <c r="Q450" s="54" t="str">
        <f ca="1">IFERROR(__xludf.DUMMYFUNCTION("QUERY('Volunteer Survey'!J844)"),"")</f>
        <v/>
      </c>
      <c r="R450" s="49" t="str">
        <f ca="1">IFERROR(__xludf.DUMMYFUNCTION("QUERY('Volunteer Survey'!K844)"),"")</f>
        <v/>
      </c>
      <c r="S450" s="49" t="str">
        <f ca="1">IFERROR(__xludf.DUMMYFUNCTION("QUERY('Volunteer Survey'!L844)"),"")</f>
        <v/>
      </c>
      <c r="T450" s="49">
        <f>'Volunteer Survey'!M860</f>
        <v>0</v>
      </c>
      <c r="U450" s="58" t="str">
        <f ca="1">IFERROR(__xludf.DUMMYFUNCTION("QUERY('Volunteer Survey'!N844)"),"")</f>
        <v/>
      </c>
      <c r="V450" s="49">
        <f>'Volunteer Survey'!O860</f>
        <v>0</v>
      </c>
      <c r="W450" s="60" t="str">
        <f ca="1">IFERROR(__xludf.DUMMYFUNCTION("QUERY('Volunteer Survey'!P844)"),"")</f>
        <v/>
      </c>
      <c r="X450" s="58" t="str">
        <f ca="1">IFERROR(__xludf.DUMMYFUNCTION("QUERY('Volunteer Survey'!R844)"),"")</f>
        <v/>
      </c>
      <c r="Y450" s="47"/>
      <c r="Z450" s="49"/>
      <c r="AA450" s="49"/>
      <c r="AB450" s="49"/>
      <c r="AC450" s="49"/>
      <c r="AD450" s="49"/>
      <c r="AE450" s="49"/>
      <c r="AF450" s="49"/>
      <c r="AG450" s="49"/>
      <c r="AH450" s="49"/>
      <c r="AI450" s="49"/>
      <c r="AJ450" s="49"/>
      <c r="AK450" s="49"/>
      <c r="AL450" s="49"/>
      <c r="AM450" s="49"/>
      <c r="AN450" s="49"/>
      <c r="AO450" s="49"/>
    </row>
    <row r="451" spans="1:41" ht="14">
      <c r="A451" s="49" t="str">
        <f ca="1">IFERROR(__xludf.DUMMYFUNCTION("QUERY('Volunteer Survey'!A845)"),"")</f>
        <v/>
      </c>
      <c r="B451" s="42" t="s">
        <v>322</v>
      </c>
      <c r="C451" s="47"/>
      <c r="D451" s="49"/>
      <c r="E451" s="49"/>
      <c r="F451" s="49" t="b">
        <v>0</v>
      </c>
      <c r="G451" s="49"/>
      <c r="H451" s="47"/>
      <c r="I451" s="47"/>
      <c r="J451" s="49"/>
      <c r="K451" s="49"/>
      <c r="L451" s="49" t="str">
        <f ca="1">IFERROR(__xludf.DUMMYFUNCTION("QUERY('Volunteer Survey'!B845)"),"")</f>
        <v/>
      </c>
      <c r="M451" s="49" t="str">
        <f ca="1">IFERROR(__xludf.DUMMYFUNCTION("QUERY('Volunteer Survey'!E845)"),"")</f>
        <v/>
      </c>
      <c r="N451" s="49">
        <f>'Volunteer Survey'!F861</f>
        <v>0</v>
      </c>
      <c r="O451" s="42">
        <f>'Volunteer Survey'!H862</f>
        <v>0</v>
      </c>
      <c r="P451" s="49" t="str">
        <f ca="1">IFERROR(__xludf.DUMMYFUNCTION("QUERY('Volunteer Survey'!I845)"),"")</f>
        <v/>
      </c>
      <c r="Q451" s="54" t="str">
        <f ca="1">IFERROR(__xludf.DUMMYFUNCTION("QUERY('Volunteer Survey'!J845)"),"")</f>
        <v/>
      </c>
      <c r="R451" s="49" t="str">
        <f ca="1">IFERROR(__xludf.DUMMYFUNCTION("QUERY('Volunteer Survey'!K845)"),"")</f>
        <v/>
      </c>
      <c r="S451" s="49" t="str">
        <f ca="1">IFERROR(__xludf.DUMMYFUNCTION("QUERY('Volunteer Survey'!L845)"),"")</f>
        <v/>
      </c>
      <c r="T451" s="49">
        <f>'Volunteer Survey'!M861</f>
        <v>0</v>
      </c>
      <c r="U451" s="58" t="str">
        <f ca="1">IFERROR(__xludf.DUMMYFUNCTION("QUERY('Volunteer Survey'!N845)"),"")</f>
        <v/>
      </c>
      <c r="V451" s="49">
        <f>'Volunteer Survey'!O861</f>
        <v>0</v>
      </c>
      <c r="W451" s="60" t="str">
        <f ca="1">IFERROR(__xludf.DUMMYFUNCTION("QUERY('Volunteer Survey'!P845)"),"")</f>
        <v/>
      </c>
      <c r="X451" s="58" t="str">
        <f ca="1">IFERROR(__xludf.DUMMYFUNCTION("QUERY('Volunteer Survey'!R845)"),"")</f>
        <v/>
      </c>
      <c r="Y451" s="47"/>
      <c r="Z451" s="49"/>
      <c r="AA451" s="49"/>
      <c r="AB451" s="49"/>
      <c r="AC451" s="49"/>
      <c r="AD451" s="49"/>
      <c r="AE451" s="49"/>
      <c r="AF451" s="49"/>
      <c r="AG451" s="49"/>
      <c r="AH451" s="49"/>
      <c r="AI451" s="49"/>
      <c r="AJ451" s="49"/>
      <c r="AK451" s="49"/>
      <c r="AL451" s="49"/>
      <c r="AM451" s="49"/>
      <c r="AN451" s="49"/>
      <c r="AO451" s="49"/>
    </row>
    <row r="452" spans="1:41" ht="14">
      <c r="A452" s="49" t="str">
        <f ca="1">IFERROR(__xludf.DUMMYFUNCTION("QUERY('Volunteer Survey'!A846)"),"")</f>
        <v/>
      </c>
      <c r="B452" s="42" t="s">
        <v>322</v>
      </c>
      <c r="C452" s="47"/>
      <c r="D452" s="49"/>
      <c r="E452" s="49"/>
      <c r="F452" s="49" t="b">
        <v>0</v>
      </c>
      <c r="G452" s="49"/>
      <c r="H452" s="47"/>
      <c r="I452" s="47"/>
      <c r="J452" s="49"/>
      <c r="K452" s="49"/>
      <c r="L452" s="49" t="str">
        <f ca="1">IFERROR(__xludf.DUMMYFUNCTION("QUERY('Volunteer Survey'!B846)"),"")</f>
        <v/>
      </c>
      <c r="M452" s="49" t="str">
        <f ca="1">IFERROR(__xludf.DUMMYFUNCTION("QUERY('Volunteer Survey'!E846)"),"")</f>
        <v/>
      </c>
      <c r="N452" s="49">
        <f>'Volunteer Survey'!F862</f>
        <v>0</v>
      </c>
      <c r="O452" s="42">
        <f>'Volunteer Survey'!H863</f>
        <v>0</v>
      </c>
      <c r="P452" s="49" t="str">
        <f ca="1">IFERROR(__xludf.DUMMYFUNCTION("QUERY('Volunteer Survey'!I846)"),"")</f>
        <v/>
      </c>
      <c r="Q452" s="54" t="str">
        <f ca="1">IFERROR(__xludf.DUMMYFUNCTION("QUERY('Volunteer Survey'!J846)"),"")</f>
        <v/>
      </c>
      <c r="R452" s="49" t="str">
        <f ca="1">IFERROR(__xludf.DUMMYFUNCTION("QUERY('Volunteer Survey'!K846)"),"")</f>
        <v/>
      </c>
      <c r="S452" s="49" t="str">
        <f ca="1">IFERROR(__xludf.DUMMYFUNCTION("QUERY('Volunteer Survey'!L846)"),"")</f>
        <v/>
      </c>
      <c r="T452" s="49">
        <f>'Volunteer Survey'!M862</f>
        <v>0</v>
      </c>
      <c r="U452" s="58" t="str">
        <f ca="1">IFERROR(__xludf.DUMMYFUNCTION("QUERY('Volunteer Survey'!N846)"),"")</f>
        <v/>
      </c>
      <c r="V452" s="49">
        <f>'Volunteer Survey'!O862</f>
        <v>0</v>
      </c>
      <c r="W452" s="60" t="str">
        <f ca="1">IFERROR(__xludf.DUMMYFUNCTION("QUERY('Volunteer Survey'!P846)"),"")</f>
        <v/>
      </c>
      <c r="X452" s="58" t="str">
        <f ca="1">IFERROR(__xludf.DUMMYFUNCTION("QUERY('Volunteer Survey'!R846)"),"")</f>
        <v/>
      </c>
      <c r="Y452" s="47"/>
      <c r="Z452" s="49"/>
      <c r="AA452" s="49"/>
      <c r="AB452" s="49"/>
      <c r="AC452" s="49"/>
      <c r="AD452" s="49"/>
      <c r="AE452" s="49"/>
      <c r="AF452" s="49"/>
      <c r="AG452" s="49"/>
      <c r="AH452" s="49"/>
      <c r="AI452" s="49"/>
      <c r="AJ452" s="49"/>
      <c r="AK452" s="49"/>
      <c r="AL452" s="49"/>
      <c r="AM452" s="49"/>
      <c r="AN452" s="49"/>
      <c r="AO452" s="49"/>
    </row>
    <row r="453" spans="1:41" ht="14">
      <c r="A453" s="49" t="str">
        <f ca="1">IFERROR(__xludf.DUMMYFUNCTION("QUERY('Volunteer Survey'!A847)"),"")</f>
        <v/>
      </c>
      <c r="B453" s="42" t="s">
        <v>322</v>
      </c>
      <c r="C453" s="47"/>
      <c r="D453" s="49"/>
      <c r="E453" s="49"/>
      <c r="F453" s="49" t="b">
        <v>0</v>
      </c>
      <c r="G453" s="49"/>
      <c r="H453" s="47"/>
      <c r="I453" s="47"/>
      <c r="J453" s="49"/>
      <c r="K453" s="49"/>
      <c r="L453" s="49" t="str">
        <f ca="1">IFERROR(__xludf.DUMMYFUNCTION("QUERY('Volunteer Survey'!B847)"),"")</f>
        <v/>
      </c>
      <c r="M453" s="49" t="str">
        <f ca="1">IFERROR(__xludf.DUMMYFUNCTION("QUERY('Volunteer Survey'!E847)"),"")</f>
        <v/>
      </c>
      <c r="N453" s="49">
        <f>'Volunteer Survey'!F863</f>
        <v>0</v>
      </c>
      <c r="O453" s="42">
        <f>'Volunteer Survey'!H864</f>
        <v>0</v>
      </c>
      <c r="P453" s="49" t="str">
        <f ca="1">IFERROR(__xludf.DUMMYFUNCTION("QUERY('Volunteer Survey'!I847)"),"")</f>
        <v/>
      </c>
      <c r="Q453" s="54" t="str">
        <f ca="1">IFERROR(__xludf.DUMMYFUNCTION("QUERY('Volunteer Survey'!J847)"),"")</f>
        <v/>
      </c>
      <c r="R453" s="49"/>
      <c r="S453" s="49" t="str">
        <f ca="1">IFERROR(__xludf.DUMMYFUNCTION("QUERY('Volunteer Survey'!L847)"),"")</f>
        <v/>
      </c>
      <c r="T453" s="49">
        <f>'Volunteer Survey'!M863</f>
        <v>0</v>
      </c>
      <c r="U453" s="58"/>
      <c r="V453" s="49">
        <f>'Volunteer Survey'!O863</f>
        <v>0</v>
      </c>
      <c r="W453" s="60" t="str">
        <f ca="1">IFERROR(__xludf.DUMMYFUNCTION("QUERY('Volunteer Survey'!P847)"),"")</f>
        <v/>
      </c>
      <c r="X453" s="58" t="str">
        <f ca="1">IFERROR(__xludf.DUMMYFUNCTION("QUERY('Volunteer Survey'!R847)"),"")</f>
        <v/>
      </c>
      <c r="Y453" s="47"/>
      <c r="Z453" s="49"/>
      <c r="AA453" s="49"/>
      <c r="AB453" s="49"/>
      <c r="AC453" s="49"/>
      <c r="AD453" s="49"/>
      <c r="AE453" s="49"/>
      <c r="AF453" s="49"/>
      <c r="AG453" s="49"/>
      <c r="AH453" s="49"/>
      <c r="AI453" s="49"/>
      <c r="AJ453" s="49"/>
      <c r="AK453" s="49"/>
      <c r="AL453" s="49"/>
      <c r="AM453" s="49"/>
      <c r="AN453" s="49"/>
      <c r="AO453" s="49"/>
    </row>
    <row r="454" spans="1:41" ht="14">
      <c r="A454" s="49" t="str">
        <f ca="1">IFERROR(__xludf.DUMMYFUNCTION("QUERY('Volunteer Survey'!A848)"),"")</f>
        <v/>
      </c>
      <c r="B454" s="42" t="s">
        <v>322</v>
      </c>
      <c r="C454" s="47"/>
      <c r="D454" s="49"/>
      <c r="E454" s="49"/>
      <c r="F454" s="49" t="b">
        <v>0</v>
      </c>
      <c r="G454" s="49"/>
      <c r="H454" s="47"/>
      <c r="I454" s="47"/>
      <c r="J454" s="49"/>
      <c r="K454" s="49"/>
      <c r="L454" s="49" t="str">
        <f ca="1">IFERROR(__xludf.DUMMYFUNCTION("QUERY('Volunteer Survey'!B848)"),"")</f>
        <v/>
      </c>
      <c r="M454" s="49" t="str">
        <f ca="1">IFERROR(__xludf.DUMMYFUNCTION("QUERY('Volunteer Survey'!E848)"),"")</f>
        <v/>
      </c>
      <c r="N454" s="49">
        <f>'Volunteer Survey'!F864</f>
        <v>0</v>
      </c>
      <c r="O454" s="42">
        <f>'Volunteer Survey'!H865</f>
        <v>0</v>
      </c>
      <c r="P454" s="49" t="str">
        <f ca="1">IFERROR(__xludf.DUMMYFUNCTION("QUERY('Volunteer Survey'!I848)"),"")</f>
        <v/>
      </c>
      <c r="Q454" s="54" t="str">
        <f ca="1">IFERROR(__xludf.DUMMYFUNCTION("QUERY('Volunteer Survey'!J848)"),"")</f>
        <v/>
      </c>
      <c r="R454" s="49"/>
      <c r="S454" s="49" t="str">
        <f ca="1">IFERROR(__xludf.DUMMYFUNCTION("QUERY('Volunteer Survey'!L848)"),"")</f>
        <v/>
      </c>
      <c r="T454" s="49">
        <f>'Volunteer Survey'!M864</f>
        <v>0</v>
      </c>
      <c r="U454" s="58"/>
      <c r="V454" s="49">
        <f>'Volunteer Survey'!O864</f>
        <v>0</v>
      </c>
      <c r="W454" s="60" t="str">
        <f ca="1">IFERROR(__xludf.DUMMYFUNCTION("QUERY('Volunteer Survey'!P848)"),"")</f>
        <v/>
      </c>
      <c r="X454" s="58" t="str">
        <f ca="1">IFERROR(__xludf.DUMMYFUNCTION("QUERY('Volunteer Survey'!R848)"),"")</f>
        <v/>
      </c>
      <c r="Y454" s="47"/>
      <c r="Z454" s="49"/>
      <c r="AA454" s="49"/>
      <c r="AB454" s="49"/>
      <c r="AC454" s="49"/>
      <c r="AD454" s="49"/>
      <c r="AE454" s="49"/>
      <c r="AF454" s="49"/>
      <c r="AG454" s="49"/>
      <c r="AH454" s="49"/>
      <c r="AI454" s="49"/>
      <c r="AJ454" s="49"/>
      <c r="AK454" s="49"/>
      <c r="AL454" s="49"/>
      <c r="AM454" s="49"/>
      <c r="AN454" s="49"/>
      <c r="AO454" s="49"/>
    </row>
    <row r="455" spans="1:41" ht="14">
      <c r="A455" s="49" t="str">
        <f ca="1">IFERROR(__xludf.DUMMYFUNCTION("QUERY('Volunteer Survey'!A849)"),"")</f>
        <v/>
      </c>
      <c r="B455" s="42" t="s">
        <v>322</v>
      </c>
      <c r="C455" s="47"/>
      <c r="D455" s="49"/>
      <c r="E455" s="49"/>
      <c r="F455" s="49" t="b">
        <v>0</v>
      </c>
      <c r="G455" s="49"/>
      <c r="H455" s="47"/>
      <c r="I455" s="47"/>
      <c r="J455" s="49"/>
      <c r="K455" s="49"/>
      <c r="L455" s="49">
        <f>'Volunteer Survey'!B865</f>
        <v>0</v>
      </c>
      <c r="M455" s="49" t="str">
        <f ca="1">IFERROR(__xludf.DUMMYFUNCTION("QUERY('Volunteer Survey'!E849)"),"")</f>
        <v/>
      </c>
      <c r="N455" s="49">
        <f>'Volunteer Survey'!F865</f>
        <v>0</v>
      </c>
      <c r="O455" s="42">
        <f>'Volunteer Survey'!H866</f>
        <v>0</v>
      </c>
      <c r="P455" s="49" t="str">
        <f ca="1">IFERROR(__xludf.DUMMYFUNCTION("QUERY('Volunteer Survey'!I849)"),"")</f>
        <v/>
      </c>
      <c r="Q455" s="54" t="str">
        <f ca="1">IFERROR(__xludf.DUMMYFUNCTION("QUERY('Volunteer Survey'!J849)"),"")</f>
        <v/>
      </c>
      <c r="R455" s="49"/>
      <c r="S455" s="49" t="str">
        <f ca="1">IFERROR(__xludf.DUMMYFUNCTION("QUERY('Volunteer Survey'!L849)"),"")</f>
        <v/>
      </c>
      <c r="T455" s="49">
        <f>'Volunteer Survey'!M865</f>
        <v>0</v>
      </c>
      <c r="U455" s="58"/>
      <c r="V455" s="49">
        <f>'Volunteer Survey'!O865</f>
        <v>0</v>
      </c>
      <c r="W455" s="60" t="str">
        <f ca="1">IFERROR(__xludf.DUMMYFUNCTION("QUERY('Volunteer Survey'!P849)"),"")</f>
        <v/>
      </c>
      <c r="X455" s="58" t="str">
        <f ca="1">IFERROR(__xludf.DUMMYFUNCTION("QUERY('Volunteer Survey'!R849)"),"")</f>
        <v/>
      </c>
      <c r="Y455" s="47"/>
      <c r="Z455" s="49"/>
      <c r="AA455" s="49"/>
      <c r="AB455" s="49"/>
      <c r="AC455" s="49"/>
      <c r="AD455" s="49"/>
      <c r="AE455" s="49"/>
      <c r="AF455" s="49"/>
      <c r="AG455" s="49"/>
      <c r="AH455" s="49"/>
      <c r="AI455" s="49"/>
      <c r="AJ455" s="49"/>
      <c r="AK455" s="49"/>
      <c r="AL455" s="49"/>
      <c r="AM455" s="49"/>
      <c r="AN455" s="49"/>
      <c r="AO455" s="49"/>
    </row>
    <row r="456" spans="1:41" ht="14">
      <c r="A456" s="49">
        <f>'Volunteer Survey'!A866</f>
        <v>0</v>
      </c>
      <c r="B456" s="42" t="s">
        <v>322</v>
      </c>
      <c r="C456" s="47"/>
      <c r="D456" s="49"/>
      <c r="E456" s="49"/>
      <c r="F456" s="49" t="b">
        <v>0</v>
      </c>
      <c r="G456" s="49"/>
      <c r="H456" s="47"/>
      <c r="I456" s="47"/>
      <c r="J456" s="49"/>
      <c r="K456" s="49"/>
      <c r="L456" s="49">
        <f>'Volunteer Survey'!B866</f>
        <v>0</v>
      </c>
      <c r="M456" s="49" t="str">
        <f ca="1">IFERROR(__xludf.DUMMYFUNCTION("QUERY('Volunteer Survey'!E850)"),"")</f>
        <v/>
      </c>
      <c r="N456" s="49">
        <f>'Volunteer Survey'!F866</f>
        <v>0</v>
      </c>
      <c r="O456" s="42">
        <f>'Volunteer Survey'!H867</f>
        <v>0</v>
      </c>
      <c r="P456" s="49" t="str">
        <f ca="1">IFERROR(__xludf.DUMMYFUNCTION("QUERY('Volunteer Survey'!I850)"),"")</f>
        <v/>
      </c>
      <c r="Q456" s="54" t="str">
        <f ca="1">IFERROR(__xludf.DUMMYFUNCTION("QUERY('Volunteer Survey'!J850)"),"")</f>
        <v/>
      </c>
      <c r="R456" s="49"/>
      <c r="S456" s="49" t="str">
        <f ca="1">IFERROR(__xludf.DUMMYFUNCTION("QUERY('Volunteer Survey'!L850)"),"")</f>
        <v/>
      </c>
      <c r="T456" s="49">
        <f>'Volunteer Survey'!M866</f>
        <v>0</v>
      </c>
      <c r="U456" s="58"/>
      <c r="V456" s="49">
        <f>'Volunteer Survey'!O866</f>
        <v>0</v>
      </c>
      <c r="W456" s="60" t="str">
        <f ca="1">IFERROR(__xludf.DUMMYFUNCTION("QUERY('Volunteer Survey'!P850)"),"")</f>
        <v/>
      </c>
      <c r="X456" s="58" t="str">
        <f ca="1">IFERROR(__xludf.DUMMYFUNCTION("QUERY('Volunteer Survey'!R850)"),"")</f>
        <v/>
      </c>
      <c r="Y456" s="47"/>
      <c r="Z456" s="49"/>
      <c r="AA456" s="49"/>
      <c r="AB456" s="49"/>
      <c r="AC456" s="49"/>
      <c r="AD456" s="49"/>
      <c r="AE456" s="49"/>
      <c r="AF456" s="49"/>
      <c r="AG456" s="49"/>
      <c r="AH456" s="49"/>
      <c r="AI456" s="49"/>
      <c r="AJ456" s="49"/>
      <c r="AK456" s="49"/>
      <c r="AL456" s="49"/>
      <c r="AM456" s="49"/>
      <c r="AN456" s="49"/>
      <c r="AO456" s="49"/>
    </row>
    <row r="457" spans="1:41" ht="14">
      <c r="A457" s="49">
        <f>'Volunteer Survey'!A867</f>
        <v>0</v>
      </c>
      <c r="B457" s="42" t="s">
        <v>322</v>
      </c>
      <c r="C457" s="47"/>
      <c r="D457" s="49"/>
      <c r="E457" s="49"/>
      <c r="F457" s="49" t="b">
        <v>0</v>
      </c>
      <c r="G457" s="49"/>
      <c r="H457" s="47"/>
      <c r="I457" s="47"/>
      <c r="J457" s="49"/>
      <c r="K457" s="49"/>
      <c r="L457" s="49">
        <f>'Volunteer Survey'!B867</f>
        <v>0</v>
      </c>
      <c r="M457" s="49" t="str">
        <f ca="1">IFERROR(__xludf.DUMMYFUNCTION("QUERY('Volunteer Survey'!E851)"),"")</f>
        <v/>
      </c>
      <c r="N457" s="49">
        <f>'Volunteer Survey'!F867</f>
        <v>0</v>
      </c>
      <c r="O457" s="42">
        <f>'Volunteer Survey'!H868</f>
        <v>0</v>
      </c>
      <c r="P457" s="49" t="str">
        <f ca="1">IFERROR(__xludf.DUMMYFUNCTION("QUERY('Volunteer Survey'!I851)"),"")</f>
        <v/>
      </c>
      <c r="Q457" s="54" t="str">
        <f ca="1">IFERROR(__xludf.DUMMYFUNCTION("QUERY('Volunteer Survey'!J851)"),"")</f>
        <v/>
      </c>
      <c r="R457" s="49"/>
      <c r="S457" s="49" t="str">
        <f ca="1">IFERROR(__xludf.DUMMYFUNCTION("QUERY('Volunteer Survey'!L851)"),"")</f>
        <v/>
      </c>
      <c r="T457" s="49">
        <f>'Volunteer Survey'!M867</f>
        <v>0</v>
      </c>
      <c r="U457" s="58"/>
      <c r="V457" s="49">
        <f>'Volunteer Survey'!O867</f>
        <v>0</v>
      </c>
      <c r="W457" s="60" t="str">
        <f ca="1">IFERROR(__xludf.DUMMYFUNCTION("QUERY('Volunteer Survey'!P851)"),"")</f>
        <v/>
      </c>
      <c r="X457" s="58" t="str">
        <f ca="1">IFERROR(__xludf.DUMMYFUNCTION("QUERY('Volunteer Survey'!R851)"),"")</f>
        <v/>
      </c>
      <c r="Y457" s="47"/>
      <c r="Z457" s="49"/>
      <c r="AA457" s="49"/>
      <c r="AB457" s="49"/>
      <c r="AC457" s="49"/>
      <c r="AD457" s="49"/>
      <c r="AE457" s="49"/>
      <c r="AF457" s="49"/>
      <c r="AG457" s="49"/>
      <c r="AH457" s="49"/>
      <c r="AI457" s="49"/>
      <c r="AJ457" s="49"/>
      <c r="AK457" s="49"/>
      <c r="AL457" s="49"/>
      <c r="AM457" s="49"/>
      <c r="AN457" s="49"/>
      <c r="AO457" s="49"/>
    </row>
    <row r="458" spans="1:41" ht="14">
      <c r="A458" s="49">
        <f>'Volunteer Survey'!A868</f>
        <v>0</v>
      </c>
      <c r="B458" s="42" t="s">
        <v>322</v>
      </c>
      <c r="C458" s="47"/>
      <c r="D458" s="49"/>
      <c r="E458" s="49"/>
      <c r="F458" s="49" t="b">
        <v>0</v>
      </c>
      <c r="G458" s="49"/>
      <c r="H458" s="47"/>
      <c r="I458" s="47"/>
      <c r="J458" s="49"/>
      <c r="K458" s="49"/>
      <c r="L458" s="49">
        <f>'Volunteer Survey'!B868</f>
        <v>0</v>
      </c>
      <c r="M458" s="49" t="str">
        <f ca="1">IFERROR(__xludf.DUMMYFUNCTION("QUERY('Volunteer Survey'!E852)"),"")</f>
        <v/>
      </c>
      <c r="N458" s="49">
        <f>'Volunteer Survey'!F868</f>
        <v>0</v>
      </c>
      <c r="O458" s="42">
        <f>'Volunteer Survey'!H869</f>
        <v>0</v>
      </c>
      <c r="P458" s="49" t="str">
        <f ca="1">IFERROR(__xludf.DUMMYFUNCTION("QUERY('Volunteer Survey'!I852)"),"")</f>
        <v/>
      </c>
      <c r="Q458" s="54" t="str">
        <f ca="1">IFERROR(__xludf.DUMMYFUNCTION("QUERY('Volunteer Survey'!J852)"),"")</f>
        <v/>
      </c>
      <c r="R458" s="49"/>
      <c r="S458" s="49" t="str">
        <f ca="1">IFERROR(__xludf.DUMMYFUNCTION("QUERY('Volunteer Survey'!L852)"),"")</f>
        <v/>
      </c>
      <c r="T458" s="49">
        <f>'Volunteer Survey'!M868</f>
        <v>0</v>
      </c>
      <c r="U458" s="58"/>
      <c r="V458" s="49">
        <f>'Volunteer Survey'!O868</f>
        <v>0</v>
      </c>
      <c r="W458" s="60" t="str">
        <f ca="1">IFERROR(__xludf.DUMMYFUNCTION("QUERY('Volunteer Survey'!P852)"),"")</f>
        <v/>
      </c>
      <c r="X458" s="58" t="str">
        <f ca="1">IFERROR(__xludf.DUMMYFUNCTION("QUERY('Volunteer Survey'!R852)"),"")</f>
        <v/>
      </c>
      <c r="Y458" s="47"/>
      <c r="Z458" s="49"/>
      <c r="AA458" s="49"/>
      <c r="AB458" s="49"/>
      <c r="AC458" s="49"/>
      <c r="AD458" s="49"/>
      <c r="AE458" s="49"/>
      <c r="AF458" s="49"/>
      <c r="AG458" s="49"/>
      <c r="AH458" s="49"/>
      <c r="AI458" s="49"/>
      <c r="AJ458" s="49"/>
      <c r="AK458" s="49"/>
      <c r="AL458" s="49"/>
      <c r="AM458" s="49"/>
      <c r="AN458" s="49"/>
      <c r="AO458" s="49"/>
    </row>
    <row r="459" spans="1:41" ht="14">
      <c r="A459" s="49">
        <f>'Volunteer Survey'!A869</f>
        <v>0</v>
      </c>
      <c r="B459" s="42" t="s">
        <v>322</v>
      </c>
      <c r="C459" s="47"/>
      <c r="D459" s="49"/>
      <c r="E459" s="49"/>
      <c r="F459" s="49" t="b">
        <v>0</v>
      </c>
      <c r="G459" s="49"/>
      <c r="H459" s="47"/>
      <c r="I459" s="47"/>
      <c r="J459" s="49"/>
      <c r="K459" s="49"/>
      <c r="L459" s="49">
        <f>'Volunteer Survey'!B869</f>
        <v>0</v>
      </c>
      <c r="M459" s="49" t="str">
        <f ca="1">IFERROR(__xludf.DUMMYFUNCTION("QUERY('Volunteer Survey'!E853)"),"")</f>
        <v/>
      </c>
      <c r="N459" s="49">
        <f>'Volunteer Survey'!F869</f>
        <v>0</v>
      </c>
      <c r="O459" s="42">
        <f>'Volunteer Survey'!H870</f>
        <v>0</v>
      </c>
      <c r="P459" s="49" t="str">
        <f ca="1">IFERROR(__xludf.DUMMYFUNCTION("QUERY('Volunteer Survey'!I853)"),"")</f>
        <v/>
      </c>
      <c r="Q459" s="54" t="str">
        <f ca="1">IFERROR(__xludf.DUMMYFUNCTION("QUERY('Volunteer Survey'!J853)"),"")</f>
        <v/>
      </c>
      <c r="R459" s="49"/>
      <c r="S459" s="49" t="str">
        <f ca="1">IFERROR(__xludf.DUMMYFUNCTION("QUERY('Volunteer Survey'!L853)"),"")</f>
        <v/>
      </c>
      <c r="T459" s="49">
        <f>'Volunteer Survey'!M869</f>
        <v>0</v>
      </c>
      <c r="U459" s="58"/>
      <c r="V459" s="49">
        <f>'Volunteer Survey'!O869</f>
        <v>0</v>
      </c>
      <c r="W459" s="60" t="str">
        <f ca="1">IFERROR(__xludf.DUMMYFUNCTION("QUERY('Volunteer Survey'!P853)"),"")</f>
        <v/>
      </c>
      <c r="X459" s="58" t="str">
        <f ca="1">IFERROR(__xludf.DUMMYFUNCTION("QUERY('Volunteer Survey'!R853)"),"")</f>
        <v/>
      </c>
      <c r="Y459" s="47"/>
      <c r="Z459" s="49"/>
      <c r="AA459" s="49"/>
      <c r="AB459" s="49"/>
      <c r="AC459" s="49"/>
      <c r="AD459" s="49"/>
      <c r="AE459" s="49"/>
      <c r="AF459" s="49"/>
      <c r="AG459" s="49"/>
      <c r="AH459" s="49"/>
      <c r="AI459" s="49"/>
      <c r="AJ459" s="49"/>
      <c r="AK459" s="49"/>
      <c r="AL459" s="49"/>
      <c r="AM459" s="49"/>
      <c r="AN459" s="49"/>
      <c r="AO459" s="49"/>
    </row>
    <row r="460" spans="1:41" ht="14">
      <c r="A460" s="49">
        <f>'Volunteer Survey'!A870</f>
        <v>0</v>
      </c>
      <c r="B460" s="42" t="s">
        <v>322</v>
      </c>
      <c r="C460" s="47"/>
      <c r="D460" s="49"/>
      <c r="E460" s="49"/>
      <c r="F460" s="49" t="b">
        <v>0</v>
      </c>
      <c r="G460" s="49"/>
      <c r="H460" s="47"/>
      <c r="I460" s="47"/>
      <c r="J460" s="49"/>
      <c r="K460" s="49"/>
      <c r="L460" s="49">
        <f>'Volunteer Survey'!B870</f>
        <v>0</v>
      </c>
      <c r="M460" s="49" t="str">
        <f ca="1">IFERROR(__xludf.DUMMYFUNCTION("QUERY('Volunteer Survey'!E854)"),"")</f>
        <v/>
      </c>
      <c r="N460" s="49">
        <f>'Volunteer Survey'!F870</f>
        <v>0</v>
      </c>
      <c r="O460" s="42">
        <f>'Volunteer Survey'!H871</f>
        <v>0</v>
      </c>
      <c r="P460" s="49" t="str">
        <f ca="1">IFERROR(__xludf.DUMMYFUNCTION("QUERY('Volunteer Survey'!I854)"),"")</f>
        <v/>
      </c>
      <c r="Q460" s="54" t="str">
        <f ca="1">IFERROR(__xludf.DUMMYFUNCTION("QUERY('Volunteer Survey'!J854)"),"")</f>
        <v/>
      </c>
      <c r="R460" s="49"/>
      <c r="S460" s="49" t="str">
        <f ca="1">IFERROR(__xludf.DUMMYFUNCTION("QUERY('Volunteer Survey'!L854)"),"")</f>
        <v/>
      </c>
      <c r="T460" s="49">
        <f>'Volunteer Survey'!M870</f>
        <v>0</v>
      </c>
      <c r="U460" s="58"/>
      <c r="V460" s="49">
        <f>'Volunteer Survey'!O870</f>
        <v>0</v>
      </c>
      <c r="W460" s="60" t="str">
        <f ca="1">IFERROR(__xludf.DUMMYFUNCTION("QUERY('Volunteer Survey'!P854)"),"")</f>
        <v/>
      </c>
      <c r="X460" s="58" t="str">
        <f ca="1">IFERROR(__xludf.DUMMYFUNCTION("QUERY('Volunteer Survey'!R854)"),"")</f>
        <v/>
      </c>
      <c r="Y460" s="47"/>
      <c r="Z460" s="49"/>
      <c r="AA460" s="49"/>
      <c r="AB460" s="49"/>
      <c r="AC460" s="49"/>
      <c r="AD460" s="49"/>
      <c r="AE460" s="49"/>
      <c r="AF460" s="49"/>
      <c r="AG460" s="49"/>
      <c r="AH460" s="49"/>
      <c r="AI460" s="49"/>
      <c r="AJ460" s="49"/>
      <c r="AK460" s="49"/>
      <c r="AL460" s="49"/>
      <c r="AM460" s="49"/>
      <c r="AN460" s="49"/>
      <c r="AO460" s="49"/>
    </row>
    <row r="461" spans="1:41" ht="14">
      <c r="A461" s="49">
        <f>'Volunteer Survey'!A871</f>
        <v>0</v>
      </c>
      <c r="B461" s="42" t="s">
        <v>322</v>
      </c>
      <c r="C461" s="47"/>
      <c r="D461" s="49"/>
      <c r="E461" s="49"/>
      <c r="F461" s="49" t="b">
        <v>0</v>
      </c>
      <c r="G461" s="49"/>
      <c r="H461" s="47"/>
      <c r="I461" s="47"/>
      <c r="J461" s="49"/>
      <c r="K461" s="49"/>
      <c r="L461" s="49">
        <f>'Volunteer Survey'!B871</f>
        <v>0</v>
      </c>
      <c r="M461" s="49" t="str">
        <f ca="1">IFERROR(__xludf.DUMMYFUNCTION("QUERY('Volunteer Survey'!E855)"),"")</f>
        <v/>
      </c>
      <c r="N461" s="49">
        <f>'Volunteer Survey'!F872</f>
        <v>0</v>
      </c>
      <c r="O461" s="42">
        <f>'Volunteer Survey'!H872</f>
        <v>0</v>
      </c>
      <c r="P461" s="49"/>
      <c r="Q461" s="54" t="str">
        <f ca="1">IFERROR(__xludf.DUMMYFUNCTION("QUERY('Volunteer Survey'!J855)"),"")</f>
        <v/>
      </c>
      <c r="R461" s="49"/>
      <c r="S461" s="49" t="str">
        <f ca="1">IFERROR(__xludf.DUMMYFUNCTION("QUERY('Volunteer Survey'!L855)"),"")</f>
        <v/>
      </c>
      <c r="T461" s="49">
        <f>'Volunteer Survey'!M871</f>
        <v>0</v>
      </c>
      <c r="U461" s="58"/>
      <c r="V461" s="49">
        <f>'Volunteer Survey'!O871</f>
        <v>0</v>
      </c>
      <c r="W461" s="60" t="str">
        <f ca="1">IFERROR(__xludf.DUMMYFUNCTION("QUERY('Volunteer Survey'!P855)"),"")</f>
        <v/>
      </c>
      <c r="X461" s="58" t="str">
        <f ca="1">IFERROR(__xludf.DUMMYFUNCTION("QUERY('Volunteer Survey'!R855)"),"")</f>
        <v/>
      </c>
      <c r="Y461" s="47"/>
      <c r="Z461" s="49"/>
      <c r="AA461" s="49"/>
      <c r="AB461" s="49"/>
      <c r="AC461" s="49"/>
      <c r="AD461" s="49"/>
      <c r="AE461" s="49"/>
      <c r="AF461" s="49"/>
      <c r="AG461" s="49"/>
      <c r="AH461" s="49"/>
      <c r="AI461" s="49"/>
      <c r="AJ461" s="49"/>
      <c r="AK461" s="49"/>
      <c r="AL461" s="49"/>
      <c r="AM461" s="49"/>
      <c r="AN461" s="49"/>
      <c r="AO461" s="49"/>
    </row>
    <row r="462" spans="1:41" ht="14">
      <c r="A462" s="49">
        <f>'Volunteer Survey'!A872</f>
        <v>0</v>
      </c>
      <c r="B462" s="42" t="s">
        <v>322</v>
      </c>
      <c r="C462" s="47"/>
      <c r="D462" s="49"/>
      <c r="E462" s="49"/>
      <c r="F462" s="49" t="b">
        <v>0</v>
      </c>
      <c r="G462" s="49"/>
      <c r="H462" s="47"/>
      <c r="I462" s="47"/>
      <c r="J462" s="49"/>
      <c r="K462" s="49"/>
      <c r="L462" s="49">
        <f>'Volunteer Survey'!B872</f>
        <v>0</v>
      </c>
      <c r="M462" s="49" t="str">
        <f ca="1">IFERROR(__xludf.DUMMYFUNCTION("QUERY('Volunteer Survey'!E856)"),"")</f>
        <v/>
      </c>
      <c r="N462" s="49">
        <f>'Volunteer Survey'!F873</f>
        <v>0</v>
      </c>
      <c r="O462" s="42">
        <f>'Volunteer Survey'!H873</f>
        <v>0</v>
      </c>
      <c r="P462" s="49"/>
      <c r="Q462" s="54" t="str">
        <f ca="1">IFERROR(__xludf.DUMMYFUNCTION("QUERY('Volunteer Survey'!J856)"),"")</f>
        <v/>
      </c>
      <c r="R462" s="49"/>
      <c r="S462" s="49" t="str">
        <f ca="1">IFERROR(__xludf.DUMMYFUNCTION("QUERY('Volunteer Survey'!L856)"),"")</f>
        <v/>
      </c>
      <c r="T462" s="49">
        <f>'Volunteer Survey'!M872</f>
        <v>0</v>
      </c>
      <c r="U462" s="58"/>
      <c r="V462" s="49">
        <f>'Volunteer Survey'!O872</f>
        <v>0</v>
      </c>
      <c r="W462" s="60" t="str">
        <f ca="1">IFERROR(__xludf.DUMMYFUNCTION("QUERY('Volunteer Survey'!P856)"),"")</f>
        <v/>
      </c>
      <c r="X462" s="58" t="str">
        <f ca="1">IFERROR(__xludf.DUMMYFUNCTION("QUERY('Volunteer Survey'!R856)"),"")</f>
        <v/>
      </c>
      <c r="Y462" s="47"/>
      <c r="Z462" s="49"/>
      <c r="AA462" s="49"/>
      <c r="AB462" s="49"/>
      <c r="AC462" s="49"/>
      <c r="AD462" s="49"/>
      <c r="AE462" s="49"/>
      <c r="AF462" s="49"/>
      <c r="AG462" s="49"/>
      <c r="AH462" s="49"/>
      <c r="AI462" s="49"/>
      <c r="AJ462" s="49"/>
      <c r="AK462" s="49"/>
      <c r="AL462" s="49"/>
      <c r="AM462" s="49"/>
      <c r="AN462" s="49"/>
      <c r="AO462" s="49"/>
    </row>
    <row r="463" spans="1:41" ht="14">
      <c r="A463" s="49">
        <f>'Volunteer Survey'!A873</f>
        <v>0</v>
      </c>
      <c r="B463" s="42" t="s">
        <v>322</v>
      </c>
      <c r="C463" s="47"/>
      <c r="D463" s="49"/>
      <c r="E463" s="49"/>
      <c r="F463" s="49" t="b">
        <v>0</v>
      </c>
      <c r="G463" s="49"/>
      <c r="H463" s="47"/>
      <c r="I463" s="47"/>
      <c r="J463" s="49"/>
      <c r="K463" s="49"/>
      <c r="L463" s="49">
        <f>'Volunteer Survey'!B873</f>
        <v>0</v>
      </c>
      <c r="M463" s="49" t="str">
        <f ca="1">IFERROR(__xludf.DUMMYFUNCTION("QUERY('Volunteer Survey'!E857)"),"")</f>
        <v/>
      </c>
      <c r="N463" s="49">
        <f>'Volunteer Survey'!F874</f>
        <v>0</v>
      </c>
      <c r="O463" s="42">
        <f>'Volunteer Survey'!H874</f>
        <v>0</v>
      </c>
      <c r="P463" s="49"/>
      <c r="Q463" s="54" t="str">
        <f ca="1">IFERROR(__xludf.DUMMYFUNCTION("QUERY('Volunteer Survey'!J857)"),"")</f>
        <v/>
      </c>
      <c r="R463" s="49"/>
      <c r="S463" s="49" t="str">
        <f ca="1">IFERROR(__xludf.DUMMYFUNCTION("QUERY('Volunteer Survey'!L857)"),"")</f>
        <v/>
      </c>
      <c r="T463" s="49">
        <f>'Volunteer Survey'!M873</f>
        <v>0</v>
      </c>
      <c r="U463" s="58"/>
      <c r="V463" s="49">
        <f>'Volunteer Survey'!O873</f>
        <v>0</v>
      </c>
      <c r="W463" s="60" t="str">
        <f ca="1">IFERROR(__xludf.DUMMYFUNCTION("QUERY('Volunteer Survey'!P857)"),"")</f>
        <v/>
      </c>
      <c r="X463" s="58" t="str">
        <f ca="1">IFERROR(__xludf.DUMMYFUNCTION("QUERY('Volunteer Survey'!R857)"),"")</f>
        <v/>
      </c>
      <c r="Y463" s="47"/>
      <c r="Z463" s="49"/>
      <c r="AA463" s="49"/>
      <c r="AB463" s="49"/>
      <c r="AC463" s="49"/>
      <c r="AD463" s="49"/>
      <c r="AE463" s="49"/>
      <c r="AF463" s="49"/>
      <c r="AG463" s="49"/>
      <c r="AH463" s="49"/>
      <c r="AI463" s="49"/>
      <c r="AJ463" s="49"/>
      <c r="AK463" s="49"/>
      <c r="AL463" s="49"/>
      <c r="AM463" s="49"/>
      <c r="AN463" s="49"/>
      <c r="AO463" s="49"/>
    </row>
    <row r="464" spans="1:41" ht="14">
      <c r="A464" s="49">
        <f>'Volunteer Survey'!A874</f>
        <v>0</v>
      </c>
      <c r="B464" s="42" t="s">
        <v>322</v>
      </c>
      <c r="C464" s="47"/>
      <c r="D464" s="49"/>
      <c r="E464" s="49"/>
      <c r="F464" s="49" t="b">
        <v>0</v>
      </c>
      <c r="G464" s="49"/>
      <c r="H464" s="47"/>
      <c r="I464" s="47"/>
      <c r="J464" s="49"/>
      <c r="K464" s="49"/>
      <c r="L464" s="49">
        <f>'Volunteer Survey'!B874</f>
        <v>0</v>
      </c>
      <c r="M464" s="49" t="str">
        <f ca="1">IFERROR(__xludf.DUMMYFUNCTION("QUERY('Volunteer Survey'!E858)"),"")</f>
        <v/>
      </c>
      <c r="N464" s="49">
        <f>'Volunteer Survey'!F875</f>
        <v>0</v>
      </c>
      <c r="O464" s="42">
        <f>'Volunteer Survey'!H875</f>
        <v>0</v>
      </c>
      <c r="P464" s="49"/>
      <c r="Q464" s="54" t="str">
        <f ca="1">IFERROR(__xludf.DUMMYFUNCTION("QUERY('Volunteer Survey'!J858)"),"")</f>
        <v/>
      </c>
      <c r="R464" s="49"/>
      <c r="S464" s="49">
        <f>'Volunteer Survey'!L869</f>
        <v>0</v>
      </c>
      <c r="T464" s="49">
        <f>'Volunteer Survey'!M874</f>
        <v>0</v>
      </c>
      <c r="U464" s="58"/>
      <c r="V464" s="49">
        <f>'Volunteer Survey'!O874</f>
        <v>0</v>
      </c>
      <c r="W464" s="60" t="str">
        <f ca="1">IFERROR(__xludf.DUMMYFUNCTION("QUERY('Volunteer Survey'!P858)"),"")</f>
        <v/>
      </c>
      <c r="X464" s="58" t="str">
        <f ca="1">IFERROR(__xludf.DUMMYFUNCTION("QUERY('Volunteer Survey'!R858)"),"")</f>
        <v/>
      </c>
      <c r="Y464" s="47"/>
      <c r="Z464" s="49"/>
      <c r="AA464" s="49"/>
      <c r="AB464" s="49"/>
      <c r="AC464" s="49"/>
      <c r="AD464" s="49"/>
      <c r="AE464" s="49"/>
      <c r="AF464" s="49"/>
      <c r="AG464" s="49"/>
      <c r="AH464" s="49"/>
      <c r="AI464" s="49"/>
      <c r="AJ464" s="49"/>
      <c r="AK464" s="49"/>
      <c r="AL464" s="49"/>
      <c r="AM464" s="49"/>
      <c r="AN464" s="49"/>
      <c r="AO464" s="49"/>
    </row>
    <row r="465" spans="1:41" ht="14">
      <c r="A465" s="49">
        <f>'Volunteer Survey'!A875</f>
        <v>0</v>
      </c>
      <c r="B465" s="42" t="s">
        <v>322</v>
      </c>
      <c r="C465" s="47"/>
      <c r="D465" s="49"/>
      <c r="E465" s="49"/>
      <c r="F465" s="49" t="b">
        <v>0</v>
      </c>
      <c r="G465" s="49"/>
      <c r="H465" s="47"/>
      <c r="I465" s="47"/>
      <c r="J465" s="49"/>
      <c r="K465" s="49"/>
      <c r="L465" s="49">
        <f>'Volunteer Survey'!B875</f>
        <v>0</v>
      </c>
      <c r="M465" s="49" t="str">
        <f ca="1">IFERROR(__xludf.DUMMYFUNCTION("QUERY('Volunteer Survey'!E859)"),"")</f>
        <v/>
      </c>
      <c r="N465" s="49">
        <f>'Volunteer Survey'!F876</f>
        <v>0</v>
      </c>
      <c r="O465" s="42">
        <f>'Volunteer Survey'!H876</f>
        <v>0</v>
      </c>
      <c r="P465" s="49"/>
      <c r="Q465" s="54" t="str">
        <f ca="1">IFERROR(__xludf.DUMMYFUNCTION("QUERY('Volunteer Survey'!J859)"),"")</f>
        <v/>
      </c>
      <c r="R465" s="49"/>
      <c r="S465" s="49">
        <f>'Volunteer Survey'!L870</f>
        <v>0</v>
      </c>
      <c r="T465" s="49">
        <f>'Volunteer Survey'!M875</f>
        <v>0</v>
      </c>
      <c r="U465" s="58"/>
      <c r="V465" s="49">
        <f>'Volunteer Survey'!O875</f>
        <v>0</v>
      </c>
      <c r="W465" s="60" t="str">
        <f ca="1">IFERROR(__xludf.DUMMYFUNCTION("QUERY('Volunteer Survey'!P859)"),"")</f>
        <v/>
      </c>
      <c r="X465" s="58" t="str">
        <f ca="1">IFERROR(__xludf.DUMMYFUNCTION("QUERY('Volunteer Survey'!R859)"),"")</f>
        <v/>
      </c>
      <c r="Y465" s="47"/>
      <c r="Z465" s="49"/>
      <c r="AA465" s="49"/>
      <c r="AB465" s="49"/>
      <c r="AC465" s="49"/>
      <c r="AD465" s="49"/>
      <c r="AE465" s="49"/>
      <c r="AF465" s="49"/>
      <c r="AG465" s="49"/>
      <c r="AH465" s="49"/>
      <c r="AI465" s="49"/>
      <c r="AJ465" s="49"/>
      <c r="AK465" s="49"/>
      <c r="AL465" s="49"/>
      <c r="AM465" s="49"/>
      <c r="AN465" s="49"/>
      <c r="AO465" s="49"/>
    </row>
    <row r="466" spans="1:41" ht="14">
      <c r="A466" s="49">
        <f>'Volunteer Survey'!A876</f>
        <v>0</v>
      </c>
      <c r="B466" s="42" t="s">
        <v>322</v>
      </c>
      <c r="C466" s="47"/>
      <c r="D466" s="49"/>
      <c r="E466" s="49"/>
      <c r="F466" s="49" t="b">
        <v>0</v>
      </c>
      <c r="G466" s="49"/>
      <c r="H466" s="47"/>
      <c r="I466" s="47"/>
      <c r="J466" s="49"/>
      <c r="K466" s="49"/>
      <c r="L466" s="49">
        <f>'Volunteer Survey'!B876</f>
        <v>0</v>
      </c>
      <c r="M466" s="49" t="str">
        <f ca="1">IFERROR(__xludf.DUMMYFUNCTION("QUERY('Volunteer Survey'!E860)"),"")</f>
        <v/>
      </c>
      <c r="N466" s="49">
        <f>'Volunteer Survey'!F877</f>
        <v>0</v>
      </c>
      <c r="O466" s="42">
        <f>'Volunteer Survey'!H877</f>
        <v>0</v>
      </c>
      <c r="P466" s="49"/>
      <c r="Q466" s="54" t="str">
        <f ca="1">IFERROR(__xludf.DUMMYFUNCTION("QUERY('Volunteer Survey'!J860)"),"")</f>
        <v/>
      </c>
      <c r="R466" s="49"/>
      <c r="S466" s="49">
        <f>'Volunteer Survey'!L871</f>
        <v>0</v>
      </c>
      <c r="T466" s="49">
        <f>'Volunteer Survey'!M876</f>
        <v>0</v>
      </c>
      <c r="U466" s="58"/>
      <c r="V466" s="49">
        <f>'Volunteer Survey'!O876</f>
        <v>0</v>
      </c>
      <c r="W466" s="60">
        <f>'Volunteer Survey'!P876</f>
        <v>0</v>
      </c>
      <c r="X466" s="58" t="str">
        <f ca="1">IFERROR(__xludf.DUMMYFUNCTION("QUERY('Volunteer Survey'!R860)"),"")</f>
        <v/>
      </c>
      <c r="Y466" s="47"/>
      <c r="Z466" s="49"/>
      <c r="AA466" s="49"/>
      <c r="AB466" s="49"/>
      <c r="AC466" s="49"/>
      <c r="AD466" s="49"/>
      <c r="AE466" s="49"/>
      <c r="AF466" s="49"/>
      <c r="AG466" s="49"/>
      <c r="AH466" s="49"/>
      <c r="AI466" s="49"/>
      <c r="AJ466" s="49"/>
      <c r="AK466" s="49"/>
      <c r="AL466" s="49"/>
      <c r="AM466" s="49"/>
      <c r="AN466" s="49"/>
      <c r="AO466" s="49"/>
    </row>
    <row r="467" spans="1:41" ht="14">
      <c r="A467" s="49">
        <f>'Volunteer Survey'!A877</f>
        <v>0</v>
      </c>
      <c r="B467" s="42" t="s">
        <v>322</v>
      </c>
      <c r="C467" s="47"/>
      <c r="D467" s="49"/>
      <c r="E467" s="49"/>
      <c r="F467" s="49" t="b">
        <v>0</v>
      </c>
      <c r="G467" s="49"/>
      <c r="H467" s="47"/>
      <c r="I467" s="47"/>
      <c r="J467" s="49"/>
      <c r="K467" s="49"/>
      <c r="L467" s="49">
        <f>'Volunteer Survey'!B877</f>
        <v>0</v>
      </c>
      <c r="M467" s="49" t="str">
        <f ca="1">IFERROR(__xludf.DUMMYFUNCTION("QUERY('Volunteer Survey'!E861)"),"")</f>
        <v/>
      </c>
      <c r="N467" s="49">
        <f>'Volunteer Survey'!F878</f>
        <v>0</v>
      </c>
      <c r="O467" s="42">
        <f>'Volunteer Survey'!H878</f>
        <v>0</v>
      </c>
      <c r="P467" s="49"/>
      <c r="Q467" s="54" t="str">
        <f ca="1">IFERROR(__xludf.DUMMYFUNCTION("QUERY('Volunteer Survey'!J861)"),"")</f>
        <v/>
      </c>
      <c r="R467" s="49"/>
      <c r="S467" s="49">
        <f>'Volunteer Survey'!L872</f>
        <v>0</v>
      </c>
      <c r="T467" s="49">
        <f>'Volunteer Survey'!M877</f>
        <v>0</v>
      </c>
      <c r="U467" s="58"/>
      <c r="V467" s="49">
        <f>'Volunteer Survey'!O877</f>
        <v>0</v>
      </c>
      <c r="W467" s="60">
        <f>'Volunteer Survey'!P877</f>
        <v>0</v>
      </c>
      <c r="X467" s="58" t="str">
        <f ca="1">IFERROR(__xludf.DUMMYFUNCTION("QUERY('Volunteer Survey'!R861)"),"")</f>
        <v/>
      </c>
      <c r="Y467" s="47"/>
      <c r="Z467" s="49"/>
      <c r="AA467" s="49"/>
      <c r="AB467" s="49"/>
      <c r="AC467" s="49"/>
      <c r="AD467" s="49"/>
      <c r="AE467" s="49"/>
      <c r="AF467" s="49"/>
      <c r="AG467" s="49"/>
      <c r="AH467" s="49"/>
      <c r="AI467" s="49"/>
      <c r="AJ467" s="49"/>
      <c r="AK467" s="49"/>
      <c r="AL467" s="49"/>
      <c r="AM467" s="49"/>
      <c r="AN467" s="49"/>
      <c r="AO467" s="49"/>
    </row>
    <row r="468" spans="1:41" ht="14">
      <c r="A468" s="49">
        <f>'Volunteer Survey'!A878</f>
        <v>0</v>
      </c>
      <c r="B468" s="42" t="s">
        <v>322</v>
      </c>
      <c r="C468" s="47"/>
      <c r="D468" s="49"/>
      <c r="E468" s="49"/>
      <c r="F468" s="49" t="b">
        <v>0</v>
      </c>
      <c r="G468" s="49"/>
      <c r="H468" s="47"/>
      <c r="I468" s="47"/>
      <c r="J468" s="49"/>
      <c r="K468" s="49"/>
      <c r="L468" s="49">
        <f>'Volunteer Survey'!B878</f>
        <v>0</v>
      </c>
      <c r="M468" s="49" t="str">
        <f ca="1">IFERROR(__xludf.DUMMYFUNCTION("QUERY('Volunteer Survey'!E862)"),"")</f>
        <v/>
      </c>
      <c r="N468" s="49">
        <f>'Volunteer Survey'!F879</f>
        <v>0</v>
      </c>
      <c r="O468" s="42">
        <f>'Volunteer Survey'!H879</f>
        <v>0</v>
      </c>
      <c r="P468" s="49"/>
      <c r="Q468" s="54" t="str">
        <f ca="1">IFERROR(__xludf.DUMMYFUNCTION("QUERY('Volunteer Survey'!J862)"),"")</f>
        <v/>
      </c>
      <c r="R468" s="49"/>
      <c r="S468" s="49">
        <f>'Volunteer Survey'!L873</f>
        <v>0</v>
      </c>
      <c r="T468" s="49">
        <f>'Volunteer Survey'!M878</f>
        <v>0</v>
      </c>
      <c r="U468" s="58"/>
      <c r="V468" s="49">
        <f>'Volunteer Survey'!O878</f>
        <v>0</v>
      </c>
      <c r="W468" s="60">
        <f>'Volunteer Survey'!P878</f>
        <v>0</v>
      </c>
      <c r="X468" s="58" t="str">
        <f ca="1">IFERROR(__xludf.DUMMYFUNCTION("QUERY('Volunteer Survey'!R862)"),"")</f>
        <v/>
      </c>
      <c r="Y468" s="47"/>
      <c r="Z468" s="49"/>
      <c r="AA468" s="49"/>
      <c r="AB468" s="49"/>
      <c r="AC468" s="49"/>
      <c r="AD468" s="49"/>
      <c r="AE468" s="49"/>
      <c r="AF468" s="49"/>
      <c r="AG468" s="49"/>
      <c r="AH468" s="49"/>
      <c r="AI468" s="49"/>
      <c r="AJ468" s="49"/>
      <c r="AK468" s="49"/>
      <c r="AL468" s="49"/>
      <c r="AM468" s="49"/>
      <c r="AN468" s="49"/>
      <c r="AO468" s="49"/>
    </row>
    <row r="469" spans="1:41" ht="14">
      <c r="A469" s="49">
        <f>'Volunteer Survey'!A879</f>
        <v>0</v>
      </c>
      <c r="B469" s="42" t="s">
        <v>322</v>
      </c>
      <c r="C469" s="47"/>
      <c r="D469" s="49"/>
      <c r="E469" s="49"/>
      <c r="F469" s="49" t="b">
        <v>0</v>
      </c>
      <c r="G469" s="49"/>
      <c r="H469" s="47"/>
      <c r="I469" s="47"/>
      <c r="J469" s="49"/>
      <c r="K469" s="49"/>
      <c r="L469" s="49">
        <f>'Volunteer Survey'!B879</f>
        <v>0</v>
      </c>
      <c r="M469" s="49" t="str">
        <f ca="1">IFERROR(__xludf.DUMMYFUNCTION("QUERY('Volunteer Survey'!E863)"),"")</f>
        <v/>
      </c>
      <c r="N469" s="49">
        <f>'Volunteer Survey'!F880</f>
        <v>0</v>
      </c>
      <c r="O469" s="42">
        <f>'Volunteer Survey'!H880</f>
        <v>0</v>
      </c>
      <c r="P469" s="49"/>
      <c r="Q469" s="54" t="str">
        <f ca="1">IFERROR(__xludf.DUMMYFUNCTION("QUERY('Volunteer Survey'!J863)"),"")</f>
        <v/>
      </c>
      <c r="R469" s="49"/>
      <c r="S469" s="49">
        <f>'Volunteer Survey'!L874</f>
        <v>0</v>
      </c>
      <c r="T469" s="49">
        <f>'Volunteer Survey'!M879</f>
        <v>0</v>
      </c>
      <c r="U469" s="58"/>
      <c r="V469" s="49">
        <f>'Volunteer Survey'!O879</f>
        <v>0</v>
      </c>
      <c r="W469" s="60">
        <f>'Volunteer Survey'!P879</f>
        <v>0</v>
      </c>
      <c r="X469" s="58" t="str">
        <f ca="1">IFERROR(__xludf.DUMMYFUNCTION("QUERY('Volunteer Survey'!R863)"),"")</f>
        <v/>
      </c>
      <c r="Y469" s="47"/>
      <c r="Z469" s="49"/>
      <c r="AA469" s="49"/>
      <c r="AB469" s="49"/>
      <c r="AC469" s="49"/>
      <c r="AD469" s="49"/>
      <c r="AE469" s="49"/>
      <c r="AF469" s="49"/>
      <c r="AG469" s="49"/>
      <c r="AH469" s="49"/>
      <c r="AI469" s="49"/>
      <c r="AJ469" s="49"/>
      <c r="AK469" s="49"/>
      <c r="AL469" s="49"/>
      <c r="AM469" s="49"/>
      <c r="AN469" s="49"/>
      <c r="AO469" s="49"/>
    </row>
    <row r="470" spans="1:41" ht="14">
      <c r="A470" s="49">
        <f>'Volunteer Survey'!A880</f>
        <v>0</v>
      </c>
      <c r="B470" s="42" t="s">
        <v>322</v>
      </c>
      <c r="C470" s="47"/>
      <c r="D470" s="49"/>
      <c r="E470" s="49"/>
      <c r="F470" s="49" t="b">
        <v>0</v>
      </c>
      <c r="G470" s="49"/>
      <c r="H470" s="47"/>
      <c r="I470" s="47"/>
      <c r="J470" s="49"/>
      <c r="K470" s="49"/>
      <c r="L470" s="49">
        <f>'Volunteer Survey'!B880</f>
        <v>0</v>
      </c>
      <c r="M470" s="49" t="str">
        <f ca="1">IFERROR(__xludf.DUMMYFUNCTION("QUERY('Volunteer Survey'!E864)"),"")</f>
        <v/>
      </c>
      <c r="N470" s="49">
        <f>'Volunteer Survey'!F881</f>
        <v>0</v>
      </c>
      <c r="O470" s="42">
        <f>'Volunteer Survey'!H881</f>
        <v>0</v>
      </c>
      <c r="P470" s="49"/>
      <c r="Q470" s="54" t="str">
        <f ca="1">IFERROR(__xludf.DUMMYFUNCTION("QUERY('Volunteer Survey'!J864)"),"")</f>
        <v/>
      </c>
      <c r="R470" s="49"/>
      <c r="S470" s="49">
        <f>'Volunteer Survey'!L875</f>
        <v>0</v>
      </c>
      <c r="T470" s="49">
        <f>'Volunteer Survey'!M880</f>
        <v>0</v>
      </c>
      <c r="U470" s="58"/>
      <c r="V470" s="49">
        <f>'Volunteer Survey'!O880</f>
        <v>0</v>
      </c>
      <c r="W470" s="60">
        <f>'Volunteer Survey'!P880</f>
        <v>0</v>
      </c>
      <c r="X470" s="58" t="str">
        <f ca="1">IFERROR(__xludf.DUMMYFUNCTION("QUERY('Volunteer Survey'!R864)"),"")</f>
        <v/>
      </c>
      <c r="Y470" s="47"/>
      <c r="Z470" s="49"/>
      <c r="AA470" s="49"/>
      <c r="AB470" s="49"/>
      <c r="AC470" s="49"/>
      <c r="AD470" s="49"/>
      <c r="AE470" s="49"/>
      <c r="AF470" s="49"/>
      <c r="AG470" s="49"/>
      <c r="AH470" s="49"/>
      <c r="AI470" s="49"/>
      <c r="AJ470" s="49"/>
      <c r="AK470" s="49"/>
      <c r="AL470" s="49"/>
      <c r="AM470" s="49"/>
      <c r="AN470" s="49"/>
      <c r="AO470" s="49"/>
    </row>
    <row r="471" spans="1:41" ht="14">
      <c r="A471" s="49">
        <f>'Volunteer Survey'!A881</f>
        <v>0</v>
      </c>
      <c r="B471" s="42" t="s">
        <v>322</v>
      </c>
      <c r="C471" s="47"/>
      <c r="D471" s="49"/>
      <c r="E471" s="49"/>
      <c r="F471" s="49" t="b">
        <v>0</v>
      </c>
      <c r="G471" s="49"/>
      <c r="H471" s="47"/>
      <c r="I471" s="47"/>
      <c r="J471" s="49"/>
      <c r="K471" s="49"/>
      <c r="L471" s="49">
        <f>'Volunteer Survey'!B881</f>
        <v>0</v>
      </c>
      <c r="M471" s="49" t="str">
        <f ca="1">IFERROR(__xludf.DUMMYFUNCTION("QUERY('Volunteer Survey'!E865)"),"")</f>
        <v/>
      </c>
      <c r="N471" s="49">
        <f>'Volunteer Survey'!F882</f>
        <v>0</v>
      </c>
      <c r="O471" s="42">
        <f>'Volunteer Survey'!H882</f>
        <v>0</v>
      </c>
      <c r="P471" s="49"/>
      <c r="Q471" s="54" t="str">
        <f ca="1">IFERROR(__xludf.DUMMYFUNCTION("QUERY('Volunteer Survey'!J865)"),"")</f>
        <v/>
      </c>
      <c r="R471" s="49"/>
      <c r="S471" s="49">
        <f>'Volunteer Survey'!L876</f>
        <v>0</v>
      </c>
      <c r="T471" s="49">
        <f>'Volunteer Survey'!M881</f>
        <v>0</v>
      </c>
      <c r="U471" s="58"/>
      <c r="V471" s="49">
        <f>'Volunteer Survey'!O881</f>
        <v>0</v>
      </c>
      <c r="W471" s="60">
        <f>'Volunteer Survey'!P881</f>
        <v>0</v>
      </c>
      <c r="X471" s="58" t="str">
        <f ca="1">IFERROR(__xludf.DUMMYFUNCTION("QUERY('Volunteer Survey'!R865)"),"")</f>
        <v/>
      </c>
      <c r="Y471" s="47"/>
      <c r="Z471" s="49"/>
      <c r="AA471" s="49"/>
      <c r="AB471" s="49"/>
      <c r="AC471" s="49"/>
      <c r="AD471" s="49"/>
      <c r="AE471" s="49"/>
      <c r="AF471" s="49"/>
      <c r="AG471" s="49"/>
      <c r="AH471" s="49"/>
      <c r="AI471" s="49"/>
      <c r="AJ471" s="49"/>
      <c r="AK471" s="49"/>
      <c r="AL471" s="49"/>
      <c r="AM471" s="49"/>
      <c r="AN471" s="49"/>
      <c r="AO471" s="49"/>
    </row>
    <row r="472" spans="1:41" ht="14">
      <c r="A472" s="49">
        <f>'Volunteer Survey'!A882</f>
        <v>0</v>
      </c>
      <c r="B472" s="42" t="s">
        <v>322</v>
      </c>
      <c r="C472" s="47"/>
      <c r="D472" s="49"/>
      <c r="E472" s="49"/>
      <c r="F472" s="49" t="b">
        <v>0</v>
      </c>
      <c r="G472" s="49"/>
      <c r="H472" s="47"/>
      <c r="I472" s="47"/>
      <c r="J472" s="49"/>
      <c r="K472" s="49"/>
      <c r="L472" s="49">
        <f>'Volunteer Survey'!B882</f>
        <v>0</v>
      </c>
      <c r="M472" s="49" t="str">
        <f ca="1">IFERROR(__xludf.DUMMYFUNCTION("QUERY('Volunteer Survey'!E866)"),"")</f>
        <v/>
      </c>
      <c r="N472" s="49">
        <f>'Volunteer Survey'!F883</f>
        <v>0</v>
      </c>
      <c r="O472" s="42">
        <f>'Volunteer Survey'!H883</f>
        <v>0</v>
      </c>
      <c r="P472" s="49"/>
      <c r="Q472" s="54" t="str">
        <f ca="1">IFERROR(__xludf.DUMMYFUNCTION("QUERY('Volunteer Survey'!J866)"),"")</f>
        <v/>
      </c>
      <c r="R472" s="49"/>
      <c r="S472" s="49">
        <f>'Volunteer Survey'!L877</f>
        <v>0</v>
      </c>
      <c r="T472" s="49">
        <f>'Volunteer Survey'!M882</f>
        <v>0</v>
      </c>
      <c r="U472" s="58"/>
      <c r="V472" s="49">
        <f>'Volunteer Survey'!O882</f>
        <v>0</v>
      </c>
      <c r="W472" s="60">
        <f>'Volunteer Survey'!P882</f>
        <v>0</v>
      </c>
      <c r="X472" s="58" t="str">
        <f ca="1">IFERROR(__xludf.DUMMYFUNCTION("QUERY('Volunteer Survey'!R866)"),"")</f>
        <v/>
      </c>
      <c r="Y472" s="47"/>
      <c r="Z472" s="49"/>
      <c r="AA472" s="49"/>
      <c r="AB472" s="49"/>
      <c r="AC472" s="49"/>
      <c r="AD472" s="49"/>
      <c r="AE472" s="49"/>
      <c r="AF472" s="49"/>
      <c r="AG472" s="49"/>
      <c r="AH472" s="49"/>
      <c r="AI472" s="49"/>
      <c r="AJ472" s="49"/>
      <c r="AK472" s="49"/>
      <c r="AL472" s="49"/>
      <c r="AM472" s="49"/>
      <c r="AN472" s="49"/>
      <c r="AO472" s="49"/>
    </row>
    <row r="473" spans="1:41" ht="14">
      <c r="A473" s="49">
        <f>'Volunteer Survey'!A883</f>
        <v>0</v>
      </c>
      <c r="B473" s="42" t="s">
        <v>322</v>
      </c>
      <c r="C473" s="47"/>
      <c r="D473" s="49"/>
      <c r="E473" s="49"/>
      <c r="F473" s="49" t="b">
        <v>0</v>
      </c>
      <c r="G473" s="49"/>
      <c r="H473" s="47"/>
      <c r="I473" s="47"/>
      <c r="J473" s="49"/>
      <c r="K473" s="49"/>
      <c r="L473" s="49">
        <f>'Volunteer Survey'!B883</f>
        <v>0</v>
      </c>
      <c r="M473" s="49" t="str">
        <f ca="1">IFERROR(__xludf.DUMMYFUNCTION("QUERY('Volunteer Survey'!E867)"),"")</f>
        <v/>
      </c>
      <c r="N473" s="49">
        <f>'Volunteer Survey'!F884</f>
        <v>0</v>
      </c>
      <c r="O473" s="42">
        <f>'Volunteer Survey'!H884</f>
        <v>0</v>
      </c>
      <c r="P473" s="49"/>
      <c r="Q473" s="54" t="str">
        <f ca="1">IFERROR(__xludf.DUMMYFUNCTION("QUERY('Volunteer Survey'!J867)"),"")</f>
        <v/>
      </c>
      <c r="R473" s="49"/>
      <c r="S473" s="49">
        <f>'Volunteer Survey'!L878</f>
        <v>0</v>
      </c>
      <c r="T473" s="49">
        <f>'Volunteer Survey'!M883</f>
        <v>0</v>
      </c>
      <c r="U473" s="58"/>
      <c r="V473" s="49">
        <f>'Volunteer Survey'!O883</f>
        <v>0</v>
      </c>
      <c r="W473" s="60">
        <f>'Volunteer Survey'!P883</f>
        <v>0</v>
      </c>
      <c r="X473" s="58" t="str">
        <f ca="1">IFERROR(__xludf.DUMMYFUNCTION("QUERY('Volunteer Survey'!R867)"),"")</f>
        <v/>
      </c>
      <c r="Y473" s="47"/>
      <c r="Z473" s="49"/>
      <c r="AA473" s="49"/>
      <c r="AB473" s="49"/>
      <c r="AC473" s="49"/>
      <c r="AD473" s="49"/>
      <c r="AE473" s="49"/>
      <c r="AF473" s="49"/>
      <c r="AG473" s="49"/>
      <c r="AH473" s="49"/>
      <c r="AI473" s="49"/>
      <c r="AJ473" s="49"/>
      <c r="AK473" s="49"/>
      <c r="AL473" s="49"/>
      <c r="AM473" s="49"/>
      <c r="AN473" s="49"/>
      <c r="AO473" s="49"/>
    </row>
    <row r="474" spans="1:41" ht="14">
      <c r="A474" s="49">
        <f>'Volunteer Survey'!A884</f>
        <v>0</v>
      </c>
      <c r="B474" s="42" t="s">
        <v>322</v>
      </c>
      <c r="C474" s="47"/>
      <c r="D474" s="49"/>
      <c r="E474" s="49"/>
      <c r="F474" s="49" t="b">
        <v>0</v>
      </c>
      <c r="G474" s="49"/>
      <c r="H474" s="47"/>
      <c r="I474" s="47"/>
      <c r="J474" s="49"/>
      <c r="K474" s="49"/>
      <c r="L474" s="49">
        <f>'Volunteer Survey'!B884</f>
        <v>0</v>
      </c>
      <c r="M474" s="49" t="str">
        <f ca="1">IFERROR(__xludf.DUMMYFUNCTION("QUERY('Volunteer Survey'!E868)"),"")</f>
        <v/>
      </c>
      <c r="N474" s="49">
        <f>'Volunteer Survey'!F885</f>
        <v>0</v>
      </c>
      <c r="O474" s="42">
        <f>'Volunteer Survey'!H885</f>
        <v>0</v>
      </c>
      <c r="P474" s="49"/>
      <c r="Q474" s="54" t="str">
        <f ca="1">IFERROR(__xludf.DUMMYFUNCTION("QUERY('Volunteer Survey'!J868)"),"")</f>
        <v/>
      </c>
      <c r="R474" s="49"/>
      <c r="S474" s="49">
        <f>'Volunteer Survey'!L879</f>
        <v>0</v>
      </c>
      <c r="T474" s="49">
        <f>'Volunteer Survey'!M884</f>
        <v>0</v>
      </c>
      <c r="U474" s="58"/>
      <c r="V474" s="49">
        <f>'Volunteer Survey'!O884</f>
        <v>0</v>
      </c>
      <c r="W474" s="60">
        <f>'Volunteer Survey'!P884</f>
        <v>0</v>
      </c>
      <c r="X474" s="58" t="str">
        <f ca="1">IFERROR(__xludf.DUMMYFUNCTION("QUERY('Volunteer Survey'!R868)"),"")</f>
        <v/>
      </c>
      <c r="Y474" s="47"/>
      <c r="Z474" s="49"/>
      <c r="AA474" s="49"/>
      <c r="AB474" s="49"/>
      <c r="AC474" s="49"/>
      <c r="AD474" s="49"/>
      <c r="AE474" s="49"/>
      <c r="AF474" s="49"/>
      <c r="AG474" s="49"/>
      <c r="AH474" s="49"/>
      <c r="AI474" s="49"/>
      <c r="AJ474" s="49"/>
      <c r="AK474" s="49"/>
      <c r="AL474" s="49"/>
      <c r="AM474" s="49"/>
      <c r="AN474" s="49"/>
      <c r="AO474" s="49"/>
    </row>
    <row r="475" spans="1:41" ht="14">
      <c r="A475" s="49">
        <f>'Volunteer Survey'!A885</f>
        <v>0</v>
      </c>
      <c r="B475" s="42" t="s">
        <v>322</v>
      </c>
      <c r="C475" s="47"/>
      <c r="D475" s="49"/>
      <c r="E475" s="49"/>
      <c r="F475" s="49" t="b">
        <v>0</v>
      </c>
      <c r="G475" s="49"/>
      <c r="H475" s="47"/>
      <c r="I475" s="47"/>
      <c r="J475" s="49"/>
      <c r="K475" s="49"/>
      <c r="L475" s="49">
        <f>'Volunteer Survey'!B885</f>
        <v>0</v>
      </c>
      <c r="M475" s="49">
        <f>'Volunteer Survey'!E885</f>
        <v>0</v>
      </c>
      <c r="N475" s="49">
        <f>'Volunteer Survey'!F886</f>
        <v>0</v>
      </c>
      <c r="O475" s="42">
        <f>'Volunteer Survey'!H886</f>
        <v>0</v>
      </c>
      <c r="P475" s="49"/>
      <c r="Q475" s="54" t="str">
        <f ca="1">IFERROR(__xludf.DUMMYFUNCTION("QUERY('Volunteer Survey'!J869)"),"")</f>
        <v/>
      </c>
      <c r="R475" s="49"/>
      <c r="S475" s="49">
        <f>'Volunteer Survey'!L880</f>
        <v>0</v>
      </c>
      <c r="T475" s="49">
        <f>'Volunteer Survey'!M885</f>
        <v>0</v>
      </c>
      <c r="U475" s="58"/>
      <c r="V475" s="49">
        <f>'Volunteer Survey'!O887</f>
        <v>0</v>
      </c>
      <c r="W475" s="60">
        <f>'Volunteer Survey'!P885</f>
        <v>0</v>
      </c>
      <c r="X475" s="58" t="str">
        <f ca="1">IFERROR(__xludf.DUMMYFUNCTION("QUERY('Volunteer Survey'!R869)"),"")</f>
        <v/>
      </c>
      <c r="Y475" s="47"/>
      <c r="Z475" s="49"/>
      <c r="AA475" s="49"/>
      <c r="AB475" s="49"/>
      <c r="AC475" s="49"/>
      <c r="AD475" s="49"/>
      <c r="AE475" s="49"/>
      <c r="AF475" s="49"/>
      <c r="AG475" s="49"/>
      <c r="AH475" s="49"/>
      <c r="AI475" s="49"/>
      <c r="AJ475" s="49"/>
      <c r="AK475" s="49"/>
      <c r="AL475" s="49"/>
      <c r="AM475" s="49"/>
      <c r="AN475" s="49"/>
      <c r="AO475" s="49"/>
    </row>
    <row r="476" spans="1:41" ht="14">
      <c r="A476" s="49">
        <f>'Volunteer Survey'!A886</f>
        <v>0</v>
      </c>
      <c r="B476" s="42" t="s">
        <v>322</v>
      </c>
      <c r="C476" s="47"/>
      <c r="D476" s="49"/>
      <c r="E476" s="49"/>
      <c r="F476" s="49" t="b">
        <v>0</v>
      </c>
      <c r="G476" s="49"/>
      <c r="H476" s="47"/>
      <c r="I476" s="47"/>
      <c r="J476" s="49"/>
      <c r="K476" s="49"/>
      <c r="L476" s="49">
        <f>'Volunteer Survey'!B886</f>
        <v>0</v>
      </c>
      <c r="M476" s="49">
        <f>'Volunteer Survey'!E886</f>
        <v>0</v>
      </c>
      <c r="N476" s="49">
        <f>'Volunteer Survey'!F887</f>
        <v>0</v>
      </c>
      <c r="O476" s="42">
        <f>'Volunteer Survey'!H887</f>
        <v>0</v>
      </c>
      <c r="P476" s="49"/>
      <c r="Q476" s="54" t="str">
        <f ca="1">IFERROR(__xludf.DUMMYFUNCTION("QUERY('Volunteer Survey'!J870)"),"")</f>
        <v/>
      </c>
      <c r="R476" s="49"/>
      <c r="S476" s="49">
        <f>'Volunteer Survey'!L881</f>
        <v>0</v>
      </c>
      <c r="T476" s="49">
        <f>'Volunteer Survey'!M886</f>
        <v>0</v>
      </c>
      <c r="U476" s="58"/>
      <c r="V476" s="49">
        <f>'Volunteer Survey'!O888</f>
        <v>0</v>
      </c>
      <c r="W476" s="60">
        <f>'Volunteer Survey'!P886</f>
        <v>0</v>
      </c>
      <c r="X476" s="58">
        <f>'Volunteer Survey'!R887</f>
        <v>0</v>
      </c>
      <c r="Y476" s="47"/>
      <c r="Z476" s="49"/>
      <c r="AA476" s="49"/>
      <c r="AB476" s="49"/>
      <c r="AC476" s="49"/>
      <c r="AD476" s="49"/>
      <c r="AE476" s="49"/>
      <c r="AF476" s="49"/>
      <c r="AG476" s="49"/>
      <c r="AH476" s="49"/>
      <c r="AI476" s="49"/>
      <c r="AJ476" s="49"/>
      <c r="AK476" s="49"/>
      <c r="AL476" s="49"/>
      <c r="AM476" s="49"/>
      <c r="AN476" s="49"/>
      <c r="AO476" s="49"/>
    </row>
    <row r="477" spans="1:41" ht="14">
      <c r="A477" s="49">
        <f>'Volunteer Survey'!A887</f>
        <v>0</v>
      </c>
      <c r="B477" s="42" t="s">
        <v>322</v>
      </c>
      <c r="C477" s="47"/>
      <c r="D477" s="49"/>
      <c r="E477" s="49"/>
      <c r="F477" s="49" t="b">
        <v>0</v>
      </c>
      <c r="G477" s="49"/>
      <c r="H477" s="47"/>
      <c r="I477" s="47"/>
      <c r="J477" s="49"/>
      <c r="K477" s="49"/>
      <c r="L477" s="49">
        <f>'Volunteer Survey'!B887</f>
        <v>0</v>
      </c>
      <c r="M477" s="49">
        <f>'Volunteer Survey'!E887</f>
        <v>0</v>
      </c>
      <c r="N477" s="49">
        <f>'Volunteer Survey'!F888</f>
        <v>0</v>
      </c>
      <c r="O477" s="42">
        <f>'Volunteer Survey'!H888</f>
        <v>0</v>
      </c>
      <c r="P477" s="49"/>
      <c r="Q477" s="54" t="str">
        <f ca="1">IFERROR(__xludf.DUMMYFUNCTION("QUERY('Volunteer Survey'!J871)"),"")</f>
        <v/>
      </c>
      <c r="R477" s="49"/>
      <c r="S477" s="49">
        <f>'Volunteer Survey'!L882</f>
        <v>0</v>
      </c>
      <c r="T477" s="49">
        <f>'Volunteer Survey'!M887</f>
        <v>0</v>
      </c>
      <c r="U477" s="58"/>
      <c r="V477" s="49"/>
      <c r="W477" s="60">
        <f>'Volunteer Survey'!P887</f>
        <v>0</v>
      </c>
      <c r="X477" s="58">
        <f>'Volunteer Survey'!R888</f>
        <v>0</v>
      </c>
      <c r="Y477" s="47"/>
      <c r="Z477" s="49"/>
      <c r="AA477" s="49"/>
      <c r="AB477" s="49"/>
      <c r="AC477" s="49"/>
      <c r="AD477" s="49"/>
      <c r="AE477" s="49"/>
      <c r="AF477" s="49"/>
      <c r="AG477" s="49"/>
      <c r="AH477" s="49"/>
      <c r="AI477" s="49"/>
      <c r="AJ477" s="49"/>
      <c r="AK477" s="49"/>
      <c r="AL477" s="49"/>
      <c r="AM477" s="49"/>
      <c r="AN477" s="49"/>
      <c r="AO477" s="49"/>
    </row>
    <row r="478" spans="1:41" ht="14">
      <c r="A478" s="49">
        <f>'Volunteer Survey'!A888</f>
        <v>0</v>
      </c>
      <c r="B478" s="42" t="s">
        <v>322</v>
      </c>
      <c r="C478" s="47"/>
      <c r="D478" s="49"/>
      <c r="E478" s="49"/>
      <c r="F478" s="49" t="b">
        <v>0</v>
      </c>
      <c r="G478" s="49"/>
      <c r="H478" s="47"/>
      <c r="I478" s="47"/>
      <c r="J478" s="49"/>
      <c r="K478" s="49"/>
      <c r="L478" s="49">
        <f>'Volunteer Survey'!B888</f>
        <v>0</v>
      </c>
      <c r="M478" s="49">
        <f>'Volunteer Survey'!E888</f>
        <v>0</v>
      </c>
      <c r="N478" s="49">
        <f>'Volunteer Survey'!F889</f>
        <v>0</v>
      </c>
      <c r="O478" s="42">
        <f>'Volunteer Survey'!H889</f>
        <v>0</v>
      </c>
      <c r="P478" s="49"/>
      <c r="Q478" s="54" t="str">
        <f ca="1">IFERROR(__xludf.DUMMYFUNCTION("QUERY('Volunteer Survey'!J872)"),"")</f>
        <v/>
      </c>
      <c r="R478" s="49"/>
      <c r="S478" s="49">
        <f>'Volunteer Survey'!L883</f>
        <v>0</v>
      </c>
      <c r="T478" s="49">
        <f>'Volunteer Survey'!M888</f>
        <v>0</v>
      </c>
      <c r="U478" s="58"/>
      <c r="V478" s="49"/>
      <c r="W478" s="60">
        <f>'Volunteer Survey'!P888</f>
        <v>0</v>
      </c>
      <c r="X478" s="58">
        <f>'Volunteer Survey'!R889</f>
        <v>0</v>
      </c>
      <c r="Y478" s="47"/>
      <c r="Z478" s="49"/>
      <c r="AA478" s="49"/>
      <c r="AB478" s="49"/>
      <c r="AC478" s="49"/>
      <c r="AD478" s="49"/>
      <c r="AE478" s="49"/>
      <c r="AF478" s="49"/>
      <c r="AG478" s="49"/>
      <c r="AH478" s="49"/>
      <c r="AI478" s="49"/>
      <c r="AJ478" s="49"/>
      <c r="AK478" s="49"/>
      <c r="AL478" s="49"/>
      <c r="AM478" s="49"/>
      <c r="AN478" s="49"/>
      <c r="AO478" s="49"/>
    </row>
    <row r="479" spans="1:41" ht="14">
      <c r="A479" s="49">
        <f>'Volunteer Survey'!A889</f>
        <v>0</v>
      </c>
      <c r="B479" s="42" t="s">
        <v>322</v>
      </c>
      <c r="C479" s="47"/>
      <c r="D479" s="49"/>
      <c r="E479" s="49"/>
      <c r="F479" s="49" t="b">
        <v>0</v>
      </c>
      <c r="G479" s="49"/>
      <c r="H479" s="47"/>
      <c r="I479" s="47"/>
      <c r="J479" s="49"/>
      <c r="K479" s="49"/>
      <c r="L479" s="49">
        <f>'Volunteer Survey'!B889</f>
        <v>0</v>
      </c>
      <c r="M479" s="49">
        <f>'Volunteer Survey'!E889</f>
        <v>0</v>
      </c>
      <c r="N479" s="49">
        <f>'Volunteer Survey'!F890</f>
        <v>0</v>
      </c>
      <c r="O479" s="42">
        <f>'Volunteer Survey'!H890</f>
        <v>0</v>
      </c>
      <c r="P479" s="49"/>
      <c r="Q479" s="54" t="str">
        <f ca="1">IFERROR(__xludf.DUMMYFUNCTION("QUERY('Volunteer Survey'!J873)"),"")</f>
        <v/>
      </c>
      <c r="R479" s="49"/>
      <c r="S479" s="49">
        <f>'Volunteer Survey'!L884</f>
        <v>0</v>
      </c>
      <c r="T479" s="49">
        <f>'Volunteer Survey'!M889</f>
        <v>0</v>
      </c>
      <c r="U479" s="58"/>
      <c r="V479" s="49"/>
      <c r="W479" s="60">
        <f>'Volunteer Survey'!P889</f>
        <v>0</v>
      </c>
      <c r="X479" s="58">
        <f>'Volunteer Survey'!R890</f>
        <v>0</v>
      </c>
      <c r="Y479" s="47"/>
      <c r="Z479" s="49"/>
      <c r="AA479" s="49"/>
      <c r="AB479" s="49"/>
      <c r="AC479" s="49"/>
      <c r="AD479" s="49"/>
      <c r="AE479" s="49"/>
      <c r="AF479" s="49"/>
      <c r="AG479" s="49"/>
      <c r="AH479" s="49"/>
      <c r="AI479" s="49"/>
      <c r="AJ479" s="49"/>
      <c r="AK479" s="49"/>
      <c r="AL479" s="49"/>
      <c r="AM479" s="49"/>
      <c r="AN479" s="49"/>
      <c r="AO479" s="49"/>
    </row>
    <row r="480" spans="1:41" ht="14">
      <c r="A480" s="49">
        <f>'Volunteer Survey'!A890</f>
        <v>0</v>
      </c>
      <c r="B480" s="42" t="s">
        <v>322</v>
      </c>
      <c r="C480" s="47"/>
      <c r="D480" s="49"/>
      <c r="E480" s="49"/>
      <c r="F480" s="49" t="b">
        <v>0</v>
      </c>
      <c r="G480" s="49"/>
      <c r="H480" s="47"/>
      <c r="I480" s="47"/>
      <c r="J480" s="49"/>
      <c r="K480" s="49"/>
      <c r="L480" s="49">
        <f>'Volunteer Survey'!B890</f>
        <v>0</v>
      </c>
      <c r="M480" s="49">
        <f>'Volunteer Survey'!E890</f>
        <v>0</v>
      </c>
      <c r="N480" s="49">
        <f>'Volunteer Survey'!F891</f>
        <v>0</v>
      </c>
      <c r="O480" s="42">
        <f>'Volunteer Survey'!H891</f>
        <v>0</v>
      </c>
      <c r="P480" s="49"/>
      <c r="Q480" s="54" t="str">
        <f ca="1">IFERROR(__xludf.DUMMYFUNCTION("QUERY('Volunteer Survey'!J874)"),"")</f>
        <v/>
      </c>
      <c r="R480" s="49"/>
      <c r="S480" s="49">
        <f>'Volunteer Survey'!L885</f>
        <v>0</v>
      </c>
      <c r="T480" s="49">
        <f>'Volunteer Survey'!M890</f>
        <v>0</v>
      </c>
      <c r="U480" s="58"/>
      <c r="V480" s="49"/>
      <c r="W480" s="60">
        <f>'Volunteer Survey'!P890</f>
        <v>0</v>
      </c>
      <c r="X480" s="58">
        <f>'Volunteer Survey'!R891</f>
        <v>0</v>
      </c>
      <c r="Y480" s="47"/>
      <c r="Z480" s="49"/>
      <c r="AA480" s="49"/>
      <c r="AB480" s="49"/>
      <c r="AC480" s="49"/>
      <c r="AD480" s="49"/>
      <c r="AE480" s="49"/>
      <c r="AF480" s="49"/>
      <c r="AG480" s="49"/>
      <c r="AH480" s="49"/>
      <c r="AI480" s="49"/>
      <c r="AJ480" s="49"/>
      <c r="AK480" s="49"/>
      <c r="AL480" s="49"/>
      <c r="AM480" s="49"/>
      <c r="AN480" s="49"/>
      <c r="AO480" s="49"/>
    </row>
    <row r="481" spans="1:41" ht="14">
      <c r="A481" s="49">
        <f>'Volunteer Survey'!A891</f>
        <v>0</v>
      </c>
      <c r="B481" s="42" t="s">
        <v>322</v>
      </c>
      <c r="C481" s="47"/>
      <c r="D481" s="49"/>
      <c r="E481" s="49"/>
      <c r="F481" s="49" t="b">
        <v>0</v>
      </c>
      <c r="G481" s="49"/>
      <c r="H481" s="47"/>
      <c r="I481" s="47"/>
      <c r="J481" s="49"/>
      <c r="K481" s="49"/>
      <c r="L481" s="49">
        <f>'Volunteer Survey'!B891</f>
        <v>0</v>
      </c>
      <c r="M481" s="49">
        <f>'Volunteer Survey'!E891</f>
        <v>0</v>
      </c>
      <c r="N481" s="49">
        <f>'Volunteer Survey'!F892</f>
        <v>0</v>
      </c>
      <c r="O481" s="42">
        <f>'Volunteer Survey'!H892</f>
        <v>0</v>
      </c>
      <c r="P481" s="49"/>
      <c r="Q481" s="54" t="str">
        <f ca="1">IFERROR(__xludf.DUMMYFUNCTION("QUERY('Volunteer Survey'!J875)"),"")</f>
        <v/>
      </c>
      <c r="R481" s="49"/>
      <c r="S481" s="49">
        <f>'Volunteer Survey'!L886</f>
        <v>0</v>
      </c>
      <c r="T481" s="49">
        <f>'Volunteer Survey'!M891</f>
        <v>0</v>
      </c>
      <c r="U481" s="58"/>
      <c r="V481" s="49"/>
      <c r="W481" s="60">
        <f>'Volunteer Survey'!P891</f>
        <v>0</v>
      </c>
      <c r="X481" s="58">
        <f>'Volunteer Survey'!R892</f>
        <v>0</v>
      </c>
      <c r="Y481" s="47"/>
      <c r="Z481" s="49"/>
      <c r="AA481" s="49"/>
      <c r="AB481" s="49"/>
      <c r="AC481" s="49"/>
      <c r="AD481" s="49"/>
      <c r="AE481" s="49"/>
      <c r="AF481" s="49"/>
      <c r="AG481" s="49"/>
      <c r="AH481" s="49"/>
      <c r="AI481" s="49"/>
      <c r="AJ481" s="49"/>
      <c r="AK481" s="49"/>
      <c r="AL481" s="49"/>
      <c r="AM481" s="49"/>
      <c r="AN481" s="49"/>
      <c r="AO481" s="49"/>
    </row>
    <row r="482" spans="1:41" ht="14">
      <c r="A482" s="49">
        <f>'Volunteer Survey'!A892</f>
        <v>0</v>
      </c>
      <c r="B482" s="42" t="s">
        <v>322</v>
      </c>
      <c r="C482" s="47"/>
      <c r="D482" s="49"/>
      <c r="E482" s="49"/>
      <c r="F482" s="49" t="b">
        <v>0</v>
      </c>
      <c r="G482" s="49"/>
      <c r="H482" s="47"/>
      <c r="I482" s="47"/>
      <c r="J482" s="49"/>
      <c r="K482" s="49"/>
      <c r="L482" s="49">
        <f>'Volunteer Survey'!B892</f>
        <v>0</v>
      </c>
      <c r="M482" s="49">
        <f>'Volunteer Survey'!E892</f>
        <v>0</v>
      </c>
      <c r="N482" s="49">
        <f>'Volunteer Survey'!F893</f>
        <v>0</v>
      </c>
      <c r="O482" s="42">
        <f>'Volunteer Survey'!H893</f>
        <v>0</v>
      </c>
      <c r="P482" s="49"/>
      <c r="Q482" s="54" t="str">
        <f ca="1">IFERROR(__xludf.DUMMYFUNCTION("QUERY('Volunteer Survey'!J876)"),"")</f>
        <v/>
      </c>
      <c r="R482" s="49"/>
      <c r="S482" s="49">
        <f>'Volunteer Survey'!L887</f>
        <v>0</v>
      </c>
      <c r="T482" s="49">
        <f>'Volunteer Survey'!M892</f>
        <v>0</v>
      </c>
      <c r="U482" s="58"/>
      <c r="V482" s="49"/>
      <c r="W482" s="60">
        <f>'Volunteer Survey'!P892</f>
        <v>0</v>
      </c>
      <c r="X482" s="58">
        <f>'Volunteer Survey'!R893</f>
        <v>0</v>
      </c>
      <c r="Y482" s="47"/>
      <c r="Z482" s="49"/>
      <c r="AA482" s="49"/>
      <c r="AB482" s="49"/>
      <c r="AC482" s="49"/>
      <c r="AD482" s="49"/>
      <c r="AE482" s="49"/>
      <c r="AF482" s="49"/>
      <c r="AG482" s="49"/>
      <c r="AH482" s="49"/>
      <c r="AI482" s="49"/>
      <c r="AJ482" s="49"/>
      <c r="AK482" s="49"/>
      <c r="AL482" s="49"/>
      <c r="AM482" s="49"/>
      <c r="AN482" s="49"/>
      <c r="AO482" s="49"/>
    </row>
    <row r="483" spans="1:41" ht="14">
      <c r="A483" s="49">
        <f>'Volunteer Survey'!A893</f>
        <v>0</v>
      </c>
      <c r="B483" s="42" t="s">
        <v>322</v>
      </c>
      <c r="C483" s="47"/>
      <c r="D483" s="49"/>
      <c r="E483" s="49"/>
      <c r="F483" s="49" t="b">
        <v>0</v>
      </c>
      <c r="G483" s="49"/>
      <c r="H483" s="47"/>
      <c r="I483" s="47"/>
      <c r="J483" s="49"/>
      <c r="K483" s="49"/>
      <c r="L483" s="49">
        <f>'Volunteer Survey'!B893</f>
        <v>0</v>
      </c>
      <c r="M483" s="49">
        <f>'Volunteer Survey'!E893</f>
        <v>0</v>
      </c>
      <c r="N483" s="49">
        <f>'Volunteer Survey'!F894</f>
        <v>0</v>
      </c>
      <c r="O483" s="42">
        <f>'Volunteer Survey'!H894</f>
        <v>0</v>
      </c>
      <c r="P483" s="49"/>
      <c r="Q483" s="54" t="str">
        <f ca="1">IFERROR(__xludf.DUMMYFUNCTION("QUERY('Volunteer Survey'!J877)"),"")</f>
        <v/>
      </c>
      <c r="R483" s="49"/>
      <c r="S483" s="49">
        <f>'Volunteer Survey'!L888</f>
        <v>0</v>
      </c>
      <c r="T483" s="49">
        <f>'Volunteer Survey'!M893</f>
        <v>0</v>
      </c>
      <c r="U483" s="58"/>
      <c r="V483" s="49"/>
      <c r="W483" s="60">
        <f>'Volunteer Survey'!P893</f>
        <v>0</v>
      </c>
      <c r="X483" s="58">
        <f>'Volunteer Survey'!R894</f>
        <v>0</v>
      </c>
      <c r="Y483" s="47"/>
      <c r="Z483" s="49"/>
      <c r="AA483" s="49"/>
      <c r="AB483" s="49"/>
      <c r="AC483" s="49"/>
      <c r="AD483" s="49"/>
      <c r="AE483" s="49"/>
      <c r="AF483" s="49"/>
      <c r="AG483" s="49"/>
      <c r="AH483" s="49"/>
      <c r="AI483" s="49"/>
      <c r="AJ483" s="49"/>
      <c r="AK483" s="49"/>
      <c r="AL483" s="49"/>
      <c r="AM483" s="49"/>
      <c r="AN483" s="49"/>
      <c r="AO483" s="49"/>
    </row>
    <row r="484" spans="1:41" ht="14">
      <c r="A484" s="49">
        <f>'Volunteer Survey'!A894</f>
        <v>0</v>
      </c>
      <c r="B484" s="42" t="s">
        <v>322</v>
      </c>
      <c r="C484" s="47"/>
      <c r="D484" s="49"/>
      <c r="E484" s="49"/>
      <c r="F484" s="49" t="b">
        <v>0</v>
      </c>
      <c r="G484" s="49"/>
      <c r="H484" s="47"/>
      <c r="I484" s="47"/>
      <c r="J484" s="49"/>
      <c r="K484" s="49"/>
      <c r="L484" s="49">
        <f>'Volunteer Survey'!B894</f>
        <v>0</v>
      </c>
      <c r="M484" s="49">
        <f>'Volunteer Survey'!E894</f>
        <v>0</v>
      </c>
      <c r="N484" s="49">
        <f>'Volunteer Survey'!F895</f>
        <v>0</v>
      </c>
      <c r="O484" s="42">
        <f>'Volunteer Survey'!H895</f>
        <v>0</v>
      </c>
      <c r="P484" s="49"/>
      <c r="Q484" s="54" t="str">
        <f ca="1">IFERROR(__xludf.DUMMYFUNCTION("QUERY('Volunteer Survey'!J878)"),"")</f>
        <v/>
      </c>
      <c r="R484" s="49"/>
      <c r="S484" s="49">
        <f>'Volunteer Survey'!L889</f>
        <v>0</v>
      </c>
      <c r="T484" s="49">
        <f>'Volunteer Survey'!M894</f>
        <v>0</v>
      </c>
      <c r="U484" s="58"/>
      <c r="V484" s="49"/>
      <c r="W484" s="60">
        <f>'Volunteer Survey'!P894</f>
        <v>0</v>
      </c>
      <c r="X484" s="58">
        <f>'Volunteer Survey'!R895</f>
        <v>0</v>
      </c>
      <c r="Y484" s="47"/>
      <c r="Z484" s="49"/>
      <c r="AA484" s="49"/>
      <c r="AB484" s="49"/>
      <c r="AC484" s="49"/>
      <c r="AD484" s="49"/>
      <c r="AE484" s="49"/>
      <c r="AF484" s="49"/>
      <c r="AG484" s="49"/>
      <c r="AH484" s="49"/>
      <c r="AI484" s="49"/>
      <c r="AJ484" s="49"/>
      <c r="AK484" s="49"/>
      <c r="AL484" s="49"/>
      <c r="AM484" s="49"/>
      <c r="AN484" s="49"/>
      <c r="AO484" s="49"/>
    </row>
    <row r="485" spans="1:41" ht="14">
      <c r="A485" s="49">
        <f>'Volunteer Survey'!A895</f>
        <v>0</v>
      </c>
      <c r="B485" s="42" t="s">
        <v>322</v>
      </c>
      <c r="C485" s="47"/>
      <c r="D485" s="49"/>
      <c r="E485" s="49"/>
      <c r="F485" s="49" t="b">
        <v>0</v>
      </c>
      <c r="G485" s="49"/>
      <c r="H485" s="47"/>
      <c r="I485" s="47"/>
      <c r="J485" s="49"/>
      <c r="K485" s="49"/>
      <c r="L485" s="49">
        <f>'Volunteer Survey'!B895</f>
        <v>0</v>
      </c>
      <c r="M485" s="49">
        <f>'Volunteer Survey'!E895</f>
        <v>0</v>
      </c>
      <c r="N485" s="49">
        <f>'Volunteer Survey'!F896</f>
        <v>0</v>
      </c>
      <c r="O485" s="42">
        <f>'Volunteer Survey'!H896</f>
        <v>0</v>
      </c>
      <c r="P485" s="49"/>
      <c r="Q485" s="54" t="str">
        <f ca="1">IFERROR(__xludf.DUMMYFUNCTION("QUERY('Volunteer Survey'!J879)"),"")</f>
        <v/>
      </c>
      <c r="R485" s="49"/>
      <c r="S485" s="49">
        <f>'Volunteer Survey'!L890</f>
        <v>0</v>
      </c>
      <c r="T485" s="49">
        <f>'Volunteer Survey'!M895</f>
        <v>0</v>
      </c>
      <c r="U485" s="58"/>
      <c r="V485" s="49"/>
      <c r="W485" s="60">
        <f>'Volunteer Survey'!P895</f>
        <v>0</v>
      </c>
      <c r="X485" s="58">
        <f>'Volunteer Survey'!R896</f>
        <v>0</v>
      </c>
      <c r="Y485" s="47"/>
      <c r="Z485" s="49"/>
      <c r="AA485" s="49"/>
      <c r="AB485" s="49"/>
      <c r="AC485" s="49"/>
      <c r="AD485" s="49"/>
      <c r="AE485" s="49"/>
      <c r="AF485" s="49"/>
      <c r="AG485" s="49"/>
      <c r="AH485" s="49"/>
      <c r="AI485" s="49"/>
      <c r="AJ485" s="49"/>
      <c r="AK485" s="49"/>
      <c r="AL485" s="49"/>
      <c r="AM485" s="49"/>
      <c r="AN485" s="49"/>
      <c r="AO485" s="49"/>
    </row>
    <row r="486" spans="1:41" ht="14">
      <c r="A486" s="49">
        <f>'Volunteer Survey'!A896</f>
        <v>0</v>
      </c>
      <c r="B486" s="42" t="s">
        <v>322</v>
      </c>
      <c r="C486" s="47"/>
      <c r="D486" s="49"/>
      <c r="E486" s="49"/>
      <c r="F486" s="49" t="b">
        <v>0</v>
      </c>
      <c r="G486" s="49"/>
      <c r="H486" s="47"/>
      <c r="I486" s="47"/>
      <c r="J486" s="49"/>
      <c r="K486" s="49"/>
      <c r="L486" s="49">
        <f>'Volunteer Survey'!B896</f>
        <v>0</v>
      </c>
      <c r="M486" s="49">
        <f>'Volunteer Survey'!E896</f>
        <v>0</v>
      </c>
      <c r="N486" s="49">
        <f>'Volunteer Survey'!F897</f>
        <v>0</v>
      </c>
      <c r="O486" s="42">
        <f>'Volunteer Survey'!H897</f>
        <v>0</v>
      </c>
      <c r="P486" s="49"/>
      <c r="Q486" s="54" t="str">
        <f ca="1">IFERROR(__xludf.DUMMYFUNCTION("QUERY('Volunteer Survey'!J880)"),"")</f>
        <v/>
      </c>
      <c r="R486" s="49"/>
      <c r="S486" s="49">
        <f>'Volunteer Survey'!L891</f>
        <v>0</v>
      </c>
      <c r="T486" s="49">
        <f>'Volunteer Survey'!M896</f>
        <v>0</v>
      </c>
      <c r="U486" s="58"/>
      <c r="V486" s="49"/>
      <c r="W486" s="60">
        <f>'Volunteer Survey'!P896</f>
        <v>0</v>
      </c>
      <c r="X486" s="58">
        <f>'Volunteer Survey'!R897</f>
        <v>0</v>
      </c>
      <c r="Y486" s="47"/>
      <c r="Z486" s="49"/>
      <c r="AA486" s="49"/>
      <c r="AB486" s="49"/>
      <c r="AC486" s="49"/>
      <c r="AD486" s="49"/>
      <c r="AE486" s="49"/>
      <c r="AF486" s="49"/>
      <c r="AG486" s="49"/>
      <c r="AH486" s="49"/>
      <c r="AI486" s="49"/>
      <c r="AJ486" s="49"/>
      <c r="AK486" s="49"/>
      <c r="AL486" s="49"/>
      <c r="AM486" s="49"/>
      <c r="AN486" s="49"/>
      <c r="AO486" s="49"/>
    </row>
    <row r="487" spans="1:41" ht="14">
      <c r="A487" s="49">
        <f>'Volunteer Survey'!A897</f>
        <v>0</v>
      </c>
      <c r="B487" s="42" t="s">
        <v>322</v>
      </c>
      <c r="C487" s="47"/>
      <c r="D487" s="49"/>
      <c r="E487" s="49"/>
      <c r="F487" s="49" t="b">
        <v>0</v>
      </c>
      <c r="G487" s="49"/>
      <c r="H487" s="47"/>
      <c r="I487" s="47"/>
      <c r="J487" s="49"/>
      <c r="K487" s="49"/>
      <c r="L487" s="49">
        <f>'Volunteer Survey'!B897</f>
        <v>0</v>
      </c>
      <c r="M487" s="49">
        <f>'Volunteer Survey'!E897</f>
        <v>0</v>
      </c>
      <c r="N487" s="49">
        <f>'Volunteer Survey'!F898</f>
        <v>0</v>
      </c>
      <c r="O487" s="42">
        <f>'Volunteer Survey'!H898</f>
        <v>0</v>
      </c>
      <c r="P487" s="49"/>
      <c r="Q487" s="54" t="str">
        <f ca="1">IFERROR(__xludf.DUMMYFUNCTION("QUERY('Volunteer Survey'!J881)"),"")</f>
        <v/>
      </c>
      <c r="R487" s="49"/>
      <c r="S487" s="49">
        <f>'Volunteer Survey'!L892</f>
        <v>0</v>
      </c>
      <c r="T487" s="49">
        <f>'Volunteer Survey'!M897</f>
        <v>0</v>
      </c>
      <c r="U487" s="58"/>
      <c r="V487" s="49"/>
      <c r="W487" s="60">
        <f>'Volunteer Survey'!P897</f>
        <v>0</v>
      </c>
      <c r="X487" s="58">
        <f>'Volunteer Survey'!R898</f>
        <v>0</v>
      </c>
      <c r="Y487" s="47"/>
      <c r="Z487" s="49"/>
      <c r="AA487" s="49"/>
      <c r="AB487" s="49"/>
      <c r="AC487" s="49"/>
      <c r="AD487" s="49"/>
      <c r="AE487" s="49"/>
      <c r="AF487" s="49"/>
      <c r="AG487" s="49"/>
      <c r="AH487" s="49"/>
      <c r="AI487" s="49"/>
      <c r="AJ487" s="49"/>
      <c r="AK487" s="49"/>
      <c r="AL487" s="49"/>
      <c r="AM487" s="49"/>
      <c r="AN487" s="49"/>
      <c r="AO487" s="49"/>
    </row>
    <row r="488" spans="1:41" ht="14">
      <c r="A488" s="49">
        <f>'Volunteer Survey'!A898</f>
        <v>0</v>
      </c>
      <c r="B488" s="42" t="s">
        <v>322</v>
      </c>
      <c r="C488" s="47"/>
      <c r="D488" s="49"/>
      <c r="E488" s="49"/>
      <c r="F488" s="49" t="b">
        <v>0</v>
      </c>
      <c r="G488" s="49"/>
      <c r="H488" s="47"/>
      <c r="I488" s="47"/>
      <c r="J488" s="49"/>
      <c r="K488" s="49"/>
      <c r="L488" s="49">
        <f>'Volunteer Survey'!B898</f>
        <v>0</v>
      </c>
      <c r="M488" s="49">
        <f>'Volunteer Survey'!E898</f>
        <v>0</v>
      </c>
      <c r="N488" s="49">
        <f>'Volunteer Survey'!F899</f>
        <v>0</v>
      </c>
      <c r="O488" s="42">
        <f>'Volunteer Survey'!H899</f>
        <v>0</v>
      </c>
      <c r="P488" s="49"/>
      <c r="Q488" s="54" t="str">
        <f ca="1">IFERROR(__xludf.DUMMYFUNCTION("QUERY('Volunteer Survey'!J882)"),"")</f>
        <v/>
      </c>
      <c r="R488" s="49"/>
      <c r="S488" s="49">
        <f>'Volunteer Survey'!L893</f>
        <v>0</v>
      </c>
      <c r="T488" s="49">
        <f>'Volunteer Survey'!M898</f>
        <v>0</v>
      </c>
      <c r="U488" s="58"/>
      <c r="V488" s="49"/>
      <c r="W488" s="60">
        <f>'Volunteer Survey'!P898</f>
        <v>0</v>
      </c>
      <c r="X488" s="58">
        <f>'Volunteer Survey'!R899</f>
        <v>0</v>
      </c>
      <c r="Y488" s="47"/>
      <c r="Z488" s="49"/>
      <c r="AA488" s="49"/>
      <c r="AB488" s="49"/>
      <c r="AC488" s="49"/>
      <c r="AD488" s="49"/>
      <c r="AE488" s="49"/>
      <c r="AF488" s="49"/>
      <c r="AG488" s="49"/>
      <c r="AH488" s="49"/>
      <c r="AI488" s="49"/>
      <c r="AJ488" s="49"/>
      <c r="AK488" s="49"/>
      <c r="AL488" s="49"/>
      <c r="AM488" s="49"/>
      <c r="AN488" s="49"/>
      <c r="AO488" s="49"/>
    </row>
    <row r="489" spans="1:41" ht="14">
      <c r="A489" s="49">
        <f>'Volunteer Survey'!A899</f>
        <v>0</v>
      </c>
      <c r="B489" s="42" t="s">
        <v>322</v>
      </c>
      <c r="C489" s="47"/>
      <c r="D489" s="49"/>
      <c r="E489" s="49"/>
      <c r="F489" s="49" t="b">
        <v>0</v>
      </c>
      <c r="G489" s="49"/>
      <c r="H489" s="47"/>
      <c r="I489" s="47"/>
      <c r="J489" s="49"/>
      <c r="K489" s="49"/>
      <c r="L489" s="49">
        <f>'Volunteer Survey'!B899</f>
        <v>0</v>
      </c>
      <c r="M489" s="49">
        <f>'Volunteer Survey'!E899</f>
        <v>0</v>
      </c>
      <c r="N489" s="49">
        <f>'Volunteer Survey'!F900</f>
        <v>0</v>
      </c>
      <c r="O489" s="42">
        <f>'Volunteer Survey'!H900</f>
        <v>0</v>
      </c>
      <c r="P489" s="49"/>
      <c r="Q489" s="54" t="str">
        <f ca="1">IFERROR(__xludf.DUMMYFUNCTION("QUERY('Volunteer Survey'!J883)"),"")</f>
        <v/>
      </c>
      <c r="R489" s="49"/>
      <c r="S489" s="49">
        <f>'Volunteer Survey'!L894</f>
        <v>0</v>
      </c>
      <c r="T489" s="49">
        <f>'Volunteer Survey'!M899</f>
        <v>0</v>
      </c>
      <c r="U489" s="58"/>
      <c r="V489" s="49"/>
      <c r="W489" s="60">
        <f>'Volunteer Survey'!P899</f>
        <v>0</v>
      </c>
      <c r="X489" s="58">
        <f>'Volunteer Survey'!R900</f>
        <v>0</v>
      </c>
      <c r="Y489" s="47"/>
      <c r="Z489" s="49"/>
      <c r="AA489" s="49"/>
      <c r="AB489" s="49"/>
      <c r="AC489" s="49"/>
      <c r="AD489" s="49"/>
      <c r="AE489" s="49"/>
      <c r="AF489" s="49"/>
      <c r="AG489" s="49"/>
      <c r="AH489" s="49"/>
      <c r="AI489" s="49"/>
      <c r="AJ489" s="49"/>
      <c r="AK489" s="49"/>
      <c r="AL489" s="49"/>
      <c r="AM489" s="49"/>
      <c r="AN489" s="49"/>
      <c r="AO489" s="49"/>
    </row>
    <row r="490" spans="1:41" ht="14">
      <c r="A490" s="49">
        <f>'Volunteer Survey'!A900</f>
        <v>0</v>
      </c>
      <c r="B490" s="42" t="s">
        <v>322</v>
      </c>
      <c r="C490" s="47"/>
      <c r="D490" s="49"/>
      <c r="E490" s="49"/>
      <c r="F490" s="49" t="b">
        <v>0</v>
      </c>
      <c r="G490" s="49"/>
      <c r="H490" s="47"/>
      <c r="I490" s="47"/>
      <c r="J490" s="49"/>
      <c r="K490" s="49"/>
      <c r="L490" s="49">
        <f>'Volunteer Survey'!B900</f>
        <v>0</v>
      </c>
      <c r="M490" s="49">
        <f>'Volunteer Survey'!E900</f>
        <v>0</v>
      </c>
      <c r="N490" s="49">
        <f>'Volunteer Survey'!F901</f>
        <v>0</v>
      </c>
      <c r="O490" s="42">
        <f>'Volunteer Survey'!H901</f>
        <v>0</v>
      </c>
      <c r="P490" s="49"/>
      <c r="Q490" s="54" t="str">
        <f ca="1">IFERROR(__xludf.DUMMYFUNCTION("QUERY('Volunteer Survey'!J884)"),"")</f>
        <v/>
      </c>
      <c r="R490" s="49"/>
      <c r="S490" s="49">
        <f>'Volunteer Survey'!L895</f>
        <v>0</v>
      </c>
      <c r="T490" s="49">
        <f>'Volunteer Survey'!M900</f>
        <v>0</v>
      </c>
      <c r="U490" s="58"/>
      <c r="V490" s="49"/>
      <c r="W490" s="60">
        <f>'Volunteer Survey'!P900</f>
        <v>0</v>
      </c>
      <c r="X490" s="58">
        <f>'Volunteer Survey'!R901</f>
        <v>0</v>
      </c>
      <c r="Y490" s="47"/>
      <c r="Z490" s="49"/>
      <c r="AA490" s="49"/>
      <c r="AB490" s="49"/>
      <c r="AC490" s="49"/>
      <c r="AD490" s="49"/>
      <c r="AE490" s="49"/>
      <c r="AF490" s="49"/>
      <c r="AG490" s="49"/>
      <c r="AH490" s="49"/>
      <c r="AI490" s="49"/>
      <c r="AJ490" s="49"/>
      <c r="AK490" s="49"/>
      <c r="AL490" s="49"/>
      <c r="AM490" s="49"/>
      <c r="AN490" s="49"/>
      <c r="AO490" s="49"/>
    </row>
    <row r="491" spans="1:41" ht="14">
      <c r="A491" s="49">
        <f>'Volunteer Survey'!A901</f>
        <v>0</v>
      </c>
      <c r="B491" s="42" t="s">
        <v>322</v>
      </c>
      <c r="C491" s="47"/>
      <c r="D491" s="49"/>
      <c r="E491" s="49"/>
      <c r="F491" s="49" t="b">
        <v>0</v>
      </c>
      <c r="G491" s="49"/>
      <c r="H491" s="47"/>
      <c r="I491" s="47"/>
      <c r="J491" s="49"/>
      <c r="K491" s="49"/>
      <c r="L491" s="49">
        <f>'Volunteer Survey'!B901</f>
        <v>0</v>
      </c>
      <c r="M491" s="49">
        <f>'Volunteer Survey'!E901</f>
        <v>0</v>
      </c>
      <c r="N491" s="49">
        <f>'Volunteer Survey'!F902</f>
        <v>0</v>
      </c>
      <c r="O491" s="42">
        <f>'Volunteer Survey'!H902</f>
        <v>0</v>
      </c>
      <c r="P491" s="49"/>
      <c r="Q491" s="54" t="str">
        <f ca="1">IFERROR(__xludf.DUMMYFUNCTION("QUERY('Volunteer Survey'!J885)"),"")</f>
        <v/>
      </c>
      <c r="R491" s="49"/>
      <c r="S491" s="49">
        <f>'Volunteer Survey'!L896</f>
        <v>0</v>
      </c>
      <c r="T491" s="49">
        <f>'Volunteer Survey'!M901</f>
        <v>0</v>
      </c>
      <c r="U491" s="58"/>
      <c r="V491" s="49"/>
      <c r="W491" s="60">
        <f>'Volunteer Survey'!P901</f>
        <v>0</v>
      </c>
      <c r="X491" s="58">
        <f>'Volunteer Survey'!R902</f>
        <v>0</v>
      </c>
      <c r="Y491" s="47"/>
      <c r="Z491" s="49"/>
      <c r="AA491" s="49"/>
      <c r="AB491" s="49"/>
      <c r="AC491" s="49"/>
      <c r="AD491" s="49"/>
      <c r="AE491" s="49"/>
      <c r="AF491" s="49"/>
      <c r="AG491" s="49"/>
      <c r="AH491" s="49"/>
      <c r="AI491" s="49"/>
      <c r="AJ491" s="49"/>
      <c r="AK491" s="49"/>
      <c r="AL491" s="49"/>
      <c r="AM491" s="49"/>
      <c r="AN491" s="49"/>
      <c r="AO491" s="49"/>
    </row>
    <row r="492" spans="1:41" ht="14">
      <c r="A492" s="49">
        <f>'Volunteer Survey'!A902</f>
        <v>0</v>
      </c>
      <c r="B492" s="42" t="s">
        <v>322</v>
      </c>
      <c r="C492" s="47"/>
      <c r="D492" s="49"/>
      <c r="E492" s="49"/>
      <c r="F492" s="49" t="b">
        <v>0</v>
      </c>
      <c r="G492" s="49"/>
      <c r="H492" s="47"/>
      <c r="I492" s="47"/>
      <c r="J492" s="49"/>
      <c r="K492" s="49"/>
      <c r="L492" s="49">
        <f>'Volunteer Survey'!B902</f>
        <v>0</v>
      </c>
      <c r="M492" s="49">
        <f>'Volunteer Survey'!E902</f>
        <v>0</v>
      </c>
      <c r="N492" s="49">
        <f>'Volunteer Survey'!F903</f>
        <v>0</v>
      </c>
      <c r="O492" s="42">
        <f>'Volunteer Survey'!H903</f>
        <v>0</v>
      </c>
      <c r="P492" s="49"/>
      <c r="Q492" s="54" t="str">
        <f ca="1">IFERROR(__xludf.DUMMYFUNCTION("QUERY('Volunteer Survey'!J886)"),"")</f>
        <v/>
      </c>
      <c r="R492" s="49"/>
      <c r="S492" s="49">
        <f>'Volunteer Survey'!L897</f>
        <v>0</v>
      </c>
      <c r="T492" s="49">
        <f>'Volunteer Survey'!M902</f>
        <v>0</v>
      </c>
      <c r="U492" s="58"/>
      <c r="V492" s="49"/>
      <c r="W492" s="60">
        <f>'Volunteer Survey'!P902</f>
        <v>0</v>
      </c>
      <c r="X492" s="58">
        <f>'Volunteer Survey'!R903</f>
        <v>0</v>
      </c>
      <c r="Y492" s="47"/>
      <c r="Z492" s="49"/>
      <c r="AA492" s="49"/>
      <c r="AB492" s="49"/>
      <c r="AC492" s="49"/>
      <c r="AD492" s="49"/>
      <c r="AE492" s="49"/>
      <c r="AF492" s="49"/>
      <c r="AG492" s="49"/>
      <c r="AH492" s="49"/>
      <c r="AI492" s="49"/>
      <c r="AJ492" s="49"/>
      <c r="AK492" s="49"/>
      <c r="AL492" s="49"/>
      <c r="AM492" s="49"/>
      <c r="AN492" s="49"/>
      <c r="AO492" s="49"/>
    </row>
    <row r="493" spans="1:41" ht="14">
      <c r="A493" s="49">
        <f>'Volunteer Survey'!A903</f>
        <v>0</v>
      </c>
      <c r="B493" s="42" t="s">
        <v>322</v>
      </c>
      <c r="C493" s="47"/>
      <c r="D493" s="49"/>
      <c r="E493" s="49"/>
      <c r="F493" s="49" t="b">
        <v>0</v>
      </c>
      <c r="G493" s="49"/>
      <c r="H493" s="47"/>
      <c r="I493" s="47"/>
      <c r="J493" s="49"/>
      <c r="K493" s="49"/>
      <c r="L493" s="49">
        <f>'Volunteer Survey'!B903</f>
        <v>0</v>
      </c>
      <c r="M493" s="49">
        <f>'Volunteer Survey'!E903</f>
        <v>0</v>
      </c>
      <c r="N493" s="49">
        <f>'Volunteer Survey'!F904</f>
        <v>0</v>
      </c>
      <c r="O493" s="42">
        <f>'Volunteer Survey'!H904</f>
        <v>0</v>
      </c>
      <c r="P493" s="49"/>
      <c r="Q493" s="54" t="str">
        <f ca="1">IFERROR(__xludf.DUMMYFUNCTION("QUERY('Volunteer Survey'!J887)"),"")</f>
        <v/>
      </c>
      <c r="R493" s="49"/>
      <c r="S493" s="49">
        <f>'Volunteer Survey'!L898</f>
        <v>0</v>
      </c>
      <c r="T493" s="49">
        <f>'Volunteer Survey'!M903</f>
        <v>0</v>
      </c>
      <c r="U493" s="58"/>
      <c r="V493" s="49"/>
      <c r="W493" s="60">
        <f>'Volunteer Survey'!P903</f>
        <v>0</v>
      </c>
      <c r="X493" s="58">
        <f>'Volunteer Survey'!R904</f>
        <v>0</v>
      </c>
      <c r="Y493" s="47"/>
      <c r="Z493" s="49"/>
      <c r="AA493" s="49"/>
      <c r="AB493" s="49"/>
      <c r="AC493" s="49"/>
      <c r="AD493" s="49"/>
      <c r="AE493" s="49"/>
      <c r="AF493" s="49"/>
      <c r="AG493" s="49"/>
      <c r="AH493" s="49"/>
      <c r="AI493" s="49"/>
      <c r="AJ493" s="49"/>
      <c r="AK493" s="49"/>
      <c r="AL493" s="49"/>
      <c r="AM493" s="49"/>
      <c r="AN493" s="49"/>
      <c r="AO493" s="49"/>
    </row>
    <row r="494" spans="1:41" ht="14">
      <c r="A494" s="49">
        <f>'Volunteer Survey'!A904</f>
        <v>0</v>
      </c>
      <c r="B494" s="42" t="s">
        <v>322</v>
      </c>
      <c r="C494" s="47"/>
      <c r="D494" s="49"/>
      <c r="E494" s="49"/>
      <c r="F494" s="49" t="b">
        <v>0</v>
      </c>
      <c r="G494" s="49"/>
      <c r="H494" s="47"/>
      <c r="I494" s="47"/>
      <c r="J494" s="49"/>
      <c r="K494" s="49"/>
      <c r="L494" s="49">
        <f>'Volunteer Survey'!B904</f>
        <v>0</v>
      </c>
      <c r="M494" s="49">
        <f>'Volunteer Survey'!E904</f>
        <v>0</v>
      </c>
      <c r="N494" s="49">
        <f>'Volunteer Survey'!F905</f>
        <v>0</v>
      </c>
      <c r="O494" s="42">
        <f>'Volunteer Survey'!H905</f>
        <v>0</v>
      </c>
      <c r="P494" s="49"/>
      <c r="Q494" s="54" t="str">
        <f ca="1">IFERROR(__xludf.DUMMYFUNCTION("QUERY('Volunteer Survey'!J888)"),"")</f>
        <v/>
      </c>
      <c r="R494" s="49"/>
      <c r="S494" s="49">
        <f>'Volunteer Survey'!L899</f>
        <v>0</v>
      </c>
      <c r="T494" s="49">
        <f>'Volunteer Survey'!M904</f>
        <v>0</v>
      </c>
      <c r="U494" s="58"/>
      <c r="V494" s="49"/>
      <c r="W494" s="60">
        <f>'Volunteer Survey'!P904</f>
        <v>0</v>
      </c>
      <c r="X494" s="58">
        <f>'Volunteer Survey'!R905</f>
        <v>0</v>
      </c>
      <c r="Y494" s="47"/>
      <c r="Z494" s="49"/>
      <c r="AA494" s="49"/>
      <c r="AB494" s="49"/>
      <c r="AC494" s="49"/>
      <c r="AD494" s="49"/>
      <c r="AE494" s="49"/>
      <c r="AF494" s="49"/>
      <c r="AG494" s="49"/>
      <c r="AH494" s="49"/>
      <c r="AI494" s="49"/>
      <c r="AJ494" s="49"/>
      <c r="AK494" s="49"/>
      <c r="AL494" s="49"/>
      <c r="AM494" s="49"/>
      <c r="AN494" s="49"/>
      <c r="AO494" s="49"/>
    </row>
    <row r="495" spans="1:41" ht="14">
      <c r="A495" s="49">
        <f>'Volunteer Survey'!A905</f>
        <v>0</v>
      </c>
      <c r="B495" s="42" t="s">
        <v>322</v>
      </c>
      <c r="C495" s="47"/>
      <c r="D495" s="49"/>
      <c r="E495" s="49"/>
      <c r="F495" s="49" t="b">
        <v>0</v>
      </c>
      <c r="G495" s="49"/>
      <c r="H495" s="47"/>
      <c r="I495" s="47"/>
      <c r="J495" s="49"/>
      <c r="K495" s="49"/>
      <c r="L495" s="49">
        <f>'Volunteer Survey'!B905</f>
        <v>0</v>
      </c>
      <c r="M495" s="49">
        <f>'Volunteer Survey'!E905</f>
        <v>0</v>
      </c>
      <c r="N495" s="49">
        <f>'Volunteer Survey'!F906</f>
        <v>0</v>
      </c>
      <c r="O495" s="42">
        <f>'Volunteer Survey'!H906</f>
        <v>0</v>
      </c>
      <c r="P495" s="49"/>
      <c r="Q495" s="54" t="str">
        <f ca="1">IFERROR(__xludf.DUMMYFUNCTION("QUERY('Volunteer Survey'!J889)"),"")</f>
        <v/>
      </c>
      <c r="R495" s="49"/>
      <c r="S495" s="49">
        <f>'Volunteer Survey'!L900</f>
        <v>0</v>
      </c>
      <c r="T495" s="49">
        <f>'Volunteer Survey'!M905</f>
        <v>0</v>
      </c>
      <c r="U495" s="58"/>
      <c r="V495" s="49"/>
      <c r="W495" s="60">
        <f>'Volunteer Survey'!P905</f>
        <v>0</v>
      </c>
      <c r="X495" s="58">
        <f>'Volunteer Survey'!R906</f>
        <v>0</v>
      </c>
      <c r="Y495" s="47"/>
      <c r="Z495" s="49"/>
      <c r="AA495" s="49"/>
      <c r="AB495" s="49"/>
      <c r="AC495" s="49"/>
      <c r="AD495" s="49"/>
      <c r="AE495" s="49"/>
      <c r="AF495" s="49"/>
      <c r="AG495" s="49"/>
      <c r="AH495" s="49"/>
      <c r="AI495" s="49"/>
      <c r="AJ495" s="49"/>
      <c r="AK495" s="49"/>
      <c r="AL495" s="49"/>
      <c r="AM495" s="49"/>
      <c r="AN495" s="49"/>
      <c r="AO495" s="49"/>
    </row>
    <row r="496" spans="1:41" ht="14">
      <c r="A496" s="49">
        <f>'Volunteer Survey'!A906</f>
        <v>0</v>
      </c>
      <c r="B496" s="42" t="s">
        <v>322</v>
      </c>
      <c r="C496" s="47"/>
      <c r="D496" s="49"/>
      <c r="E496" s="49"/>
      <c r="F496" s="49" t="b">
        <v>0</v>
      </c>
      <c r="G496" s="49"/>
      <c r="H496" s="47"/>
      <c r="I496" s="47"/>
      <c r="J496" s="49"/>
      <c r="K496" s="49"/>
      <c r="L496" s="49">
        <f>'Volunteer Survey'!B906</f>
        <v>0</v>
      </c>
      <c r="M496" s="49">
        <f>'Volunteer Survey'!E906</f>
        <v>0</v>
      </c>
      <c r="N496" s="49">
        <f>'Volunteer Survey'!F907</f>
        <v>0</v>
      </c>
      <c r="O496" s="42">
        <f>'Volunteer Survey'!H907</f>
        <v>0</v>
      </c>
      <c r="P496" s="49"/>
      <c r="Q496" s="54" t="str">
        <f ca="1">IFERROR(__xludf.DUMMYFUNCTION("QUERY('Volunteer Survey'!J890)"),"")</f>
        <v/>
      </c>
      <c r="R496" s="49"/>
      <c r="S496" s="49">
        <f>'Volunteer Survey'!L901</f>
        <v>0</v>
      </c>
      <c r="T496" s="49">
        <f>'Volunteer Survey'!M906</f>
        <v>0</v>
      </c>
      <c r="U496" s="58"/>
      <c r="V496" s="49"/>
      <c r="W496" s="60">
        <f>'Volunteer Survey'!P906</f>
        <v>0</v>
      </c>
      <c r="X496" s="58">
        <f>'Volunteer Survey'!R907</f>
        <v>0</v>
      </c>
      <c r="Y496" s="47"/>
      <c r="Z496" s="49"/>
      <c r="AA496" s="49"/>
      <c r="AB496" s="49"/>
      <c r="AC496" s="49"/>
      <c r="AD496" s="49"/>
      <c r="AE496" s="49"/>
      <c r="AF496" s="49"/>
      <c r="AG496" s="49"/>
      <c r="AH496" s="49"/>
      <c r="AI496" s="49"/>
      <c r="AJ496" s="49"/>
      <c r="AK496" s="49"/>
      <c r="AL496" s="49"/>
      <c r="AM496" s="49"/>
      <c r="AN496" s="49"/>
      <c r="AO496" s="49"/>
    </row>
    <row r="497" spans="1:41" ht="14">
      <c r="A497" s="49">
        <f>'Volunteer Survey'!A907</f>
        <v>0</v>
      </c>
      <c r="B497" s="42" t="s">
        <v>322</v>
      </c>
      <c r="C497" s="47"/>
      <c r="D497" s="49"/>
      <c r="E497" s="49"/>
      <c r="F497" s="49" t="b">
        <v>0</v>
      </c>
      <c r="G497" s="49"/>
      <c r="H497" s="47"/>
      <c r="I497" s="47"/>
      <c r="J497" s="49"/>
      <c r="K497" s="49"/>
      <c r="L497" s="49">
        <f>'Volunteer Survey'!B907</f>
        <v>0</v>
      </c>
      <c r="M497" s="49">
        <f>'Volunteer Survey'!E907</f>
        <v>0</v>
      </c>
      <c r="N497" s="49">
        <f>'Volunteer Survey'!F908</f>
        <v>0</v>
      </c>
      <c r="O497" s="42">
        <f>'Volunteer Survey'!H908</f>
        <v>0</v>
      </c>
      <c r="P497" s="49"/>
      <c r="Q497" s="54" t="str">
        <f ca="1">IFERROR(__xludf.DUMMYFUNCTION("QUERY('Volunteer Survey'!J891)"),"")</f>
        <v/>
      </c>
      <c r="R497" s="49"/>
      <c r="S497" s="49">
        <f>'Volunteer Survey'!L902</f>
        <v>0</v>
      </c>
      <c r="T497" s="49">
        <f>'Volunteer Survey'!M907</f>
        <v>0</v>
      </c>
      <c r="U497" s="58"/>
      <c r="V497" s="49"/>
      <c r="W497" s="60">
        <f>'Volunteer Survey'!P907</f>
        <v>0</v>
      </c>
      <c r="X497" s="58">
        <f>'Volunteer Survey'!R908</f>
        <v>0</v>
      </c>
      <c r="Y497" s="47"/>
      <c r="Z497" s="49"/>
      <c r="AA497" s="49"/>
      <c r="AB497" s="49"/>
      <c r="AC497" s="49"/>
      <c r="AD497" s="49"/>
      <c r="AE497" s="49"/>
      <c r="AF497" s="49"/>
      <c r="AG497" s="49"/>
      <c r="AH497" s="49"/>
      <c r="AI497" s="49"/>
      <c r="AJ497" s="49"/>
      <c r="AK497" s="49"/>
      <c r="AL497" s="49"/>
      <c r="AM497" s="49"/>
      <c r="AN497" s="49"/>
      <c r="AO497" s="49"/>
    </row>
    <row r="498" spans="1:41" ht="14">
      <c r="A498" s="49">
        <f>'Volunteer Survey'!A908</f>
        <v>0</v>
      </c>
      <c r="B498" s="42" t="s">
        <v>322</v>
      </c>
      <c r="C498" s="47"/>
      <c r="D498" s="49"/>
      <c r="E498" s="49"/>
      <c r="F498" s="49" t="b">
        <v>0</v>
      </c>
      <c r="G498" s="49"/>
      <c r="H498" s="47"/>
      <c r="I498" s="47"/>
      <c r="J498" s="49"/>
      <c r="K498" s="49"/>
      <c r="L498" s="49">
        <f>'Volunteer Survey'!B908</f>
        <v>0</v>
      </c>
      <c r="M498" s="49">
        <f>'Volunteer Survey'!E908</f>
        <v>0</v>
      </c>
      <c r="N498" s="49">
        <f>'Volunteer Survey'!F909</f>
        <v>0</v>
      </c>
      <c r="O498" s="42">
        <f>'Volunteer Survey'!H909</f>
        <v>0</v>
      </c>
      <c r="P498" s="49"/>
      <c r="Q498" s="54" t="str">
        <f ca="1">IFERROR(__xludf.DUMMYFUNCTION("QUERY('Volunteer Survey'!J892)"),"")</f>
        <v/>
      </c>
      <c r="R498" s="49"/>
      <c r="S498" s="49">
        <f>'Volunteer Survey'!L903</f>
        <v>0</v>
      </c>
      <c r="T498" s="49">
        <f>'Volunteer Survey'!M908</f>
        <v>0</v>
      </c>
      <c r="U498" s="58"/>
      <c r="V498" s="49"/>
      <c r="W498" s="60">
        <f>'Volunteer Survey'!P908</f>
        <v>0</v>
      </c>
      <c r="X498" s="58">
        <f>'Volunteer Survey'!R909</f>
        <v>0</v>
      </c>
      <c r="Y498" s="47"/>
      <c r="Z498" s="49"/>
      <c r="AA498" s="49"/>
      <c r="AB498" s="49"/>
      <c r="AC498" s="49"/>
      <c r="AD498" s="49"/>
      <c r="AE498" s="49"/>
      <c r="AF498" s="49"/>
      <c r="AG498" s="49"/>
      <c r="AH498" s="49"/>
      <c r="AI498" s="49"/>
      <c r="AJ498" s="49"/>
      <c r="AK498" s="49"/>
      <c r="AL498" s="49"/>
      <c r="AM498" s="49"/>
      <c r="AN498" s="49"/>
      <c r="AO498" s="49"/>
    </row>
    <row r="499" spans="1:41" ht="14">
      <c r="A499" s="49">
        <f>'Volunteer Survey'!A909</f>
        <v>0</v>
      </c>
      <c r="B499" s="42" t="s">
        <v>322</v>
      </c>
      <c r="C499" s="47"/>
      <c r="D499" s="49"/>
      <c r="E499" s="49"/>
      <c r="F499" s="49" t="b">
        <v>0</v>
      </c>
      <c r="G499" s="49"/>
      <c r="H499" s="47"/>
      <c r="I499" s="47"/>
      <c r="J499" s="49"/>
      <c r="K499" s="49"/>
      <c r="L499" s="49">
        <f>'Volunteer Survey'!B909</f>
        <v>0</v>
      </c>
      <c r="M499" s="49">
        <f>'Volunteer Survey'!E909</f>
        <v>0</v>
      </c>
      <c r="N499" s="49">
        <f>'Volunteer Survey'!F910</f>
        <v>0</v>
      </c>
      <c r="O499" s="42">
        <f>'Volunteer Survey'!H910</f>
        <v>0</v>
      </c>
      <c r="P499" s="49"/>
      <c r="Q499" s="54" t="str">
        <f ca="1">IFERROR(__xludf.DUMMYFUNCTION("QUERY('Volunteer Survey'!J893)"),"")</f>
        <v/>
      </c>
      <c r="R499" s="49"/>
      <c r="S499" s="49">
        <f>'Volunteer Survey'!L904</f>
        <v>0</v>
      </c>
      <c r="T499" s="49">
        <f>'Volunteer Survey'!M909</f>
        <v>0</v>
      </c>
      <c r="U499" s="58"/>
      <c r="V499" s="49"/>
      <c r="W499" s="60">
        <f>'Volunteer Survey'!P909</f>
        <v>0</v>
      </c>
      <c r="X499" s="58">
        <f>'Volunteer Survey'!R910</f>
        <v>0</v>
      </c>
      <c r="Y499" s="47"/>
      <c r="Z499" s="49"/>
      <c r="AA499" s="49"/>
      <c r="AB499" s="49"/>
      <c r="AC499" s="49"/>
      <c r="AD499" s="49"/>
      <c r="AE499" s="49"/>
      <c r="AF499" s="49"/>
      <c r="AG499" s="49"/>
      <c r="AH499" s="49"/>
      <c r="AI499" s="49"/>
      <c r="AJ499" s="49"/>
      <c r="AK499" s="49"/>
      <c r="AL499" s="49"/>
      <c r="AM499" s="49"/>
      <c r="AN499" s="49"/>
      <c r="AO499" s="49"/>
    </row>
    <row r="500" spans="1:41" ht="14">
      <c r="A500" s="49">
        <f>'Volunteer Survey'!A910</f>
        <v>0</v>
      </c>
      <c r="B500" s="42" t="s">
        <v>322</v>
      </c>
      <c r="C500" s="47"/>
      <c r="D500" s="49"/>
      <c r="E500" s="49"/>
      <c r="F500" s="49" t="b">
        <v>0</v>
      </c>
      <c r="G500" s="49"/>
      <c r="H500" s="47"/>
      <c r="I500" s="47"/>
      <c r="J500" s="49"/>
      <c r="K500" s="49"/>
      <c r="L500" s="49">
        <f>'Volunteer Survey'!B910</f>
        <v>0</v>
      </c>
      <c r="M500" s="49">
        <f>'Volunteer Survey'!E910</f>
        <v>0</v>
      </c>
      <c r="N500" s="49">
        <f>'Volunteer Survey'!F911</f>
        <v>0</v>
      </c>
      <c r="O500" s="42">
        <f>'Volunteer Survey'!H911</f>
        <v>0</v>
      </c>
      <c r="P500" s="49"/>
      <c r="Q500" s="54" t="str">
        <f ca="1">IFERROR(__xludf.DUMMYFUNCTION("QUERY('Volunteer Survey'!J894)"),"")</f>
        <v/>
      </c>
      <c r="R500" s="49"/>
      <c r="S500" s="49">
        <f>'Volunteer Survey'!L905</f>
        <v>0</v>
      </c>
      <c r="T500" s="49">
        <f>'Volunteer Survey'!M910</f>
        <v>0</v>
      </c>
      <c r="U500" s="58"/>
      <c r="V500" s="49"/>
      <c r="W500" s="60">
        <f>'Volunteer Survey'!P910</f>
        <v>0</v>
      </c>
      <c r="X500" s="58">
        <f>'Volunteer Survey'!R911</f>
        <v>0</v>
      </c>
      <c r="Y500" s="47"/>
      <c r="Z500" s="49"/>
      <c r="AA500" s="49"/>
      <c r="AB500" s="49"/>
      <c r="AC500" s="49"/>
      <c r="AD500" s="49"/>
      <c r="AE500" s="49"/>
      <c r="AF500" s="49"/>
      <c r="AG500" s="49"/>
      <c r="AH500" s="49"/>
      <c r="AI500" s="49"/>
      <c r="AJ500" s="49"/>
      <c r="AK500" s="49"/>
      <c r="AL500" s="49"/>
      <c r="AM500" s="49"/>
      <c r="AN500" s="49"/>
      <c r="AO500" s="49"/>
    </row>
    <row r="501" spans="1:41" ht="14">
      <c r="A501" s="49">
        <f>'Volunteer Survey'!A911</f>
        <v>0</v>
      </c>
      <c r="B501" s="42" t="s">
        <v>322</v>
      </c>
      <c r="C501" s="47"/>
      <c r="D501" s="49"/>
      <c r="E501" s="49"/>
      <c r="F501" s="49" t="b">
        <v>0</v>
      </c>
      <c r="G501" s="49"/>
      <c r="H501" s="47"/>
      <c r="I501" s="47"/>
      <c r="J501" s="49"/>
      <c r="K501" s="49"/>
      <c r="L501" s="49">
        <f>'Volunteer Survey'!B911</f>
        <v>0</v>
      </c>
      <c r="M501" s="49">
        <f>'Volunteer Survey'!E911</f>
        <v>0</v>
      </c>
      <c r="N501" s="49">
        <f>'Volunteer Survey'!F912</f>
        <v>0</v>
      </c>
      <c r="O501" s="42">
        <f>'Volunteer Survey'!H912</f>
        <v>0</v>
      </c>
      <c r="P501" s="49"/>
      <c r="Q501" s="54" t="str">
        <f ca="1">IFERROR(__xludf.DUMMYFUNCTION("QUERY('Volunteer Survey'!J895)"),"")</f>
        <v/>
      </c>
      <c r="R501" s="49"/>
      <c r="S501" s="49">
        <f>'Volunteer Survey'!L906</f>
        <v>0</v>
      </c>
      <c r="T501" s="49">
        <f>'Volunteer Survey'!M911</f>
        <v>0</v>
      </c>
      <c r="U501" s="58"/>
      <c r="V501" s="49"/>
      <c r="W501" s="60">
        <f>'Volunteer Survey'!P911</f>
        <v>0</v>
      </c>
      <c r="X501" s="58">
        <f>'Volunteer Survey'!R912</f>
        <v>0</v>
      </c>
      <c r="Y501" s="47"/>
      <c r="Z501" s="49"/>
      <c r="AA501" s="49"/>
      <c r="AB501" s="49"/>
      <c r="AC501" s="49"/>
      <c r="AD501" s="49"/>
      <c r="AE501" s="49"/>
      <c r="AF501" s="49"/>
      <c r="AG501" s="49"/>
      <c r="AH501" s="49"/>
      <c r="AI501" s="49"/>
      <c r="AJ501" s="49"/>
      <c r="AK501" s="49"/>
      <c r="AL501" s="49"/>
      <c r="AM501" s="49"/>
      <c r="AN501" s="49"/>
      <c r="AO501" s="49"/>
    </row>
    <row r="502" spans="1:41" ht="14">
      <c r="A502" s="49">
        <f>'Volunteer Survey'!A912</f>
        <v>0</v>
      </c>
      <c r="B502" s="42" t="s">
        <v>322</v>
      </c>
      <c r="C502" s="47"/>
      <c r="D502" s="49"/>
      <c r="E502" s="49"/>
      <c r="F502" s="49" t="b">
        <v>0</v>
      </c>
      <c r="G502" s="49"/>
      <c r="H502" s="47"/>
      <c r="I502" s="47"/>
      <c r="J502" s="49"/>
      <c r="K502" s="49"/>
      <c r="L502" s="49">
        <f>'Volunteer Survey'!B912</f>
        <v>0</v>
      </c>
      <c r="M502" s="49">
        <f>'Volunteer Survey'!E912</f>
        <v>0</v>
      </c>
      <c r="N502" s="49">
        <f>'Volunteer Survey'!F913</f>
        <v>0</v>
      </c>
      <c r="O502" s="42">
        <f>'Volunteer Survey'!H913</f>
        <v>0</v>
      </c>
      <c r="P502" s="49"/>
      <c r="Q502" s="54" t="str">
        <f ca="1">IFERROR(__xludf.DUMMYFUNCTION("QUERY('Volunteer Survey'!J896)"),"")</f>
        <v/>
      </c>
      <c r="R502" s="49"/>
      <c r="S502" s="49">
        <f>'Volunteer Survey'!L907</f>
        <v>0</v>
      </c>
      <c r="T502" s="49">
        <f>'Volunteer Survey'!M912</f>
        <v>0</v>
      </c>
      <c r="U502" s="58"/>
      <c r="V502" s="49"/>
      <c r="W502" s="60">
        <f>'Volunteer Survey'!P912</f>
        <v>0</v>
      </c>
      <c r="X502" s="58">
        <f>'Volunteer Survey'!R913</f>
        <v>0</v>
      </c>
      <c r="Y502" s="47"/>
      <c r="Z502" s="49"/>
      <c r="AA502" s="49"/>
      <c r="AB502" s="49"/>
      <c r="AC502" s="49"/>
      <c r="AD502" s="49"/>
      <c r="AE502" s="49"/>
      <c r="AF502" s="49"/>
      <c r="AG502" s="49"/>
      <c r="AH502" s="49"/>
      <c r="AI502" s="49"/>
      <c r="AJ502" s="49"/>
      <c r="AK502" s="49"/>
      <c r="AL502" s="49"/>
      <c r="AM502" s="49"/>
      <c r="AN502" s="49"/>
      <c r="AO502" s="49"/>
    </row>
    <row r="503" spans="1:41" ht="14">
      <c r="A503" s="49">
        <f>'Volunteer Survey'!A913</f>
        <v>0</v>
      </c>
      <c r="B503" s="42" t="s">
        <v>322</v>
      </c>
      <c r="C503" s="47"/>
      <c r="D503" s="49"/>
      <c r="E503" s="49"/>
      <c r="F503" s="49" t="b">
        <v>0</v>
      </c>
      <c r="G503" s="49"/>
      <c r="H503" s="47"/>
      <c r="I503" s="47"/>
      <c r="J503" s="49"/>
      <c r="K503" s="49"/>
      <c r="L503" s="49">
        <f>'Volunteer Survey'!B913</f>
        <v>0</v>
      </c>
      <c r="M503" s="49">
        <f>'Volunteer Survey'!E913</f>
        <v>0</v>
      </c>
      <c r="N503" s="49">
        <f>'Volunteer Survey'!F914</f>
        <v>0</v>
      </c>
      <c r="O503" s="42">
        <f>'Volunteer Survey'!H914</f>
        <v>0</v>
      </c>
      <c r="P503" s="49"/>
      <c r="Q503" s="54" t="str">
        <f ca="1">IFERROR(__xludf.DUMMYFUNCTION("QUERY('Volunteer Survey'!J897)"),"")</f>
        <v/>
      </c>
      <c r="R503" s="49"/>
      <c r="S503" s="49">
        <f>'Volunteer Survey'!L908</f>
        <v>0</v>
      </c>
      <c r="T503" s="49">
        <f>'Volunteer Survey'!M913</f>
        <v>0</v>
      </c>
      <c r="U503" s="58"/>
      <c r="V503" s="49"/>
      <c r="W503" s="60">
        <f>'Volunteer Survey'!P913</f>
        <v>0</v>
      </c>
      <c r="X503" s="58">
        <f>'Volunteer Survey'!R914</f>
        <v>0</v>
      </c>
      <c r="Y503" s="47"/>
      <c r="Z503" s="49"/>
      <c r="AA503" s="49"/>
      <c r="AB503" s="49"/>
      <c r="AC503" s="49"/>
      <c r="AD503" s="49"/>
      <c r="AE503" s="49"/>
      <c r="AF503" s="49"/>
      <c r="AG503" s="49"/>
      <c r="AH503" s="49"/>
      <c r="AI503" s="49"/>
      <c r="AJ503" s="49"/>
      <c r="AK503" s="49"/>
      <c r="AL503" s="49"/>
      <c r="AM503" s="49"/>
      <c r="AN503" s="49"/>
      <c r="AO503" s="49"/>
    </row>
    <row r="504" spans="1:41" ht="14">
      <c r="A504" s="49">
        <f>'Volunteer Survey'!A914</f>
        <v>0</v>
      </c>
      <c r="B504" s="42" t="s">
        <v>322</v>
      </c>
      <c r="C504" s="47"/>
      <c r="D504" s="49"/>
      <c r="E504" s="49"/>
      <c r="F504" s="49" t="b">
        <v>0</v>
      </c>
      <c r="G504" s="49"/>
      <c r="H504" s="47"/>
      <c r="I504" s="47"/>
      <c r="J504" s="49"/>
      <c r="K504" s="49"/>
      <c r="L504" s="49">
        <f>'Volunteer Survey'!B914</f>
        <v>0</v>
      </c>
      <c r="M504" s="49">
        <f>'Volunteer Survey'!E914</f>
        <v>0</v>
      </c>
      <c r="N504" s="49">
        <f>'Volunteer Survey'!F915</f>
        <v>0</v>
      </c>
      <c r="O504" s="42">
        <f>'Volunteer Survey'!H915</f>
        <v>0</v>
      </c>
      <c r="P504" s="49"/>
      <c r="Q504" s="54" t="str">
        <f ca="1">IFERROR(__xludf.DUMMYFUNCTION("QUERY('Volunteer Survey'!J898)"),"")</f>
        <v/>
      </c>
      <c r="R504" s="49"/>
      <c r="S504" s="49">
        <f>'Volunteer Survey'!L909</f>
        <v>0</v>
      </c>
      <c r="T504" s="49">
        <f>'Volunteer Survey'!M914</f>
        <v>0</v>
      </c>
      <c r="U504" s="58"/>
      <c r="V504" s="49"/>
      <c r="W504" s="60">
        <f>'Volunteer Survey'!P914</f>
        <v>0</v>
      </c>
      <c r="X504" s="49"/>
      <c r="Y504" s="47"/>
      <c r="Z504" s="49"/>
      <c r="AA504" s="49"/>
      <c r="AB504" s="49"/>
      <c r="AC504" s="49"/>
      <c r="AD504" s="49"/>
      <c r="AE504" s="49"/>
      <c r="AF504" s="49"/>
      <c r="AG504" s="49"/>
      <c r="AH504" s="49"/>
      <c r="AI504" s="49"/>
      <c r="AJ504" s="49"/>
      <c r="AK504" s="49"/>
      <c r="AL504" s="49"/>
      <c r="AM504" s="49"/>
      <c r="AN504" s="49"/>
      <c r="AO504" s="49"/>
    </row>
    <row r="505" spans="1:41" ht="14">
      <c r="A505" s="49">
        <f>'Volunteer Survey'!A915</f>
        <v>0</v>
      </c>
      <c r="B505" s="42" t="s">
        <v>322</v>
      </c>
      <c r="C505" s="47"/>
      <c r="D505" s="49"/>
      <c r="E505" s="49"/>
      <c r="F505" s="49" t="b">
        <v>0</v>
      </c>
      <c r="G505" s="49"/>
      <c r="H505" s="47"/>
      <c r="I505" s="47"/>
      <c r="J505" s="49"/>
      <c r="K505" s="49"/>
      <c r="L505" s="49">
        <f>'Volunteer Survey'!B915</f>
        <v>0</v>
      </c>
      <c r="M505" s="49">
        <f>'Volunteer Survey'!E915</f>
        <v>0</v>
      </c>
      <c r="N505" s="49">
        <f>'Volunteer Survey'!F916</f>
        <v>0</v>
      </c>
      <c r="O505" s="42">
        <f>'Volunteer Survey'!H916</f>
        <v>0</v>
      </c>
      <c r="P505" s="49"/>
      <c r="Q505" s="54" t="str">
        <f ca="1">IFERROR(__xludf.DUMMYFUNCTION("QUERY('Volunteer Survey'!J899)"),"")</f>
        <v/>
      </c>
      <c r="R505" s="49"/>
      <c r="S505" s="49">
        <f>'Volunteer Survey'!L910</f>
        <v>0</v>
      </c>
      <c r="T505" s="49">
        <f>'Volunteer Survey'!M915</f>
        <v>0</v>
      </c>
      <c r="U505" s="58"/>
      <c r="V505" s="49"/>
      <c r="W505" s="60">
        <f>'Volunteer Survey'!P915</f>
        <v>0</v>
      </c>
      <c r="X505" s="49"/>
      <c r="Y505" s="47"/>
      <c r="Z505" s="49"/>
      <c r="AA505" s="49"/>
      <c r="AB505" s="49"/>
      <c r="AC505" s="49"/>
      <c r="AD505" s="49"/>
      <c r="AE505" s="49"/>
      <c r="AF505" s="49"/>
      <c r="AG505" s="49"/>
      <c r="AH505" s="49"/>
      <c r="AI505" s="49"/>
      <c r="AJ505" s="49"/>
      <c r="AK505" s="49"/>
      <c r="AL505" s="49"/>
      <c r="AM505" s="49"/>
      <c r="AN505" s="49"/>
      <c r="AO505" s="49"/>
    </row>
    <row r="506" spans="1:41" ht="14">
      <c r="A506" s="49">
        <f>'Volunteer Survey'!A916</f>
        <v>0</v>
      </c>
      <c r="B506" s="42" t="s">
        <v>322</v>
      </c>
      <c r="C506" s="47"/>
      <c r="D506" s="49"/>
      <c r="E506" s="49"/>
      <c r="F506" s="49" t="b">
        <v>0</v>
      </c>
      <c r="G506" s="49"/>
      <c r="H506" s="47"/>
      <c r="I506" s="47"/>
      <c r="J506" s="49"/>
      <c r="K506" s="49"/>
      <c r="L506" s="49">
        <f>'Volunteer Survey'!B916</f>
        <v>0</v>
      </c>
      <c r="M506" s="49">
        <f>'Volunteer Survey'!E916</f>
        <v>0</v>
      </c>
      <c r="N506" s="49">
        <f>'Volunteer Survey'!F917</f>
        <v>0</v>
      </c>
      <c r="O506" s="42">
        <f>'Volunteer Survey'!H917</f>
        <v>0</v>
      </c>
      <c r="P506" s="49"/>
      <c r="Q506" s="54" t="str">
        <f ca="1">IFERROR(__xludf.DUMMYFUNCTION("QUERY('Volunteer Survey'!J900)"),"")</f>
        <v/>
      </c>
      <c r="R506" s="49"/>
      <c r="S506" s="49">
        <f>'Volunteer Survey'!L911</f>
        <v>0</v>
      </c>
      <c r="T506" s="49">
        <f>'Volunteer Survey'!M916</f>
        <v>0</v>
      </c>
      <c r="U506" s="58"/>
      <c r="V506" s="49"/>
      <c r="W506" s="60">
        <f>'Volunteer Survey'!P916</f>
        <v>0</v>
      </c>
      <c r="X506" s="49"/>
      <c r="Y506" s="47"/>
      <c r="Z506" s="49"/>
      <c r="AA506" s="49"/>
      <c r="AB506" s="49"/>
      <c r="AC506" s="49"/>
      <c r="AD506" s="49"/>
      <c r="AE506" s="49"/>
      <c r="AF506" s="49"/>
      <c r="AG506" s="49"/>
      <c r="AH506" s="49"/>
      <c r="AI506" s="49"/>
      <c r="AJ506" s="49"/>
      <c r="AK506" s="49"/>
      <c r="AL506" s="49"/>
      <c r="AM506" s="49"/>
      <c r="AN506" s="49"/>
      <c r="AO506" s="49"/>
    </row>
    <row r="507" spans="1:41" ht="14">
      <c r="A507" s="49">
        <f>'Volunteer Survey'!A917</f>
        <v>0</v>
      </c>
      <c r="B507" s="42" t="s">
        <v>322</v>
      </c>
      <c r="C507" s="47"/>
      <c r="D507" s="49"/>
      <c r="E507" s="49"/>
      <c r="F507" s="49" t="b">
        <v>0</v>
      </c>
      <c r="G507" s="49"/>
      <c r="H507" s="47"/>
      <c r="I507" s="47"/>
      <c r="J507" s="49"/>
      <c r="K507" s="49"/>
      <c r="L507" s="49">
        <f>'Volunteer Survey'!B917</f>
        <v>0</v>
      </c>
      <c r="M507" s="49">
        <f>'Volunteer Survey'!E917</f>
        <v>0</v>
      </c>
      <c r="N507" s="49">
        <f>'Volunteer Survey'!F918</f>
        <v>0</v>
      </c>
      <c r="O507" s="42">
        <f>'Volunteer Survey'!H918</f>
        <v>0</v>
      </c>
      <c r="P507" s="49"/>
      <c r="Q507" s="54" t="str">
        <f ca="1">IFERROR(__xludf.DUMMYFUNCTION("QUERY('Volunteer Survey'!J901)"),"")</f>
        <v/>
      </c>
      <c r="R507" s="49"/>
      <c r="S507" s="49">
        <f>'Volunteer Survey'!L912</f>
        <v>0</v>
      </c>
      <c r="T507" s="49">
        <f>'Volunteer Survey'!M917</f>
        <v>0</v>
      </c>
      <c r="U507" s="58"/>
      <c r="V507" s="49"/>
      <c r="W507" s="60">
        <f>'Volunteer Survey'!P917</f>
        <v>0</v>
      </c>
      <c r="X507" s="49"/>
      <c r="Y507" s="47"/>
      <c r="Z507" s="49"/>
      <c r="AA507" s="49"/>
      <c r="AB507" s="49"/>
      <c r="AC507" s="49"/>
      <c r="AD507" s="49"/>
      <c r="AE507" s="49"/>
      <c r="AF507" s="49"/>
      <c r="AG507" s="49"/>
      <c r="AH507" s="49"/>
      <c r="AI507" s="49"/>
      <c r="AJ507" s="49"/>
      <c r="AK507" s="49"/>
      <c r="AL507" s="49"/>
      <c r="AM507" s="49"/>
      <c r="AN507" s="49"/>
      <c r="AO507" s="49"/>
    </row>
    <row r="508" spans="1:41" ht="14">
      <c r="A508" s="49">
        <f>'Volunteer Survey'!A918</f>
        <v>0</v>
      </c>
      <c r="B508" s="42" t="s">
        <v>322</v>
      </c>
      <c r="C508" s="47"/>
      <c r="D508" s="49"/>
      <c r="E508" s="49"/>
      <c r="F508" s="49" t="b">
        <v>0</v>
      </c>
      <c r="G508" s="49"/>
      <c r="H508" s="47"/>
      <c r="I508" s="47"/>
      <c r="J508" s="49"/>
      <c r="K508" s="49"/>
      <c r="L508" s="49">
        <f>'Volunteer Survey'!B918</f>
        <v>0</v>
      </c>
      <c r="M508" s="49">
        <f>'Volunteer Survey'!E918</f>
        <v>0</v>
      </c>
      <c r="N508" s="49">
        <f>'Volunteer Survey'!F919</f>
        <v>0</v>
      </c>
      <c r="O508" s="42">
        <f>'Volunteer Survey'!H919</f>
        <v>0</v>
      </c>
      <c r="P508" s="49"/>
      <c r="Q508" s="54" t="str">
        <f ca="1">IFERROR(__xludf.DUMMYFUNCTION("QUERY('Volunteer Survey'!J902)"),"")</f>
        <v/>
      </c>
      <c r="R508" s="49"/>
      <c r="S508" s="49">
        <f>'Volunteer Survey'!L913</f>
        <v>0</v>
      </c>
      <c r="T508" s="49">
        <f>'Volunteer Survey'!M918</f>
        <v>0</v>
      </c>
      <c r="U508" s="58"/>
      <c r="V508" s="49"/>
      <c r="W508" s="60">
        <f>'Volunteer Survey'!P918</f>
        <v>0</v>
      </c>
      <c r="X508" s="49"/>
      <c r="Y508" s="47"/>
      <c r="Z508" s="49"/>
      <c r="AA508" s="49"/>
      <c r="AB508" s="49"/>
      <c r="AC508" s="49"/>
      <c r="AD508" s="49"/>
      <c r="AE508" s="49"/>
      <c r="AF508" s="49"/>
      <c r="AG508" s="49"/>
      <c r="AH508" s="49"/>
      <c r="AI508" s="49"/>
      <c r="AJ508" s="49"/>
      <c r="AK508" s="49"/>
      <c r="AL508" s="49"/>
      <c r="AM508" s="49"/>
      <c r="AN508" s="49"/>
      <c r="AO508" s="49"/>
    </row>
    <row r="509" spans="1:41" ht="14">
      <c r="A509" s="49">
        <f>'Volunteer Survey'!A919</f>
        <v>0</v>
      </c>
      <c r="B509" s="42" t="s">
        <v>322</v>
      </c>
      <c r="C509" s="47"/>
      <c r="D509" s="49"/>
      <c r="E509" s="49"/>
      <c r="F509" s="49" t="b">
        <v>0</v>
      </c>
      <c r="G509" s="49"/>
      <c r="H509" s="47"/>
      <c r="I509" s="47"/>
      <c r="J509" s="49"/>
      <c r="K509" s="49"/>
      <c r="L509" s="49">
        <f>'Volunteer Survey'!B919</f>
        <v>0</v>
      </c>
      <c r="M509" s="49">
        <f>'Volunteer Survey'!E919</f>
        <v>0</v>
      </c>
      <c r="N509" s="49">
        <f>'Volunteer Survey'!F920</f>
        <v>0</v>
      </c>
      <c r="O509" s="42">
        <f>'Volunteer Survey'!H920</f>
        <v>0</v>
      </c>
      <c r="P509" s="49"/>
      <c r="Q509" s="54" t="str">
        <f ca="1">IFERROR(__xludf.DUMMYFUNCTION("QUERY('Volunteer Survey'!J903)"),"")</f>
        <v/>
      </c>
      <c r="R509" s="49"/>
      <c r="S509" s="49">
        <f>'Volunteer Survey'!L914</f>
        <v>0</v>
      </c>
      <c r="T509" s="49">
        <f>'Volunteer Survey'!M919</f>
        <v>0</v>
      </c>
      <c r="U509" s="58"/>
      <c r="V509" s="49"/>
      <c r="W509" s="60">
        <f>'Volunteer Survey'!P919</f>
        <v>0</v>
      </c>
      <c r="X509" s="49"/>
      <c r="Y509" s="47"/>
      <c r="Z509" s="49"/>
      <c r="AA509" s="49"/>
      <c r="AB509" s="49"/>
      <c r="AC509" s="49"/>
      <c r="AD509" s="49"/>
      <c r="AE509" s="49"/>
      <c r="AF509" s="49"/>
      <c r="AG509" s="49"/>
      <c r="AH509" s="49"/>
      <c r="AI509" s="49"/>
      <c r="AJ509" s="49"/>
      <c r="AK509" s="49"/>
      <c r="AL509" s="49"/>
      <c r="AM509" s="49"/>
      <c r="AN509" s="49"/>
      <c r="AO509" s="49"/>
    </row>
    <row r="510" spans="1:41" ht="14">
      <c r="A510" s="49">
        <f>'Volunteer Survey'!A920</f>
        <v>0</v>
      </c>
      <c r="B510" s="42" t="s">
        <v>322</v>
      </c>
      <c r="C510" s="47"/>
      <c r="D510" s="49"/>
      <c r="E510" s="49"/>
      <c r="F510" s="49" t="b">
        <v>0</v>
      </c>
      <c r="G510" s="49"/>
      <c r="H510" s="47"/>
      <c r="I510" s="47"/>
      <c r="J510" s="49"/>
      <c r="K510" s="49"/>
      <c r="L510" s="49">
        <f>'Volunteer Survey'!B920</f>
        <v>0</v>
      </c>
      <c r="M510" s="49">
        <f>'Volunteer Survey'!E920</f>
        <v>0</v>
      </c>
      <c r="N510" s="49">
        <f>'Volunteer Survey'!F921</f>
        <v>0</v>
      </c>
      <c r="O510" s="42">
        <f>'Volunteer Survey'!H921</f>
        <v>0</v>
      </c>
      <c r="P510" s="49"/>
      <c r="Q510" s="54" t="str">
        <f ca="1">IFERROR(__xludf.DUMMYFUNCTION("QUERY('Volunteer Survey'!J904)"),"")</f>
        <v/>
      </c>
      <c r="R510" s="49"/>
      <c r="S510" s="49"/>
      <c r="T510" s="49">
        <f>'Volunteer Survey'!M920</f>
        <v>0</v>
      </c>
      <c r="U510" s="58"/>
      <c r="V510" s="49"/>
      <c r="W510" s="60">
        <f>'Volunteer Survey'!P920</f>
        <v>0</v>
      </c>
      <c r="X510" s="49"/>
      <c r="Y510" s="47"/>
      <c r="Z510" s="49"/>
      <c r="AA510" s="49"/>
      <c r="AB510" s="49"/>
      <c r="AC510" s="49"/>
      <c r="AD510" s="49"/>
      <c r="AE510" s="49"/>
      <c r="AF510" s="49"/>
      <c r="AG510" s="49"/>
      <c r="AH510" s="49"/>
      <c r="AI510" s="49"/>
      <c r="AJ510" s="49"/>
      <c r="AK510" s="49"/>
      <c r="AL510" s="49"/>
      <c r="AM510" s="49"/>
      <c r="AN510" s="49"/>
      <c r="AO510" s="49"/>
    </row>
    <row r="511" spans="1:41" ht="14">
      <c r="A511" s="49">
        <f>'Volunteer Survey'!A921</f>
        <v>0</v>
      </c>
      <c r="B511" s="42" t="s">
        <v>322</v>
      </c>
      <c r="C511" s="47"/>
      <c r="D511" s="49"/>
      <c r="E511" s="49"/>
      <c r="F511" s="49" t="b">
        <v>0</v>
      </c>
      <c r="G511" s="49"/>
      <c r="H511" s="47"/>
      <c r="I511" s="47"/>
      <c r="J511" s="49"/>
      <c r="K511" s="49"/>
      <c r="L511" s="49">
        <f>'Volunteer Survey'!B921</f>
        <v>0</v>
      </c>
      <c r="M511" s="49">
        <f>'Volunteer Survey'!E921</f>
        <v>0</v>
      </c>
      <c r="N511" s="49">
        <f>'Volunteer Survey'!F922</f>
        <v>0</v>
      </c>
      <c r="O511" s="42">
        <f>'Volunteer Survey'!H922</f>
        <v>0</v>
      </c>
      <c r="P511" s="49"/>
      <c r="Q511" s="54" t="str">
        <f ca="1">IFERROR(__xludf.DUMMYFUNCTION("QUERY('Volunteer Survey'!J905)"),"")</f>
        <v/>
      </c>
      <c r="R511" s="49"/>
      <c r="S511" s="49"/>
      <c r="T511" s="49">
        <f>'Volunteer Survey'!M921</f>
        <v>0</v>
      </c>
      <c r="U511" s="58"/>
      <c r="V511" s="49"/>
      <c r="W511" s="60">
        <f>'Volunteer Survey'!P921</f>
        <v>0</v>
      </c>
      <c r="X511" s="49"/>
      <c r="Y511" s="47"/>
      <c r="Z511" s="49"/>
      <c r="AA511" s="49"/>
      <c r="AB511" s="49"/>
      <c r="AC511" s="49"/>
      <c r="AD511" s="49"/>
      <c r="AE511" s="49"/>
      <c r="AF511" s="49"/>
      <c r="AG511" s="49"/>
      <c r="AH511" s="49"/>
      <c r="AI511" s="49"/>
      <c r="AJ511" s="49"/>
      <c r="AK511" s="49"/>
      <c r="AL511" s="49"/>
      <c r="AM511" s="49"/>
      <c r="AN511" s="49"/>
      <c r="AO511" s="49"/>
    </row>
    <row r="512" spans="1:41" ht="14">
      <c r="A512" s="49">
        <f>'Volunteer Survey'!A922</f>
        <v>0</v>
      </c>
      <c r="B512" s="42" t="s">
        <v>322</v>
      </c>
      <c r="C512" s="47"/>
      <c r="D512" s="49"/>
      <c r="E512" s="49"/>
      <c r="F512" s="49" t="b">
        <v>0</v>
      </c>
      <c r="G512" s="49"/>
      <c r="H512" s="47"/>
      <c r="I512" s="47"/>
      <c r="J512" s="49"/>
      <c r="K512" s="49"/>
      <c r="L512" s="49">
        <f>'Volunteer Survey'!B922</f>
        <v>0</v>
      </c>
      <c r="M512" s="49">
        <f>'Volunteer Survey'!E922</f>
        <v>0</v>
      </c>
      <c r="N512" s="49">
        <f>'Volunteer Survey'!F923</f>
        <v>0</v>
      </c>
      <c r="O512" s="42">
        <f>'Volunteer Survey'!H923</f>
        <v>0</v>
      </c>
      <c r="P512" s="49"/>
      <c r="Q512" s="54" t="str">
        <f ca="1">IFERROR(__xludf.DUMMYFUNCTION("QUERY('Volunteer Survey'!J906)"),"")</f>
        <v/>
      </c>
      <c r="R512" s="49"/>
      <c r="S512" s="49"/>
      <c r="T512" s="49">
        <f>'Volunteer Survey'!M922</f>
        <v>0</v>
      </c>
      <c r="U512" s="58"/>
      <c r="V512" s="49"/>
      <c r="W512" s="60">
        <f>'Volunteer Survey'!P922</f>
        <v>0</v>
      </c>
      <c r="X512" s="49"/>
      <c r="Y512" s="47"/>
      <c r="Z512" s="49"/>
      <c r="AA512" s="49"/>
      <c r="AB512" s="49"/>
      <c r="AC512" s="49"/>
      <c r="AD512" s="49"/>
      <c r="AE512" s="49"/>
      <c r="AF512" s="49"/>
      <c r="AG512" s="49"/>
      <c r="AH512" s="49"/>
      <c r="AI512" s="49"/>
      <c r="AJ512" s="49"/>
      <c r="AK512" s="49"/>
      <c r="AL512" s="49"/>
      <c r="AM512" s="49"/>
      <c r="AN512" s="49"/>
      <c r="AO512" s="49"/>
    </row>
    <row r="513" spans="1:41" ht="14">
      <c r="A513" s="49">
        <f>'Volunteer Survey'!A923</f>
        <v>0</v>
      </c>
      <c r="B513" s="42" t="s">
        <v>322</v>
      </c>
      <c r="C513" s="47"/>
      <c r="D513" s="49"/>
      <c r="E513" s="49"/>
      <c r="F513" s="49" t="b">
        <v>0</v>
      </c>
      <c r="G513" s="49"/>
      <c r="H513" s="47"/>
      <c r="I513" s="47"/>
      <c r="J513" s="49"/>
      <c r="K513" s="49"/>
      <c r="L513" s="49">
        <f>'Volunteer Survey'!B923</f>
        <v>0</v>
      </c>
      <c r="M513" s="49">
        <f>'Volunteer Survey'!E923</f>
        <v>0</v>
      </c>
      <c r="N513" s="49">
        <f>'Volunteer Survey'!F924</f>
        <v>0</v>
      </c>
      <c r="O513" s="42">
        <f>'Volunteer Survey'!H924</f>
        <v>0</v>
      </c>
      <c r="P513" s="49"/>
      <c r="Q513" s="54" t="str">
        <f ca="1">IFERROR(__xludf.DUMMYFUNCTION("QUERY('Volunteer Survey'!J907)"),"")</f>
        <v/>
      </c>
      <c r="R513" s="49"/>
      <c r="S513" s="49"/>
      <c r="T513" s="49">
        <f>'Volunteer Survey'!M923</f>
        <v>0</v>
      </c>
      <c r="U513" s="58"/>
      <c r="V513" s="49"/>
      <c r="W513" s="60">
        <f>'Volunteer Survey'!P923</f>
        <v>0</v>
      </c>
      <c r="X513" s="49"/>
      <c r="Y513" s="47"/>
      <c r="Z513" s="49"/>
      <c r="AA513" s="49"/>
      <c r="AB513" s="49"/>
      <c r="AC513" s="49"/>
      <c r="AD513" s="49"/>
      <c r="AE513" s="49"/>
      <c r="AF513" s="49"/>
      <c r="AG513" s="49"/>
      <c r="AH513" s="49"/>
      <c r="AI513" s="49"/>
      <c r="AJ513" s="49"/>
      <c r="AK513" s="49"/>
      <c r="AL513" s="49"/>
      <c r="AM513" s="49"/>
      <c r="AN513" s="49"/>
      <c r="AO513" s="49"/>
    </row>
    <row r="514" spans="1:41" ht="14">
      <c r="A514" s="49">
        <f>'Volunteer Survey'!A924</f>
        <v>0</v>
      </c>
      <c r="B514" s="42" t="s">
        <v>322</v>
      </c>
      <c r="C514" s="47"/>
      <c r="D514" s="49"/>
      <c r="E514" s="49"/>
      <c r="F514" s="49" t="b">
        <v>0</v>
      </c>
      <c r="G514" s="49"/>
      <c r="H514" s="47"/>
      <c r="I514" s="47"/>
      <c r="J514" s="49"/>
      <c r="K514" s="49"/>
      <c r="L514" s="49">
        <f>'Volunteer Survey'!B924</f>
        <v>0</v>
      </c>
      <c r="M514" s="49">
        <f>'Volunteer Survey'!E924</f>
        <v>0</v>
      </c>
      <c r="N514" s="49">
        <f>'Volunteer Survey'!F925</f>
        <v>0</v>
      </c>
      <c r="O514" s="42">
        <f>'Volunteer Survey'!H925</f>
        <v>0</v>
      </c>
      <c r="P514" s="49"/>
      <c r="Q514" s="54" t="str">
        <f ca="1">IFERROR(__xludf.DUMMYFUNCTION("QUERY('Volunteer Survey'!J908)"),"")</f>
        <v/>
      </c>
      <c r="R514" s="49"/>
      <c r="S514" s="49"/>
      <c r="T514" s="49">
        <f>'Volunteer Survey'!M924</f>
        <v>0</v>
      </c>
      <c r="U514" s="58"/>
      <c r="V514" s="49"/>
      <c r="W514" s="60">
        <f>'Volunteer Survey'!P924</f>
        <v>0</v>
      </c>
      <c r="X514" s="49"/>
      <c r="Y514" s="47"/>
      <c r="Z514" s="49"/>
      <c r="AA514" s="49"/>
      <c r="AB514" s="49"/>
      <c r="AC514" s="49"/>
      <c r="AD514" s="49"/>
      <c r="AE514" s="49"/>
      <c r="AF514" s="49"/>
      <c r="AG514" s="49"/>
      <c r="AH514" s="49"/>
      <c r="AI514" s="49"/>
      <c r="AJ514" s="49"/>
      <c r="AK514" s="49"/>
      <c r="AL514" s="49"/>
      <c r="AM514" s="49"/>
      <c r="AN514" s="49"/>
      <c r="AO514" s="49"/>
    </row>
    <row r="515" spans="1:41" ht="14">
      <c r="A515" s="49">
        <f>'Volunteer Survey'!A925</f>
        <v>0</v>
      </c>
      <c r="B515" s="42" t="s">
        <v>322</v>
      </c>
      <c r="C515" s="47"/>
      <c r="D515" s="49"/>
      <c r="E515" s="49"/>
      <c r="F515" s="49" t="b">
        <v>0</v>
      </c>
      <c r="G515" s="49"/>
      <c r="H515" s="47"/>
      <c r="I515" s="47"/>
      <c r="J515" s="49"/>
      <c r="K515" s="49"/>
      <c r="L515" s="49">
        <f>'Volunteer Survey'!B925</f>
        <v>0</v>
      </c>
      <c r="M515" s="49">
        <f>'Volunteer Survey'!E925</f>
        <v>0</v>
      </c>
      <c r="N515" s="49">
        <f>'Volunteer Survey'!F926</f>
        <v>0</v>
      </c>
      <c r="O515" s="42">
        <f>'Volunteer Survey'!H926</f>
        <v>0</v>
      </c>
      <c r="P515" s="49"/>
      <c r="Q515" s="54" t="str">
        <f ca="1">IFERROR(__xludf.DUMMYFUNCTION("QUERY('Volunteer Survey'!J909)"),"")</f>
        <v/>
      </c>
      <c r="R515" s="49"/>
      <c r="S515" s="49"/>
      <c r="T515" s="49">
        <f>'Volunteer Survey'!M925</f>
        <v>0</v>
      </c>
      <c r="U515" s="58"/>
      <c r="V515" s="49"/>
      <c r="W515" s="60">
        <f>'Volunteer Survey'!P925</f>
        <v>0</v>
      </c>
      <c r="X515" s="49"/>
      <c r="Y515" s="47"/>
      <c r="Z515" s="49"/>
      <c r="AA515" s="49"/>
      <c r="AB515" s="49"/>
      <c r="AC515" s="49"/>
      <c r="AD515" s="49"/>
      <c r="AE515" s="49"/>
      <c r="AF515" s="49"/>
      <c r="AG515" s="49"/>
      <c r="AH515" s="49"/>
      <c r="AI515" s="49"/>
      <c r="AJ515" s="49"/>
      <c r="AK515" s="49"/>
      <c r="AL515" s="49"/>
      <c r="AM515" s="49"/>
      <c r="AN515" s="49"/>
      <c r="AO515" s="49"/>
    </row>
    <row r="516" spans="1:41" ht="14">
      <c r="A516" s="49">
        <f>'Volunteer Survey'!A926</f>
        <v>0</v>
      </c>
      <c r="B516" s="42" t="s">
        <v>322</v>
      </c>
      <c r="C516" s="47"/>
      <c r="D516" s="49"/>
      <c r="E516" s="49"/>
      <c r="F516" s="49" t="b">
        <v>0</v>
      </c>
      <c r="G516" s="49"/>
      <c r="H516" s="47"/>
      <c r="I516" s="47"/>
      <c r="J516" s="49"/>
      <c r="K516" s="49"/>
      <c r="L516" s="49">
        <f>'Volunteer Survey'!B926</f>
        <v>0</v>
      </c>
      <c r="M516" s="49">
        <f>'Volunteer Survey'!E926</f>
        <v>0</v>
      </c>
      <c r="N516" s="49">
        <f>'Volunteer Survey'!F927</f>
        <v>0</v>
      </c>
      <c r="O516" s="42">
        <f>'Volunteer Survey'!H927</f>
        <v>0</v>
      </c>
      <c r="P516" s="49"/>
      <c r="Q516" s="54" t="str">
        <f ca="1">IFERROR(__xludf.DUMMYFUNCTION("QUERY('Volunteer Survey'!J910)"),"")</f>
        <v/>
      </c>
      <c r="R516" s="49"/>
      <c r="S516" s="49"/>
      <c r="T516" s="49">
        <f>'Volunteer Survey'!M926</f>
        <v>0</v>
      </c>
      <c r="U516" s="58"/>
      <c r="V516" s="49"/>
      <c r="W516" s="60">
        <f>'Volunteer Survey'!P926</f>
        <v>0</v>
      </c>
      <c r="X516" s="49"/>
      <c r="Y516" s="47"/>
      <c r="Z516" s="49"/>
      <c r="AA516" s="49"/>
      <c r="AB516" s="49"/>
      <c r="AC516" s="49"/>
      <c r="AD516" s="49"/>
      <c r="AE516" s="49"/>
      <c r="AF516" s="49"/>
      <c r="AG516" s="49"/>
      <c r="AH516" s="49"/>
      <c r="AI516" s="49"/>
      <c r="AJ516" s="49"/>
      <c r="AK516" s="49"/>
      <c r="AL516" s="49"/>
      <c r="AM516" s="49"/>
      <c r="AN516" s="49"/>
      <c r="AO516" s="49"/>
    </row>
    <row r="517" spans="1:41" ht="14">
      <c r="A517" s="49">
        <f>'Volunteer Survey'!A927</f>
        <v>0</v>
      </c>
      <c r="B517" s="42" t="s">
        <v>322</v>
      </c>
      <c r="C517" s="47"/>
      <c r="D517" s="49"/>
      <c r="E517" s="49"/>
      <c r="F517" s="49" t="b">
        <v>0</v>
      </c>
      <c r="G517" s="49"/>
      <c r="H517" s="47"/>
      <c r="I517" s="47"/>
      <c r="J517" s="49"/>
      <c r="K517" s="49"/>
      <c r="L517" s="49">
        <f>'Volunteer Survey'!B927</f>
        <v>0</v>
      </c>
      <c r="M517" s="49">
        <f>'Volunteer Survey'!E927</f>
        <v>0</v>
      </c>
      <c r="N517" s="49">
        <f>'Volunteer Survey'!F928</f>
        <v>0</v>
      </c>
      <c r="O517" s="42">
        <f>'Volunteer Survey'!H928</f>
        <v>0</v>
      </c>
      <c r="P517" s="49"/>
      <c r="Q517" s="54" t="str">
        <f ca="1">IFERROR(__xludf.DUMMYFUNCTION("QUERY('Volunteer Survey'!J911)"),"")</f>
        <v/>
      </c>
      <c r="R517" s="49"/>
      <c r="S517" s="49"/>
      <c r="T517" s="49">
        <f>'Volunteer Survey'!M927</f>
        <v>0</v>
      </c>
      <c r="U517" s="58"/>
      <c r="V517" s="49"/>
      <c r="W517" s="60">
        <f>'Volunteer Survey'!P927</f>
        <v>0</v>
      </c>
      <c r="X517" s="49"/>
      <c r="Y517" s="47"/>
      <c r="Z517" s="49"/>
      <c r="AA517" s="49"/>
      <c r="AB517" s="49"/>
      <c r="AC517" s="49"/>
      <c r="AD517" s="49"/>
      <c r="AE517" s="49"/>
      <c r="AF517" s="49"/>
      <c r="AG517" s="49"/>
      <c r="AH517" s="49"/>
      <c r="AI517" s="49"/>
      <c r="AJ517" s="49"/>
      <c r="AK517" s="49"/>
      <c r="AL517" s="49"/>
      <c r="AM517" s="49"/>
      <c r="AN517" s="49"/>
      <c r="AO517" s="49"/>
    </row>
    <row r="518" spans="1:41" ht="14">
      <c r="A518" s="49">
        <f>'Volunteer Survey'!A928</f>
        <v>0</v>
      </c>
      <c r="B518" s="42" t="s">
        <v>322</v>
      </c>
      <c r="C518" s="47"/>
      <c r="D518" s="49"/>
      <c r="E518" s="49"/>
      <c r="F518" s="49" t="b">
        <v>0</v>
      </c>
      <c r="G518" s="49"/>
      <c r="H518" s="47"/>
      <c r="I518" s="47"/>
      <c r="J518" s="49"/>
      <c r="K518" s="49"/>
      <c r="L518" s="49">
        <f>'Volunteer Survey'!B928</f>
        <v>0</v>
      </c>
      <c r="M518" s="49">
        <f>'Volunteer Survey'!E928</f>
        <v>0</v>
      </c>
      <c r="N518" s="49">
        <f>'Volunteer Survey'!F929</f>
        <v>0</v>
      </c>
      <c r="O518" s="42">
        <f>'Volunteer Survey'!H929</f>
        <v>0</v>
      </c>
      <c r="P518" s="49"/>
      <c r="Q518" s="54" t="str">
        <f ca="1">IFERROR(__xludf.DUMMYFUNCTION("QUERY('Volunteer Survey'!J912)"),"")</f>
        <v/>
      </c>
      <c r="R518" s="49"/>
      <c r="S518" s="49"/>
      <c r="T518" s="49">
        <f>'Volunteer Survey'!M928</f>
        <v>0</v>
      </c>
      <c r="U518" s="58"/>
      <c r="V518" s="49"/>
      <c r="W518" s="60">
        <f>'Volunteer Survey'!P928</f>
        <v>0</v>
      </c>
      <c r="X518" s="49"/>
      <c r="Y518" s="47"/>
      <c r="Z518" s="49"/>
      <c r="AA518" s="49"/>
      <c r="AB518" s="49"/>
      <c r="AC518" s="49"/>
      <c r="AD518" s="49"/>
      <c r="AE518" s="49"/>
      <c r="AF518" s="49"/>
      <c r="AG518" s="49"/>
      <c r="AH518" s="49"/>
      <c r="AI518" s="49"/>
      <c r="AJ518" s="49"/>
      <c r="AK518" s="49"/>
      <c r="AL518" s="49"/>
      <c r="AM518" s="49"/>
      <c r="AN518" s="49"/>
      <c r="AO518" s="49"/>
    </row>
    <row r="519" spans="1:41" ht="14">
      <c r="A519" s="49">
        <f>'Volunteer Survey'!A929</f>
        <v>0</v>
      </c>
      <c r="B519" s="42" t="s">
        <v>322</v>
      </c>
      <c r="C519" s="47"/>
      <c r="D519" s="49"/>
      <c r="E519" s="49"/>
      <c r="F519" s="49" t="b">
        <v>0</v>
      </c>
      <c r="G519" s="49"/>
      <c r="H519" s="47"/>
      <c r="I519" s="47"/>
      <c r="J519" s="49"/>
      <c r="K519" s="49"/>
      <c r="L519" s="49">
        <f>'Volunteer Survey'!B929</f>
        <v>0</v>
      </c>
      <c r="M519" s="49">
        <f>'Volunteer Survey'!E929</f>
        <v>0</v>
      </c>
      <c r="N519" s="49"/>
      <c r="O519" s="42">
        <f>'Volunteer Survey'!H930</f>
        <v>0</v>
      </c>
      <c r="P519" s="49"/>
      <c r="Q519" s="54" t="str">
        <f ca="1">IFERROR(__xludf.DUMMYFUNCTION("QUERY('Volunteer Survey'!J913)"),"")</f>
        <v/>
      </c>
      <c r="R519" s="49"/>
      <c r="S519" s="49"/>
      <c r="T519" s="49">
        <f>'Volunteer Survey'!M929</f>
        <v>0</v>
      </c>
      <c r="U519" s="58"/>
      <c r="V519" s="49"/>
      <c r="W519" s="60">
        <f>'Volunteer Survey'!P929</f>
        <v>0</v>
      </c>
      <c r="X519" s="49"/>
      <c r="Y519" s="47"/>
      <c r="Z519" s="49"/>
      <c r="AA519" s="49"/>
      <c r="AB519" s="49"/>
      <c r="AC519" s="49"/>
      <c r="AD519" s="49"/>
      <c r="AE519" s="49"/>
      <c r="AF519" s="49"/>
      <c r="AG519" s="49"/>
      <c r="AH519" s="49"/>
      <c r="AI519" s="49"/>
      <c r="AJ519" s="49"/>
      <c r="AK519" s="49"/>
      <c r="AL519" s="49"/>
      <c r="AM519" s="49"/>
      <c r="AN519" s="49"/>
      <c r="AO519" s="49"/>
    </row>
    <row r="520" spans="1:41" ht="14">
      <c r="A520" s="49">
        <f>'Volunteer Survey'!A930</f>
        <v>0</v>
      </c>
      <c r="B520" s="42" t="s">
        <v>322</v>
      </c>
      <c r="C520" s="47"/>
      <c r="D520" s="49"/>
      <c r="E520" s="49"/>
      <c r="F520" s="49" t="b">
        <v>0</v>
      </c>
      <c r="G520" s="49"/>
      <c r="H520" s="47"/>
      <c r="I520" s="47"/>
      <c r="J520" s="49"/>
      <c r="K520" s="49"/>
      <c r="L520" s="49">
        <f>'Volunteer Survey'!B930</f>
        <v>0</v>
      </c>
      <c r="M520" s="49">
        <f>'Volunteer Survey'!E930</f>
        <v>0</v>
      </c>
      <c r="N520" s="49"/>
      <c r="O520" s="42">
        <f>'Volunteer Survey'!H931</f>
        <v>0</v>
      </c>
      <c r="P520" s="49"/>
      <c r="Q520" s="54" t="str">
        <f ca="1">IFERROR(__xludf.DUMMYFUNCTION("QUERY('Volunteer Survey'!J914)"),"")</f>
        <v/>
      </c>
      <c r="R520" s="49"/>
      <c r="S520" s="49"/>
      <c r="T520" s="49">
        <f>'Volunteer Survey'!M930</f>
        <v>0</v>
      </c>
      <c r="U520" s="58"/>
      <c r="V520" s="49"/>
      <c r="W520" s="60">
        <f>'Volunteer Survey'!P930</f>
        <v>0</v>
      </c>
      <c r="X520" s="49"/>
      <c r="Y520" s="47"/>
      <c r="Z520" s="49"/>
      <c r="AA520" s="49"/>
      <c r="AB520" s="49"/>
      <c r="AC520" s="49"/>
      <c r="AD520" s="49"/>
      <c r="AE520" s="49"/>
      <c r="AF520" s="49"/>
      <c r="AG520" s="49"/>
      <c r="AH520" s="49"/>
      <c r="AI520" s="49"/>
      <c r="AJ520" s="49"/>
      <c r="AK520" s="49"/>
      <c r="AL520" s="49"/>
      <c r="AM520" s="49"/>
      <c r="AN520" s="49"/>
      <c r="AO520" s="49"/>
    </row>
    <row r="521" spans="1:41" ht="14">
      <c r="A521" s="49">
        <f>'Volunteer Survey'!A931</f>
        <v>0</v>
      </c>
      <c r="B521" s="42" t="s">
        <v>322</v>
      </c>
      <c r="C521" s="47"/>
      <c r="D521" s="49"/>
      <c r="E521" s="49"/>
      <c r="F521" s="49" t="b">
        <v>0</v>
      </c>
      <c r="G521" s="49"/>
      <c r="H521" s="47"/>
      <c r="I521" s="47"/>
      <c r="J521" s="49"/>
      <c r="K521" s="49"/>
      <c r="L521" s="49">
        <f>'Volunteer Survey'!B931</f>
        <v>0</v>
      </c>
      <c r="M521" s="49">
        <f>'Volunteer Survey'!E931</f>
        <v>0</v>
      </c>
      <c r="N521" s="49"/>
      <c r="O521" s="42">
        <f>'Volunteer Survey'!H932</f>
        <v>0</v>
      </c>
      <c r="P521" s="49"/>
      <c r="Q521" s="54" t="str">
        <f ca="1">IFERROR(__xludf.DUMMYFUNCTION("QUERY('Volunteer Survey'!J915)"),"")</f>
        <v/>
      </c>
      <c r="R521" s="49"/>
      <c r="S521" s="49"/>
      <c r="T521" s="49">
        <f>'Volunteer Survey'!M931</f>
        <v>0</v>
      </c>
      <c r="U521" s="58"/>
      <c r="V521" s="49"/>
      <c r="W521" s="60">
        <f>'Volunteer Survey'!P931</f>
        <v>0</v>
      </c>
      <c r="X521" s="49"/>
      <c r="Y521" s="47"/>
      <c r="Z521" s="49"/>
      <c r="AA521" s="49"/>
      <c r="AB521" s="49"/>
      <c r="AC521" s="49"/>
      <c r="AD521" s="49"/>
      <c r="AE521" s="49"/>
      <c r="AF521" s="49"/>
      <c r="AG521" s="49"/>
      <c r="AH521" s="49"/>
      <c r="AI521" s="49"/>
      <c r="AJ521" s="49"/>
      <c r="AK521" s="49"/>
      <c r="AL521" s="49"/>
      <c r="AM521" s="49"/>
      <c r="AN521" s="49"/>
      <c r="AO521" s="49"/>
    </row>
    <row r="522" spans="1:41" ht="14">
      <c r="A522" s="49">
        <f>'Volunteer Survey'!A932</f>
        <v>0</v>
      </c>
      <c r="B522" s="42" t="s">
        <v>322</v>
      </c>
      <c r="C522" s="47"/>
      <c r="D522" s="49"/>
      <c r="E522" s="49"/>
      <c r="F522" s="49" t="b">
        <v>0</v>
      </c>
      <c r="G522" s="49"/>
      <c r="H522" s="47"/>
      <c r="I522" s="47"/>
      <c r="J522" s="49"/>
      <c r="K522" s="49"/>
      <c r="L522" s="49">
        <f>'Volunteer Survey'!B932</f>
        <v>0</v>
      </c>
      <c r="M522" s="49">
        <f>'Volunteer Survey'!E932</f>
        <v>0</v>
      </c>
      <c r="N522" s="49"/>
      <c r="O522" s="42">
        <f>'Volunteer Survey'!H933</f>
        <v>0</v>
      </c>
      <c r="P522" s="49"/>
      <c r="Q522" s="54" t="str">
        <f ca="1">IFERROR(__xludf.DUMMYFUNCTION("QUERY('Volunteer Survey'!J916)"),"")</f>
        <v/>
      </c>
      <c r="R522" s="49"/>
      <c r="S522" s="49"/>
      <c r="T522" s="49">
        <f>'Volunteer Survey'!M932</f>
        <v>0</v>
      </c>
      <c r="U522" s="58"/>
      <c r="V522" s="49"/>
      <c r="W522" s="60">
        <f>'Volunteer Survey'!P932</f>
        <v>0</v>
      </c>
      <c r="X522" s="49"/>
      <c r="Y522" s="47"/>
      <c r="Z522" s="49"/>
      <c r="AA522" s="49"/>
      <c r="AB522" s="49"/>
      <c r="AC522" s="49"/>
      <c r="AD522" s="49"/>
      <c r="AE522" s="49"/>
      <c r="AF522" s="49"/>
      <c r="AG522" s="49"/>
      <c r="AH522" s="49"/>
      <c r="AI522" s="49"/>
      <c r="AJ522" s="49"/>
      <c r="AK522" s="49"/>
      <c r="AL522" s="49"/>
      <c r="AM522" s="49"/>
      <c r="AN522" s="49"/>
      <c r="AO522" s="49"/>
    </row>
    <row r="523" spans="1:41" ht="14">
      <c r="A523" s="49">
        <f>'Volunteer Survey'!A933</f>
        <v>0</v>
      </c>
      <c r="B523" s="42" t="s">
        <v>322</v>
      </c>
      <c r="C523" s="47"/>
      <c r="D523" s="49"/>
      <c r="E523" s="49"/>
      <c r="F523" s="49" t="b">
        <v>0</v>
      </c>
      <c r="G523" s="49"/>
      <c r="H523" s="47"/>
      <c r="I523" s="47"/>
      <c r="J523" s="49"/>
      <c r="K523" s="49"/>
      <c r="L523" s="49">
        <f>'Volunteer Survey'!B933</f>
        <v>0</v>
      </c>
      <c r="M523" s="49">
        <f>'Volunteer Survey'!E933</f>
        <v>0</v>
      </c>
      <c r="N523" s="49"/>
      <c r="O523" s="42">
        <f>'Volunteer Survey'!H934</f>
        <v>0</v>
      </c>
      <c r="P523" s="49"/>
      <c r="Q523" s="54" t="str">
        <f ca="1">IFERROR(__xludf.DUMMYFUNCTION("QUERY('Volunteer Survey'!J917)"),"")</f>
        <v/>
      </c>
      <c r="R523" s="49"/>
      <c r="S523" s="49"/>
      <c r="T523" s="49">
        <f>'Volunteer Survey'!M933</f>
        <v>0</v>
      </c>
      <c r="U523" s="58"/>
      <c r="V523" s="49"/>
      <c r="W523" s="60">
        <f>'Volunteer Survey'!P933</f>
        <v>0</v>
      </c>
      <c r="X523" s="49"/>
      <c r="Y523" s="47"/>
      <c r="Z523" s="49"/>
      <c r="AA523" s="49"/>
      <c r="AB523" s="49"/>
      <c r="AC523" s="49"/>
      <c r="AD523" s="49"/>
      <c r="AE523" s="49"/>
      <c r="AF523" s="49"/>
      <c r="AG523" s="49"/>
      <c r="AH523" s="49"/>
      <c r="AI523" s="49"/>
      <c r="AJ523" s="49"/>
      <c r="AK523" s="49"/>
      <c r="AL523" s="49"/>
      <c r="AM523" s="49"/>
      <c r="AN523" s="49"/>
      <c r="AO523" s="49"/>
    </row>
    <row r="524" spans="1:41" ht="14">
      <c r="A524" s="49">
        <f>'Volunteer Survey'!A934</f>
        <v>0</v>
      </c>
      <c r="B524" s="42" t="s">
        <v>322</v>
      </c>
      <c r="C524" s="47"/>
      <c r="D524" s="49"/>
      <c r="E524" s="49"/>
      <c r="F524" s="49" t="b">
        <v>0</v>
      </c>
      <c r="G524" s="49"/>
      <c r="H524" s="47"/>
      <c r="I524" s="47"/>
      <c r="J524" s="49"/>
      <c r="K524" s="49"/>
      <c r="L524" s="49">
        <f>'Volunteer Survey'!B934</f>
        <v>0</v>
      </c>
      <c r="M524" s="49">
        <f>'Volunteer Survey'!E934</f>
        <v>0</v>
      </c>
      <c r="N524" s="49"/>
      <c r="O524" s="42">
        <f>'Volunteer Survey'!H935</f>
        <v>0</v>
      </c>
      <c r="P524" s="49"/>
      <c r="Q524" s="54" t="str">
        <f ca="1">IFERROR(__xludf.DUMMYFUNCTION("QUERY('Volunteer Survey'!J918)"),"")</f>
        <v/>
      </c>
      <c r="R524" s="49"/>
      <c r="S524" s="49"/>
      <c r="T524" s="49">
        <f>'Volunteer Survey'!M934</f>
        <v>0</v>
      </c>
      <c r="U524" s="58"/>
      <c r="V524" s="49"/>
      <c r="W524" s="60">
        <f>'Volunteer Survey'!P934</f>
        <v>0</v>
      </c>
      <c r="X524" s="49"/>
      <c r="Y524" s="47"/>
      <c r="Z524" s="49"/>
      <c r="AA524" s="49"/>
      <c r="AB524" s="49"/>
      <c r="AC524" s="49"/>
      <c r="AD524" s="49"/>
      <c r="AE524" s="49"/>
      <c r="AF524" s="49"/>
      <c r="AG524" s="49"/>
      <c r="AH524" s="49"/>
      <c r="AI524" s="49"/>
      <c r="AJ524" s="49"/>
      <c r="AK524" s="49"/>
      <c r="AL524" s="49"/>
      <c r="AM524" s="49"/>
      <c r="AN524" s="49"/>
      <c r="AO524" s="49"/>
    </row>
    <row r="525" spans="1:41" ht="14">
      <c r="A525" s="49">
        <f>'Volunteer Survey'!A935</f>
        <v>0</v>
      </c>
      <c r="B525" s="42" t="s">
        <v>322</v>
      </c>
      <c r="C525" s="47"/>
      <c r="D525" s="49"/>
      <c r="E525" s="49"/>
      <c r="F525" s="49" t="b">
        <v>0</v>
      </c>
      <c r="G525" s="49"/>
      <c r="H525" s="47"/>
      <c r="I525" s="47"/>
      <c r="J525" s="49"/>
      <c r="K525" s="49"/>
      <c r="L525" s="49">
        <f>'Volunteer Survey'!B935</f>
        <v>0</v>
      </c>
      <c r="M525" s="49">
        <f>'Volunteer Survey'!E935</f>
        <v>0</v>
      </c>
      <c r="N525" s="49"/>
      <c r="O525" s="42">
        <f>'Volunteer Survey'!H936</f>
        <v>0</v>
      </c>
      <c r="P525" s="49"/>
      <c r="Q525" s="54" t="str">
        <f ca="1">IFERROR(__xludf.DUMMYFUNCTION("QUERY('Volunteer Survey'!J919)"),"")</f>
        <v/>
      </c>
      <c r="R525" s="49"/>
      <c r="S525" s="49"/>
      <c r="T525" s="49">
        <f>'Volunteer Survey'!M935</f>
        <v>0</v>
      </c>
      <c r="U525" s="58"/>
      <c r="V525" s="49"/>
      <c r="W525" s="60">
        <f>'Volunteer Survey'!P935</f>
        <v>0</v>
      </c>
      <c r="X525" s="49"/>
      <c r="Y525" s="47"/>
      <c r="Z525" s="49"/>
      <c r="AA525" s="49"/>
      <c r="AB525" s="49"/>
      <c r="AC525" s="49"/>
      <c r="AD525" s="49"/>
      <c r="AE525" s="49"/>
      <c r="AF525" s="49"/>
      <c r="AG525" s="49"/>
      <c r="AH525" s="49"/>
      <c r="AI525" s="49"/>
      <c r="AJ525" s="49"/>
      <c r="AK525" s="49"/>
      <c r="AL525" s="49"/>
      <c r="AM525" s="49"/>
      <c r="AN525" s="49"/>
      <c r="AO525" s="49"/>
    </row>
    <row r="526" spans="1:41" ht="14">
      <c r="A526" s="49">
        <f>'Volunteer Survey'!A936</f>
        <v>0</v>
      </c>
      <c r="B526" s="42" t="s">
        <v>322</v>
      </c>
      <c r="C526" s="47"/>
      <c r="D526" s="49"/>
      <c r="E526" s="49"/>
      <c r="F526" s="49" t="b">
        <v>0</v>
      </c>
      <c r="G526" s="49"/>
      <c r="H526" s="47"/>
      <c r="I526" s="47"/>
      <c r="J526" s="49"/>
      <c r="K526" s="49"/>
      <c r="L526" s="49">
        <f>'Volunteer Survey'!B936</f>
        <v>0</v>
      </c>
      <c r="M526" s="49">
        <f>'Volunteer Survey'!E936</f>
        <v>0</v>
      </c>
      <c r="N526" s="49"/>
      <c r="O526" s="42">
        <f>'Volunteer Survey'!H937</f>
        <v>0</v>
      </c>
      <c r="P526" s="49"/>
      <c r="Q526" s="54" t="str">
        <f ca="1">IFERROR(__xludf.DUMMYFUNCTION("QUERY('Volunteer Survey'!J920)"),"")</f>
        <v/>
      </c>
      <c r="R526" s="49"/>
      <c r="S526" s="49"/>
      <c r="T526" s="49">
        <f>'Volunteer Survey'!M936</f>
        <v>0</v>
      </c>
      <c r="U526" s="58"/>
      <c r="V526" s="49"/>
      <c r="W526" s="60">
        <f>'Volunteer Survey'!P936</f>
        <v>0</v>
      </c>
      <c r="X526" s="49"/>
      <c r="Y526" s="47"/>
      <c r="Z526" s="49"/>
      <c r="AA526" s="49"/>
      <c r="AB526" s="49"/>
      <c r="AC526" s="49"/>
      <c r="AD526" s="49"/>
      <c r="AE526" s="49"/>
      <c r="AF526" s="49"/>
      <c r="AG526" s="49"/>
      <c r="AH526" s="49"/>
      <c r="AI526" s="49"/>
      <c r="AJ526" s="49"/>
      <c r="AK526" s="49"/>
      <c r="AL526" s="49"/>
      <c r="AM526" s="49"/>
      <c r="AN526" s="49"/>
      <c r="AO526" s="49"/>
    </row>
    <row r="527" spans="1:41" ht="14">
      <c r="A527" s="49">
        <f>'Volunteer Survey'!A937</f>
        <v>0</v>
      </c>
      <c r="B527" s="42" t="s">
        <v>322</v>
      </c>
      <c r="C527" s="47"/>
      <c r="D527" s="49"/>
      <c r="E527" s="49"/>
      <c r="F527" s="49" t="b">
        <v>0</v>
      </c>
      <c r="G527" s="49"/>
      <c r="H527" s="47"/>
      <c r="I527" s="47"/>
      <c r="J527" s="49"/>
      <c r="K527" s="49"/>
      <c r="L527" s="49">
        <f>'Volunteer Survey'!B937</f>
        <v>0</v>
      </c>
      <c r="M527" s="49">
        <f>'Volunteer Survey'!E937</f>
        <v>0</v>
      </c>
      <c r="N527" s="49"/>
      <c r="O527" s="42">
        <f>'Volunteer Survey'!H938</f>
        <v>0</v>
      </c>
      <c r="P527" s="49"/>
      <c r="Q527" s="54" t="str">
        <f ca="1">IFERROR(__xludf.DUMMYFUNCTION("QUERY('Volunteer Survey'!J921)"),"")</f>
        <v/>
      </c>
      <c r="R527" s="49"/>
      <c r="S527" s="49"/>
      <c r="T527" s="49">
        <f>'Volunteer Survey'!M937</f>
        <v>0</v>
      </c>
      <c r="U527" s="58"/>
      <c r="V527" s="49"/>
      <c r="W527" s="60">
        <f>'Volunteer Survey'!P937</f>
        <v>0</v>
      </c>
      <c r="X527" s="49"/>
      <c r="Y527" s="47"/>
      <c r="Z527" s="49"/>
      <c r="AA527" s="49"/>
      <c r="AB527" s="49"/>
      <c r="AC527" s="49"/>
      <c r="AD527" s="49"/>
      <c r="AE527" s="49"/>
      <c r="AF527" s="49"/>
      <c r="AG527" s="49"/>
      <c r="AH527" s="49"/>
      <c r="AI527" s="49"/>
      <c r="AJ527" s="49"/>
      <c r="AK527" s="49"/>
      <c r="AL527" s="49"/>
      <c r="AM527" s="49"/>
      <c r="AN527" s="49"/>
      <c r="AO527" s="49"/>
    </row>
    <row r="528" spans="1:41" ht="14">
      <c r="A528" s="49">
        <f>'Volunteer Survey'!A938</f>
        <v>0</v>
      </c>
      <c r="B528" s="42" t="s">
        <v>322</v>
      </c>
      <c r="C528" s="47"/>
      <c r="D528" s="49"/>
      <c r="E528" s="49"/>
      <c r="F528" s="49" t="b">
        <v>0</v>
      </c>
      <c r="G528" s="49"/>
      <c r="H528" s="47"/>
      <c r="I528" s="47"/>
      <c r="J528" s="49"/>
      <c r="K528" s="49"/>
      <c r="L528" s="49">
        <f>'Volunteer Survey'!B938</f>
        <v>0</v>
      </c>
      <c r="M528" s="49">
        <f>'Volunteer Survey'!E938</f>
        <v>0</v>
      </c>
      <c r="N528" s="49"/>
      <c r="O528" s="42">
        <f>'Volunteer Survey'!H939</f>
        <v>0</v>
      </c>
      <c r="P528" s="49"/>
      <c r="Q528" s="54" t="str">
        <f ca="1">IFERROR(__xludf.DUMMYFUNCTION("QUERY('Volunteer Survey'!J922)"),"")</f>
        <v/>
      </c>
      <c r="R528" s="49"/>
      <c r="S528" s="49"/>
      <c r="T528" s="49">
        <f>'Volunteer Survey'!M938</f>
        <v>0</v>
      </c>
      <c r="U528" s="58"/>
      <c r="V528" s="49"/>
      <c r="W528" s="60">
        <f>'Volunteer Survey'!P938</f>
        <v>0</v>
      </c>
      <c r="X528" s="49"/>
      <c r="Y528" s="47"/>
      <c r="Z528" s="49"/>
      <c r="AA528" s="49"/>
      <c r="AB528" s="49"/>
      <c r="AC528" s="49"/>
      <c r="AD528" s="49"/>
      <c r="AE528" s="49"/>
      <c r="AF528" s="49"/>
      <c r="AG528" s="49"/>
      <c r="AH528" s="49"/>
      <c r="AI528" s="49"/>
      <c r="AJ528" s="49"/>
      <c r="AK528" s="49"/>
      <c r="AL528" s="49"/>
      <c r="AM528" s="49"/>
      <c r="AN528" s="49"/>
      <c r="AO528" s="49"/>
    </row>
    <row r="529" spans="1:41" ht="14">
      <c r="A529" s="49">
        <f>'Volunteer Survey'!A939</f>
        <v>0</v>
      </c>
      <c r="B529" s="42" t="s">
        <v>322</v>
      </c>
      <c r="C529" s="47"/>
      <c r="D529" s="49"/>
      <c r="E529" s="49"/>
      <c r="F529" s="49" t="b">
        <v>0</v>
      </c>
      <c r="G529" s="49"/>
      <c r="H529" s="47"/>
      <c r="I529" s="47"/>
      <c r="J529" s="49"/>
      <c r="K529" s="49"/>
      <c r="L529" s="49">
        <f>'Volunteer Survey'!B939</f>
        <v>0</v>
      </c>
      <c r="M529" s="49">
        <f>'Volunteer Survey'!E939</f>
        <v>0</v>
      </c>
      <c r="N529" s="49"/>
      <c r="O529" s="42">
        <f>'Volunteer Survey'!H940</f>
        <v>0</v>
      </c>
      <c r="P529" s="49"/>
      <c r="Q529" s="54" t="str">
        <f ca="1">IFERROR(__xludf.DUMMYFUNCTION("QUERY('Volunteer Survey'!J923)"),"")</f>
        <v/>
      </c>
      <c r="R529" s="49"/>
      <c r="S529" s="49"/>
      <c r="T529" s="49">
        <f>'Volunteer Survey'!M939</f>
        <v>0</v>
      </c>
      <c r="U529" s="58"/>
      <c r="V529" s="49"/>
      <c r="W529" s="60">
        <f>'Volunteer Survey'!P939</f>
        <v>0</v>
      </c>
      <c r="X529" s="49"/>
      <c r="Y529" s="47"/>
      <c r="Z529" s="49"/>
      <c r="AA529" s="49"/>
      <c r="AB529" s="49"/>
      <c r="AC529" s="49"/>
      <c r="AD529" s="49"/>
      <c r="AE529" s="49"/>
      <c r="AF529" s="49"/>
      <c r="AG529" s="49"/>
      <c r="AH529" s="49"/>
      <c r="AI529" s="49"/>
      <c r="AJ529" s="49"/>
      <c r="AK529" s="49"/>
      <c r="AL529" s="49"/>
      <c r="AM529" s="49"/>
      <c r="AN529" s="49"/>
      <c r="AO529" s="49"/>
    </row>
    <row r="530" spans="1:41" ht="14">
      <c r="A530" s="49">
        <f>'Volunteer Survey'!A940</f>
        <v>0</v>
      </c>
      <c r="B530" s="42" t="s">
        <v>322</v>
      </c>
      <c r="C530" s="47"/>
      <c r="D530" s="49"/>
      <c r="E530" s="49"/>
      <c r="F530" s="49" t="b">
        <v>0</v>
      </c>
      <c r="G530" s="49"/>
      <c r="H530" s="47"/>
      <c r="I530" s="47"/>
      <c r="J530" s="49"/>
      <c r="K530" s="49"/>
      <c r="L530" s="49">
        <f>'Volunteer Survey'!B940</f>
        <v>0</v>
      </c>
      <c r="M530" s="49">
        <f>'Volunteer Survey'!E940</f>
        <v>0</v>
      </c>
      <c r="N530" s="49"/>
      <c r="O530" s="42">
        <f>'Volunteer Survey'!H941</f>
        <v>0</v>
      </c>
      <c r="P530" s="49"/>
      <c r="Q530" s="54" t="str">
        <f ca="1">IFERROR(__xludf.DUMMYFUNCTION("QUERY('Volunteer Survey'!J924)"),"")</f>
        <v/>
      </c>
      <c r="R530" s="49"/>
      <c r="S530" s="49"/>
      <c r="T530" s="49">
        <f>'Volunteer Survey'!M940</f>
        <v>0</v>
      </c>
      <c r="U530" s="58"/>
      <c r="V530" s="49"/>
      <c r="W530" s="60">
        <f>'Volunteer Survey'!P940</f>
        <v>0</v>
      </c>
      <c r="X530" s="49"/>
      <c r="Y530" s="47"/>
      <c r="Z530" s="49"/>
      <c r="AA530" s="49"/>
      <c r="AB530" s="49"/>
      <c r="AC530" s="49"/>
      <c r="AD530" s="49"/>
      <c r="AE530" s="49"/>
      <c r="AF530" s="49"/>
      <c r="AG530" s="49"/>
      <c r="AH530" s="49"/>
      <c r="AI530" s="49"/>
      <c r="AJ530" s="49"/>
      <c r="AK530" s="49"/>
      <c r="AL530" s="49"/>
      <c r="AM530" s="49"/>
      <c r="AN530" s="49"/>
      <c r="AO530" s="49"/>
    </row>
    <row r="531" spans="1:41" ht="14">
      <c r="A531" s="49">
        <f>'Volunteer Survey'!A941</f>
        <v>0</v>
      </c>
      <c r="B531" s="42" t="s">
        <v>322</v>
      </c>
      <c r="C531" s="47"/>
      <c r="D531" s="49"/>
      <c r="E531" s="49"/>
      <c r="F531" s="49" t="b">
        <v>0</v>
      </c>
      <c r="G531" s="49"/>
      <c r="H531" s="47"/>
      <c r="I531" s="47"/>
      <c r="J531" s="49"/>
      <c r="K531" s="49"/>
      <c r="L531" s="49">
        <f>'Volunteer Survey'!B941</f>
        <v>0</v>
      </c>
      <c r="M531" s="49">
        <f>'Volunteer Survey'!E941</f>
        <v>0</v>
      </c>
      <c r="N531" s="49"/>
      <c r="O531" s="42">
        <f>'Volunteer Survey'!H942</f>
        <v>0</v>
      </c>
      <c r="P531" s="49"/>
      <c r="Q531" s="54" t="str">
        <f ca="1">IFERROR(__xludf.DUMMYFUNCTION("QUERY('Volunteer Survey'!J925)"),"")</f>
        <v/>
      </c>
      <c r="R531" s="49"/>
      <c r="S531" s="49"/>
      <c r="T531" s="49">
        <f>'Volunteer Survey'!M941</f>
        <v>0</v>
      </c>
      <c r="U531" s="58"/>
      <c r="V531" s="49"/>
      <c r="W531" s="60">
        <f>'Volunteer Survey'!P941</f>
        <v>0</v>
      </c>
      <c r="X531" s="49"/>
      <c r="Y531" s="47"/>
      <c r="Z531" s="49"/>
      <c r="AA531" s="49"/>
      <c r="AB531" s="49"/>
      <c r="AC531" s="49"/>
      <c r="AD531" s="49"/>
      <c r="AE531" s="49"/>
      <c r="AF531" s="49"/>
      <c r="AG531" s="49"/>
      <c r="AH531" s="49"/>
      <c r="AI531" s="49"/>
      <c r="AJ531" s="49"/>
      <c r="AK531" s="49"/>
      <c r="AL531" s="49"/>
      <c r="AM531" s="49"/>
      <c r="AN531" s="49"/>
      <c r="AO531" s="49"/>
    </row>
    <row r="532" spans="1:41" ht="14">
      <c r="A532" s="49">
        <f>'Volunteer Survey'!A942</f>
        <v>0</v>
      </c>
      <c r="B532" s="42" t="s">
        <v>322</v>
      </c>
      <c r="C532" s="47"/>
      <c r="D532" s="49"/>
      <c r="E532" s="49"/>
      <c r="F532" s="49" t="b">
        <v>0</v>
      </c>
      <c r="G532" s="49"/>
      <c r="H532" s="47"/>
      <c r="I532" s="47"/>
      <c r="J532" s="49"/>
      <c r="K532" s="49"/>
      <c r="L532" s="49">
        <f>'Volunteer Survey'!B942</f>
        <v>0</v>
      </c>
      <c r="M532" s="49">
        <f>'Volunteer Survey'!E942</f>
        <v>0</v>
      </c>
      <c r="N532" s="49"/>
      <c r="O532" s="42">
        <f>'Volunteer Survey'!H943</f>
        <v>0</v>
      </c>
      <c r="P532" s="49"/>
      <c r="Q532" s="54" t="str">
        <f ca="1">IFERROR(__xludf.DUMMYFUNCTION("QUERY('Volunteer Survey'!J926)"),"")</f>
        <v/>
      </c>
      <c r="R532" s="49"/>
      <c r="S532" s="49"/>
      <c r="T532" s="49">
        <f>'Volunteer Survey'!M942</f>
        <v>0</v>
      </c>
      <c r="U532" s="58"/>
      <c r="V532" s="49"/>
      <c r="W532" s="60">
        <f>'Volunteer Survey'!P942</f>
        <v>0</v>
      </c>
      <c r="X532" s="49"/>
      <c r="Y532" s="47"/>
      <c r="Z532" s="49"/>
      <c r="AA532" s="49"/>
      <c r="AB532" s="49"/>
      <c r="AC532" s="49"/>
      <c r="AD532" s="49"/>
      <c r="AE532" s="49"/>
      <c r="AF532" s="49"/>
      <c r="AG532" s="49"/>
      <c r="AH532" s="49"/>
      <c r="AI532" s="49"/>
      <c r="AJ532" s="49"/>
      <c r="AK532" s="49"/>
      <c r="AL532" s="49"/>
      <c r="AM532" s="49"/>
      <c r="AN532" s="49"/>
      <c r="AO532" s="49"/>
    </row>
    <row r="533" spans="1:41" ht="14">
      <c r="A533" s="49">
        <f>'Volunteer Survey'!A943</f>
        <v>0</v>
      </c>
      <c r="B533" s="42" t="s">
        <v>322</v>
      </c>
      <c r="C533" s="47"/>
      <c r="D533" s="49"/>
      <c r="E533" s="49"/>
      <c r="F533" s="49" t="b">
        <v>0</v>
      </c>
      <c r="G533" s="49"/>
      <c r="H533" s="47"/>
      <c r="I533" s="47"/>
      <c r="J533" s="49"/>
      <c r="K533" s="49"/>
      <c r="L533" s="49">
        <f>'Volunteer Survey'!B943</f>
        <v>0</v>
      </c>
      <c r="M533" s="49">
        <f>'Volunteer Survey'!E943</f>
        <v>0</v>
      </c>
      <c r="N533" s="49"/>
      <c r="O533" s="42">
        <f>'Volunteer Survey'!H944</f>
        <v>0</v>
      </c>
      <c r="P533" s="49"/>
      <c r="Q533" s="54" t="str">
        <f ca="1">IFERROR(__xludf.DUMMYFUNCTION("QUERY('Volunteer Survey'!J927)"),"")</f>
        <v/>
      </c>
      <c r="R533" s="49"/>
      <c r="S533" s="49"/>
      <c r="T533" s="49">
        <f>'Volunteer Survey'!M943</f>
        <v>0</v>
      </c>
      <c r="U533" s="58"/>
      <c r="V533" s="49"/>
      <c r="W533" s="60">
        <f>'Volunteer Survey'!P943</f>
        <v>0</v>
      </c>
      <c r="X533" s="49"/>
      <c r="Y533" s="47"/>
      <c r="Z533" s="49"/>
      <c r="AA533" s="49"/>
      <c r="AB533" s="49"/>
      <c r="AC533" s="49"/>
      <c r="AD533" s="49"/>
      <c r="AE533" s="49"/>
      <c r="AF533" s="49"/>
      <c r="AG533" s="49"/>
      <c r="AH533" s="49"/>
      <c r="AI533" s="49"/>
      <c r="AJ533" s="49"/>
      <c r="AK533" s="49"/>
      <c r="AL533" s="49"/>
      <c r="AM533" s="49"/>
      <c r="AN533" s="49"/>
      <c r="AO533" s="49"/>
    </row>
    <row r="534" spans="1:41" ht="14">
      <c r="A534" s="49">
        <f>'Volunteer Survey'!A944</f>
        <v>0</v>
      </c>
      <c r="B534" s="42" t="s">
        <v>322</v>
      </c>
      <c r="C534" s="47"/>
      <c r="D534" s="49"/>
      <c r="E534" s="49"/>
      <c r="F534" s="49" t="b">
        <v>0</v>
      </c>
      <c r="G534" s="49"/>
      <c r="H534" s="47"/>
      <c r="I534" s="47"/>
      <c r="J534" s="49"/>
      <c r="K534" s="49"/>
      <c r="L534" s="49">
        <f>'Volunteer Survey'!B944</f>
        <v>0</v>
      </c>
      <c r="M534" s="49">
        <f>'Volunteer Survey'!E944</f>
        <v>0</v>
      </c>
      <c r="N534" s="49"/>
      <c r="O534" s="42">
        <f>'Volunteer Survey'!H945</f>
        <v>0</v>
      </c>
      <c r="P534" s="49"/>
      <c r="Q534" s="54">
        <f>'Volunteer Survey'!J944</f>
        <v>0</v>
      </c>
      <c r="R534" s="49"/>
      <c r="S534" s="49"/>
      <c r="T534" s="49">
        <f>'Volunteer Survey'!M944</f>
        <v>0</v>
      </c>
      <c r="U534" s="58"/>
      <c r="V534" s="49"/>
      <c r="W534" s="60">
        <f>'Volunteer Survey'!P944</f>
        <v>0</v>
      </c>
      <c r="X534" s="49"/>
      <c r="Y534" s="47"/>
      <c r="Z534" s="49"/>
      <c r="AA534" s="49"/>
      <c r="AB534" s="49"/>
      <c r="AC534" s="49"/>
      <c r="AD534" s="49"/>
      <c r="AE534" s="49"/>
      <c r="AF534" s="49"/>
      <c r="AG534" s="49"/>
      <c r="AH534" s="49"/>
      <c r="AI534" s="49"/>
      <c r="AJ534" s="49"/>
      <c r="AK534" s="49"/>
      <c r="AL534" s="49"/>
      <c r="AM534" s="49"/>
      <c r="AN534" s="49"/>
      <c r="AO534" s="49"/>
    </row>
    <row r="535" spans="1:41" ht="14">
      <c r="A535" s="49">
        <f>'Volunteer Survey'!A945</f>
        <v>0</v>
      </c>
      <c r="B535" s="49"/>
      <c r="C535" s="47"/>
      <c r="D535" s="49"/>
      <c r="E535" s="49"/>
      <c r="F535" s="49" t="b">
        <v>0</v>
      </c>
      <c r="G535" s="49"/>
      <c r="H535" s="47"/>
      <c r="I535" s="47"/>
      <c r="J535" s="49"/>
      <c r="K535" s="49"/>
      <c r="L535" s="49">
        <f>'Volunteer Survey'!B945</f>
        <v>0</v>
      </c>
      <c r="M535" s="49">
        <f>'Volunteer Survey'!E945</f>
        <v>0</v>
      </c>
      <c r="N535" s="49"/>
      <c r="O535" s="42">
        <f>'Volunteer Survey'!H946</f>
        <v>0</v>
      </c>
      <c r="P535" s="49"/>
      <c r="Q535" s="54">
        <f>'Volunteer Survey'!J945</f>
        <v>0</v>
      </c>
      <c r="R535" s="49"/>
      <c r="S535" s="49"/>
      <c r="T535" s="49">
        <f>'Volunteer Survey'!M945</f>
        <v>0</v>
      </c>
      <c r="U535" s="58"/>
      <c r="V535" s="49"/>
      <c r="W535" s="60">
        <f>'Volunteer Survey'!P945</f>
        <v>0</v>
      </c>
      <c r="X535" s="49"/>
      <c r="Y535" s="47"/>
      <c r="Z535" s="49"/>
      <c r="AA535" s="49"/>
      <c r="AB535" s="49"/>
      <c r="AC535" s="49"/>
      <c r="AD535" s="49"/>
      <c r="AE535" s="49"/>
      <c r="AF535" s="49"/>
      <c r="AG535" s="49"/>
      <c r="AH535" s="49"/>
      <c r="AI535" s="49"/>
      <c r="AJ535" s="49"/>
      <c r="AK535" s="49"/>
      <c r="AL535" s="49"/>
      <c r="AM535" s="49"/>
      <c r="AN535" s="49"/>
      <c r="AO535" s="49"/>
    </row>
    <row r="536" spans="1:41" ht="14">
      <c r="A536" s="49">
        <f>'Volunteer Survey'!A946</f>
        <v>0</v>
      </c>
      <c r="B536" s="49"/>
      <c r="C536" s="47"/>
      <c r="D536" s="49"/>
      <c r="E536" s="49"/>
      <c r="F536" s="49" t="b">
        <v>0</v>
      </c>
      <c r="G536" s="49"/>
      <c r="H536" s="47"/>
      <c r="I536" s="47"/>
      <c r="J536" s="49"/>
      <c r="K536" s="49"/>
      <c r="L536" s="49">
        <f>'Volunteer Survey'!B946</f>
        <v>0</v>
      </c>
      <c r="M536" s="49">
        <f>'Volunteer Survey'!E946</f>
        <v>0</v>
      </c>
      <c r="N536" s="49"/>
      <c r="O536" s="42">
        <f>'Volunteer Survey'!H947</f>
        <v>0</v>
      </c>
      <c r="P536" s="49"/>
      <c r="Q536" s="54">
        <f>'Volunteer Survey'!J946</f>
        <v>0</v>
      </c>
      <c r="R536" s="49"/>
      <c r="S536" s="49"/>
      <c r="T536" s="49">
        <f>'Volunteer Survey'!M946</f>
        <v>0</v>
      </c>
      <c r="U536" s="58"/>
      <c r="V536" s="49"/>
      <c r="W536" s="60">
        <f>'Volunteer Survey'!P946</f>
        <v>0</v>
      </c>
      <c r="X536" s="49"/>
      <c r="Y536" s="47"/>
      <c r="Z536" s="49"/>
      <c r="AA536" s="49"/>
      <c r="AB536" s="49"/>
      <c r="AC536" s="49"/>
      <c r="AD536" s="49"/>
      <c r="AE536" s="49"/>
      <c r="AF536" s="49"/>
      <c r="AG536" s="49"/>
      <c r="AH536" s="49"/>
      <c r="AI536" s="49"/>
      <c r="AJ536" s="49"/>
      <c r="AK536" s="49"/>
      <c r="AL536" s="49"/>
      <c r="AM536" s="49"/>
      <c r="AN536" s="49"/>
      <c r="AO536" s="49"/>
    </row>
    <row r="537" spans="1:41" ht="14">
      <c r="A537" s="49">
        <f>'Volunteer Survey'!A947</f>
        <v>0</v>
      </c>
      <c r="B537" s="49"/>
      <c r="C537" s="47"/>
      <c r="D537" s="49"/>
      <c r="E537" s="49"/>
      <c r="F537" s="49" t="b">
        <v>0</v>
      </c>
      <c r="G537" s="49"/>
      <c r="H537" s="47"/>
      <c r="I537" s="47"/>
      <c r="J537" s="49"/>
      <c r="K537" s="49"/>
      <c r="L537" s="49">
        <f>'Volunteer Survey'!B947</f>
        <v>0</v>
      </c>
      <c r="M537" s="49">
        <f>'Volunteer Survey'!E947</f>
        <v>0</v>
      </c>
      <c r="N537" s="49"/>
      <c r="O537" s="42">
        <f>'Volunteer Survey'!H948</f>
        <v>0</v>
      </c>
      <c r="P537" s="49"/>
      <c r="Q537" s="54">
        <f>'Volunteer Survey'!J947</f>
        <v>0</v>
      </c>
      <c r="R537" s="49"/>
      <c r="S537" s="49"/>
      <c r="T537" s="49">
        <f>'Volunteer Survey'!M947</f>
        <v>0</v>
      </c>
      <c r="U537" s="58"/>
      <c r="V537" s="49"/>
      <c r="W537" s="60">
        <f>'Volunteer Survey'!P947</f>
        <v>0</v>
      </c>
      <c r="X537" s="49"/>
      <c r="Y537" s="47"/>
      <c r="Z537" s="49"/>
      <c r="AA537" s="49"/>
      <c r="AB537" s="49"/>
      <c r="AC537" s="49"/>
      <c r="AD537" s="49"/>
      <c r="AE537" s="49"/>
      <c r="AF537" s="49"/>
      <c r="AG537" s="49"/>
      <c r="AH537" s="49"/>
      <c r="AI537" s="49"/>
      <c r="AJ537" s="49"/>
      <c r="AK537" s="49"/>
      <c r="AL537" s="49"/>
      <c r="AM537" s="49"/>
      <c r="AN537" s="49"/>
      <c r="AO537" s="49"/>
    </row>
    <row r="538" spans="1:41" ht="14">
      <c r="A538" s="49">
        <f>'Volunteer Survey'!A948</f>
        <v>0</v>
      </c>
      <c r="B538" s="49"/>
      <c r="C538" s="47"/>
      <c r="D538" s="49"/>
      <c r="E538" s="49"/>
      <c r="F538" s="49" t="b">
        <v>0</v>
      </c>
      <c r="G538" s="49"/>
      <c r="H538" s="47"/>
      <c r="I538" s="47"/>
      <c r="J538" s="49"/>
      <c r="K538" s="49"/>
      <c r="L538" s="49">
        <f>'Volunteer Survey'!B948</f>
        <v>0</v>
      </c>
      <c r="M538" s="49">
        <f>'Volunteer Survey'!E948</f>
        <v>0</v>
      </c>
      <c r="N538" s="49"/>
      <c r="O538" s="42">
        <f>'Volunteer Survey'!H949</f>
        <v>0</v>
      </c>
      <c r="P538" s="49"/>
      <c r="Q538" s="54">
        <f>'Volunteer Survey'!J948</f>
        <v>0</v>
      </c>
      <c r="R538" s="49"/>
      <c r="S538" s="49"/>
      <c r="T538" s="49">
        <f>'Volunteer Survey'!M948</f>
        <v>0</v>
      </c>
      <c r="U538" s="58"/>
      <c r="V538" s="49"/>
      <c r="W538" s="60">
        <f>'Volunteer Survey'!P948</f>
        <v>0</v>
      </c>
      <c r="X538" s="49"/>
      <c r="Y538" s="47"/>
      <c r="Z538" s="49"/>
      <c r="AA538" s="49"/>
      <c r="AB538" s="49"/>
      <c r="AC538" s="49"/>
      <c r="AD538" s="49"/>
      <c r="AE538" s="49"/>
      <c r="AF538" s="49"/>
      <c r="AG538" s="49"/>
      <c r="AH538" s="49"/>
      <c r="AI538" s="49"/>
      <c r="AJ538" s="49"/>
      <c r="AK538" s="49"/>
      <c r="AL538" s="49"/>
      <c r="AM538" s="49"/>
      <c r="AN538" s="49"/>
      <c r="AO538" s="49"/>
    </row>
    <row r="539" spans="1:41" ht="14">
      <c r="A539" s="49">
        <f>'Volunteer Survey'!A949</f>
        <v>0</v>
      </c>
      <c r="B539" s="49"/>
      <c r="C539" s="47"/>
      <c r="D539" s="49"/>
      <c r="E539" s="49"/>
      <c r="F539" s="49" t="b">
        <v>0</v>
      </c>
      <c r="G539" s="49"/>
      <c r="H539" s="47"/>
      <c r="I539" s="47"/>
      <c r="J539" s="49"/>
      <c r="K539" s="49"/>
      <c r="L539" s="49">
        <f>'Volunteer Survey'!B949</f>
        <v>0</v>
      </c>
      <c r="M539" s="49">
        <f>'Volunteer Survey'!E949</f>
        <v>0</v>
      </c>
      <c r="N539" s="49"/>
      <c r="O539" s="42">
        <f>'Volunteer Survey'!H950</f>
        <v>0</v>
      </c>
      <c r="P539" s="49"/>
      <c r="Q539" s="54">
        <f>'Volunteer Survey'!J949</f>
        <v>0</v>
      </c>
      <c r="R539" s="49"/>
      <c r="S539" s="49"/>
      <c r="T539" s="49">
        <f>'Volunteer Survey'!M949</f>
        <v>0</v>
      </c>
      <c r="U539" s="58"/>
      <c r="V539" s="49"/>
      <c r="W539" s="60">
        <f>'Volunteer Survey'!P949</f>
        <v>0</v>
      </c>
      <c r="X539" s="49"/>
      <c r="Y539" s="47"/>
      <c r="Z539" s="49"/>
      <c r="AA539" s="49"/>
      <c r="AB539" s="49"/>
      <c r="AC539" s="49"/>
      <c r="AD539" s="49"/>
      <c r="AE539" s="49"/>
      <c r="AF539" s="49"/>
      <c r="AG539" s="49"/>
      <c r="AH539" s="49"/>
      <c r="AI539" s="49"/>
      <c r="AJ539" s="49"/>
      <c r="AK539" s="49"/>
      <c r="AL539" s="49"/>
      <c r="AM539" s="49"/>
      <c r="AN539" s="49"/>
      <c r="AO539" s="49"/>
    </row>
    <row r="540" spans="1:41" ht="14">
      <c r="A540" s="49">
        <f>'Volunteer Survey'!A950</f>
        <v>0</v>
      </c>
      <c r="B540" s="49"/>
      <c r="C540" s="47"/>
      <c r="D540" s="49"/>
      <c r="E540" s="49"/>
      <c r="F540" s="49" t="b">
        <v>0</v>
      </c>
      <c r="G540" s="49"/>
      <c r="H540" s="47"/>
      <c r="I540" s="47"/>
      <c r="J540" s="49"/>
      <c r="K540" s="49"/>
      <c r="L540" s="49">
        <f>'Volunteer Survey'!B950</f>
        <v>0</v>
      </c>
      <c r="M540" s="49">
        <f>'Volunteer Survey'!E950</f>
        <v>0</v>
      </c>
      <c r="N540" s="49"/>
      <c r="O540" s="42">
        <f>'Volunteer Survey'!H951</f>
        <v>0</v>
      </c>
      <c r="P540" s="49"/>
      <c r="Q540" s="54">
        <f>'Volunteer Survey'!J950</f>
        <v>0</v>
      </c>
      <c r="R540" s="49"/>
      <c r="S540" s="49"/>
      <c r="T540" s="49">
        <f>'Volunteer Survey'!M950</f>
        <v>0</v>
      </c>
      <c r="U540" s="58"/>
      <c r="V540" s="49"/>
      <c r="W540" s="60">
        <f>'Volunteer Survey'!P950</f>
        <v>0</v>
      </c>
      <c r="X540" s="49"/>
      <c r="Y540" s="47"/>
      <c r="Z540" s="49"/>
      <c r="AA540" s="49"/>
      <c r="AB540" s="49"/>
      <c r="AC540" s="49"/>
      <c r="AD540" s="49"/>
      <c r="AE540" s="49"/>
      <c r="AF540" s="49"/>
      <c r="AG540" s="49"/>
      <c r="AH540" s="49"/>
      <c r="AI540" s="49"/>
      <c r="AJ540" s="49"/>
      <c r="AK540" s="49"/>
      <c r="AL540" s="49"/>
      <c r="AM540" s="49"/>
      <c r="AN540" s="49"/>
      <c r="AO540" s="49"/>
    </row>
    <row r="541" spans="1:41" ht="14">
      <c r="A541" s="49">
        <f>'Volunteer Survey'!A951</f>
        <v>0</v>
      </c>
      <c r="B541" s="49"/>
      <c r="C541" s="47"/>
      <c r="D541" s="49"/>
      <c r="E541" s="49"/>
      <c r="F541" s="49" t="b">
        <v>0</v>
      </c>
      <c r="G541" s="49"/>
      <c r="H541" s="47"/>
      <c r="I541" s="47"/>
      <c r="J541" s="49"/>
      <c r="K541" s="49"/>
      <c r="L541" s="49">
        <f>'Volunteer Survey'!B951</f>
        <v>0</v>
      </c>
      <c r="M541" s="49">
        <f>'Volunteer Survey'!E951</f>
        <v>0</v>
      </c>
      <c r="N541" s="49"/>
      <c r="O541" s="42">
        <f>'Volunteer Survey'!H952</f>
        <v>0</v>
      </c>
      <c r="P541" s="49"/>
      <c r="Q541" s="54">
        <f>'Volunteer Survey'!J951</f>
        <v>0</v>
      </c>
      <c r="R541" s="49"/>
      <c r="S541" s="49"/>
      <c r="T541" s="49">
        <f>'Volunteer Survey'!M951</f>
        <v>0</v>
      </c>
      <c r="U541" s="58"/>
      <c r="V541" s="49"/>
      <c r="W541" s="60">
        <f>'Volunteer Survey'!P951</f>
        <v>0</v>
      </c>
      <c r="X541" s="49"/>
      <c r="Y541" s="47"/>
      <c r="Z541" s="49"/>
      <c r="AA541" s="49"/>
      <c r="AB541" s="49"/>
      <c r="AC541" s="49"/>
      <c r="AD541" s="49"/>
      <c r="AE541" s="49"/>
      <c r="AF541" s="49"/>
      <c r="AG541" s="49"/>
      <c r="AH541" s="49"/>
      <c r="AI541" s="49"/>
      <c r="AJ541" s="49"/>
      <c r="AK541" s="49"/>
      <c r="AL541" s="49"/>
      <c r="AM541" s="49"/>
      <c r="AN541" s="49"/>
      <c r="AO541" s="49"/>
    </row>
    <row r="542" spans="1:41" ht="14">
      <c r="A542" s="49">
        <f>'Volunteer Survey'!A952</f>
        <v>0</v>
      </c>
      <c r="B542" s="49"/>
      <c r="C542" s="47"/>
      <c r="D542" s="49"/>
      <c r="E542" s="49"/>
      <c r="F542" s="49" t="b">
        <v>0</v>
      </c>
      <c r="G542" s="49"/>
      <c r="H542" s="47"/>
      <c r="I542" s="47"/>
      <c r="J542" s="49"/>
      <c r="K542" s="49"/>
      <c r="L542" s="49">
        <f>'Volunteer Survey'!B952</f>
        <v>0</v>
      </c>
      <c r="M542" s="49">
        <f>'Volunteer Survey'!E952</f>
        <v>0</v>
      </c>
      <c r="N542" s="49"/>
      <c r="O542" s="42">
        <f>'Volunteer Survey'!H953</f>
        <v>0</v>
      </c>
      <c r="P542" s="49"/>
      <c r="Q542" s="54">
        <f>'Volunteer Survey'!J952</f>
        <v>0</v>
      </c>
      <c r="R542" s="49"/>
      <c r="S542" s="49"/>
      <c r="T542" s="49">
        <f>'Volunteer Survey'!M952</f>
        <v>0</v>
      </c>
      <c r="U542" s="58"/>
      <c r="V542" s="49"/>
      <c r="W542" s="60">
        <f>'Volunteer Survey'!P952</f>
        <v>0</v>
      </c>
      <c r="X542" s="49"/>
      <c r="Y542" s="47"/>
      <c r="Z542" s="49"/>
      <c r="AA542" s="49"/>
      <c r="AB542" s="49"/>
      <c r="AC542" s="49"/>
      <c r="AD542" s="49"/>
      <c r="AE542" s="49"/>
      <c r="AF542" s="49"/>
      <c r="AG542" s="49"/>
      <c r="AH542" s="49"/>
      <c r="AI542" s="49"/>
      <c r="AJ542" s="49"/>
      <c r="AK542" s="49"/>
      <c r="AL542" s="49"/>
      <c r="AM542" s="49"/>
      <c r="AN542" s="49"/>
      <c r="AO542" s="49"/>
    </row>
    <row r="543" spans="1:41" ht="14">
      <c r="A543" s="49">
        <f>'Volunteer Survey'!A953</f>
        <v>0</v>
      </c>
      <c r="B543" s="49"/>
      <c r="C543" s="47"/>
      <c r="D543" s="49"/>
      <c r="E543" s="49"/>
      <c r="F543" s="49" t="b">
        <v>0</v>
      </c>
      <c r="G543" s="49"/>
      <c r="H543" s="47"/>
      <c r="I543" s="47"/>
      <c r="J543" s="49"/>
      <c r="K543" s="49"/>
      <c r="L543" s="49">
        <f>'Volunteer Survey'!B953</f>
        <v>0</v>
      </c>
      <c r="M543" s="49">
        <f>'Volunteer Survey'!E953</f>
        <v>0</v>
      </c>
      <c r="N543" s="49"/>
      <c r="O543" s="42">
        <f>'Volunteer Survey'!H954</f>
        <v>0</v>
      </c>
      <c r="P543" s="49"/>
      <c r="Q543" s="54">
        <f>'Volunteer Survey'!J953</f>
        <v>0</v>
      </c>
      <c r="R543" s="49"/>
      <c r="S543" s="49"/>
      <c r="T543" s="49">
        <f>'Volunteer Survey'!M953</f>
        <v>0</v>
      </c>
      <c r="U543" s="58"/>
      <c r="V543" s="49"/>
      <c r="W543" s="60">
        <f>'Volunteer Survey'!P953</f>
        <v>0</v>
      </c>
      <c r="X543" s="49"/>
      <c r="Y543" s="47"/>
      <c r="Z543" s="49"/>
      <c r="AA543" s="49"/>
      <c r="AB543" s="49"/>
      <c r="AC543" s="49"/>
      <c r="AD543" s="49"/>
      <c r="AE543" s="49"/>
      <c r="AF543" s="49"/>
      <c r="AG543" s="49"/>
      <c r="AH543" s="49"/>
      <c r="AI543" s="49"/>
      <c r="AJ543" s="49"/>
      <c r="AK543" s="49"/>
      <c r="AL543" s="49"/>
      <c r="AM543" s="49"/>
      <c r="AN543" s="49"/>
      <c r="AO543" s="49"/>
    </row>
    <row r="544" spans="1:41" ht="14">
      <c r="A544" s="49">
        <f>'Volunteer Survey'!A954</f>
        <v>0</v>
      </c>
      <c r="B544" s="49"/>
      <c r="C544" s="47"/>
      <c r="D544" s="49"/>
      <c r="E544" s="49"/>
      <c r="F544" s="49" t="b">
        <v>0</v>
      </c>
      <c r="G544" s="49"/>
      <c r="H544" s="47"/>
      <c r="I544" s="47"/>
      <c r="J544" s="49"/>
      <c r="K544" s="49"/>
      <c r="L544" s="49">
        <f>'Volunteer Survey'!B954</f>
        <v>0</v>
      </c>
      <c r="M544" s="49">
        <f>'Volunteer Survey'!E954</f>
        <v>0</v>
      </c>
      <c r="N544" s="49"/>
      <c r="O544" s="42">
        <f>'Volunteer Survey'!H955</f>
        <v>0</v>
      </c>
      <c r="P544" s="49"/>
      <c r="Q544" s="54">
        <f>'Volunteer Survey'!J954</f>
        <v>0</v>
      </c>
      <c r="R544" s="49"/>
      <c r="S544" s="49"/>
      <c r="T544" s="49">
        <f>'Volunteer Survey'!M954</f>
        <v>0</v>
      </c>
      <c r="U544" s="58"/>
      <c r="V544" s="49"/>
      <c r="W544" s="60">
        <f>'Volunteer Survey'!P954</f>
        <v>0</v>
      </c>
      <c r="X544" s="49"/>
      <c r="Y544" s="47"/>
      <c r="Z544" s="49"/>
      <c r="AA544" s="49"/>
      <c r="AB544" s="49"/>
      <c r="AC544" s="49"/>
      <c r="AD544" s="49"/>
      <c r="AE544" s="49"/>
      <c r="AF544" s="49"/>
      <c r="AG544" s="49"/>
      <c r="AH544" s="49"/>
      <c r="AI544" s="49"/>
      <c r="AJ544" s="49"/>
      <c r="AK544" s="49"/>
      <c r="AL544" s="49"/>
      <c r="AM544" s="49"/>
      <c r="AN544" s="49"/>
      <c r="AO544" s="49"/>
    </row>
    <row r="545" spans="1:41" ht="14">
      <c r="A545" s="49">
        <f>'Volunteer Survey'!A955</f>
        <v>0</v>
      </c>
      <c r="B545" s="49"/>
      <c r="C545" s="47"/>
      <c r="D545" s="49"/>
      <c r="E545" s="49"/>
      <c r="F545" s="49" t="b">
        <v>0</v>
      </c>
      <c r="G545" s="49"/>
      <c r="H545" s="47"/>
      <c r="I545" s="47"/>
      <c r="J545" s="49"/>
      <c r="K545" s="49"/>
      <c r="L545" s="49">
        <f>'Volunteer Survey'!B955</f>
        <v>0</v>
      </c>
      <c r="M545" s="49">
        <f>'Volunteer Survey'!E955</f>
        <v>0</v>
      </c>
      <c r="N545" s="49"/>
      <c r="O545" s="42">
        <f>'Volunteer Survey'!H956</f>
        <v>0</v>
      </c>
      <c r="P545" s="49"/>
      <c r="Q545" s="54">
        <f>'Volunteer Survey'!J955</f>
        <v>0</v>
      </c>
      <c r="R545" s="49"/>
      <c r="S545" s="49"/>
      <c r="T545" s="49">
        <f>'Volunteer Survey'!M955</f>
        <v>0</v>
      </c>
      <c r="U545" s="58"/>
      <c r="V545" s="49"/>
      <c r="W545" s="60">
        <f>'Volunteer Survey'!P955</f>
        <v>0</v>
      </c>
      <c r="X545" s="49"/>
      <c r="Y545" s="47"/>
      <c r="Z545" s="49"/>
      <c r="AA545" s="49"/>
      <c r="AB545" s="49"/>
      <c r="AC545" s="49"/>
      <c r="AD545" s="49"/>
      <c r="AE545" s="49"/>
      <c r="AF545" s="49"/>
      <c r="AG545" s="49"/>
      <c r="AH545" s="49"/>
      <c r="AI545" s="49"/>
      <c r="AJ545" s="49"/>
      <c r="AK545" s="49"/>
      <c r="AL545" s="49"/>
      <c r="AM545" s="49"/>
      <c r="AN545" s="49"/>
      <c r="AO545" s="49"/>
    </row>
    <row r="546" spans="1:41" ht="14">
      <c r="A546" s="49">
        <f>'Volunteer Survey'!A956</f>
        <v>0</v>
      </c>
      <c r="B546" s="49"/>
      <c r="C546" s="47"/>
      <c r="D546" s="49"/>
      <c r="E546" s="49"/>
      <c r="F546" s="49" t="b">
        <v>0</v>
      </c>
      <c r="G546" s="49"/>
      <c r="H546" s="47"/>
      <c r="I546" s="47"/>
      <c r="J546" s="49"/>
      <c r="K546" s="49"/>
      <c r="L546" s="49">
        <f>'Volunteer Survey'!B956</f>
        <v>0</v>
      </c>
      <c r="M546" s="49">
        <f>'Volunteer Survey'!E956</f>
        <v>0</v>
      </c>
      <c r="N546" s="49"/>
      <c r="O546" s="42">
        <f>'Volunteer Survey'!H957</f>
        <v>0</v>
      </c>
      <c r="P546" s="49"/>
      <c r="Q546" s="54">
        <f>'Volunteer Survey'!J956</f>
        <v>0</v>
      </c>
      <c r="R546" s="49"/>
      <c r="S546" s="49"/>
      <c r="T546" s="49">
        <f>'Volunteer Survey'!M956</f>
        <v>0</v>
      </c>
      <c r="U546" s="58"/>
      <c r="V546" s="49"/>
      <c r="W546" s="60">
        <f>'Volunteer Survey'!P956</f>
        <v>0</v>
      </c>
      <c r="X546" s="49"/>
      <c r="Y546" s="47"/>
      <c r="Z546" s="49"/>
      <c r="AA546" s="49"/>
      <c r="AB546" s="49"/>
      <c r="AC546" s="49"/>
      <c r="AD546" s="49"/>
      <c r="AE546" s="49"/>
      <c r="AF546" s="49"/>
      <c r="AG546" s="49"/>
      <c r="AH546" s="49"/>
      <c r="AI546" s="49"/>
      <c r="AJ546" s="49"/>
      <c r="AK546" s="49"/>
      <c r="AL546" s="49"/>
      <c r="AM546" s="49"/>
      <c r="AN546" s="49"/>
      <c r="AO546" s="49"/>
    </row>
    <row r="547" spans="1:41" ht="14">
      <c r="A547" s="49">
        <f>'Volunteer Survey'!A957</f>
        <v>0</v>
      </c>
      <c r="B547" s="49"/>
      <c r="C547" s="47"/>
      <c r="D547" s="49"/>
      <c r="E547" s="49"/>
      <c r="F547" s="49" t="b">
        <v>0</v>
      </c>
      <c r="G547" s="49"/>
      <c r="H547" s="47"/>
      <c r="I547" s="47"/>
      <c r="J547" s="49"/>
      <c r="K547" s="49"/>
      <c r="L547" s="49">
        <f>'Volunteer Survey'!B957</f>
        <v>0</v>
      </c>
      <c r="M547" s="49">
        <f>'Volunteer Survey'!E957</f>
        <v>0</v>
      </c>
      <c r="N547" s="49"/>
      <c r="O547" s="42">
        <f>'Volunteer Survey'!H958</f>
        <v>0</v>
      </c>
      <c r="P547" s="49"/>
      <c r="Q547" s="54">
        <f>'Volunteer Survey'!J957</f>
        <v>0</v>
      </c>
      <c r="R547" s="49"/>
      <c r="S547" s="49"/>
      <c r="T547" s="49">
        <f>'Volunteer Survey'!M957</f>
        <v>0</v>
      </c>
      <c r="U547" s="58"/>
      <c r="V547" s="49"/>
      <c r="W547" s="60">
        <f>'Volunteer Survey'!P957</f>
        <v>0</v>
      </c>
      <c r="X547" s="49"/>
      <c r="Y547" s="47"/>
      <c r="Z547" s="49"/>
      <c r="AA547" s="49"/>
      <c r="AB547" s="49"/>
      <c r="AC547" s="49"/>
      <c r="AD547" s="49"/>
      <c r="AE547" s="49"/>
      <c r="AF547" s="49"/>
      <c r="AG547" s="49"/>
      <c r="AH547" s="49"/>
      <c r="AI547" s="49"/>
      <c r="AJ547" s="49"/>
      <c r="AK547" s="49"/>
      <c r="AL547" s="49"/>
      <c r="AM547" s="49"/>
      <c r="AN547" s="49"/>
      <c r="AO547" s="49"/>
    </row>
    <row r="548" spans="1:41" ht="14">
      <c r="A548" s="49">
        <f>'Volunteer Survey'!A958</f>
        <v>0</v>
      </c>
      <c r="B548" s="49"/>
      <c r="C548" s="47"/>
      <c r="D548" s="49"/>
      <c r="E548" s="49"/>
      <c r="F548" s="49" t="b">
        <v>0</v>
      </c>
      <c r="G548" s="49"/>
      <c r="H548" s="47"/>
      <c r="I548" s="47"/>
      <c r="J548" s="49"/>
      <c r="K548" s="49"/>
      <c r="L548" s="49">
        <f>'Volunteer Survey'!B958</f>
        <v>0</v>
      </c>
      <c r="M548" s="49">
        <f>'Volunteer Survey'!E958</f>
        <v>0</v>
      </c>
      <c r="N548" s="49"/>
      <c r="O548" s="42">
        <f>'Volunteer Survey'!H959</f>
        <v>0</v>
      </c>
      <c r="P548" s="49"/>
      <c r="Q548" s="54">
        <f>'Volunteer Survey'!J958</f>
        <v>0</v>
      </c>
      <c r="R548" s="49"/>
      <c r="S548" s="49"/>
      <c r="T548" s="49">
        <f>'Volunteer Survey'!M958</f>
        <v>0</v>
      </c>
      <c r="U548" s="58"/>
      <c r="V548" s="49"/>
      <c r="W548" s="60">
        <f>'Volunteer Survey'!P958</f>
        <v>0</v>
      </c>
      <c r="X548" s="49"/>
      <c r="Y548" s="47"/>
      <c r="Z548" s="49"/>
      <c r="AA548" s="49"/>
      <c r="AB548" s="49"/>
      <c r="AC548" s="49"/>
      <c r="AD548" s="49"/>
      <c r="AE548" s="49"/>
      <c r="AF548" s="49"/>
      <c r="AG548" s="49"/>
      <c r="AH548" s="49"/>
      <c r="AI548" s="49"/>
      <c r="AJ548" s="49"/>
      <c r="AK548" s="49"/>
      <c r="AL548" s="49"/>
      <c r="AM548" s="49"/>
      <c r="AN548" s="49"/>
      <c r="AO548" s="49"/>
    </row>
    <row r="549" spans="1:41" ht="14">
      <c r="A549" s="49">
        <f>'Volunteer Survey'!A959</f>
        <v>0</v>
      </c>
      <c r="B549" s="49"/>
      <c r="C549" s="47"/>
      <c r="D549" s="49"/>
      <c r="E549" s="49"/>
      <c r="F549" s="49" t="b">
        <v>0</v>
      </c>
      <c r="G549" s="49"/>
      <c r="H549" s="47"/>
      <c r="I549" s="47"/>
      <c r="J549" s="49"/>
      <c r="K549" s="49"/>
      <c r="L549" s="49">
        <f>'Volunteer Survey'!B959</f>
        <v>0</v>
      </c>
      <c r="M549" s="49">
        <f>'Volunteer Survey'!E959</f>
        <v>0</v>
      </c>
      <c r="N549" s="49"/>
      <c r="O549" s="42">
        <f>'Volunteer Survey'!H960</f>
        <v>0</v>
      </c>
      <c r="P549" s="49"/>
      <c r="Q549" s="54">
        <f>'Volunteer Survey'!J959</f>
        <v>0</v>
      </c>
      <c r="R549" s="49"/>
      <c r="S549" s="49"/>
      <c r="T549" s="49">
        <f>'Volunteer Survey'!M959</f>
        <v>0</v>
      </c>
      <c r="U549" s="58"/>
      <c r="V549" s="49"/>
      <c r="W549" s="60">
        <f>'Volunteer Survey'!P959</f>
        <v>0</v>
      </c>
      <c r="X549" s="49"/>
      <c r="Y549" s="47"/>
      <c r="Z549" s="49"/>
      <c r="AA549" s="49"/>
      <c r="AB549" s="49"/>
      <c r="AC549" s="49"/>
      <c r="AD549" s="49"/>
      <c r="AE549" s="49"/>
      <c r="AF549" s="49"/>
      <c r="AG549" s="49"/>
      <c r="AH549" s="49"/>
      <c r="AI549" s="49"/>
      <c r="AJ549" s="49"/>
      <c r="AK549" s="49"/>
      <c r="AL549" s="49"/>
      <c r="AM549" s="49"/>
      <c r="AN549" s="49"/>
      <c r="AO549" s="49"/>
    </row>
    <row r="550" spans="1:41" ht="14">
      <c r="A550" s="49">
        <f>'Volunteer Survey'!A960</f>
        <v>0</v>
      </c>
      <c r="B550" s="49"/>
      <c r="C550" s="47"/>
      <c r="D550" s="49"/>
      <c r="E550" s="49"/>
      <c r="F550" s="49" t="b">
        <v>0</v>
      </c>
      <c r="G550" s="49"/>
      <c r="H550" s="47"/>
      <c r="I550" s="47"/>
      <c r="J550" s="49"/>
      <c r="K550" s="49"/>
      <c r="L550" s="49">
        <f>'Volunteer Survey'!B960</f>
        <v>0</v>
      </c>
      <c r="M550" s="49">
        <f>'Volunteer Survey'!E960</f>
        <v>0</v>
      </c>
      <c r="N550" s="49"/>
      <c r="O550" s="42">
        <f>'Volunteer Survey'!H961</f>
        <v>0</v>
      </c>
      <c r="P550" s="49"/>
      <c r="Q550" s="54">
        <f>'Volunteer Survey'!J960</f>
        <v>0</v>
      </c>
      <c r="R550" s="49"/>
      <c r="S550" s="49"/>
      <c r="T550" s="49">
        <f>'Volunteer Survey'!M960</f>
        <v>0</v>
      </c>
      <c r="U550" s="58"/>
      <c r="V550" s="49"/>
      <c r="W550" s="60">
        <f>'Volunteer Survey'!P960</f>
        <v>0</v>
      </c>
      <c r="X550" s="49"/>
      <c r="Y550" s="47"/>
      <c r="Z550" s="49"/>
      <c r="AA550" s="49"/>
      <c r="AB550" s="49"/>
      <c r="AC550" s="49"/>
      <c r="AD550" s="49"/>
      <c r="AE550" s="49"/>
      <c r="AF550" s="49"/>
      <c r="AG550" s="49"/>
      <c r="AH550" s="49"/>
      <c r="AI550" s="49"/>
      <c r="AJ550" s="49"/>
      <c r="AK550" s="49"/>
      <c r="AL550" s="49"/>
      <c r="AM550" s="49"/>
      <c r="AN550" s="49"/>
      <c r="AO550" s="49"/>
    </row>
    <row r="551" spans="1:41" ht="14">
      <c r="A551" s="49">
        <f>'Volunteer Survey'!A961</f>
        <v>0</v>
      </c>
      <c r="B551" s="49"/>
      <c r="C551" s="47"/>
      <c r="D551" s="49"/>
      <c r="E551" s="49"/>
      <c r="F551" s="49" t="b">
        <v>0</v>
      </c>
      <c r="G551" s="49"/>
      <c r="H551" s="47"/>
      <c r="I551" s="47"/>
      <c r="J551" s="49"/>
      <c r="K551" s="49"/>
      <c r="L551" s="49">
        <f>'Volunteer Survey'!B961</f>
        <v>0</v>
      </c>
      <c r="M551" s="49">
        <f>'Volunteer Survey'!E961</f>
        <v>0</v>
      </c>
      <c r="N551" s="49"/>
      <c r="O551" s="42">
        <f>'Volunteer Survey'!H962</f>
        <v>0</v>
      </c>
      <c r="P551" s="49"/>
      <c r="Q551" s="54">
        <f>'Volunteer Survey'!J961</f>
        <v>0</v>
      </c>
      <c r="R551" s="49"/>
      <c r="S551" s="49"/>
      <c r="T551" s="49">
        <f>'Volunteer Survey'!M961</f>
        <v>0</v>
      </c>
      <c r="U551" s="58"/>
      <c r="V551" s="49"/>
      <c r="W551" s="60">
        <f>'Volunteer Survey'!P961</f>
        <v>0</v>
      </c>
      <c r="X551" s="49"/>
      <c r="Y551" s="47"/>
      <c r="Z551" s="49"/>
      <c r="AA551" s="49"/>
      <c r="AB551" s="49"/>
      <c r="AC551" s="49"/>
      <c r="AD551" s="49"/>
      <c r="AE551" s="49"/>
      <c r="AF551" s="49"/>
      <c r="AG551" s="49"/>
      <c r="AH551" s="49"/>
      <c r="AI551" s="49"/>
      <c r="AJ551" s="49"/>
      <c r="AK551" s="49"/>
      <c r="AL551" s="49"/>
      <c r="AM551" s="49"/>
      <c r="AN551" s="49"/>
      <c r="AO551" s="49"/>
    </row>
    <row r="552" spans="1:41" ht="14">
      <c r="A552" s="49">
        <f>'Volunteer Survey'!A962</f>
        <v>0</v>
      </c>
      <c r="B552" s="49"/>
      <c r="C552" s="47"/>
      <c r="D552" s="49"/>
      <c r="E552" s="49"/>
      <c r="F552" s="49" t="b">
        <v>0</v>
      </c>
      <c r="G552" s="49"/>
      <c r="H552" s="47"/>
      <c r="I552" s="47"/>
      <c r="J552" s="49"/>
      <c r="K552" s="49"/>
      <c r="L552" s="49">
        <f>'Volunteer Survey'!B962</f>
        <v>0</v>
      </c>
      <c r="M552" s="49">
        <f>'Volunteer Survey'!E962</f>
        <v>0</v>
      </c>
      <c r="N552" s="49"/>
      <c r="O552" s="42">
        <f>'Volunteer Survey'!H963</f>
        <v>0</v>
      </c>
      <c r="P552" s="49"/>
      <c r="Q552" s="54">
        <f>'Volunteer Survey'!J962</f>
        <v>0</v>
      </c>
      <c r="R552" s="49"/>
      <c r="S552" s="49"/>
      <c r="T552" s="49">
        <f>'Volunteer Survey'!M962</f>
        <v>0</v>
      </c>
      <c r="U552" s="58"/>
      <c r="V552" s="49"/>
      <c r="W552" s="60">
        <f>'Volunteer Survey'!P962</f>
        <v>0</v>
      </c>
      <c r="X552" s="49"/>
      <c r="Y552" s="47"/>
      <c r="Z552" s="49"/>
      <c r="AA552" s="49"/>
      <c r="AB552" s="49"/>
      <c r="AC552" s="49"/>
      <c r="AD552" s="49"/>
      <c r="AE552" s="49"/>
      <c r="AF552" s="49"/>
      <c r="AG552" s="49"/>
      <c r="AH552" s="49"/>
      <c r="AI552" s="49"/>
      <c r="AJ552" s="49"/>
      <c r="AK552" s="49"/>
      <c r="AL552" s="49"/>
      <c r="AM552" s="49"/>
      <c r="AN552" s="49"/>
      <c r="AO552" s="49"/>
    </row>
    <row r="553" spans="1:41" ht="14">
      <c r="A553" s="49">
        <f>'Volunteer Survey'!A963</f>
        <v>0</v>
      </c>
      <c r="B553" s="49"/>
      <c r="C553" s="47"/>
      <c r="D553" s="49"/>
      <c r="E553" s="49"/>
      <c r="F553" s="49" t="b">
        <v>0</v>
      </c>
      <c r="G553" s="49"/>
      <c r="H553" s="47"/>
      <c r="I553" s="47"/>
      <c r="J553" s="49"/>
      <c r="K553" s="49"/>
      <c r="L553" s="49">
        <f>'Volunteer Survey'!B963</f>
        <v>0</v>
      </c>
      <c r="M553" s="49">
        <f>'Volunteer Survey'!E963</f>
        <v>0</v>
      </c>
      <c r="N553" s="49"/>
      <c r="O553" s="42">
        <f>'Volunteer Survey'!H964</f>
        <v>0</v>
      </c>
      <c r="P553" s="49"/>
      <c r="Q553" s="54">
        <f>'Volunteer Survey'!J963</f>
        <v>0</v>
      </c>
      <c r="R553" s="49"/>
      <c r="S553" s="49"/>
      <c r="T553" s="49">
        <f>'Volunteer Survey'!M963</f>
        <v>0</v>
      </c>
      <c r="U553" s="58"/>
      <c r="V553" s="49"/>
      <c r="W553" s="60">
        <f>'Volunteer Survey'!P963</f>
        <v>0</v>
      </c>
      <c r="X553" s="49"/>
      <c r="Y553" s="47"/>
      <c r="Z553" s="49"/>
      <c r="AA553" s="49"/>
      <c r="AB553" s="49"/>
      <c r="AC553" s="49"/>
      <c r="AD553" s="49"/>
      <c r="AE553" s="49"/>
      <c r="AF553" s="49"/>
      <c r="AG553" s="49"/>
      <c r="AH553" s="49"/>
      <c r="AI553" s="49"/>
      <c r="AJ553" s="49"/>
      <c r="AK553" s="49"/>
      <c r="AL553" s="49"/>
      <c r="AM553" s="49"/>
      <c r="AN553" s="49"/>
      <c r="AO553" s="49"/>
    </row>
    <row r="554" spans="1:41" ht="14">
      <c r="A554" s="49">
        <f>'Volunteer Survey'!A964</f>
        <v>0</v>
      </c>
      <c r="B554" s="49"/>
      <c r="C554" s="47"/>
      <c r="D554" s="49"/>
      <c r="E554" s="49"/>
      <c r="F554" s="49" t="b">
        <v>0</v>
      </c>
      <c r="G554" s="49"/>
      <c r="H554" s="47"/>
      <c r="I554" s="47"/>
      <c r="J554" s="49"/>
      <c r="K554" s="49"/>
      <c r="L554" s="49">
        <f>'Volunteer Survey'!B964</f>
        <v>0</v>
      </c>
      <c r="M554" s="49">
        <f>'Volunteer Survey'!E964</f>
        <v>0</v>
      </c>
      <c r="N554" s="49"/>
      <c r="O554" s="42">
        <f>'Volunteer Survey'!H965</f>
        <v>0</v>
      </c>
      <c r="P554" s="49"/>
      <c r="Q554" s="54">
        <f>'Volunteer Survey'!J964</f>
        <v>0</v>
      </c>
      <c r="R554" s="49"/>
      <c r="S554" s="49"/>
      <c r="T554" s="49">
        <f>'Volunteer Survey'!M964</f>
        <v>0</v>
      </c>
      <c r="U554" s="58"/>
      <c r="V554" s="49"/>
      <c r="W554" s="60">
        <f>'Volunteer Survey'!P964</f>
        <v>0</v>
      </c>
      <c r="X554" s="49"/>
      <c r="Y554" s="47"/>
      <c r="Z554" s="49"/>
      <c r="AA554" s="49"/>
      <c r="AB554" s="49"/>
      <c r="AC554" s="49"/>
      <c r="AD554" s="49"/>
      <c r="AE554" s="49"/>
      <c r="AF554" s="49"/>
      <c r="AG554" s="49"/>
      <c r="AH554" s="49"/>
      <c r="AI554" s="49"/>
      <c r="AJ554" s="49"/>
      <c r="AK554" s="49"/>
      <c r="AL554" s="49"/>
      <c r="AM554" s="49"/>
      <c r="AN554" s="49"/>
      <c r="AO554" s="49"/>
    </row>
    <row r="555" spans="1:41" ht="14">
      <c r="A555" s="49">
        <f>'Volunteer Survey'!A965</f>
        <v>0</v>
      </c>
      <c r="B555" s="49"/>
      <c r="C555" s="47"/>
      <c r="D555" s="49"/>
      <c r="E555" s="49"/>
      <c r="F555" s="49" t="b">
        <v>0</v>
      </c>
      <c r="G555" s="49"/>
      <c r="H555" s="47"/>
      <c r="I555" s="47"/>
      <c r="J555" s="49"/>
      <c r="K555" s="49"/>
      <c r="L555" s="49">
        <f>'Volunteer Survey'!B965</f>
        <v>0</v>
      </c>
      <c r="M555" s="49">
        <f>'Volunteer Survey'!E965</f>
        <v>0</v>
      </c>
      <c r="N555" s="49"/>
      <c r="O555" s="42">
        <f>'Volunteer Survey'!H966</f>
        <v>0</v>
      </c>
      <c r="P555" s="49"/>
      <c r="Q555" s="54">
        <f>'Volunteer Survey'!J965</f>
        <v>0</v>
      </c>
      <c r="R555" s="49"/>
      <c r="S555" s="49"/>
      <c r="T555" s="49">
        <f>'Volunteer Survey'!M965</f>
        <v>0</v>
      </c>
      <c r="U555" s="58"/>
      <c r="V555" s="49"/>
      <c r="W555" s="60">
        <f>'Volunteer Survey'!P965</f>
        <v>0</v>
      </c>
      <c r="X555" s="49"/>
      <c r="Y555" s="47"/>
      <c r="Z555" s="49"/>
      <c r="AA555" s="49"/>
      <c r="AB555" s="49"/>
      <c r="AC555" s="49"/>
      <c r="AD555" s="49"/>
      <c r="AE555" s="49"/>
      <c r="AF555" s="49"/>
      <c r="AG555" s="49"/>
      <c r="AH555" s="49"/>
      <c r="AI555" s="49"/>
      <c r="AJ555" s="49"/>
      <c r="AK555" s="49"/>
      <c r="AL555" s="49"/>
      <c r="AM555" s="49"/>
      <c r="AN555" s="49"/>
      <c r="AO555" s="49"/>
    </row>
    <row r="556" spans="1:41" ht="14">
      <c r="A556" s="49">
        <f>'Volunteer Survey'!A966</f>
        <v>0</v>
      </c>
      <c r="B556" s="49"/>
      <c r="C556" s="47"/>
      <c r="D556" s="49"/>
      <c r="E556" s="49"/>
      <c r="F556" s="49" t="b">
        <v>0</v>
      </c>
      <c r="G556" s="49"/>
      <c r="H556" s="47"/>
      <c r="I556" s="47"/>
      <c r="J556" s="49"/>
      <c r="K556" s="49"/>
      <c r="L556" s="49">
        <f>'Volunteer Survey'!B966</f>
        <v>0</v>
      </c>
      <c r="M556" s="49">
        <f>'Volunteer Survey'!E966</f>
        <v>0</v>
      </c>
      <c r="N556" s="49"/>
      <c r="O556" s="49" t="b">
        <v>0</v>
      </c>
      <c r="P556" s="49"/>
      <c r="Q556" s="54">
        <f>'Volunteer Survey'!J966</f>
        <v>0</v>
      </c>
      <c r="R556" s="49"/>
      <c r="S556" s="49"/>
      <c r="T556" s="49">
        <f>'Volunteer Survey'!M966</f>
        <v>0</v>
      </c>
      <c r="U556" s="58"/>
      <c r="V556" s="49"/>
      <c r="W556" s="60">
        <f>'Volunteer Survey'!P966</f>
        <v>0</v>
      </c>
      <c r="X556" s="49"/>
      <c r="Y556" s="47"/>
      <c r="Z556" s="49"/>
      <c r="AA556" s="49"/>
      <c r="AB556" s="49"/>
      <c r="AC556" s="49"/>
      <c r="AD556" s="49"/>
      <c r="AE556" s="49"/>
      <c r="AF556" s="49"/>
      <c r="AG556" s="49"/>
      <c r="AH556" s="49"/>
      <c r="AI556" s="49"/>
      <c r="AJ556" s="49"/>
      <c r="AK556" s="49"/>
      <c r="AL556" s="49"/>
      <c r="AM556" s="49"/>
      <c r="AN556" s="49"/>
      <c r="AO556" s="49"/>
    </row>
    <row r="557" spans="1:41" ht="14">
      <c r="A557" s="49">
        <f>'Volunteer Survey'!A967</f>
        <v>0</v>
      </c>
      <c r="B557" s="49"/>
      <c r="C557" s="47"/>
      <c r="D557" s="49"/>
      <c r="E557" s="49"/>
      <c r="F557" s="49" t="b">
        <v>0</v>
      </c>
      <c r="G557" s="49"/>
      <c r="H557" s="47"/>
      <c r="I557" s="47"/>
      <c r="J557" s="49"/>
      <c r="K557" s="49"/>
      <c r="L557" s="49">
        <f>'Volunteer Survey'!B967</f>
        <v>0</v>
      </c>
      <c r="M557" s="49">
        <f>'Volunteer Survey'!E967</f>
        <v>0</v>
      </c>
      <c r="N557" s="49"/>
      <c r="O557" s="49" t="b">
        <v>0</v>
      </c>
      <c r="P557" s="49"/>
      <c r="Q557" s="54">
        <f>'Volunteer Survey'!J967</f>
        <v>0</v>
      </c>
      <c r="R557" s="49"/>
      <c r="S557" s="49"/>
      <c r="T557" s="49">
        <f>'Volunteer Survey'!M967</f>
        <v>0</v>
      </c>
      <c r="U557" s="58"/>
      <c r="V557" s="49"/>
      <c r="W557" s="60">
        <f>'Volunteer Survey'!P967</f>
        <v>0</v>
      </c>
      <c r="X557" s="49"/>
      <c r="Y557" s="47"/>
      <c r="Z557" s="49"/>
      <c r="AA557" s="49"/>
      <c r="AB557" s="49"/>
      <c r="AC557" s="49"/>
      <c r="AD557" s="49"/>
      <c r="AE557" s="49"/>
      <c r="AF557" s="49"/>
      <c r="AG557" s="49"/>
      <c r="AH557" s="49"/>
      <c r="AI557" s="49"/>
      <c r="AJ557" s="49"/>
      <c r="AK557" s="49"/>
      <c r="AL557" s="49"/>
      <c r="AM557" s="49"/>
      <c r="AN557" s="49"/>
      <c r="AO557" s="49"/>
    </row>
    <row r="558" spans="1:41" ht="14">
      <c r="A558" s="49">
        <f>'Volunteer Survey'!A968</f>
        <v>0</v>
      </c>
      <c r="B558" s="49"/>
      <c r="C558" s="47"/>
      <c r="D558" s="49"/>
      <c r="E558" s="49"/>
      <c r="F558" s="49" t="b">
        <v>0</v>
      </c>
      <c r="G558" s="49"/>
      <c r="H558" s="47"/>
      <c r="I558" s="47"/>
      <c r="J558" s="49"/>
      <c r="K558" s="49"/>
      <c r="L558" s="49">
        <f>'Volunteer Survey'!B968</f>
        <v>0</v>
      </c>
      <c r="M558" s="49">
        <f>'Volunteer Survey'!E968</f>
        <v>0</v>
      </c>
      <c r="N558" s="49"/>
      <c r="O558" s="49" t="b">
        <v>0</v>
      </c>
      <c r="P558" s="49"/>
      <c r="Q558" s="54">
        <f>'Volunteer Survey'!J968</f>
        <v>0</v>
      </c>
      <c r="R558" s="49"/>
      <c r="S558" s="49"/>
      <c r="T558" s="49">
        <f>'Volunteer Survey'!M968</f>
        <v>0</v>
      </c>
      <c r="U558" s="58"/>
      <c r="V558" s="49"/>
      <c r="W558" s="60">
        <f>'Volunteer Survey'!P968</f>
        <v>0</v>
      </c>
      <c r="X558" s="49"/>
      <c r="Y558" s="47"/>
      <c r="Z558" s="49"/>
      <c r="AA558" s="49"/>
      <c r="AB558" s="49"/>
      <c r="AC558" s="49"/>
      <c r="AD558" s="49"/>
      <c r="AE558" s="49"/>
      <c r="AF558" s="49"/>
      <c r="AG558" s="49"/>
      <c r="AH558" s="49"/>
      <c r="AI558" s="49"/>
      <c r="AJ558" s="49"/>
      <c r="AK558" s="49"/>
      <c r="AL558" s="49"/>
      <c r="AM558" s="49"/>
      <c r="AN558" s="49"/>
      <c r="AO558" s="49"/>
    </row>
    <row r="559" spans="1:41" ht="14">
      <c r="A559" s="49">
        <f>'Volunteer Survey'!A969</f>
        <v>0</v>
      </c>
      <c r="B559" s="49"/>
      <c r="C559" s="47"/>
      <c r="D559" s="49"/>
      <c r="E559" s="49"/>
      <c r="F559" s="49" t="b">
        <v>0</v>
      </c>
      <c r="G559" s="49"/>
      <c r="H559" s="47"/>
      <c r="I559" s="47"/>
      <c r="J559" s="49"/>
      <c r="K559" s="49"/>
      <c r="L559" s="49">
        <f>'Volunteer Survey'!B969</f>
        <v>0</v>
      </c>
      <c r="M559" s="49">
        <f>'Volunteer Survey'!E969</f>
        <v>0</v>
      </c>
      <c r="N559" s="49"/>
      <c r="O559" s="49" t="b">
        <v>0</v>
      </c>
      <c r="P559" s="49"/>
      <c r="Q559" s="54">
        <f>'Volunteer Survey'!J969</f>
        <v>0</v>
      </c>
      <c r="R559" s="49"/>
      <c r="S559" s="49"/>
      <c r="T559" s="49">
        <f>'Volunteer Survey'!M969</f>
        <v>0</v>
      </c>
      <c r="U559" s="58"/>
      <c r="V559" s="49"/>
      <c r="W559" s="60">
        <f>'Volunteer Survey'!P969</f>
        <v>0</v>
      </c>
      <c r="X559" s="49"/>
      <c r="Y559" s="47"/>
      <c r="Z559" s="49"/>
      <c r="AA559" s="49"/>
      <c r="AB559" s="49"/>
      <c r="AC559" s="49"/>
      <c r="AD559" s="49"/>
      <c r="AE559" s="49"/>
      <c r="AF559" s="49"/>
      <c r="AG559" s="49"/>
      <c r="AH559" s="49"/>
      <c r="AI559" s="49"/>
      <c r="AJ559" s="49"/>
      <c r="AK559" s="49"/>
      <c r="AL559" s="49"/>
      <c r="AM559" s="49"/>
      <c r="AN559" s="49"/>
      <c r="AO559" s="49"/>
    </row>
    <row r="560" spans="1:41" ht="14">
      <c r="A560" s="49">
        <f>'Volunteer Survey'!A970</f>
        <v>0</v>
      </c>
      <c r="B560" s="49"/>
      <c r="C560" s="47"/>
      <c r="D560" s="49"/>
      <c r="E560" s="49"/>
      <c r="F560" s="49" t="b">
        <v>0</v>
      </c>
      <c r="G560" s="49"/>
      <c r="H560" s="47"/>
      <c r="I560" s="47"/>
      <c r="J560" s="49"/>
      <c r="K560" s="49"/>
      <c r="L560" s="49">
        <f>'Volunteer Survey'!B970</f>
        <v>0</v>
      </c>
      <c r="M560" s="49">
        <f>'Volunteer Survey'!E970</f>
        <v>0</v>
      </c>
      <c r="N560" s="49"/>
      <c r="O560" s="49" t="b">
        <v>0</v>
      </c>
      <c r="P560" s="49"/>
      <c r="Q560" s="54">
        <f>'Volunteer Survey'!J970</f>
        <v>0</v>
      </c>
      <c r="R560" s="49"/>
      <c r="S560" s="49"/>
      <c r="T560" s="49">
        <f>'Volunteer Survey'!M970</f>
        <v>0</v>
      </c>
      <c r="U560" s="58"/>
      <c r="V560" s="49"/>
      <c r="W560" s="60">
        <f>'Volunteer Survey'!P970</f>
        <v>0</v>
      </c>
      <c r="X560" s="49"/>
      <c r="Y560" s="47"/>
      <c r="Z560" s="49"/>
      <c r="AA560" s="49"/>
      <c r="AB560" s="49"/>
      <c r="AC560" s="49"/>
      <c r="AD560" s="49"/>
      <c r="AE560" s="49"/>
      <c r="AF560" s="49"/>
      <c r="AG560" s="49"/>
      <c r="AH560" s="49"/>
      <c r="AI560" s="49"/>
      <c r="AJ560" s="49"/>
      <c r="AK560" s="49"/>
      <c r="AL560" s="49"/>
      <c r="AM560" s="49"/>
      <c r="AN560" s="49"/>
      <c r="AO560" s="49"/>
    </row>
    <row r="561" spans="1:41" ht="14">
      <c r="A561" s="49">
        <f>'Volunteer Survey'!A971</f>
        <v>0</v>
      </c>
      <c r="B561" s="49"/>
      <c r="C561" s="47"/>
      <c r="D561" s="49"/>
      <c r="E561" s="49"/>
      <c r="F561" s="49" t="b">
        <v>0</v>
      </c>
      <c r="G561" s="49"/>
      <c r="H561" s="47"/>
      <c r="I561" s="47"/>
      <c r="J561" s="49"/>
      <c r="K561" s="49"/>
      <c r="L561" s="49">
        <f>'Volunteer Survey'!B971</f>
        <v>0</v>
      </c>
      <c r="M561" s="49">
        <f>'Volunteer Survey'!E971</f>
        <v>0</v>
      </c>
      <c r="N561" s="49"/>
      <c r="O561" s="49" t="b">
        <v>0</v>
      </c>
      <c r="P561" s="49"/>
      <c r="Q561" s="54">
        <f>'Volunteer Survey'!J971</f>
        <v>0</v>
      </c>
      <c r="R561" s="49"/>
      <c r="S561" s="49"/>
      <c r="T561" s="49">
        <f>'Volunteer Survey'!M971</f>
        <v>0</v>
      </c>
      <c r="U561" s="58"/>
      <c r="V561" s="49"/>
      <c r="W561" s="60">
        <f>'Volunteer Survey'!P971</f>
        <v>0</v>
      </c>
      <c r="X561" s="49"/>
      <c r="Y561" s="47"/>
      <c r="Z561" s="49"/>
      <c r="AA561" s="49"/>
      <c r="AB561" s="49"/>
      <c r="AC561" s="49"/>
      <c r="AD561" s="49"/>
      <c r="AE561" s="49"/>
      <c r="AF561" s="49"/>
      <c r="AG561" s="49"/>
      <c r="AH561" s="49"/>
      <c r="AI561" s="49"/>
      <c r="AJ561" s="49"/>
      <c r="AK561" s="49"/>
      <c r="AL561" s="49"/>
      <c r="AM561" s="49"/>
      <c r="AN561" s="49"/>
      <c r="AO561" s="49"/>
    </row>
    <row r="562" spans="1:41" ht="14">
      <c r="A562" s="49">
        <f>'Volunteer Survey'!A972</f>
        <v>0</v>
      </c>
      <c r="B562" s="49"/>
      <c r="C562" s="47"/>
      <c r="D562" s="49"/>
      <c r="E562" s="49"/>
      <c r="F562" s="49" t="b">
        <v>0</v>
      </c>
      <c r="G562" s="49"/>
      <c r="H562" s="47"/>
      <c r="I562" s="47"/>
      <c r="J562" s="49"/>
      <c r="K562" s="49"/>
      <c r="L562" s="49">
        <f>'Volunteer Survey'!B972</f>
        <v>0</v>
      </c>
      <c r="M562" s="49">
        <f>'Volunteer Survey'!E972</f>
        <v>0</v>
      </c>
      <c r="N562" s="49"/>
      <c r="O562" s="49" t="b">
        <v>0</v>
      </c>
      <c r="P562" s="49"/>
      <c r="Q562" s="54">
        <f>'Volunteer Survey'!J972</f>
        <v>0</v>
      </c>
      <c r="R562" s="49"/>
      <c r="S562" s="49"/>
      <c r="T562" s="49">
        <f>'Volunteer Survey'!M972</f>
        <v>0</v>
      </c>
      <c r="U562" s="58"/>
      <c r="V562" s="49"/>
      <c r="W562" s="60">
        <f>'Volunteer Survey'!P972</f>
        <v>0</v>
      </c>
      <c r="X562" s="49"/>
      <c r="Y562" s="47"/>
      <c r="Z562" s="49"/>
      <c r="AA562" s="49"/>
      <c r="AB562" s="49"/>
      <c r="AC562" s="49"/>
      <c r="AD562" s="49"/>
      <c r="AE562" s="49"/>
      <c r="AF562" s="49"/>
      <c r="AG562" s="49"/>
      <c r="AH562" s="49"/>
      <c r="AI562" s="49"/>
      <c r="AJ562" s="49"/>
      <c r="AK562" s="49"/>
      <c r="AL562" s="49"/>
      <c r="AM562" s="49"/>
      <c r="AN562" s="49"/>
      <c r="AO562" s="49"/>
    </row>
    <row r="563" spans="1:41" ht="14">
      <c r="A563" s="49">
        <f>'Volunteer Survey'!A973</f>
        <v>0</v>
      </c>
      <c r="B563" s="49"/>
      <c r="C563" s="47"/>
      <c r="D563" s="49"/>
      <c r="E563" s="49"/>
      <c r="F563" s="49" t="b">
        <v>0</v>
      </c>
      <c r="G563" s="49"/>
      <c r="H563" s="47"/>
      <c r="I563" s="47"/>
      <c r="J563" s="49"/>
      <c r="K563" s="49"/>
      <c r="L563" s="49">
        <f>'Volunteer Survey'!B973</f>
        <v>0</v>
      </c>
      <c r="M563" s="49">
        <f>'Volunteer Survey'!E973</f>
        <v>0</v>
      </c>
      <c r="N563" s="49"/>
      <c r="O563" s="49" t="b">
        <v>0</v>
      </c>
      <c r="P563" s="49"/>
      <c r="Q563" s="54">
        <f>'Volunteer Survey'!J973</f>
        <v>0</v>
      </c>
      <c r="R563" s="49"/>
      <c r="S563" s="49"/>
      <c r="T563" s="49">
        <f>'Volunteer Survey'!M973</f>
        <v>0</v>
      </c>
      <c r="U563" s="58"/>
      <c r="V563" s="49"/>
      <c r="W563" s="60">
        <f>'Volunteer Survey'!P973</f>
        <v>0</v>
      </c>
      <c r="X563" s="49"/>
      <c r="Y563" s="47"/>
      <c r="Z563" s="49"/>
      <c r="AA563" s="49"/>
      <c r="AB563" s="49"/>
      <c r="AC563" s="49"/>
      <c r="AD563" s="49"/>
      <c r="AE563" s="49"/>
      <c r="AF563" s="49"/>
      <c r="AG563" s="49"/>
      <c r="AH563" s="49"/>
      <c r="AI563" s="49"/>
      <c r="AJ563" s="49"/>
      <c r="AK563" s="49"/>
      <c r="AL563" s="49"/>
      <c r="AM563" s="49"/>
      <c r="AN563" s="49"/>
      <c r="AO563" s="49"/>
    </row>
    <row r="564" spans="1:41" ht="14">
      <c r="A564" s="49">
        <f>'Volunteer Survey'!A974</f>
        <v>0</v>
      </c>
      <c r="B564" s="49"/>
      <c r="C564" s="47"/>
      <c r="D564" s="49"/>
      <c r="E564" s="49"/>
      <c r="F564" s="49" t="b">
        <v>0</v>
      </c>
      <c r="G564" s="49"/>
      <c r="H564" s="47"/>
      <c r="I564" s="47"/>
      <c r="J564" s="49"/>
      <c r="K564" s="49"/>
      <c r="L564" s="49">
        <f>'Volunteer Survey'!B974</f>
        <v>0</v>
      </c>
      <c r="M564" s="49">
        <f>'Volunteer Survey'!E974</f>
        <v>0</v>
      </c>
      <c r="N564" s="49"/>
      <c r="O564" s="49" t="b">
        <v>0</v>
      </c>
      <c r="P564" s="49"/>
      <c r="Q564" s="54">
        <f>'Volunteer Survey'!J974</f>
        <v>0</v>
      </c>
      <c r="R564" s="49"/>
      <c r="S564" s="49"/>
      <c r="T564" s="49">
        <f>'Volunteer Survey'!M974</f>
        <v>0</v>
      </c>
      <c r="U564" s="58"/>
      <c r="V564" s="49"/>
      <c r="W564" s="60">
        <f>'Volunteer Survey'!P974</f>
        <v>0</v>
      </c>
      <c r="X564" s="49"/>
      <c r="Y564" s="47"/>
      <c r="Z564" s="49"/>
      <c r="AA564" s="49"/>
      <c r="AB564" s="49"/>
      <c r="AC564" s="49"/>
      <c r="AD564" s="49"/>
      <c r="AE564" s="49"/>
      <c r="AF564" s="49"/>
      <c r="AG564" s="49"/>
      <c r="AH564" s="49"/>
      <c r="AI564" s="49"/>
      <c r="AJ564" s="49"/>
      <c r="AK564" s="49"/>
      <c r="AL564" s="49"/>
      <c r="AM564" s="49"/>
      <c r="AN564" s="49"/>
      <c r="AO564" s="49"/>
    </row>
    <row r="565" spans="1:41" ht="14">
      <c r="A565" s="49">
        <f>'Volunteer Survey'!A975</f>
        <v>0</v>
      </c>
      <c r="B565" s="49"/>
      <c r="C565" s="47"/>
      <c r="D565" s="49"/>
      <c r="E565" s="49"/>
      <c r="F565" s="49" t="b">
        <v>0</v>
      </c>
      <c r="G565" s="49"/>
      <c r="H565" s="47"/>
      <c r="I565" s="47"/>
      <c r="J565" s="49"/>
      <c r="K565" s="49"/>
      <c r="L565" s="49">
        <f>'Volunteer Survey'!B975</f>
        <v>0</v>
      </c>
      <c r="M565" s="49">
        <f>'Volunteer Survey'!E975</f>
        <v>0</v>
      </c>
      <c r="N565" s="49"/>
      <c r="O565" s="49" t="b">
        <v>0</v>
      </c>
      <c r="P565" s="49"/>
      <c r="Q565" s="54">
        <f>'Volunteer Survey'!J975</f>
        <v>0</v>
      </c>
      <c r="R565" s="49"/>
      <c r="S565" s="49"/>
      <c r="T565" s="49">
        <f>'Volunteer Survey'!M975</f>
        <v>0</v>
      </c>
      <c r="U565" s="58"/>
      <c r="V565" s="49"/>
      <c r="W565" s="60">
        <f>'Volunteer Survey'!P975</f>
        <v>0</v>
      </c>
      <c r="X565" s="49"/>
      <c r="Y565" s="47"/>
      <c r="Z565" s="49"/>
      <c r="AA565" s="49"/>
      <c r="AB565" s="49"/>
      <c r="AC565" s="49"/>
      <c r="AD565" s="49"/>
      <c r="AE565" s="49"/>
      <c r="AF565" s="49"/>
      <c r="AG565" s="49"/>
      <c r="AH565" s="49"/>
      <c r="AI565" s="49"/>
      <c r="AJ565" s="49"/>
      <c r="AK565" s="49"/>
      <c r="AL565" s="49"/>
      <c r="AM565" s="49"/>
      <c r="AN565" s="49"/>
      <c r="AO565" s="49"/>
    </row>
    <row r="566" spans="1:41" ht="14">
      <c r="A566" s="49">
        <f>'Volunteer Survey'!A976</f>
        <v>0</v>
      </c>
      <c r="B566" s="49"/>
      <c r="C566" s="47"/>
      <c r="D566" s="49"/>
      <c r="E566" s="49"/>
      <c r="F566" s="49" t="b">
        <v>0</v>
      </c>
      <c r="G566" s="49"/>
      <c r="H566" s="47"/>
      <c r="I566" s="47"/>
      <c r="J566" s="49"/>
      <c r="K566" s="49"/>
      <c r="L566" s="49">
        <f>'Volunteer Survey'!B976</f>
        <v>0</v>
      </c>
      <c r="M566" s="49">
        <f>'Volunteer Survey'!E976</f>
        <v>0</v>
      </c>
      <c r="N566" s="49"/>
      <c r="O566" s="49" t="b">
        <v>0</v>
      </c>
      <c r="P566" s="49"/>
      <c r="Q566" s="54">
        <f>'Volunteer Survey'!J976</f>
        <v>0</v>
      </c>
      <c r="R566" s="49"/>
      <c r="S566" s="49"/>
      <c r="T566" s="49">
        <f>'Volunteer Survey'!M976</f>
        <v>0</v>
      </c>
      <c r="U566" s="58"/>
      <c r="V566" s="49"/>
      <c r="W566" s="60">
        <f>'Volunteer Survey'!P976</f>
        <v>0</v>
      </c>
      <c r="X566" s="49"/>
      <c r="Y566" s="47"/>
      <c r="Z566" s="49"/>
      <c r="AA566" s="49"/>
      <c r="AB566" s="49"/>
      <c r="AC566" s="49"/>
      <c r="AD566" s="49"/>
      <c r="AE566" s="49"/>
      <c r="AF566" s="49"/>
      <c r="AG566" s="49"/>
      <c r="AH566" s="49"/>
      <c r="AI566" s="49"/>
      <c r="AJ566" s="49"/>
      <c r="AK566" s="49"/>
      <c r="AL566" s="49"/>
      <c r="AM566" s="49"/>
      <c r="AN566" s="49"/>
      <c r="AO566" s="49"/>
    </row>
    <row r="567" spans="1:41" ht="14">
      <c r="A567" s="49">
        <f>'Volunteer Survey'!A977</f>
        <v>0</v>
      </c>
      <c r="B567" s="49"/>
      <c r="C567" s="47"/>
      <c r="D567" s="49"/>
      <c r="E567" s="49"/>
      <c r="F567" s="49" t="b">
        <v>0</v>
      </c>
      <c r="G567" s="49"/>
      <c r="H567" s="47"/>
      <c r="I567" s="47"/>
      <c r="J567" s="49"/>
      <c r="K567" s="49"/>
      <c r="L567" s="49">
        <f>'Volunteer Survey'!B977</f>
        <v>0</v>
      </c>
      <c r="M567" s="49">
        <f>'Volunteer Survey'!E977</f>
        <v>0</v>
      </c>
      <c r="N567" s="49"/>
      <c r="O567" s="49" t="b">
        <v>0</v>
      </c>
      <c r="P567" s="49"/>
      <c r="Q567" s="54">
        <f>'Volunteer Survey'!J977</f>
        <v>0</v>
      </c>
      <c r="R567" s="49"/>
      <c r="S567" s="49"/>
      <c r="T567" s="49">
        <f>'Volunteer Survey'!M977</f>
        <v>0</v>
      </c>
      <c r="U567" s="58"/>
      <c r="V567" s="49"/>
      <c r="W567" s="60">
        <f>'Volunteer Survey'!P977</f>
        <v>0</v>
      </c>
      <c r="X567" s="49"/>
      <c r="Y567" s="47"/>
      <c r="Z567" s="49"/>
      <c r="AA567" s="49"/>
      <c r="AB567" s="49"/>
      <c r="AC567" s="49"/>
      <c r="AD567" s="49"/>
      <c r="AE567" s="49"/>
      <c r="AF567" s="49"/>
      <c r="AG567" s="49"/>
      <c r="AH567" s="49"/>
      <c r="AI567" s="49"/>
      <c r="AJ567" s="49"/>
      <c r="AK567" s="49"/>
      <c r="AL567" s="49"/>
      <c r="AM567" s="49"/>
      <c r="AN567" s="49"/>
      <c r="AO567" s="49"/>
    </row>
    <row r="568" spans="1:41" ht="14">
      <c r="A568" s="49">
        <f>'Volunteer Survey'!A978</f>
        <v>0</v>
      </c>
      <c r="B568" s="49"/>
      <c r="C568" s="47"/>
      <c r="D568" s="49"/>
      <c r="E568" s="49"/>
      <c r="F568" s="49" t="b">
        <v>0</v>
      </c>
      <c r="G568" s="49"/>
      <c r="H568" s="47"/>
      <c r="I568" s="47"/>
      <c r="J568" s="49"/>
      <c r="K568" s="49"/>
      <c r="L568" s="49">
        <f>'Volunteer Survey'!B978</f>
        <v>0</v>
      </c>
      <c r="M568" s="49">
        <f>'Volunteer Survey'!E978</f>
        <v>0</v>
      </c>
      <c r="N568" s="49"/>
      <c r="O568" s="49" t="b">
        <v>0</v>
      </c>
      <c r="P568" s="49"/>
      <c r="Q568" s="54">
        <f>'Volunteer Survey'!J978</f>
        <v>0</v>
      </c>
      <c r="R568" s="49"/>
      <c r="S568" s="49"/>
      <c r="T568" s="49">
        <f>'Volunteer Survey'!M978</f>
        <v>0</v>
      </c>
      <c r="U568" s="58"/>
      <c r="V568" s="49"/>
      <c r="W568" s="60">
        <f>'Volunteer Survey'!P978</f>
        <v>0</v>
      </c>
      <c r="X568" s="49"/>
      <c r="Y568" s="47"/>
      <c r="Z568" s="49"/>
      <c r="AA568" s="49"/>
      <c r="AB568" s="49"/>
      <c r="AC568" s="49"/>
      <c r="AD568" s="49"/>
      <c r="AE568" s="49"/>
      <c r="AF568" s="49"/>
      <c r="AG568" s="49"/>
      <c r="AH568" s="49"/>
      <c r="AI568" s="49"/>
      <c r="AJ568" s="49"/>
      <c r="AK568" s="49"/>
      <c r="AL568" s="49"/>
      <c r="AM568" s="49"/>
      <c r="AN568" s="49"/>
      <c r="AO568" s="49"/>
    </row>
    <row r="569" spans="1:41" ht="14">
      <c r="A569" s="49">
        <f>'Volunteer Survey'!A979</f>
        <v>0</v>
      </c>
      <c r="B569" s="49"/>
      <c r="C569" s="47"/>
      <c r="D569" s="49"/>
      <c r="E569" s="49"/>
      <c r="F569" s="49" t="b">
        <v>0</v>
      </c>
      <c r="G569" s="49"/>
      <c r="H569" s="47"/>
      <c r="I569" s="47"/>
      <c r="J569" s="49"/>
      <c r="K569" s="49"/>
      <c r="L569" s="49">
        <f>'Volunteer Survey'!B979</f>
        <v>0</v>
      </c>
      <c r="M569" s="49">
        <f>'Volunteer Survey'!E979</f>
        <v>0</v>
      </c>
      <c r="N569" s="49"/>
      <c r="O569" s="49" t="b">
        <v>0</v>
      </c>
      <c r="P569" s="49"/>
      <c r="Q569" s="54">
        <f>'Volunteer Survey'!J979</f>
        <v>0</v>
      </c>
      <c r="R569" s="49"/>
      <c r="S569" s="49"/>
      <c r="T569" s="49">
        <f>'Volunteer Survey'!M979</f>
        <v>0</v>
      </c>
      <c r="U569" s="58"/>
      <c r="V569" s="49"/>
      <c r="W569" s="60">
        <f>'Volunteer Survey'!P979</f>
        <v>0</v>
      </c>
      <c r="X569" s="49"/>
      <c r="Y569" s="47"/>
      <c r="Z569" s="49"/>
      <c r="AA569" s="49"/>
      <c r="AB569" s="49"/>
      <c r="AC569" s="49"/>
      <c r="AD569" s="49"/>
      <c r="AE569" s="49"/>
      <c r="AF569" s="49"/>
      <c r="AG569" s="49"/>
      <c r="AH569" s="49"/>
      <c r="AI569" s="49"/>
      <c r="AJ569" s="49"/>
      <c r="AK569" s="49"/>
      <c r="AL569" s="49"/>
      <c r="AM569" s="49"/>
      <c r="AN569" s="49"/>
      <c r="AO569" s="49"/>
    </row>
    <row r="570" spans="1:41" ht="14">
      <c r="A570" s="49">
        <f>'Volunteer Survey'!A980</f>
        <v>0</v>
      </c>
      <c r="B570" s="49"/>
      <c r="C570" s="47"/>
      <c r="D570" s="49"/>
      <c r="E570" s="49"/>
      <c r="F570" s="49" t="b">
        <v>0</v>
      </c>
      <c r="G570" s="49"/>
      <c r="H570" s="47"/>
      <c r="I570" s="47"/>
      <c r="J570" s="49"/>
      <c r="K570" s="49"/>
      <c r="L570" s="49">
        <f>'Volunteer Survey'!B980</f>
        <v>0</v>
      </c>
      <c r="M570" s="49">
        <f>'Volunteer Survey'!E980</f>
        <v>0</v>
      </c>
      <c r="N570" s="49"/>
      <c r="O570" s="49" t="b">
        <v>0</v>
      </c>
      <c r="P570" s="49"/>
      <c r="Q570" s="54">
        <f>'Volunteer Survey'!J980</f>
        <v>0</v>
      </c>
      <c r="R570" s="49"/>
      <c r="S570" s="49"/>
      <c r="T570" s="49">
        <f>'Volunteer Survey'!M980</f>
        <v>0</v>
      </c>
      <c r="U570" s="58"/>
      <c r="V570" s="49"/>
      <c r="W570" s="60">
        <f>'Volunteer Survey'!P980</f>
        <v>0</v>
      </c>
      <c r="X570" s="49"/>
      <c r="Y570" s="47"/>
      <c r="Z570" s="49"/>
      <c r="AA570" s="49"/>
      <c r="AB570" s="49"/>
      <c r="AC570" s="49"/>
      <c r="AD570" s="49"/>
      <c r="AE570" s="49"/>
      <c r="AF570" s="49"/>
      <c r="AG570" s="49"/>
      <c r="AH570" s="49"/>
      <c r="AI570" s="49"/>
      <c r="AJ570" s="49"/>
      <c r="AK570" s="49"/>
      <c r="AL570" s="49"/>
      <c r="AM570" s="49"/>
      <c r="AN570" s="49"/>
      <c r="AO570" s="49"/>
    </row>
    <row r="571" spans="1:41" ht="14">
      <c r="A571" s="49">
        <f>'Volunteer Survey'!A981</f>
        <v>0</v>
      </c>
      <c r="B571" s="49"/>
      <c r="C571" s="47"/>
      <c r="D571" s="49"/>
      <c r="E571" s="49"/>
      <c r="F571" s="49" t="b">
        <v>0</v>
      </c>
      <c r="G571" s="49"/>
      <c r="H571" s="47"/>
      <c r="I571" s="47"/>
      <c r="J571" s="49"/>
      <c r="K571" s="49"/>
      <c r="L571" s="49">
        <f>'Volunteer Survey'!B981</f>
        <v>0</v>
      </c>
      <c r="M571" s="49"/>
      <c r="N571" s="49"/>
      <c r="O571" s="49" t="b">
        <v>0</v>
      </c>
      <c r="P571" s="49"/>
      <c r="Q571" s="54">
        <f>'Volunteer Survey'!J981</f>
        <v>0</v>
      </c>
      <c r="R571" s="49"/>
      <c r="S571" s="49"/>
      <c r="T571" s="49">
        <f>'Volunteer Survey'!M981</f>
        <v>0</v>
      </c>
      <c r="U571" s="58"/>
      <c r="V571" s="49"/>
      <c r="W571" s="60">
        <f>'Volunteer Survey'!P981</f>
        <v>0</v>
      </c>
      <c r="X571" s="49"/>
      <c r="Y571" s="47"/>
      <c r="Z571" s="49"/>
      <c r="AA571" s="49"/>
      <c r="AB571" s="49"/>
      <c r="AC571" s="49"/>
      <c r="AD571" s="49"/>
      <c r="AE571" s="49"/>
      <c r="AF571" s="49"/>
      <c r="AG571" s="49"/>
      <c r="AH571" s="49"/>
      <c r="AI571" s="49"/>
      <c r="AJ571" s="49"/>
      <c r="AK571" s="49"/>
      <c r="AL571" s="49"/>
      <c r="AM571" s="49"/>
      <c r="AN571" s="49"/>
      <c r="AO571" s="49"/>
    </row>
    <row r="572" spans="1:41" ht="14">
      <c r="A572" s="49">
        <f>'Volunteer Survey'!A982</f>
        <v>0</v>
      </c>
      <c r="B572" s="49"/>
      <c r="C572" s="47"/>
      <c r="D572" s="49"/>
      <c r="E572" s="49"/>
      <c r="F572" s="49" t="b">
        <v>0</v>
      </c>
      <c r="G572" s="49"/>
      <c r="H572" s="47"/>
      <c r="I572" s="47"/>
      <c r="J572" s="49"/>
      <c r="K572" s="49"/>
      <c r="L572" s="49">
        <f>'Volunteer Survey'!B982</f>
        <v>0</v>
      </c>
      <c r="M572" s="49"/>
      <c r="N572" s="49"/>
      <c r="O572" s="49" t="b">
        <v>0</v>
      </c>
      <c r="P572" s="49"/>
      <c r="Q572" s="54">
        <f>'Volunteer Survey'!J982</f>
        <v>0</v>
      </c>
      <c r="R572" s="49"/>
      <c r="S572" s="49"/>
      <c r="T572" s="49">
        <f>'Volunteer Survey'!M982</f>
        <v>0</v>
      </c>
      <c r="U572" s="58"/>
      <c r="V572" s="49"/>
      <c r="W572" s="60">
        <f>'Volunteer Survey'!P982</f>
        <v>0</v>
      </c>
      <c r="X572" s="49"/>
      <c r="Y572" s="47"/>
      <c r="Z572" s="49"/>
      <c r="AA572" s="49"/>
      <c r="AB572" s="49"/>
      <c r="AC572" s="49"/>
      <c r="AD572" s="49"/>
      <c r="AE572" s="49"/>
      <c r="AF572" s="49"/>
      <c r="AG572" s="49"/>
      <c r="AH572" s="49"/>
      <c r="AI572" s="49"/>
      <c r="AJ572" s="49"/>
      <c r="AK572" s="49"/>
      <c r="AL572" s="49"/>
      <c r="AM572" s="49"/>
      <c r="AN572" s="49"/>
      <c r="AO572" s="49"/>
    </row>
    <row r="573" spans="1:41" ht="14">
      <c r="A573" s="49">
        <f>'Volunteer Survey'!A983</f>
        <v>0</v>
      </c>
      <c r="B573" s="49"/>
      <c r="C573" s="47"/>
      <c r="D573" s="49"/>
      <c r="E573" s="49"/>
      <c r="F573" s="49" t="b">
        <v>0</v>
      </c>
      <c r="G573" s="49"/>
      <c r="H573" s="47"/>
      <c r="I573" s="47"/>
      <c r="J573" s="49"/>
      <c r="K573" s="49"/>
      <c r="L573" s="49">
        <f>'Volunteer Survey'!B983</f>
        <v>0</v>
      </c>
      <c r="M573" s="49"/>
      <c r="N573" s="49"/>
      <c r="O573" s="49" t="b">
        <v>0</v>
      </c>
      <c r="P573" s="49"/>
      <c r="Q573" s="54">
        <f>'Volunteer Survey'!J983</f>
        <v>0</v>
      </c>
      <c r="R573" s="49"/>
      <c r="S573" s="49"/>
      <c r="T573" s="49">
        <f>'Volunteer Survey'!M983</f>
        <v>0</v>
      </c>
      <c r="U573" s="58"/>
      <c r="V573" s="49"/>
      <c r="W573" s="60">
        <f>'Volunteer Survey'!P983</f>
        <v>0</v>
      </c>
      <c r="X573" s="49"/>
      <c r="Y573" s="47"/>
      <c r="Z573" s="49"/>
      <c r="AA573" s="49"/>
      <c r="AB573" s="49"/>
      <c r="AC573" s="49"/>
      <c r="AD573" s="49"/>
      <c r="AE573" s="49"/>
      <c r="AF573" s="49"/>
      <c r="AG573" s="49"/>
      <c r="AH573" s="49"/>
      <c r="AI573" s="49"/>
      <c r="AJ573" s="49"/>
      <c r="AK573" s="49"/>
      <c r="AL573" s="49"/>
      <c r="AM573" s="49"/>
      <c r="AN573" s="49"/>
      <c r="AO573" s="49"/>
    </row>
    <row r="574" spans="1:41" ht="14">
      <c r="A574" s="49">
        <f>'Volunteer Survey'!A984</f>
        <v>0</v>
      </c>
      <c r="B574" s="49"/>
      <c r="C574" s="47"/>
      <c r="D574" s="49"/>
      <c r="E574" s="49"/>
      <c r="F574" s="49" t="b">
        <v>0</v>
      </c>
      <c r="G574" s="49"/>
      <c r="H574" s="47"/>
      <c r="I574" s="47"/>
      <c r="J574" s="49"/>
      <c r="K574" s="49"/>
      <c r="L574" s="49">
        <f>'Volunteer Survey'!B984</f>
        <v>0</v>
      </c>
      <c r="M574" s="49"/>
      <c r="N574" s="49"/>
      <c r="O574" s="49" t="b">
        <v>0</v>
      </c>
      <c r="P574" s="49"/>
      <c r="Q574" s="54">
        <f>'Volunteer Survey'!J984</f>
        <v>0</v>
      </c>
      <c r="R574" s="49"/>
      <c r="S574" s="49"/>
      <c r="T574" s="49">
        <f>'Volunteer Survey'!M984</f>
        <v>0</v>
      </c>
      <c r="U574" s="58"/>
      <c r="V574" s="49"/>
      <c r="W574" s="60">
        <f>'Volunteer Survey'!P984</f>
        <v>0</v>
      </c>
      <c r="X574" s="49"/>
      <c r="Y574" s="47"/>
      <c r="Z574" s="49"/>
      <c r="AA574" s="49"/>
      <c r="AB574" s="49"/>
      <c r="AC574" s="49"/>
      <c r="AD574" s="49"/>
      <c r="AE574" s="49"/>
      <c r="AF574" s="49"/>
      <c r="AG574" s="49"/>
      <c r="AH574" s="49"/>
      <c r="AI574" s="49"/>
      <c r="AJ574" s="49"/>
      <c r="AK574" s="49"/>
      <c r="AL574" s="49"/>
      <c r="AM574" s="49"/>
      <c r="AN574" s="49"/>
      <c r="AO574" s="49"/>
    </row>
    <row r="575" spans="1:41" ht="14">
      <c r="A575" s="49">
        <f>'Volunteer Survey'!A985</f>
        <v>0</v>
      </c>
      <c r="B575" s="49"/>
      <c r="C575" s="47"/>
      <c r="D575" s="49"/>
      <c r="E575" s="49"/>
      <c r="F575" s="49" t="b">
        <v>0</v>
      </c>
      <c r="G575" s="49"/>
      <c r="H575" s="47"/>
      <c r="I575" s="47"/>
      <c r="J575" s="49"/>
      <c r="K575" s="49"/>
      <c r="L575" s="49">
        <f>'Volunteer Survey'!B985</f>
        <v>0</v>
      </c>
      <c r="M575" s="49"/>
      <c r="N575" s="49"/>
      <c r="O575" s="49" t="b">
        <v>0</v>
      </c>
      <c r="P575" s="49"/>
      <c r="Q575" s="54">
        <f>'Volunteer Survey'!J985</f>
        <v>0</v>
      </c>
      <c r="R575" s="49"/>
      <c r="S575" s="49"/>
      <c r="T575" s="49">
        <f>'Volunteer Survey'!M985</f>
        <v>0</v>
      </c>
      <c r="U575" s="58"/>
      <c r="V575" s="49"/>
      <c r="W575" s="60">
        <f>'Volunteer Survey'!P985</f>
        <v>0</v>
      </c>
      <c r="X575" s="49"/>
      <c r="Y575" s="47"/>
      <c r="Z575" s="49"/>
      <c r="AA575" s="49"/>
      <c r="AB575" s="49"/>
      <c r="AC575" s="49"/>
      <c r="AD575" s="49"/>
      <c r="AE575" s="49"/>
      <c r="AF575" s="49"/>
      <c r="AG575" s="49"/>
      <c r="AH575" s="49"/>
      <c r="AI575" s="49"/>
      <c r="AJ575" s="49"/>
      <c r="AK575" s="49"/>
      <c r="AL575" s="49"/>
      <c r="AM575" s="49"/>
      <c r="AN575" s="49"/>
      <c r="AO575" s="49"/>
    </row>
    <row r="576" spans="1:41" ht="14">
      <c r="A576" s="49">
        <f>'Volunteer Survey'!A986</f>
        <v>0</v>
      </c>
      <c r="B576" s="49"/>
      <c r="C576" s="47"/>
      <c r="D576" s="49"/>
      <c r="E576" s="49"/>
      <c r="F576" s="49" t="b">
        <v>0</v>
      </c>
      <c r="G576" s="49"/>
      <c r="H576" s="47"/>
      <c r="I576" s="47"/>
      <c r="J576" s="49"/>
      <c r="K576" s="49"/>
      <c r="L576" s="49">
        <f>'Volunteer Survey'!B986</f>
        <v>0</v>
      </c>
      <c r="M576" s="49"/>
      <c r="N576" s="49"/>
      <c r="O576" s="49" t="b">
        <v>0</v>
      </c>
      <c r="P576" s="49"/>
      <c r="Q576" s="54">
        <f>'Volunteer Survey'!J986</f>
        <v>0</v>
      </c>
      <c r="R576" s="49"/>
      <c r="S576" s="49"/>
      <c r="T576" s="49">
        <f>'Volunteer Survey'!M986</f>
        <v>0</v>
      </c>
      <c r="U576" s="58"/>
      <c r="V576" s="49"/>
      <c r="W576" s="60">
        <f>'Volunteer Survey'!P986</f>
        <v>0</v>
      </c>
      <c r="X576" s="49"/>
      <c r="Y576" s="47"/>
      <c r="Z576" s="49"/>
      <c r="AA576" s="49"/>
      <c r="AB576" s="49"/>
      <c r="AC576" s="49"/>
      <c r="AD576" s="49"/>
      <c r="AE576" s="49"/>
      <c r="AF576" s="49"/>
      <c r="AG576" s="49"/>
      <c r="AH576" s="49"/>
      <c r="AI576" s="49"/>
      <c r="AJ576" s="49"/>
      <c r="AK576" s="49"/>
      <c r="AL576" s="49"/>
      <c r="AM576" s="49"/>
      <c r="AN576" s="49"/>
      <c r="AO576" s="49"/>
    </row>
    <row r="577" spans="1:41" ht="14">
      <c r="A577" s="49">
        <f>'Volunteer Survey'!A987</f>
        <v>0</v>
      </c>
      <c r="B577" s="49"/>
      <c r="C577" s="47"/>
      <c r="D577" s="49"/>
      <c r="E577" s="49"/>
      <c r="F577" s="49" t="b">
        <v>0</v>
      </c>
      <c r="G577" s="49"/>
      <c r="H577" s="47"/>
      <c r="I577" s="47"/>
      <c r="J577" s="49"/>
      <c r="K577" s="49"/>
      <c r="L577" s="49">
        <f>'Volunteer Survey'!B987</f>
        <v>0</v>
      </c>
      <c r="M577" s="49"/>
      <c r="N577" s="49"/>
      <c r="O577" s="49" t="b">
        <v>0</v>
      </c>
      <c r="P577" s="49"/>
      <c r="Q577" s="54">
        <f>'Volunteer Survey'!J987</f>
        <v>0</v>
      </c>
      <c r="R577" s="49"/>
      <c r="S577" s="49"/>
      <c r="T577" s="49">
        <f>'Volunteer Survey'!M987</f>
        <v>0</v>
      </c>
      <c r="U577" s="58"/>
      <c r="V577" s="49"/>
      <c r="W577" s="60">
        <f>'Volunteer Survey'!P987</f>
        <v>0</v>
      </c>
      <c r="X577" s="49"/>
      <c r="Y577" s="47"/>
      <c r="Z577" s="49"/>
      <c r="AA577" s="49"/>
      <c r="AB577" s="49"/>
      <c r="AC577" s="49"/>
      <c r="AD577" s="49"/>
      <c r="AE577" s="49"/>
      <c r="AF577" s="49"/>
      <c r="AG577" s="49"/>
      <c r="AH577" s="49"/>
      <c r="AI577" s="49"/>
      <c r="AJ577" s="49"/>
      <c r="AK577" s="49"/>
      <c r="AL577" s="49"/>
      <c r="AM577" s="49"/>
      <c r="AN577" s="49"/>
      <c r="AO577" s="49"/>
    </row>
    <row r="578" spans="1:41" ht="14">
      <c r="A578" s="49">
        <f>'Volunteer Survey'!A988</f>
        <v>0</v>
      </c>
      <c r="B578" s="49"/>
      <c r="C578" s="47"/>
      <c r="D578" s="49"/>
      <c r="E578" s="49"/>
      <c r="F578" s="49" t="b">
        <v>0</v>
      </c>
      <c r="G578" s="49"/>
      <c r="H578" s="47"/>
      <c r="I578" s="47"/>
      <c r="J578" s="49"/>
      <c r="K578" s="49"/>
      <c r="L578" s="49">
        <f>'Volunteer Survey'!B988</f>
        <v>0</v>
      </c>
      <c r="M578" s="49"/>
      <c r="N578" s="49"/>
      <c r="O578" s="49" t="b">
        <v>0</v>
      </c>
      <c r="P578" s="49"/>
      <c r="Q578" s="54">
        <f>'Volunteer Survey'!J988</f>
        <v>0</v>
      </c>
      <c r="R578" s="49"/>
      <c r="S578" s="49"/>
      <c r="T578" s="49">
        <f>'Volunteer Survey'!M988</f>
        <v>0</v>
      </c>
      <c r="U578" s="58"/>
      <c r="V578" s="49"/>
      <c r="W578" s="60">
        <f>'Volunteer Survey'!P988</f>
        <v>0</v>
      </c>
      <c r="X578" s="49"/>
      <c r="Y578" s="47"/>
      <c r="Z578" s="49"/>
      <c r="AA578" s="49"/>
      <c r="AB578" s="49"/>
      <c r="AC578" s="49"/>
      <c r="AD578" s="49"/>
      <c r="AE578" s="49"/>
      <c r="AF578" s="49"/>
      <c r="AG578" s="49"/>
      <c r="AH578" s="49"/>
      <c r="AI578" s="49"/>
      <c r="AJ578" s="49"/>
      <c r="AK578" s="49"/>
      <c r="AL578" s="49"/>
      <c r="AM578" s="49"/>
      <c r="AN578" s="49"/>
      <c r="AO578" s="49"/>
    </row>
    <row r="579" spans="1:41" ht="14">
      <c r="A579" s="49">
        <f>'Volunteer Survey'!A989</f>
        <v>0</v>
      </c>
      <c r="B579" s="49"/>
      <c r="C579" s="47"/>
      <c r="D579" s="49"/>
      <c r="E579" s="49"/>
      <c r="F579" s="49" t="b">
        <v>0</v>
      </c>
      <c r="G579" s="49"/>
      <c r="H579" s="47"/>
      <c r="I579" s="47"/>
      <c r="J579" s="49"/>
      <c r="K579" s="49"/>
      <c r="L579" s="49">
        <f>'Volunteer Survey'!B989</f>
        <v>0</v>
      </c>
      <c r="M579" s="49"/>
      <c r="N579" s="49"/>
      <c r="O579" s="49" t="b">
        <v>0</v>
      </c>
      <c r="P579" s="49"/>
      <c r="Q579" s="54">
        <f>'Volunteer Survey'!J989</f>
        <v>0</v>
      </c>
      <c r="R579" s="49"/>
      <c r="S579" s="49"/>
      <c r="T579" s="49">
        <f>'Volunteer Survey'!M989</f>
        <v>0</v>
      </c>
      <c r="U579" s="58"/>
      <c r="V579" s="49"/>
      <c r="W579" s="60">
        <f>'Volunteer Survey'!P989</f>
        <v>0</v>
      </c>
      <c r="X579" s="49"/>
      <c r="Y579" s="47"/>
      <c r="Z579" s="49"/>
      <c r="AA579" s="49"/>
      <c r="AB579" s="49"/>
      <c r="AC579" s="49"/>
      <c r="AD579" s="49"/>
      <c r="AE579" s="49"/>
      <c r="AF579" s="49"/>
      <c r="AG579" s="49"/>
      <c r="AH579" s="49"/>
      <c r="AI579" s="49"/>
      <c r="AJ579" s="49"/>
      <c r="AK579" s="49"/>
      <c r="AL579" s="49"/>
      <c r="AM579" s="49"/>
      <c r="AN579" s="49"/>
      <c r="AO579" s="49"/>
    </row>
    <row r="580" spans="1:41" ht="14">
      <c r="A580" s="49">
        <f>'Volunteer Survey'!A990</f>
        <v>0</v>
      </c>
      <c r="B580" s="49"/>
      <c r="C580" s="47"/>
      <c r="D580" s="49"/>
      <c r="E580" s="49"/>
      <c r="F580" s="49" t="b">
        <v>0</v>
      </c>
      <c r="G580" s="49"/>
      <c r="H580" s="47"/>
      <c r="I580" s="47"/>
      <c r="J580" s="49"/>
      <c r="K580" s="49"/>
      <c r="L580" s="49">
        <f>'Volunteer Survey'!B990</f>
        <v>0</v>
      </c>
      <c r="M580" s="49"/>
      <c r="N580" s="49"/>
      <c r="O580" s="49" t="b">
        <v>0</v>
      </c>
      <c r="P580" s="49"/>
      <c r="Q580" s="54">
        <f>'Volunteer Survey'!J990</f>
        <v>0</v>
      </c>
      <c r="R580" s="49"/>
      <c r="S580" s="49"/>
      <c r="T580" s="49">
        <f>'Volunteer Survey'!M990</f>
        <v>0</v>
      </c>
      <c r="U580" s="58"/>
      <c r="V580" s="49"/>
      <c r="W580" s="60">
        <f>'Volunteer Survey'!P990</f>
        <v>0</v>
      </c>
      <c r="X580" s="49"/>
      <c r="Y580" s="47"/>
      <c r="Z580" s="49"/>
      <c r="AA580" s="49"/>
      <c r="AB580" s="49"/>
      <c r="AC580" s="49"/>
      <c r="AD580" s="49"/>
      <c r="AE580" s="49"/>
      <c r="AF580" s="49"/>
      <c r="AG580" s="49"/>
      <c r="AH580" s="49"/>
      <c r="AI580" s="49"/>
      <c r="AJ580" s="49"/>
      <c r="AK580" s="49"/>
      <c r="AL580" s="49"/>
      <c r="AM580" s="49"/>
      <c r="AN580" s="49"/>
      <c r="AO580" s="49"/>
    </row>
    <row r="581" spans="1:41" ht="14">
      <c r="A581" s="49">
        <f>'Volunteer Survey'!A991</f>
        <v>0</v>
      </c>
      <c r="B581" s="49"/>
      <c r="C581" s="47"/>
      <c r="D581" s="49"/>
      <c r="E581" s="49"/>
      <c r="F581" s="49" t="b">
        <v>0</v>
      </c>
      <c r="G581" s="49"/>
      <c r="H581" s="47"/>
      <c r="I581" s="47"/>
      <c r="J581" s="49"/>
      <c r="K581" s="49"/>
      <c r="L581" s="49">
        <f>'Volunteer Survey'!B991</f>
        <v>0</v>
      </c>
      <c r="M581" s="49"/>
      <c r="N581" s="49"/>
      <c r="O581" s="49" t="b">
        <v>0</v>
      </c>
      <c r="P581" s="49"/>
      <c r="Q581" s="54">
        <f>'Volunteer Survey'!J991</f>
        <v>0</v>
      </c>
      <c r="R581" s="49"/>
      <c r="S581" s="49"/>
      <c r="T581" s="49">
        <f>'Volunteer Survey'!M991</f>
        <v>0</v>
      </c>
      <c r="U581" s="58"/>
      <c r="V581" s="49"/>
      <c r="W581" s="60">
        <f>'Volunteer Survey'!P991</f>
        <v>0</v>
      </c>
      <c r="X581" s="49"/>
      <c r="Y581" s="47"/>
      <c r="Z581" s="49"/>
      <c r="AA581" s="49"/>
      <c r="AB581" s="49"/>
      <c r="AC581" s="49"/>
      <c r="AD581" s="49"/>
      <c r="AE581" s="49"/>
      <c r="AF581" s="49"/>
      <c r="AG581" s="49"/>
      <c r="AH581" s="49"/>
      <c r="AI581" s="49"/>
      <c r="AJ581" s="49"/>
      <c r="AK581" s="49"/>
      <c r="AL581" s="49"/>
      <c r="AM581" s="49"/>
      <c r="AN581" s="49"/>
      <c r="AO581" s="49"/>
    </row>
    <row r="582" spans="1:41" ht="14">
      <c r="A582" s="49">
        <f>'Volunteer Survey'!A992</f>
        <v>0</v>
      </c>
      <c r="B582" s="49"/>
      <c r="C582" s="47"/>
      <c r="D582" s="49"/>
      <c r="E582" s="49"/>
      <c r="F582" s="49" t="b">
        <v>0</v>
      </c>
      <c r="G582" s="49"/>
      <c r="H582" s="47"/>
      <c r="I582" s="47"/>
      <c r="J582" s="49"/>
      <c r="K582" s="49"/>
      <c r="L582" s="49">
        <f>'Volunteer Survey'!B992</f>
        <v>0</v>
      </c>
      <c r="M582" s="49"/>
      <c r="N582" s="49"/>
      <c r="O582" s="49" t="b">
        <v>0</v>
      </c>
      <c r="P582" s="49"/>
      <c r="Q582" s="54">
        <f>'Volunteer Survey'!J992</f>
        <v>0</v>
      </c>
      <c r="R582" s="49"/>
      <c r="S582" s="49"/>
      <c r="T582" s="49">
        <f>'Volunteer Survey'!M992</f>
        <v>0</v>
      </c>
      <c r="U582" s="58"/>
      <c r="V582" s="49"/>
      <c r="W582" s="60">
        <f>'Volunteer Survey'!P992</f>
        <v>0</v>
      </c>
      <c r="X582" s="49"/>
      <c r="Y582" s="47"/>
      <c r="Z582" s="49"/>
      <c r="AA582" s="49"/>
      <c r="AB582" s="49"/>
      <c r="AC582" s="49"/>
      <c r="AD582" s="49"/>
      <c r="AE582" s="49"/>
      <c r="AF582" s="49"/>
      <c r="AG582" s="49"/>
      <c r="AH582" s="49"/>
      <c r="AI582" s="49"/>
      <c r="AJ582" s="49"/>
      <c r="AK582" s="49"/>
      <c r="AL582" s="49"/>
      <c r="AM582" s="49"/>
      <c r="AN582" s="49"/>
      <c r="AO582" s="49"/>
    </row>
    <row r="583" spans="1:41" ht="14">
      <c r="A583" s="49">
        <f>'Volunteer Survey'!A993</f>
        <v>0</v>
      </c>
      <c r="B583" s="49"/>
      <c r="C583" s="47"/>
      <c r="D583" s="49"/>
      <c r="E583" s="49"/>
      <c r="F583" s="49" t="b">
        <v>0</v>
      </c>
      <c r="G583" s="49"/>
      <c r="H583" s="47"/>
      <c r="I583" s="47"/>
      <c r="J583" s="49"/>
      <c r="K583" s="49"/>
      <c r="L583" s="49">
        <f>'Volunteer Survey'!B993</f>
        <v>0</v>
      </c>
      <c r="M583" s="49"/>
      <c r="N583" s="49"/>
      <c r="O583" s="49" t="b">
        <v>0</v>
      </c>
      <c r="P583" s="49"/>
      <c r="Q583" s="54">
        <f>'Volunteer Survey'!J993</f>
        <v>0</v>
      </c>
      <c r="R583" s="49"/>
      <c r="S583" s="49"/>
      <c r="T583" s="49">
        <f>'Volunteer Survey'!M993</f>
        <v>0</v>
      </c>
      <c r="U583" s="58"/>
      <c r="V583" s="49"/>
      <c r="W583" s="60">
        <f>'Volunteer Survey'!P993</f>
        <v>0</v>
      </c>
      <c r="X583" s="49"/>
      <c r="Y583" s="47"/>
      <c r="Z583" s="49"/>
      <c r="AA583" s="49"/>
      <c r="AB583" s="49"/>
      <c r="AC583" s="49"/>
      <c r="AD583" s="49"/>
      <c r="AE583" s="49"/>
      <c r="AF583" s="49"/>
      <c r="AG583" s="49"/>
      <c r="AH583" s="49"/>
      <c r="AI583" s="49"/>
      <c r="AJ583" s="49"/>
      <c r="AK583" s="49"/>
      <c r="AL583" s="49"/>
      <c r="AM583" s="49"/>
      <c r="AN583" s="49"/>
      <c r="AO583" s="49"/>
    </row>
    <row r="584" spans="1:41" ht="14">
      <c r="A584" s="49">
        <f>'Volunteer Survey'!A994</f>
        <v>0</v>
      </c>
      <c r="B584" s="49"/>
      <c r="C584" s="47"/>
      <c r="D584" s="49"/>
      <c r="E584" s="49"/>
      <c r="F584" s="49" t="b">
        <v>0</v>
      </c>
      <c r="G584" s="49"/>
      <c r="H584" s="47"/>
      <c r="I584" s="47"/>
      <c r="J584" s="49"/>
      <c r="K584" s="49"/>
      <c r="L584" s="49">
        <f>'Volunteer Survey'!B994</f>
        <v>0</v>
      </c>
      <c r="M584" s="49"/>
      <c r="N584" s="49"/>
      <c r="O584" s="49" t="b">
        <v>0</v>
      </c>
      <c r="P584" s="49"/>
      <c r="Q584" s="54">
        <f>'Volunteer Survey'!J994</f>
        <v>0</v>
      </c>
      <c r="R584" s="49"/>
      <c r="S584" s="49"/>
      <c r="T584" s="49">
        <f>'Volunteer Survey'!M994</f>
        <v>0</v>
      </c>
      <c r="U584" s="58"/>
      <c r="V584" s="49"/>
      <c r="W584" s="60">
        <f>'Volunteer Survey'!P994</f>
        <v>0</v>
      </c>
      <c r="X584" s="49"/>
      <c r="Y584" s="47"/>
      <c r="Z584" s="49"/>
      <c r="AA584" s="49"/>
      <c r="AB584" s="49"/>
      <c r="AC584" s="49"/>
      <c r="AD584" s="49"/>
      <c r="AE584" s="49"/>
      <c r="AF584" s="49"/>
      <c r="AG584" s="49"/>
      <c r="AH584" s="49"/>
      <c r="AI584" s="49"/>
      <c r="AJ584" s="49"/>
      <c r="AK584" s="49"/>
      <c r="AL584" s="49"/>
      <c r="AM584" s="49"/>
      <c r="AN584" s="49"/>
      <c r="AO584" s="49"/>
    </row>
    <row r="585" spans="1:41" ht="14">
      <c r="A585" s="49">
        <f>'Volunteer Survey'!A995</f>
        <v>0</v>
      </c>
      <c r="B585" s="49"/>
      <c r="C585" s="47"/>
      <c r="D585" s="49"/>
      <c r="E585" s="49"/>
      <c r="F585" s="49" t="b">
        <v>0</v>
      </c>
      <c r="G585" s="49"/>
      <c r="H585" s="47"/>
      <c r="I585" s="47"/>
      <c r="J585" s="49"/>
      <c r="K585" s="49"/>
      <c r="L585" s="49">
        <f>'Volunteer Survey'!B995</f>
        <v>0</v>
      </c>
      <c r="M585" s="49"/>
      <c r="N585" s="49"/>
      <c r="O585" s="49" t="b">
        <v>0</v>
      </c>
      <c r="P585" s="49"/>
      <c r="Q585" s="54">
        <f>'Volunteer Survey'!J995</f>
        <v>0</v>
      </c>
      <c r="R585" s="49"/>
      <c r="S585" s="49"/>
      <c r="T585" s="49">
        <f>'Volunteer Survey'!M995</f>
        <v>0</v>
      </c>
      <c r="U585" s="58"/>
      <c r="V585" s="49"/>
      <c r="W585" s="60">
        <f>'Volunteer Survey'!P995</f>
        <v>0</v>
      </c>
      <c r="X585" s="49"/>
      <c r="Y585" s="47"/>
      <c r="Z585" s="49"/>
      <c r="AA585" s="49"/>
      <c r="AB585" s="49"/>
      <c r="AC585" s="49"/>
      <c r="AD585" s="49"/>
      <c r="AE585" s="49"/>
      <c r="AF585" s="49"/>
      <c r="AG585" s="49"/>
      <c r="AH585" s="49"/>
      <c r="AI585" s="49"/>
      <c r="AJ585" s="49"/>
      <c r="AK585" s="49"/>
      <c r="AL585" s="49"/>
      <c r="AM585" s="49"/>
      <c r="AN585" s="49"/>
      <c r="AO585" s="49"/>
    </row>
    <row r="586" spans="1:41" ht="14">
      <c r="A586" s="49">
        <f>'Volunteer Survey'!A996</f>
        <v>0</v>
      </c>
      <c r="B586" s="49"/>
      <c r="C586" s="47"/>
      <c r="D586" s="49"/>
      <c r="E586" s="49"/>
      <c r="F586" s="49" t="b">
        <v>0</v>
      </c>
      <c r="G586" s="49"/>
      <c r="H586" s="47"/>
      <c r="I586" s="47"/>
      <c r="J586" s="49"/>
      <c r="K586" s="49"/>
      <c r="L586" s="49">
        <f>'Volunteer Survey'!B996</f>
        <v>0</v>
      </c>
      <c r="M586" s="49"/>
      <c r="N586" s="49"/>
      <c r="O586" s="49" t="b">
        <v>0</v>
      </c>
      <c r="P586" s="49"/>
      <c r="Q586" s="54">
        <f>'Volunteer Survey'!J996</f>
        <v>0</v>
      </c>
      <c r="R586" s="49"/>
      <c r="S586" s="49"/>
      <c r="T586" s="49">
        <f>'Volunteer Survey'!M996</f>
        <v>0</v>
      </c>
      <c r="U586" s="58"/>
      <c r="V586" s="49"/>
      <c r="W586" s="60">
        <f>'Volunteer Survey'!P996</f>
        <v>0</v>
      </c>
      <c r="X586" s="49"/>
      <c r="Y586" s="47"/>
      <c r="Z586" s="49"/>
      <c r="AA586" s="49"/>
      <c r="AB586" s="49"/>
      <c r="AC586" s="49"/>
      <c r="AD586" s="49"/>
      <c r="AE586" s="49"/>
      <c r="AF586" s="49"/>
      <c r="AG586" s="49"/>
      <c r="AH586" s="49"/>
      <c r="AI586" s="49"/>
      <c r="AJ586" s="49"/>
      <c r="AK586" s="49"/>
      <c r="AL586" s="49"/>
      <c r="AM586" s="49"/>
      <c r="AN586" s="49"/>
      <c r="AO586" s="49"/>
    </row>
    <row r="587" spans="1:41" ht="14">
      <c r="A587" s="49">
        <f>'Volunteer Survey'!A997</f>
        <v>0</v>
      </c>
      <c r="B587" s="49"/>
      <c r="C587" s="47"/>
      <c r="D587" s="49"/>
      <c r="E587" s="49"/>
      <c r="F587" s="49" t="b">
        <v>0</v>
      </c>
      <c r="G587" s="49"/>
      <c r="H587" s="47"/>
      <c r="I587" s="47"/>
      <c r="J587" s="49"/>
      <c r="K587" s="49"/>
      <c r="L587" s="49">
        <f>'Volunteer Survey'!B997</f>
        <v>0</v>
      </c>
      <c r="M587" s="49"/>
      <c r="N587" s="49"/>
      <c r="O587" s="49" t="b">
        <v>0</v>
      </c>
      <c r="P587" s="49"/>
      <c r="Q587" s="54">
        <f>'Volunteer Survey'!J997</f>
        <v>0</v>
      </c>
      <c r="R587" s="49"/>
      <c r="S587" s="49"/>
      <c r="T587" s="49">
        <f>'Volunteer Survey'!M997</f>
        <v>0</v>
      </c>
      <c r="U587" s="58"/>
      <c r="V587" s="49"/>
      <c r="W587" s="60">
        <f>'Volunteer Survey'!P997</f>
        <v>0</v>
      </c>
      <c r="X587" s="49"/>
      <c r="Y587" s="47"/>
      <c r="Z587" s="49"/>
      <c r="AA587" s="49"/>
      <c r="AB587" s="49"/>
      <c r="AC587" s="49"/>
      <c r="AD587" s="49"/>
      <c r="AE587" s="49"/>
      <c r="AF587" s="49"/>
      <c r="AG587" s="49"/>
      <c r="AH587" s="49"/>
      <c r="AI587" s="49"/>
      <c r="AJ587" s="49"/>
      <c r="AK587" s="49"/>
      <c r="AL587" s="49"/>
      <c r="AM587" s="49"/>
      <c r="AN587" s="49"/>
      <c r="AO587" s="49"/>
    </row>
    <row r="588" spans="1:41" ht="14">
      <c r="A588" s="49">
        <f>'Volunteer Survey'!A998</f>
        <v>0</v>
      </c>
      <c r="B588" s="49"/>
      <c r="C588" s="47"/>
      <c r="D588" s="49"/>
      <c r="E588" s="49"/>
      <c r="F588" s="49" t="b">
        <v>0</v>
      </c>
      <c r="G588" s="49"/>
      <c r="H588" s="47"/>
      <c r="I588" s="47"/>
      <c r="J588" s="49"/>
      <c r="K588" s="49"/>
      <c r="L588" s="49">
        <f>'Volunteer Survey'!B998</f>
        <v>0</v>
      </c>
      <c r="M588" s="49"/>
      <c r="N588" s="49"/>
      <c r="O588" s="49" t="b">
        <v>0</v>
      </c>
      <c r="P588" s="49"/>
      <c r="Q588" s="54">
        <f>'Volunteer Survey'!J998</f>
        <v>0</v>
      </c>
      <c r="R588" s="49"/>
      <c r="S588" s="49"/>
      <c r="T588" s="49">
        <f>'Volunteer Survey'!M998</f>
        <v>0</v>
      </c>
      <c r="U588" s="58"/>
      <c r="V588" s="49"/>
      <c r="W588" s="60">
        <f>'Volunteer Survey'!P998</f>
        <v>0</v>
      </c>
      <c r="X588" s="49"/>
      <c r="Y588" s="47"/>
      <c r="Z588" s="49"/>
      <c r="AA588" s="49"/>
      <c r="AB588" s="49"/>
      <c r="AC588" s="49"/>
      <c r="AD588" s="49"/>
      <c r="AE588" s="49"/>
      <c r="AF588" s="49"/>
      <c r="AG588" s="49"/>
      <c r="AH588" s="49"/>
      <c r="AI588" s="49"/>
      <c r="AJ588" s="49"/>
      <c r="AK588" s="49"/>
      <c r="AL588" s="49"/>
      <c r="AM588" s="49"/>
      <c r="AN588" s="49"/>
      <c r="AO588" s="49"/>
    </row>
    <row r="589" spans="1:41" ht="14">
      <c r="A589" s="49">
        <f>'Volunteer Survey'!A999</f>
        <v>0</v>
      </c>
      <c r="B589" s="49"/>
      <c r="C589" s="47"/>
      <c r="D589" s="49"/>
      <c r="E589" s="49"/>
      <c r="F589" s="49" t="b">
        <v>0</v>
      </c>
      <c r="G589" s="49"/>
      <c r="H589" s="47"/>
      <c r="I589" s="47"/>
      <c r="J589" s="49"/>
      <c r="K589" s="49"/>
      <c r="L589" s="49">
        <f>'Volunteer Survey'!B999</f>
        <v>0</v>
      </c>
      <c r="M589" s="49"/>
      <c r="N589" s="49"/>
      <c r="O589" s="49" t="b">
        <v>0</v>
      </c>
      <c r="P589" s="49"/>
      <c r="Q589" s="54">
        <f>'Volunteer Survey'!J999</f>
        <v>0</v>
      </c>
      <c r="R589" s="49"/>
      <c r="S589" s="49"/>
      <c r="T589" s="49">
        <f>'Volunteer Survey'!M999</f>
        <v>0</v>
      </c>
      <c r="U589" s="58"/>
      <c r="V589" s="49"/>
      <c r="W589" s="60">
        <f>'Volunteer Survey'!P999</f>
        <v>0</v>
      </c>
      <c r="X589" s="49"/>
      <c r="Y589" s="47"/>
      <c r="Z589" s="49"/>
      <c r="AA589" s="49"/>
      <c r="AB589" s="49"/>
      <c r="AC589" s="49"/>
      <c r="AD589" s="49"/>
      <c r="AE589" s="49"/>
      <c r="AF589" s="49"/>
      <c r="AG589" s="49"/>
      <c r="AH589" s="49"/>
      <c r="AI589" s="49"/>
      <c r="AJ589" s="49"/>
      <c r="AK589" s="49"/>
      <c r="AL589" s="49"/>
      <c r="AM589" s="49"/>
      <c r="AN589" s="49"/>
      <c r="AO589" s="49"/>
    </row>
    <row r="590" spans="1:41" ht="14">
      <c r="A590" s="49">
        <f>'Volunteer Survey'!A1000</f>
        <v>0</v>
      </c>
      <c r="B590" s="49"/>
      <c r="C590" s="47"/>
      <c r="D590" s="49"/>
      <c r="E590" s="49"/>
      <c r="F590" s="49" t="b">
        <v>0</v>
      </c>
      <c r="G590" s="49"/>
      <c r="H590" s="47"/>
      <c r="I590" s="47"/>
      <c r="J590" s="49"/>
      <c r="K590" s="49"/>
      <c r="L590" s="49">
        <f>'Volunteer Survey'!B1000</f>
        <v>0</v>
      </c>
      <c r="M590" s="49"/>
      <c r="N590" s="49"/>
      <c r="O590" s="49" t="b">
        <v>0</v>
      </c>
      <c r="P590" s="49"/>
      <c r="Q590" s="54">
        <f>'Volunteer Survey'!J1000</f>
        <v>0</v>
      </c>
      <c r="R590" s="49"/>
      <c r="S590" s="49"/>
      <c r="T590" s="49">
        <f>'Volunteer Survey'!M1000</f>
        <v>0</v>
      </c>
      <c r="U590" s="58"/>
      <c r="V590" s="49"/>
      <c r="W590" s="60">
        <f>'Volunteer Survey'!P1000</f>
        <v>0</v>
      </c>
      <c r="X590" s="49"/>
      <c r="Y590" s="47"/>
      <c r="Z590" s="49"/>
      <c r="AA590" s="49"/>
      <c r="AB590" s="49"/>
      <c r="AC590" s="49"/>
      <c r="AD590" s="49"/>
      <c r="AE590" s="49"/>
      <c r="AF590" s="49"/>
      <c r="AG590" s="49"/>
      <c r="AH590" s="49"/>
      <c r="AI590" s="49"/>
      <c r="AJ590" s="49"/>
      <c r="AK590" s="49"/>
      <c r="AL590" s="49"/>
      <c r="AM590" s="49"/>
      <c r="AN590" s="49"/>
      <c r="AO590" s="49"/>
    </row>
    <row r="591" spans="1:41" ht="14">
      <c r="A591" s="49">
        <f>'Volunteer Survey'!A1001</f>
        <v>0</v>
      </c>
      <c r="B591" s="49"/>
      <c r="C591" s="47"/>
      <c r="D591" s="49"/>
      <c r="E591" s="49"/>
      <c r="F591" s="49" t="b">
        <v>0</v>
      </c>
      <c r="G591" s="49"/>
      <c r="H591" s="47"/>
      <c r="I591" s="47"/>
      <c r="J591" s="49"/>
      <c r="K591" s="49"/>
      <c r="L591" s="49">
        <f>'Volunteer Survey'!B1001</f>
        <v>0</v>
      </c>
      <c r="M591" s="49"/>
      <c r="N591" s="49"/>
      <c r="O591" s="49" t="b">
        <v>0</v>
      </c>
      <c r="P591" s="49"/>
      <c r="Q591" s="54">
        <f>'Volunteer Survey'!J1001</f>
        <v>0</v>
      </c>
      <c r="R591" s="49"/>
      <c r="S591" s="49"/>
      <c r="T591" s="49">
        <f>'Volunteer Survey'!M1001</f>
        <v>0</v>
      </c>
      <c r="U591" s="58"/>
      <c r="V591" s="49"/>
      <c r="W591" s="60">
        <f>'Volunteer Survey'!P1001</f>
        <v>0</v>
      </c>
      <c r="X591" s="49"/>
      <c r="Y591" s="47"/>
      <c r="Z591" s="49"/>
      <c r="AA591" s="49"/>
      <c r="AB591" s="49"/>
      <c r="AC591" s="49"/>
      <c r="AD591" s="49"/>
      <c r="AE591" s="49"/>
      <c r="AF591" s="49"/>
      <c r="AG591" s="49"/>
      <c r="AH591" s="49"/>
      <c r="AI591" s="49"/>
      <c r="AJ591" s="49"/>
      <c r="AK591" s="49"/>
      <c r="AL591" s="49"/>
      <c r="AM591" s="49"/>
      <c r="AN591" s="49"/>
      <c r="AO591" s="49"/>
    </row>
    <row r="592" spans="1:41" ht="14">
      <c r="A592" s="49">
        <f>'Volunteer Survey'!A1002</f>
        <v>0</v>
      </c>
      <c r="B592" s="49"/>
      <c r="C592" s="47"/>
      <c r="D592" s="49"/>
      <c r="E592" s="49"/>
      <c r="F592" s="49" t="b">
        <v>0</v>
      </c>
      <c r="G592" s="49"/>
      <c r="H592" s="47"/>
      <c r="I592" s="47"/>
      <c r="J592" s="49"/>
      <c r="K592" s="49"/>
      <c r="L592" s="49">
        <f>'Volunteer Survey'!B1002</f>
        <v>0</v>
      </c>
      <c r="M592" s="49"/>
      <c r="N592" s="49"/>
      <c r="O592" s="49" t="b">
        <v>0</v>
      </c>
      <c r="P592" s="49"/>
      <c r="Q592" s="54">
        <f>'Volunteer Survey'!J1002</f>
        <v>0</v>
      </c>
      <c r="R592" s="49"/>
      <c r="S592" s="49"/>
      <c r="T592" s="49">
        <f>'Volunteer Survey'!M1002</f>
        <v>0</v>
      </c>
      <c r="U592" s="58"/>
      <c r="V592" s="49"/>
      <c r="W592" s="60">
        <f>'Volunteer Survey'!P1002</f>
        <v>0</v>
      </c>
      <c r="X592" s="49"/>
      <c r="Y592" s="47"/>
      <c r="Z592" s="49"/>
      <c r="AA592" s="49"/>
      <c r="AB592" s="49"/>
      <c r="AC592" s="49"/>
      <c r="AD592" s="49"/>
      <c r="AE592" s="49"/>
      <c r="AF592" s="49"/>
      <c r="AG592" s="49"/>
      <c r="AH592" s="49"/>
      <c r="AI592" s="49"/>
      <c r="AJ592" s="49"/>
      <c r="AK592" s="49"/>
      <c r="AL592" s="49"/>
      <c r="AM592" s="49"/>
      <c r="AN592" s="49"/>
      <c r="AO592" s="49"/>
    </row>
    <row r="593" spans="1:41" ht="14">
      <c r="A593" s="49">
        <f>'Volunteer Survey'!A1003</f>
        <v>0</v>
      </c>
      <c r="B593" s="49"/>
      <c r="C593" s="47"/>
      <c r="D593" s="49"/>
      <c r="E593" s="49"/>
      <c r="F593" s="49" t="b">
        <v>0</v>
      </c>
      <c r="G593" s="49"/>
      <c r="H593" s="47"/>
      <c r="I593" s="47"/>
      <c r="J593" s="49"/>
      <c r="K593" s="49"/>
      <c r="L593" s="49"/>
      <c r="M593" s="49"/>
      <c r="N593" s="49"/>
      <c r="O593" s="49" t="b">
        <v>0</v>
      </c>
      <c r="P593" s="49"/>
      <c r="Q593" s="54">
        <f>'Volunteer Survey'!J1003</f>
        <v>0</v>
      </c>
      <c r="R593" s="49"/>
      <c r="S593" s="49"/>
      <c r="T593" s="49"/>
      <c r="U593" s="58"/>
      <c r="V593" s="49"/>
      <c r="W593" s="60">
        <f>'Volunteer Survey'!P1003</f>
        <v>0</v>
      </c>
      <c r="X593" s="49"/>
      <c r="Y593" s="47"/>
      <c r="Z593" s="49"/>
      <c r="AA593" s="49"/>
      <c r="AB593" s="49"/>
      <c r="AC593" s="49"/>
      <c r="AD593" s="49"/>
      <c r="AE593" s="49"/>
      <c r="AF593" s="49"/>
      <c r="AG593" s="49"/>
      <c r="AH593" s="49"/>
      <c r="AI593" s="49"/>
      <c r="AJ593" s="49"/>
      <c r="AK593" s="49"/>
      <c r="AL593" s="49"/>
      <c r="AM593" s="49"/>
      <c r="AN593" s="49"/>
      <c r="AO593" s="49"/>
    </row>
    <row r="594" spans="1:41" ht="14">
      <c r="A594" s="49">
        <f>'Volunteer Survey'!A1004</f>
        <v>0</v>
      </c>
      <c r="B594" s="49"/>
      <c r="C594" s="47"/>
      <c r="D594" s="49"/>
      <c r="E594" s="49"/>
      <c r="F594" s="49" t="b">
        <v>0</v>
      </c>
      <c r="G594" s="49"/>
      <c r="H594" s="47"/>
      <c r="I594" s="47"/>
      <c r="J594" s="49"/>
      <c r="K594" s="49"/>
      <c r="L594" s="49"/>
      <c r="M594" s="49"/>
      <c r="N594" s="49"/>
      <c r="O594" s="49" t="b">
        <v>0</v>
      </c>
      <c r="P594" s="49"/>
      <c r="Q594" s="54">
        <f>'Volunteer Survey'!J1004</f>
        <v>0</v>
      </c>
      <c r="R594" s="49"/>
      <c r="S594" s="49"/>
      <c r="T594" s="49"/>
      <c r="U594" s="58"/>
      <c r="V594" s="49"/>
      <c r="W594" s="60">
        <f>'Volunteer Survey'!P1004</f>
        <v>0</v>
      </c>
      <c r="X594" s="49"/>
      <c r="Y594" s="47"/>
      <c r="Z594" s="49"/>
      <c r="AA594" s="49"/>
      <c r="AB594" s="49"/>
      <c r="AC594" s="49"/>
      <c r="AD594" s="49"/>
      <c r="AE594" s="49"/>
      <c r="AF594" s="49"/>
      <c r="AG594" s="49"/>
      <c r="AH594" s="49"/>
      <c r="AI594" s="49"/>
      <c r="AJ594" s="49"/>
      <c r="AK594" s="49"/>
      <c r="AL594" s="49"/>
      <c r="AM594" s="49"/>
      <c r="AN594" s="49"/>
      <c r="AO594" s="49"/>
    </row>
    <row r="595" spans="1:41" ht="14">
      <c r="A595" s="49"/>
      <c r="B595" s="49"/>
      <c r="C595" s="47"/>
      <c r="D595" s="49"/>
      <c r="E595" s="49"/>
      <c r="F595" s="49" t="b">
        <v>0</v>
      </c>
      <c r="G595" s="49"/>
      <c r="H595" s="47"/>
      <c r="I595" s="47"/>
      <c r="J595" s="49"/>
      <c r="K595" s="49"/>
      <c r="L595" s="49"/>
      <c r="M595" s="49"/>
      <c r="N595" s="49"/>
      <c r="O595" s="49" t="b">
        <v>0</v>
      </c>
      <c r="P595" s="49"/>
      <c r="Q595" s="54">
        <f>'Volunteer Survey'!J1005</f>
        <v>0</v>
      </c>
      <c r="R595" s="49"/>
      <c r="S595" s="49"/>
      <c r="T595" s="49"/>
      <c r="U595" s="58"/>
      <c r="V595" s="49"/>
      <c r="W595" s="60">
        <f>'Volunteer Survey'!P1005</f>
        <v>0</v>
      </c>
      <c r="X595" s="49"/>
      <c r="Y595" s="47"/>
      <c r="Z595" s="49"/>
      <c r="AA595" s="49"/>
      <c r="AB595" s="49"/>
      <c r="AC595" s="49"/>
      <c r="AD595" s="49"/>
      <c r="AE595" s="49"/>
      <c r="AF595" s="49"/>
      <c r="AG595" s="49"/>
      <c r="AH595" s="49"/>
      <c r="AI595" s="49"/>
      <c r="AJ595" s="49"/>
      <c r="AK595" s="49"/>
      <c r="AL595" s="49"/>
      <c r="AM595" s="49"/>
      <c r="AN595" s="49"/>
      <c r="AO595" s="49"/>
    </row>
    <row r="596" spans="1:41" ht="14">
      <c r="A596" s="49"/>
      <c r="B596" s="49"/>
      <c r="C596" s="47"/>
      <c r="D596" s="49"/>
      <c r="E596" s="49"/>
      <c r="F596" s="49" t="b">
        <v>0</v>
      </c>
      <c r="G596" s="49"/>
      <c r="H596" s="47"/>
      <c r="I596" s="47"/>
      <c r="J596" s="49"/>
      <c r="K596" s="49"/>
      <c r="L596" s="49"/>
      <c r="M596" s="49"/>
      <c r="N596" s="49"/>
      <c r="O596" s="49" t="b">
        <v>0</v>
      </c>
      <c r="P596" s="49"/>
      <c r="Q596" s="54">
        <f>'Volunteer Survey'!J1006</f>
        <v>0</v>
      </c>
      <c r="R596" s="49"/>
      <c r="S596" s="49"/>
      <c r="T596" s="49"/>
      <c r="U596" s="58"/>
      <c r="V596" s="49"/>
      <c r="W596" s="60">
        <f>'Volunteer Survey'!P1006</f>
        <v>0</v>
      </c>
      <c r="X596" s="49"/>
      <c r="Y596" s="47"/>
      <c r="Z596" s="49"/>
      <c r="AA596" s="49"/>
      <c r="AB596" s="49"/>
      <c r="AC596" s="49"/>
      <c r="AD596" s="49"/>
      <c r="AE596" s="49"/>
      <c r="AF596" s="49"/>
      <c r="AG596" s="49"/>
      <c r="AH596" s="49"/>
      <c r="AI596" s="49"/>
      <c r="AJ596" s="49"/>
      <c r="AK596" s="49"/>
      <c r="AL596" s="49"/>
      <c r="AM596" s="49"/>
      <c r="AN596" s="49"/>
      <c r="AO596" s="49"/>
    </row>
    <row r="597" spans="1:41" ht="14">
      <c r="A597" s="49"/>
      <c r="B597" s="49"/>
      <c r="C597" s="47"/>
      <c r="D597" s="49"/>
      <c r="E597" s="49"/>
      <c r="F597" s="49" t="b">
        <v>0</v>
      </c>
      <c r="G597" s="49"/>
      <c r="H597" s="47"/>
      <c r="I597" s="47"/>
      <c r="J597" s="49"/>
      <c r="K597" s="49"/>
      <c r="L597" s="49"/>
      <c r="M597" s="49"/>
      <c r="N597" s="49"/>
      <c r="O597" s="49" t="b">
        <v>0</v>
      </c>
      <c r="P597" s="49"/>
      <c r="Q597" s="54">
        <f>'Volunteer Survey'!J1007</f>
        <v>0</v>
      </c>
      <c r="R597" s="49"/>
      <c r="S597" s="49"/>
      <c r="T597" s="49"/>
      <c r="U597" s="58"/>
      <c r="V597" s="49"/>
      <c r="W597" s="60">
        <f>'Volunteer Survey'!P1007</f>
        <v>0</v>
      </c>
      <c r="X597" s="49"/>
      <c r="Y597" s="47"/>
      <c r="Z597" s="49"/>
      <c r="AA597" s="49"/>
      <c r="AB597" s="49"/>
      <c r="AC597" s="49"/>
      <c r="AD597" s="49"/>
      <c r="AE597" s="49"/>
      <c r="AF597" s="49"/>
      <c r="AG597" s="49"/>
      <c r="AH597" s="49"/>
      <c r="AI597" s="49"/>
      <c r="AJ597" s="49"/>
      <c r="AK597" s="49"/>
      <c r="AL597" s="49"/>
      <c r="AM597" s="49"/>
      <c r="AN597" s="49"/>
      <c r="AO597" s="49"/>
    </row>
    <row r="598" spans="1:41" ht="14">
      <c r="A598" s="49"/>
      <c r="B598" s="49"/>
      <c r="C598" s="47"/>
      <c r="D598" s="49"/>
      <c r="E598" s="49"/>
      <c r="F598" s="49" t="b">
        <v>0</v>
      </c>
      <c r="G598" s="49"/>
      <c r="H598" s="47"/>
      <c r="I598" s="47"/>
      <c r="J598" s="49"/>
      <c r="K598" s="49"/>
      <c r="L598" s="49"/>
      <c r="M598" s="49"/>
      <c r="N598" s="49"/>
      <c r="O598" s="49" t="b">
        <v>0</v>
      </c>
      <c r="P598" s="49"/>
      <c r="Q598" s="54">
        <f>'Volunteer Survey'!J1008</f>
        <v>0</v>
      </c>
      <c r="R598" s="49"/>
      <c r="S598" s="49"/>
      <c r="T598" s="49"/>
      <c r="U598" s="58"/>
      <c r="V598" s="49"/>
      <c r="W598" s="60">
        <f>'Volunteer Survey'!P1008</f>
        <v>0</v>
      </c>
      <c r="X598" s="49"/>
      <c r="Y598" s="47"/>
      <c r="Z598" s="49"/>
      <c r="AA598" s="49"/>
      <c r="AB598" s="49"/>
      <c r="AC598" s="49"/>
      <c r="AD598" s="49"/>
      <c r="AE598" s="49"/>
      <c r="AF598" s="49"/>
      <c r="AG598" s="49"/>
      <c r="AH598" s="49"/>
      <c r="AI598" s="49"/>
      <c r="AJ598" s="49"/>
      <c r="AK598" s="49"/>
      <c r="AL598" s="49"/>
      <c r="AM598" s="49"/>
      <c r="AN598" s="49"/>
      <c r="AO598" s="49"/>
    </row>
    <row r="599" spans="1:41" ht="14">
      <c r="A599" s="49"/>
      <c r="B599" s="49"/>
      <c r="C599" s="47"/>
      <c r="D599" s="49"/>
      <c r="E599" s="49"/>
      <c r="F599" s="49" t="b">
        <v>0</v>
      </c>
      <c r="G599" s="49"/>
      <c r="H599" s="47"/>
      <c r="I599" s="47"/>
      <c r="J599" s="49"/>
      <c r="K599" s="49"/>
      <c r="L599" s="49"/>
      <c r="M599" s="49"/>
      <c r="N599" s="49"/>
      <c r="O599" s="49" t="b">
        <v>0</v>
      </c>
      <c r="P599" s="49"/>
      <c r="Q599" s="54">
        <f>'Volunteer Survey'!J1009</f>
        <v>0</v>
      </c>
      <c r="R599" s="49"/>
      <c r="S599" s="49"/>
      <c r="T599" s="49"/>
      <c r="U599" s="58"/>
      <c r="V599" s="49"/>
      <c r="W599" s="60">
        <f>'Volunteer Survey'!P1009</f>
        <v>0</v>
      </c>
      <c r="X599" s="49"/>
      <c r="Y599" s="47"/>
      <c r="Z599" s="49"/>
      <c r="AA599" s="49"/>
      <c r="AB599" s="49"/>
      <c r="AC599" s="49"/>
      <c r="AD599" s="49"/>
      <c r="AE599" s="49"/>
      <c r="AF599" s="49"/>
      <c r="AG599" s="49"/>
      <c r="AH599" s="49"/>
      <c r="AI599" s="49"/>
      <c r="AJ599" s="49"/>
      <c r="AK599" s="49"/>
      <c r="AL599" s="49"/>
      <c r="AM599" s="49"/>
      <c r="AN599" s="49"/>
      <c r="AO599" s="49"/>
    </row>
    <row r="600" spans="1:41" ht="14">
      <c r="A600" s="49"/>
      <c r="B600" s="49"/>
      <c r="C600" s="47"/>
      <c r="D600" s="49"/>
      <c r="E600" s="49"/>
      <c r="F600" s="49" t="b">
        <v>0</v>
      </c>
      <c r="G600" s="49"/>
      <c r="H600" s="47"/>
      <c r="I600" s="47"/>
      <c r="J600" s="49"/>
      <c r="K600" s="49"/>
      <c r="L600" s="49"/>
      <c r="M600" s="49"/>
      <c r="N600" s="49"/>
      <c r="O600" s="49" t="b">
        <v>0</v>
      </c>
      <c r="P600" s="49"/>
      <c r="Q600" s="54">
        <f>'Volunteer Survey'!J1010</f>
        <v>0</v>
      </c>
      <c r="R600" s="49"/>
      <c r="S600" s="49"/>
      <c r="T600" s="49"/>
      <c r="U600" s="58"/>
      <c r="V600" s="49"/>
      <c r="W600" s="60">
        <f>'Volunteer Survey'!P1010</f>
        <v>0</v>
      </c>
      <c r="X600" s="49"/>
      <c r="Y600" s="47"/>
      <c r="Z600" s="49"/>
      <c r="AA600" s="49"/>
      <c r="AB600" s="49"/>
      <c r="AC600" s="49"/>
      <c r="AD600" s="49"/>
      <c r="AE600" s="49"/>
      <c r="AF600" s="49"/>
      <c r="AG600" s="49"/>
      <c r="AH600" s="49"/>
      <c r="AI600" s="49"/>
      <c r="AJ600" s="49"/>
      <c r="AK600" s="49"/>
      <c r="AL600" s="49"/>
      <c r="AM600" s="49"/>
      <c r="AN600" s="49"/>
      <c r="AO600" s="49"/>
    </row>
    <row r="601" spans="1:41" ht="14">
      <c r="A601" s="49"/>
      <c r="B601" s="49"/>
      <c r="C601" s="47"/>
      <c r="D601" s="49"/>
      <c r="E601" s="49"/>
      <c r="F601" s="49" t="b">
        <v>0</v>
      </c>
      <c r="G601" s="49"/>
      <c r="H601" s="47"/>
      <c r="I601" s="47"/>
      <c r="J601" s="49"/>
      <c r="K601" s="49"/>
      <c r="L601" s="49"/>
      <c r="M601" s="49"/>
      <c r="N601" s="49"/>
      <c r="O601" s="49" t="b">
        <v>0</v>
      </c>
      <c r="P601" s="49"/>
      <c r="Q601" s="54">
        <f>'Volunteer Survey'!J1011</f>
        <v>0</v>
      </c>
      <c r="R601" s="49"/>
      <c r="S601" s="49"/>
      <c r="T601" s="49"/>
      <c r="U601" s="58"/>
      <c r="V601" s="49"/>
      <c r="W601" s="60">
        <f>'Volunteer Survey'!P1011</f>
        <v>0</v>
      </c>
      <c r="X601" s="49"/>
      <c r="Y601" s="47"/>
      <c r="Z601" s="49"/>
      <c r="AA601" s="49"/>
      <c r="AB601" s="49"/>
      <c r="AC601" s="49"/>
      <c r="AD601" s="49"/>
      <c r="AE601" s="49"/>
      <c r="AF601" s="49"/>
      <c r="AG601" s="49"/>
      <c r="AH601" s="49"/>
      <c r="AI601" s="49"/>
      <c r="AJ601" s="49"/>
      <c r="AK601" s="49"/>
      <c r="AL601" s="49"/>
      <c r="AM601" s="49"/>
      <c r="AN601" s="49"/>
      <c r="AO601" s="49"/>
    </row>
    <row r="602" spans="1:41" ht="14">
      <c r="A602" s="49"/>
      <c r="B602" s="49"/>
      <c r="C602" s="47"/>
      <c r="D602" s="49"/>
      <c r="E602" s="49"/>
      <c r="F602" s="49" t="b">
        <v>0</v>
      </c>
      <c r="G602" s="49"/>
      <c r="H602" s="47"/>
      <c r="I602" s="47"/>
      <c r="J602" s="49"/>
      <c r="K602" s="49"/>
      <c r="L602" s="49"/>
      <c r="M602" s="49"/>
      <c r="N602" s="49"/>
      <c r="O602" s="49" t="b">
        <v>0</v>
      </c>
      <c r="P602" s="49"/>
      <c r="Q602" s="54">
        <f>'Volunteer Survey'!J1012</f>
        <v>0</v>
      </c>
      <c r="R602" s="49"/>
      <c r="S602" s="49"/>
      <c r="T602" s="49"/>
      <c r="U602" s="58"/>
      <c r="V602" s="49"/>
      <c r="W602" s="60">
        <f>'Volunteer Survey'!P1012</f>
        <v>0</v>
      </c>
      <c r="X602" s="49"/>
      <c r="Y602" s="47"/>
      <c r="Z602" s="49"/>
      <c r="AA602" s="49"/>
      <c r="AB602" s="49"/>
      <c r="AC602" s="49"/>
      <c r="AD602" s="49"/>
      <c r="AE602" s="49"/>
      <c r="AF602" s="49"/>
      <c r="AG602" s="49"/>
      <c r="AH602" s="49"/>
      <c r="AI602" s="49"/>
      <c r="AJ602" s="49"/>
      <c r="AK602" s="49"/>
      <c r="AL602" s="49"/>
      <c r="AM602" s="49"/>
      <c r="AN602" s="49"/>
      <c r="AO602" s="49"/>
    </row>
    <row r="603" spans="1:41" ht="14">
      <c r="A603" s="49"/>
      <c r="B603" s="49"/>
      <c r="C603" s="47"/>
      <c r="D603" s="49"/>
      <c r="E603" s="49"/>
      <c r="F603" s="49" t="b">
        <v>0</v>
      </c>
      <c r="G603" s="49"/>
      <c r="H603" s="47"/>
      <c r="I603" s="47"/>
      <c r="J603" s="49"/>
      <c r="K603" s="49"/>
      <c r="L603" s="49"/>
      <c r="M603" s="49"/>
      <c r="N603" s="49"/>
      <c r="O603" s="49" t="b">
        <v>0</v>
      </c>
      <c r="P603" s="49"/>
      <c r="Q603" s="54">
        <f>'Volunteer Survey'!J1013</f>
        <v>0</v>
      </c>
      <c r="R603" s="49"/>
      <c r="S603" s="49"/>
      <c r="T603" s="49"/>
      <c r="U603" s="58"/>
      <c r="V603" s="49"/>
      <c r="W603" s="60">
        <f>'Volunteer Survey'!P1013</f>
        <v>0</v>
      </c>
      <c r="X603" s="49"/>
      <c r="Y603" s="47"/>
      <c r="Z603" s="49"/>
      <c r="AA603" s="49"/>
      <c r="AB603" s="49"/>
      <c r="AC603" s="49"/>
      <c r="AD603" s="49"/>
      <c r="AE603" s="49"/>
      <c r="AF603" s="49"/>
      <c r="AG603" s="49"/>
      <c r="AH603" s="49"/>
      <c r="AI603" s="49"/>
      <c r="AJ603" s="49"/>
      <c r="AK603" s="49"/>
      <c r="AL603" s="49"/>
      <c r="AM603" s="49"/>
      <c r="AN603" s="49"/>
      <c r="AO603" s="49"/>
    </row>
    <row r="604" spans="1:41" ht="14">
      <c r="A604" s="49"/>
      <c r="B604" s="49"/>
      <c r="C604" s="47"/>
      <c r="D604" s="49"/>
      <c r="E604" s="49"/>
      <c r="F604" s="49" t="b">
        <v>0</v>
      </c>
      <c r="G604" s="49"/>
      <c r="H604" s="47"/>
      <c r="I604" s="47"/>
      <c r="J604" s="49"/>
      <c r="K604" s="49"/>
      <c r="L604" s="49"/>
      <c r="M604" s="49"/>
      <c r="N604" s="49"/>
      <c r="O604" s="49" t="b">
        <v>0</v>
      </c>
      <c r="P604" s="49"/>
      <c r="Q604" s="54">
        <f>'Volunteer Survey'!J1014</f>
        <v>0</v>
      </c>
      <c r="R604" s="49"/>
      <c r="S604" s="49"/>
      <c r="T604" s="49"/>
      <c r="U604" s="58"/>
      <c r="V604" s="49"/>
      <c r="W604" s="60">
        <f>'Volunteer Survey'!P1014</f>
        <v>0</v>
      </c>
      <c r="X604" s="49"/>
      <c r="Y604" s="47"/>
      <c r="Z604" s="49"/>
      <c r="AA604" s="49"/>
      <c r="AB604" s="49"/>
      <c r="AC604" s="49"/>
      <c r="AD604" s="49"/>
      <c r="AE604" s="49"/>
      <c r="AF604" s="49"/>
      <c r="AG604" s="49"/>
      <c r="AH604" s="49"/>
      <c r="AI604" s="49"/>
      <c r="AJ604" s="49"/>
      <c r="AK604" s="49"/>
      <c r="AL604" s="49"/>
      <c r="AM604" s="49"/>
      <c r="AN604" s="49"/>
      <c r="AO604" s="49"/>
    </row>
    <row r="605" spans="1:41" ht="14">
      <c r="A605" s="49"/>
      <c r="B605" s="49"/>
      <c r="C605" s="47"/>
      <c r="D605" s="49"/>
      <c r="E605" s="49"/>
      <c r="F605" s="49" t="b">
        <v>0</v>
      </c>
      <c r="G605" s="49"/>
      <c r="H605" s="47"/>
      <c r="I605" s="47"/>
      <c r="J605" s="49"/>
      <c r="K605" s="49"/>
      <c r="L605" s="49"/>
      <c r="M605" s="49"/>
      <c r="N605" s="49"/>
      <c r="O605" s="49" t="b">
        <v>0</v>
      </c>
      <c r="P605" s="49"/>
      <c r="Q605" s="54">
        <f>'Volunteer Survey'!J1015</f>
        <v>0</v>
      </c>
      <c r="R605" s="49"/>
      <c r="S605" s="49"/>
      <c r="T605" s="49"/>
      <c r="U605" s="58"/>
      <c r="V605" s="49"/>
      <c r="W605" s="60">
        <f>'Volunteer Survey'!P1015</f>
        <v>0</v>
      </c>
      <c r="X605" s="49"/>
      <c r="Y605" s="47"/>
      <c r="Z605" s="49"/>
      <c r="AA605" s="49"/>
      <c r="AB605" s="49"/>
      <c r="AC605" s="49"/>
      <c r="AD605" s="49"/>
      <c r="AE605" s="49"/>
      <c r="AF605" s="49"/>
      <c r="AG605" s="49"/>
      <c r="AH605" s="49"/>
      <c r="AI605" s="49"/>
      <c r="AJ605" s="49"/>
      <c r="AK605" s="49"/>
      <c r="AL605" s="49"/>
      <c r="AM605" s="49"/>
      <c r="AN605" s="49"/>
      <c r="AO605" s="49"/>
    </row>
    <row r="606" spans="1:41" ht="14">
      <c r="A606" s="49"/>
      <c r="B606" s="49"/>
      <c r="C606" s="47"/>
      <c r="D606" s="49"/>
      <c r="E606" s="49"/>
      <c r="F606" s="49" t="b">
        <v>0</v>
      </c>
      <c r="G606" s="49"/>
      <c r="H606" s="47"/>
      <c r="I606" s="47"/>
      <c r="J606" s="49"/>
      <c r="K606" s="49"/>
      <c r="L606" s="49"/>
      <c r="M606" s="49"/>
      <c r="N606" s="49"/>
      <c r="O606" s="49" t="b">
        <v>0</v>
      </c>
      <c r="P606" s="49"/>
      <c r="Q606" s="54">
        <f>'Volunteer Survey'!J1016</f>
        <v>0</v>
      </c>
      <c r="R606" s="49"/>
      <c r="S606" s="49"/>
      <c r="T606" s="49"/>
      <c r="U606" s="58"/>
      <c r="V606" s="49"/>
      <c r="W606" s="60">
        <f>'Volunteer Survey'!P1016</f>
        <v>0</v>
      </c>
      <c r="X606" s="49"/>
      <c r="Y606" s="47"/>
      <c r="Z606" s="49"/>
      <c r="AA606" s="49"/>
      <c r="AB606" s="49"/>
      <c r="AC606" s="49"/>
      <c r="AD606" s="49"/>
      <c r="AE606" s="49"/>
      <c r="AF606" s="49"/>
      <c r="AG606" s="49"/>
      <c r="AH606" s="49"/>
      <c r="AI606" s="49"/>
      <c r="AJ606" s="49"/>
      <c r="AK606" s="49"/>
      <c r="AL606" s="49"/>
      <c r="AM606" s="49"/>
      <c r="AN606" s="49"/>
      <c r="AO606" s="49"/>
    </row>
    <row r="607" spans="1:41" ht="14">
      <c r="A607" s="49"/>
      <c r="B607" s="49"/>
      <c r="C607" s="47"/>
      <c r="D607" s="49"/>
      <c r="E607" s="49"/>
      <c r="F607" s="49" t="b">
        <v>0</v>
      </c>
      <c r="G607" s="49"/>
      <c r="H607" s="47"/>
      <c r="I607" s="47"/>
      <c r="J607" s="49"/>
      <c r="K607" s="49"/>
      <c r="L607" s="49"/>
      <c r="M607" s="49"/>
      <c r="N607" s="49"/>
      <c r="O607" s="49" t="b">
        <v>0</v>
      </c>
      <c r="P607" s="49"/>
      <c r="Q607" s="54">
        <f>'Volunteer Survey'!J1017</f>
        <v>0</v>
      </c>
      <c r="R607" s="49"/>
      <c r="S607" s="49"/>
      <c r="T607" s="49"/>
      <c r="U607" s="58"/>
      <c r="V607" s="49"/>
      <c r="W607" s="60">
        <f>'Volunteer Survey'!P1017</f>
        <v>0</v>
      </c>
      <c r="X607" s="49"/>
      <c r="Y607" s="47"/>
      <c r="Z607" s="49"/>
      <c r="AA607" s="49"/>
      <c r="AB607" s="49"/>
      <c r="AC607" s="49"/>
      <c r="AD607" s="49"/>
      <c r="AE607" s="49"/>
      <c r="AF607" s="49"/>
      <c r="AG607" s="49"/>
      <c r="AH607" s="49"/>
      <c r="AI607" s="49"/>
      <c r="AJ607" s="49"/>
      <c r="AK607" s="49"/>
      <c r="AL607" s="49"/>
      <c r="AM607" s="49"/>
      <c r="AN607" s="49"/>
      <c r="AO607" s="49"/>
    </row>
    <row r="608" spans="1:41" ht="14">
      <c r="A608" s="49"/>
      <c r="B608" s="49"/>
      <c r="C608" s="47"/>
      <c r="D608" s="49"/>
      <c r="E608" s="49"/>
      <c r="F608" s="49" t="b">
        <v>0</v>
      </c>
      <c r="G608" s="49"/>
      <c r="H608" s="47"/>
      <c r="I608" s="47"/>
      <c r="J608" s="49"/>
      <c r="K608" s="49"/>
      <c r="L608" s="49"/>
      <c r="M608" s="49"/>
      <c r="N608" s="49"/>
      <c r="O608" s="49" t="b">
        <v>0</v>
      </c>
      <c r="P608" s="49"/>
      <c r="Q608" s="54">
        <f>'Volunteer Survey'!J1018</f>
        <v>0</v>
      </c>
      <c r="R608" s="49"/>
      <c r="S608" s="49"/>
      <c r="T608" s="49"/>
      <c r="U608" s="58"/>
      <c r="V608" s="49"/>
      <c r="W608" s="60">
        <f>'Volunteer Survey'!P1018</f>
        <v>0</v>
      </c>
      <c r="X608" s="49"/>
      <c r="Y608" s="47"/>
      <c r="Z608" s="49"/>
      <c r="AA608" s="49"/>
      <c r="AB608" s="49"/>
      <c r="AC608" s="49"/>
      <c r="AD608" s="49"/>
      <c r="AE608" s="49"/>
      <c r="AF608" s="49"/>
      <c r="AG608" s="49"/>
      <c r="AH608" s="49"/>
      <c r="AI608" s="49"/>
      <c r="AJ608" s="49"/>
      <c r="AK608" s="49"/>
      <c r="AL608" s="49"/>
      <c r="AM608" s="49"/>
      <c r="AN608" s="49"/>
      <c r="AO608" s="49"/>
    </row>
    <row r="609" spans="1:41" ht="14">
      <c r="A609" s="49"/>
      <c r="B609" s="49"/>
      <c r="C609" s="47"/>
      <c r="D609" s="49"/>
      <c r="E609" s="49"/>
      <c r="F609" s="49" t="b">
        <v>0</v>
      </c>
      <c r="G609" s="49"/>
      <c r="H609" s="47"/>
      <c r="I609" s="47"/>
      <c r="J609" s="49"/>
      <c r="K609" s="49"/>
      <c r="L609" s="49"/>
      <c r="M609" s="49"/>
      <c r="N609" s="49"/>
      <c r="O609" s="49" t="b">
        <v>0</v>
      </c>
      <c r="P609" s="49"/>
      <c r="Q609" s="54">
        <f>'Volunteer Survey'!J1019</f>
        <v>0</v>
      </c>
      <c r="R609" s="49"/>
      <c r="S609" s="49"/>
      <c r="T609" s="49"/>
      <c r="U609" s="58"/>
      <c r="V609" s="49"/>
      <c r="W609" s="60">
        <f>'Volunteer Survey'!P1019</f>
        <v>0</v>
      </c>
      <c r="X609" s="49"/>
      <c r="Y609" s="47"/>
      <c r="Z609" s="49"/>
      <c r="AA609" s="49"/>
      <c r="AB609" s="49"/>
      <c r="AC609" s="49"/>
      <c r="AD609" s="49"/>
      <c r="AE609" s="49"/>
      <c r="AF609" s="49"/>
      <c r="AG609" s="49"/>
      <c r="AH609" s="49"/>
      <c r="AI609" s="49"/>
      <c r="AJ609" s="49"/>
      <c r="AK609" s="49"/>
      <c r="AL609" s="49"/>
      <c r="AM609" s="49"/>
      <c r="AN609" s="49"/>
      <c r="AO609" s="49"/>
    </row>
    <row r="610" spans="1:41" ht="14">
      <c r="A610" s="49"/>
      <c r="B610" s="49"/>
      <c r="C610" s="47"/>
      <c r="D610" s="49"/>
      <c r="E610" s="49"/>
      <c r="F610" s="49" t="b">
        <v>0</v>
      </c>
      <c r="G610" s="49"/>
      <c r="H610" s="47"/>
      <c r="I610" s="47"/>
      <c r="J610" s="49"/>
      <c r="K610" s="49"/>
      <c r="L610" s="49"/>
      <c r="M610" s="49"/>
      <c r="N610" s="49"/>
      <c r="O610" s="49" t="b">
        <v>0</v>
      </c>
      <c r="P610" s="49"/>
      <c r="Q610" s="54">
        <f>'Volunteer Survey'!J1020</f>
        <v>0</v>
      </c>
      <c r="R610" s="49"/>
      <c r="S610" s="49"/>
      <c r="T610" s="49"/>
      <c r="U610" s="58"/>
      <c r="V610" s="49"/>
      <c r="W610" s="60">
        <f>'Volunteer Survey'!P1020</f>
        <v>0</v>
      </c>
      <c r="X610" s="49"/>
      <c r="Y610" s="47"/>
      <c r="Z610" s="49"/>
      <c r="AA610" s="49"/>
      <c r="AB610" s="49"/>
      <c r="AC610" s="49"/>
      <c r="AD610" s="49"/>
      <c r="AE610" s="49"/>
      <c r="AF610" s="49"/>
      <c r="AG610" s="49"/>
      <c r="AH610" s="49"/>
      <c r="AI610" s="49"/>
      <c r="AJ610" s="49"/>
      <c r="AK610" s="49"/>
      <c r="AL610" s="49"/>
      <c r="AM610" s="49"/>
      <c r="AN610" s="49"/>
      <c r="AO610" s="49"/>
    </row>
    <row r="611" spans="1:41" ht="14">
      <c r="A611" s="49"/>
      <c r="B611" s="49"/>
      <c r="C611" s="47"/>
      <c r="D611" s="49"/>
      <c r="E611" s="49"/>
      <c r="F611" s="49" t="b">
        <v>0</v>
      </c>
      <c r="G611" s="49"/>
      <c r="H611" s="47"/>
      <c r="I611" s="47"/>
      <c r="J611" s="49"/>
      <c r="K611" s="49"/>
      <c r="L611" s="49"/>
      <c r="M611" s="49"/>
      <c r="N611" s="49"/>
      <c r="O611" s="49" t="b">
        <v>0</v>
      </c>
      <c r="P611" s="49"/>
      <c r="Q611" s="49"/>
      <c r="R611" s="49"/>
      <c r="S611" s="49"/>
      <c r="T611" s="49"/>
      <c r="U611" s="58"/>
      <c r="V611" s="49"/>
      <c r="W611" s="60">
        <f>'Volunteer Survey'!P1021</f>
        <v>0</v>
      </c>
      <c r="X611" s="49"/>
      <c r="Y611" s="47"/>
      <c r="Z611" s="49"/>
      <c r="AA611" s="49"/>
      <c r="AB611" s="49"/>
      <c r="AC611" s="49"/>
      <c r="AD611" s="49"/>
      <c r="AE611" s="49"/>
      <c r="AF611" s="49"/>
      <c r="AG611" s="49"/>
      <c r="AH611" s="49"/>
      <c r="AI611" s="49"/>
      <c r="AJ611" s="49"/>
      <c r="AK611" s="49"/>
      <c r="AL611" s="49"/>
      <c r="AM611" s="49"/>
      <c r="AN611" s="49"/>
      <c r="AO611" s="49"/>
    </row>
    <row r="612" spans="1:41" ht="14">
      <c r="A612" s="49"/>
      <c r="B612" s="49"/>
      <c r="C612" s="47"/>
      <c r="D612" s="49"/>
      <c r="E612" s="49"/>
      <c r="F612" s="49" t="b">
        <v>0</v>
      </c>
      <c r="G612" s="49"/>
      <c r="H612" s="47"/>
      <c r="I612" s="47"/>
      <c r="J612" s="49"/>
      <c r="K612" s="49"/>
      <c r="L612" s="49"/>
      <c r="M612" s="49"/>
      <c r="N612" s="49"/>
      <c r="O612" s="49" t="b">
        <v>0</v>
      </c>
      <c r="P612" s="49"/>
      <c r="Q612" s="49"/>
      <c r="R612" s="49"/>
      <c r="S612" s="49"/>
      <c r="T612" s="49"/>
      <c r="U612" s="58"/>
      <c r="V612" s="49"/>
      <c r="W612" s="60">
        <f>'Volunteer Survey'!P1022</f>
        <v>0</v>
      </c>
      <c r="X612" s="49"/>
      <c r="Y612" s="47"/>
      <c r="Z612" s="49"/>
      <c r="AA612" s="49"/>
      <c r="AB612" s="49"/>
      <c r="AC612" s="49"/>
      <c r="AD612" s="49"/>
      <c r="AE612" s="49"/>
      <c r="AF612" s="49"/>
      <c r="AG612" s="49"/>
      <c r="AH612" s="49"/>
      <c r="AI612" s="49"/>
      <c r="AJ612" s="49"/>
      <c r="AK612" s="49"/>
      <c r="AL612" s="49"/>
      <c r="AM612" s="49"/>
      <c r="AN612" s="49"/>
      <c r="AO612" s="49"/>
    </row>
    <row r="613" spans="1:41" ht="14">
      <c r="A613" s="49"/>
      <c r="B613" s="49"/>
      <c r="C613" s="47"/>
      <c r="D613" s="49"/>
      <c r="E613" s="49"/>
      <c r="F613" s="49" t="b">
        <v>0</v>
      </c>
      <c r="G613" s="49"/>
      <c r="H613" s="47"/>
      <c r="I613" s="47"/>
      <c r="J613" s="49"/>
      <c r="K613" s="49"/>
      <c r="L613" s="49"/>
      <c r="M613" s="49"/>
      <c r="N613" s="49"/>
      <c r="O613" s="49" t="b">
        <v>0</v>
      </c>
      <c r="P613" s="49"/>
      <c r="Q613" s="49"/>
      <c r="R613" s="49"/>
      <c r="S613" s="49"/>
      <c r="T613" s="49"/>
      <c r="U613" s="58"/>
      <c r="V613" s="49"/>
      <c r="W613" s="60">
        <f>'Volunteer Survey'!P1023</f>
        <v>0</v>
      </c>
      <c r="X613" s="49"/>
      <c r="Y613" s="47"/>
      <c r="Z613" s="49"/>
      <c r="AA613" s="49"/>
      <c r="AB613" s="49"/>
      <c r="AC613" s="49"/>
      <c r="AD613" s="49"/>
      <c r="AE613" s="49"/>
      <c r="AF613" s="49"/>
      <c r="AG613" s="49"/>
      <c r="AH613" s="49"/>
      <c r="AI613" s="49"/>
      <c r="AJ613" s="49"/>
      <c r="AK613" s="49"/>
      <c r="AL613" s="49"/>
      <c r="AM613" s="49"/>
      <c r="AN613" s="49"/>
      <c r="AO613" s="49"/>
    </row>
    <row r="614" spans="1:41" ht="14">
      <c r="A614" s="49"/>
      <c r="B614" s="49"/>
      <c r="C614" s="47"/>
      <c r="D614" s="49"/>
      <c r="E614" s="49"/>
      <c r="F614" s="49" t="b">
        <v>0</v>
      </c>
      <c r="G614" s="49"/>
      <c r="H614" s="47"/>
      <c r="I614" s="47"/>
      <c r="J614" s="49"/>
      <c r="K614" s="49"/>
      <c r="L614" s="49"/>
      <c r="M614" s="49"/>
      <c r="N614" s="49"/>
      <c r="O614" s="49" t="b">
        <v>0</v>
      </c>
      <c r="P614" s="49"/>
      <c r="Q614" s="49"/>
      <c r="R614" s="49"/>
      <c r="S614" s="49"/>
      <c r="T614" s="49"/>
      <c r="U614" s="58"/>
      <c r="V614" s="49"/>
      <c r="W614" s="60">
        <f>'Volunteer Survey'!P1024</f>
        <v>0</v>
      </c>
      <c r="X614" s="49"/>
      <c r="Y614" s="47"/>
      <c r="Z614" s="49"/>
      <c r="AA614" s="49"/>
      <c r="AB614" s="49"/>
      <c r="AC614" s="49"/>
      <c r="AD614" s="49"/>
      <c r="AE614" s="49"/>
      <c r="AF614" s="49"/>
      <c r="AG614" s="49"/>
      <c r="AH614" s="49"/>
      <c r="AI614" s="49"/>
      <c r="AJ614" s="49"/>
      <c r="AK614" s="49"/>
      <c r="AL614" s="49"/>
      <c r="AM614" s="49"/>
      <c r="AN614" s="49"/>
      <c r="AO614" s="49"/>
    </row>
    <row r="615" spans="1:41" ht="14">
      <c r="A615" s="49"/>
      <c r="B615" s="49"/>
      <c r="C615" s="47"/>
      <c r="D615" s="49"/>
      <c r="E615" s="49"/>
      <c r="F615" s="49" t="b">
        <v>0</v>
      </c>
      <c r="G615" s="49"/>
      <c r="H615" s="47"/>
      <c r="I615" s="47"/>
      <c r="J615" s="49"/>
      <c r="K615" s="49"/>
      <c r="L615" s="49"/>
      <c r="M615" s="49"/>
      <c r="N615" s="49"/>
      <c r="O615" s="49" t="b">
        <v>0</v>
      </c>
      <c r="P615" s="49"/>
      <c r="Q615" s="49"/>
      <c r="R615" s="49"/>
      <c r="S615" s="49"/>
      <c r="T615" s="49"/>
      <c r="U615" s="58"/>
      <c r="V615" s="49"/>
      <c r="W615" s="60">
        <f>'Volunteer Survey'!P1025</f>
        <v>0</v>
      </c>
      <c r="X615" s="49"/>
      <c r="Y615" s="47"/>
      <c r="Z615" s="49"/>
      <c r="AA615" s="49"/>
      <c r="AB615" s="49"/>
      <c r="AC615" s="49"/>
      <c r="AD615" s="49"/>
      <c r="AE615" s="49"/>
      <c r="AF615" s="49"/>
      <c r="AG615" s="49"/>
      <c r="AH615" s="49"/>
      <c r="AI615" s="49"/>
      <c r="AJ615" s="49"/>
      <c r="AK615" s="49"/>
      <c r="AL615" s="49"/>
      <c r="AM615" s="49"/>
      <c r="AN615" s="49"/>
      <c r="AO615" s="49"/>
    </row>
    <row r="616" spans="1:41" ht="14">
      <c r="A616" s="49"/>
      <c r="B616" s="49"/>
      <c r="C616" s="47"/>
      <c r="D616" s="49"/>
      <c r="E616" s="49"/>
      <c r="F616" s="49" t="b">
        <v>0</v>
      </c>
      <c r="G616" s="49"/>
      <c r="H616" s="47"/>
      <c r="I616" s="47"/>
      <c r="J616" s="49"/>
      <c r="K616" s="49"/>
      <c r="L616" s="49"/>
      <c r="M616" s="49"/>
      <c r="N616" s="49"/>
      <c r="O616" s="49" t="b">
        <v>0</v>
      </c>
      <c r="P616" s="49"/>
      <c r="Q616" s="49"/>
      <c r="R616" s="49"/>
      <c r="S616" s="49"/>
      <c r="T616" s="49"/>
      <c r="U616" s="58"/>
      <c r="V616" s="49"/>
      <c r="W616" s="60">
        <f>'Volunteer Survey'!P1026</f>
        <v>0</v>
      </c>
      <c r="X616" s="49"/>
      <c r="Y616" s="47"/>
      <c r="Z616" s="49"/>
      <c r="AA616" s="49"/>
      <c r="AB616" s="49"/>
      <c r="AC616" s="49"/>
      <c r="AD616" s="49"/>
      <c r="AE616" s="49"/>
      <c r="AF616" s="49"/>
      <c r="AG616" s="49"/>
      <c r="AH616" s="49"/>
      <c r="AI616" s="49"/>
      <c r="AJ616" s="49"/>
      <c r="AK616" s="49"/>
      <c r="AL616" s="49"/>
      <c r="AM616" s="49"/>
      <c r="AN616" s="49"/>
      <c r="AO616" s="49"/>
    </row>
    <row r="617" spans="1:41" ht="14">
      <c r="A617" s="49"/>
      <c r="B617" s="49"/>
      <c r="C617" s="47"/>
      <c r="D617" s="49"/>
      <c r="E617" s="49"/>
      <c r="F617" s="49" t="b">
        <v>0</v>
      </c>
      <c r="G617" s="49"/>
      <c r="H617" s="47"/>
      <c r="I617" s="47"/>
      <c r="J617" s="49"/>
      <c r="K617" s="49"/>
      <c r="L617" s="49"/>
      <c r="M617" s="49"/>
      <c r="N617" s="49"/>
      <c r="O617" s="49" t="b">
        <v>0</v>
      </c>
      <c r="P617" s="49"/>
      <c r="Q617" s="49"/>
      <c r="R617" s="49"/>
      <c r="S617" s="49"/>
      <c r="T617" s="49"/>
      <c r="U617" s="58"/>
      <c r="V617" s="49"/>
      <c r="W617" s="60">
        <f>'Volunteer Survey'!P1027</f>
        <v>0</v>
      </c>
      <c r="X617" s="49"/>
      <c r="Y617" s="47"/>
      <c r="Z617" s="49"/>
      <c r="AA617" s="49"/>
      <c r="AB617" s="49"/>
      <c r="AC617" s="49"/>
      <c r="AD617" s="49"/>
      <c r="AE617" s="49"/>
      <c r="AF617" s="49"/>
      <c r="AG617" s="49"/>
      <c r="AH617" s="49"/>
      <c r="AI617" s="49"/>
      <c r="AJ617" s="49"/>
      <c r="AK617" s="49"/>
      <c r="AL617" s="49"/>
      <c r="AM617" s="49"/>
      <c r="AN617" s="49"/>
      <c r="AO617" s="49"/>
    </row>
    <row r="618" spans="1:41" ht="14">
      <c r="A618" s="49"/>
      <c r="B618" s="49"/>
      <c r="C618" s="47"/>
      <c r="D618" s="49"/>
      <c r="E618" s="49"/>
      <c r="F618" s="49" t="b">
        <v>0</v>
      </c>
      <c r="G618" s="49"/>
      <c r="H618" s="47"/>
      <c r="I618" s="47"/>
      <c r="J618" s="49"/>
      <c r="K618" s="49"/>
      <c r="L618" s="49"/>
      <c r="M618" s="49"/>
      <c r="N618" s="49"/>
      <c r="O618" s="49" t="b">
        <v>0</v>
      </c>
      <c r="P618" s="49"/>
      <c r="Q618" s="49"/>
      <c r="R618" s="49"/>
      <c r="S618" s="49"/>
      <c r="T618" s="49"/>
      <c r="U618" s="58"/>
      <c r="V618" s="49"/>
      <c r="W618" s="60">
        <f>'Volunteer Survey'!P1028</f>
        <v>0</v>
      </c>
      <c r="X618" s="49"/>
      <c r="Y618" s="47"/>
      <c r="Z618" s="49"/>
      <c r="AA618" s="49"/>
      <c r="AB618" s="49"/>
      <c r="AC618" s="49"/>
      <c r="AD618" s="49"/>
      <c r="AE618" s="49"/>
      <c r="AF618" s="49"/>
      <c r="AG618" s="49"/>
      <c r="AH618" s="49"/>
      <c r="AI618" s="49"/>
      <c r="AJ618" s="49"/>
      <c r="AK618" s="49"/>
      <c r="AL618" s="49"/>
      <c r="AM618" s="49"/>
      <c r="AN618" s="49"/>
      <c r="AO618" s="49"/>
    </row>
    <row r="619" spans="1:41" ht="14">
      <c r="A619" s="49"/>
      <c r="B619" s="49"/>
      <c r="C619" s="47"/>
      <c r="D619" s="49"/>
      <c r="E619" s="49"/>
      <c r="F619" s="49" t="b">
        <v>0</v>
      </c>
      <c r="G619" s="49"/>
      <c r="H619" s="47"/>
      <c r="I619" s="47"/>
      <c r="J619" s="49"/>
      <c r="K619" s="49"/>
      <c r="L619" s="49"/>
      <c r="M619" s="49"/>
      <c r="N619" s="49"/>
      <c r="O619" s="49" t="b">
        <v>0</v>
      </c>
      <c r="P619" s="49"/>
      <c r="Q619" s="49"/>
      <c r="R619" s="49"/>
      <c r="S619" s="49"/>
      <c r="T619" s="49"/>
      <c r="U619" s="58"/>
      <c r="V619" s="49"/>
      <c r="W619" s="60">
        <f>'Volunteer Survey'!P1029</f>
        <v>0</v>
      </c>
      <c r="X619" s="49"/>
      <c r="Y619" s="47"/>
      <c r="Z619" s="49"/>
      <c r="AA619" s="49"/>
      <c r="AB619" s="49"/>
      <c r="AC619" s="49"/>
      <c r="AD619" s="49"/>
      <c r="AE619" s="49"/>
      <c r="AF619" s="49"/>
      <c r="AG619" s="49"/>
      <c r="AH619" s="49"/>
      <c r="AI619" s="49"/>
      <c r="AJ619" s="49"/>
      <c r="AK619" s="49"/>
      <c r="AL619" s="49"/>
      <c r="AM619" s="49"/>
      <c r="AN619" s="49"/>
      <c r="AO619" s="49"/>
    </row>
    <row r="620" spans="1:41" ht="13">
      <c r="A620" s="49"/>
      <c r="B620" s="49"/>
      <c r="C620" s="47"/>
      <c r="D620" s="49"/>
      <c r="E620" s="49"/>
      <c r="F620" s="49" t="b">
        <v>0</v>
      </c>
      <c r="G620" s="49"/>
      <c r="H620" s="47"/>
      <c r="I620" s="47"/>
      <c r="J620" s="49"/>
      <c r="K620" s="49"/>
      <c r="L620" s="49"/>
      <c r="M620" s="49"/>
      <c r="N620" s="49"/>
      <c r="O620" s="49" t="b">
        <v>0</v>
      </c>
      <c r="P620" s="49"/>
      <c r="Q620" s="49"/>
      <c r="R620" s="49"/>
      <c r="S620" s="49"/>
      <c r="T620" s="49"/>
      <c r="U620" s="58"/>
      <c r="V620" s="49"/>
      <c r="W620" s="58"/>
      <c r="X620" s="49"/>
      <c r="Y620" s="47"/>
      <c r="Z620" s="49"/>
      <c r="AA620" s="49"/>
      <c r="AB620" s="49"/>
      <c r="AC620" s="49"/>
      <c r="AD620" s="49"/>
      <c r="AE620" s="49"/>
      <c r="AF620" s="49"/>
      <c r="AG620" s="49"/>
      <c r="AH620" s="49"/>
      <c r="AI620" s="49"/>
      <c r="AJ620" s="49"/>
      <c r="AK620" s="49"/>
      <c r="AL620" s="49"/>
      <c r="AM620" s="49"/>
      <c r="AN620" s="49"/>
      <c r="AO620" s="49"/>
    </row>
    <row r="621" spans="1:41" ht="13">
      <c r="A621" s="49"/>
      <c r="B621" s="49"/>
      <c r="C621" s="47"/>
      <c r="D621" s="49"/>
      <c r="E621" s="49"/>
      <c r="F621" s="49" t="b">
        <v>0</v>
      </c>
      <c r="G621" s="49"/>
      <c r="H621" s="47"/>
      <c r="I621" s="47"/>
      <c r="J621" s="49"/>
      <c r="K621" s="49"/>
      <c r="L621" s="49"/>
      <c r="M621" s="49"/>
      <c r="N621" s="49"/>
      <c r="O621" s="49" t="b">
        <v>0</v>
      </c>
      <c r="P621" s="49"/>
      <c r="Q621" s="49"/>
      <c r="R621" s="49"/>
      <c r="S621" s="49"/>
      <c r="T621" s="49"/>
      <c r="U621" s="58"/>
      <c r="V621" s="49"/>
      <c r="W621" s="58"/>
      <c r="X621" s="49"/>
      <c r="Y621" s="47"/>
      <c r="Z621" s="49"/>
      <c r="AA621" s="49"/>
      <c r="AB621" s="49"/>
      <c r="AC621" s="49"/>
      <c r="AD621" s="49"/>
      <c r="AE621" s="49"/>
      <c r="AF621" s="49"/>
      <c r="AG621" s="49"/>
      <c r="AH621" s="49"/>
      <c r="AI621" s="49"/>
      <c r="AJ621" s="49"/>
      <c r="AK621" s="49"/>
      <c r="AL621" s="49"/>
      <c r="AM621" s="49"/>
      <c r="AN621" s="49"/>
      <c r="AO621" s="49"/>
    </row>
    <row r="622" spans="1:41" ht="13">
      <c r="A622" s="49"/>
      <c r="B622" s="49"/>
      <c r="C622" s="47"/>
      <c r="D622" s="49"/>
      <c r="E622" s="49"/>
      <c r="F622" s="49" t="b">
        <v>0</v>
      </c>
      <c r="G622" s="49"/>
      <c r="H622" s="47"/>
      <c r="I622" s="47"/>
      <c r="J622" s="49"/>
      <c r="K622" s="49"/>
      <c r="L622" s="49"/>
      <c r="M622" s="49"/>
      <c r="N622" s="49"/>
      <c r="O622" s="49" t="b">
        <v>0</v>
      </c>
      <c r="P622" s="49"/>
      <c r="Q622" s="49"/>
      <c r="R622" s="49"/>
      <c r="S622" s="49"/>
      <c r="T622" s="49"/>
      <c r="U622" s="58"/>
      <c r="V622" s="49"/>
      <c r="W622" s="58"/>
      <c r="X622" s="49"/>
      <c r="Y622" s="47"/>
      <c r="Z622" s="49"/>
      <c r="AA622" s="49"/>
      <c r="AB622" s="49"/>
      <c r="AC622" s="49"/>
      <c r="AD622" s="49"/>
      <c r="AE622" s="49"/>
      <c r="AF622" s="49"/>
      <c r="AG622" s="49"/>
      <c r="AH622" s="49"/>
      <c r="AI622" s="49"/>
      <c r="AJ622" s="49"/>
      <c r="AK622" s="49"/>
      <c r="AL622" s="49"/>
      <c r="AM622" s="49"/>
      <c r="AN622" s="49"/>
      <c r="AO622" s="49"/>
    </row>
    <row r="623" spans="1:41" ht="13">
      <c r="A623" s="49"/>
      <c r="B623" s="49"/>
      <c r="C623" s="47"/>
      <c r="D623" s="49"/>
      <c r="E623" s="49"/>
      <c r="F623" s="49" t="b">
        <v>0</v>
      </c>
      <c r="G623" s="49"/>
      <c r="H623" s="47"/>
      <c r="I623" s="47"/>
      <c r="J623" s="49"/>
      <c r="K623" s="49"/>
      <c r="L623" s="49"/>
      <c r="M623" s="49"/>
      <c r="N623" s="49"/>
      <c r="O623" s="49" t="b">
        <v>0</v>
      </c>
      <c r="P623" s="49"/>
      <c r="Q623" s="49"/>
      <c r="R623" s="49"/>
      <c r="S623" s="49"/>
      <c r="T623" s="49"/>
      <c r="U623" s="58"/>
      <c r="V623" s="49"/>
      <c r="W623" s="58"/>
      <c r="X623" s="49"/>
      <c r="Y623" s="47"/>
      <c r="Z623" s="49"/>
      <c r="AA623" s="49"/>
      <c r="AB623" s="49"/>
      <c r="AC623" s="49"/>
      <c r="AD623" s="49"/>
      <c r="AE623" s="49"/>
      <c r="AF623" s="49"/>
      <c r="AG623" s="49"/>
      <c r="AH623" s="49"/>
      <c r="AI623" s="49"/>
      <c r="AJ623" s="49"/>
      <c r="AK623" s="49"/>
      <c r="AL623" s="49"/>
      <c r="AM623" s="49"/>
      <c r="AN623" s="49"/>
      <c r="AO623" s="49"/>
    </row>
    <row r="624" spans="1:41" ht="13">
      <c r="A624" s="49"/>
      <c r="B624" s="49"/>
      <c r="C624" s="47"/>
      <c r="D624" s="49"/>
      <c r="E624" s="49"/>
      <c r="F624" s="49" t="b">
        <v>0</v>
      </c>
      <c r="G624" s="49"/>
      <c r="H624" s="47"/>
      <c r="I624" s="47"/>
      <c r="J624" s="49"/>
      <c r="K624" s="49"/>
      <c r="L624" s="49"/>
      <c r="M624" s="49"/>
      <c r="N624" s="49"/>
      <c r="O624" s="49" t="b">
        <v>0</v>
      </c>
      <c r="P624" s="49"/>
      <c r="Q624" s="49"/>
      <c r="R624" s="49"/>
      <c r="S624" s="49"/>
      <c r="T624" s="49"/>
      <c r="U624" s="58"/>
      <c r="V624" s="49"/>
      <c r="W624" s="58"/>
      <c r="X624" s="49"/>
      <c r="Y624" s="47"/>
      <c r="Z624" s="49"/>
      <c r="AA624" s="49"/>
      <c r="AB624" s="49"/>
      <c r="AC624" s="49"/>
      <c r="AD624" s="49"/>
      <c r="AE624" s="49"/>
      <c r="AF624" s="49"/>
      <c r="AG624" s="49"/>
      <c r="AH624" s="49"/>
      <c r="AI624" s="49"/>
      <c r="AJ624" s="49"/>
      <c r="AK624" s="49"/>
      <c r="AL624" s="49"/>
      <c r="AM624" s="49"/>
      <c r="AN624" s="49"/>
      <c r="AO624" s="49"/>
    </row>
    <row r="625" spans="1:41" ht="13">
      <c r="A625" s="49"/>
      <c r="B625" s="49"/>
      <c r="C625" s="47"/>
      <c r="D625" s="49"/>
      <c r="E625" s="49"/>
      <c r="F625" s="49" t="b">
        <v>0</v>
      </c>
      <c r="G625" s="49"/>
      <c r="H625" s="47"/>
      <c r="I625" s="47"/>
      <c r="J625" s="49"/>
      <c r="K625" s="49"/>
      <c r="L625" s="49"/>
      <c r="M625" s="49"/>
      <c r="N625" s="49"/>
      <c r="O625" s="49" t="b">
        <v>0</v>
      </c>
      <c r="P625" s="49"/>
      <c r="Q625" s="49"/>
      <c r="R625" s="49"/>
      <c r="S625" s="49"/>
      <c r="T625" s="49"/>
      <c r="U625" s="58"/>
      <c r="V625" s="49"/>
      <c r="W625" s="58"/>
      <c r="X625" s="49"/>
      <c r="Y625" s="47"/>
      <c r="Z625" s="49"/>
      <c r="AA625" s="49"/>
      <c r="AB625" s="49"/>
      <c r="AC625" s="49"/>
      <c r="AD625" s="49"/>
      <c r="AE625" s="49"/>
      <c r="AF625" s="49"/>
      <c r="AG625" s="49"/>
      <c r="AH625" s="49"/>
      <c r="AI625" s="49"/>
      <c r="AJ625" s="49"/>
      <c r="AK625" s="49"/>
      <c r="AL625" s="49"/>
      <c r="AM625" s="49"/>
      <c r="AN625" s="49"/>
      <c r="AO625" s="49"/>
    </row>
    <row r="626" spans="1:41" ht="13">
      <c r="A626" s="49"/>
      <c r="B626" s="49"/>
      <c r="C626" s="47"/>
      <c r="D626" s="49"/>
      <c r="E626" s="49"/>
      <c r="F626" s="49" t="b">
        <v>0</v>
      </c>
      <c r="G626" s="49"/>
      <c r="H626" s="47"/>
      <c r="I626" s="47"/>
      <c r="J626" s="49"/>
      <c r="K626" s="49"/>
      <c r="L626" s="49"/>
      <c r="M626" s="49"/>
      <c r="N626" s="49"/>
      <c r="O626" s="49" t="b">
        <v>0</v>
      </c>
      <c r="P626" s="49"/>
      <c r="Q626" s="49"/>
      <c r="R626" s="49"/>
      <c r="S626" s="49"/>
      <c r="T626" s="49"/>
      <c r="U626" s="58"/>
      <c r="V626" s="49"/>
      <c r="W626" s="58"/>
      <c r="X626" s="49"/>
      <c r="Y626" s="47"/>
      <c r="Z626" s="49"/>
      <c r="AA626" s="49"/>
      <c r="AB626" s="49"/>
      <c r="AC626" s="49"/>
      <c r="AD626" s="49"/>
      <c r="AE626" s="49"/>
      <c r="AF626" s="49"/>
      <c r="AG626" s="49"/>
      <c r="AH626" s="49"/>
      <c r="AI626" s="49"/>
      <c r="AJ626" s="49"/>
      <c r="AK626" s="49"/>
      <c r="AL626" s="49"/>
      <c r="AM626" s="49"/>
      <c r="AN626" s="49"/>
      <c r="AO626" s="49"/>
    </row>
    <row r="627" spans="1:41" ht="13">
      <c r="A627" s="49"/>
      <c r="B627" s="49"/>
      <c r="C627" s="47"/>
      <c r="D627" s="49"/>
      <c r="E627" s="49"/>
      <c r="F627" s="49" t="b">
        <v>0</v>
      </c>
      <c r="G627" s="49"/>
      <c r="H627" s="47"/>
      <c r="I627" s="47"/>
      <c r="J627" s="49"/>
      <c r="K627" s="49"/>
      <c r="L627" s="49"/>
      <c r="M627" s="49"/>
      <c r="N627" s="49"/>
      <c r="O627" s="49" t="b">
        <v>0</v>
      </c>
      <c r="P627" s="49"/>
      <c r="Q627" s="49"/>
      <c r="R627" s="49"/>
      <c r="S627" s="49"/>
      <c r="T627" s="49"/>
      <c r="U627" s="58"/>
      <c r="V627" s="49"/>
      <c r="W627" s="58"/>
      <c r="X627" s="49"/>
      <c r="Y627" s="47"/>
      <c r="Z627" s="49"/>
      <c r="AA627" s="49"/>
      <c r="AB627" s="49"/>
      <c r="AC627" s="49"/>
      <c r="AD627" s="49"/>
      <c r="AE627" s="49"/>
      <c r="AF627" s="49"/>
      <c r="AG627" s="49"/>
      <c r="AH627" s="49"/>
      <c r="AI627" s="49"/>
      <c r="AJ627" s="49"/>
      <c r="AK627" s="49"/>
      <c r="AL627" s="49"/>
      <c r="AM627" s="49"/>
      <c r="AN627" s="49"/>
      <c r="AO627" s="49"/>
    </row>
    <row r="628" spans="1:41" ht="13">
      <c r="A628" s="49"/>
      <c r="B628" s="49"/>
      <c r="C628" s="47"/>
      <c r="D628" s="49"/>
      <c r="E628" s="49"/>
      <c r="F628" s="49" t="b">
        <v>0</v>
      </c>
      <c r="G628" s="49"/>
      <c r="H628" s="47"/>
      <c r="I628" s="47"/>
      <c r="J628" s="49"/>
      <c r="K628" s="49"/>
      <c r="L628" s="49"/>
      <c r="M628" s="49"/>
      <c r="N628" s="49"/>
      <c r="O628" s="49" t="b">
        <v>0</v>
      </c>
      <c r="P628" s="49"/>
      <c r="Q628" s="49"/>
      <c r="R628" s="49"/>
      <c r="S628" s="49"/>
      <c r="T628" s="49"/>
      <c r="U628" s="58"/>
      <c r="V628" s="49"/>
      <c r="W628" s="58"/>
      <c r="X628" s="49"/>
      <c r="Y628" s="47"/>
      <c r="Z628" s="49"/>
      <c r="AA628" s="49"/>
      <c r="AB628" s="49"/>
      <c r="AC628" s="49"/>
      <c r="AD628" s="49"/>
      <c r="AE628" s="49"/>
      <c r="AF628" s="49"/>
      <c r="AG628" s="49"/>
      <c r="AH628" s="49"/>
      <c r="AI628" s="49"/>
      <c r="AJ628" s="49"/>
      <c r="AK628" s="49"/>
      <c r="AL628" s="49"/>
      <c r="AM628" s="49"/>
      <c r="AN628" s="49"/>
      <c r="AO628" s="49"/>
    </row>
    <row r="629" spans="1:41" ht="13">
      <c r="A629" s="49"/>
      <c r="B629" s="49"/>
      <c r="C629" s="47"/>
      <c r="D629" s="49"/>
      <c r="E629" s="49"/>
      <c r="F629" s="49" t="b">
        <v>0</v>
      </c>
      <c r="G629" s="49"/>
      <c r="H629" s="47"/>
      <c r="I629" s="47"/>
      <c r="J629" s="49"/>
      <c r="K629" s="49"/>
      <c r="L629" s="49"/>
      <c r="M629" s="49"/>
      <c r="N629" s="49"/>
      <c r="O629" s="49" t="b">
        <v>0</v>
      </c>
      <c r="P629" s="49"/>
      <c r="Q629" s="49"/>
      <c r="R629" s="49"/>
      <c r="S629" s="49"/>
      <c r="T629" s="49"/>
      <c r="U629" s="58"/>
      <c r="V629" s="49"/>
      <c r="W629" s="58"/>
      <c r="X629" s="49"/>
      <c r="Y629" s="47"/>
      <c r="Z629" s="49"/>
      <c r="AA629" s="49"/>
      <c r="AB629" s="49"/>
      <c r="AC629" s="49"/>
      <c r="AD629" s="49"/>
      <c r="AE629" s="49"/>
      <c r="AF629" s="49"/>
      <c r="AG629" s="49"/>
      <c r="AH629" s="49"/>
      <c r="AI629" s="49"/>
      <c r="AJ629" s="49"/>
      <c r="AK629" s="49"/>
      <c r="AL629" s="49"/>
      <c r="AM629" s="49"/>
      <c r="AN629" s="49"/>
      <c r="AO629" s="49"/>
    </row>
    <row r="630" spans="1:41" ht="13">
      <c r="A630" s="49"/>
      <c r="B630" s="49"/>
      <c r="C630" s="47"/>
      <c r="D630" s="49"/>
      <c r="E630" s="49"/>
      <c r="F630" s="49" t="b">
        <v>0</v>
      </c>
      <c r="G630" s="49"/>
      <c r="H630" s="47"/>
      <c r="I630" s="47"/>
      <c r="J630" s="49"/>
      <c r="K630" s="49"/>
      <c r="L630" s="49"/>
      <c r="M630" s="49"/>
      <c r="N630" s="49"/>
      <c r="O630" s="49" t="b">
        <v>0</v>
      </c>
      <c r="P630" s="49"/>
      <c r="Q630" s="49"/>
      <c r="R630" s="49"/>
      <c r="S630" s="49"/>
      <c r="T630" s="49"/>
      <c r="U630" s="58"/>
      <c r="V630" s="49"/>
      <c r="W630" s="58"/>
      <c r="X630" s="49"/>
      <c r="Y630" s="47"/>
      <c r="Z630" s="49"/>
      <c r="AA630" s="49"/>
      <c r="AB630" s="49"/>
      <c r="AC630" s="49"/>
      <c r="AD630" s="49"/>
      <c r="AE630" s="49"/>
      <c r="AF630" s="49"/>
      <c r="AG630" s="49"/>
      <c r="AH630" s="49"/>
      <c r="AI630" s="49"/>
      <c r="AJ630" s="49"/>
      <c r="AK630" s="49"/>
      <c r="AL630" s="49"/>
      <c r="AM630" s="49"/>
      <c r="AN630" s="49"/>
      <c r="AO630" s="49"/>
    </row>
    <row r="631" spans="1:41" ht="13">
      <c r="A631" s="49"/>
      <c r="B631" s="49"/>
      <c r="C631" s="47"/>
      <c r="D631" s="49"/>
      <c r="E631" s="49"/>
      <c r="F631" s="49" t="b">
        <v>0</v>
      </c>
      <c r="G631" s="49"/>
      <c r="H631" s="47"/>
      <c r="I631" s="47"/>
      <c r="J631" s="49"/>
      <c r="K631" s="49"/>
      <c r="L631" s="49"/>
      <c r="M631" s="49"/>
      <c r="N631" s="49"/>
      <c r="O631" s="49" t="b">
        <v>0</v>
      </c>
      <c r="P631" s="49"/>
      <c r="Q631" s="49"/>
      <c r="R631" s="49"/>
      <c r="S631" s="49"/>
      <c r="T631" s="49"/>
      <c r="U631" s="58"/>
      <c r="V631" s="49"/>
      <c r="W631" s="58"/>
      <c r="X631" s="49"/>
      <c r="Y631" s="47"/>
      <c r="Z631" s="49"/>
      <c r="AA631" s="49"/>
      <c r="AB631" s="49"/>
      <c r="AC631" s="49"/>
      <c r="AD631" s="49"/>
      <c r="AE631" s="49"/>
      <c r="AF631" s="49"/>
      <c r="AG631" s="49"/>
      <c r="AH631" s="49"/>
      <c r="AI631" s="49"/>
      <c r="AJ631" s="49"/>
      <c r="AK631" s="49"/>
      <c r="AL631" s="49"/>
      <c r="AM631" s="49"/>
      <c r="AN631" s="49"/>
      <c r="AO631" s="49"/>
    </row>
    <row r="632" spans="1:41" ht="13">
      <c r="A632" s="49"/>
      <c r="B632" s="49"/>
      <c r="C632" s="47"/>
      <c r="D632" s="49"/>
      <c r="E632" s="49"/>
      <c r="F632" s="49" t="b">
        <v>0</v>
      </c>
      <c r="G632" s="49"/>
      <c r="H632" s="47"/>
      <c r="I632" s="47"/>
      <c r="J632" s="49"/>
      <c r="K632" s="49"/>
      <c r="L632" s="49"/>
      <c r="M632" s="49"/>
      <c r="N632" s="49"/>
      <c r="O632" s="49" t="b">
        <v>0</v>
      </c>
      <c r="P632" s="49"/>
      <c r="Q632" s="49"/>
      <c r="R632" s="49"/>
      <c r="S632" s="49"/>
      <c r="T632" s="49"/>
      <c r="U632" s="58"/>
      <c r="V632" s="49"/>
      <c r="W632" s="58"/>
      <c r="X632" s="49"/>
      <c r="Y632" s="47"/>
      <c r="Z632" s="49"/>
      <c r="AA632" s="49"/>
      <c r="AB632" s="49"/>
      <c r="AC632" s="49"/>
      <c r="AD632" s="49"/>
      <c r="AE632" s="49"/>
      <c r="AF632" s="49"/>
      <c r="AG632" s="49"/>
      <c r="AH632" s="49"/>
      <c r="AI632" s="49"/>
      <c r="AJ632" s="49"/>
      <c r="AK632" s="49"/>
      <c r="AL632" s="49"/>
      <c r="AM632" s="49"/>
      <c r="AN632" s="49"/>
      <c r="AO632" s="49"/>
    </row>
    <row r="633" spans="1:41" ht="13">
      <c r="A633" s="49"/>
      <c r="B633" s="49"/>
      <c r="C633" s="47"/>
      <c r="D633" s="49"/>
      <c r="E633" s="49"/>
      <c r="F633" s="49" t="b">
        <v>0</v>
      </c>
      <c r="G633" s="49"/>
      <c r="H633" s="47"/>
      <c r="I633" s="47"/>
      <c r="J633" s="49"/>
      <c r="K633" s="49"/>
      <c r="L633" s="49"/>
      <c r="M633" s="49"/>
      <c r="N633" s="49"/>
      <c r="O633" s="49" t="b">
        <v>0</v>
      </c>
      <c r="P633" s="49"/>
      <c r="Q633" s="49"/>
      <c r="R633" s="49"/>
      <c r="S633" s="49"/>
      <c r="T633" s="49"/>
      <c r="U633" s="58"/>
      <c r="V633" s="49"/>
      <c r="W633" s="58"/>
      <c r="X633" s="49"/>
      <c r="Y633" s="47"/>
      <c r="Z633" s="49"/>
      <c r="AA633" s="49"/>
      <c r="AB633" s="49"/>
      <c r="AC633" s="49"/>
      <c r="AD633" s="49"/>
      <c r="AE633" s="49"/>
      <c r="AF633" s="49"/>
      <c r="AG633" s="49"/>
      <c r="AH633" s="49"/>
      <c r="AI633" s="49"/>
      <c r="AJ633" s="49"/>
      <c r="AK633" s="49"/>
      <c r="AL633" s="49"/>
      <c r="AM633" s="49"/>
      <c r="AN633" s="49"/>
      <c r="AO633" s="49"/>
    </row>
    <row r="634" spans="1:41" ht="13">
      <c r="A634" s="49"/>
      <c r="B634" s="49"/>
      <c r="C634" s="47"/>
      <c r="D634" s="49"/>
      <c r="E634" s="49"/>
      <c r="F634" s="49" t="b">
        <v>0</v>
      </c>
      <c r="G634" s="49"/>
      <c r="H634" s="47"/>
      <c r="I634" s="47"/>
      <c r="J634" s="49"/>
      <c r="K634" s="49"/>
      <c r="L634" s="49"/>
      <c r="M634" s="49"/>
      <c r="N634" s="49"/>
      <c r="O634" s="49" t="b">
        <v>0</v>
      </c>
      <c r="P634" s="49"/>
      <c r="Q634" s="49"/>
      <c r="R634" s="49"/>
      <c r="S634" s="49"/>
      <c r="T634" s="49"/>
      <c r="U634" s="58"/>
      <c r="V634" s="49"/>
      <c r="W634" s="58"/>
      <c r="X634" s="49"/>
      <c r="Y634" s="47"/>
      <c r="Z634" s="49"/>
      <c r="AA634" s="49"/>
      <c r="AB634" s="49"/>
      <c r="AC634" s="49"/>
      <c r="AD634" s="49"/>
      <c r="AE634" s="49"/>
      <c r="AF634" s="49"/>
      <c r="AG634" s="49"/>
      <c r="AH634" s="49"/>
      <c r="AI634" s="49"/>
      <c r="AJ634" s="49"/>
      <c r="AK634" s="49"/>
      <c r="AL634" s="49"/>
      <c r="AM634" s="49"/>
      <c r="AN634" s="49"/>
      <c r="AO634" s="49"/>
    </row>
    <row r="635" spans="1:41" ht="13">
      <c r="A635" s="49"/>
      <c r="B635" s="49"/>
      <c r="C635" s="47"/>
      <c r="D635" s="49"/>
      <c r="E635" s="49"/>
      <c r="F635" s="49" t="b">
        <v>0</v>
      </c>
      <c r="G635" s="49"/>
      <c r="H635" s="47"/>
      <c r="I635" s="47"/>
      <c r="J635" s="49"/>
      <c r="K635" s="49"/>
      <c r="L635" s="49"/>
      <c r="M635" s="49"/>
      <c r="N635" s="49"/>
      <c r="O635" s="49" t="b">
        <v>0</v>
      </c>
      <c r="P635" s="49"/>
      <c r="Q635" s="49"/>
      <c r="R635" s="49"/>
      <c r="S635" s="49"/>
      <c r="T635" s="49"/>
      <c r="U635" s="58"/>
      <c r="V635" s="49"/>
      <c r="W635" s="58"/>
      <c r="X635" s="49"/>
      <c r="Y635" s="47"/>
      <c r="Z635" s="49"/>
      <c r="AA635" s="49"/>
      <c r="AB635" s="49"/>
      <c r="AC635" s="49"/>
      <c r="AD635" s="49"/>
      <c r="AE635" s="49"/>
      <c r="AF635" s="49"/>
      <c r="AG635" s="49"/>
      <c r="AH635" s="49"/>
      <c r="AI635" s="49"/>
      <c r="AJ635" s="49"/>
      <c r="AK635" s="49"/>
      <c r="AL635" s="49"/>
      <c r="AM635" s="49"/>
      <c r="AN635" s="49"/>
      <c r="AO635" s="49"/>
    </row>
    <row r="636" spans="1:41" ht="13">
      <c r="A636" s="49"/>
      <c r="B636" s="49"/>
      <c r="C636" s="47"/>
      <c r="D636" s="49"/>
      <c r="E636" s="49"/>
      <c r="F636" s="49" t="b">
        <v>0</v>
      </c>
      <c r="G636" s="49"/>
      <c r="H636" s="47"/>
      <c r="I636" s="47"/>
      <c r="J636" s="49"/>
      <c r="K636" s="49"/>
      <c r="L636" s="49"/>
      <c r="M636" s="49"/>
      <c r="N636" s="49"/>
      <c r="O636" s="49" t="b">
        <v>0</v>
      </c>
      <c r="P636" s="49"/>
      <c r="Q636" s="49"/>
      <c r="R636" s="49"/>
      <c r="S636" s="49"/>
      <c r="T636" s="49"/>
      <c r="U636" s="58"/>
      <c r="V636" s="49"/>
      <c r="W636" s="58"/>
      <c r="X636" s="49"/>
      <c r="Y636" s="47"/>
      <c r="Z636" s="49"/>
      <c r="AA636" s="49"/>
      <c r="AB636" s="49"/>
      <c r="AC636" s="49"/>
      <c r="AD636" s="49"/>
      <c r="AE636" s="49"/>
      <c r="AF636" s="49"/>
      <c r="AG636" s="49"/>
      <c r="AH636" s="49"/>
      <c r="AI636" s="49"/>
      <c r="AJ636" s="49"/>
      <c r="AK636" s="49"/>
      <c r="AL636" s="49"/>
      <c r="AM636" s="49"/>
      <c r="AN636" s="49"/>
      <c r="AO636" s="49"/>
    </row>
    <row r="637" spans="1:41" ht="13">
      <c r="A637" s="49"/>
      <c r="B637" s="49"/>
      <c r="C637" s="47"/>
      <c r="D637" s="49"/>
      <c r="E637" s="49"/>
      <c r="F637" s="49" t="b">
        <v>0</v>
      </c>
      <c r="G637" s="49"/>
      <c r="H637" s="47"/>
      <c r="I637" s="47"/>
      <c r="J637" s="49"/>
      <c r="K637" s="49"/>
      <c r="L637" s="49"/>
      <c r="M637" s="49"/>
      <c r="N637" s="49"/>
      <c r="O637" s="49" t="b">
        <v>0</v>
      </c>
      <c r="P637" s="49"/>
      <c r="Q637" s="49"/>
      <c r="R637" s="49"/>
      <c r="S637" s="49"/>
      <c r="T637" s="49"/>
      <c r="U637" s="58"/>
      <c r="V637" s="49"/>
      <c r="W637" s="58"/>
      <c r="X637" s="49"/>
      <c r="Y637" s="47"/>
      <c r="Z637" s="49"/>
      <c r="AA637" s="49"/>
      <c r="AB637" s="49"/>
      <c r="AC637" s="49"/>
      <c r="AD637" s="49"/>
      <c r="AE637" s="49"/>
      <c r="AF637" s="49"/>
      <c r="AG637" s="49"/>
      <c r="AH637" s="49"/>
      <c r="AI637" s="49"/>
      <c r="AJ637" s="49"/>
      <c r="AK637" s="49"/>
      <c r="AL637" s="49"/>
      <c r="AM637" s="49"/>
      <c r="AN637" s="49"/>
      <c r="AO637" s="49"/>
    </row>
    <row r="638" spans="1:41" ht="13">
      <c r="A638" s="49"/>
      <c r="B638" s="49"/>
      <c r="C638" s="47"/>
      <c r="D638" s="49"/>
      <c r="E638" s="49"/>
      <c r="F638" s="49" t="b">
        <v>0</v>
      </c>
      <c r="G638" s="49"/>
      <c r="H638" s="47"/>
      <c r="I638" s="47"/>
      <c r="J638" s="49"/>
      <c r="K638" s="49"/>
      <c r="L638" s="49"/>
      <c r="M638" s="49"/>
      <c r="N638" s="49"/>
      <c r="O638" s="49" t="b">
        <v>0</v>
      </c>
      <c r="P638" s="49"/>
      <c r="Q638" s="49"/>
      <c r="R638" s="49"/>
      <c r="S638" s="49"/>
      <c r="T638" s="49"/>
      <c r="U638" s="58"/>
      <c r="V638" s="49"/>
      <c r="W638" s="58"/>
      <c r="X638" s="49"/>
      <c r="Y638" s="47"/>
      <c r="Z638" s="49"/>
      <c r="AA638" s="49"/>
      <c r="AB638" s="49"/>
      <c r="AC638" s="49"/>
      <c r="AD638" s="49"/>
      <c r="AE638" s="49"/>
      <c r="AF638" s="49"/>
      <c r="AG638" s="49"/>
      <c r="AH638" s="49"/>
      <c r="AI638" s="49"/>
      <c r="AJ638" s="49"/>
      <c r="AK638" s="49"/>
      <c r="AL638" s="49"/>
      <c r="AM638" s="49"/>
      <c r="AN638" s="49"/>
      <c r="AO638" s="49"/>
    </row>
    <row r="639" spans="1:41" ht="13">
      <c r="A639" s="49"/>
      <c r="B639" s="49"/>
      <c r="C639" s="47"/>
      <c r="D639" s="49"/>
      <c r="E639" s="49"/>
      <c r="F639" s="49" t="b">
        <v>0</v>
      </c>
      <c r="G639" s="49"/>
      <c r="H639" s="47"/>
      <c r="I639" s="47"/>
      <c r="J639" s="49"/>
      <c r="K639" s="49"/>
      <c r="L639" s="49"/>
      <c r="M639" s="49"/>
      <c r="N639" s="49"/>
      <c r="O639" s="49" t="b">
        <v>0</v>
      </c>
      <c r="P639" s="49"/>
      <c r="Q639" s="49"/>
      <c r="R639" s="49"/>
      <c r="S639" s="49"/>
      <c r="T639" s="49"/>
      <c r="U639" s="58"/>
      <c r="V639" s="49"/>
      <c r="W639" s="58"/>
      <c r="X639" s="49"/>
      <c r="Y639" s="47"/>
      <c r="Z639" s="49"/>
      <c r="AA639" s="49"/>
      <c r="AB639" s="49"/>
      <c r="AC639" s="49"/>
      <c r="AD639" s="49"/>
      <c r="AE639" s="49"/>
      <c r="AF639" s="49"/>
      <c r="AG639" s="49"/>
      <c r="AH639" s="49"/>
      <c r="AI639" s="49"/>
      <c r="AJ639" s="49"/>
      <c r="AK639" s="49"/>
      <c r="AL639" s="49"/>
      <c r="AM639" s="49"/>
      <c r="AN639" s="49"/>
      <c r="AO639" s="49"/>
    </row>
    <row r="640" spans="1:41" ht="13">
      <c r="A640" s="49"/>
      <c r="B640" s="49"/>
      <c r="C640" s="47"/>
      <c r="D640" s="49"/>
      <c r="E640" s="49"/>
      <c r="F640" s="49" t="b">
        <v>0</v>
      </c>
      <c r="G640" s="49"/>
      <c r="H640" s="47"/>
      <c r="I640" s="47"/>
      <c r="J640" s="49"/>
      <c r="K640" s="49"/>
      <c r="L640" s="49"/>
      <c r="M640" s="49"/>
      <c r="N640" s="49"/>
      <c r="O640" s="49" t="b">
        <v>0</v>
      </c>
      <c r="P640" s="49"/>
      <c r="Q640" s="49"/>
      <c r="R640" s="49"/>
      <c r="S640" s="49"/>
      <c r="T640" s="49"/>
      <c r="U640" s="58"/>
      <c r="V640" s="49"/>
      <c r="W640" s="58"/>
      <c r="X640" s="49"/>
      <c r="Y640" s="47"/>
      <c r="Z640" s="49"/>
      <c r="AA640" s="49"/>
      <c r="AB640" s="49"/>
      <c r="AC640" s="49"/>
      <c r="AD640" s="49"/>
      <c r="AE640" s="49"/>
      <c r="AF640" s="49"/>
      <c r="AG640" s="49"/>
      <c r="AH640" s="49"/>
      <c r="AI640" s="49"/>
      <c r="AJ640" s="49"/>
      <c r="AK640" s="49"/>
      <c r="AL640" s="49"/>
      <c r="AM640" s="49"/>
      <c r="AN640" s="49"/>
      <c r="AO640" s="49"/>
    </row>
    <row r="641" spans="1:41" ht="13">
      <c r="A641" s="49"/>
      <c r="B641" s="49"/>
      <c r="C641" s="47"/>
      <c r="D641" s="49"/>
      <c r="E641" s="49"/>
      <c r="F641" s="49" t="b">
        <v>0</v>
      </c>
      <c r="G641" s="49"/>
      <c r="H641" s="47"/>
      <c r="I641" s="47"/>
      <c r="J641" s="49"/>
      <c r="K641" s="49"/>
      <c r="L641" s="49"/>
      <c r="M641" s="49"/>
      <c r="N641" s="49"/>
      <c r="O641" s="49" t="b">
        <v>0</v>
      </c>
      <c r="P641" s="49"/>
      <c r="Q641" s="49"/>
      <c r="R641" s="49"/>
      <c r="S641" s="49"/>
      <c r="T641" s="49"/>
      <c r="U641" s="58"/>
      <c r="V641" s="49"/>
      <c r="W641" s="58"/>
      <c r="X641" s="49"/>
      <c r="Y641" s="47"/>
      <c r="Z641" s="49"/>
      <c r="AA641" s="49"/>
      <c r="AB641" s="49"/>
      <c r="AC641" s="49"/>
      <c r="AD641" s="49"/>
      <c r="AE641" s="49"/>
      <c r="AF641" s="49"/>
      <c r="AG641" s="49"/>
      <c r="AH641" s="49"/>
      <c r="AI641" s="49"/>
      <c r="AJ641" s="49"/>
      <c r="AK641" s="49"/>
      <c r="AL641" s="49"/>
      <c r="AM641" s="49"/>
      <c r="AN641" s="49"/>
      <c r="AO641" s="49"/>
    </row>
    <row r="642" spans="1:41" ht="13">
      <c r="A642" s="49"/>
      <c r="B642" s="49"/>
      <c r="C642" s="47"/>
      <c r="D642" s="49"/>
      <c r="E642" s="49"/>
      <c r="F642" s="49" t="b">
        <v>0</v>
      </c>
      <c r="G642" s="49"/>
      <c r="H642" s="47"/>
      <c r="I642" s="47"/>
      <c r="J642" s="49"/>
      <c r="K642" s="49"/>
      <c r="L642" s="49"/>
      <c r="M642" s="49"/>
      <c r="N642" s="49"/>
      <c r="O642" s="49" t="b">
        <v>0</v>
      </c>
      <c r="P642" s="49"/>
      <c r="Q642" s="49"/>
      <c r="R642" s="49"/>
      <c r="S642" s="49"/>
      <c r="T642" s="49"/>
      <c r="U642" s="58"/>
      <c r="V642" s="49"/>
      <c r="W642" s="58"/>
      <c r="X642" s="49"/>
      <c r="Y642" s="47"/>
      <c r="Z642" s="49"/>
      <c r="AA642" s="49"/>
      <c r="AB642" s="49"/>
      <c r="AC642" s="49"/>
      <c r="AD642" s="49"/>
      <c r="AE642" s="49"/>
      <c r="AF642" s="49"/>
      <c r="AG642" s="49"/>
      <c r="AH642" s="49"/>
      <c r="AI642" s="49"/>
      <c r="AJ642" s="49"/>
      <c r="AK642" s="49"/>
      <c r="AL642" s="49"/>
      <c r="AM642" s="49"/>
      <c r="AN642" s="49"/>
      <c r="AO642" s="49"/>
    </row>
    <row r="643" spans="1:41" ht="13">
      <c r="A643" s="49"/>
      <c r="B643" s="49"/>
      <c r="C643" s="47"/>
      <c r="D643" s="49"/>
      <c r="E643" s="49"/>
      <c r="F643" s="49" t="b">
        <v>0</v>
      </c>
      <c r="G643" s="49"/>
      <c r="H643" s="47"/>
      <c r="I643" s="47"/>
      <c r="J643" s="49"/>
      <c r="K643" s="49"/>
      <c r="L643" s="49"/>
      <c r="M643" s="49"/>
      <c r="N643" s="49"/>
      <c r="O643" s="49" t="b">
        <v>0</v>
      </c>
      <c r="P643" s="49"/>
      <c r="Q643" s="49"/>
      <c r="R643" s="49"/>
      <c r="S643" s="49"/>
      <c r="T643" s="49"/>
      <c r="U643" s="58"/>
      <c r="V643" s="49"/>
      <c r="W643" s="58"/>
      <c r="X643" s="49"/>
      <c r="Y643" s="47"/>
      <c r="Z643" s="49"/>
      <c r="AA643" s="49"/>
      <c r="AB643" s="49"/>
      <c r="AC643" s="49"/>
      <c r="AD643" s="49"/>
      <c r="AE643" s="49"/>
      <c r="AF643" s="49"/>
      <c r="AG643" s="49"/>
      <c r="AH643" s="49"/>
      <c r="AI643" s="49"/>
      <c r="AJ643" s="49"/>
      <c r="AK643" s="49"/>
      <c r="AL643" s="49"/>
      <c r="AM643" s="49"/>
      <c r="AN643" s="49"/>
      <c r="AO643" s="49"/>
    </row>
    <row r="644" spans="1:41" ht="13">
      <c r="A644" s="49"/>
      <c r="B644" s="49"/>
      <c r="C644" s="47"/>
      <c r="D644" s="49"/>
      <c r="E644" s="49"/>
      <c r="F644" s="49" t="b">
        <v>0</v>
      </c>
      <c r="G644" s="49"/>
      <c r="H644" s="47"/>
      <c r="I644" s="47"/>
      <c r="J644" s="49"/>
      <c r="K644" s="49"/>
      <c r="L644" s="49"/>
      <c r="M644" s="49"/>
      <c r="N644" s="49"/>
      <c r="O644" s="49" t="b">
        <v>0</v>
      </c>
      <c r="P644" s="49"/>
      <c r="Q644" s="49"/>
      <c r="R644" s="49"/>
      <c r="S644" s="49"/>
      <c r="T644" s="49"/>
      <c r="U644" s="58"/>
      <c r="V644" s="49"/>
      <c r="W644" s="58"/>
      <c r="X644" s="49"/>
      <c r="Y644" s="47"/>
      <c r="Z644" s="49"/>
      <c r="AA644" s="49"/>
      <c r="AB644" s="49"/>
      <c r="AC644" s="49"/>
      <c r="AD644" s="49"/>
      <c r="AE644" s="49"/>
      <c r="AF644" s="49"/>
      <c r="AG644" s="49"/>
      <c r="AH644" s="49"/>
      <c r="AI644" s="49"/>
      <c r="AJ644" s="49"/>
      <c r="AK644" s="49"/>
      <c r="AL644" s="49"/>
      <c r="AM644" s="49"/>
      <c r="AN644" s="49"/>
      <c r="AO644" s="49"/>
    </row>
    <row r="645" spans="1:41" ht="13">
      <c r="A645" s="49"/>
      <c r="B645" s="49"/>
      <c r="C645" s="47"/>
      <c r="D645" s="49"/>
      <c r="E645" s="49"/>
      <c r="F645" s="49" t="b">
        <v>0</v>
      </c>
      <c r="G645" s="49"/>
      <c r="H645" s="47"/>
      <c r="I645" s="47"/>
      <c r="J645" s="49"/>
      <c r="K645" s="49"/>
      <c r="L645" s="49"/>
      <c r="M645" s="49"/>
      <c r="N645" s="49"/>
      <c r="O645" s="49" t="b">
        <v>0</v>
      </c>
      <c r="P645" s="49"/>
      <c r="Q645" s="49"/>
      <c r="R645" s="49"/>
      <c r="S645" s="49"/>
      <c r="T645" s="49"/>
      <c r="U645" s="58"/>
      <c r="V645" s="49"/>
      <c r="W645" s="58"/>
      <c r="X645" s="49"/>
      <c r="Y645" s="47"/>
      <c r="Z645" s="49"/>
      <c r="AA645" s="49"/>
      <c r="AB645" s="49"/>
      <c r="AC645" s="49"/>
      <c r="AD645" s="49"/>
      <c r="AE645" s="49"/>
      <c r="AF645" s="49"/>
      <c r="AG645" s="49"/>
      <c r="AH645" s="49"/>
      <c r="AI645" s="49"/>
      <c r="AJ645" s="49"/>
      <c r="AK645" s="49"/>
      <c r="AL645" s="49"/>
      <c r="AM645" s="49"/>
      <c r="AN645" s="49"/>
      <c r="AO645" s="49"/>
    </row>
    <row r="646" spans="1:41" ht="13">
      <c r="A646" s="49"/>
      <c r="B646" s="49"/>
      <c r="C646" s="47"/>
      <c r="D646" s="49"/>
      <c r="E646" s="49"/>
      <c r="F646" s="49" t="b">
        <v>0</v>
      </c>
      <c r="G646" s="49"/>
      <c r="H646" s="47"/>
      <c r="I646" s="47"/>
      <c r="J646" s="49"/>
      <c r="K646" s="49"/>
      <c r="L646" s="49"/>
      <c r="M646" s="49"/>
      <c r="N646" s="49"/>
      <c r="O646" s="49" t="b">
        <v>0</v>
      </c>
      <c r="P646" s="49"/>
      <c r="Q646" s="49"/>
      <c r="R646" s="49"/>
      <c r="S646" s="49"/>
      <c r="T646" s="49"/>
      <c r="U646" s="58"/>
      <c r="V646" s="49"/>
      <c r="W646" s="58"/>
      <c r="X646" s="49"/>
      <c r="Y646" s="47"/>
      <c r="Z646" s="49"/>
      <c r="AA646" s="49"/>
      <c r="AB646" s="49"/>
      <c r="AC646" s="49"/>
      <c r="AD646" s="49"/>
      <c r="AE646" s="49"/>
      <c r="AF646" s="49"/>
      <c r="AG646" s="49"/>
      <c r="AH646" s="49"/>
      <c r="AI646" s="49"/>
      <c r="AJ646" s="49"/>
      <c r="AK646" s="49"/>
      <c r="AL646" s="49"/>
      <c r="AM646" s="49"/>
      <c r="AN646" s="49"/>
      <c r="AO646" s="49"/>
    </row>
    <row r="647" spans="1:41" ht="13">
      <c r="A647" s="49"/>
      <c r="B647" s="49"/>
      <c r="C647" s="47"/>
      <c r="D647" s="49"/>
      <c r="E647" s="49"/>
      <c r="F647" s="49" t="b">
        <v>0</v>
      </c>
      <c r="G647" s="49"/>
      <c r="H647" s="47"/>
      <c r="I647" s="47"/>
      <c r="J647" s="49"/>
      <c r="K647" s="49"/>
      <c r="L647" s="49"/>
      <c r="M647" s="49"/>
      <c r="N647" s="49"/>
      <c r="O647" s="49" t="b">
        <v>0</v>
      </c>
      <c r="P647" s="49"/>
      <c r="Q647" s="49"/>
      <c r="R647" s="49"/>
      <c r="S647" s="49"/>
      <c r="T647" s="49"/>
      <c r="U647" s="58"/>
      <c r="V647" s="49"/>
      <c r="W647" s="58"/>
      <c r="X647" s="49"/>
      <c r="Y647" s="47"/>
      <c r="Z647" s="49"/>
      <c r="AA647" s="49"/>
      <c r="AB647" s="49"/>
      <c r="AC647" s="49"/>
      <c r="AD647" s="49"/>
      <c r="AE647" s="49"/>
      <c r="AF647" s="49"/>
      <c r="AG647" s="49"/>
      <c r="AH647" s="49"/>
      <c r="AI647" s="49"/>
      <c r="AJ647" s="49"/>
      <c r="AK647" s="49"/>
      <c r="AL647" s="49"/>
      <c r="AM647" s="49"/>
      <c r="AN647" s="49"/>
      <c r="AO647" s="49"/>
    </row>
    <row r="648" spans="1:41" ht="13">
      <c r="A648" s="49"/>
      <c r="B648" s="49"/>
      <c r="C648" s="47"/>
      <c r="D648" s="49"/>
      <c r="E648" s="49"/>
      <c r="F648" s="49" t="b">
        <v>0</v>
      </c>
      <c r="G648" s="49"/>
      <c r="H648" s="47"/>
      <c r="I648" s="47"/>
      <c r="J648" s="49"/>
      <c r="K648" s="49"/>
      <c r="L648" s="49"/>
      <c r="M648" s="49"/>
      <c r="N648" s="49"/>
      <c r="O648" s="49" t="b">
        <v>0</v>
      </c>
      <c r="P648" s="49"/>
      <c r="Q648" s="49"/>
      <c r="R648" s="49"/>
      <c r="S648" s="49"/>
      <c r="T648" s="49"/>
      <c r="U648" s="58"/>
      <c r="V648" s="49"/>
      <c r="W648" s="58"/>
      <c r="X648" s="49"/>
      <c r="Y648" s="47"/>
      <c r="Z648" s="49"/>
      <c r="AA648" s="49"/>
      <c r="AB648" s="49"/>
      <c r="AC648" s="49"/>
      <c r="AD648" s="49"/>
      <c r="AE648" s="49"/>
      <c r="AF648" s="49"/>
      <c r="AG648" s="49"/>
      <c r="AH648" s="49"/>
      <c r="AI648" s="49"/>
      <c r="AJ648" s="49"/>
      <c r="AK648" s="49"/>
      <c r="AL648" s="49"/>
      <c r="AM648" s="49"/>
      <c r="AN648" s="49"/>
      <c r="AO648" s="49"/>
    </row>
    <row r="649" spans="1:41" ht="13">
      <c r="A649" s="49"/>
      <c r="B649" s="49"/>
      <c r="C649" s="47"/>
      <c r="D649" s="49"/>
      <c r="E649" s="49"/>
      <c r="F649" s="49" t="b">
        <v>0</v>
      </c>
      <c r="G649" s="49"/>
      <c r="H649" s="47"/>
      <c r="I649" s="47"/>
      <c r="J649" s="49"/>
      <c r="K649" s="49"/>
      <c r="L649" s="49"/>
      <c r="M649" s="49"/>
      <c r="N649" s="49"/>
      <c r="O649" s="49" t="b">
        <v>0</v>
      </c>
      <c r="P649" s="49"/>
      <c r="Q649" s="49"/>
      <c r="R649" s="49"/>
      <c r="S649" s="49"/>
      <c r="T649" s="49"/>
      <c r="U649" s="58"/>
      <c r="V649" s="49"/>
      <c r="W649" s="58"/>
      <c r="X649" s="49"/>
      <c r="Y649" s="47"/>
      <c r="Z649" s="49"/>
      <c r="AA649" s="49"/>
      <c r="AB649" s="49"/>
      <c r="AC649" s="49"/>
      <c r="AD649" s="49"/>
      <c r="AE649" s="49"/>
      <c r="AF649" s="49"/>
      <c r="AG649" s="49"/>
      <c r="AH649" s="49"/>
      <c r="AI649" s="49"/>
      <c r="AJ649" s="49"/>
      <c r="AK649" s="49"/>
      <c r="AL649" s="49"/>
      <c r="AM649" s="49"/>
      <c r="AN649" s="49"/>
      <c r="AO649" s="49"/>
    </row>
    <row r="650" spans="1:41" ht="13">
      <c r="A650" s="49"/>
      <c r="B650" s="49"/>
      <c r="C650" s="47"/>
      <c r="D650" s="49"/>
      <c r="E650" s="49"/>
      <c r="F650" s="49" t="b">
        <v>0</v>
      </c>
      <c r="G650" s="49"/>
      <c r="H650" s="47"/>
      <c r="I650" s="47"/>
      <c r="J650" s="49"/>
      <c r="K650" s="49"/>
      <c r="L650" s="49"/>
      <c r="M650" s="49"/>
      <c r="N650" s="49"/>
      <c r="O650" s="49" t="b">
        <v>0</v>
      </c>
      <c r="P650" s="49"/>
      <c r="Q650" s="49"/>
      <c r="R650" s="49"/>
      <c r="S650" s="49"/>
      <c r="T650" s="49"/>
      <c r="U650" s="58"/>
      <c r="V650" s="49"/>
      <c r="W650" s="58"/>
      <c r="X650" s="49"/>
      <c r="Y650" s="47"/>
      <c r="Z650" s="49"/>
      <c r="AA650" s="49"/>
      <c r="AB650" s="49"/>
      <c r="AC650" s="49"/>
      <c r="AD650" s="49"/>
      <c r="AE650" s="49"/>
      <c r="AF650" s="49"/>
      <c r="AG650" s="49"/>
      <c r="AH650" s="49"/>
      <c r="AI650" s="49"/>
      <c r="AJ650" s="49"/>
      <c r="AK650" s="49"/>
      <c r="AL650" s="49"/>
      <c r="AM650" s="49"/>
      <c r="AN650" s="49"/>
      <c r="AO650" s="49"/>
    </row>
    <row r="651" spans="1:41" ht="13">
      <c r="A651" s="49"/>
      <c r="B651" s="49"/>
      <c r="C651" s="47"/>
      <c r="D651" s="49"/>
      <c r="E651" s="49"/>
      <c r="F651" s="49" t="b">
        <v>0</v>
      </c>
      <c r="G651" s="49"/>
      <c r="H651" s="47"/>
      <c r="I651" s="47"/>
      <c r="J651" s="49"/>
      <c r="K651" s="49"/>
      <c r="L651" s="49"/>
      <c r="M651" s="49"/>
      <c r="N651" s="49"/>
      <c r="O651" s="49" t="b">
        <v>0</v>
      </c>
      <c r="P651" s="49"/>
      <c r="Q651" s="49"/>
      <c r="R651" s="49"/>
      <c r="S651" s="49"/>
      <c r="T651" s="49"/>
      <c r="U651" s="58"/>
      <c r="V651" s="49"/>
      <c r="W651" s="58"/>
      <c r="X651" s="49"/>
      <c r="Y651" s="47"/>
      <c r="Z651" s="49"/>
      <c r="AA651" s="49"/>
      <c r="AB651" s="49"/>
      <c r="AC651" s="49"/>
      <c r="AD651" s="49"/>
      <c r="AE651" s="49"/>
      <c r="AF651" s="49"/>
      <c r="AG651" s="49"/>
      <c r="AH651" s="49"/>
      <c r="AI651" s="49"/>
      <c r="AJ651" s="49"/>
      <c r="AK651" s="49"/>
      <c r="AL651" s="49"/>
      <c r="AM651" s="49"/>
      <c r="AN651" s="49"/>
      <c r="AO651" s="49"/>
    </row>
    <row r="652" spans="1:41" ht="13">
      <c r="A652" s="49"/>
      <c r="B652" s="49"/>
      <c r="C652" s="47"/>
      <c r="D652" s="49"/>
      <c r="E652" s="49"/>
      <c r="F652" s="49" t="b">
        <v>0</v>
      </c>
      <c r="G652" s="49"/>
      <c r="H652" s="47"/>
      <c r="I652" s="47"/>
      <c r="J652" s="49"/>
      <c r="K652" s="49"/>
      <c r="L652" s="49"/>
      <c r="M652" s="49"/>
      <c r="N652" s="49"/>
      <c r="O652" s="49" t="b">
        <v>0</v>
      </c>
      <c r="P652" s="49"/>
      <c r="Q652" s="49"/>
      <c r="R652" s="49"/>
      <c r="S652" s="49"/>
      <c r="T652" s="49"/>
      <c r="U652" s="58"/>
      <c r="V652" s="49"/>
      <c r="W652" s="58"/>
      <c r="X652" s="49"/>
      <c r="Y652" s="47"/>
      <c r="Z652" s="49"/>
      <c r="AA652" s="49"/>
      <c r="AB652" s="49"/>
      <c r="AC652" s="49"/>
      <c r="AD652" s="49"/>
      <c r="AE652" s="49"/>
      <c r="AF652" s="49"/>
      <c r="AG652" s="49"/>
      <c r="AH652" s="49"/>
      <c r="AI652" s="49"/>
      <c r="AJ652" s="49"/>
      <c r="AK652" s="49"/>
      <c r="AL652" s="49"/>
      <c r="AM652" s="49"/>
      <c r="AN652" s="49"/>
      <c r="AO652" s="49"/>
    </row>
    <row r="653" spans="1:41" ht="13">
      <c r="A653" s="49"/>
      <c r="B653" s="49"/>
      <c r="C653" s="47"/>
      <c r="D653" s="49"/>
      <c r="E653" s="49"/>
      <c r="F653" s="49" t="b">
        <v>0</v>
      </c>
      <c r="G653" s="49"/>
      <c r="H653" s="47"/>
      <c r="I653" s="47"/>
      <c r="J653" s="49"/>
      <c r="K653" s="49"/>
      <c r="L653" s="49"/>
      <c r="M653" s="49"/>
      <c r="N653" s="49"/>
      <c r="O653" s="49" t="b">
        <v>0</v>
      </c>
      <c r="P653" s="49"/>
      <c r="Q653" s="49"/>
      <c r="R653" s="49"/>
      <c r="S653" s="49"/>
      <c r="T653" s="49"/>
      <c r="U653" s="58"/>
      <c r="V653" s="49"/>
      <c r="W653" s="58"/>
      <c r="X653" s="49"/>
      <c r="Y653" s="47"/>
      <c r="Z653" s="49"/>
      <c r="AA653" s="49"/>
      <c r="AB653" s="49"/>
      <c r="AC653" s="49"/>
      <c r="AD653" s="49"/>
      <c r="AE653" s="49"/>
      <c r="AF653" s="49"/>
      <c r="AG653" s="49"/>
      <c r="AH653" s="49"/>
      <c r="AI653" s="49"/>
      <c r="AJ653" s="49"/>
      <c r="AK653" s="49"/>
      <c r="AL653" s="49"/>
      <c r="AM653" s="49"/>
      <c r="AN653" s="49"/>
      <c r="AO653" s="49"/>
    </row>
    <row r="654" spans="1:41" ht="13">
      <c r="A654" s="49"/>
      <c r="B654" s="49"/>
      <c r="C654" s="47"/>
      <c r="D654" s="49"/>
      <c r="E654" s="49"/>
      <c r="F654" s="49" t="b">
        <v>0</v>
      </c>
      <c r="G654" s="49"/>
      <c r="H654" s="47"/>
      <c r="I654" s="47"/>
      <c r="J654" s="49"/>
      <c r="K654" s="49"/>
      <c r="L654" s="49"/>
      <c r="M654" s="49"/>
      <c r="N654" s="49"/>
      <c r="O654" s="49" t="b">
        <v>0</v>
      </c>
      <c r="P654" s="49"/>
      <c r="Q654" s="49"/>
      <c r="R654" s="49"/>
      <c r="S654" s="49"/>
      <c r="T654" s="49"/>
      <c r="U654" s="58"/>
      <c r="V654" s="49"/>
      <c r="W654" s="58"/>
      <c r="X654" s="49"/>
      <c r="Y654" s="47"/>
      <c r="Z654" s="49"/>
      <c r="AA654" s="49"/>
      <c r="AB654" s="49"/>
      <c r="AC654" s="49"/>
      <c r="AD654" s="49"/>
      <c r="AE654" s="49"/>
      <c r="AF654" s="49"/>
      <c r="AG654" s="49"/>
      <c r="AH654" s="49"/>
      <c r="AI654" s="49"/>
      <c r="AJ654" s="49"/>
      <c r="AK654" s="49"/>
      <c r="AL654" s="49"/>
      <c r="AM654" s="49"/>
      <c r="AN654" s="49"/>
      <c r="AO654" s="49"/>
    </row>
    <row r="655" spans="1:41" ht="13">
      <c r="A655" s="49"/>
      <c r="B655" s="49"/>
      <c r="C655" s="47"/>
      <c r="D655" s="49"/>
      <c r="E655" s="49"/>
      <c r="F655" s="49" t="b">
        <v>0</v>
      </c>
      <c r="G655" s="49"/>
      <c r="H655" s="47"/>
      <c r="I655" s="47"/>
      <c r="J655" s="49"/>
      <c r="K655" s="49"/>
      <c r="L655" s="49"/>
      <c r="M655" s="49"/>
      <c r="N655" s="49"/>
      <c r="O655" s="49" t="b">
        <v>0</v>
      </c>
      <c r="P655" s="49"/>
      <c r="Q655" s="49"/>
      <c r="R655" s="49"/>
      <c r="S655" s="49"/>
      <c r="T655" s="49"/>
      <c r="U655" s="58"/>
      <c r="V655" s="49"/>
      <c r="W655" s="58"/>
      <c r="X655" s="49"/>
      <c r="Y655" s="47"/>
      <c r="Z655" s="49"/>
      <c r="AA655" s="49"/>
      <c r="AB655" s="49"/>
      <c r="AC655" s="49"/>
      <c r="AD655" s="49"/>
      <c r="AE655" s="49"/>
      <c r="AF655" s="49"/>
      <c r="AG655" s="49"/>
      <c r="AH655" s="49"/>
      <c r="AI655" s="49"/>
      <c r="AJ655" s="49"/>
      <c r="AK655" s="49"/>
      <c r="AL655" s="49"/>
      <c r="AM655" s="49"/>
      <c r="AN655" s="49"/>
      <c r="AO655" s="49"/>
    </row>
    <row r="656" spans="1:41" ht="13">
      <c r="A656" s="49"/>
      <c r="B656" s="49"/>
      <c r="C656" s="47"/>
      <c r="D656" s="49"/>
      <c r="E656" s="49"/>
      <c r="F656" s="49" t="b">
        <v>0</v>
      </c>
      <c r="G656" s="49"/>
      <c r="H656" s="47"/>
      <c r="I656" s="47"/>
      <c r="J656" s="49"/>
      <c r="K656" s="49"/>
      <c r="L656" s="49"/>
      <c r="M656" s="49"/>
      <c r="N656" s="49"/>
      <c r="O656" s="49" t="b">
        <v>0</v>
      </c>
      <c r="P656" s="49"/>
      <c r="Q656" s="49"/>
      <c r="R656" s="49"/>
      <c r="S656" s="49"/>
      <c r="T656" s="49"/>
      <c r="U656" s="58"/>
      <c r="V656" s="49"/>
      <c r="W656" s="58"/>
      <c r="X656" s="49"/>
      <c r="Y656" s="47"/>
      <c r="Z656" s="49"/>
      <c r="AA656" s="49"/>
      <c r="AB656" s="49"/>
      <c r="AC656" s="49"/>
      <c r="AD656" s="49"/>
      <c r="AE656" s="49"/>
      <c r="AF656" s="49"/>
      <c r="AG656" s="49"/>
      <c r="AH656" s="49"/>
      <c r="AI656" s="49"/>
      <c r="AJ656" s="49"/>
      <c r="AK656" s="49"/>
      <c r="AL656" s="49"/>
      <c r="AM656" s="49"/>
      <c r="AN656" s="49"/>
      <c r="AO656" s="49"/>
    </row>
    <row r="657" spans="1:41" ht="13">
      <c r="A657" s="49"/>
      <c r="B657" s="49"/>
      <c r="C657" s="47"/>
      <c r="D657" s="49"/>
      <c r="E657" s="49"/>
      <c r="F657" s="49" t="b">
        <v>0</v>
      </c>
      <c r="G657" s="49"/>
      <c r="H657" s="47"/>
      <c r="I657" s="47"/>
      <c r="J657" s="49"/>
      <c r="K657" s="49"/>
      <c r="L657" s="49"/>
      <c r="M657" s="49"/>
      <c r="N657" s="49"/>
      <c r="O657" s="49" t="b">
        <v>0</v>
      </c>
      <c r="P657" s="49"/>
      <c r="Q657" s="49"/>
      <c r="R657" s="49"/>
      <c r="S657" s="49"/>
      <c r="T657" s="49"/>
      <c r="U657" s="58"/>
      <c r="V657" s="49"/>
      <c r="W657" s="58"/>
      <c r="X657" s="49"/>
      <c r="Y657" s="47"/>
      <c r="Z657" s="49"/>
      <c r="AA657" s="49"/>
      <c r="AB657" s="49"/>
      <c r="AC657" s="49"/>
      <c r="AD657" s="49"/>
      <c r="AE657" s="49"/>
      <c r="AF657" s="49"/>
      <c r="AG657" s="49"/>
      <c r="AH657" s="49"/>
      <c r="AI657" s="49"/>
      <c r="AJ657" s="49"/>
      <c r="AK657" s="49"/>
      <c r="AL657" s="49"/>
      <c r="AM657" s="49"/>
      <c r="AN657" s="49"/>
      <c r="AO657" s="49"/>
    </row>
    <row r="658" spans="1:41" ht="13">
      <c r="A658" s="49"/>
      <c r="B658" s="49"/>
      <c r="C658" s="47"/>
      <c r="D658" s="49"/>
      <c r="E658" s="49"/>
      <c r="F658" s="49" t="b">
        <v>0</v>
      </c>
      <c r="G658" s="49"/>
      <c r="H658" s="47"/>
      <c r="I658" s="47"/>
      <c r="J658" s="49"/>
      <c r="K658" s="49"/>
      <c r="L658" s="49"/>
      <c r="M658" s="49"/>
      <c r="N658" s="49"/>
      <c r="O658" s="49" t="b">
        <v>0</v>
      </c>
      <c r="P658" s="49"/>
      <c r="Q658" s="49"/>
      <c r="R658" s="49"/>
      <c r="S658" s="49"/>
      <c r="T658" s="49"/>
      <c r="U658" s="58"/>
      <c r="V658" s="49"/>
      <c r="W658" s="58"/>
      <c r="X658" s="49"/>
      <c r="Y658" s="47"/>
      <c r="Z658" s="49"/>
      <c r="AA658" s="49"/>
      <c r="AB658" s="49"/>
      <c r="AC658" s="49"/>
      <c r="AD658" s="49"/>
      <c r="AE658" s="49"/>
      <c r="AF658" s="49"/>
      <c r="AG658" s="49"/>
      <c r="AH658" s="49"/>
      <c r="AI658" s="49"/>
      <c r="AJ658" s="49"/>
      <c r="AK658" s="49"/>
      <c r="AL658" s="49"/>
      <c r="AM658" s="49"/>
      <c r="AN658" s="49"/>
      <c r="AO658" s="49"/>
    </row>
    <row r="659" spans="1:41" ht="13">
      <c r="A659" s="49"/>
      <c r="B659" s="49"/>
      <c r="C659" s="47"/>
      <c r="D659" s="49"/>
      <c r="E659" s="49"/>
      <c r="F659" s="49" t="b">
        <v>0</v>
      </c>
      <c r="G659" s="49"/>
      <c r="H659" s="47"/>
      <c r="I659" s="47"/>
      <c r="J659" s="49"/>
      <c r="K659" s="49"/>
      <c r="L659" s="49"/>
      <c r="M659" s="49"/>
      <c r="N659" s="49"/>
      <c r="O659" s="49" t="b">
        <v>0</v>
      </c>
      <c r="P659" s="49"/>
      <c r="Q659" s="49"/>
      <c r="R659" s="49"/>
      <c r="S659" s="49"/>
      <c r="T659" s="49"/>
      <c r="U659" s="58"/>
      <c r="V659" s="49"/>
      <c r="W659" s="58"/>
      <c r="X659" s="49"/>
      <c r="Y659" s="47"/>
      <c r="Z659" s="49"/>
      <c r="AA659" s="49"/>
      <c r="AB659" s="49"/>
      <c r="AC659" s="49"/>
      <c r="AD659" s="49"/>
      <c r="AE659" s="49"/>
      <c r="AF659" s="49"/>
      <c r="AG659" s="49"/>
      <c r="AH659" s="49"/>
      <c r="AI659" s="49"/>
      <c r="AJ659" s="49"/>
      <c r="AK659" s="49"/>
      <c r="AL659" s="49"/>
      <c r="AM659" s="49"/>
      <c r="AN659" s="49"/>
      <c r="AO659" s="49"/>
    </row>
    <row r="660" spans="1:41" ht="13">
      <c r="A660" s="49"/>
      <c r="B660" s="49"/>
      <c r="C660" s="47"/>
      <c r="D660" s="49"/>
      <c r="E660" s="49"/>
      <c r="F660" s="49" t="b">
        <v>0</v>
      </c>
      <c r="G660" s="49"/>
      <c r="H660" s="47"/>
      <c r="I660" s="47"/>
      <c r="J660" s="49"/>
      <c r="K660" s="49"/>
      <c r="L660" s="49"/>
      <c r="M660" s="49"/>
      <c r="N660" s="49"/>
      <c r="O660" s="49" t="b">
        <v>0</v>
      </c>
      <c r="P660" s="49"/>
      <c r="Q660" s="49"/>
      <c r="R660" s="49"/>
      <c r="S660" s="49"/>
      <c r="T660" s="49"/>
      <c r="U660" s="58"/>
      <c r="V660" s="49"/>
      <c r="W660" s="58"/>
      <c r="X660" s="49"/>
      <c r="Y660" s="47"/>
      <c r="Z660" s="49"/>
      <c r="AA660" s="49"/>
      <c r="AB660" s="49"/>
      <c r="AC660" s="49"/>
      <c r="AD660" s="49"/>
      <c r="AE660" s="49"/>
      <c r="AF660" s="49"/>
      <c r="AG660" s="49"/>
      <c r="AH660" s="49"/>
      <c r="AI660" s="49"/>
      <c r="AJ660" s="49"/>
      <c r="AK660" s="49"/>
      <c r="AL660" s="49"/>
      <c r="AM660" s="49"/>
      <c r="AN660" s="49"/>
      <c r="AO660" s="49"/>
    </row>
    <row r="661" spans="1:41" ht="13">
      <c r="A661" s="49"/>
      <c r="B661" s="49"/>
      <c r="C661" s="47"/>
      <c r="D661" s="49"/>
      <c r="E661" s="49"/>
      <c r="F661" s="49" t="b">
        <v>0</v>
      </c>
      <c r="G661" s="49"/>
      <c r="H661" s="47"/>
      <c r="I661" s="47"/>
      <c r="J661" s="49"/>
      <c r="K661" s="49"/>
      <c r="L661" s="49"/>
      <c r="M661" s="49"/>
      <c r="N661" s="49"/>
      <c r="O661" s="49" t="b">
        <v>0</v>
      </c>
      <c r="P661" s="49"/>
      <c r="Q661" s="49"/>
      <c r="R661" s="49"/>
      <c r="S661" s="49"/>
      <c r="T661" s="49"/>
      <c r="U661" s="58"/>
      <c r="V661" s="49"/>
      <c r="W661" s="58"/>
      <c r="X661" s="49"/>
      <c r="Y661" s="47"/>
      <c r="Z661" s="49"/>
      <c r="AA661" s="49"/>
      <c r="AB661" s="49"/>
      <c r="AC661" s="49"/>
      <c r="AD661" s="49"/>
      <c r="AE661" s="49"/>
      <c r="AF661" s="49"/>
      <c r="AG661" s="49"/>
      <c r="AH661" s="49"/>
      <c r="AI661" s="49"/>
      <c r="AJ661" s="49"/>
      <c r="AK661" s="49"/>
      <c r="AL661" s="49"/>
      <c r="AM661" s="49"/>
      <c r="AN661" s="49"/>
      <c r="AO661" s="49"/>
    </row>
    <row r="662" spans="1:41" ht="13">
      <c r="A662" s="49"/>
      <c r="B662" s="49"/>
      <c r="C662" s="47"/>
      <c r="D662" s="49"/>
      <c r="E662" s="49"/>
      <c r="F662" s="49" t="b">
        <v>0</v>
      </c>
      <c r="G662" s="49"/>
      <c r="H662" s="47"/>
      <c r="I662" s="47"/>
      <c r="J662" s="49"/>
      <c r="K662" s="49"/>
      <c r="L662" s="49"/>
      <c r="M662" s="49"/>
      <c r="N662" s="49"/>
      <c r="O662" s="49" t="b">
        <v>0</v>
      </c>
      <c r="P662" s="49"/>
      <c r="Q662" s="49"/>
      <c r="R662" s="49"/>
      <c r="S662" s="49"/>
      <c r="T662" s="49"/>
      <c r="U662" s="58"/>
      <c r="V662" s="49"/>
      <c r="W662" s="58"/>
      <c r="X662" s="49"/>
      <c r="Y662" s="47"/>
      <c r="Z662" s="49"/>
      <c r="AA662" s="49"/>
      <c r="AB662" s="49"/>
      <c r="AC662" s="49"/>
      <c r="AD662" s="49"/>
      <c r="AE662" s="49"/>
      <c r="AF662" s="49"/>
      <c r="AG662" s="49"/>
      <c r="AH662" s="49"/>
      <c r="AI662" s="49"/>
      <c r="AJ662" s="49"/>
      <c r="AK662" s="49"/>
      <c r="AL662" s="49"/>
      <c r="AM662" s="49"/>
      <c r="AN662" s="49"/>
      <c r="AO662" s="49"/>
    </row>
    <row r="663" spans="1:41" ht="13">
      <c r="A663" s="49"/>
      <c r="B663" s="49"/>
      <c r="C663" s="47"/>
      <c r="D663" s="49"/>
      <c r="E663" s="49"/>
      <c r="F663" s="49" t="b">
        <v>0</v>
      </c>
      <c r="G663" s="49"/>
      <c r="H663" s="47"/>
      <c r="I663" s="47"/>
      <c r="J663" s="49"/>
      <c r="K663" s="49"/>
      <c r="L663" s="49"/>
      <c r="M663" s="49"/>
      <c r="N663" s="49"/>
      <c r="O663" s="49" t="b">
        <v>0</v>
      </c>
      <c r="P663" s="49"/>
      <c r="Q663" s="49"/>
      <c r="R663" s="49"/>
      <c r="S663" s="49"/>
      <c r="T663" s="49"/>
      <c r="U663" s="58"/>
      <c r="V663" s="49"/>
      <c r="W663" s="58"/>
      <c r="X663" s="49"/>
      <c r="Y663" s="47"/>
      <c r="Z663" s="49"/>
      <c r="AA663" s="49"/>
      <c r="AB663" s="49"/>
      <c r="AC663" s="49"/>
      <c r="AD663" s="49"/>
      <c r="AE663" s="49"/>
      <c r="AF663" s="49"/>
      <c r="AG663" s="49"/>
      <c r="AH663" s="49"/>
      <c r="AI663" s="49"/>
      <c r="AJ663" s="49"/>
      <c r="AK663" s="49"/>
      <c r="AL663" s="49"/>
      <c r="AM663" s="49"/>
      <c r="AN663" s="49"/>
      <c r="AO663" s="49"/>
    </row>
    <row r="664" spans="1:41" ht="13">
      <c r="A664" s="49"/>
      <c r="B664" s="49"/>
      <c r="C664" s="47"/>
      <c r="D664" s="49"/>
      <c r="E664" s="49"/>
      <c r="F664" s="49" t="b">
        <v>0</v>
      </c>
      <c r="G664" s="49"/>
      <c r="H664" s="47"/>
      <c r="I664" s="47"/>
      <c r="J664" s="49"/>
      <c r="K664" s="49"/>
      <c r="L664" s="49"/>
      <c r="M664" s="49"/>
      <c r="N664" s="49"/>
      <c r="O664" s="49" t="b">
        <v>0</v>
      </c>
      <c r="P664" s="49"/>
      <c r="Q664" s="49"/>
      <c r="R664" s="49"/>
      <c r="S664" s="49"/>
      <c r="T664" s="49"/>
      <c r="U664" s="58"/>
      <c r="V664" s="49"/>
      <c r="W664" s="58"/>
      <c r="X664" s="49"/>
      <c r="Y664" s="47"/>
      <c r="Z664" s="49"/>
      <c r="AA664" s="49"/>
      <c r="AB664" s="49"/>
      <c r="AC664" s="49"/>
      <c r="AD664" s="49"/>
      <c r="AE664" s="49"/>
      <c r="AF664" s="49"/>
      <c r="AG664" s="49"/>
      <c r="AH664" s="49"/>
      <c r="AI664" s="49"/>
      <c r="AJ664" s="49"/>
      <c r="AK664" s="49"/>
      <c r="AL664" s="49"/>
      <c r="AM664" s="49"/>
      <c r="AN664" s="49"/>
      <c r="AO664" s="49"/>
    </row>
    <row r="665" spans="1:41" ht="13">
      <c r="A665" s="49"/>
      <c r="B665" s="49"/>
      <c r="C665" s="47"/>
      <c r="D665" s="49"/>
      <c r="E665" s="49"/>
      <c r="F665" s="49" t="b">
        <v>0</v>
      </c>
      <c r="G665" s="49"/>
      <c r="H665" s="47"/>
      <c r="I665" s="47"/>
      <c r="J665" s="49"/>
      <c r="K665" s="49"/>
      <c r="L665" s="49"/>
      <c r="M665" s="49"/>
      <c r="N665" s="49"/>
      <c r="O665" s="49" t="b">
        <v>0</v>
      </c>
      <c r="P665" s="49"/>
      <c r="Q665" s="49"/>
      <c r="R665" s="49"/>
      <c r="S665" s="49"/>
      <c r="T665" s="49"/>
      <c r="U665" s="58"/>
      <c r="V665" s="49"/>
      <c r="W665" s="58"/>
      <c r="X665" s="49"/>
      <c r="Y665" s="47"/>
      <c r="Z665" s="49"/>
      <c r="AA665" s="49"/>
      <c r="AB665" s="49"/>
      <c r="AC665" s="49"/>
      <c r="AD665" s="49"/>
      <c r="AE665" s="49"/>
      <c r="AF665" s="49"/>
      <c r="AG665" s="49"/>
      <c r="AH665" s="49"/>
      <c r="AI665" s="49"/>
      <c r="AJ665" s="49"/>
      <c r="AK665" s="49"/>
      <c r="AL665" s="49"/>
      <c r="AM665" s="49"/>
      <c r="AN665" s="49"/>
      <c r="AO665" s="49"/>
    </row>
    <row r="666" spans="1:41" ht="13">
      <c r="A666" s="49"/>
      <c r="B666" s="49"/>
      <c r="C666" s="47"/>
      <c r="D666" s="49"/>
      <c r="E666" s="49"/>
      <c r="F666" s="49" t="b">
        <v>0</v>
      </c>
      <c r="G666" s="49"/>
      <c r="H666" s="47"/>
      <c r="I666" s="47"/>
      <c r="J666" s="49"/>
      <c r="K666" s="49"/>
      <c r="L666" s="49"/>
      <c r="M666" s="49"/>
      <c r="N666" s="49"/>
      <c r="O666" s="49" t="b">
        <v>0</v>
      </c>
      <c r="P666" s="49"/>
      <c r="Q666" s="49"/>
      <c r="R666" s="49"/>
      <c r="S666" s="49"/>
      <c r="T666" s="49"/>
      <c r="U666" s="58"/>
      <c r="V666" s="49"/>
      <c r="W666" s="58"/>
      <c r="X666" s="49"/>
      <c r="Y666" s="47"/>
      <c r="Z666" s="49"/>
      <c r="AA666" s="49"/>
      <c r="AB666" s="49"/>
      <c r="AC666" s="49"/>
      <c r="AD666" s="49"/>
      <c r="AE666" s="49"/>
      <c r="AF666" s="49"/>
      <c r="AG666" s="49"/>
      <c r="AH666" s="49"/>
      <c r="AI666" s="49"/>
      <c r="AJ666" s="49"/>
      <c r="AK666" s="49"/>
      <c r="AL666" s="49"/>
      <c r="AM666" s="49"/>
      <c r="AN666" s="49"/>
      <c r="AO666" s="49"/>
    </row>
    <row r="667" spans="1:41" ht="13">
      <c r="A667" s="49"/>
      <c r="B667" s="49"/>
      <c r="C667" s="47"/>
      <c r="D667" s="49"/>
      <c r="E667" s="49"/>
      <c r="F667" s="49" t="b">
        <v>0</v>
      </c>
      <c r="G667" s="49"/>
      <c r="H667" s="47"/>
      <c r="I667" s="47"/>
      <c r="J667" s="49"/>
      <c r="K667" s="49"/>
      <c r="L667" s="49"/>
      <c r="M667" s="49"/>
      <c r="N667" s="49"/>
      <c r="O667" s="49" t="b">
        <v>0</v>
      </c>
      <c r="P667" s="49"/>
      <c r="Q667" s="49"/>
      <c r="R667" s="49"/>
      <c r="S667" s="49"/>
      <c r="T667" s="49"/>
      <c r="U667" s="58"/>
      <c r="V667" s="49"/>
      <c r="W667" s="58"/>
      <c r="X667" s="49"/>
      <c r="Y667" s="47"/>
      <c r="Z667" s="49"/>
      <c r="AA667" s="49"/>
      <c r="AB667" s="49"/>
      <c r="AC667" s="49"/>
      <c r="AD667" s="49"/>
      <c r="AE667" s="49"/>
      <c r="AF667" s="49"/>
      <c r="AG667" s="49"/>
      <c r="AH667" s="49"/>
      <c r="AI667" s="49"/>
      <c r="AJ667" s="49"/>
      <c r="AK667" s="49"/>
      <c r="AL667" s="49"/>
      <c r="AM667" s="49"/>
      <c r="AN667" s="49"/>
      <c r="AO667" s="49"/>
    </row>
    <row r="668" spans="1:41" ht="13">
      <c r="A668" s="49"/>
      <c r="B668" s="49"/>
      <c r="C668" s="47"/>
      <c r="D668" s="49"/>
      <c r="E668" s="49"/>
      <c r="F668" s="49" t="b">
        <v>0</v>
      </c>
      <c r="G668" s="49"/>
      <c r="H668" s="47"/>
      <c r="I668" s="47"/>
      <c r="J668" s="49"/>
      <c r="K668" s="49"/>
      <c r="L668" s="49"/>
      <c r="M668" s="49"/>
      <c r="N668" s="49"/>
      <c r="O668" s="49" t="b">
        <v>0</v>
      </c>
      <c r="P668" s="49"/>
      <c r="Q668" s="49"/>
      <c r="R668" s="49"/>
      <c r="S668" s="49"/>
      <c r="T668" s="49"/>
      <c r="U668" s="58"/>
      <c r="V668" s="49"/>
      <c r="W668" s="58"/>
      <c r="X668" s="49"/>
      <c r="Y668" s="47"/>
      <c r="Z668" s="49"/>
      <c r="AA668" s="49"/>
      <c r="AB668" s="49"/>
      <c r="AC668" s="49"/>
      <c r="AD668" s="49"/>
      <c r="AE668" s="49"/>
      <c r="AF668" s="49"/>
      <c r="AG668" s="49"/>
      <c r="AH668" s="49"/>
      <c r="AI668" s="49"/>
      <c r="AJ668" s="49"/>
      <c r="AK668" s="49"/>
      <c r="AL668" s="49"/>
      <c r="AM668" s="49"/>
      <c r="AN668" s="49"/>
      <c r="AO668" s="49"/>
    </row>
    <row r="669" spans="1:41" ht="13">
      <c r="A669" s="49"/>
      <c r="B669" s="49"/>
      <c r="C669" s="47"/>
      <c r="D669" s="49"/>
      <c r="E669" s="49"/>
      <c r="F669" s="49" t="b">
        <v>0</v>
      </c>
      <c r="G669" s="49"/>
      <c r="H669" s="47"/>
      <c r="I669" s="47"/>
      <c r="J669" s="49"/>
      <c r="K669" s="49"/>
      <c r="L669" s="49"/>
      <c r="M669" s="49"/>
      <c r="N669" s="49"/>
      <c r="O669" s="49" t="b">
        <v>0</v>
      </c>
      <c r="P669" s="49"/>
      <c r="Q669" s="49"/>
      <c r="R669" s="49"/>
      <c r="S669" s="49"/>
      <c r="T669" s="49"/>
      <c r="U669" s="58"/>
      <c r="V669" s="49"/>
      <c r="W669" s="58"/>
      <c r="X669" s="49"/>
      <c r="Y669" s="47"/>
      <c r="Z669" s="49"/>
      <c r="AA669" s="49"/>
      <c r="AB669" s="49"/>
      <c r="AC669" s="49"/>
      <c r="AD669" s="49"/>
      <c r="AE669" s="49"/>
      <c r="AF669" s="49"/>
      <c r="AG669" s="49"/>
      <c r="AH669" s="49"/>
      <c r="AI669" s="49"/>
      <c r="AJ669" s="49"/>
      <c r="AK669" s="49"/>
      <c r="AL669" s="49"/>
      <c r="AM669" s="49"/>
      <c r="AN669" s="49"/>
      <c r="AO669" s="49"/>
    </row>
    <row r="670" spans="1:41" ht="13">
      <c r="A670" s="49"/>
      <c r="B670" s="49"/>
      <c r="C670" s="47"/>
      <c r="D670" s="49"/>
      <c r="E670" s="49"/>
      <c r="F670" s="49" t="b">
        <v>0</v>
      </c>
      <c r="G670" s="49"/>
      <c r="H670" s="47"/>
      <c r="I670" s="47"/>
      <c r="J670" s="49"/>
      <c r="K670" s="49"/>
      <c r="L670" s="49"/>
      <c r="M670" s="49"/>
      <c r="N670" s="49"/>
      <c r="O670" s="49" t="b">
        <v>0</v>
      </c>
      <c r="P670" s="49"/>
      <c r="Q670" s="49"/>
      <c r="R670" s="49"/>
      <c r="S670" s="49"/>
      <c r="T670" s="49"/>
      <c r="U670" s="58"/>
      <c r="V670" s="49"/>
      <c r="W670" s="58"/>
      <c r="X670" s="49"/>
      <c r="Y670" s="47"/>
      <c r="Z670" s="49"/>
      <c r="AA670" s="49"/>
      <c r="AB670" s="49"/>
      <c r="AC670" s="49"/>
      <c r="AD670" s="49"/>
      <c r="AE670" s="49"/>
      <c r="AF670" s="49"/>
      <c r="AG670" s="49"/>
      <c r="AH670" s="49"/>
      <c r="AI670" s="49"/>
      <c r="AJ670" s="49"/>
      <c r="AK670" s="49"/>
      <c r="AL670" s="49"/>
      <c r="AM670" s="49"/>
      <c r="AN670" s="49"/>
      <c r="AO670" s="49"/>
    </row>
    <row r="671" spans="1:41" ht="13">
      <c r="A671" s="49"/>
      <c r="B671" s="49"/>
      <c r="C671" s="47"/>
      <c r="D671" s="49"/>
      <c r="E671" s="49"/>
      <c r="F671" s="49" t="b">
        <v>0</v>
      </c>
      <c r="G671" s="49"/>
      <c r="H671" s="47"/>
      <c r="I671" s="47"/>
      <c r="J671" s="49"/>
      <c r="K671" s="49"/>
      <c r="L671" s="49"/>
      <c r="M671" s="49"/>
      <c r="N671" s="49"/>
      <c r="O671" s="49" t="b">
        <v>0</v>
      </c>
      <c r="P671" s="49"/>
      <c r="Q671" s="49"/>
      <c r="R671" s="49"/>
      <c r="S671" s="49"/>
      <c r="T671" s="49"/>
      <c r="U671" s="58"/>
      <c r="V671" s="49"/>
      <c r="W671" s="58"/>
      <c r="X671" s="49"/>
      <c r="Y671" s="47"/>
      <c r="Z671" s="49"/>
      <c r="AA671" s="49"/>
      <c r="AB671" s="49"/>
      <c r="AC671" s="49"/>
      <c r="AD671" s="49"/>
      <c r="AE671" s="49"/>
      <c r="AF671" s="49"/>
      <c r="AG671" s="49"/>
      <c r="AH671" s="49"/>
      <c r="AI671" s="49"/>
      <c r="AJ671" s="49"/>
      <c r="AK671" s="49"/>
      <c r="AL671" s="49"/>
      <c r="AM671" s="49"/>
      <c r="AN671" s="49"/>
      <c r="AO671" s="49"/>
    </row>
    <row r="672" spans="1:41" ht="13">
      <c r="A672" s="49"/>
      <c r="B672" s="49"/>
      <c r="C672" s="47"/>
      <c r="D672" s="49"/>
      <c r="E672" s="49"/>
      <c r="F672" s="49" t="b">
        <v>0</v>
      </c>
      <c r="G672" s="49"/>
      <c r="H672" s="47"/>
      <c r="I672" s="47"/>
      <c r="J672" s="49"/>
      <c r="K672" s="49"/>
      <c r="L672" s="49"/>
      <c r="M672" s="49"/>
      <c r="N672" s="49"/>
      <c r="O672" s="49" t="b">
        <v>0</v>
      </c>
      <c r="P672" s="49"/>
      <c r="Q672" s="49"/>
      <c r="R672" s="49"/>
      <c r="S672" s="49"/>
      <c r="T672" s="49"/>
      <c r="U672" s="58"/>
      <c r="V672" s="49"/>
      <c r="W672" s="58"/>
      <c r="X672" s="49"/>
      <c r="Y672" s="47"/>
      <c r="Z672" s="49"/>
      <c r="AA672" s="49"/>
      <c r="AB672" s="49"/>
      <c r="AC672" s="49"/>
      <c r="AD672" s="49"/>
      <c r="AE672" s="49"/>
      <c r="AF672" s="49"/>
      <c r="AG672" s="49"/>
      <c r="AH672" s="49"/>
      <c r="AI672" s="49"/>
      <c r="AJ672" s="49"/>
      <c r="AK672" s="49"/>
      <c r="AL672" s="49"/>
      <c r="AM672" s="49"/>
      <c r="AN672" s="49"/>
      <c r="AO672" s="49"/>
    </row>
    <row r="673" spans="1:41" ht="13">
      <c r="A673" s="49"/>
      <c r="B673" s="49"/>
      <c r="C673" s="47"/>
      <c r="D673" s="49"/>
      <c r="E673" s="49"/>
      <c r="F673" s="49" t="b">
        <v>0</v>
      </c>
      <c r="G673" s="49"/>
      <c r="H673" s="47"/>
      <c r="I673" s="47"/>
      <c r="J673" s="49"/>
      <c r="K673" s="49"/>
      <c r="L673" s="49"/>
      <c r="M673" s="49"/>
      <c r="N673" s="49"/>
      <c r="O673" s="49" t="b">
        <v>0</v>
      </c>
      <c r="P673" s="49"/>
      <c r="Q673" s="49"/>
      <c r="R673" s="49"/>
      <c r="S673" s="49"/>
      <c r="T673" s="49"/>
      <c r="U673" s="58"/>
      <c r="V673" s="49"/>
      <c r="W673" s="58"/>
      <c r="X673" s="49"/>
      <c r="Y673" s="47"/>
      <c r="Z673" s="49"/>
      <c r="AA673" s="49"/>
      <c r="AB673" s="49"/>
      <c r="AC673" s="49"/>
      <c r="AD673" s="49"/>
      <c r="AE673" s="49"/>
      <c r="AF673" s="49"/>
      <c r="AG673" s="49"/>
      <c r="AH673" s="49"/>
      <c r="AI673" s="49"/>
      <c r="AJ673" s="49"/>
      <c r="AK673" s="49"/>
      <c r="AL673" s="49"/>
      <c r="AM673" s="49"/>
      <c r="AN673" s="49"/>
      <c r="AO673" s="49"/>
    </row>
    <row r="674" spans="1:41" ht="13">
      <c r="A674" s="49"/>
      <c r="B674" s="49"/>
      <c r="C674" s="47"/>
      <c r="D674" s="49"/>
      <c r="E674" s="49"/>
      <c r="F674" s="49" t="b">
        <v>0</v>
      </c>
      <c r="G674" s="49"/>
      <c r="H674" s="47"/>
      <c r="I674" s="47"/>
      <c r="J674" s="49"/>
      <c r="K674" s="49"/>
      <c r="L674" s="49"/>
      <c r="M674" s="49"/>
      <c r="N674" s="49"/>
      <c r="O674" s="49" t="b">
        <v>0</v>
      </c>
      <c r="P674" s="49"/>
      <c r="Q674" s="49"/>
      <c r="R674" s="49"/>
      <c r="S674" s="49"/>
      <c r="T674" s="49"/>
      <c r="U674" s="58"/>
      <c r="V674" s="49"/>
      <c r="W674" s="58"/>
      <c r="X674" s="49"/>
      <c r="Y674" s="47"/>
      <c r="Z674" s="49"/>
      <c r="AA674" s="49"/>
      <c r="AB674" s="49"/>
      <c r="AC674" s="49"/>
      <c r="AD674" s="49"/>
      <c r="AE674" s="49"/>
      <c r="AF674" s="49"/>
      <c r="AG674" s="49"/>
      <c r="AH674" s="49"/>
      <c r="AI674" s="49"/>
      <c r="AJ674" s="49"/>
      <c r="AK674" s="49"/>
      <c r="AL674" s="49"/>
      <c r="AM674" s="49"/>
      <c r="AN674" s="49"/>
      <c r="AO674" s="49"/>
    </row>
    <row r="675" spans="1:41" ht="13">
      <c r="A675" s="49"/>
      <c r="B675" s="49"/>
      <c r="C675" s="47"/>
      <c r="D675" s="49"/>
      <c r="E675" s="49"/>
      <c r="F675" s="49" t="b">
        <v>0</v>
      </c>
      <c r="G675" s="49"/>
      <c r="H675" s="47"/>
      <c r="I675" s="47"/>
      <c r="J675" s="49"/>
      <c r="K675" s="49"/>
      <c r="L675" s="49"/>
      <c r="M675" s="49"/>
      <c r="N675" s="49"/>
      <c r="O675" s="49" t="b">
        <v>0</v>
      </c>
      <c r="P675" s="49"/>
      <c r="Q675" s="49"/>
      <c r="R675" s="49"/>
      <c r="S675" s="49"/>
      <c r="T675" s="49"/>
      <c r="U675" s="58"/>
      <c r="V675" s="49"/>
      <c r="W675" s="58"/>
      <c r="X675" s="49"/>
      <c r="Y675" s="47"/>
      <c r="Z675" s="49"/>
      <c r="AA675" s="49"/>
      <c r="AB675" s="49"/>
      <c r="AC675" s="49"/>
      <c r="AD675" s="49"/>
      <c r="AE675" s="49"/>
      <c r="AF675" s="49"/>
      <c r="AG675" s="49"/>
      <c r="AH675" s="49"/>
      <c r="AI675" s="49"/>
      <c r="AJ675" s="49"/>
      <c r="AK675" s="49"/>
      <c r="AL675" s="49"/>
      <c r="AM675" s="49"/>
      <c r="AN675" s="49"/>
      <c r="AO675" s="49"/>
    </row>
    <row r="676" spans="1:41" ht="13">
      <c r="A676" s="49"/>
      <c r="B676" s="49"/>
      <c r="C676" s="47"/>
      <c r="D676" s="49"/>
      <c r="E676" s="49"/>
      <c r="F676" s="49" t="b">
        <v>0</v>
      </c>
      <c r="G676" s="49"/>
      <c r="H676" s="47"/>
      <c r="I676" s="47"/>
      <c r="J676" s="49"/>
      <c r="K676" s="49"/>
      <c r="L676" s="49"/>
      <c r="M676" s="49"/>
      <c r="N676" s="49"/>
      <c r="O676" s="49" t="b">
        <v>0</v>
      </c>
      <c r="P676" s="49"/>
      <c r="Q676" s="49"/>
      <c r="R676" s="49"/>
      <c r="S676" s="49"/>
      <c r="T676" s="49"/>
      <c r="U676" s="58"/>
      <c r="V676" s="49"/>
      <c r="W676" s="58"/>
      <c r="X676" s="49"/>
      <c r="Y676" s="47"/>
      <c r="Z676" s="49"/>
      <c r="AA676" s="49"/>
      <c r="AB676" s="49"/>
      <c r="AC676" s="49"/>
      <c r="AD676" s="49"/>
      <c r="AE676" s="49"/>
      <c r="AF676" s="49"/>
      <c r="AG676" s="49"/>
      <c r="AH676" s="49"/>
      <c r="AI676" s="49"/>
      <c r="AJ676" s="49"/>
      <c r="AK676" s="49"/>
      <c r="AL676" s="49"/>
      <c r="AM676" s="49"/>
      <c r="AN676" s="49"/>
      <c r="AO676" s="49"/>
    </row>
    <row r="677" spans="1:41" ht="13">
      <c r="A677" s="49"/>
      <c r="B677" s="49"/>
      <c r="C677" s="47"/>
      <c r="D677" s="49"/>
      <c r="E677" s="49"/>
      <c r="F677" s="49" t="b">
        <v>0</v>
      </c>
      <c r="G677" s="49"/>
      <c r="H677" s="47"/>
      <c r="I677" s="47"/>
      <c r="J677" s="49"/>
      <c r="K677" s="49"/>
      <c r="L677" s="49"/>
      <c r="M677" s="49"/>
      <c r="N677" s="49"/>
      <c r="O677" s="49" t="b">
        <v>0</v>
      </c>
      <c r="P677" s="49"/>
      <c r="Q677" s="49"/>
      <c r="R677" s="49"/>
      <c r="S677" s="49"/>
      <c r="T677" s="49"/>
      <c r="U677" s="58"/>
      <c r="V677" s="49"/>
      <c r="W677" s="58"/>
      <c r="X677" s="49"/>
      <c r="Y677" s="47"/>
      <c r="Z677" s="49"/>
      <c r="AA677" s="49"/>
      <c r="AB677" s="49"/>
      <c r="AC677" s="49"/>
      <c r="AD677" s="49"/>
      <c r="AE677" s="49"/>
      <c r="AF677" s="49"/>
      <c r="AG677" s="49"/>
      <c r="AH677" s="49"/>
      <c r="AI677" s="49"/>
      <c r="AJ677" s="49"/>
      <c r="AK677" s="49"/>
      <c r="AL677" s="49"/>
      <c r="AM677" s="49"/>
      <c r="AN677" s="49"/>
      <c r="AO677" s="49"/>
    </row>
    <row r="678" spans="1:41" ht="13">
      <c r="A678" s="49"/>
      <c r="B678" s="49"/>
      <c r="C678" s="47"/>
      <c r="D678" s="49"/>
      <c r="E678" s="49"/>
      <c r="F678" s="49" t="b">
        <v>0</v>
      </c>
      <c r="G678" s="49"/>
      <c r="H678" s="47"/>
      <c r="I678" s="47"/>
      <c r="J678" s="49"/>
      <c r="K678" s="49"/>
      <c r="L678" s="49"/>
      <c r="M678" s="49"/>
      <c r="N678" s="49"/>
      <c r="O678" s="49" t="b">
        <v>0</v>
      </c>
      <c r="P678" s="49"/>
      <c r="Q678" s="49"/>
      <c r="R678" s="49"/>
      <c r="S678" s="49"/>
      <c r="T678" s="49"/>
      <c r="U678" s="58"/>
      <c r="V678" s="49"/>
      <c r="W678" s="58"/>
      <c r="X678" s="49"/>
      <c r="Y678" s="47"/>
      <c r="Z678" s="49"/>
      <c r="AA678" s="49"/>
      <c r="AB678" s="49"/>
      <c r="AC678" s="49"/>
      <c r="AD678" s="49"/>
      <c r="AE678" s="49"/>
      <c r="AF678" s="49"/>
      <c r="AG678" s="49"/>
      <c r="AH678" s="49"/>
      <c r="AI678" s="49"/>
      <c r="AJ678" s="49"/>
      <c r="AK678" s="49"/>
      <c r="AL678" s="49"/>
      <c r="AM678" s="49"/>
      <c r="AN678" s="49"/>
      <c r="AO678" s="49"/>
    </row>
    <row r="679" spans="1:41" ht="13">
      <c r="A679" s="49"/>
      <c r="B679" s="49"/>
      <c r="C679" s="47"/>
      <c r="D679" s="49"/>
      <c r="E679" s="49"/>
      <c r="F679" s="49" t="b">
        <v>0</v>
      </c>
      <c r="G679" s="49"/>
      <c r="H679" s="47"/>
      <c r="I679" s="47"/>
      <c r="J679" s="49"/>
      <c r="K679" s="49"/>
      <c r="L679" s="49"/>
      <c r="M679" s="49"/>
      <c r="N679" s="49"/>
      <c r="O679" s="49" t="b">
        <v>0</v>
      </c>
      <c r="P679" s="49"/>
      <c r="Q679" s="49"/>
      <c r="R679" s="49"/>
      <c r="S679" s="49"/>
      <c r="T679" s="49"/>
      <c r="U679" s="58"/>
      <c r="V679" s="49"/>
      <c r="W679" s="58"/>
      <c r="X679" s="49"/>
      <c r="Y679" s="47"/>
      <c r="Z679" s="49"/>
      <c r="AA679" s="49"/>
      <c r="AB679" s="49"/>
      <c r="AC679" s="49"/>
      <c r="AD679" s="49"/>
      <c r="AE679" s="49"/>
      <c r="AF679" s="49"/>
      <c r="AG679" s="49"/>
      <c r="AH679" s="49"/>
      <c r="AI679" s="49"/>
      <c r="AJ679" s="49"/>
      <c r="AK679" s="49"/>
      <c r="AL679" s="49"/>
      <c r="AM679" s="49"/>
      <c r="AN679" s="49"/>
      <c r="AO679" s="49"/>
    </row>
    <row r="680" spans="1:41" ht="13">
      <c r="A680" s="49"/>
      <c r="B680" s="49"/>
      <c r="C680" s="47"/>
      <c r="D680" s="49"/>
      <c r="E680" s="49"/>
      <c r="F680" s="49" t="b">
        <v>0</v>
      </c>
      <c r="G680" s="49"/>
      <c r="H680" s="47"/>
      <c r="I680" s="47"/>
      <c r="J680" s="49"/>
      <c r="K680" s="49"/>
      <c r="L680" s="49"/>
      <c r="M680" s="49"/>
      <c r="N680" s="49"/>
      <c r="O680" s="49" t="b">
        <v>0</v>
      </c>
      <c r="P680" s="49"/>
      <c r="Q680" s="49"/>
      <c r="R680" s="49"/>
      <c r="S680" s="49"/>
      <c r="T680" s="49"/>
      <c r="U680" s="58"/>
      <c r="V680" s="49"/>
      <c r="W680" s="58"/>
      <c r="X680" s="49"/>
      <c r="Y680" s="47"/>
      <c r="Z680" s="49"/>
      <c r="AA680" s="49"/>
      <c r="AB680" s="49"/>
      <c r="AC680" s="49"/>
      <c r="AD680" s="49"/>
      <c r="AE680" s="49"/>
      <c r="AF680" s="49"/>
      <c r="AG680" s="49"/>
      <c r="AH680" s="49"/>
      <c r="AI680" s="49"/>
      <c r="AJ680" s="49"/>
      <c r="AK680" s="49"/>
      <c r="AL680" s="49"/>
      <c r="AM680" s="49"/>
      <c r="AN680" s="49"/>
      <c r="AO680" s="49"/>
    </row>
    <row r="681" spans="1:41" ht="13">
      <c r="A681" s="49"/>
      <c r="B681" s="49"/>
      <c r="C681" s="47"/>
      <c r="D681" s="49"/>
      <c r="E681" s="49"/>
      <c r="F681" s="49" t="b">
        <v>0</v>
      </c>
      <c r="G681" s="49"/>
      <c r="H681" s="47"/>
      <c r="I681" s="47"/>
      <c r="J681" s="49"/>
      <c r="K681" s="49"/>
      <c r="L681" s="49"/>
      <c r="M681" s="49"/>
      <c r="N681" s="49"/>
      <c r="O681" s="49" t="b">
        <v>0</v>
      </c>
      <c r="P681" s="49"/>
      <c r="Q681" s="49"/>
      <c r="R681" s="49"/>
      <c r="S681" s="49"/>
      <c r="T681" s="49"/>
      <c r="U681" s="58"/>
      <c r="V681" s="49"/>
      <c r="W681" s="58"/>
      <c r="X681" s="49"/>
      <c r="Y681" s="47"/>
      <c r="Z681" s="49"/>
      <c r="AA681" s="49"/>
      <c r="AB681" s="49"/>
      <c r="AC681" s="49"/>
      <c r="AD681" s="49"/>
      <c r="AE681" s="49"/>
      <c r="AF681" s="49"/>
      <c r="AG681" s="49"/>
      <c r="AH681" s="49"/>
      <c r="AI681" s="49"/>
      <c r="AJ681" s="49"/>
      <c r="AK681" s="49"/>
      <c r="AL681" s="49"/>
      <c r="AM681" s="49"/>
      <c r="AN681" s="49"/>
      <c r="AO681" s="49"/>
    </row>
    <row r="682" spans="1:41" ht="13">
      <c r="A682" s="49"/>
      <c r="B682" s="49"/>
      <c r="C682" s="47"/>
      <c r="D682" s="49"/>
      <c r="E682" s="49"/>
      <c r="F682" s="49" t="b">
        <v>0</v>
      </c>
      <c r="G682" s="49"/>
      <c r="H682" s="47"/>
      <c r="I682" s="47"/>
      <c r="J682" s="49"/>
      <c r="K682" s="49"/>
      <c r="L682" s="49"/>
      <c r="M682" s="49"/>
      <c r="N682" s="49"/>
      <c r="O682" s="49" t="b">
        <v>0</v>
      </c>
      <c r="P682" s="49"/>
      <c r="Q682" s="49"/>
      <c r="R682" s="49"/>
      <c r="S682" s="49"/>
      <c r="T682" s="49"/>
      <c r="U682" s="58"/>
      <c r="V682" s="49"/>
      <c r="W682" s="58"/>
      <c r="X682" s="49"/>
      <c r="Y682" s="47"/>
      <c r="Z682" s="49"/>
      <c r="AA682" s="49"/>
      <c r="AB682" s="49"/>
      <c r="AC682" s="49"/>
      <c r="AD682" s="49"/>
      <c r="AE682" s="49"/>
      <c r="AF682" s="49"/>
      <c r="AG682" s="49"/>
      <c r="AH682" s="49"/>
      <c r="AI682" s="49"/>
      <c r="AJ682" s="49"/>
      <c r="AK682" s="49"/>
      <c r="AL682" s="49"/>
      <c r="AM682" s="49"/>
      <c r="AN682" s="49"/>
      <c r="AO682" s="49"/>
    </row>
    <row r="683" spans="1:41" ht="13">
      <c r="A683" s="49"/>
      <c r="B683" s="49"/>
      <c r="C683" s="47"/>
      <c r="D683" s="49"/>
      <c r="E683" s="49"/>
      <c r="F683" s="49" t="b">
        <v>0</v>
      </c>
      <c r="G683" s="49"/>
      <c r="H683" s="47"/>
      <c r="I683" s="47"/>
      <c r="J683" s="49"/>
      <c r="K683" s="49"/>
      <c r="L683" s="49"/>
      <c r="M683" s="49"/>
      <c r="N683" s="49"/>
      <c r="O683" s="49" t="b">
        <v>0</v>
      </c>
      <c r="P683" s="49"/>
      <c r="Q683" s="49"/>
      <c r="R683" s="49"/>
      <c r="S683" s="49"/>
      <c r="T683" s="49"/>
      <c r="U683" s="58"/>
      <c r="V683" s="49"/>
      <c r="W683" s="58"/>
      <c r="X683" s="49"/>
      <c r="Y683" s="47"/>
      <c r="Z683" s="49"/>
      <c r="AA683" s="49"/>
      <c r="AB683" s="49"/>
      <c r="AC683" s="49"/>
      <c r="AD683" s="49"/>
      <c r="AE683" s="49"/>
      <c r="AF683" s="49"/>
      <c r="AG683" s="49"/>
      <c r="AH683" s="49"/>
      <c r="AI683" s="49"/>
      <c r="AJ683" s="49"/>
      <c r="AK683" s="49"/>
      <c r="AL683" s="49"/>
      <c r="AM683" s="49"/>
      <c r="AN683" s="49"/>
      <c r="AO683" s="49"/>
    </row>
    <row r="684" spans="1:41" ht="13">
      <c r="A684" s="49"/>
      <c r="B684" s="49"/>
      <c r="C684" s="47"/>
      <c r="D684" s="49"/>
      <c r="E684" s="49"/>
      <c r="F684" s="49" t="b">
        <v>0</v>
      </c>
      <c r="G684" s="49"/>
      <c r="H684" s="47"/>
      <c r="I684" s="47"/>
      <c r="J684" s="49"/>
      <c r="K684" s="49"/>
      <c r="L684" s="49"/>
      <c r="M684" s="49"/>
      <c r="N684" s="49"/>
      <c r="O684" s="49" t="b">
        <v>0</v>
      </c>
      <c r="P684" s="49"/>
      <c r="Q684" s="49"/>
      <c r="R684" s="49"/>
      <c r="S684" s="49"/>
      <c r="T684" s="49"/>
      <c r="U684" s="58"/>
      <c r="V684" s="49"/>
      <c r="W684" s="58"/>
      <c r="X684" s="49"/>
      <c r="Y684" s="47"/>
      <c r="Z684" s="49"/>
      <c r="AA684" s="49"/>
      <c r="AB684" s="49"/>
      <c r="AC684" s="49"/>
      <c r="AD684" s="49"/>
      <c r="AE684" s="49"/>
      <c r="AF684" s="49"/>
      <c r="AG684" s="49"/>
      <c r="AH684" s="49"/>
      <c r="AI684" s="49"/>
      <c r="AJ684" s="49"/>
      <c r="AK684" s="49"/>
      <c r="AL684" s="49"/>
      <c r="AM684" s="49"/>
      <c r="AN684" s="49"/>
      <c r="AO684" s="49"/>
    </row>
    <row r="685" spans="1:41" ht="13">
      <c r="A685" s="49"/>
      <c r="B685" s="49"/>
      <c r="C685" s="47"/>
      <c r="D685" s="49"/>
      <c r="E685" s="49"/>
      <c r="F685" s="49" t="b">
        <v>0</v>
      </c>
      <c r="G685" s="49"/>
      <c r="H685" s="47"/>
      <c r="I685" s="47"/>
      <c r="J685" s="49"/>
      <c r="K685" s="49"/>
      <c r="L685" s="49"/>
      <c r="M685" s="49"/>
      <c r="N685" s="49"/>
      <c r="O685" s="49" t="b">
        <v>0</v>
      </c>
      <c r="P685" s="49"/>
      <c r="Q685" s="49"/>
      <c r="R685" s="49"/>
      <c r="S685" s="49"/>
      <c r="T685" s="49"/>
      <c r="U685" s="58"/>
      <c r="V685" s="49"/>
      <c r="W685" s="58"/>
      <c r="X685" s="49"/>
      <c r="Y685" s="47"/>
      <c r="Z685" s="49"/>
      <c r="AA685" s="49"/>
      <c r="AB685" s="49"/>
      <c r="AC685" s="49"/>
      <c r="AD685" s="49"/>
      <c r="AE685" s="49"/>
      <c r="AF685" s="49"/>
      <c r="AG685" s="49"/>
      <c r="AH685" s="49"/>
      <c r="AI685" s="49"/>
      <c r="AJ685" s="49"/>
      <c r="AK685" s="49"/>
      <c r="AL685" s="49"/>
      <c r="AM685" s="49"/>
      <c r="AN685" s="49"/>
      <c r="AO685" s="49"/>
    </row>
    <row r="686" spans="1:41" ht="13">
      <c r="A686" s="49"/>
      <c r="B686" s="49"/>
      <c r="C686" s="47"/>
      <c r="D686" s="49"/>
      <c r="E686" s="49"/>
      <c r="F686" s="49" t="b">
        <v>0</v>
      </c>
      <c r="G686" s="49"/>
      <c r="H686" s="47"/>
      <c r="I686" s="47"/>
      <c r="J686" s="49"/>
      <c r="K686" s="49"/>
      <c r="L686" s="49"/>
      <c r="M686" s="49"/>
      <c r="N686" s="49"/>
      <c r="O686" s="49" t="b">
        <v>0</v>
      </c>
      <c r="P686" s="49"/>
      <c r="Q686" s="49"/>
      <c r="R686" s="49"/>
      <c r="S686" s="49"/>
      <c r="T686" s="49"/>
      <c r="U686" s="58"/>
      <c r="V686" s="49"/>
      <c r="W686" s="58"/>
      <c r="X686" s="49"/>
      <c r="Y686" s="47"/>
      <c r="Z686" s="49"/>
      <c r="AA686" s="49"/>
      <c r="AB686" s="49"/>
      <c r="AC686" s="49"/>
      <c r="AD686" s="49"/>
      <c r="AE686" s="49"/>
      <c r="AF686" s="49"/>
      <c r="AG686" s="49"/>
      <c r="AH686" s="49"/>
      <c r="AI686" s="49"/>
      <c r="AJ686" s="49"/>
      <c r="AK686" s="49"/>
      <c r="AL686" s="49"/>
      <c r="AM686" s="49"/>
      <c r="AN686" s="49"/>
      <c r="AO686" s="49"/>
    </row>
    <row r="687" spans="1:41" ht="13">
      <c r="A687" s="49"/>
      <c r="B687" s="49"/>
      <c r="C687" s="47"/>
      <c r="D687" s="49"/>
      <c r="E687" s="49"/>
      <c r="F687" s="49" t="b">
        <v>0</v>
      </c>
      <c r="G687" s="49"/>
      <c r="H687" s="47"/>
      <c r="I687" s="47"/>
      <c r="J687" s="49"/>
      <c r="K687" s="49"/>
      <c r="L687" s="49"/>
      <c r="M687" s="49"/>
      <c r="N687" s="49"/>
      <c r="O687" s="49" t="b">
        <v>0</v>
      </c>
      <c r="P687" s="49"/>
      <c r="Q687" s="49"/>
      <c r="R687" s="49"/>
      <c r="S687" s="49"/>
      <c r="T687" s="49"/>
      <c r="U687" s="58"/>
      <c r="V687" s="49"/>
      <c r="W687" s="58"/>
      <c r="X687" s="49"/>
      <c r="Y687" s="47"/>
      <c r="Z687" s="49"/>
      <c r="AA687" s="49"/>
      <c r="AB687" s="49"/>
      <c r="AC687" s="49"/>
      <c r="AD687" s="49"/>
      <c r="AE687" s="49"/>
      <c r="AF687" s="49"/>
      <c r="AG687" s="49"/>
      <c r="AH687" s="49"/>
      <c r="AI687" s="49"/>
      <c r="AJ687" s="49"/>
      <c r="AK687" s="49"/>
      <c r="AL687" s="49"/>
      <c r="AM687" s="49"/>
      <c r="AN687" s="49"/>
      <c r="AO687" s="49"/>
    </row>
    <row r="688" spans="1:41" ht="13">
      <c r="A688" s="49"/>
      <c r="B688" s="49"/>
      <c r="C688" s="47"/>
      <c r="D688" s="49"/>
      <c r="E688" s="49"/>
      <c r="F688" s="49" t="b">
        <v>0</v>
      </c>
      <c r="G688" s="49"/>
      <c r="H688" s="47"/>
      <c r="I688" s="47"/>
      <c r="J688" s="49"/>
      <c r="K688" s="49"/>
      <c r="L688" s="49"/>
      <c r="M688" s="49"/>
      <c r="N688" s="49"/>
      <c r="O688" s="49" t="b">
        <v>0</v>
      </c>
      <c r="P688" s="49"/>
      <c r="Q688" s="49"/>
      <c r="R688" s="49"/>
      <c r="S688" s="49"/>
      <c r="T688" s="49"/>
      <c r="U688" s="58"/>
      <c r="V688" s="49"/>
      <c r="W688" s="58"/>
      <c r="X688" s="49"/>
      <c r="Y688" s="47"/>
      <c r="Z688" s="49"/>
      <c r="AA688" s="49"/>
      <c r="AB688" s="49"/>
      <c r="AC688" s="49"/>
      <c r="AD688" s="49"/>
      <c r="AE688" s="49"/>
      <c r="AF688" s="49"/>
      <c r="AG688" s="49"/>
      <c r="AH688" s="49"/>
      <c r="AI688" s="49"/>
      <c r="AJ688" s="49"/>
      <c r="AK688" s="49"/>
      <c r="AL688" s="49"/>
      <c r="AM688" s="49"/>
      <c r="AN688" s="49"/>
      <c r="AO688" s="49"/>
    </row>
    <row r="689" spans="1:41" ht="13">
      <c r="A689" s="49"/>
      <c r="B689" s="49"/>
      <c r="C689" s="47"/>
      <c r="D689" s="49"/>
      <c r="E689" s="49"/>
      <c r="F689" s="49" t="b">
        <v>0</v>
      </c>
      <c r="G689" s="49"/>
      <c r="H689" s="47"/>
      <c r="I689" s="47"/>
      <c r="J689" s="49"/>
      <c r="K689" s="49"/>
      <c r="L689" s="49"/>
      <c r="M689" s="49"/>
      <c r="N689" s="49"/>
      <c r="O689" s="49" t="b">
        <v>0</v>
      </c>
      <c r="P689" s="49"/>
      <c r="Q689" s="49"/>
      <c r="R689" s="49"/>
      <c r="S689" s="49"/>
      <c r="T689" s="49"/>
      <c r="U689" s="58"/>
      <c r="V689" s="49"/>
      <c r="W689" s="58"/>
      <c r="X689" s="49"/>
      <c r="Y689" s="47"/>
      <c r="Z689" s="49"/>
      <c r="AA689" s="49"/>
      <c r="AB689" s="49"/>
      <c r="AC689" s="49"/>
      <c r="AD689" s="49"/>
      <c r="AE689" s="49"/>
      <c r="AF689" s="49"/>
      <c r="AG689" s="49"/>
      <c r="AH689" s="49"/>
      <c r="AI689" s="49"/>
      <c r="AJ689" s="49"/>
      <c r="AK689" s="49"/>
      <c r="AL689" s="49"/>
      <c r="AM689" s="49"/>
      <c r="AN689" s="49"/>
      <c r="AO689" s="49"/>
    </row>
    <row r="690" spans="1:41" ht="13">
      <c r="A690" s="49"/>
      <c r="B690" s="49"/>
      <c r="C690" s="47"/>
      <c r="D690" s="49"/>
      <c r="E690" s="49"/>
      <c r="F690" s="49" t="b">
        <v>0</v>
      </c>
      <c r="G690" s="49"/>
      <c r="H690" s="47"/>
      <c r="I690" s="47"/>
      <c r="J690" s="49"/>
      <c r="K690" s="49"/>
      <c r="L690" s="49"/>
      <c r="M690" s="49"/>
      <c r="N690" s="49"/>
      <c r="O690" s="49" t="b">
        <v>0</v>
      </c>
      <c r="P690" s="49"/>
      <c r="Q690" s="49"/>
      <c r="R690" s="49"/>
      <c r="S690" s="49"/>
      <c r="T690" s="49"/>
      <c r="U690" s="58"/>
      <c r="V690" s="49"/>
      <c r="W690" s="58"/>
      <c r="X690" s="49"/>
      <c r="Y690" s="47"/>
      <c r="Z690" s="49"/>
      <c r="AA690" s="49"/>
      <c r="AB690" s="49"/>
      <c r="AC690" s="49"/>
      <c r="AD690" s="49"/>
      <c r="AE690" s="49"/>
      <c r="AF690" s="49"/>
      <c r="AG690" s="49"/>
      <c r="AH690" s="49"/>
      <c r="AI690" s="49"/>
      <c r="AJ690" s="49"/>
      <c r="AK690" s="49"/>
      <c r="AL690" s="49"/>
      <c r="AM690" s="49"/>
      <c r="AN690" s="49"/>
      <c r="AO690" s="49"/>
    </row>
    <row r="691" spans="1:41" ht="13">
      <c r="A691" s="49"/>
      <c r="B691" s="49"/>
      <c r="C691" s="47"/>
      <c r="D691" s="49"/>
      <c r="E691" s="49"/>
      <c r="F691" s="49" t="b">
        <v>0</v>
      </c>
      <c r="G691" s="49"/>
      <c r="H691" s="47"/>
      <c r="I691" s="47"/>
      <c r="J691" s="49"/>
      <c r="K691" s="49"/>
      <c r="L691" s="49"/>
      <c r="M691" s="49"/>
      <c r="N691" s="49"/>
      <c r="O691" s="49" t="b">
        <v>0</v>
      </c>
      <c r="P691" s="49"/>
      <c r="Q691" s="49"/>
      <c r="R691" s="49"/>
      <c r="S691" s="49"/>
      <c r="T691" s="49"/>
      <c r="U691" s="58"/>
      <c r="V691" s="49"/>
      <c r="W691" s="58"/>
      <c r="X691" s="49"/>
      <c r="Y691" s="47"/>
      <c r="Z691" s="49"/>
      <c r="AA691" s="49"/>
      <c r="AB691" s="49"/>
      <c r="AC691" s="49"/>
      <c r="AD691" s="49"/>
      <c r="AE691" s="49"/>
      <c r="AF691" s="49"/>
      <c r="AG691" s="49"/>
      <c r="AH691" s="49"/>
      <c r="AI691" s="49"/>
      <c r="AJ691" s="49"/>
      <c r="AK691" s="49"/>
      <c r="AL691" s="49"/>
      <c r="AM691" s="49"/>
      <c r="AN691" s="49"/>
      <c r="AO691" s="49"/>
    </row>
    <row r="692" spans="1:41" ht="13">
      <c r="A692" s="49"/>
      <c r="B692" s="49"/>
      <c r="C692" s="47"/>
      <c r="D692" s="49"/>
      <c r="E692" s="49"/>
      <c r="F692" s="49" t="b">
        <v>0</v>
      </c>
      <c r="G692" s="49"/>
      <c r="H692" s="47"/>
      <c r="I692" s="47"/>
      <c r="J692" s="49"/>
      <c r="K692" s="49"/>
      <c r="L692" s="49"/>
      <c r="M692" s="49"/>
      <c r="N692" s="49"/>
      <c r="O692" s="49" t="b">
        <v>0</v>
      </c>
      <c r="P692" s="49"/>
      <c r="Q692" s="49"/>
      <c r="R692" s="49"/>
      <c r="S692" s="49"/>
      <c r="T692" s="49"/>
      <c r="U692" s="58"/>
      <c r="V692" s="49"/>
      <c r="W692" s="58"/>
      <c r="X692" s="49"/>
      <c r="Y692" s="47"/>
      <c r="Z692" s="49"/>
      <c r="AA692" s="49"/>
      <c r="AB692" s="49"/>
      <c r="AC692" s="49"/>
      <c r="AD692" s="49"/>
      <c r="AE692" s="49"/>
      <c r="AF692" s="49"/>
      <c r="AG692" s="49"/>
      <c r="AH692" s="49"/>
      <c r="AI692" s="49"/>
      <c r="AJ692" s="49"/>
      <c r="AK692" s="49"/>
      <c r="AL692" s="49"/>
      <c r="AM692" s="49"/>
      <c r="AN692" s="49"/>
      <c r="AO692" s="49"/>
    </row>
    <row r="693" spans="1:41" ht="13">
      <c r="A693" s="49"/>
      <c r="B693" s="49"/>
      <c r="C693" s="47"/>
      <c r="D693" s="49"/>
      <c r="E693" s="49"/>
      <c r="F693" s="49" t="b">
        <v>0</v>
      </c>
      <c r="G693" s="49"/>
      <c r="H693" s="47"/>
      <c r="I693" s="47"/>
      <c r="J693" s="49"/>
      <c r="K693" s="49"/>
      <c r="L693" s="49"/>
      <c r="M693" s="49"/>
      <c r="N693" s="49"/>
      <c r="O693" s="49" t="b">
        <v>0</v>
      </c>
      <c r="P693" s="49"/>
      <c r="Q693" s="49"/>
      <c r="R693" s="49"/>
      <c r="S693" s="49"/>
      <c r="T693" s="49"/>
      <c r="U693" s="58"/>
      <c r="V693" s="49"/>
      <c r="W693" s="58"/>
      <c r="X693" s="49"/>
      <c r="Y693" s="47"/>
      <c r="Z693" s="49"/>
      <c r="AA693" s="49"/>
      <c r="AB693" s="49"/>
      <c r="AC693" s="49"/>
      <c r="AD693" s="49"/>
      <c r="AE693" s="49"/>
      <c r="AF693" s="49"/>
      <c r="AG693" s="49"/>
      <c r="AH693" s="49"/>
      <c r="AI693" s="49"/>
      <c r="AJ693" s="49"/>
      <c r="AK693" s="49"/>
      <c r="AL693" s="49"/>
      <c r="AM693" s="49"/>
      <c r="AN693" s="49"/>
      <c r="AO693" s="49"/>
    </row>
    <row r="694" spans="1:41" ht="13">
      <c r="A694" s="49"/>
      <c r="B694" s="49"/>
      <c r="C694" s="47"/>
      <c r="D694" s="49"/>
      <c r="E694" s="49"/>
      <c r="F694" s="49" t="b">
        <v>0</v>
      </c>
      <c r="G694" s="49"/>
      <c r="H694" s="47"/>
      <c r="I694" s="47"/>
      <c r="J694" s="49"/>
      <c r="K694" s="49"/>
      <c r="L694" s="49"/>
      <c r="M694" s="49"/>
      <c r="N694" s="49"/>
      <c r="O694" s="49" t="b">
        <v>0</v>
      </c>
      <c r="P694" s="49"/>
      <c r="Q694" s="49"/>
      <c r="R694" s="49"/>
      <c r="S694" s="49"/>
      <c r="T694" s="49"/>
      <c r="U694" s="58"/>
      <c r="V694" s="49"/>
      <c r="W694" s="58"/>
      <c r="X694" s="49"/>
      <c r="Y694" s="47"/>
      <c r="Z694" s="49"/>
      <c r="AA694" s="49"/>
      <c r="AB694" s="49"/>
      <c r="AC694" s="49"/>
      <c r="AD694" s="49"/>
      <c r="AE694" s="49"/>
      <c r="AF694" s="49"/>
      <c r="AG694" s="49"/>
      <c r="AH694" s="49"/>
      <c r="AI694" s="49"/>
      <c r="AJ694" s="49"/>
      <c r="AK694" s="49"/>
      <c r="AL694" s="49"/>
      <c r="AM694" s="49"/>
      <c r="AN694" s="49"/>
      <c r="AO694" s="49"/>
    </row>
    <row r="695" spans="1:41" ht="13">
      <c r="A695" s="49"/>
      <c r="B695" s="49"/>
      <c r="C695" s="47"/>
      <c r="D695" s="49"/>
      <c r="E695" s="49"/>
      <c r="F695" s="49" t="b">
        <v>0</v>
      </c>
      <c r="G695" s="49"/>
      <c r="H695" s="47"/>
      <c r="I695" s="47"/>
      <c r="J695" s="49"/>
      <c r="K695" s="49"/>
      <c r="L695" s="49"/>
      <c r="M695" s="49"/>
      <c r="N695" s="49"/>
      <c r="O695" s="49" t="b">
        <v>0</v>
      </c>
      <c r="P695" s="49"/>
      <c r="Q695" s="49"/>
      <c r="R695" s="49"/>
      <c r="S695" s="49"/>
      <c r="T695" s="49"/>
      <c r="U695" s="58"/>
      <c r="V695" s="49"/>
      <c r="W695" s="58"/>
      <c r="X695" s="49"/>
      <c r="Y695" s="47"/>
      <c r="Z695" s="49"/>
      <c r="AA695" s="49"/>
      <c r="AB695" s="49"/>
      <c r="AC695" s="49"/>
      <c r="AD695" s="49"/>
      <c r="AE695" s="49"/>
      <c r="AF695" s="49"/>
      <c r="AG695" s="49"/>
      <c r="AH695" s="49"/>
      <c r="AI695" s="49"/>
      <c r="AJ695" s="49"/>
      <c r="AK695" s="49"/>
      <c r="AL695" s="49"/>
      <c r="AM695" s="49"/>
      <c r="AN695" s="49"/>
      <c r="AO695" s="49"/>
    </row>
    <row r="696" spans="1:41" ht="13">
      <c r="A696" s="49"/>
      <c r="B696" s="49"/>
      <c r="C696" s="47"/>
      <c r="D696" s="49"/>
      <c r="E696" s="49"/>
      <c r="F696" s="49" t="b">
        <v>0</v>
      </c>
      <c r="G696" s="49"/>
      <c r="H696" s="47"/>
      <c r="I696" s="47"/>
      <c r="J696" s="49"/>
      <c r="K696" s="49"/>
      <c r="L696" s="49"/>
      <c r="M696" s="49"/>
      <c r="N696" s="49"/>
      <c r="O696" s="49" t="b">
        <v>0</v>
      </c>
      <c r="P696" s="49"/>
      <c r="Q696" s="49"/>
      <c r="R696" s="49"/>
      <c r="S696" s="49"/>
      <c r="T696" s="49"/>
      <c r="U696" s="58"/>
      <c r="V696" s="49"/>
      <c r="W696" s="58"/>
      <c r="X696" s="49"/>
      <c r="Y696" s="47"/>
      <c r="Z696" s="49"/>
      <c r="AA696" s="49"/>
      <c r="AB696" s="49"/>
      <c r="AC696" s="49"/>
      <c r="AD696" s="49"/>
      <c r="AE696" s="49"/>
      <c r="AF696" s="49"/>
      <c r="AG696" s="49"/>
      <c r="AH696" s="49"/>
      <c r="AI696" s="49"/>
      <c r="AJ696" s="49"/>
      <c r="AK696" s="49"/>
      <c r="AL696" s="49"/>
      <c r="AM696" s="49"/>
      <c r="AN696" s="49"/>
      <c r="AO696" s="49"/>
    </row>
    <row r="697" spans="1:41" ht="13">
      <c r="A697" s="49"/>
      <c r="B697" s="49"/>
      <c r="C697" s="47"/>
      <c r="D697" s="49"/>
      <c r="E697" s="49"/>
      <c r="F697" s="49" t="b">
        <v>0</v>
      </c>
      <c r="G697" s="49"/>
      <c r="H697" s="47"/>
      <c r="I697" s="47"/>
      <c r="J697" s="49"/>
      <c r="K697" s="49"/>
      <c r="L697" s="49"/>
      <c r="M697" s="49"/>
      <c r="N697" s="49"/>
      <c r="O697" s="49" t="b">
        <v>0</v>
      </c>
      <c r="P697" s="49"/>
      <c r="Q697" s="49"/>
      <c r="R697" s="49"/>
      <c r="S697" s="49"/>
      <c r="T697" s="49"/>
      <c r="U697" s="58"/>
      <c r="V697" s="49"/>
      <c r="W697" s="58"/>
      <c r="X697" s="49"/>
      <c r="Y697" s="47"/>
      <c r="Z697" s="49"/>
      <c r="AA697" s="49"/>
      <c r="AB697" s="49"/>
      <c r="AC697" s="49"/>
      <c r="AD697" s="49"/>
      <c r="AE697" s="49"/>
      <c r="AF697" s="49"/>
      <c r="AG697" s="49"/>
      <c r="AH697" s="49"/>
      <c r="AI697" s="49"/>
      <c r="AJ697" s="49"/>
      <c r="AK697" s="49"/>
      <c r="AL697" s="49"/>
      <c r="AM697" s="49"/>
      <c r="AN697" s="49"/>
      <c r="AO697" s="49"/>
    </row>
    <row r="698" spans="1:41" ht="13">
      <c r="A698" s="49"/>
      <c r="B698" s="49"/>
      <c r="C698" s="47"/>
      <c r="D698" s="49"/>
      <c r="E698" s="49"/>
      <c r="F698" s="49" t="b">
        <v>0</v>
      </c>
      <c r="G698" s="49"/>
      <c r="H698" s="47"/>
      <c r="I698" s="47"/>
      <c r="J698" s="49"/>
      <c r="K698" s="49"/>
      <c r="L698" s="49"/>
      <c r="M698" s="49"/>
      <c r="N698" s="49"/>
      <c r="O698" s="49" t="b">
        <v>0</v>
      </c>
      <c r="P698" s="49"/>
      <c r="Q698" s="49"/>
      <c r="R698" s="49"/>
      <c r="S698" s="49"/>
      <c r="T698" s="49"/>
      <c r="U698" s="58"/>
      <c r="V698" s="49"/>
      <c r="W698" s="58"/>
      <c r="X698" s="49"/>
      <c r="Y698" s="47"/>
      <c r="Z698" s="49"/>
      <c r="AA698" s="49"/>
      <c r="AB698" s="49"/>
      <c r="AC698" s="49"/>
      <c r="AD698" s="49"/>
      <c r="AE698" s="49"/>
      <c r="AF698" s="49"/>
      <c r="AG698" s="49"/>
      <c r="AH698" s="49"/>
      <c r="AI698" s="49"/>
      <c r="AJ698" s="49"/>
      <c r="AK698" s="49"/>
      <c r="AL698" s="49"/>
      <c r="AM698" s="49"/>
      <c r="AN698" s="49"/>
      <c r="AO698" s="49"/>
    </row>
    <row r="699" spans="1:41" ht="13">
      <c r="A699" s="49"/>
      <c r="B699" s="49"/>
      <c r="C699" s="47"/>
      <c r="D699" s="49"/>
      <c r="E699" s="49"/>
      <c r="F699" s="49" t="b">
        <v>0</v>
      </c>
      <c r="G699" s="49"/>
      <c r="H699" s="47"/>
      <c r="I699" s="47"/>
      <c r="J699" s="49"/>
      <c r="K699" s="49"/>
      <c r="L699" s="49"/>
      <c r="M699" s="49"/>
      <c r="N699" s="49"/>
      <c r="O699" s="49" t="b">
        <v>0</v>
      </c>
      <c r="P699" s="49"/>
      <c r="Q699" s="49"/>
      <c r="R699" s="49"/>
      <c r="S699" s="49"/>
      <c r="T699" s="49"/>
      <c r="U699" s="58"/>
      <c r="V699" s="49"/>
      <c r="W699" s="58"/>
      <c r="X699" s="49"/>
      <c r="Y699" s="47"/>
      <c r="Z699" s="49"/>
      <c r="AA699" s="49"/>
      <c r="AB699" s="49"/>
      <c r="AC699" s="49"/>
      <c r="AD699" s="49"/>
      <c r="AE699" s="49"/>
      <c r="AF699" s="49"/>
      <c r="AG699" s="49"/>
      <c r="AH699" s="49"/>
      <c r="AI699" s="49"/>
      <c r="AJ699" s="49"/>
      <c r="AK699" s="49"/>
      <c r="AL699" s="49"/>
      <c r="AM699" s="49"/>
      <c r="AN699" s="49"/>
      <c r="AO699" s="49"/>
    </row>
    <row r="700" spans="1:41" ht="13">
      <c r="A700" s="49"/>
      <c r="B700" s="49"/>
      <c r="C700" s="47"/>
      <c r="D700" s="49"/>
      <c r="E700" s="49"/>
      <c r="F700" s="49" t="b">
        <v>0</v>
      </c>
      <c r="G700" s="49"/>
      <c r="H700" s="47"/>
      <c r="I700" s="47"/>
      <c r="J700" s="49"/>
      <c r="K700" s="49"/>
      <c r="L700" s="49"/>
      <c r="M700" s="49"/>
      <c r="N700" s="49"/>
      <c r="O700" s="49" t="b">
        <v>0</v>
      </c>
      <c r="P700" s="49"/>
      <c r="Q700" s="49"/>
      <c r="R700" s="49"/>
      <c r="S700" s="49"/>
      <c r="T700" s="49"/>
      <c r="U700" s="58"/>
      <c r="V700" s="49"/>
      <c r="W700" s="58"/>
      <c r="X700" s="49"/>
      <c r="Y700" s="47"/>
      <c r="Z700" s="49"/>
      <c r="AA700" s="49"/>
      <c r="AB700" s="49"/>
      <c r="AC700" s="49"/>
      <c r="AD700" s="49"/>
      <c r="AE700" s="49"/>
      <c r="AF700" s="49"/>
      <c r="AG700" s="49"/>
      <c r="AH700" s="49"/>
      <c r="AI700" s="49"/>
      <c r="AJ700" s="49"/>
      <c r="AK700" s="49"/>
      <c r="AL700" s="49"/>
      <c r="AM700" s="49"/>
      <c r="AN700" s="49"/>
      <c r="AO700" s="49"/>
    </row>
    <row r="701" spans="1:41" ht="13">
      <c r="A701" s="49"/>
      <c r="B701" s="49"/>
      <c r="C701" s="47"/>
      <c r="D701" s="49"/>
      <c r="E701" s="49"/>
      <c r="F701" s="49" t="b">
        <v>0</v>
      </c>
      <c r="G701" s="49"/>
      <c r="H701" s="47"/>
      <c r="I701" s="47"/>
      <c r="J701" s="49"/>
      <c r="K701" s="49"/>
      <c r="L701" s="49"/>
      <c r="M701" s="49"/>
      <c r="N701" s="49"/>
      <c r="O701" s="49" t="b">
        <v>0</v>
      </c>
      <c r="P701" s="49"/>
      <c r="Q701" s="49"/>
      <c r="R701" s="49"/>
      <c r="S701" s="49"/>
      <c r="T701" s="49"/>
      <c r="U701" s="58"/>
      <c r="V701" s="49"/>
      <c r="W701" s="58"/>
      <c r="X701" s="49"/>
      <c r="Y701" s="47"/>
      <c r="Z701" s="49"/>
      <c r="AA701" s="49"/>
      <c r="AB701" s="49"/>
      <c r="AC701" s="49"/>
      <c r="AD701" s="49"/>
      <c r="AE701" s="49"/>
      <c r="AF701" s="49"/>
      <c r="AG701" s="49"/>
      <c r="AH701" s="49"/>
      <c r="AI701" s="49"/>
      <c r="AJ701" s="49"/>
      <c r="AK701" s="49"/>
      <c r="AL701" s="49"/>
      <c r="AM701" s="49"/>
      <c r="AN701" s="49"/>
      <c r="AO701" s="49"/>
    </row>
    <row r="702" spans="1:41" ht="13">
      <c r="A702" s="49"/>
      <c r="B702" s="49"/>
      <c r="C702" s="47"/>
      <c r="D702" s="49"/>
      <c r="E702" s="49"/>
      <c r="F702" s="49" t="b">
        <v>0</v>
      </c>
      <c r="G702" s="49"/>
      <c r="H702" s="47"/>
      <c r="I702" s="47"/>
      <c r="J702" s="49"/>
      <c r="K702" s="49"/>
      <c r="L702" s="49"/>
      <c r="M702" s="49"/>
      <c r="N702" s="49"/>
      <c r="O702" s="49" t="b">
        <v>0</v>
      </c>
      <c r="P702" s="49"/>
      <c r="Q702" s="49"/>
      <c r="R702" s="49"/>
      <c r="S702" s="49"/>
      <c r="T702" s="49"/>
      <c r="U702" s="58"/>
      <c r="V702" s="49"/>
      <c r="W702" s="58"/>
      <c r="X702" s="49"/>
      <c r="Y702" s="47"/>
      <c r="Z702" s="49"/>
      <c r="AA702" s="49"/>
      <c r="AB702" s="49"/>
      <c r="AC702" s="49"/>
      <c r="AD702" s="49"/>
      <c r="AE702" s="49"/>
      <c r="AF702" s="49"/>
      <c r="AG702" s="49"/>
      <c r="AH702" s="49"/>
      <c r="AI702" s="49"/>
      <c r="AJ702" s="49"/>
      <c r="AK702" s="49"/>
      <c r="AL702" s="49"/>
      <c r="AM702" s="49"/>
      <c r="AN702" s="49"/>
      <c r="AO702" s="49"/>
    </row>
    <row r="703" spans="1:41" ht="13">
      <c r="A703" s="49"/>
      <c r="B703" s="49"/>
      <c r="C703" s="47"/>
      <c r="D703" s="49"/>
      <c r="E703" s="49"/>
      <c r="F703" s="49" t="b">
        <v>0</v>
      </c>
      <c r="G703" s="49"/>
      <c r="H703" s="47"/>
      <c r="I703" s="47"/>
      <c r="J703" s="49"/>
      <c r="K703" s="49"/>
      <c r="L703" s="49"/>
      <c r="M703" s="49"/>
      <c r="N703" s="49"/>
      <c r="O703" s="49" t="b">
        <v>0</v>
      </c>
      <c r="P703" s="49"/>
      <c r="Q703" s="49"/>
      <c r="R703" s="49"/>
      <c r="S703" s="49"/>
      <c r="T703" s="49"/>
      <c r="U703" s="58"/>
      <c r="V703" s="49"/>
      <c r="W703" s="58"/>
      <c r="X703" s="49"/>
      <c r="Y703" s="47"/>
      <c r="Z703" s="49"/>
      <c r="AA703" s="49"/>
      <c r="AB703" s="49"/>
      <c r="AC703" s="49"/>
      <c r="AD703" s="49"/>
      <c r="AE703" s="49"/>
      <c r="AF703" s="49"/>
      <c r="AG703" s="49"/>
      <c r="AH703" s="49"/>
      <c r="AI703" s="49"/>
      <c r="AJ703" s="49"/>
      <c r="AK703" s="49"/>
      <c r="AL703" s="49"/>
      <c r="AM703" s="49"/>
      <c r="AN703" s="49"/>
      <c r="AO703" s="49"/>
    </row>
    <row r="704" spans="1:41" ht="13">
      <c r="A704" s="49"/>
      <c r="B704" s="49"/>
      <c r="C704" s="47"/>
      <c r="D704" s="49"/>
      <c r="E704" s="49"/>
      <c r="F704" s="49" t="b">
        <v>0</v>
      </c>
      <c r="G704" s="49"/>
      <c r="H704" s="47"/>
      <c r="I704" s="47"/>
      <c r="J704" s="49"/>
      <c r="K704" s="49"/>
      <c r="L704" s="49"/>
      <c r="M704" s="49"/>
      <c r="N704" s="49"/>
      <c r="O704" s="49" t="b">
        <v>0</v>
      </c>
      <c r="P704" s="49"/>
      <c r="Q704" s="49"/>
      <c r="R704" s="49"/>
      <c r="S704" s="49"/>
      <c r="T704" s="49"/>
      <c r="U704" s="58"/>
      <c r="V704" s="49"/>
      <c r="W704" s="58"/>
      <c r="X704" s="49"/>
      <c r="Y704" s="47"/>
      <c r="Z704" s="49"/>
      <c r="AA704" s="49"/>
      <c r="AB704" s="49"/>
      <c r="AC704" s="49"/>
      <c r="AD704" s="49"/>
      <c r="AE704" s="49"/>
      <c r="AF704" s="49"/>
      <c r="AG704" s="49"/>
      <c r="AH704" s="49"/>
      <c r="AI704" s="49"/>
      <c r="AJ704" s="49"/>
      <c r="AK704" s="49"/>
      <c r="AL704" s="49"/>
      <c r="AM704" s="49"/>
      <c r="AN704" s="49"/>
      <c r="AO704" s="49"/>
    </row>
    <row r="705" spans="1:41" ht="13">
      <c r="A705" s="49"/>
      <c r="B705" s="49"/>
      <c r="C705" s="47"/>
      <c r="D705" s="49"/>
      <c r="E705" s="49"/>
      <c r="F705" s="49" t="b">
        <v>0</v>
      </c>
      <c r="G705" s="49"/>
      <c r="H705" s="47"/>
      <c r="I705" s="47"/>
      <c r="J705" s="49"/>
      <c r="K705" s="49"/>
      <c r="L705" s="49"/>
      <c r="M705" s="49"/>
      <c r="N705" s="49"/>
      <c r="O705" s="49" t="b">
        <v>0</v>
      </c>
      <c r="P705" s="49"/>
      <c r="Q705" s="49"/>
      <c r="R705" s="49"/>
      <c r="S705" s="49"/>
      <c r="T705" s="49"/>
      <c r="U705" s="58"/>
      <c r="V705" s="49"/>
      <c r="W705" s="58"/>
      <c r="X705" s="49"/>
      <c r="Y705" s="47"/>
      <c r="Z705" s="49"/>
      <c r="AA705" s="49"/>
      <c r="AB705" s="49"/>
      <c r="AC705" s="49"/>
      <c r="AD705" s="49"/>
      <c r="AE705" s="49"/>
      <c r="AF705" s="49"/>
      <c r="AG705" s="49"/>
      <c r="AH705" s="49"/>
      <c r="AI705" s="49"/>
      <c r="AJ705" s="49"/>
      <c r="AK705" s="49"/>
      <c r="AL705" s="49"/>
      <c r="AM705" s="49"/>
      <c r="AN705" s="49"/>
      <c r="AO705" s="49"/>
    </row>
    <row r="706" spans="1:41" ht="13">
      <c r="A706" s="49"/>
      <c r="B706" s="49"/>
      <c r="C706" s="47"/>
      <c r="D706" s="49"/>
      <c r="E706" s="49"/>
      <c r="F706" s="49" t="b">
        <v>0</v>
      </c>
      <c r="G706" s="49"/>
      <c r="H706" s="47"/>
      <c r="I706" s="47"/>
      <c r="J706" s="49"/>
      <c r="K706" s="49"/>
      <c r="L706" s="49"/>
      <c r="M706" s="49"/>
      <c r="N706" s="49"/>
      <c r="O706" s="49" t="b">
        <v>0</v>
      </c>
      <c r="P706" s="49"/>
      <c r="Q706" s="49"/>
      <c r="R706" s="49"/>
      <c r="S706" s="49"/>
      <c r="T706" s="49"/>
      <c r="U706" s="58"/>
      <c r="V706" s="49"/>
      <c r="W706" s="58"/>
      <c r="X706" s="49"/>
      <c r="Y706" s="47"/>
      <c r="Z706" s="49"/>
      <c r="AA706" s="49"/>
      <c r="AB706" s="49"/>
      <c r="AC706" s="49"/>
      <c r="AD706" s="49"/>
      <c r="AE706" s="49"/>
      <c r="AF706" s="49"/>
      <c r="AG706" s="49"/>
      <c r="AH706" s="49"/>
      <c r="AI706" s="49"/>
      <c r="AJ706" s="49"/>
      <c r="AK706" s="49"/>
      <c r="AL706" s="49"/>
      <c r="AM706" s="49"/>
      <c r="AN706" s="49"/>
      <c r="AO706" s="49"/>
    </row>
    <row r="707" spans="1:41" ht="13">
      <c r="A707" s="49"/>
      <c r="B707" s="49"/>
      <c r="C707" s="47"/>
      <c r="D707" s="49"/>
      <c r="E707" s="49"/>
      <c r="F707" s="49" t="b">
        <v>0</v>
      </c>
      <c r="G707" s="49"/>
      <c r="H707" s="47"/>
      <c r="I707" s="47"/>
      <c r="J707" s="49"/>
      <c r="K707" s="49"/>
      <c r="L707" s="49"/>
      <c r="M707" s="49"/>
      <c r="N707" s="49"/>
      <c r="O707" s="49" t="b">
        <v>0</v>
      </c>
      <c r="P707" s="49"/>
      <c r="Q707" s="49"/>
      <c r="R707" s="49"/>
      <c r="S707" s="49"/>
      <c r="T707" s="49"/>
      <c r="U707" s="58"/>
      <c r="V707" s="49"/>
      <c r="W707" s="58"/>
      <c r="X707" s="49"/>
      <c r="Y707" s="47"/>
      <c r="Z707" s="49"/>
      <c r="AA707" s="49"/>
      <c r="AB707" s="49"/>
      <c r="AC707" s="49"/>
      <c r="AD707" s="49"/>
      <c r="AE707" s="49"/>
      <c r="AF707" s="49"/>
      <c r="AG707" s="49"/>
      <c r="AH707" s="49"/>
      <c r="AI707" s="49"/>
      <c r="AJ707" s="49"/>
      <c r="AK707" s="49"/>
      <c r="AL707" s="49"/>
      <c r="AM707" s="49"/>
      <c r="AN707" s="49"/>
      <c r="AO707" s="49"/>
    </row>
    <row r="708" spans="1:41" ht="13">
      <c r="A708" s="49"/>
      <c r="B708" s="49"/>
      <c r="C708" s="47"/>
      <c r="D708" s="49"/>
      <c r="E708" s="49"/>
      <c r="F708" s="49" t="b">
        <v>0</v>
      </c>
      <c r="G708" s="49"/>
      <c r="H708" s="47"/>
      <c r="I708" s="47"/>
      <c r="J708" s="49"/>
      <c r="K708" s="49"/>
      <c r="L708" s="49"/>
      <c r="M708" s="49"/>
      <c r="N708" s="49"/>
      <c r="O708" s="49" t="b">
        <v>0</v>
      </c>
      <c r="P708" s="49"/>
      <c r="Q708" s="49"/>
      <c r="R708" s="49"/>
      <c r="S708" s="49"/>
      <c r="T708" s="49"/>
      <c r="U708" s="58"/>
      <c r="V708" s="49"/>
      <c r="W708" s="58"/>
      <c r="X708" s="49"/>
      <c r="Y708" s="47"/>
      <c r="Z708" s="49"/>
      <c r="AA708" s="49"/>
      <c r="AB708" s="49"/>
      <c r="AC708" s="49"/>
      <c r="AD708" s="49"/>
      <c r="AE708" s="49"/>
      <c r="AF708" s="49"/>
      <c r="AG708" s="49"/>
      <c r="AH708" s="49"/>
      <c r="AI708" s="49"/>
      <c r="AJ708" s="49"/>
      <c r="AK708" s="49"/>
      <c r="AL708" s="49"/>
      <c r="AM708" s="49"/>
      <c r="AN708" s="49"/>
      <c r="AO708" s="49"/>
    </row>
    <row r="709" spans="1:41" ht="13">
      <c r="A709" s="49"/>
      <c r="B709" s="49"/>
      <c r="C709" s="47"/>
      <c r="D709" s="49"/>
      <c r="E709" s="49"/>
      <c r="F709" s="49" t="b">
        <v>0</v>
      </c>
      <c r="G709" s="49"/>
      <c r="H709" s="47"/>
      <c r="I709" s="47"/>
      <c r="J709" s="49"/>
      <c r="K709" s="49"/>
      <c r="L709" s="49"/>
      <c r="M709" s="49"/>
      <c r="N709" s="49"/>
      <c r="O709" s="49" t="b">
        <v>0</v>
      </c>
      <c r="P709" s="49"/>
      <c r="Q709" s="49"/>
      <c r="R709" s="49"/>
      <c r="S709" s="49"/>
      <c r="T709" s="49"/>
      <c r="U709" s="58"/>
      <c r="V709" s="49"/>
      <c r="W709" s="58"/>
      <c r="X709" s="49"/>
      <c r="Y709" s="47"/>
      <c r="Z709" s="49"/>
      <c r="AA709" s="49"/>
      <c r="AB709" s="49"/>
      <c r="AC709" s="49"/>
      <c r="AD709" s="49"/>
      <c r="AE709" s="49"/>
      <c r="AF709" s="49"/>
      <c r="AG709" s="49"/>
      <c r="AH709" s="49"/>
      <c r="AI709" s="49"/>
      <c r="AJ709" s="49"/>
      <c r="AK709" s="49"/>
      <c r="AL709" s="49"/>
      <c r="AM709" s="49"/>
      <c r="AN709" s="49"/>
      <c r="AO709" s="49"/>
    </row>
    <row r="710" spans="1:41" ht="13">
      <c r="A710" s="49"/>
      <c r="B710" s="49"/>
      <c r="C710" s="47"/>
      <c r="D710" s="49"/>
      <c r="E710" s="49"/>
      <c r="F710" s="49" t="b">
        <v>0</v>
      </c>
      <c r="G710" s="49"/>
      <c r="H710" s="47"/>
      <c r="I710" s="47"/>
      <c r="J710" s="49"/>
      <c r="K710" s="49"/>
      <c r="L710" s="49"/>
      <c r="M710" s="49"/>
      <c r="N710" s="49"/>
      <c r="O710" s="49" t="b">
        <v>0</v>
      </c>
      <c r="P710" s="49"/>
      <c r="Q710" s="49"/>
      <c r="R710" s="49"/>
      <c r="S710" s="49"/>
      <c r="T710" s="49"/>
      <c r="U710" s="58"/>
      <c r="V710" s="49"/>
      <c r="W710" s="58"/>
      <c r="X710" s="49"/>
      <c r="Y710" s="47"/>
      <c r="Z710" s="49"/>
      <c r="AA710" s="49"/>
      <c r="AB710" s="49"/>
      <c r="AC710" s="49"/>
      <c r="AD710" s="49"/>
      <c r="AE710" s="49"/>
      <c r="AF710" s="49"/>
      <c r="AG710" s="49"/>
      <c r="AH710" s="49"/>
      <c r="AI710" s="49"/>
      <c r="AJ710" s="49"/>
      <c r="AK710" s="49"/>
      <c r="AL710" s="49"/>
      <c r="AM710" s="49"/>
      <c r="AN710" s="49"/>
      <c r="AO710" s="49"/>
    </row>
    <row r="711" spans="1:41" ht="13">
      <c r="A711" s="49"/>
      <c r="B711" s="49"/>
      <c r="C711" s="47"/>
      <c r="D711" s="49"/>
      <c r="E711" s="49"/>
      <c r="F711" s="49" t="b">
        <v>0</v>
      </c>
      <c r="G711" s="49"/>
      <c r="H711" s="47"/>
      <c r="I711" s="47"/>
      <c r="J711" s="49"/>
      <c r="K711" s="49"/>
      <c r="L711" s="49"/>
      <c r="M711" s="49"/>
      <c r="N711" s="49"/>
      <c r="O711" s="49" t="b">
        <v>0</v>
      </c>
      <c r="P711" s="49"/>
      <c r="Q711" s="49"/>
      <c r="R711" s="49"/>
      <c r="S711" s="49"/>
      <c r="T711" s="49"/>
      <c r="U711" s="58"/>
      <c r="V711" s="49"/>
      <c r="W711" s="58"/>
      <c r="X711" s="49"/>
      <c r="Y711" s="47"/>
      <c r="Z711" s="49"/>
      <c r="AA711" s="49"/>
      <c r="AB711" s="49"/>
      <c r="AC711" s="49"/>
      <c r="AD711" s="49"/>
      <c r="AE711" s="49"/>
      <c r="AF711" s="49"/>
      <c r="AG711" s="49"/>
      <c r="AH711" s="49"/>
      <c r="AI711" s="49"/>
      <c r="AJ711" s="49"/>
      <c r="AK711" s="49"/>
      <c r="AL711" s="49"/>
      <c r="AM711" s="49"/>
      <c r="AN711" s="49"/>
      <c r="AO711" s="49"/>
    </row>
    <row r="712" spans="1:41" ht="13">
      <c r="A712" s="49"/>
      <c r="B712" s="49"/>
      <c r="C712" s="47"/>
      <c r="D712" s="49"/>
      <c r="E712" s="49"/>
      <c r="F712" s="49" t="b">
        <v>0</v>
      </c>
      <c r="G712" s="49"/>
      <c r="H712" s="47"/>
      <c r="I712" s="47"/>
      <c r="J712" s="49"/>
      <c r="K712" s="49"/>
      <c r="L712" s="49"/>
      <c r="M712" s="49"/>
      <c r="N712" s="49"/>
      <c r="O712" s="49" t="b">
        <v>0</v>
      </c>
      <c r="P712" s="49"/>
      <c r="Q712" s="49"/>
      <c r="R712" s="49"/>
      <c r="S712" s="49"/>
      <c r="T712" s="49"/>
      <c r="U712" s="58"/>
      <c r="V712" s="49"/>
      <c r="W712" s="58"/>
      <c r="X712" s="49"/>
      <c r="Y712" s="47"/>
      <c r="Z712" s="49"/>
      <c r="AA712" s="49"/>
      <c r="AB712" s="49"/>
      <c r="AC712" s="49"/>
      <c r="AD712" s="49"/>
      <c r="AE712" s="49"/>
      <c r="AF712" s="49"/>
      <c r="AG712" s="49"/>
      <c r="AH712" s="49"/>
      <c r="AI712" s="49"/>
      <c r="AJ712" s="49"/>
      <c r="AK712" s="49"/>
      <c r="AL712" s="49"/>
      <c r="AM712" s="49"/>
      <c r="AN712" s="49"/>
      <c r="AO712" s="49"/>
    </row>
    <row r="713" spans="1:41" ht="13">
      <c r="A713" s="49"/>
      <c r="B713" s="49"/>
      <c r="C713" s="47"/>
      <c r="D713" s="49"/>
      <c r="E713" s="49"/>
      <c r="F713" s="49" t="b">
        <v>0</v>
      </c>
      <c r="G713" s="49"/>
      <c r="H713" s="47"/>
      <c r="I713" s="47"/>
      <c r="J713" s="49"/>
      <c r="K713" s="49"/>
      <c r="L713" s="49"/>
      <c r="M713" s="49"/>
      <c r="N713" s="49"/>
      <c r="O713" s="49" t="b">
        <v>0</v>
      </c>
      <c r="P713" s="49"/>
      <c r="Q713" s="49"/>
      <c r="R713" s="49"/>
      <c r="S713" s="49"/>
      <c r="T713" s="49"/>
      <c r="U713" s="58"/>
      <c r="V713" s="49"/>
      <c r="W713" s="58"/>
      <c r="X713" s="49"/>
      <c r="Y713" s="47"/>
      <c r="Z713" s="49"/>
      <c r="AA713" s="49"/>
      <c r="AB713" s="49"/>
      <c r="AC713" s="49"/>
      <c r="AD713" s="49"/>
      <c r="AE713" s="49"/>
      <c r="AF713" s="49"/>
      <c r="AG713" s="49"/>
      <c r="AH713" s="49"/>
      <c r="AI713" s="49"/>
      <c r="AJ713" s="49"/>
      <c r="AK713" s="49"/>
      <c r="AL713" s="49"/>
      <c r="AM713" s="49"/>
      <c r="AN713" s="49"/>
      <c r="AO713" s="49"/>
    </row>
    <row r="714" spans="1:41" ht="13">
      <c r="A714" s="49"/>
      <c r="B714" s="49"/>
      <c r="C714" s="47"/>
      <c r="D714" s="49"/>
      <c r="E714" s="49"/>
      <c r="F714" s="49" t="b">
        <v>0</v>
      </c>
      <c r="G714" s="49"/>
      <c r="H714" s="47"/>
      <c r="I714" s="47"/>
      <c r="J714" s="49"/>
      <c r="K714" s="49"/>
      <c r="L714" s="49"/>
      <c r="M714" s="49"/>
      <c r="N714" s="49"/>
      <c r="O714" s="49" t="b">
        <v>0</v>
      </c>
      <c r="P714" s="49"/>
      <c r="Q714" s="49"/>
      <c r="R714" s="49"/>
      <c r="S714" s="49"/>
      <c r="T714" s="49"/>
      <c r="U714" s="58"/>
      <c r="V714" s="49"/>
      <c r="W714" s="58"/>
      <c r="X714" s="49"/>
      <c r="Y714" s="47"/>
      <c r="Z714" s="49"/>
      <c r="AA714" s="49"/>
      <c r="AB714" s="49"/>
      <c r="AC714" s="49"/>
      <c r="AD714" s="49"/>
      <c r="AE714" s="49"/>
      <c r="AF714" s="49"/>
      <c r="AG714" s="49"/>
      <c r="AH714" s="49"/>
      <c r="AI714" s="49"/>
      <c r="AJ714" s="49"/>
      <c r="AK714" s="49"/>
      <c r="AL714" s="49"/>
      <c r="AM714" s="49"/>
      <c r="AN714" s="49"/>
      <c r="AO714" s="49"/>
    </row>
    <row r="715" spans="1:41" ht="13">
      <c r="A715" s="49"/>
      <c r="B715" s="49"/>
      <c r="C715" s="47"/>
      <c r="D715" s="49"/>
      <c r="E715" s="49"/>
      <c r="F715" s="49" t="b">
        <v>0</v>
      </c>
      <c r="G715" s="49"/>
      <c r="H715" s="47"/>
      <c r="I715" s="47"/>
      <c r="J715" s="49"/>
      <c r="K715" s="49"/>
      <c r="L715" s="49"/>
      <c r="M715" s="49"/>
      <c r="N715" s="49"/>
      <c r="O715" s="49" t="b">
        <v>0</v>
      </c>
      <c r="P715" s="49"/>
      <c r="Q715" s="49"/>
      <c r="R715" s="49"/>
      <c r="S715" s="49"/>
      <c r="T715" s="49"/>
      <c r="U715" s="58"/>
      <c r="V715" s="49"/>
      <c r="W715" s="58"/>
      <c r="X715" s="49"/>
      <c r="Y715" s="47"/>
      <c r="Z715" s="49"/>
      <c r="AA715" s="49"/>
      <c r="AB715" s="49"/>
      <c r="AC715" s="49"/>
      <c r="AD715" s="49"/>
      <c r="AE715" s="49"/>
      <c r="AF715" s="49"/>
      <c r="AG715" s="49"/>
      <c r="AH715" s="49"/>
      <c r="AI715" s="49"/>
      <c r="AJ715" s="49"/>
      <c r="AK715" s="49"/>
      <c r="AL715" s="49"/>
      <c r="AM715" s="49"/>
      <c r="AN715" s="49"/>
      <c r="AO715" s="49"/>
    </row>
    <row r="716" spans="1:41" ht="13">
      <c r="A716" s="49"/>
      <c r="B716" s="49"/>
      <c r="C716" s="47"/>
      <c r="D716" s="49"/>
      <c r="E716" s="49"/>
      <c r="F716" s="49" t="b">
        <v>0</v>
      </c>
      <c r="G716" s="49"/>
      <c r="H716" s="47"/>
      <c r="I716" s="47"/>
      <c r="J716" s="49"/>
      <c r="K716" s="49"/>
      <c r="L716" s="49"/>
      <c r="M716" s="49"/>
      <c r="N716" s="49"/>
      <c r="O716" s="49" t="b">
        <v>0</v>
      </c>
      <c r="P716" s="49"/>
      <c r="Q716" s="49"/>
      <c r="R716" s="49"/>
      <c r="S716" s="49"/>
      <c r="T716" s="49"/>
      <c r="U716" s="58"/>
      <c r="V716" s="49"/>
      <c r="W716" s="58"/>
      <c r="X716" s="49"/>
      <c r="Y716" s="47"/>
      <c r="Z716" s="49"/>
      <c r="AA716" s="49"/>
      <c r="AB716" s="49"/>
      <c r="AC716" s="49"/>
      <c r="AD716" s="49"/>
      <c r="AE716" s="49"/>
      <c r="AF716" s="49"/>
      <c r="AG716" s="49"/>
      <c r="AH716" s="49"/>
      <c r="AI716" s="49"/>
      <c r="AJ716" s="49"/>
      <c r="AK716" s="49"/>
      <c r="AL716" s="49"/>
      <c r="AM716" s="49"/>
      <c r="AN716" s="49"/>
      <c r="AO716" s="49"/>
    </row>
    <row r="717" spans="1:41" ht="13">
      <c r="A717" s="49"/>
      <c r="B717" s="49"/>
      <c r="C717" s="47"/>
      <c r="D717" s="49"/>
      <c r="E717" s="49"/>
      <c r="F717" s="49" t="b">
        <v>0</v>
      </c>
      <c r="G717" s="49"/>
      <c r="H717" s="47"/>
      <c r="I717" s="47"/>
      <c r="J717" s="49"/>
      <c r="K717" s="49"/>
      <c r="L717" s="49"/>
      <c r="M717" s="49"/>
      <c r="N717" s="49"/>
      <c r="O717" s="49" t="b">
        <v>0</v>
      </c>
      <c r="P717" s="49"/>
      <c r="Q717" s="49"/>
      <c r="R717" s="49"/>
      <c r="S717" s="49"/>
      <c r="T717" s="49"/>
      <c r="U717" s="58"/>
      <c r="V717" s="49"/>
      <c r="W717" s="58"/>
      <c r="X717" s="49"/>
      <c r="Y717" s="47"/>
      <c r="Z717" s="49"/>
      <c r="AA717" s="49"/>
      <c r="AB717" s="49"/>
      <c r="AC717" s="49"/>
      <c r="AD717" s="49"/>
      <c r="AE717" s="49"/>
      <c r="AF717" s="49"/>
      <c r="AG717" s="49"/>
      <c r="AH717" s="49"/>
      <c r="AI717" s="49"/>
      <c r="AJ717" s="49"/>
      <c r="AK717" s="49"/>
      <c r="AL717" s="49"/>
      <c r="AM717" s="49"/>
      <c r="AN717" s="49"/>
      <c r="AO717" s="49"/>
    </row>
    <row r="718" spans="1:41" ht="13">
      <c r="A718" s="49"/>
      <c r="B718" s="49"/>
      <c r="C718" s="47"/>
      <c r="D718" s="49"/>
      <c r="E718" s="49"/>
      <c r="F718" s="49" t="b">
        <v>0</v>
      </c>
      <c r="G718" s="49"/>
      <c r="H718" s="47"/>
      <c r="I718" s="47"/>
      <c r="J718" s="49"/>
      <c r="K718" s="49"/>
      <c r="L718" s="49"/>
      <c r="M718" s="49"/>
      <c r="N718" s="49"/>
      <c r="O718" s="49" t="b">
        <v>0</v>
      </c>
      <c r="P718" s="49"/>
      <c r="Q718" s="49"/>
      <c r="R718" s="49"/>
      <c r="S718" s="49"/>
      <c r="T718" s="49"/>
      <c r="U718" s="58"/>
      <c r="V718" s="49"/>
      <c r="W718" s="58"/>
      <c r="X718" s="49"/>
      <c r="Y718" s="47"/>
      <c r="Z718" s="49"/>
      <c r="AA718" s="49"/>
      <c r="AB718" s="49"/>
      <c r="AC718" s="49"/>
      <c r="AD718" s="49"/>
      <c r="AE718" s="49"/>
      <c r="AF718" s="49"/>
      <c r="AG718" s="49"/>
      <c r="AH718" s="49"/>
      <c r="AI718" s="49"/>
      <c r="AJ718" s="49"/>
      <c r="AK718" s="49"/>
      <c r="AL718" s="49"/>
      <c r="AM718" s="49"/>
      <c r="AN718" s="49"/>
      <c r="AO718" s="49"/>
    </row>
    <row r="719" spans="1:41" ht="13">
      <c r="A719" s="49"/>
      <c r="B719" s="49"/>
      <c r="C719" s="47"/>
      <c r="D719" s="49"/>
      <c r="E719" s="49"/>
      <c r="F719" s="49" t="b">
        <v>0</v>
      </c>
      <c r="G719" s="49"/>
      <c r="H719" s="47"/>
      <c r="I719" s="47"/>
      <c r="J719" s="49"/>
      <c r="K719" s="49"/>
      <c r="L719" s="49"/>
      <c r="M719" s="49"/>
      <c r="N719" s="49"/>
      <c r="O719" s="49" t="b">
        <v>0</v>
      </c>
      <c r="P719" s="49"/>
      <c r="Q719" s="49"/>
      <c r="R719" s="49"/>
      <c r="S719" s="49"/>
      <c r="T719" s="49"/>
      <c r="U719" s="58"/>
      <c r="V719" s="49"/>
      <c r="W719" s="58"/>
      <c r="X719" s="49"/>
      <c r="Y719" s="47"/>
      <c r="Z719" s="49"/>
      <c r="AA719" s="49"/>
      <c r="AB719" s="49"/>
      <c r="AC719" s="49"/>
      <c r="AD719" s="49"/>
      <c r="AE719" s="49"/>
      <c r="AF719" s="49"/>
      <c r="AG719" s="49"/>
      <c r="AH719" s="49"/>
      <c r="AI719" s="49"/>
      <c r="AJ719" s="49"/>
      <c r="AK719" s="49"/>
      <c r="AL719" s="49"/>
      <c r="AM719" s="49"/>
      <c r="AN719" s="49"/>
      <c r="AO719" s="49"/>
    </row>
    <row r="720" spans="1:41" ht="13">
      <c r="A720" s="49"/>
      <c r="B720" s="49"/>
      <c r="C720" s="47"/>
      <c r="D720" s="49"/>
      <c r="E720" s="49"/>
      <c r="F720" s="49" t="b">
        <v>0</v>
      </c>
      <c r="G720" s="49"/>
      <c r="H720" s="47"/>
      <c r="I720" s="47"/>
      <c r="J720" s="49"/>
      <c r="K720" s="49"/>
      <c r="L720" s="49"/>
      <c r="M720" s="49"/>
      <c r="N720" s="49"/>
      <c r="O720" s="49" t="b">
        <v>0</v>
      </c>
      <c r="P720" s="49"/>
      <c r="Q720" s="49"/>
      <c r="R720" s="49"/>
      <c r="S720" s="49"/>
      <c r="T720" s="49"/>
      <c r="U720" s="58"/>
      <c r="V720" s="49"/>
      <c r="W720" s="58"/>
      <c r="X720" s="49"/>
      <c r="Y720" s="47"/>
      <c r="Z720" s="49"/>
      <c r="AA720" s="49"/>
      <c r="AB720" s="49"/>
      <c r="AC720" s="49"/>
      <c r="AD720" s="49"/>
      <c r="AE720" s="49"/>
      <c r="AF720" s="49"/>
      <c r="AG720" s="49"/>
      <c r="AH720" s="49"/>
      <c r="AI720" s="49"/>
      <c r="AJ720" s="49"/>
      <c r="AK720" s="49"/>
      <c r="AL720" s="49"/>
      <c r="AM720" s="49"/>
      <c r="AN720" s="49"/>
      <c r="AO720" s="49"/>
    </row>
    <row r="721" spans="1:41" ht="13">
      <c r="A721" s="49"/>
      <c r="B721" s="49"/>
      <c r="C721" s="47"/>
      <c r="D721" s="49"/>
      <c r="E721" s="49"/>
      <c r="F721" s="49" t="b">
        <v>0</v>
      </c>
      <c r="G721" s="49"/>
      <c r="H721" s="47"/>
      <c r="I721" s="47"/>
      <c r="J721" s="49"/>
      <c r="K721" s="49"/>
      <c r="L721" s="49"/>
      <c r="M721" s="49"/>
      <c r="N721" s="49"/>
      <c r="O721" s="49" t="b">
        <v>0</v>
      </c>
      <c r="P721" s="49"/>
      <c r="Q721" s="49"/>
      <c r="R721" s="49"/>
      <c r="S721" s="49"/>
      <c r="T721" s="49"/>
      <c r="U721" s="58"/>
      <c r="V721" s="49"/>
      <c r="W721" s="58"/>
      <c r="X721" s="49"/>
      <c r="Y721" s="47"/>
      <c r="Z721" s="49"/>
      <c r="AA721" s="49"/>
      <c r="AB721" s="49"/>
      <c r="AC721" s="49"/>
      <c r="AD721" s="49"/>
      <c r="AE721" s="49"/>
      <c r="AF721" s="49"/>
      <c r="AG721" s="49"/>
      <c r="AH721" s="49"/>
      <c r="AI721" s="49"/>
      <c r="AJ721" s="49"/>
      <c r="AK721" s="49"/>
      <c r="AL721" s="49"/>
      <c r="AM721" s="49"/>
      <c r="AN721" s="49"/>
      <c r="AO721" s="49"/>
    </row>
    <row r="722" spans="1:41" ht="13">
      <c r="A722" s="49"/>
      <c r="B722" s="49"/>
      <c r="C722" s="47"/>
      <c r="D722" s="49"/>
      <c r="E722" s="49"/>
      <c r="F722" s="49" t="b">
        <v>0</v>
      </c>
      <c r="G722" s="49"/>
      <c r="H722" s="47"/>
      <c r="I722" s="47"/>
      <c r="J722" s="49"/>
      <c r="K722" s="49"/>
      <c r="L722" s="49"/>
      <c r="M722" s="49"/>
      <c r="N722" s="49"/>
      <c r="O722" s="49" t="b">
        <v>0</v>
      </c>
      <c r="P722" s="49"/>
      <c r="Q722" s="49"/>
      <c r="R722" s="49"/>
      <c r="S722" s="49"/>
      <c r="T722" s="49"/>
      <c r="U722" s="58"/>
      <c r="V722" s="49"/>
      <c r="W722" s="58"/>
      <c r="X722" s="49"/>
      <c r="Y722" s="47"/>
      <c r="Z722" s="49"/>
      <c r="AA722" s="49"/>
      <c r="AB722" s="49"/>
      <c r="AC722" s="49"/>
      <c r="AD722" s="49"/>
      <c r="AE722" s="49"/>
      <c r="AF722" s="49"/>
      <c r="AG722" s="49"/>
      <c r="AH722" s="49"/>
      <c r="AI722" s="49"/>
      <c r="AJ722" s="49"/>
      <c r="AK722" s="49"/>
      <c r="AL722" s="49"/>
      <c r="AM722" s="49"/>
      <c r="AN722" s="49"/>
      <c r="AO722" s="49"/>
    </row>
    <row r="723" spans="1:41" ht="13">
      <c r="A723" s="49"/>
      <c r="B723" s="49"/>
      <c r="C723" s="47"/>
      <c r="D723" s="49"/>
      <c r="E723" s="49"/>
      <c r="F723" s="49" t="b">
        <v>0</v>
      </c>
      <c r="G723" s="49"/>
      <c r="H723" s="47"/>
      <c r="I723" s="47"/>
      <c r="J723" s="49"/>
      <c r="K723" s="49"/>
      <c r="L723" s="49"/>
      <c r="M723" s="49"/>
      <c r="N723" s="49"/>
      <c r="O723" s="49" t="b">
        <v>0</v>
      </c>
      <c r="P723" s="49"/>
      <c r="Q723" s="49"/>
      <c r="R723" s="49"/>
      <c r="S723" s="49"/>
      <c r="T723" s="49"/>
      <c r="U723" s="58"/>
      <c r="V723" s="49"/>
      <c r="W723" s="58"/>
      <c r="X723" s="49"/>
      <c r="Y723" s="47"/>
      <c r="Z723" s="49"/>
      <c r="AA723" s="49"/>
      <c r="AB723" s="49"/>
      <c r="AC723" s="49"/>
      <c r="AD723" s="49"/>
      <c r="AE723" s="49"/>
      <c r="AF723" s="49"/>
      <c r="AG723" s="49"/>
      <c r="AH723" s="49"/>
      <c r="AI723" s="49"/>
      <c r="AJ723" s="49"/>
      <c r="AK723" s="49"/>
      <c r="AL723" s="49"/>
      <c r="AM723" s="49"/>
      <c r="AN723" s="49"/>
      <c r="AO723" s="49"/>
    </row>
    <row r="724" spans="1:41" ht="13">
      <c r="A724" s="49"/>
      <c r="B724" s="49"/>
      <c r="C724" s="47"/>
      <c r="D724" s="49"/>
      <c r="E724" s="49"/>
      <c r="F724" s="49" t="b">
        <v>0</v>
      </c>
      <c r="G724" s="49"/>
      <c r="H724" s="47"/>
      <c r="I724" s="47"/>
      <c r="J724" s="49"/>
      <c r="K724" s="49"/>
      <c r="L724" s="49"/>
      <c r="M724" s="49"/>
      <c r="N724" s="49"/>
      <c r="O724" s="49" t="b">
        <v>0</v>
      </c>
      <c r="P724" s="49"/>
      <c r="Q724" s="49"/>
      <c r="R724" s="49"/>
      <c r="S724" s="49"/>
      <c r="T724" s="49"/>
      <c r="U724" s="58"/>
      <c r="V724" s="49"/>
      <c r="W724" s="58"/>
      <c r="X724" s="49"/>
      <c r="Y724" s="47"/>
      <c r="Z724" s="49"/>
      <c r="AA724" s="49"/>
      <c r="AB724" s="49"/>
      <c r="AC724" s="49"/>
      <c r="AD724" s="49"/>
      <c r="AE724" s="49"/>
      <c r="AF724" s="49"/>
      <c r="AG724" s="49"/>
      <c r="AH724" s="49"/>
      <c r="AI724" s="49"/>
      <c r="AJ724" s="49"/>
      <c r="AK724" s="49"/>
      <c r="AL724" s="49"/>
      <c r="AM724" s="49"/>
      <c r="AN724" s="49"/>
      <c r="AO724" s="49"/>
    </row>
    <row r="725" spans="1:41" ht="13">
      <c r="A725" s="49"/>
      <c r="B725" s="49"/>
      <c r="C725" s="47"/>
      <c r="D725" s="49"/>
      <c r="E725" s="49"/>
      <c r="F725" s="49" t="b">
        <v>0</v>
      </c>
      <c r="G725" s="49"/>
      <c r="H725" s="47"/>
      <c r="I725" s="47"/>
      <c r="J725" s="49"/>
      <c r="K725" s="49"/>
      <c r="L725" s="49"/>
      <c r="M725" s="49"/>
      <c r="N725" s="49"/>
      <c r="O725" s="49" t="b">
        <v>0</v>
      </c>
      <c r="P725" s="49"/>
      <c r="Q725" s="49"/>
      <c r="R725" s="49"/>
      <c r="S725" s="49"/>
      <c r="T725" s="49"/>
      <c r="U725" s="58"/>
      <c r="V725" s="49"/>
      <c r="W725" s="58"/>
      <c r="X725" s="49"/>
      <c r="Y725" s="47"/>
      <c r="Z725" s="49"/>
      <c r="AA725" s="49"/>
      <c r="AB725" s="49"/>
      <c r="AC725" s="49"/>
      <c r="AD725" s="49"/>
      <c r="AE725" s="49"/>
      <c r="AF725" s="49"/>
      <c r="AG725" s="49"/>
      <c r="AH725" s="49"/>
      <c r="AI725" s="49"/>
      <c r="AJ725" s="49"/>
      <c r="AK725" s="49"/>
      <c r="AL725" s="49"/>
      <c r="AM725" s="49"/>
      <c r="AN725" s="49"/>
      <c r="AO725" s="49"/>
    </row>
    <row r="726" spans="1:41" ht="13">
      <c r="A726" s="49"/>
      <c r="B726" s="49"/>
      <c r="C726" s="47"/>
      <c r="D726" s="49"/>
      <c r="E726" s="49"/>
      <c r="F726" s="49" t="b">
        <v>0</v>
      </c>
      <c r="G726" s="49"/>
      <c r="H726" s="47"/>
      <c r="I726" s="47"/>
      <c r="J726" s="49"/>
      <c r="K726" s="49"/>
      <c r="L726" s="49"/>
      <c r="M726" s="49"/>
      <c r="N726" s="49"/>
      <c r="O726" s="49" t="b">
        <v>0</v>
      </c>
      <c r="P726" s="49"/>
      <c r="Q726" s="49"/>
      <c r="R726" s="49"/>
      <c r="S726" s="49"/>
      <c r="T726" s="49"/>
      <c r="U726" s="58"/>
      <c r="V726" s="49"/>
      <c r="W726" s="58"/>
      <c r="X726" s="49"/>
      <c r="Y726" s="47"/>
      <c r="Z726" s="49"/>
      <c r="AA726" s="49"/>
      <c r="AB726" s="49"/>
      <c r="AC726" s="49"/>
      <c r="AD726" s="49"/>
      <c r="AE726" s="49"/>
      <c r="AF726" s="49"/>
      <c r="AG726" s="49"/>
      <c r="AH726" s="49"/>
      <c r="AI726" s="49"/>
      <c r="AJ726" s="49"/>
      <c r="AK726" s="49"/>
      <c r="AL726" s="49"/>
      <c r="AM726" s="49"/>
      <c r="AN726" s="49"/>
      <c r="AO726" s="49"/>
    </row>
    <row r="727" spans="1:41" ht="13">
      <c r="A727" s="49"/>
      <c r="B727" s="49"/>
      <c r="C727" s="47"/>
      <c r="D727" s="49"/>
      <c r="E727" s="49"/>
      <c r="F727" s="49" t="b">
        <v>0</v>
      </c>
      <c r="G727" s="49"/>
      <c r="H727" s="47"/>
      <c r="I727" s="47"/>
      <c r="J727" s="49"/>
      <c r="K727" s="49"/>
      <c r="L727" s="49"/>
      <c r="M727" s="49"/>
      <c r="N727" s="49"/>
      <c r="O727" s="49" t="b">
        <v>0</v>
      </c>
      <c r="P727" s="49"/>
      <c r="Q727" s="49"/>
      <c r="R727" s="49"/>
      <c r="S727" s="49"/>
      <c r="T727" s="49"/>
      <c r="U727" s="58"/>
      <c r="V727" s="49"/>
      <c r="W727" s="58"/>
      <c r="X727" s="49"/>
      <c r="Y727" s="47"/>
      <c r="Z727" s="49"/>
      <c r="AA727" s="49"/>
      <c r="AB727" s="49"/>
      <c r="AC727" s="49"/>
      <c r="AD727" s="49"/>
      <c r="AE727" s="49"/>
      <c r="AF727" s="49"/>
      <c r="AG727" s="49"/>
      <c r="AH727" s="49"/>
      <c r="AI727" s="49"/>
      <c r="AJ727" s="49"/>
      <c r="AK727" s="49"/>
      <c r="AL727" s="49"/>
      <c r="AM727" s="49"/>
      <c r="AN727" s="49"/>
      <c r="AO727" s="49"/>
    </row>
    <row r="728" spans="1:41" ht="13">
      <c r="A728" s="49"/>
      <c r="B728" s="49"/>
      <c r="C728" s="47"/>
      <c r="D728" s="49"/>
      <c r="E728" s="49"/>
      <c r="F728" s="49" t="b">
        <v>0</v>
      </c>
      <c r="G728" s="49"/>
      <c r="H728" s="47"/>
      <c r="I728" s="47"/>
      <c r="J728" s="49"/>
      <c r="K728" s="49"/>
      <c r="L728" s="49"/>
      <c r="M728" s="49"/>
      <c r="N728" s="49"/>
      <c r="O728" s="49" t="b">
        <v>0</v>
      </c>
      <c r="P728" s="49"/>
      <c r="Q728" s="49"/>
      <c r="R728" s="49"/>
      <c r="S728" s="49"/>
      <c r="T728" s="49"/>
      <c r="U728" s="58"/>
      <c r="V728" s="49"/>
      <c r="W728" s="58"/>
      <c r="X728" s="49"/>
      <c r="Y728" s="47"/>
      <c r="Z728" s="49"/>
      <c r="AA728" s="49"/>
      <c r="AB728" s="49"/>
      <c r="AC728" s="49"/>
      <c r="AD728" s="49"/>
      <c r="AE728" s="49"/>
      <c r="AF728" s="49"/>
      <c r="AG728" s="49"/>
      <c r="AH728" s="49"/>
      <c r="AI728" s="49"/>
      <c r="AJ728" s="49"/>
      <c r="AK728" s="49"/>
      <c r="AL728" s="49"/>
      <c r="AM728" s="49"/>
      <c r="AN728" s="49"/>
      <c r="AO728" s="49"/>
    </row>
    <row r="729" spans="1:41" ht="13">
      <c r="A729" s="49"/>
      <c r="B729" s="49"/>
      <c r="C729" s="47"/>
      <c r="D729" s="49"/>
      <c r="E729" s="49"/>
      <c r="F729" s="49" t="b">
        <v>0</v>
      </c>
      <c r="G729" s="49"/>
      <c r="H729" s="47"/>
      <c r="I729" s="47"/>
      <c r="J729" s="49"/>
      <c r="K729" s="49"/>
      <c r="L729" s="49"/>
      <c r="M729" s="49"/>
      <c r="N729" s="49"/>
      <c r="O729" s="49" t="b">
        <v>0</v>
      </c>
      <c r="P729" s="49"/>
      <c r="Q729" s="49"/>
      <c r="R729" s="49"/>
      <c r="S729" s="49"/>
      <c r="T729" s="49"/>
      <c r="U729" s="58"/>
      <c r="V729" s="49"/>
      <c r="W729" s="58"/>
      <c r="X729" s="49"/>
      <c r="Y729" s="47"/>
      <c r="Z729" s="49"/>
      <c r="AA729" s="49"/>
      <c r="AB729" s="49"/>
      <c r="AC729" s="49"/>
      <c r="AD729" s="49"/>
      <c r="AE729" s="49"/>
      <c r="AF729" s="49"/>
      <c r="AG729" s="49"/>
      <c r="AH729" s="49"/>
      <c r="AI729" s="49"/>
      <c r="AJ729" s="49"/>
      <c r="AK729" s="49"/>
      <c r="AL729" s="49"/>
      <c r="AM729" s="49"/>
      <c r="AN729" s="49"/>
      <c r="AO729" s="49"/>
    </row>
    <row r="730" spans="1:41" ht="13">
      <c r="A730" s="49"/>
      <c r="B730" s="49"/>
      <c r="C730" s="47"/>
      <c r="D730" s="49"/>
      <c r="E730" s="49"/>
      <c r="F730" s="49" t="b">
        <v>0</v>
      </c>
      <c r="G730" s="49"/>
      <c r="H730" s="47"/>
      <c r="I730" s="47"/>
      <c r="J730" s="49"/>
      <c r="K730" s="49"/>
      <c r="L730" s="49"/>
      <c r="M730" s="49"/>
      <c r="N730" s="49"/>
      <c r="O730" s="49" t="b">
        <v>0</v>
      </c>
      <c r="P730" s="49"/>
      <c r="Q730" s="49"/>
      <c r="R730" s="49"/>
      <c r="S730" s="49"/>
      <c r="T730" s="49"/>
      <c r="U730" s="58"/>
      <c r="V730" s="49"/>
      <c r="W730" s="58"/>
      <c r="X730" s="49"/>
      <c r="Y730" s="47"/>
      <c r="Z730" s="49"/>
      <c r="AA730" s="49"/>
      <c r="AB730" s="49"/>
      <c r="AC730" s="49"/>
      <c r="AD730" s="49"/>
      <c r="AE730" s="49"/>
      <c r="AF730" s="49"/>
      <c r="AG730" s="49"/>
      <c r="AH730" s="49"/>
      <c r="AI730" s="49"/>
      <c r="AJ730" s="49"/>
      <c r="AK730" s="49"/>
      <c r="AL730" s="49"/>
      <c r="AM730" s="49"/>
      <c r="AN730" s="49"/>
      <c r="AO730" s="49"/>
    </row>
    <row r="731" spans="1:41" ht="13">
      <c r="A731" s="49"/>
      <c r="B731" s="49"/>
      <c r="C731" s="47"/>
      <c r="D731" s="49"/>
      <c r="E731" s="49"/>
      <c r="F731" s="49" t="b">
        <v>0</v>
      </c>
      <c r="G731" s="49"/>
      <c r="H731" s="47"/>
      <c r="I731" s="47"/>
      <c r="J731" s="49"/>
      <c r="K731" s="49"/>
      <c r="L731" s="49"/>
      <c r="M731" s="49"/>
      <c r="N731" s="49"/>
      <c r="O731" s="49" t="b">
        <v>0</v>
      </c>
      <c r="P731" s="49"/>
      <c r="Q731" s="49"/>
      <c r="R731" s="49"/>
      <c r="S731" s="49"/>
      <c r="T731" s="49"/>
      <c r="U731" s="58"/>
      <c r="V731" s="49"/>
      <c r="W731" s="58"/>
      <c r="X731" s="49"/>
      <c r="Y731" s="47"/>
      <c r="Z731" s="49"/>
      <c r="AA731" s="49"/>
      <c r="AB731" s="49"/>
      <c r="AC731" s="49"/>
      <c r="AD731" s="49"/>
      <c r="AE731" s="49"/>
      <c r="AF731" s="49"/>
      <c r="AG731" s="49"/>
      <c r="AH731" s="49"/>
      <c r="AI731" s="49"/>
      <c r="AJ731" s="49"/>
      <c r="AK731" s="49"/>
      <c r="AL731" s="49"/>
      <c r="AM731" s="49"/>
      <c r="AN731" s="49"/>
      <c r="AO731" s="49"/>
    </row>
    <row r="732" spans="1:41" ht="13">
      <c r="A732" s="49"/>
      <c r="B732" s="49"/>
      <c r="C732" s="47"/>
      <c r="D732" s="49"/>
      <c r="E732" s="49"/>
      <c r="F732" s="49" t="b">
        <v>0</v>
      </c>
      <c r="G732" s="49"/>
      <c r="H732" s="47"/>
      <c r="I732" s="47"/>
      <c r="J732" s="49"/>
      <c r="K732" s="49"/>
      <c r="L732" s="49"/>
      <c r="M732" s="49"/>
      <c r="N732" s="49"/>
      <c r="O732" s="49" t="b">
        <v>0</v>
      </c>
      <c r="P732" s="49"/>
      <c r="Q732" s="49"/>
      <c r="R732" s="49"/>
      <c r="S732" s="49"/>
      <c r="T732" s="49"/>
      <c r="U732" s="58"/>
      <c r="V732" s="49"/>
      <c r="W732" s="58"/>
      <c r="X732" s="49"/>
      <c r="Y732" s="47"/>
      <c r="Z732" s="49"/>
      <c r="AA732" s="49"/>
      <c r="AB732" s="49"/>
      <c r="AC732" s="49"/>
      <c r="AD732" s="49"/>
      <c r="AE732" s="49"/>
      <c r="AF732" s="49"/>
      <c r="AG732" s="49"/>
      <c r="AH732" s="49"/>
      <c r="AI732" s="49"/>
      <c r="AJ732" s="49"/>
      <c r="AK732" s="49"/>
      <c r="AL732" s="49"/>
      <c r="AM732" s="49"/>
      <c r="AN732" s="49"/>
      <c r="AO732" s="49"/>
    </row>
    <row r="733" spans="1:41" ht="13">
      <c r="A733" s="49"/>
      <c r="B733" s="49"/>
      <c r="C733" s="47"/>
      <c r="D733" s="49"/>
      <c r="E733" s="49"/>
      <c r="F733" s="49" t="b">
        <v>0</v>
      </c>
      <c r="G733" s="49"/>
      <c r="H733" s="47"/>
      <c r="I733" s="47"/>
      <c r="J733" s="49"/>
      <c r="K733" s="49"/>
      <c r="L733" s="49"/>
      <c r="M733" s="49"/>
      <c r="N733" s="49"/>
      <c r="O733" s="49" t="b">
        <v>0</v>
      </c>
      <c r="P733" s="49"/>
      <c r="Q733" s="49"/>
      <c r="R733" s="49"/>
      <c r="S733" s="49"/>
      <c r="T733" s="49"/>
      <c r="U733" s="58"/>
      <c r="V733" s="49"/>
      <c r="W733" s="58"/>
      <c r="X733" s="49"/>
      <c r="Y733" s="47"/>
      <c r="Z733" s="49"/>
      <c r="AA733" s="49"/>
      <c r="AB733" s="49"/>
      <c r="AC733" s="49"/>
      <c r="AD733" s="49"/>
      <c r="AE733" s="49"/>
      <c r="AF733" s="49"/>
      <c r="AG733" s="49"/>
      <c r="AH733" s="49"/>
      <c r="AI733" s="49"/>
      <c r="AJ733" s="49"/>
      <c r="AK733" s="49"/>
      <c r="AL733" s="49"/>
      <c r="AM733" s="49"/>
      <c r="AN733" s="49"/>
      <c r="AO733" s="49"/>
    </row>
    <row r="734" spans="1:41" ht="13">
      <c r="A734" s="49"/>
      <c r="B734" s="49"/>
      <c r="C734" s="47"/>
      <c r="D734" s="49"/>
      <c r="E734" s="49"/>
      <c r="F734" s="49" t="b">
        <v>0</v>
      </c>
      <c r="G734" s="49"/>
      <c r="H734" s="47"/>
      <c r="I734" s="47"/>
      <c r="J734" s="49"/>
      <c r="K734" s="49"/>
      <c r="L734" s="49"/>
      <c r="M734" s="49"/>
      <c r="N734" s="49"/>
      <c r="O734" s="49" t="b">
        <v>0</v>
      </c>
      <c r="P734" s="49"/>
      <c r="Q734" s="49"/>
      <c r="R734" s="49"/>
      <c r="S734" s="49"/>
      <c r="T734" s="49"/>
      <c r="U734" s="58"/>
      <c r="V734" s="49"/>
      <c r="W734" s="58"/>
      <c r="X734" s="49"/>
      <c r="Y734" s="47"/>
      <c r="Z734" s="49"/>
      <c r="AA734" s="49"/>
      <c r="AB734" s="49"/>
      <c r="AC734" s="49"/>
      <c r="AD734" s="49"/>
      <c r="AE734" s="49"/>
      <c r="AF734" s="49"/>
      <c r="AG734" s="49"/>
      <c r="AH734" s="49"/>
      <c r="AI734" s="49"/>
      <c r="AJ734" s="49"/>
      <c r="AK734" s="49"/>
      <c r="AL734" s="49"/>
      <c r="AM734" s="49"/>
      <c r="AN734" s="49"/>
      <c r="AO734" s="49"/>
    </row>
    <row r="735" spans="1:41" ht="13">
      <c r="A735" s="49"/>
      <c r="B735" s="49"/>
      <c r="C735" s="47"/>
      <c r="D735" s="49"/>
      <c r="E735" s="49"/>
      <c r="F735" s="49" t="b">
        <v>0</v>
      </c>
      <c r="G735" s="49"/>
      <c r="H735" s="47"/>
      <c r="I735" s="47"/>
      <c r="J735" s="49"/>
      <c r="K735" s="49"/>
      <c r="L735" s="49"/>
      <c r="M735" s="49"/>
      <c r="N735" s="49"/>
      <c r="O735" s="49" t="b">
        <v>0</v>
      </c>
      <c r="P735" s="49"/>
      <c r="Q735" s="49"/>
      <c r="R735" s="49"/>
      <c r="S735" s="49"/>
      <c r="T735" s="49"/>
      <c r="U735" s="58"/>
      <c r="V735" s="49"/>
      <c r="W735" s="58"/>
      <c r="X735" s="49"/>
      <c r="Y735" s="47"/>
      <c r="Z735" s="49"/>
      <c r="AA735" s="49"/>
      <c r="AB735" s="49"/>
      <c r="AC735" s="49"/>
      <c r="AD735" s="49"/>
      <c r="AE735" s="49"/>
      <c r="AF735" s="49"/>
      <c r="AG735" s="49"/>
      <c r="AH735" s="49"/>
      <c r="AI735" s="49"/>
      <c r="AJ735" s="49"/>
      <c r="AK735" s="49"/>
      <c r="AL735" s="49"/>
      <c r="AM735" s="49"/>
      <c r="AN735" s="49"/>
      <c r="AO735" s="49"/>
    </row>
    <row r="736" spans="1:41" ht="13">
      <c r="A736" s="49"/>
      <c r="B736" s="49"/>
      <c r="C736" s="47"/>
      <c r="D736" s="49"/>
      <c r="E736" s="49"/>
      <c r="F736" s="49" t="b">
        <v>0</v>
      </c>
      <c r="G736" s="49"/>
      <c r="H736" s="47"/>
      <c r="I736" s="47"/>
      <c r="J736" s="49"/>
      <c r="K736" s="49"/>
      <c r="L736" s="49"/>
      <c r="M736" s="49"/>
      <c r="N736" s="49"/>
      <c r="O736" s="49" t="b">
        <v>0</v>
      </c>
      <c r="P736" s="49"/>
      <c r="Q736" s="49"/>
      <c r="R736" s="49"/>
      <c r="S736" s="49"/>
      <c r="T736" s="49"/>
      <c r="U736" s="58"/>
      <c r="V736" s="49"/>
      <c r="W736" s="58"/>
      <c r="X736" s="49"/>
      <c r="Y736" s="47"/>
      <c r="Z736" s="49"/>
      <c r="AA736" s="49"/>
      <c r="AB736" s="49"/>
      <c r="AC736" s="49"/>
      <c r="AD736" s="49"/>
      <c r="AE736" s="49"/>
      <c r="AF736" s="49"/>
      <c r="AG736" s="49"/>
      <c r="AH736" s="49"/>
      <c r="AI736" s="49"/>
      <c r="AJ736" s="49"/>
      <c r="AK736" s="49"/>
      <c r="AL736" s="49"/>
      <c r="AM736" s="49"/>
      <c r="AN736" s="49"/>
      <c r="AO736" s="49"/>
    </row>
    <row r="737" spans="1:41" ht="13">
      <c r="A737" s="49"/>
      <c r="B737" s="49"/>
      <c r="C737" s="47"/>
      <c r="D737" s="49"/>
      <c r="E737" s="49"/>
      <c r="F737" s="49" t="b">
        <v>0</v>
      </c>
      <c r="G737" s="49"/>
      <c r="H737" s="47"/>
      <c r="I737" s="47"/>
      <c r="J737" s="49"/>
      <c r="K737" s="49"/>
      <c r="L737" s="49"/>
      <c r="M737" s="49"/>
      <c r="N737" s="49"/>
      <c r="O737" s="49" t="b">
        <v>0</v>
      </c>
      <c r="P737" s="49"/>
      <c r="Q737" s="49"/>
      <c r="R737" s="49"/>
      <c r="S737" s="49"/>
      <c r="T737" s="49"/>
      <c r="U737" s="58"/>
      <c r="V737" s="49"/>
      <c r="W737" s="58"/>
      <c r="X737" s="49"/>
      <c r="Y737" s="47"/>
      <c r="Z737" s="49"/>
      <c r="AA737" s="49"/>
      <c r="AB737" s="49"/>
      <c r="AC737" s="49"/>
      <c r="AD737" s="49"/>
      <c r="AE737" s="49"/>
      <c r="AF737" s="49"/>
      <c r="AG737" s="49"/>
      <c r="AH737" s="49"/>
      <c r="AI737" s="49"/>
      <c r="AJ737" s="49"/>
      <c r="AK737" s="49"/>
      <c r="AL737" s="49"/>
      <c r="AM737" s="49"/>
      <c r="AN737" s="49"/>
      <c r="AO737" s="49"/>
    </row>
    <row r="738" spans="1:41" ht="13">
      <c r="A738" s="49"/>
      <c r="B738" s="49"/>
      <c r="C738" s="47"/>
      <c r="D738" s="49"/>
      <c r="E738" s="49"/>
      <c r="F738" s="49" t="b">
        <v>0</v>
      </c>
      <c r="G738" s="49"/>
      <c r="H738" s="47"/>
      <c r="I738" s="47"/>
      <c r="J738" s="49"/>
      <c r="K738" s="49"/>
      <c r="L738" s="49"/>
      <c r="M738" s="49"/>
      <c r="N738" s="49"/>
      <c r="O738" s="49" t="b">
        <v>0</v>
      </c>
      <c r="P738" s="49"/>
      <c r="Q738" s="49"/>
      <c r="R738" s="49"/>
      <c r="S738" s="49"/>
      <c r="T738" s="49"/>
      <c r="U738" s="58"/>
      <c r="V738" s="49"/>
      <c r="W738" s="58"/>
      <c r="X738" s="49"/>
      <c r="Y738" s="47"/>
      <c r="Z738" s="49"/>
      <c r="AA738" s="49"/>
      <c r="AB738" s="49"/>
      <c r="AC738" s="49"/>
      <c r="AD738" s="49"/>
      <c r="AE738" s="49"/>
      <c r="AF738" s="49"/>
      <c r="AG738" s="49"/>
      <c r="AH738" s="49"/>
      <c r="AI738" s="49"/>
      <c r="AJ738" s="49"/>
      <c r="AK738" s="49"/>
      <c r="AL738" s="49"/>
      <c r="AM738" s="49"/>
      <c r="AN738" s="49"/>
      <c r="AO738" s="49"/>
    </row>
    <row r="739" spans="1:41" ht="13">
      <c r="A739" s="49"/>
      <c r="B739" s="49"/>
      <c r="C739" s="47"/>
      <c r="D739" s="49"/>
      <c r="E739" s="49"/>
      <c r="F739" s="49" t="b">
        <v>0</v>
      </c>
      <c r="G739" s="49"/>
      <c r="H739" s="47"/>
      <c r="I739" s="47"/>
      <c r="J739" s="49"/>
      <c r="K739" s="49"/>
      <c r="L739" s="49"/>
      <c r="M739" s="49"/>
      <c r="N739" s="49"/>
      <c r="O739" s="49" t="b">
        <v>0</v>
      </c>
      <c r="P739" s="49"/>
      <c r="Q739" s="49"/>
      <c r="R739" s="49"/>
      <c r="S739" s="49"/>
      <c r="T739" s="49"/>
      <c r="U739" s="58"/>
      <c r="V739" s="49"/>
      <c r="W739" s="58"/>
      <c r="X739" s="49"/>
      <c r="Y739" s="47"/>
      <c r="Z739" s="49"/>
      <c r="AA739" s="49"/>
      <c r="AB739" s="49"/>
      <c r="AC739" s="49"/>
      <c r="AD739" s="49"/>
      <c r="AE739" s="49"/>
      <c r="AF739" s="49"/>
      <c r="AG739" s="49"/>
      <c r="AH739" s="49"/>
      <c r="AI739" s="49"/>
      <c r="AJ739" s="49"/>
      <c r="AK739" s="49"/>
      <c r="AL739" s="49"/>
      <c r="AM739" s="49"/>
      <c r="AN739" s="49"/>
      <c r="AO739" s="49"/>
    </row>
    <row r="740" spans="1:41" ht="13">
      <c r="A740" s="49"/>
      <c r="B740" s="49"/>
      <c r="C740" s="47"/>
      <c r="D740" s="49"/>
      <c r="E740" s="49"/>
      <c r="F740" s="49" t="b">
        <v>0</v>
      </c>
      <c r="G740" s="49"/>
      <c r="H740" s="47"/>
      <c r="I740" s="47"/>
      <c r="J740" s="49"/>
      <c r="K740" s="49"/>
      <c r="L740" s="49"/>
      <c r="M740" s="49"/>
      <c r="N740" s="49"/>
      <c r="O740" s="49" t="b">
        <v>0</v>
      </c>
      <c r="P740" s="49"/>
      <c r="Q740" s="49"/>
      <c r="R740" s="49"/>
      <c r="S740" s="49"/>
      <c r="T740" s="49"/>
      <c r="U740" s="58"/>
      <c r="V740" s="49"/>
      <c r="W740" s="58"/>
      <c r="X740" s="49"/>
      <c r="Y740" s="47"/>
      <c r="Z740" s="49"/>
      <c r="AA740" s="49"/>
      <c r="AB740" s="49"/>
      <c r="AC740" s="49"/>
      <c r="AD740" s="49"/>
      <c r="AE740" s="49"/>
      <c r="AF740" s="49"/>
      <c r="AG740" s="49"/>
      <c r="AH740" s="49"/>
      <c r="AI740" s="49"/>
      <c r="AJ740" s="49"/>
      <c r="AK740" s="49"/>
      <c r="AL740" s="49"/>
      <c r="AM740" s="49"/>
      <c r="AN740" s="49"/>
      <c r="AO740" s="49"/>
    </row>
    <row r="741" spans="1:41" ht="13">
      <c r="A741" s="49"/>
      <c r="B741" s="49"/>
      <c r="C741" s="47"/>
      <c r="D741" s="49"/>
      <c r="E741" s="49"/>
      <c r="F741" s="49" t="b">
        <v>0</v>
      </c>
      <c r="G741" s="49"/>
      <c r="H741" s="47"/>
      <c r="I741" s="47"/>
      <c r="J741" s="49"/>
      <c r="K741" s="49"/>
      <c r="L741" s="49"/>
      <c r="M741" s="49"/>
      <c r="N741" s="49"/>
      <c r="O741" s="49" t="b">
        <v>0</v>
      </c>
      <c r="P741" s="49"/>
      <c r="Q741" s="49"/>
      <c r="R741" s="49"/>
      <c r="S741" s="49"/>
      <c r="T741" s="49"/>
      <c r="U741" s="58"/>
      <c r="V741" s="49"/>
      <c r="W741" s="58"/>
      <c r="X741" s="49"/>
      <c r="Y741" s="47"/>
      <c r="Z741" s="49"/>
      <c r="AA741" s="49"/>
      <c r="AB741" s="49"/>
      <c r="AC741" s="49"/>
      <c r="AD741" s="49"/>
      <c r="AE741" s="49"/>
      <c r="AF741" s="49"/>
      <c r="AG741" s="49"/>
      <c r="AH741" s="49"/>
      <c r="AI741" s="49"/>
      <c r="AJ741" s="49"/>
      <c r="AK741" s="49"/>
      <c r="AL741" s="49"/>
      <c r="AM741" s="49"/>
      <c r="AN741" s="49"/>
      <c r="AO741" s="49"/>
    </row>
    <row r="742" spans="1:41" ht="13">
      <c r="A742" s="49"/>
      <c r="B742" s="49"/>
      <c r="C742" s="47"/>
      <c r="D742" s="49"/>
      <c r="E742" s="49"/>
      <c r="F742" s="49" t="b">
        <v>0</v>
      </c>
      <c r="G742" s="49"/>
      <c r="H742" s="47"/>
      <c r="I742" s="47"/>
      <c r="J742" s="49"/>
      <c r="K742" s="49"/>
      <c r="L742" s="49"/>
      <c r="M742" s="49"/>
      <c r="N742" s="49"/>
      <c r="O742" s="49" t="b">
        <v>0</v>
      </c>
      <c r="P742" s="49"/>
      <c r="Q742" s="49"/>
      <c r="R742" s="49"/>
      <c r="S742" s="49"/>
      <c r="T742" s="49"/>
      <c r="U742" s="58"/>
      <c r="V742" s="49"/>
      <c r="W742" s="58"/>
      <c r="X742" s="49"/>
      <c r="Y742" s="47"/>
      <c r="Z742" s="49"/>
      <c r="AA742" s="49"/>
      <c r="AB742" s="49"/>
      <c r="AC742" s="49"/>
      <c r="AD742" s="49"/>
      <c r="AE742" s="49"/>
      <c r="AF742" s="49"/>
      <c r="AG742" s="49"/>
      <c r="AH742" s="49"/>
      <c r="AI742" s="49"/>
      <c r="AJ742" s="49"/>
      <c r="AK742" s="49"/>
      <c r="AL742" s="49"/>
      <c r="AM742" s="49"/>
      <c r="AN742" s="49"/>
      <c r="AO742" s="49"/>
    </row>
    <row r="743" spans="1:41" ht="13">
      <c r="A743" s="49"/>
      <c r="B743" s="49"/>
      <c r="C743" s="47"/>
      <c r="D743" s="49"/>
      <c r="E743" s="49"/>
      <c r="F743" s="49" t="b">
        <v>0</v>
      </c>
      <c r="G743" s="49"/>
      <c r="H743" s="47"/>
      <c r="I743" s="47"/>
      <c r="J743" s="49"/>
      <c r="K743" s="49"/>
      <c r="L743" s="49"/>
      <c r="M743" s="49"/>
      <c r="N743" s="49"/>
      <c r="O743" s="49" t="b">
        <v>0</v>
      </c>
      <c r="P743" s="49"/>
      <c r="Q743" s="49"/>
      <c r="R743" s="49"/>
      <c r="S743" s="49"/>
      <c r="T743" s="49"/>
      <c r="U743" s="58"/>
      <c r="V743" s="49"/>
      <c r="W743" s="58"/>
      <c r="X743" s="49"/>
      <c r="Y743" s="47"/>
      <c r="Z743" s="49"/>
      <c r="AA743" s="49"/>
      <c r="AB743" s="49"/>
      <c r="AC743" s="49"/>
      <c r="AD743" s="49"/>
      <c r="AE743" s="49"/>
      <c r="AF743" s="49"/>
      <c r="AG743" s="49"/>
      <c r="AH743" s="49"/>
      <c r="AI743" s="49"/>
      <c r="AJ743" s="49"/>
      <c r="AK743" s="49"/>
      <c r="AL743" s="49"/>
      <c r="AM743" s="49"/>
      <c r="AN743" s="49"/>
      <c r="AO743" s="49"/>
    </row>
    <row r="744" spans="1:41" ht="13">
      <c r="A744" s="49"/>
      <c r="B744" s="49"/>
      <c r="C744" s="47"/>
      <c r="D744" s="49"/>
      <c r="E744" s="49"/>
      <c r="F744" s="49" t="b">
        <v>0</v>
      </c>
      <c r="G744" s="49"/>
      <c r="H744" s="47"/>
      <c r="I744" s="47"/>
      <c r="J744" s="49"/>
      <c r="K744" s="49"/>
      <c r="L744" s="49"/>
      <c r="M744" s="49"/>
      <c r="N744" s="49"/>
      <c r="O744" s="49" t="b">
        <v>0</v>
      </c>
      <c r="P744" s="49"/>
      <c r="Q744" s="49"/>
      <c r="R744" s="49"/>
      <c r="S744" s="49"/>
      <c r="T744" s="49"/>
      <c r="U744" s="58"/>
      <c r="V744" s="49"/>
      <c r="W744" s="58"/>
      <c r="X744" s="49"/>
      <c r="Y744" s="47"/>
      <c r="Z744" s="49"/>
      <c r="AA744" s="49"/>
      <c r="AB744" s="49"/>
      <c r="AC744" s="49"/>
      <c r="AD744" s="49"/>
      <c r="AE744" s="49"/>
      <c r="AF744" s="49"/>
      <c r="AG744" s="49"/>
      <c r="AH744" s="49"/>
      <c r="AI744" s="49"/>
      <c r="AJ744" s="49"/>
      <c r="AK744" s="49"/>
      <c r="AL744" s="49"/>
      <c r="AM744" s="49"/>
      <c r="AN744" s="49"/>
      <c r="AO744" s="49"/>
    </row>
    <row r="745" spans="1:41" ht="13">
      <c r="A745" s="49"/>
      <c r="B745" s="49"/>
      <c r="C745" s="47"/>
      <c r="D745" s="49"/>
      <c r="E745" s="49"/>
      <c r="F745" s="49" t="b">
        <v>0</v>
      </c>
      <c r="G745" s="49"/>
      <c r="H745" s="47"/>
      <c r="I745" s="47"/>
      <c r="J745" s="49"/>
      <c r="K745" s="49"/>
      <c r="L745" s="49"/>
      <c r="M745" s="49"/>
      <c r="N745" s="49"/>
      <c r="O745" s="49" t="b">
        <v>0</v>
      </c>
      <c r="P745" s="49"/>
      <c r="Q745" s="49"/>
      <c r="R745" s="49"/>
      <c r="S745" s="49"/>
      <c r="T745" s="49"/>
      <c r="U745" s="58"/>
      <c r="V745" s="49"/>
      <c r="W745" s="58"/>
      <c r="X745" s="49"/>
      <c r="Y745" s="47"/>
      <c r="Z745" s="49"/>
      <c r="AA745" s="49"/>
      <c r="AB745" s="49"/>
      <c r="AC745" s="49"/>
      <c r="AD745" s="49"/>
      <c r="AE745" s="49"/>
      <c r="AF745" s="49"/>
      <c r="AG745" s="49"/>
      <c r="AH745" s="49"/>
      <c r="AI745" s="49"/>
      <c r="AJ745" s="49"/>
      <c r="AK745" s="49"/>
      <c r="AL745" s="49"/>
      <c r="AM745" s="49"/>
      <c r="AN745" s="49"/>
      <c r="AO745" s="49"/>
    </row>
    <row r="746" spans="1:41" ht="13">
      <c r="A746" s="49"/>
      <c r="B746" s="49"/>
      <c r="C746" s="47"/>
      <c r="D746" s="49"/>
      <c r="E746" s="49"/>
      <c r="F746" s="49" t="b">
        <v>0</v>
      </c>
      <c r="G746" s="49"/>
      <c r="H746" s="47"/>
      <c r="I746" s="47"/>
      <c r="J746" s="49"/>
      <c r="K746" s="49"/>
      <c r="L746" s="49"/>
      <c r="M746" s="49"/>
      <c r="N746" s="49"/>
      <c r="O746" s="49" t="b">
        <v>0</v>
      </c>
      <c r="P746" s="49"/>
      <c r="Q746" s="49"/>
      <c r="R746" s="49"/>
      <c r="S746" s="49"/>
      <c r="T746" s="49"/>
      <c r="U746" s="58"/>
      <c r="V746" s="49"/>
      <c r="W746" s="58"/>
      <c r="X746" s="49"/>
      <c r="Y746" s="47"/>
      <c r="Z746" s="49"/>
      <c r="AA746" s="49"/>
      <c r="AB746" s="49"/>
      <c r="AC746" s="49"/>
      <c r="AD746" s="49"/>
      <c r="AE746" s="49"/>
      <c r="AF746" s="49"/>
      <c r="AG746" s="49"/>
      <c r="AH746" s="49"/>
      <c r="AI746" s="49"/>
      <c r="AJ746" s="49"/>
      <c r="AK746" s="49"/>
      <c r="AL746" s="49"/>
      <c r="AM746" s="49"/>
      <c r="AN746" s="49"/>
      <c r="AO746" s="49"/>
    </row>
    <row r="747" spans="1:41" ht="13">
      <c r="A747" s="49"/>
      <c r="B747" s="49"/>
      <c r="C747" s="47"/>
      <c r="D747" s="49"/>
      <c r="E747" s="49"/>
      <c r="F747" s="49" t="b">
        <v>0</v>
      </c>
      <c r="G747" s="49"/>
      <c r="H747" s="47"/>
      <c r="I747" s="47"/>
      <c r="J747" s="49"/>
      <c r="K747" s="49"/>
      <c r="L747" s="49"/>
      <c r="M747" s="49"/>
      <c r="N747" s="49"/>
      <c r="O747" s="49" t="b">
        <v>0</v>
      </c>
      <c r="P747" s="49"/>
      <c r="Q747" s="49"/>
      <c r="R747" s="49"/>
      <c r="S747" s="49"/>
      <c r="T747" s="49"/>
      <c r="U747" s="58"/>
      <c r="V747" s="49"/>
      <c r="W747" s="58"/>
      <c r="X747" s="49"/>
      <c r="Y747" s="47"/>
      <c r="Z747" s="49"/>
      <c r="AA747" s="49"/>
      <c r="AB747" s="49"/>
      <c r="AC747" s="49"/>
      <c r="AD747" s="49"/>
      <c r="AE747" s="49"/>
      <c r="AF747" s="49"/>
      <c r="AG747" s="49"/>
      <c r="AH747" s="49"/>
      <c r="AI747" s="49"/>
      <c r="AJ747" s="49"/>
      <c r="AK747" s="49"/>
      <c r="AL747" s="49"/>
      <c r="AM747" s="49"/>
      <c r="AN747" s="49"/>
      <c r="AO747" s="49"/>
    </row>
    <row r="748" spans="1:41" ht="13">
      <c r="A748" s="49"/>
      <c r="B748" s="49"/>
      <c r="C748" s="47"/>
      <c r="D748" s="49"/>
      <c r="E748" s="49"/>
      <c r="F748" s="49" t="b">
        <v>0</v>
      </c>
      <c r="G748" s="49"/>
      <c r="H748" s="47"/>
      <c r="I748" s="47"/>
      <c r="J748" s="49"/>
      <c r="K748" s="49"/>
      <c r="L748" s="49"/>
      <c r="M748" s="49"/>
      <c r="N748" s="49"/>
      <c r="O748" s="49" t="b">
        <v>0</v>
      </c>
      <c r="P748" s="49"/>
      <c r="Q748" s="49"/>
      <c r="R748" s="49"/>
      <c r="S748" s="49"/>
      <c r="T748" s="49"/>
      <c r="U748" s="58"/>
      <c r="V748" s="49"/>
      <c r="W748" s="58"/>
      <c r="X748" s="49"/>
      <c r="Y748" s="47"/>
      <c r="Z748" s="49"/>
      <c r="AA748" s="49"/>
      <c r="AB748" s="49"/>
      <c r="AC748" s="49"/>
      <c r="AD748" s="49"/>
      <c r="AE748" s="49"/>
      <c r="AF748" s="49"/>
      <c r="AG748" s="49"/>
      <c r="AH748" s="49"/>
      <c r="AI748" s="49"/>
      <c r="AJ748" s="49"/>
      <c r="AK748" s="49"/>
      <c r="AL748" s="49"/>
      <c r="AM748" s="49"/>
      <c r="AN748" s="49"/>
      <c r="AO748" s="49"/>
    </row>
    <row r="749" spans="1:41" ht="13">
      <c r="A749" s="49"/>
      <c r="B749" s="49"/>
      <c r="C749" s="47"/>
      <c r="D749" s="49"/>
      <c r="E749" s="49"/>
      <c r="F749" s="49" t="b">
        <v>0</v>
      </c>
      <c r="G749" s="49"/>
      <c r="H749" s="47"/>
      <c r="I749" s="47"/>
      <c r="J749" s="49"/>
      <c r="K749" s="49"/>
      <c r="L749" s="49"/>
      <c r="M749" s="49"/>
      <c r="N749" s="49"/>
      <c r="O749" s="49" t="b">
        <v>0</v>
      </c>
      <c r="P749" s="49"/>
      <c r="Q749" s="49"/>
      <c r="R749" s="49"/>
      <c r="S749" s="49"/>
      <c r="T749" s="49"/>
      <c r="U749" s="58"/>
      <c r="V749" s="49"/>
      <c r="W749" s="58"/>
      <c r="X749" s="49"/>
      <c r="Y749" s="47"/>
      <c r="Z749" s="49"/>
      <c r="AA749" s="49"/>
      <c r="AB749" s="49"/>
      <c r="AC749" s="49"/>
      <c r="AD749" s="49"/>
      <c r="AE749" s="49"/>
      <c r="AF749" s="49"/>
      <c r="AG749" s="49"/>
      <c r="AH749" s="49"/>
      <c r="AI749" s="49"/>
      <c r="AJ749" s="49"/>
      <c r="AK749" s="49"/>
      <c r="AL749" s="49"/>
      <c r="AM749" s="49"/>
      <c r="AN749" s="49"/>
      <c r="AO749" s="49"/>
    </row>
    <row r="750" spans="1:41" ht="13">
      <c r="A750" s="49"/>
      <c r="B750" s="49"/>
      <c r="C750" s="47"/>
      <c r="D750" s="49"/>
      <c r="E750" s="49"/>
      <c r="F750" s="49" t="b">
        <v>0</v>
      </c>
      <c r="G750" s="49"/>
      <c r="H750" s="47"/>
      <c r="I750" s="47"/>
      <c r="J750" s="49"/>
      <c r="K750" s="49"/>
      <c r="L750" s="49"/>
      <c r="M750" s="49"/>
      <c r="N750" s="49"/>
      <c r="O750" s="49" t="b">
        <v>0</v>
      </c>
      <c r="P750" s="49"/>
      <c r="Q750" s="49"/>
      <c r="R750" s="49"/>
      <c r="S750" s="49"/>
      <c r="T750" s="49"/>
      <c r="U750" s="58"/>
      <c r="V750" s="49"/>
      <c r="W750" s="58"/>
      <c r="X750" s="49"/>
      <c r="Y750" s="47"/>
      <c r="Z750" s="49"/>
      <c r="AA750" s="49"/>
      <c r="AB750" s="49"/>
      <c r="AC750" s="49"/>
      <c r="AD750" s="49"/>
      <c r="AE750" s="49"/>
      <c r="AF750" s="49"/>
      <c r="AG750" s="49"/>
      <c r="AH750" s="49"/>
      <c r="AI750" s="49"/>
      <c r="AJ750" s="49"/>
      <c r="AK750" s="49"/>
      <c r="AL750" s="49"/>
      <c r="AM750" s="49"/>
      <c r="AN750" s="49"/>
      <c r="AO750" s="49"/>
    </row>
    <row r="751" spans="1:41" ht="13">
      <c r="A751" s="49"/>
      <c r="B751" s="49"/>
      <c r="C751" s="47"/>
      <c r="D751" s="49"/>
      <c r="E751" s="49"/>
      <c r="F751" s="49" t="b">
        <v>0</v>
      </c>
      <c r="G751" s="49"/>
      <c r="H751" s="47"/>
      <c r="I751" s="47"/>
      <c r="J751" s="49"/>
      <c r="K751" s="49"/>
      <c r="L751" s="49"/>
      <c r="M751" s="49"/>
      <c r="N751" s="49"/>
      <c r="O751" s="49" t="b">
        <v>0</v>
      </c>
      <c r="P751" s="49"/>
      <c r="Q751" s="49"/>
      <c r="R751" s="49"/>
      <c r="S751" s="49"/>
      <c r="T751" s="49"/>
      <c r="U751" s="58"/>
      <c r="V751" s="49"/>
      <c r="W751" s="58"/>
      <c r="X751" s="49"/>
      <c r="Y751" s="47"/>
      <c r="Z751" s="49"/>
      <c r="AA751" s="49"/>
      <c r="AB751" s="49"/>
      <c r="AC751" s="49"/>
      <c r="AD751" s="49"/>
      <c r="AE751" s="49"/>
      <c r="AF751" s="49"/>
      <c r="AG751" s="49"/>
      <c r="AH751" s="49"/>
      <c r="AI751" s="49"/>
      <c r="AJ751" s="49"/>
      <c r="AK751" s="49"/>
      <c r="AL751" s="49"/>
      <c r="AM751" s="49"/>
      <c r="AN751" s="49"/>
      <c r="AO751" s="49"/>
    </row>
    <row r="752" spans="1:41" ht="13">
      <c r="A752" s="49"/>
      <c r="B752" s="49"/>
      <c r="C752" s="47"/>
      <c r="D752" s="49"/>
      <c r="E752" s="49"/>
      <c r="F752" s="49" t="b">
        <v>0</v>
      </c>
      <c r="G752" s="49"/>
      <c r="H752" s="47"/>
      <c r="I752" s="47"/>
      <c r="J752" s="49"/>
      <c r="K752" s="49"/>
      <c r="L752" s="49"/>
      <c r="M752" s="49"/>
      <c r="N752" s="49"/>
      <c r="O752" s="49" t="b">
        <v>0</v>
      </c>
      <c r="P752" s="49"/>
      <c r="Q752" s="49"/>
      <c r="R752" s="49"/>
      <c r="S752" s="49"/>
      <c r="T752" s="49"/>
      <c r="U752" s="58"/>
      <c r="V752" s="49"/>
      <c r="W752" s="58"/>
      <c r="X752" s="49"/>
      <c r="Y752" s="47"/>
      <c r="Z752" s="49"/>
      <c r="AA752" s="49"/>
      <c r="AB752" s="49"/>
      <c r="AC752" s="49"/>
      <c r="AD752" s="49"/>
      <c r="AE752" s="49"/>
      <c r="AF752" s="49"/>
      <c r="AG752" s="49"/>
      <c r="AH752" s="49"/>
      <c r="AI752" s="49"/>
      <c r="AJ752" s="49"/>
      <c r="AK752" s="49"/>
      <c r="AL752" s="49"/>
      <c r="AM752" s="49"/>
      <c r="AN752" s="49"/>
      <c r="AO752" s="49"/>
    </row>
    <row r="753" spans="1:41" ht="13">
      <c r="A753" s="49"/>
      <c r="B753" s="49"/>
      <c r="C753" s="47"/>
      <c r="D753" s="49"/>
      <c r="E753" s="49"/>
      <c r="F753" s="49" t="b">
        <v>0</v>
      </c>
      <c r="G753" s="49"/>
      <c r="H753" s="47"/>
      <c r="I753" s="47"/>
      <c r="J753" s="49"/>
      <c r="K753" s="49"/>
      <c r="L753" s="49"/>
      <c r="M753" s="49"/>
      <c r="N753" s="49"/>
      <c r="O753" s="49" t="b">
        <v>0</v>
      </c>
      <c r="P753" s="49"/>
      <c r="Q753" s="49"/>
      <c r="R753" s="49"/>
      <c r="S753" s="49"/>
      <c r="T753" s="49"/>
      <c r="U753" s="58"/>
      <c r="V753" s="49"/>
      <c r="W753" s="58"/>
      <c r="X753" s="49"/>
      <c r="Y753" s="47"/>
      <c r="Z753" s="49"/>
      <c r="AA753" s="49"/>
      <c r="AB753" s="49"/>
      <c r="AC753" s="49"/>
      <c r="AD753" s="49"/>
      <c r="AE753" s="49"/>
      <c r="AF753" s="49"/>
      <c r="AG753" s="49"/>
      <c r="AH753" s="49"/>
      <c r="AI753" s="49"/>
      <c r="AJ753" s="49"/>
      <c r="AK753" s="49"/>
      <c r="AL753" s="49"/>
      <c r="AM753" s="49"/>
      <c r="AN753" s="49"/>
      <c r="AO753" s="49"/>
    </row>
    <row r="754" spans="1:41" ht="13">
      <c r="A754" s="49"/>
      <c r="B754" s="49"/>
      <c r="C754" s="47"/>
      <c r="D754" s="49"/>
      <c r="E754" s="49"/>
      <c r="F754" s="49" t="b">
        <v>0</v>
      </c>
      <c r="G754" s="49"/>
      <c r="H754" s="47"/>
      <c r="I754" s="47"/>
      <c r="J754" s="49"/>
      <c r="K754" s="49"/>
      <c r="L754" s="49"/>
      <c r="M754" s="49"/>
      <c r="N754" s="49"/>
      <c r="O754" s="49" t="b">
        <v>0</v>
      </c>
      <c r="P754" s="49"/>
      <c r="Q754" s="49"/>
      <c r="R754" s="49"/>
      <c r="S754" s="49"/>
      <c r="T754" s="49"/>
      <c r="U754" s="58"/>
      <c r="V754" s="49"/>
      <c r="W754" s="58"/>
      <c r="X754" s="49"/>
      <c r="Y754" s="47"/>
      <c r="Z754" s="49"/>
      <c r="AA754" s="49"/>
      <c r="AB754" s="49"/>
      <c r="AC754" s="49"/>
      <c r="AD754" s="49"/>
      <c r="AE754" s="49"/>
      <c r="AF754" s="49"/>
      <c r="AG754" s="49"/>
      <c r="AH754" s="49"/>
      <c r="AI754" s="49"/>
      <c r="AJ754" s="49"/>
      <c r="AK754" s="49"/>
      <c r="AL754" s="49"/>
      <c r="AM754" s="49"/>
      <c r="AN754" s="49"/>
      <c r="AO754" s="49"/>
    </row>
    <row r="755" spans="1:41" ht="13">
      <c r="A755" s="49"/>
      <c r="B755" s="49"/>
      <c r="C755" s="47"/>
      <c r="D755" s="49"/>
      <c r="E755" s="49"/>
      <c r="F755" s="49" t="b">
        <v>0</v>
      </c>
      <c r="G755" s="49"/>
      <c r="H755" s="47"/>
      <c r="I755" s="47"/>
      <c r="J755" s="49"/>
      <c r="K755" s="49"/>
      <c r="L755" s="49"/>
      <c r="M755" s="49"/>
      <c r="N755" s="49"/>
      <c r="O755" s="49" t="b">
        <v>0</v>
      </c>
      <c r="P755" s="49"/>
      <c r="Q755" s="49"/>
      <c r="R755" s="49"/>
      <c r="S755" s="49"/>
      <c r="T755" s="49"/>
      <c r="U755" s="58"/>
      <c r="V755" s="49"/>
      <c r="W755" s="58"/>
      <c r="X755" s="49"/>
      <c r="Y755" s="47"/>
      <c r="Z755" s="49"/>
      <c r="AA755" s="49"/>
      <c r="AB755" s="49"/>
      <c r="AC755" s="49"/>
      <c r="AD755" s="49"/>
      <c r="AE755" s="49"/>
      <c r="AF755" s="49"/>
      <c r="AG755" s="49"/>
      <c r="AH755" s="49"/>
      <c r="AI755" s="49"/>
      <c r="AJ755" s="49"/>
      <c r="AK755" s="49"/>
      <c r="AL755" s="49"/>
      <c r="AM755" s="49"/>
      <c r="AN755" s="49"/>
      <c r="AO755" s="49"/>
    </row>
    <row r="756" spans="1:41" ht="13">
      <c r="A756" s="49"/>
      <c r="B756" s="49"/>
      <c r="C756" s="47"/>
      <c r="D756" s="49"/>
      <c r="E756" s="49"/>
      <c r="F756" s="49" t="b">
        <v>0</v>
      </c>
      <c r="G756" s="49"/>
      <c r="H756" s="47"/>
      <c r="I756" s="47"/>
      <c r="J756" s="49"/>
      <c r="K756" s="49"/>
      <c r="L756" s="49"/>
      <c r="M756" s="49"/>
      <c r="N756" s="49"/>
      <c r="O756" s="49" t="b">
        <v>0</v>
      </c>
      <c r="P756" s="49"/>
      <c r="Q756" s="49"/>
      <c r="R756" s="49"/>
      <c r="S756" s="49"/>
      <c r="T756" s="49"/>
      <c r="U756" s="58"/>
      <c r="V756" s="49"/>
      <c r="W756" s="58"/>
      <c r="X756" s="49"/>
      <c r="Y756" s="47"/>
      <c r="Z756" s="49"/>
      <c r="AA756" s="49"/>
      <c r="AB756" s="49"/>
      <c r="AC756" s="49"/>
      <c r="AD756" s="49"/>
      <c r="AE756" s="49"/>
      <c r="AF756" s="49"/>
      <c r="AG756" s="49"/>
      <c r="AH756" s="49"/>
      <c r="AI756" s="49"/>
      <c r="AJ756" s="49"/>
      <c r="AK756" s="49"/>
      <c r="AL756" s="49"/>
      <c r="AM756" s="49"/>
      <c r="AN756" s="49"/>
      <c r="AO756" s="49"/>
    </row>
    <row r="757" spans="1:41" ht="13">
      <c r="A757" s="49"/>
      <c r="B757" s="49"/>
      <c r="C757" s="47"/>
      <c r="D757" s="49"/>
      <c r="E757" s="49"/>
      <c r="F757" s="49" t="b">
        <v>0</v>
      </c>
      <c r="G757" s="49"/>
      <c r="H757" s="47"/>
      <c r="I757" s="47"/>
      <c r="J757" s="49"/>
      <c r="K757" s="49"/>
      <c r="L757" s="49"/>
      <c r="M757" s="49"/>
      <c r="N757" s="49"/>
      <c r="O757" s="49" t="b">
        <v>0</v>
      </c>
      <c r="P757" s="49"/>
      <c r="Q757" s="49"/>
      <c r="R757" s="49"/>
      <c r="S757" s="49"/>
      <c r="T757" s="49"/>
      <c r="U757" s="58"/>
      <c r="V757" s="49"/>
      <c r="W757" s="58"/>
      <c r="X757" s="49"/>
      <c r="Y757" s="47"/>
      <c r="Z757" s="49"/>
      <c r="AA757" s="49"/>
      <c r="AB757" s="49"/>
      <c r="AC757" s="49"/>
      <c r="AD757" s="49"/>
      <c r="AE757" s="49"/>
      <c r="AF757" s="49"/>
      <c r="AG757" s="49"/>
      <c r="AH757" s="49"/>
      <c r="AI757" s="49"/>
      <c r="AJ757" s="49"/>
      <c r="AK757" s="49"/>
      <c r="AL757" s="49"/>
      <c r="AM757" s="49"/>
      <c r="AN757" s="49"/>
      <c r="AO757" s="49"/>
    </row>
    <row r="758" spans="1:41" ht="13">
      <c r="A758" s="49"/>
      <c r="B758" s="49"/>
      <c r="C758" s="47"/>
      <c r="D758" s="49"/>
      <c r="E758" s="49"/>
      <c r="F758" s="49" t="b">
        <v>0</v>
      </c>
      <c r="G758" s="49"/>
      <c r="H758" s="47"/>
      <c r="I758" s="47"/>
      <c r="J758" s="49"/>
      <c r="K758" s="49"/>
      <c r="L758" s="49"/>
      <c r="M758" s="49"/>
      <c r="N758" s="49"/>
      <c r="O758" s="49" t="b">
        <v>0</v>
      </c>
      <c r="P758" s="49"/>
      <c r="Q758" s="49"/>
      <c r="R758" s="49"/>
      <c r="S758" s="49"/>
      <c r="T758" s="49"/>
      <c r="U758" s="58"/>
      <c r="V758" s="49"/>
      <c r="W758" s="58"/>
      <c r="X758" s="49"/>
      <c r="Y758" s="47"/>
      <c r="Z758" s="49"/>
      <c r="AA758" s="49"/>
      <c r="AB758" s="49"/>
      <c r="AC758" s="49"/>
      <c r="AD758" s="49"/>
      <c r="AE758" s="49"/>
      <c r="AF758" s="49"/>
      <c r="AG758" s="49"/>
      <c r="AH758" s="49"/>
      <c r="AI758" s="49"/>
      <c r="AJ758" s="49"/>
      <c r="AK758" s="49"/>
      <c r="AL758" s="49"/>
      <c r="AM758" s="49"/>
      <c r="AN758" s="49"/>
      <c r="AO758" s="49"/>
    </row>
    <row r="759" spans="1:41" ht="13">
      <c r="A759" s="49"/>
      <c r="B759" s="49"/>
      <c r="C759" s="47"/>
      <c r="D759" s="49"/>
      <c r="E759" s="49"/>
      <c r="F759" s="49" t="b">
        <v>0</v>
      </c>
      <c r="G759" s="49"/>
      <c r="H759" s="47"/>
      <c r="I759" s="47"/>
      <c r="J759" s="49"/>
      <c r="K759" s="49"/>
      <c r="L759" s="49"/>
      <c r="M759" s="49"/>
      <c r="N759" s="49"/>
      <c r="O759" s="49" t="b">
        <v>0</v>
      </c>
      <c r="P759" s="49"/>
      <c r="Q759" s="49"/>
      <c r="R759" s="49"/>
      <c r="S759" s="49"/>
      <c r="T759" s="49"/>
      <c r="U759" s="58"/>
      <c r="V759" s="49"/>
      <c r="W759" s="58"/>
      <c r="X759" s="49"/>
      <c r="Y759" s="47"/>
      <c r="Z759" s="49"/>
      <c r="AA759" s="49"/>
      <c r="AB759" s="49"/>
      <c r="AC759" s="49"/>
      <c r="AD759" s="49"/>
      <c r="AE759" s="49"/>
      <c r="AF759" s="49"/>
      <c r="AG759" s="49"/>
      <c r="AH759" s="49"/>
      <c r="AI759" s="49"/>
      <c r="AJ759" s="49"/>
      <c r="AK759" s="49"/>
      <c r="AL759" s="49"/>
      <c r="AM759" s="49"/>
      <c r="AN759" s="49"/>
      <c r="AO759" s="49"/>
    </row>
    <row r="760" spans="1:41" ht="13">
      <c r="A760" s="49"/>
      <c r="B760" s="49"/>
      <c r="C760" s="47"/>
      <c r="D760" s="49"/>
      <c r="E760" s="49"/>
      <c r="F760" s="49" t="b">
        <v>0</v>
      </c>
      <c r="G760" s="49"/>
      <c r="H760" s="47"/>
      <c r="I760" s="47"/>
      <c r="J760" s="49"/>
      <c r="K760" s="49"/>
      <c r="L760" s="49"/>
      <c r="M760" s="49"/>
      <c r="N760" s="49"/>
      <c r="O760" s="49" t="b">
        <v>0</v>
      </c>
      <c r="P760" s="49"/>
      <c r="Q760" s="49"/>
      <c r="R760" s="49"/>
      <c r="S760" s="49"/>
      <c r="T760" s="49"/>
      <c r="U760" s="58"/>
      <c r="V760" s="49"/>
      <c r="W760" s="58"/>
      <c r="X760" s="49"/>
      <c r="Y760" s="47"/>
      <c r="Z760" s="49"/>
      <c r="AA760" s="49"/>
      <c r="AB760" s="49"/>
      <c r="AC760" s="49"/>
      <c r="AD760" s="49"/>
      <c r="AE760" s="49"/>
      <c r="AF760" s="49"/>
      <c r="AG760" s="49"/>
      <c r="AH760" s="49"/>
      <c r="AI760" s="49"/>
      <c r="AJ760" s="49"/>
      <c r="AK760" s="49"/>
      <c r="AL760" s="49"/>
      <c r="AM760" s="49"/>
      <c r="AN760" s="49"/>
      <c r="AO760" s="49"/>
    </row>
    <row r="761" spans="1:41" ht="13">
      <c r="A761" s="49"/>
      <c r="B761" s="49"/>
      <c r="C761" s="47"/>
      <c r="D761" s="49"/>
      <c r="E761" s="49"/>
      <c r="F761" s="49" t="b">
        <v>0</v>
      </c>
      <c r="G761" s="49"/>
      <c r="H761" s="47"/>
      <c r="I761" s="47"/>
      <c r="J761" s="49"/>
      <c r="K761" s="49"/>
      <c r="L761" s="49"/>
      <c r="M761" s="49"/>
      <c r="N761" s="49"/>
      <c r="O761" s="49" t="b">
        <v>0</v>
      </c>
      <c r="P761" s="49"/>
      <c r="Q761" s="49"/>
      <c r="R761" s="49"/>
      <c r="S761" s="49"/>
      <c r="T761" s="49"/>
      <c r="U761" s="58"/>
      <c r="V761" s="49"/>
      <c r="W761" s="58"/>
      <c r="X761" s="49"/>
      <c r="Y761" s="47"/>
      <c r="Z761" s="49"/>
      <c r="AA761" s="49"/>
      <c r="AB761" s="49"/>
      <c r="AC761" s="49"/>
      <c r="AD761" s="49"/>
      <c r="AE761" s="49"/>
      <c r="AF761" s="49"/>
      <c r="AG761" s="49"/>
      <c r="AH761" s="49"/>
      <c r="AI761" s="49"/>
      <c r="AJ761" s="49"/>
      <c r="AK761" s="49"/>
      <c r="AL761" s="49"/>
      <c r="AM761" s="49"/>
      <c r="AN761" s="49"/>
      <c r="AO761" s="49"/>
    </row>
    <row r="762" spans="1:41" ht="13">
      <c r="A762" s="49"/>
      <c r="B762" s="49"/>
      <c r="C762" s="47"/>
      <c r="D762" s="49"/>
      <c r="E762" s="49"/>
      <c r="F762" s="49" t="b">
        <v>0</v>
      </c>
      <c r="G762" s="49"/>
      <c r="H762" s="47"/>
      <c r="I762" s="47"/>
      <c r="J762" s="49"/>
      <c r="K762" s="49"/>
      <c r="L762" s="49"/>
      <c r="M762" s="49"/>
      <c r="N762" s="49"/>
      <c r="O762" s="49" t="b">
        <v>0</v>
      </c>
      <c r="P762" s="49"/>
      <c r="Q762" s="49"/>
      <c r="R762" s="49"/>
      <c r="S762" s="49"/>
      <c r="T762" s="49"/>
      <c r="U762" s="58"/>
      <c r="V762" s="49"/>
      <c r="W762" s="58"/>
      <c r="X762" s="49"/>
      <c r="Y762" s="47"/>
      <c r="Z762" s="49"/>
      <c r="AA762" s="49"/>
      <c r="AB762" s="49"/>
      <c r="AC762" s="49"/>
      <c r="AD762" s="49"/>
      <c r="AE762" s="49"/>
      <c r="AF762" s="49"/>
      <c r="AG762" s="49"/>
      <c r="AH762" s="49"/>
      <c r="AI762" s="49"/>
      <c r="AJ762" s="49"/>
      <c r="AK762" s="49"/>
      <c r="AL762" s="49"/>
      <c r="AM762" s="49"/>
      <c r="AN762" s="49"/>
      <c r="AO762" s="49"/>
    </row>
    <row r="763" spans="1:41" ht="13">
      <c r="A763" s="49"/>
      <c r="B763" s="49"/>
      <c r="C763" s="47"/>
      <c r="D763" s="49"/>
      <c r="E763" s="49"/>
      <c r="F763" s="49" t="b">
        <v>0</v>
      </c>
      <c r="G763" s="49"/>
      <c r="H763" s="47"/>
      <c r="I763" s="47"/>
      <c r="J763" s="49"/>
      <c r="K763" s="49"/>
      <c r="L763" s="49"/>
      <c r="M763" s="49"/>
      <c r="N763" s="49"/>
      <c r="O763" s="49" t="b">
        <v>0</v>
      </c>
      <c r="P763" s="49"/>
      <c r="Q763" s="49"/>
      <c r="R763" s="49"/>
      <c r="S763" s="49"/>
      <c r="T763" s="49"/>
      <c r="U763" s="58"/>
      <c r="V763" s="49"/>
      <c r="W763" s="58"/>
      <c r="X763" s="49"/>
      <c r="Y763" s="47"/>
      <c r="Z763" s="49"/>
      <c r="AA763" s="49"/>
      <c r="AB763" s="49"/>
      <c r="AC763" s="49"/>
      <c r="AD763" s="49"/>
      <c r="AE763" s="49"/>
      <c r="AF763" s="49"/>
      <c r="AG763" s="49"/>
      <c r="AH763" s="49"/>
      <c r="AI763" s="49"/>
      <c r="AJ763" s="49"/>
      <c r="AK763" s="49"/>
      <c r="AL763" s="49"/>
      <c r="AM763" s="49"/>
      <c r="AN763" s="49"/>
      <c r="AO763" s="49"/>
    </row>
    <row r="764" spans="1:41" ht="13">
      <c r="A764" s="49"/>
      <c r="B764" s="49"/>
      <c r="C764" s="47"/>
      <c r="D764" s="49"/>
      <c r="E764" s="49"/>
      <c r="F764" s="49" t="b">
        <v>0</v>
      </c>
      <c r="G764" s="49"/>
      <c r="H764" s="47"/>
      <c r="I764" s="47"/>
      <c r="J764" s="49"/>
      <c r="K764" s="49"/>
      <c r="L764" s="49"/>
      <c r="M764" s="49"/>
      <c r="N764" s="49"/>
      <c r="O764" s="49" t="b">
        <v>0</v>
      </c>
      <c r="P764" s="49"/>
      <c r="Q764" s="49"/>
      <c r="R764" s="49"/>
      <c r="S764" s="49"/>
      <c r="T764" s="49"/>
      <c r="U764" s="58"/>
      <c r="V764" s="49"/>
      <c r="W764" s="58"/>
      <c r="X764" s="49"/>
      <c r="Y764" s="47"/>
      <c r="Z764" s="49"/>
      <c r="AA764" s="49"/>
      <c r="AB764" s="49"/>
      <c r="AC764" s="49"/>
      <c r="AD764" s="49"/>
      <c r="AE764" s="49"/>
      <c r="AF764" s="49"/>
      <c r="AG764" s="49"/>
      <c r="AH764" s="49"/>
      <c r="AI764" s="49"/>
      <c r="AJ764" s="49"/>
      <c r="AK764" s="49"/>
      <c r="AL764" s="49"/>
      <c r="AM764" s="49"/>
      <c r="AN764" s="49"/>
      <c r="AO764" s="49"/>
    </row>
    <row r="765" spans="1:41" ht="13">
      <c r="A765" s="49"/>
      <c r="B765" s="49"/>
      <c r="C765" s="47"/>
      <c r="D765" s="49"/>
      <c r="E765" s="49"/>
      <c r="F765" s="49" t="b">
        <v>0</v>
      </c>
      <c r="G765" s="49"/>
      <c r="H765" s="47"/>
      <c r="I765" s="47"/>
      <c r="J765" s="49"/>
      <c r="K765" s="49"/>
      <c r="L765" s="49"/>
      <c r="M765" s="49"/>
      <c r="N765" s="49"/>
      <c r="O765" s="49" t="b">
        <v>0</v>
      </c>
      <c r="P765" s="49"/>
      <c r="Q765" s="49"/>
      <c r="R765" s="49"/>
      <c r="S765" s="49"/>
      <c r="T765" s="49"/>
      <c r="U765" s="58"/>
      <c r="V765" s="49"/>
      <c r="W765" s="58"/>
      <c r="X765" s="49"/>
      <c r="Y765" s="47"/>
      <c r="Z765" s="49"/>
      <c r="AA765" s="49"/>
      <c r="AB765" s="49"/>
      <c r="AC765" s="49"/>
      <c r="AD765" s="49"/>
      <c r="AE765" s="49"/>
      <c r="AF765" s="49"/>
      <c r="AG765" s="49"/>
      <c r="AH765" s="49"/>
      <c r="AI765" s="49"/>
      <c r="AJ765" s="49"/>
      <c r="AK765" s="49"/>
      <c r="AL765" s="49"/>
      <c r="AM765" s="49"/>
      <c r="AN765" s="49"/>
      <c r="AO765" s="49"/>
    </row>
    <row r="766" spans="1:41" ht="13">
      <c r="A766" s="49"/>
      <c r="B766" s="49"/>
      <c r="C766" s="47"/>
      <c r="D766" s="49"/>
      <c r="E766" s="49"/>
      <c r="F766" s="49" t="b">
        <v>0</v>
      </c>
      <c r="G766" s="49"/>
      <c r="H766" s="47"/>
      <c r="I766" s="47"/>
      <c r="J766" s="49"/>
      <c r="K766" s="49"/>
      <c r="L766" s="49"/>
      <c r="M766" s="49"/>
      <c r="N766" s="49"/>
      <c r="O766" s="49" t="b">
        <v>0</v>
      </c>
      <c r="P766" s="49"/>
      <c r="Q766" s="49"/>
      <c r="R766" s="49"/>
      <c r="S766" s="49"/>
      <c r="T766" s="49"/>
      <c r="U766" s="58"/>
      <c r="V766" s="49"/>
      <c r="W766" s="58"/>
      <c r="X766" s="49"/>
      <c r="Y766" s="47"/>
      <c r="Z766" s="49"/>
      <c r="AA766" s="49"/>
      <c r="AB766" s="49"/>
      <c r="AC766" s="49"/>
      <c r="AD766" s="49"/>
      <c r="AE766" s="49"/>
      <c r="AF766" s="49"/>
      <c r="AG766" s="49"/>
      <c r="AH766" s="49"/>
      <c r="AI766" s="49"/>
      <c r="AJ766" s="49"/>
      <c r="AK766" s="49"/>
      <c r="AL766" s="49"/>
      <c r="AM766" s="49"/>
      <c r="AN766" s="49"/>
      <c r="AO766" s="49"/>
    </row>
    <row r="767" spans="1:41" ht="13">
      <c r="A767" s="49"/>
      <c r="B767" s="49"/>
      <c r="C767" s="47"/>
      <c r="D767" s="49"/>
      <c r="E767" s="49"/>
      <c r="F767" s="49" t="b">
        <v>0</v>
      </c>
      <c r="G767" s="49"/>
      <c r="H767" s="47"/>
      <c r="I767" s="47"/>
      <c r="J767" s="49"/>
      <c r="K767" s="49"/>
      <c r="L767" s="49"/>
      <c r="M767" s="49"/>
      <c r="N767" s="49"/>
      <c r="O767" s="49" t="b">
        <v>0</v>
      </c>
      <c r="P767" s="49"/>
      <c r="Q767" s="49"/>
      <c r="R767" s="49"/>
      <c r="S767" s="49"/>
      <c r="T767" s="49"/>
      <c r="U767" s="58"/>
      <c r="V767" s="49"/>
      <c r="W767" s="58"/>
      <c r="X767" s="49"/>
      <c r="Y767" s="47"/>
      <c r="Z767" s="49"/>
      <c r="AA767" s="49"/>
      <c r="AB767" s="49"/>
      <c r="AC767" s="49"/>
      <c r="AD767" s="49"/>
      <c r="AE767" s="49"/>
      <c r="AF767" s="49"/>
      <c r="AG767" s="49"/>
      <c r="AH767" s="49"/>
      <c r="AI767" s="49"/>
      <c r="AJ767" s="49"/>
      <c r="AK767" s="49"/>
      <c r="AL767" s="49"/>
      <c r="AM767" s="49"/>
      <c r="AN767" s="49"/>
      <c r="AO767" s="49"/>
    </row>
    <row r="768" spans="1:41" ht="13">
      <c r="A768" s="49"/>
      <c r="B768" s="49"/>
      <c r="C768" s="47"/>
      <c r="D768" s="49"/>
      <c r="E768" s="49"/>
      <c r="F768" s="49" t="b">
        <v>0</v>
      </c>
      <c r="G768" s="49"/>
      <c r="H768" s="47"/>
      <c r="I768" s="47"/>
      <c r="J768" s="49"/>
      <c r="K768" s="49"/>
      <c r="L768" s="49"/>
      <c r="M768" s="49"/>
      <c r="N768" s="49"/>
      <c r="O768" s="49" t="b">
        <v>0</v>
      </c>
      <c r="P768" s="49"/>
      <c r="Q768" s="49"/>
      <c r="R768" s="49"/>
      <c r="S768" s="49"/>
      <c r="T768" s="49"/>
      <c r="U768" s="58"/>
      <c r="V768" s="49"/>
      <c r="W768" s="58"/>
      <c r="X768" s="49"/>
      <c r="Y768" s="47"/>
      <c r="Z768" s="49"/>
      <c r="AA768" s="49"/>
      <c r="AB768" s="49"/>
      <c r="AC768" s="49"/>
      <c r="AD768" s="49"/>
      <c r="AE768" s="49"/>
      <c r="AF768" s="49"/>
      <c r="AG768" s="49"/>
      <c r="AH768" s="49"/>
      <c r="AI768" s="49"/>
      <c r="AJ768" s="49"/>
      <c r="AK768" s="49"/>
      <c r="AL768" s="49"/>
      <c r="AM768" s="49"/>
      <c r="AN768" s="49"/>
      <c r="AO768" s="49"/>
    </row>
    <row r="769" spans="1:41" ht="13">
      <c r="A769" s="49"/>
      <c r="B769" s="49"/>
      <c r="C769" s="47"/>
      <c r="D769" s="49"/>
      <c r="E769" s="49"/>
      <c r="F769" s="49" t="b">
        <v>0</v>
      </c>
      <c r="G769" s="49"/>
      <c r="H769" s="47"/>
      <c r="I769" s="47"/>
      <c r="J769" s="49"/>
      <c r="K769" s="49"/>
      <c r="L769" s="49"/>
      <c r="M769" s="49"/>
      <c r="N769" s="49"/>
      <c r="O769" s="49" t="b">
        <v>0</v>
      </c>
      <c r="P769" s="49"/>
      <c r="Q769" s="49"/>
      <c r="R769" s="49"/>
      <c r="S769" s="49"/>
      <c r="T769" s="49"/>
      <c r="U769" s="58"/>
      <c r="V769" s="49"/>
      <c r="W769" s="58"/>
      <c r="X769" s="49"/>
      <c r="Y769" s="47"/>
      <c r="Z769" s="49"/>
      <c r="AA769" s="49"/>
      <c r="AB769" s="49"/>
      <c r="AC769" s="49"/>
      <c r="AD769" s="49"/>
      <c r="AE769" s="49"/>
      <c r="AF769" s="49"/>
      <c r="AG769" s="49"/>
      <c r="AH769" s="49"/>
      <c r="AI769" s="49"/>
      <c r="AJ769" s="49"/>
      <c r="AK769" s="49"/>
      <c r="AL769" s="49"/>
      <c r="AM769" s="49"/>
      <c r="AN769" s="49"/>
      <c r="AO769" s="49"/>
    </row>
    <row r="770" spans="1:41" ht="13">
      <c r="A770" s="49"/>
      <c r="B770" s="49"/>
      <c r="C770" s="47"/>
      <c r="D770" s="49"/>
      <c r="E770" s="49"/>
      <c r="F770" s="49" t="b">
        <v>0</v>
      </c>
      <c r="G770" s="49"/>
      <c r="H770" s="47"/>
      <c r="I770" s="47"/>
      <c r="J770" s="49"/>
      <c r="K770" s="49"/>
      <c r="L770" s="49"/>
      <c r="M770" s="49"/>
      <c r="N770" s="49"/>
      <c r="O770" s="49" t="b">
        <v>0</v>
      </c>
      <c r="P770" s="49"/>
      <c r="Q770" s="49"/>
      <c r="R770" s="49"/>
      <c r="S770" s="49"/>
      <c r="T770" s="49"/>
      <c r="U770" s="58"/>
      <c r="V770" s="49"/>
      <c r="W770" s="58"/>
      <c r="X770" s="49"/>
      <c r="Y770" s="47"/>
      <c r="Z770" s="49"/>
      <c r="AA770" s="49"/>
      <c r="AB770" s="49"/>
      <c r="AC770" s="49"/>
      <c r="AD770" s="49"/>
      <c r="AE770" s="49"/>
      <c r="AF770" s="49"/>
      <c r="AG770" s="49"/>
      <c r="AH770" s="49"/>
      <c r="AI770" s="49"/>
      <c r="AJ770" s="49"/>
      <c r="AK770" s="49"/>
      <c r="AL770" s="49"/>
      <c r="AM770" s="49"/>
      <c r="AN770" s="49"/>
      <c r="AO770" s="49"/>
    </row>
    <row r="771" spans="1:41" ht="13">
      <c r="A771" s="49"/>
      <c r="B771" s="49"/>
      <c r="C771" s="47"/>
      <c r="D771" s="49"/>
      <c r="E771" s="49"/>
      <c r="F771" s="49" t="b">
        <v>0</v>
      </c>
      <c r="G771" s="49"/>
      <c r="H771" s="47"/>
      <c r="I771" s="47"/>
      <c r="J771" s="49"/>
      <c r="K771" s="49"/>
      <c r="L771" s="49"/>
      <c r="M771" s="49"/>
      <c r="N771" s="49"/>
      <c r="O771" s="49" t="b">
        <v>0</v>
      </c>
      <c r="P771" s="49"/>
      <c r="Q771" s="49"/>
      <c r="R771" s="49"/>
      <c r="S771" s="49"/>
      <c r="T771" s="49"/>
      <c r="U771" s="58"/>
      <c r="V771" s="49"/>
      <c r="W771" s="58"/>
      <c r="X771" s="49"/>
      <c r="Y771" s="47"/>
      <c r="Z771" s="49"/>
      <c r="AA771" s="49"/>
      <c r="AB771" s="49"/>
      <c r="AC771" s="49"/>
      <c r="AD771" s="49"/>
      <c r="AE771" s="49"/>
      <c r="AF771" s="49"/>
      <c r="AG771" s="49"/>
      <c r="AH771" s="49"/>
      <c r="AI771" s="49"/>
      <c r="AJ771" s="49"/>
      <c r="AK771" s="49"/>
      <c r="AL771" s="49"/>
      <c r="AM771" s="49"/>
      <c r="AN771" s="49"/>
      <c r="AO771" s="49"/>
    </row>
    <row r="772" spans="1:41" ht="13">
      <c r="A772" s="49"/>
      <c r="B772" s="49"/>
      <c r="C772" s="47"/>
      <c r="D772" s="49"/>
      <c r="E772" s="49"/>
      <c r="F772" s="49" t="b">
        <v>0</v>
      </c>
      <c r="G772" s="49"/>
      <c r="H772" s="47"/>
      <c r="I772" s="47"/>
      <c r="J772" s="49"/>
      <c r="K772" s="49"/>
      <c r="L772" s="49"/>
      <c r="M772" s="49"/>
      <c r="N772" s="49"/>
      <c r="O772" s="49" t="b">
        <v>0</v>
      </c>
      <c r="P772" s="49"/>
      <c r="Q772" s="49"/>
      <c r="R772" s="49"/>
      <c r="S772" s="49"/>
      <c r="T772" s="49"/>
      <c r="U772" s="58"/>
      <c r="V772" s="49"/>
      <c r="W772" s="58"/>
      <c r="X772" s="49"/>
      <c r="Y772" s="47"/>
      <c r="Z772" s="49"/>
      <c r="AA772" s="49"/>
      <c r="AB772" s="49"/>
      <c r="AC772" s="49"/>
      <c r="AD772" s="49"/>
      <c r="AE772" s="49"/>
      <c r="AF772" s="49"/>
      <c r="AG772" s="49"/>
      <c r="AH772" s="49"/>
      <c r="AI772" s="49"/>
      <c r="AJ772" s="49"/>
      <c r="AK772" s="49"/>
      <c r="AL772" s="49"/>
      <c r="AM772" s="49"/>
      <c r="AN772" s="49"/>
      <c r="AO772" s="49"/>
    </row>
    <row r="773" spans="1:41" ht="13">
      <c r="A773" s="49"/>
      <c r="B773" s="49"/>
      <c r="C773" s="47"/>
      <c r="D773" s="49"/>
      <c r="E773" s="49"/>
      <c r="F773" s="49" t="b">
        <v>0</v>
      </c>
      <c r="G773" s="49"/>
      <c r="H773" s="47"/>
      <c r="I773" s="47"/>
      <c r="J773" s="49"/>
      <c r="K773" s="49"/>
      <c r="L773" s="49"/>
      <c r="M773" s="49"/>
      <c r="N773" s="49"/>
      <c r="O773" s="49" t="b">
        <v>0</v>
      </c>
      <c r="P773" s="49"/>
      <c r="Q773" s="49"/>
      <c r="R773" s="49"/>
      <c r="S773" s="49"/>
      <c r="T773" s="49"/>
      <c r="U773" s="58"/>
      <c r="V773" s="49"/>
      <c r="W773" s="58"/>
      <c r="X773" s="49"/>
      <c r="Y773" s="47"/>
      <c r="Z773" s="49"/>
      <c r="AA773" s="49"/>
      <c r="AB773" s="49"/>
      <c r="AC773" s="49"/>
      <c r="AD773" s="49"/>
      <c r="AE773" s="49"/>
      <c r="AF773" s="49"/>
      <c r="AG773" s="49"/>
      <c r="AH773" s="49"/>
      <c r="AI773" s="49"/>
      <c r="AJ773" s="49"/>
      <c r="AK773" s="49"/>
      <c r="AL773" s="49"/>
      <c r="AM773" s="49"/>
      <c r="AN773" s="49"/>
      <c r="AO773" s="49"/>
    </row>
    <row r="774" spans="1:41" ht="13">
      <c r="A774" s="49"/>
      <c r="B774" s="49"/>
      <c r="C774" s="47"/>
      <c r="D774" s="49"/>
      <c r="E774" s="49"/>
      <c r="F774" s="49" t="b">
        <v>0</v>
      </c>
      <c r="G774" s="49"/>
      <c r="H774" s="47"/>
      <c r="I774" s="47"/>
      <c r="J774" s="49"/>
      <c r="K774" s="49"/>
      <c r="L774" s="49"/>
      <c r="M774" s="49"/>
      <c r="N774" s="49"/>
      <c r="O774" s="49" t="b">
        <v>0</v>
      </c>
      <c r="P774" s="49"/>
      <c r="Q774" s="49"/>
      <c r="R774" s="49"/>
      <c r="S774" s="49"/>
      <c r="T774" s="49"/>
      <c r="U774" s="58"/>
      <c r="V774" s="49"/>
      <c r="W774" s="58"/>
      <c r="X774" s="49"/>
      <c r="Y774" s="47"/>
      <c r="Z774" s="49"/>
      <c r="AA774" s="49"/>
      <c r="AB774" s="49"/>
      <c r="AC774" s="49"/>
      <c r="AD774" s="49"/>
      <c r="AE774" s="49"/>
      <c r="AF774" s="49"/>
      <c r="AG774" s="49"/>
      <c r="AH774" s="49"/>
      <c r="AI774" s="49"/>
      <c r="AJ774" s="49"/>
      <c r="AK774" s="49"/>
      <c r="AL774" s="49"/>
      <c r="AM774" s="49"/>
      <c r="AN774" s="49"/>
      <c r="AO774" s="49"/>
    </row>
    <row r="775" spans="1:41" ht="13">
      <c r="A775" s="49"/>
      <c r="B775" s="49"/>
      <c r="C775" s="47"/>
      <c r="D775" s="49"/>
      <c r="E775" s="49"/>
      <c r="F775" s="49" t="b">
        <v>0</v>
      </c>
      <c r="G775" s="49"/>
      <c r="H775" s="47"/>
      <c r="I775" s="47"/>
      <c r="J775" s="49"/>
      <c r="K775" s="49"/>
      <c r="L775" s="49"/>
      <c r="M775" s="49"/>
      <c r="N775" s="49"/>
      <c r="O775" s="49" t="b">
        <v>0</v>
      </c>
      <c r="P775" s="49"/>
      <c r="Q775" s="49"/>
      <c r="R775" s="49"/>
      <c r="S775" s="49"/>
      <c r="T775" s="49"/>
      <c r="U775" s="58"/>
      <c r="V775" s="49"/>
      <c r="W775" s="58"/>
      <c r="X775" s="49"/>
      <c r="Y775" s="47"/>
      <c r="Z775" s="49"/>
      <c r="AA775" s="49"/>
      <c r="AB775" s="49"/>
      <c r="AC775" s="49"/>
      <c r="AD775" s="49"/>
      <c r="AE775" s="49"/>
      <c r="AF775" s="49"/>
      <c r="AG775" s="49"/>
      <c r="AH775" s="49"/>
      <c r="AI775" s="49"/>
      <c r="AJ775" s="49"/>
      <c r="AK775" s="49"/>
      <c r="AL775" s="49"/>
      <c r="AM775" s="49"/>
      <c r="AN775" s="49"/>
      <c r="AO775" s="49"/>
    </row>
    <row r="776" spans="1:41" ht="13">
      <c r="A776" s="49"/>
      <c r="B776" s="49"/>
      <c r="C776" s="47"/>
      <c r="D776" s="49"/>
      <c r="E776" s="49"/>
      <c r="F776" s="49" t="b">
        <v>0</v>
      </c>
      <c r="G776" s="49"/>
      <c r="H776" s="47"/>
      <c r="I776" s="47"/>
      <c r="J776" s="49"/>
      <c r="K776" s="49"/>
      <c r="L776" s="49"/>
      <c r="M776" s="49"/>
      <c r="N776" s="49"/>
      <c r="O776" s="49" t="b">
        <v>0</v>
      </c>
      <c r="P776" s="49"/>
      <c r="Q776" s="49"/>
      <c r="R776" s="49"/>
      <c r="S776" s="49"/>
      <c r="T776" s="49"/>
      <c r="U776" s="58"/>
      <c r="V776" s="49"/>
      <c r="W776" s="58"/>
      <c r="X776" s="49"/>
      <c r="Y776" s="47"/>
      <c r="Z776" s="49"/>
      <c r="AA776" s="49"/>
      <c r="AB776" s="49"/>
      <c r="AC776" s="49"/>
      <c r="AD776" s="49"/>
      <c r="AE776" s="49"/>
      <c r="AF776" s="49"/>
      <c r="AG776" s="49"/>
      <c r="AH776" s="49"/>
      <c r="AI776" s="49"/>
      <c r="AJ776" s="49"/>
      <c r="AK776" s="49"/>
      <c r="AL776" s="49"/>
      <c r="AM776" s="49"/>
      <c r="AN776" s="49"/>
      <c r="AO776" s="49"/>
    </row>
    <row r="777" spans="1:41" ht="13">
      <c r="A777" s="49"/>
      <c r="B777" s="49"/>
      <c r="C777" s="47"/>
      <c r="D777" s="49"/>
      <c r="E777" s="49"/>
      <c r="F777" s="49" t="b">
        <v>0</v>
      </c>
      <c r="G777" s="49"/>
      <c r="H777" s="47"/>
      <c r="I777" s="47"/>
      <c r="J777" s="49"/>
      <c r="K777" s="49"/>
      <c r="L777" s="49"/>
      <c r="M777" s="49"/>
      <c r="N777" s="49"/>
      <c r="O777" s="49" t="b">
        <v>0</v>
      </c>
      <c r="P777" s="49"/>
      <c r="Q777" s="49"/>
      <c r="R777" s="49"/>
      <c r="S777" s="49"/>
      <c r="T777" s="49"/>
      <c r="U777" s="58"/>
      <c r="V777" s="49"/>
      <c r="W777" s="58"/>
      <c r="X777" s="49"/>
      <c r="Y777" s="47"/>
      <c r="Z777" s="49"/>
      <c r="AA777" s="49"/>
      <c r="AB777" s="49"/>
      <c r="AC777" s="49"/>
      <c r="AD777" s="49"/>
      <c r="AE777" s="49"/>
      <c r="AF777" s="49"/>
      <c r="AG777" s="49"/>
      <c r="AH777" s="49"/>
      <c r="AI777" s="49"/>
      <c r="AJ777" s="49"/>
      <c r="AK777" s="49"/>
      <c r="AL777" s="49"/>
      <c r="AM777" s="49"/>
      <c r="AN777" s="49"/>
      <c r="AO777" s="49"/>
    </row>
    <row r="778" spans="1:41" ht="13">
      <c r="A778" s="49"/>
      <c r="B778" s="49"/>
      <c r="C778" s="47"/>
      <c r="D778" s="49"/>
      <c r="E778" s="49"/>
      <c r="F778" s="49" t="b">
        <v>0</v>
      </c>
      <c r="G778" s="49"/>
      <c r="H778" s="47"/>
      <c r="I778" s="47"/>
      <c r="J778" s="49"/>
      <c r="K778" s="49"/>
      <c r="L778" s="49"/>
      <c r="M778" s="49"/>
      <c r="N778" s="49"/>
      <c r="O778" s="49" t="b">
        <v>0</v>
      </c>
      <c r="P778" s="49"/>
      <c r="Q778" s="49"/>
      <c r="R778" s="49"/>
      <c r="S778" s="49"/>
      <c r="T778" s="49"/>
      <c r="U778" s="58"/>
      <c r="V778" s="49"/>
      <c r="W778" s="58"/>
      <c r="X778" s="49"/>
      <c r="Y778" s="47"/>
      <c r="Z778" s="49"/>
      <c r="AA778" s="49"/>
      <c r="AB778" s="49"/>
      <c r="AC778" s="49"/>
      <c r="AD778" s="49"/>
      <c r="AE778" s="49"/>
      <c r="AF778" s="49"/>
      <c r="AG778" s="49"/>
      <c r="AH778" s="49"/>
      <c r="AI778" s="49"/>
      <c r="AJ778" s="49"/>
      <c r="AK778" s="49"/>
      <c r="AL778" s="49"/>
      <c r="AM778" s="49"/>
      <c r="AN778" s="49"/>
      <c r="AO778" s="49"/>
    </row>
    <row r="779" spans="1:41" ht="13">
      <c r="A779" s="49"/>
      <c r="B779" s="49"/>
      <c r="C779" s="47"/>
      <c r="D779" s="49"/>
      <c r="E779" s="49"/>
      <c r="F779" s="49" t="b">
        <v>0</v>
      </c>
      <c r="G779" s="49"/>
      <c r="H779" s="47"/>
      <c r="I779" s="47"/>
      <c r="J779" s="49"/>
      <c r="K779" s="49"/>
      <c r="L779" s="49"/>
      <c r="M779" s="49"/>
      <c r="N779" s="49"/>
      <c r="O779" s="49" t="b">
        <v>0</v>
      </c>
      <c r="P779" s="49"/>
      <c r="Q779" s="49"/>
      <c r="R779" s="49"/>
      <c r="S779" s="49"/>
      <c r="T779" s="49"/>
      <c r="U779" s="58"/>
      <c r="V779" s="49"/>
      <c r="W779" s="58"/>
      <c r="X779" s="49"/>
      <c r="Y779" s="47"/>
      <c r="Z779" s="49"/>
      <c r="AA779" s="49"/>
      <c r="AB779" s="49"/>
      <c r="AC779" s="49"/>
      <c r="AD779" s="49"/>
      <c r="AE779" s="49"/>
      <c r="AF779" s="49"/>
      <c r="AG779" s="49"/>
      <c r="AH779" s="49"/>
      <c r="AI779" s="49"/>
      <c r="AJ779" s="49"/>
      <c r="AK779" s="49"/>
      <c r="AL779" s="49"/>
      <c r="AM779" s="49"/>
      <c r="AN779" s="49"/>
      <c r="AO779" s="49"/>
    </row>
    <row r="780" spans="1:41" ht="13">
      <c r="A780" s="49"/>
      <c r="B780" s="49"/>
      <c r="C780" s="47"/>
      <c r="D780" s="49"/>
      <c r="E780" s="49"/>
      <c r="F780" s="49" t="b">
        <v>0</v>
      </c>
      <c r="G780" s="49"/>
      <c r="H780" s="47"/>
      <c r="I780" s="47"/>
      <c r="J780" s="49"/>
      <c r="K780" s="49"/>
      <c r="L780" s="49"/>
      <c r="M780" s="49"/>
      <c r="N780" s="49"/>
      <c r="O780" s="49" t="b">
        <v>0</v>
      </c>
      <c r="P780" s="49"/>
      <c r="Q780" s="49"/>
      <c r="R780" s="49"/>
      <c r="S780" s="49"/>
      <c r="T780" s="49"/>
      <c r="U780" s="58"/>
      <c r="V780" s="49"/>
      <c r="W780" s="58"/>
      <c r="X780" s="49"/>
      <c r="Y780" s="47"/>
      <c r="Z780" s="49"/>
      <c r="AA780" s="49"/>
      <c r="AB780" s="49"/>
      <c r="AC780" s="49"/>
      <c r="AD780" s="49"/>
      <c r="AE780" s="49"/>
      <c r="AF780" s="49"/>
      <c r="AG780" s="49"/>
      <c r="AH780" s="49"/>
      <c r="AI780" s="49"/>
      <c r="AJ780" s="49"/>
      <c r="AK780" s="49"/>
      <c r="AL780" s="49"/>
      <c r="AM780" s="49"/>
      <c r="AN780" s="49"/>
      <c r="AO780" s="49"/>
    </row>
    <row r="781" spans="1:41" ht="13">
      <c r="A781" s="49"/>
      <c r="B781" s="49"/>
      <c r="C781" s="47"/>
      <c r="D781" s="49"/>
      <c r="E781" s="49"/>
      <c r="F781" s="49" t="b">
        <v>0</v>
      </c>
      <c r="G781" s="49"/>
      <c r="H781" s="47"/>
      <c r="I781" s="47"/>
      <c r="J781" s="49"/>
      <c r="K781" s="49"/>
      <c r="L781" s="49"/>
      <c r="M781" s="49"/>
      <c r="N781" s="49"/>
      <c r="O781" s="49" t="b">
        <v>0</v>
      </c>
      <c r="P781" s="49"/>
      <c r="Q781" s="49"/>
      <c r="R781" s="49"/>
      <c r="S781" s="49"/>
      <c r="T781" s="49"/>
      <c r="U781" s="58"/>
      <c r="V781" s="49"/>
      <c r="W781" s="58"/>
      <c r="X781" s="49"/>
      <c r="Y781" s="47"/>
      <c r="Z781" s="49"/>
      <c r="AA781" s="49"/>
      <c r="AB781" s="49"/>
      <c r="AC781" s="49"/>
      <c r="AD781" s="49"/>
      <c r="AE781" s="49"/>
      <c r="AF781" s="49"/>
      <c r="AG781" s="49"/>
      <c r="AH781" s="49"/>
      <c r="AI781" s="49"/>
      <c r="AJ781" s="49"/>
      <c r="AK781" s="49"/>
      <c r="AL781" s="49"/>
      <c r="AM781" s="49"/>
      <c r="AN781" s="49"/>
      <c r="AO781" s="49"/>
    </row>
    <row r="782" spans="1:41" ht="13">
      <c r="A782" s="49"/>
      <c r="B782" s="49"/>
      <c r="C782" s="47"/>
      <c r="D782" s="49"/>
      <c r="E782" s="49"/>
      <c r="F782" s="49" t="b">
        <v>0</v>
      </c>
      <c r="G782" s="49"/>
      <c r="H782" s="47"/>
      <c r="I782" s="47"/>
      <c r="J782" s="49"/>
      <c r="K782" s="49"/>
      <c r="L782" s="49"/>
      <c r="M782" s="49"/>
      <c r="N782" s="49"/>
      <c r="O782" s="49" t="b">
        <v>0</v>
      </c>
      <c r="P782" s="49"/>
      <c r="Q782" s="49"/>
      <c r="R782" s="49"/>
      <c r="S782" s="49"/>
      <c r="T782" s="49"/>
      <c r="U782" s="58"/>
      <c r="V782" s="49"/>
      <c r="W782" s="58"/>
      <c r="X782" s="49"/>
      <c r="Y782" s="47"/>
      <c r="Z782" s="49"/>
      <c r="AA782" s="49"/>
      <c r="AB782" s="49"/>
      <c r="AC782" s="49"/>
      <c r="AD782" s="49"/>
      <c r="AE782" s="49"/>
      <c r="AF782" s="49"/>
      <c r="AG782" s="49"/>
      <c r="AH782" s="49"/>
      <c r="AI782" s="49"/>
      <c r="AJ782" s="49"/>
      <c r="AK782" s="49"/>
      <c r="AL782" s="49"/>
      <c r="AM782" s="49"/>
      <c r="AN782" s="49"/>
      <c r="AO782" s="49"/>
    </row>
    <row r="783" spans="1:41" ht="13">
      <c r="A783" s="49"/>
      <c r="B783" s="49"/>
      <c r="C783" s="47"/>
      <c r="D783" s="49"/>
      <c r="E783" s="49"/>
      <c r="F783" s="49" t="b">
        <v>0</v>
      </c>
      <c r="G783" s="49"/>
      <c r="H783" s="47"/>
      <c r="I783" s="47"/>
      <c r="J783" s="49"/>
      <c r="K783" s="49"/>
      <c r="L783" s="49"/>
      <c r="M783" s="49"/>
      <c r="N783" s="49"/>
      <c r="O783" s="49" t="b">
        <v>0</v>
      </c>
      <c r="P783" s="49"/>
      <c r="Q783" s="49"/>
      <c r="R783" s="49"/>
      <c r="S783" s="49"/>
      <c r="T783" s="49"/>
      <c r="U783" s="58"/>
      <c r="V783" s="49"/>
      <c r="W783" s="58"/>
      <c r="X783" s="49"/>
      <c r="Y783" s="47"/>
      <c r="Z783" s="49"/>
      <c r="AA783" s="49"/>
      <c r="AB783" s="49"/>
      <c r="AC783" s="49"/>
      <c r="AD783" s="49"/>
      <c r="AE783" s="49"/>
      <c r="AF783" s="49"/>
      <c r="AG783" s="49"/>
      <c r="AH783" s="49"/>
      <c r="AI783" s="49"/>
      <c r="AJ783" s="49"/>
      <c r="AK783" s="49"/>
      <c r="AL783" s="49"/>
      <c r="AM783" s="49"/>
      <c r="AN783" s="49"/>
      <c r="AO783" s="49"/>
    </row>
    <row r="784" spans="1:41" ht="13">
      <c r="A784" s="49"/>
      <c r="B784" s="49"/>
      <c r="C784" s="47"/>
      <c r="D784" s="49"/>
      <c r="E784" s="49"/>
      <c r="F784" s="49" t="b">
        <v>0</v>
      </c>
      <c r="G784" s="49"/>
      <c r="H784" s="47"/>
      <c r="I784" s="47"/>
      <c r="J784" s="49"/>
      <c r="K784" s="49"/>
      <c r="L784" s="49"/>
      <c r="M784" s="49"/>
      <c r="N784" s="49"/>
      <c r="O784" s="49" t="b">
        <v>0</v>
      </c>
      <c r="P784" s="49"/>
      <c r="Q784" s="49"/>
      <c r="R784" s="49"/>
      <c r="S784" s="49"/>
      <c r="T784" s="49"/>
      <c r="U784" s="58"/>
      <c r="V784" s="49"/>
      <c r="W784" s="58"/>
      <c r="X784" s="49"/>
      <c r="Y784" s="47"/>
      <c r="Z784" s="49"/>
      <c r="AA784" s="49"/>
      <c r="AB784" s="49"/>
      <c r="AC784" s="49"/>
      <c r="AD784" s="49"/>
      <c r="AE784" s="49"/>
      <c r="AF784" s="49"/>
      <c r="AG784" s="49"/>
      <c r="AH784" s="49"/>
      <c r="AI784" s="49"/>
      <c r="AJ784" s="49"/>
      <c r="AK784" s="49"/>
      <c r="AL784" s="49"/>
      <c r="AM784" s="49"/>
      <c r="AN784" s="49"/>
      <c r="AO784" s="49"/>
    </row>
    <row r="785" spans="1:41" ht="13">
      <c r="A785" s="49"/>
      <c r="B785" s="49"/>
      <c r="C785" s="47"/>
      <c r="D785" s="49"/>
      <c r="E785" s="49"/>
      <c r="F785" s="49" t="b">
        <v>0</v>
      </c>
      <c r="G785" s="49"/>
      <c r="H785" s="47"/>
      <c r="I785" s="47"/>
      <c r="J785" s="49"/>
      <c r="K785" s="49"/>
      <c r="L785" s="49"/>
      <c r="M785" s="49"/>
      <c r="N785" s="49"/>
      <c r="O785" s="49" t="b">
        <v>0</v>
      </c>
      <c r="P785" s="49"/>
      <c r="Q785" s="49"/>
      <c r="R785" s="49"/>
      <c r="S785" s="49"/>
      <c r="T785" s="49"/>
      <c r="U785" s="58"/>
      <c r="V785" s="49"/>
      <c r="W785" s="58"/>
      <c r="X785" s="49"/>
      <c r="Y785" s="47"/>
      <c r="Z785" s="49"/>
      <c r="AA785" s="49"/>
      <c r="AB785" s="49"/>
      <c r="AC785" s="49"/>
      <c r="AD785" s="49"/>
      <c r="AE785" s="49"/>
      <c r="AF785" s="49"/>
      <c r="AG785" s="49"/>
      <c r="AH785" s="49"/>
      <c r="AI785" s="49"/>
      <c r="AJ785" s="49"/>
      <c r="AK785" s="49"/>
      <c r="AL785" s="49"/>
      <c r="AM785" s="49"/>
      <c r="AN785" s="49"/>
      <c r="AO785" s="49"/>
    </row>
    <row r="786" spans="1:41" ht="13">
      <c r="A786" s="49"/>
      <c r="B786" s="49"/>
      <c r="C786" s="47"/>
      <c r="D786" s="49"/>
      <c r="E786" s="49"/>
      <c r="F786" s="49" t="b">
        <v>0</v>
      </c>
      <c r="G786" s="49"/>
      <c r="H786" s="47"/>
      <c r="I786" s="47"/>
      <c r="J786" s="49"/>
      <c r="K786" s="49"/>
      <c r="L786" s="49"/>
      <c r="M786" s="49"/>
      <c r="N786" s="49"/>
      <c r="O786" s="49" t="b">
        <v>0</v>
      </c>
      <c r="P786" s="49"/>
      <c r="Q786" s="49"/>
      <c r="R786" s="49"/>
      <c r="S786" s="49"/>
      <c r="T786" s="49"/>
      <c r="U786" s="58"/>
      <c r="V786" s="49"/>
      <c r="W786" s="58"/>
      <c r="X786" s="49"/>
      <c r="Y786" s="47"/>
      <c r="Z786" s="49"/>
      <c r="AA786" s="49"/>
      <c r="AB786" s="49"/>
      <c r="AC786" s="49"/>
      <c r="AD786" s="49"/>
      <c r="AE786" s="49"/>
      <c r="AF786" s="49"/>
      <c r="AG786" s="49"/>
      <c r="AH786" s="49"/>
      <c r="AI786" s="49"/>
      <c r="AJ786" s="49"/>
      <c r="AK786" s="49"/>
      <c r="AL786" s="49"/>
      <c r="AM786" s="49"/>
      <c r="AN786" s="49"/>
      <c r="AO786" s="49"/>
    </row>
    <row r="787" spans="1:41" ht="13">
      <c r="A787" s="49"/>
      <c r="B787" s="49"/>
      <c r="C787" s="47"/>
      <c r="D787" s="49"/>
      <c r="E787" s="49"/>
      <c r="F787" s="49" t="b">
        <v>0</v>
      </c>
      <c r="G787" s="49"/>
      <c r="H787" s="47"/>
      <c r="I787" s="47"/>
      <c r="J787" s="49"/>
      <c r="K787" s="49"/>
      <c r="L787" s="49"/>
      <c r="M787" s="49"/>
      <c r="N787" s="49"/>
      <c r="O787" s="49" t="b">
        <v>0</v>
      </c>
      <c r="P787" s="49"/>
      <c r="Q787" s="49"/>
      <c r="R787" s="49"/>
      <c r="S787" s="49"/>
      <c r="T787" s="49"/>
      <c r="U787" s="58"/>
      <c r="V787" s="49"/>
      <c r="W787" s="58"/>
      <c r="X787" s="49"/>
      <c r="Y787" s="47"/>
      <c r="Z787" s="49"/>
      <c r="AA787" s="49"/>
      <c r="AB787" s="49"/>
      <c r="AC787" s="49"/>
      <c r="AD787" s="49"/>
      <c r="AE787" s="49"/>
      <c r="AF787" s="49"/>
      <c r="AG787" s="49"/>
      <c r="AH787" s="49"/>
      <c r="AI787" s="49"/>
      <c r="AJ787" s="49"/>
      <c r="AK787" s="49"/>
      <c r="AL787" s="49"/>
      <c r="AM787" s="49"/>
      <c r="AN787" s="49"/>
      <c r="AO787" s="49"/>
    </row>
    <row r="788" spans="1:41" ht="13">
      <c r="A788" s="49"/>
      <c r="B788" s="49"/>
      <c r="C788" s="47"/>
      <c r="D788" s="49"/>
      <c r="E788" s="49"/>
      <c r="F788" s="49" t="b">
        <v>0</v>
      </c>
      <c r="G788" s="49"/>
      <c r="H788" s="47"/>
      <c r="I788" s="47"/>
      <c r="J788" s="49"/>
      <c r="K788" s="49"/>
      <c r="L788" s="49"/>
      <c r="M788" s="49"/>
      <c r="N788" s="49"/>
      <c r="O788" s="49" t="b">
        <v>0</v>
      </c>
      <c r="P788" s="49"/>
      <c r="Q788" s="49"/>
      <c r="R788" s="49"/>
      <c r="S788" s="49"/>
      <c r="T788" s="49"/>
      <c r="U788" s="58"/>
      <c r="V788" s="49"/>
      <c r="W788" s="58"/>
      <c r="X788" s="49"/>
      <c r="Y788" s="47"/>
      <c r="Z788" s="49"/>
      <c r="AA788" s="49"/>
      <c r="AB788" s="49"/>
      <c r="AC788" s="49"/>
      <c r="AD788" s="49"/>
      <c r="AE788" s="49"/>
      <c r="AF788" s="49"/>
      <c r="AG788" s="49"/>
      <c r="AH788" s="49"/>
      <c r="AI788" s="49"/>
      <c r="AJ788" s="49"/>
      <c r="AK788" s="49"/>
      <c r="AL788" s="49"/>
      <c r="AM788" s="49"/>
      <c r="AN788" s="49"/>
      <c r="AO788" s="49"/>
    </row>
    <row r="789" spans="1:41" ht="13">
      <c r="A789" s="49"/>
      <c r="B789" s="49"/>
      <c r="C789" s="47"/>
      <c r="D789" s="49"/>
      <c r="E789" s="49"/>
      <c r="F789" s="49" t="b">
        <v>0</v>
      </c>
      <c r="G789" s="49"/>
      <c r="H789" s="47"/>
      <c r="I789" s="47"/>
      <c r="J789" s="49"/>
      <c r="K789" s="49"/>
      <c r="L789" s="49"/>
      <c r="M789" s="49"/>
      <c r="N789" s="49"/>
      <c r="O789" s="49" t="b">
        <v>0</v>
      </c>
      <c r="P789" s="49"/>
      <c r="Q789" s="49"/>
      <c r="R789" s="49"/>
      <c r="S789" s="49"/>
      <c r="T789" s="49"/>
      <c r="U789" s="58"/>
      <c r="V789" s="49"/>
      <c r="W789" s="58"/>
      <c r="X789" s="49"/>
      <c r="Y789" s="47"/>
      <c r="Z789" s="49"/>
      <c r="AA789" s="49"/>
      <c r="AB789" s="49"/>
      <c r="AC789" s="49"/>
      <c r="AD789" s="49"/>
      <c r="AE789" s="49"/>
      <c r="AF789" s="49"/>
      <c r="AG789" s="49"/>
      <c r="AH789" s="49"/>
      <c r="AI789" s="49"/>
      <c r="AJ789" s="49"/>
      <c r="AK789" s="49"/>
      <c r="AL789" s="49"/>
      <c r="AM789" s="49"/>
      <c r="AN789" s="49"/>
      <c r="AO789" s="49"/>
    </row>
    <row r="790" spans="1:41" ht="13">
      <c r="A790" s="49"/>
      <c r="B790" s="49"/>
      <c r="C790" s="47"/>
      <c r="D790" s="49"/>
      <c r="E790" s="49"/>
      <c r="F790" s="49" t="b">
        <v>0</v>
      </c>
      <c r="G790" s="49"/>
      <c r="H790" s="47"/>
      <c r="I790" s="47"/>
      <c r="J790" s="49"/>
      <c r="K790" s="49"/>
      <c r="L790" s="49"/>
      <c r="M790" s="49"/>
      <c r="N790" s="49"/>
      <c r="O790" s="49" t="b">
        <v>0</v>
      </c>
      <c r="P790" s="49"/>
      <c r="Q790" s="49"/>
      <c r="R790" s="49"/>
      <c r="S790" s="49"/>
      <c r="T790" s="49"/>
      <c r="U790" s="58"/>
      <c r="V790" s="49"/>
      <c r="W790" s="58"/>
      <c r="X790" s="49"/>
      <c r="Y790" s="47"/>
      <c r="Z790" s="49"/>
      <c r="AA790" s="49"/>
      <c r="AB790" s="49"/>
      <c r="AC790" s="49"/>
      <c r="AD790" s="49"/>
      <c r="AE790" s="49"/>
      <c r="AF790" s="49"/>
      <c r="AG790" s="49"/>
      <c r="AH790" s="49"/>
      <c r="AI790" s="49"/>
      <c r="AJ790" s="49"/>
      <c r="AK790" s="49"/>
      <c r="AL790" s="49"/>
      <c r="AM790" s="49"/>
      <c r="AN790" s="49"/>
      <c r="AO790" s="49"/>
    </row>
    <row r="791" spans="1:41" ht="13">
      <c r="A791" s="49"/>
      <c r="B791" s="49"/>
      <c r="C791" s="47"/>
      <c r="D791" s="49"/>
      <c r="E791" s="49"/>
      <c r="F791" s="49" t="b">
        <v>0</v>
      </c>
      <c r="G791" s="49"/>
      <c r="H791" s="47"/>
      <c r="I791" s="47"/>
      <c r="J791" s="49"/>
      <c r="K791" s="49"/>
      <c r="L791" s="49"/>
      <c r="M791" s="49"/>
      <c r="N791" s="49"/>
      <c r="O791" s="49" t="b">
        <v>0</v>
      </c>
      <c r="P791" s="49"/>
      <c r="Q791" s="49"/>
      <c r="R791" s="49"/>
      <c r="S791" s="49"/>
      <c r="T791" s="49"/>
      <c r="U791" s="58"/>
      <c r="V791" s="49"/>
      <c r="W791" s="58"/>
      <c r="X791" s="49"/>
      <c r="Y791" s="47"/>
      <c r="Z791" s="49"/>
      <c r="AA791" s="49"/>
      <c r="AB791" s="49"/>
      <c r="AC791" s="49"/>
      <c r="AD791" s="49"/>
      <c r="AE791" s="49"/>
      <c r="AF791" s="49"/>
      <c r="AG791" s="49"/>
      <c r="AH791" s="49"/>
      <c r="AI791" s="49"/>
      <c r="AJ791" s="49"/>
      <c r="AK791" s="49"/>
      <c r="AL791" s="49"/>
      <c r="AM791" s="49"/>
      <c r="AN791" s="49"/>
      <c r="AO791" s="49"/>
    </row>
    <row r="792" spans="1:41" ht="13">
      <c r="A792" s="49"/>
      <c r="B792" s="49"/>
      <c r="C792" s="47"/>
      <c r="D792" s="49"/>
      <c r="E792" s="49"/>
      <c r="F792" s="49" t="b">
        <v>0</v>
      </c>
      <c r="G792" s="49"/>
      <c r="H792" s="47"/>
      <c r="I792" s="47"/>
      <c r="J792" s="49"/>
      <c r="K792" s="49"/>
      <c r="L792" s="49"/>
      <c r="M792" s="49"/>
      <c r="N792" s="49"/>
      <c r="O792" s="49" t="b">
        <v>0</v>
      </c>
      <c r="P792" s="49"/>
      <c r="Q792" s="49"/>
      <c r="R792" s="49"/>
      <c r="S792" s="49"/>
      <c r="T792" s="49"/>
      <c r="U792" s="58"/>
      <c r="V792" s="49"/>
      <c r="W792" s="58"/>
      <c r="X792" s="49"/>
      <c r="Y792" s="47"/>
      <c r="Z792" s="49"/>
      <c r="AA792" s="49"/>
      <c r="AB792" s="49"/>
      <c r="AC792" s="49"/>
      <c r="AD792" s="49"/>
      <c r="AE792" s="49"/>
      <c r="AF792" s="49"/>
      <c r="AG792" s="49"/>
      <c r="AH792" s="49"/>
      <c r="AI792" s="49"/>
      <c r="AJ792" s="49"/>
      <c r="AK792" s="49"/>
      <c r="AL792" s="49"/>
      <c r="AM792" s="49"/>
      <c r="AN792" s="49"/>
      <c r="AO792" s="49"/>
    </row>
    <row r="793" spans="1:41" ht="13">
      <c r="A793" s="49"/>
      <c r="B793" s="49"/>
      <c r="C793" s="47"/>
      <c r="D793" s="49"/>
      <c r="E793" s="49"/>
      <c r="F793" s="49" t="b">
        <v>0</v>
      </c>
      <c r="G793" s="49"/>
      <c r="H793" s="47"/>
      <c r="I793" s="47"/>
      <c r="J793" s="49"/>
      <c r="K793" s="49"/>
      <c r="L793" s="49"/>
      <c r="M793" s="49"/>
      <c r="N793" s="49"/>
      <c r="O793" s="49" t="b">
        <v>0</v>
      </c>
      <c r="P793" s="49"/>
      <c r="Q793" s="49"/>
      <c r="R793" s="49"/>
      <c r="S793" s="49"/>
      <c r="T793" s="49"/>
      <c r="U793" s="58"/>
      <c r="V793" s="49"/>
      <c r="W793" s="58"/>
      <c r="X793" s="49"/>
      <c r="Y793" s="47"/>
      <c r="Z793" s="49"/>
      <c r="AA793" s="49"/>
      <c r="AB793" s="49"/>
      <c r="AC793" s="49"/>
      <c r="AD793" s="49"/>
      <c r="AE793" s="49"/>
      <c r="AF793" s="49"/>
      <c r="AG793" s="49"/>
      <c r="AH793" s="49"/>
      <c r="AI793" s="49"/>
      <c r="AJ793" s="49"/>
      <c r="AK793" s="49"/>
      <c r="AL793" s="49"/>
      <c r="AM793" s="49"/>
      <c r="AN793" s="49"/>
      <c r="AO793" s="49"/>
    </row>
    <row r="794" spans="1:41" ht="13">
      <c r="A794" s="49"/>
      <c r="B794" s="49"/>
      <c r="C794" s="47"/>
      <c r="D794" s="49"/>
      <c r="E794" s="49"/>
      <c r="F794" s="49" t="b">
        <v>0</v>
      </c>
      <c r="G794" s="49"/>
      <c r="H794" s="47"/>
      <c r="I794" s="47"/>
      <c r="J794" s="49"/>
      <c r="K794" s="49"/>
      <c r="L794" s="49"/>
      <c r="M794" s="49"/>
      <c r="N794" s="49"/>
      <c r="O794" s="49" t="b">
        <v>0</v>
      </c>
      <c r="P794" s="49"/>
      <c r="Q794" s="49"/>
      <c r="R794" s="49"/>
      <c r="S794" s="49"/>
      <c r="T794" s="49"/>
      <c r="U794" s="58"/>
      <c r="V794" s="49"/>
      <c r="W794" s="58"/>
      <c r="X794" s="49"/>
      <c r="Y794" s="47"/>
      <c r="Z794" s="49"/>
      <c r="AA794" s="49"/>
      <c r="AB794" s="49"/>
      <c r="AC794" s="49"/>
      <c r="AD794" s="49"/>
      <c r="AE794" s="49"/>
      <c r="AF794" s="49"/>
      <c r="AG794" s="49"/>
      <c r="AH794" s="49"/>
      <c r="AI794" s="49"/>
      <c r="AJ794" s="49"/>
      <c r="AK794" s="49"/>
      <c r="AL794" s="49"/>
      <c r="AM794" s="49"/>
      <c r="AN794" s="49"/>
      <c r="AO794" s="49"/>
    </row>
    <row r="795" spans="1:41" ht="13">
      <c r="A795" s="49"/>
      <c r="B795" s="49"/>
      <c r="C795" s="47"/>
      <c r="D795" s="49"/>
      <c r="E795" s="49"/>
      <c r="F795" s="49" t="b">
        <v>0</v>
      </c>
      <c r="G795" s="49"/>
      <c r="H795" s="47"/>
      <c r="I795" s="47"/>
      <c r="J795" s="49"/>
      <c r="K795" s="49"/>
      <c r="L795" s="49"/>
      <c r="M795" s="49"/>
      <c r="N795" s="49"/>
      <c r="O795" s="49" t="b">
        <v>0</v>
      </c>
      <c r="P795" s="49"/>
      <c r="Q795" s="49"/>
      <c r="R795" s="49"/>
      <c r="S795" s="49"/>
      <c r="T795" s="49"/>
      <c r="U795" s="58"/>
      <c r="V795" s="49"/>
      <c r="W795" s="58"/>
      <c r="X795" s="49"/>
      <c r="Y795" s="47"/>
      <c r="Z795" s="49"/>
      <c r="AA795" s="49"/>
      <c r="AB795" s="49"/>
      <c r="AC795" s="49"/>
      <c r="AD795" s="49"/>
      <c r="AE795" s="49"/>
      <c r="AF795" s="49"/>
      <c r="AG795" s="49"/>
      <c r="AH795" s="49"/>
      <c r="AI795" s="49"/>
      <c r="AJ795" s="49"/>
      <c r="AK795" s="49"/>
      <c r="AL795" s="49"/>
      <c r="AM795" s="49"/>
      <c r="AN795" s="49"/>
      <c r="AO795" s="49"/>
    </row>
    <row r="796" spans="1:41" ht="13">
      <c r="A796" s="49"/>
      <c r="B796" s="49"/>
      <c r="C796" s="47"/>
      <c r="D796" s="49"/>
      <c r="E796" s="49"/>
      <c r="F796" s="49" t="b">
        <v>0</v>
      </c>
      <c r="G796" s="49"/>
      <c r="H796" s="47"/>
      <c r="I796" s="47"/>
      <c r="J796" s="49"/>
      <c r="K796" s="49"/>
      <c r="L796" s="49"/>
      <c r="M796" s="49"/>
      <c r="N796" s="49"/>
      <c r="O796" s="49" t="b">
        <v>0</v>
      </c>
      <c r="P796" s="49"/>
      <c r="Q796" s="49"/>
      <c r="R796" s="49"/>
      <c r="S796" s="49"/>
      <c r="T796" s="49"/>
      <c r="U796" s="58"/>
      <c r="V796" s="49"/>
      <c r="W796" s="58"/>
      <c r="X796" s="49"/>
      <c r="Y796" s="47"/>
      <c r="Z796" s="49"/>
      <c r="AA796" s="49"/>
      <c r="AB796" s="49"/>
      <c r="AC796" s="49"/>
      <c r="AD796" s="49"/>
      <c r="AE796" s="49"/>
      <c r="AF796" s="49"/>
      <c r="AG796" s="49"/>
      <c r="AH796" s="49"/>
      <c r="AI796" s="49"/>
      <c r="AJ796" s="49"/>
      <c r="AK796" s="49"/>
      <c r="AL796" s="49"/>
      <c r="AM796" s="49"/>
      <c r="AN796" s="49"/>
      <c r="AO796" s="49"/>
    </row>
    <row r="797" spans="1:41" ht="13">
      <c r="A797" s="49"/>
      <c r="B797" s="49"/>
      <c r="C797" s="47"/>
      <c r="D797" s="49"/>
      <c r="E797" s="49"/>
      <c r="F797" s="49" t="b">
        <v>0</v>
      </c>
      <c r="G797" s="49"/>
      <c r="H797" s="47"/>
      <c r="I797" s="47"/>
      <c r="J797" s="49"/>
      <c r="K797" s="49"/>
      <c r="L797" s="49"/>
      <c r="M797" s="49"/>
      <c r="N797" s="49"/>
      <c r="O797" s="49" t="b">
        <v>0</v>
      </c>
      <c r="P797" s="49"/>
      <c r="Q797" s="49"/>
      <c r="R797" s="49"/>
      <c r="S797" s="49"/>
      <c r="T797" s="49"/>
      <c r="U797" s="58"/>
      <c r="V797" s="49"/>
      <c r="W797" s="58"/>
      <c r="X797" s="49"/>
      <c r="Y797" s="47"/>
      <c r="Z797" s="49"/>
      <c r="AA797" s="49"/>
      <c r="AB797" s="49"/>
      <c r="AC797" s="49"/>
      <c r="AD797" s="49"/>
      <c r="AE797" s="49"/>
      <c r="AF797" s="49"/>
      <c r="AG797" s="49"/>
      <c r="AH797" s="49"/>
      <c r="AI797" s="49"/>
      <c r="AJ797" s="49"/>
      <c r="AK797" s="49"/>
      <c r="AL797" s="49"/>
      <c r="AM797" s="49"/>
      <c r="AN797" s="49"/>
      <c r="AO797" s="49"/>
    </row>
    <row r="798" spans="1:41" ht="13">
      <c r="A798" s="49"/>
      <c r="B798" s="49"/>
      <c r="C798" s="47"/>
      <c r="D798" s="49"/>
      <c r="E798" s="49"/>
      <c r="F798" s="49" t="b">
        <v>0</v>
      </c>
      <c r="G798" s="49"/>
      <c r="H798" s="47"/>
      <c r="I798" s="47"/>
      <c r="J798" s="49"/>
      <c r="K798" s="49"/>
      <c r="L798" s="49"/>
      <c r="M798" s="49"/>
      <c r="N798" s="49"/>
      <c r="O798" s="49" t="b">
        <v>0</v>
      </c>
      <c r="P798" s="49"/>
      <c r="Q798" s="49"/>
      <c r="R798" s="49"/>
      <c r="S798" s="49"/>
      <c r="T798" s="49"/>
      <c r="U798" s="58"/>
      <c r="V798" s="49"/>
      <c r="W798" s="58"/>
      <c r="X798" s="49"/>
      <c r="Y798" s="47"/>
      <c r="Z798" s="49"/>
      <c r="AA798" s="49"/>
      <c r="AB798" s="49"/>
      <c r="AC798" s="49"/>
      <c r="AD798" s="49"/>
      <c r="AE798" s="49"/>
      <c r="AF798" s="49"/>
      <c r="AG798" s="49"/>
      <c r="AH798" s="49"/>
      <c r="AI798" s="49"/>
      <c r="AJ798" s="49"/>
      <c r="AK798" s="49"/>
      <c r="AL798" s="49"/>
      <c r="AM798" s="49"/>
      <c r="AN798" s="49"/>
      <c r="AO798" s="49"/>
    </row>
    <row r="799" spans="1:41" ht="13">
      <c r="A799" s="49"/>
      <c r="B799" s="49"/>
      <c r="C799" s="47"/>
      <c r="D799" s="49"/>
      <c r="E799" s="49"/>
      <c r="F799" s="49" t="b">
        <v>0</v>
      </c>
      <c r="G799" s="49"/>
      <c r="H799" s="47"/>
      <c r="I799" s="47"/>
      <c r="J799" s="49"/>
      <c r="K799" s="49"/>
      <c r="L799" s="49"/>
      <c r="M799" s="49"/>
      <c r="N799" s="49"/>
      <c r="O799" s="49" t="b">
        <v>0</v>
      </c>
      <c r="P799" s="49"/>
      <c r="Q799" s="49"/>
      <c r="R799" s="49"/>
      <c r="S799" s="49"/>
      <c r="T799" s="49"/>
      <c r="U799" s="58"/>
      <c r="V799" s="49"/>
      <c r="W799" s="58"/>
      <c r="X799" s="49"/>
      <c r="Y799" s="47"/>
      <c r="Z799" s="49"/>
      <c r="AA799" s="49"/>
      <c r="AB799" s="49"/>
      <c r="AC799" s="49"/>
      <c r="AD799" s="49"/>
      <c r="AE799" s="49"/>
      <c r="AF799" s="49"/>
      <c r="AG799" s="49"/>
      <c r="AH799" s="49"/>
      <c r="AI799" s="49"/>
      <c r="AJ799" s="49"/>
      <c r="AK799" s="49"/>
      <c r="AL799" s="49"/>
      <c r="AM799" s="49"/>
      <c r="AN799" s="49"/>
      <c r="AO799" s="49"/>
    </row>
    <row r="800" spans="1:41" ht="13">
      <c r="A800" s="49"/>
      <c r="B800" s="49"/>
      <c r="C800" s="47"/>
      <c r="D800" s="49"/>
      <c r="E800" s="49"/>
      <c r="F800" s="49" t="b">
        <v>0</v>
      </c>
      <c r="G800" s="49"/>
      <c r="H800" s="47"/>
      <c r="I800" s="47"/>
      <c r="J800" s="49"/>
      <c r="K800" s="49"/>
      <c r="L800" s="49"/>
      <c r="M800" s="49"/>
      <c r="N800" s="49"/>
      <c r="O800" s="49" t="b">
        <v>0</v>
      </c>
      <c r="P800" s="49"/>
      <c r="Q800" s="49"/>
      <c r="R800" s="49"/>
      <c r="S800" s="49"/>
      <c r="T800" s="49"/>
      <c r="U800" s="58"/>
      <c r="V800" s="49"/>
      <c r="W800" s="58"/>
      <c r="X800" s="49"/>
      <c r="Y800" s="47"/>
      <c r="Z800" s="49"/>
      <c r="AA800" s="49"/>
      <c r="AB800" s="49"/>
      <c r="AC800" s="49"/>
      <c r="AD800" s="49"/>
      <c r="AE800" s="49"/>
      <c r="AF800" s="49"/>
      <c r="AG800" s="49"/>
      <c r="AH800" s="49"/>
      <c r="AI800" s="49"/>
      <c r="AJ800" s="49"/>
      <c r="AK800" s="49"/>
      <c r="AL800" s="49"/>
      <c r="AM800" s="49"/>
      <c r="AN800" s="49"/>
      <c r="AO800" s="49"/>
    </row>
    <row r="801" spans="1:41" ht="13">
      <c r="A801" s="49"/>
      <c r="B801" s="49"/>
      <c r="C801" s="47"/>
      <c r="D801" s="49"/>
      <c r="E801" s="49"/>
      <c r="F801" s="49" t="b">
        <v>0</v>
      </c>
      <c r="G801" s="49"/>
      <c r="H801" s="47"/>
      <c r="I801" s="47"/>
      <c r="J801" s="49"/>
      <c r="K801" s="49"/>
      <c r="L801" s="49"/>
      <c r="M801" s="49"/>
      <c r="N801" s="49"/>
      <c r="O801" s="49" t="b">
        <v>0</v>
      </c>
      <c r="P801" s="49"/>
      <c r="Q801" s="49"/>
      <c r="R801" s="49"/>
      <c r="S801" s="49"/>
      <c r="T801" s="49"/>
      <c r="U801" s="58"/>
      <c r="V801" s="49"/>
      <c r="W801" s="58"/>
      <c r="X801" s="49"/>
      <c r="Y801" s="47"/>
      <c r="Z801" s="49"/>
      <c r="AA801" s="49"/>
      <c r="AB801" s="49"/>
      <c r="AC801" s="49"/>
      <c r="AD801" s="49"/>
      <c r="AE801" s="49"/>
      <c r="AF801" s="49"/>
      <c r="AG801" s="49"/>
      <c r="AH801" s="49"/>
      <c r="AI801" s="49"/>
      <c r="AJ801" s="49"/>
      <c r="AK801" s="49"/>
      <c r="AL801" s="49"/>
      <c r="AM801" s="49"/>
      <c r="AN801" s="49"/>
      <c r="AO801" s="49"/>
    </row>
    <row r="802" spans="1:41" ht="13">
      <c r="A802" s="49"/>
      <c r="B802" s="49"/>
      <c r="C802" s="47"/>
      <c r="D802" s="49"/>
      <c r="E802" s="49"/>
      <c r="F802" s="49" t="b">
        <v>0</v>
      </c>
      <c r="G802" s="49"/>
      <c r="H802" s="47"/>
      <c r="I802" s="47"/>
      <c r="J802" s="49"/>
      <c r="K802" s="49"/>
      <c r="L802" s="49"/>
      <c r="M802" s="49"/>
      <c r="N802" s="49"/>
      <c r="O802" s="49" t="b">
        <v>0</v>
      </c>
      <c r="P802" s="49"/>
      <c r="Q802" s="49"/>
      <c r="R802" s="49"/>
      <c r="S802" s="49"/>
      <c r="T802" s="49"/>
      <c r="U802" s="58"/>
      <c r="V802" s="49"/>
      <c r="W802" s="58"/>
      <c r="X802" s="49"/>
      <c r="Y802" s="47"/>
      <c r="Z802" s="49"/>
      <c r="AA802" s="49"/>
      <c r="AB802" s="49"/>
      <c r="AC802" s="49"/>
      <c r="AD802" s="49"/>
      <c r="AE802" s="49"/>
      <c r="AF802" s="49"/>
      <c r="AG802" s="49"/>
      <c r="AH802" s="49"/>
      <c r="AI802" s="49"/>
      <c r="AJ802" s="49"/>
      <c r="AK802" s="49"/>
      <c r="AL802" s="49"/>
      <c r="AM802" s="49"/>
      <c r="AN802" s="49"/>
      <c r="AO802" s="49"/>
    </row>
    <row r="803" spans="1:41" ht="13">
      <c r="A803" s="49"/>
      <c r="B803" s="49"/>
      <c r="C803" s="47"/>
      <c r="D803" s="49"/>
      <c r="E803" s="49"/>
      <c r="F803" s="49" t="b">
        <v>0</v>
      </c>
      <c r="G803" s="49"/>
      <c r="H803" s="47"/>
      <c r="I803" s="47"/>
      <c r="J803" s="49"/>
      <c r="K803" s="49"/>
      <c r="L803" s="49"/>
      <c r="M803" s="49"/>
      <c r="N803" s="49"/>
      <c r="O803" s="49" t="b">
        <v>0</v>
      </c>
      <c r="P803" s="49"/>
      <c r="Q803" s="49"/>
      <c r="R803" s="49"/>
      <c r="S803" s="49"/>
      <c r="T803" s="49"/>
      <c r="U803" s="58"/>
      <c r="V803" s="49"/>
      <c r="W803" s="58"/>
      <c r="X803" s="49"/>
      <c r="Y803" s="47"/>
      <c r="Z803" s="49"/>
      <c r="AA803" s="49"/>
      <c r="AB803" s="49"/>
      <c r="AC803" s="49"/>
      <c r="AD803" s="49"/>
      <c r="AE803" s="49"/>
      <c r="AF803" s="49"/>
      <c r="AG803" s="49"/>
      <c r="AH803" s="49"/>
      <c r="AI803" s="49"/>
      <c r="AJ803" s="49"/>
      <c r="AK803" s="49"/>
      <c r="AL803" s="49"/>
      <c r="AM803" s="49"/>
      <c r="AN803" s="49"/>
      <c r="AO803" s="49"/>
    </row>
    <row r="804" spans="1:41" ht="13">
      <c r="A804" s="49"/>
      <c r="B804" s="49"/>
      <c r="C804" s="47"/>
      <c r="D804" s="49"/>
      <c r="E804" s="49"/>
      <c r="F804" s="49" t="b">
        <v>0</v>
      </c>
      <c r="G804" s="49"/>
      <c r="H804" s="47"/>
      <c r="I804" s="47"/>
      <c r="J804" s="49"/>
      <c r="K804" s="49"/>
      <c r="L804" s="49"/>
      <c r="M804" s="49"/>
      <c r="N804" s="49"/>
      <c r="O804" s="49" t="b">
        <v>0</v>
      </c>
      <c r="P804" s="49"/>
      <c r="Q804" s="49"/>
      <c r="R804" s="49"/>
      <c r="S804" s="49"/>
      <c r="T804" s="49"/>
      <c r="U804" s="58"/>
      <c r="V804" s="49"/>
      <c r="W804" s="58"/>
      <c r="X804" s="49"/>
      <c r="Y804" s="47"/>
      <c r="Z804" s="49"/>
      <c r="AA804" s="49"/>
      <c r="AB804" s="49"/>
      <c r="AC804" s="49"/>
      <c r="AD804" s="49"/>
      <c r="AE804" s="49"/>
      <c r="AF804" s="49"/>
      <c r="AG804" s="49"/>
      <c r="AH804" s="49"/>
      <c r="AI804" s="49"/>
      <c r="AJ804" s="49"/>
      <c r="AK804" s="49"/>
      <c r="AL804" s="49"/>
      <c r="AM804" s="49"/>
      <c r="AN804" s="49"/>
      <c r="AO804" s="49"/>
    </row>
    <row r="805" spans="1:41" ht="13">
      <c r="A805" s="49"/>
      <c r="B805" s="49"/>
      <c r="C805" s="47"/>
      <c r="D805" s="49"/>
      <c r="E805" s="49"/>
      <c r="F805" s="49" t="b">
        <v>0</v>
      </c>
      <c r="G805" s="49"/>
      <c r="H805" s="47"/>
      <c r="I805" s="47"/>
      <c r="J805" s="49"/>
      <c r="K805" s="49"/>
      <c r="L805" s="49"/>
      <c r="M805" s="49"/>
      <c r="N805" s="49"/>
      <c r="O805" s="49" t="b">
        <v>0</v>
      </c>
      <c r="P805" s="49"/>
      <c r="Q805" s="49"/>
      <c r="R805" s="49"/>
      <c r="S805" s="49"/>
      <c r="T805" s="49"/>
      <c r="U805" s="58"/>
      <c r="V805" s="49"/>
      <c r="W805" s="58"/>
      <c r="X805" s="49"/>
      <c r="Y805" s="47"/>
      <c r="Z805" s="49"/>
      <c r="AA805" s="49"/>
      <c r="AB805" s="49"/>
      <c r="AC805" s="49"/>
      <c r="AD805" s="49"/>
      <c r="AE805" s="49"/>
      <c r="AF805" s="49"/>
      <c r="AG805" s="49"/>
      <c r="AH805" s="49"/>
      <c r="AI805" s="49"/>
      <c r="AJ805" s="49"/>
      <c r="AK805" s="49"/>
      <c r="AL805" s="49"/>
      <c r="AM805" s="49"/>
      <c r="AN805" s="49"/>
      <c r="AO805" s="49"/>
    </row>
    <row r="806" spans="1:41" ht="13">
      <c r="A806" s="49"/>
      <c r="B806" s="49"/>
      <c r="C806" s="47"/>
      <c r="D806" s="49"/>
      <c r="E806" s="49"/>
      <c r="F806" s="49" t="b">
        <v>0</v>
      </c>
      <c r="G806" s="49"/>
      <c r="H806" s="47"/>
      <c r="I806" s="47"/>
      <c r="J806" s="49"/>
      <c r="K806" s="49"/>
      <c r="L806" s="49"/>
      <c r="M806" s="49"/>
      <c r="N806" s="49"/>
      <c r="O806" s="49" t="b">
        <v>0</v>
      </c>
      <c r="P806" s="49"/>
      <c r="Q806" s="49"/>
      <c r="R806" s="49"/>
      <c r="S806" s="49"/>
      <c r="T806" s="49"/>
      <c r="U806" s="58"/>
      <c r="V806" s="49"/>
      <c r="W806" s="58"/>
      <c r="X806" s="49"/>
      <c r="Y806" s="47"/>
      <c r="Z806" s="49"/>
      <c r="AA806" s="49"/>
      <c r="AB806" s="49"/>
      <c r="AC806" s="49"/>
      <c r="AD806" s="49"/>
      <c r="AE806" s="49"/>
      <c r="AF806" s="49"/>
      <c r="AG806" s="49"/>
      <c r="AH806" s="49"/>
      <c r="AI806" s="49"/>
      <c r="AJ806" s="49"/>
      <c r="AK806" s="49"/>
      <c r="AL806" s="49"/>
      <c r="AM806" s="49"/>
      <c r="AN806" s="49"/>
      <c r="AO806" s="49"/>
    </row>
    <row r="807" spans="1:41" ht="13">
      <c r="A807" s="49"/>
      <c r="B807" s="49"/>
      <c r="C807" s="47"/>
      <c r="D807" s="49"/>
      <c r="E807" s="49"/>
      <c r="F807" s="49" t="b">
        <v>0</v>
      </c>
      <c r="G807" s="49"/>
      <c r="H807" s="47"/>
      <c r="I807" s="47"/>
      <c r="J807" s="49"/>
      <c r="K807" s="49"/>
      <c r="L807" s="49"/>
      <c r="M807" s="49"/>
      <c r="N807" s="49"/>
      <c r="O807" s="49" t="b">
        <v>0</v>
      </c>
      <c r="P807" s="49"/>
      <c r="Q807" s="49"/>
      <c r="R807" s="49"/>
      <c r="S807" s="49"/>
      <c r="T807" s="49"/>
      <c r="U807" s="58"/>
      <c r="V807" s="49"/>
      <c r="W807" s="58"/>
      <c r="X807" s="49"/>
      <c r="Y807" s="47"/>
      <c r="Z807" s="49"/>
      <c r="AA807" s="49"/>
      <c r="AB807" s="49"/>
      <c r="AC807" s="49"/>
      <c r="AD807" s="49"/>
      <c r="AE807" s="49"/>
      <c r="AF807" s="49"/>
      <c r="AG807" s="49"/>
      <c r="AH807" s="49"/>
      <c r="AI807" s="49"/>
      <c r="AJ807" s="49"/>
      <c r="AK807" s="49"/>
      <c r="AL807" s="49"/>
      <c r="AM807" s="49"/>
      <c r="AN807" s="49"/>
      <c r="AO807" s="49"/>
    </row>
    <row r="808" spans="1:41" ht="13">
      <c r="A808" s="49"/>
      <c r="B808" s="49"/>
      <c r="C808" s="47"/>
      <c r="D808" s="49"/>
      <c r="E808" s="49"/>
      <c r="F808" s="49" t="b">
        <v>0</v>
      </c>
      <c r="G808" s="49"/>
      <c r="H808" s="47"/>
      <c r="I808" s="47"/>
      <c r="J808" s="49"/>
      <c r="K808" s="49"/>
      <c r="L808" s="49"/>
      <c r="M808" s="49"/>
      <c r="N808" s="49"/>
      <c r="O808" s="49" t="b">
        <v>0</v>
      </c>
      <c r="P808" s="49"/>
      <c r="Q808" s="49"/>
      <c r="R808" s="49"/>
      <c r="S808" s="49"/>
      <c r="T808" s="49"/>
      <c r="U808" s="58"/>
      <c r="V808" s="49"/>
      <c r="W808" s="58"/>
      <c r="X808" s="49"/>
      <c r="Y808" s="47"/>
      <c r="Z808" s="49"/>
      <c r="AA808" s="49"/>
      <c r="AB808" s="49"/>
      <c r="AC808" s="49"/>
      <c r="AD808" s="49"/>
      <c r="AE808" s="49"/>
      <c r="AF808" s="49"/>
      <c r="AG808" s="49"/>
      <c r="AH808" s="49"/>
      <c r="AI808" s="49"/>
      <c r="AJ808" s="49"/>
      <c r="AK808" s="49"/>
      <c r="AL808" s="49"/>
      <c r="AM808" s="49"/>
      <c r="AN808" s="49"/>
      <c r="AO808" s="49"/>
    </row>
    <row r="809" spans="1:41" ht="13">
      <c r="A809" s="49"/>
      <c r="B809" s="49"/>
      <c r="C809" s="47"/>
      <c r="D809" s="49"/>
      <c r="E809" s="49"/>
      <c r="F809" s="49" t="b">
        <v>0</v>
      </c>
      <c r="G809" s="49"/>
      <c r="H809" s="47"/>
      <c r="I809" s="47"/>
      <c r="J809" s="49"/>
      <c r="K809" s="49"/>
      <c r="L809" s="49"/>
      <c r="M809" s="49"/>
      <c r="N809" s="49"/>
      <c r="O809" s="49" t="b">
        <v>0</v>
      </c>
      <c r="P809" s="49"/>
      <c r="Q809" s="49"/>
      <c r="R809" s="49"/>
      <c r="S809" s="49"/>
      <c r="T809" s="49"/>
      <c r="U809" s="58"/>
      <c r="V809" s="49"/>
      <c r="W809" s="58"/>
      <c r="X809" s="49"/>
      <c r="Y809" s="47"/>
      <c r="Z809" s="49"/>
      <c r="AA809" s="49"/>
      <c r="AB809" s="49"/>
      <c r="AC809" s="49"/>
      <c r="AD809" s="49"/>
      <c r="AE809" s="49"/>
      <c r="AF809" s="49"/>
      <c r="AG809" s="49"/>
      <c r="AH809" s="49"/>
      <c r="AI809" s="49"/>
      <c r="AJ809" s="49"/>
      <c r="AK809" s="49"/>
      <c r="AL809" s="49"/>
      <c r="AM809" s="49"/>
      <c r="AN809" s="49"/>
      <c r="AO809" s="49"/>
    </row>
    <row r="810" spans="1:41" ht="13">
      <c r="A810" s="49"/>
      <c r="B810" s="49"/>
      <c r="C810" s="47"/>
      <c r="D810" s="49"/>
      <c r="E810" s="49"/>
      <c r="F810" s="49" t="b">
        <v>0</v>
      </c>
      <c r="G810" s="49"/>
      <c r="H810" s="47"/>
      <c r="I810" s="47"/>
      <c r="J810" s="49"/>
      <c r="K810" s="49"/>
      <c r="L810" s="49"/>
      <c r="M810" s="49"/>
      <c r="N810" s="49"/>
      <c r="O810" s="49" t="b">
        <v>0</v>
      </c>
      <c r="P810" s="49"/>
      <c r="Q810" s="49"/>
      <c r="R810" s="49"/>
      <c r="S810" s="49"/>
      <c r="T810" s="49"/>
      <c r="U810" s="58"/>
      <c r="V810" s="49"/>
      <c r="W810" s="58"/>
      <c r="X810" s="49"/>
      <c r="Y810" s="47"/>
      <c r="Z810" s="49"/>
      <c r="AA810" s="49"/>
      <c r="AB810" s="49"/>
      <c r="AC810" s="49"/>
      <c r="AD810" s="49"/>
      <c r="AE810" s="49"/>
      <c r="AF810" s="49"/>
      <c r="AG810" s="49"/>
      <c r="AH810" s="49"/>
      <c r="AI810" s="49"/>
      <c r="AJ810" s="49"/>
      <c r="AK810" s="49"/>
      <c r="AL810" s="49"/>
      <c r="AM810" s="49"/>
      <c r="AN810" s="49"/>
      <c r="AO810" s="49"/>
    </row>
    <row r="811" spans="1:41" ht="13">
      <c r="A811" s="49"/>
      <c r="B811" s="49"/>
      <c r="C811" s="47"/>
      <c r="D811" s="49"/>
      <c r="E811" s="49"/>
      <c r="F811" s="49" t="b">
        <v>0</v>
      </c>
      <c r="G811" s="49"/>
      <c r="H811" s="47"/>
      <c r="I811" s="47"/>
      <c r="J811" s="49"/>
      <c r="K811" s="49"/>
      <c r="L811" s="49"/>
      <c r="M811" s="49"/>
      <c r="N811" s="49"/>
      <c r="O811" s="49" t="b">
        <v>0</v>
      </c>
      <c r="P811" s="49"/>
      <c r="Q811" s="49"/>
      <c r="R811" s="49"/>
      <c r="S811" s="49"/>
      <c r="T811" s="49"/>
      <c r="U811" s="58"/>
      <c r="V811" s="49"/>
      <c r="W811" s="58"/>
      <c r="X811" s="49"/>
      <c r="Y811" s="47"/>
      <c r="Z811" s="49"/>
      <c r="AA811" s="49"/>
      <c r="AB811" s="49"/>
      <c r="AC811" s="49"/>
      <c r="AD811" s="49"/>
      <c r="AE811" s="49"/>
      <c r="AF811" s="49"/>
      <c r="AG811" s="49"/>
      <c r="AH811" s="49"/>
      <c r="AI811" s="49"/>
      <c r="AJ811" s="49"/>
      <c r="AK811" s="49"/>
      <c r="AL811" s="49"/>
      <c r="AM811" s="49"/>
      <c r="AN811" s="49"/>
      <c r="AO811" s="49"/>
    </row>
    <row r="812" spans="1:41" ht="13">
      <c r="A812" s="49"/>
      <c r="B812" s="49"/>
      <c r="C812" s="47"/>
      <c r="D812" s="49"/>
      <c r="E812" s="49"/>
      <c r="F812" s="49" t="b">
        <v>0</v>
      </c>
      <c r="G812" s="49"/>
      <c r="H812" s="47"/>
      <c r="I812" s="47"/>
      <c r="J812" s="49"/>
      <c r="K812" s="49"/>
      <c r="L812" s="49"/>
      <c r="M812" s="49"/>
      <c r="N812" s="49"/>
      <c r="O812" s="49" t="b">
        <v>0</v>
      </c>
      <c r="P812" s="49"/>
      <c r="Q812" s="49"/>
      <c r="R812" s="49"/>
      <c r="S812" s="49"/>
      <c r="T812" s="49"/>
      <c r="U812" s="58"/>
      <c r="V812" s="49"/>
      <c r="W812" s="58"/>
      <c r="X812" s="49"/>
      <c r="Y812" s="47"/>
      <c r="Z812" s="49"/>
      <c r="AA812" s="49"/>
      <c r="AB812" s="49"/>
      <c r="AC812" s="49"/>
      <c r="AD812" s="49"/>
      <c r="AE812" s="49"/>
      <c r="AF812" s="49"/>
      <c r="AG812" s="49"/>
      <c r="AH812" s="49"/>
      <c r="AI812" s="49"/>
      <c r="AJ812" s="49"/>
      <c r="AK812" s="49"/>
      <c r="AL812" s="49"/>
      <c r="AM812" s="49"/>
      <c r="AN812" s="49"/>
      <c r="AO812" s="49"/>
    </row>
    <row r="813" spans="1:41" ht="13">
      <c r="A813" s="49"/>
      <c r="B813" s="49"/>
      <c r="C813" s="47"/>
      <c r="D813" s="49"/>
      <c r="E813" s="49"/>
      <c r="F813" s="49" t="b">
        <v>0</v>
      </c>
      <c r="G813" s="49"/>
      <c r="H813" s="47"/>
      <c r="I813" s="47"/>
      <c r="J813" s="49"/>
      <c r="K813" s="49"/>
      <c r="L813" s="49"/>
      <c r="M813" s="49"/>
      <c r="N813" s="49"/>
      <c r="O813" s="49" t="b">
        <v>0</v>
      </c>
      <c r="P813" s="49"/>
      <c r="Q813" s="49"/>
      <c r="R813" s="49"/>
      <c r="S813" s="49"/>
      <c r="T813" s="49"/>
      <c r="U813" s="58"/>
      <c r="V813" s="49"/>
      <c r="W813" s="58"/>
      <c r="X813" s="49"/>
      <c r="Y813" s="47"/>
      <c r="Z813" s="49"/>
      <c r="AA813" s="49"/>
      <c r="AB813" s="49"/>
      <c r="AC813" s="49"/>
      <c r="AD813" s="49"/>
      <c r="AE813" s="49"/>
      <c r="AF813" s="49"/>
      <c r="AG813" s="49"/>
      <c r="AH813" s="49"/>
      <c r="AI813" s="49"/>
      <c r="AJ813" s="49"/>
      <c r="AK813" s="49"/>
      <c r="AL813" s="49"/>
      <c r="AM813" s="49"/>
      <c r="AN813" s="49"/>
      <c r="AO813" s="49"/>
    </row>
    <row r="814" spans="1:41" ht="13">
      <c r="A814" s="49"/>
      <c r="B814" s="49"/>
      <c r="C814" s="47"/>
      <c r="D814" s="49"/>
      <c r="E814" s="49"/>
      <c r="F814" s="49" t="b">
        <v>0</v>
      </c>
      <c r="G814" s="49"/>
      <c r="H814" s="47"/>
      <c r="I814" s="47"/>
      <c r="J814" s="49"/>
      <c r="K814" s="49"/>
      <c r="L814" s="49"/>
      <c r="M814" s="49"/>
      <c r="N814" s="49"/>
      <c r="O814" s="49" t="b">
        <v>0</v>
      </c>
      <c r="P814" s="49"/>
      <c r="Q814" s="49"/>
      <c r="R814" s="49"/>
      <c r="S814" s="49"/>
      <c r="T814" s="49"/>
      <c r="U814" s="58"/>
      <c r="V814" s="49"/>
      <c r="W814" s="58"/>
      <c r="X814" s="49"/>
      <c r="Y814" s="47"/>
      <c r="Z814" s="49"/>
      <c r="AA814" s="49"/>
      <c r="AB814" s="49"/>
      <c r="AC814" s="49"/>
      <c r="AD814" s="49"/>
      <c r="AE814" s="49"/>
      <c r="AF814" s="49"/>
      <c r="AG814" s="49"/>
      <c r="AH814" s="49"/>
      <c r="AI814" s="49"/>
      <c r="AJ814" s="49"/>
      <c r="AK814" s="49"/>
      <c r="AL814" s="49"/>
      <c r="AM814" s="49"/>
      <c r="AN814" s="49"/>
      <c r="AO814" s="49"/>
    </row>
    <row r="815" spans="1:41" ht="13">
      <c r="A815" s="49"/>
      <c r="B815" s="49"/>
      <c r="C815" s="47"/>
      <c r="D815" s="49"/>
      <c r="E815" s="49"/>
      <c r="F815" s="49" t="b">
        <v>0</v>
      </c>
      <c r="G815" s="49"/>
      <c r="H815" s="47"/>
      <c r="I815" s="47"/>
      <c r="J815" s="49"/>
      <c r="K815" s="49"/>
      <c r="L815" s="49"/>
      <c r="M815" s="49"/>
      <c r="N815" s="49"/>
      <c r="O815" s="49" t="b">
        <v>0</v>
      </c>
      <c r="P815" s="49"/>
      <c r="Q815" s="49"/>
      <c r="R815" s="49"/>
      <c r="S815" s="49"/>
      <c r="T815" s="49"/>
      <c r="U815" s="58"/>
      <c r="V815" s="49"/>
      <c r="W815" s="58"/>
      <c r="X815" s="49"/>
      <c r="Y815" s="47"/>
      <c r="Z815" s="49"/>
      <c r="AA815" s="49"/>
      <c r="AB815" s="49"/>
      <c r="AC815" s="49"/>
      <c r="AD815" s="49"/>
      <c r="AE815" s="49"/>
      <c r="AF815" s="49"/>
      <c r="AG815" s="49"/>
      <c r="AH815" s="49"/>
      <c r="AI815" s="49"/>
      <c r="AJ815" s="49"/>
      <c r="AK815" s="49"/>
      <c r="AL815" s="49"/>
      <c r="AM815" s="49"/>
      <c r="AN815" s="49"/>
      <c r="AO815" s="49"/>
    </row>
    <row r="816" spans="1:41" ht="13">
      <c r="A816" s="49"/>
      <c r="B816" s="49"/>
      <c r="C816" s="47"/>
      <c r="D816" s="49"/>
      <c r="E816" s="49"/>
      <c r="F816" s="49" t="b">
        <v>0</v>
      </c>
      <c r="G816" s="49"/>
      <c r="H816" s="47"/>
      <c r="I816" s="47"/>
      <c r="J816" s="49"/>
      <c r="K816" s="49"/>
      <c r="L816" s="49"/>
      <c r="M816" s="49"/>
      <c r="N816" s="49"/>
      <c r="O816" s="49" t="b">
        <v>0</v>
      </c>
      <c r="P816" s="49"/>
      <c r="Q816" s="49"/>
      <c r="R816" s="49"/>
      <c r="S816" s="49"/>
      <c r="T816" s="49"/>
      <c r="U816" s="58"/>
      <c r="V816" s="49"/>
      <c r="W816" s="58"/>
      <c r="X816" s="49"/>
      <c r="Y816" s="47"/>
      <c r="Z816" s="49"/>
      <c r="AA816" s="49"/>
      <c r="AB816" s="49"/>
      <c r="AC816" s="49"/>
      <c r="AD816" s="49"/>
      <c r="AE816" s="49"/>
      <c r="AF816" s="49"/>
      <c r="AG816" s="49"/>
      <c r="AH816" s="49"/>
      <c r="AI816" s="49"/>
      <c r="AJ816" s="49"/>
      <c r="AK816" s="49"/>
      <c r="AL816" s="49"/>
      <c r="AM816" s="49"/>
      <c r="AN816" s="49"/>
      <c r="AO816" s="49"/>
    </row>
    <row r="817" spans="1:41" ht="13">
      <c r="A817" s="49"/>
      <c r="B817" s="49"/>
      <c r="C817" s="47"/>
      <c r="D817" s="49"/>
      <c r="E817" s="49"/>
      <c r="F817" s="49" t="b">
        <v>0</v>
      </c>
      <c r="G817" s="49"/>
      <c r="H817" s="47"/>
      <c r="I817" s="47"/>
      <c r="J817" s="49"/>
      <c r="K817" s="49"/>
      <c r="L817" s="49"/>
      <c r="M817" s="49"/>
      <c r="N817" s="49"/>
      <c r="O817" s="49" t="b">
        <v>0</v>
      </c>
      <c r="P817" s="49"/>
      <c r="Q817" s="49"/>
      <c r="R817" s="49"/>
      <c r="S817" s="49"/>
      <c r="T817" s="49"/>
      <c r="U817" s="58"/>
      <c r="V817" s="49"/>
      <c r="W817" s="58"/>
      <c r="X817" s="49"/>
      <c r="Y817" s="47"/>
      <c r="Z817" s="49"/>
      <c r="AA817" s="49"/>
      <c r="AB817" s="49"/>
      <c r="AC817" s="49"/>
      <c r="AD817" s="49"/>
      <c r="AE817" s="49"/>
      <c r="AF817" s="49"/>
      <c r="AG817" s="49"/>
      <c r="AH817" s="49"/>
      <c r="AI817" s="49"/>
      <c r="AJ817" s="49"/>
      <c r="AK817" s="49"/>
      <c r="AL817" s="49"/>
      <c r="AM817" s="49"/>
      <c r="AN817" s="49"/>
      <c r="AO817" s="49"/>
    </row>
    <row r="818" spans="1:41" ht="13">
      <c r="A818" s="49"/>
      <c r="B818" s="49"/>
      <c r="C818" s="47"/>
      <c r="D818" s="49"/>
      <c r="E818" s="49"/>
      <c r="F818" s="49" t="b">
        <v>0</v>
      </c>
      <c r="G818" s="49"/>
      <c r="H818" s="47"/>
      <c r="I818" s="47"/>
      <c r="J818" s="49"/>
      <c r="K818" s="49"/>
      <c r="L818" s="49"/>
      <c r="M818" s="49"/>
      <c r="N818" s="49"/>
      <c r="O818" s="49" t="b">
        <v>0</v>
      </c>
      <c r="P818" s="49"/>
      <c r="Q818" s="49"/>
      <c r="R818" s="49"/>
      <c r="S818" s="49"/>
      <c r="T818" s="49"/>
      <c r="U818" s="58"/>
      <c r="V818" s="49"/>
      <c r="W818" s="58"/>
      <c r="X818" s="49"/>
      <c r="Y818" s="47"/>
      <c r="Z818" s="49"/>
      <c r="AA818" s="49"/>
      <c r="AB818" s="49"/>
      <c r="AC818" s="49"/>
      <c r="AD818" s="49"/>
      <c r="AE818" s="49"/>
      <c r="AF818" s="49"/>
      <c r="AG818" s="49"/>
      <c r="AH818" s="49"/>
      <c r="AI818" s="49"/>
      <c r="AJ818" s="49"/>
      <c r="AK818" s="49"/>
      <c r="AL818" s="49"/>
      <c r="AM818" s="49"/>
      <c r="AN818" s="49"/>
      <c r="AO818" s="49"/>
    </row>
    <row r="819" spans="1:41" ht="13">
      <c r="A819" s="49"/>
      <c r="B819" s="49"/>
      <c r="C819" s="47"/>
      <c r="D819" s="49"/>
      <c r="E819" s="49"/>
      <c r="F819" s="49" t="b">
        <v>0</v>
      </c>
      <c r="G819" s="49"/>
      <c r="H819" s="47"/>
      <c r="I819" s="47"/>
      <c r="J819" s="49"/>
      <c r="K819" s="49"/>
      <c r="L819" s="49"/>
      <c r="M819" s="49"/>
      <c r="N819" s="49"/>
      <c r="O819" s="49" t="b">
        <v>0</v>
      </c>
      <c r="P819" s="49"/>
      <c r="Q819" s="49"/>
      <c r="R819" s="49"/>
      <c r="S819" s="49"/>
      <c r="T819" s="49"/>
      <c r="U819" s="58"/>
      <c r="V819" s="49"/>
      <c r="W819" s="58"/>
      <c r="X819" s="49"/>
      <c r="Y819" s="47"/>
      <c r="Z819" s="49"/>
      <c r="AA819" s="49"/>
      <c r="AB819" s="49"/>
      <c r="AC819" s="49"/>
      <c r="AD819" s="49"/>
      <c r="AE819" s="49"/>
      <c r="AF819" s="49"/>
      <c r="AG819" s="49"/>
      <c r="AH819" s="49"/>
      <c r="AI819" s="49"/>
      <c r="AJ819" s="49"/>
      <c r="AK819" s="49"/>
      <c r="AL819" s="49"/>
      <c r="AM819" s="49"/>
      <c r="AN819" s="49"/>
      <c r="AO819" s="49"/>
    </row>
    <row r="820" spans="1:41" ht="13">
      <c r="A820" s="49"/>
      <c r="B820" s="49"/>
      <c r="C820" s="47"/>
      <c r="D820" s="49"/>
      <c r="E820" s="49"/>
      <c r="F820" s="49" t="b">
        <v>0</v>
      </c>
      <c r="G820" s="49"/>
      <c r="H820" s="47"/>
      <c r="I820" s="47"/>
      <c r="J820" s="49"/>
      <c r="K820" s="49"/>
      <c r="L820" s="49"/>
      <c r="M820" s="49"/>
      <c r="N820" s="49"/>
      <c r="O820" s="49" t="b">
        <v>0</v>
      </c>
      <c r="P820" s="49"/>
      <c r="Q820" s="49"/>
      <c r="R820" s="49"/>
      <c r="S820" s="49"/>
      <c r="T820" s="49"/>
      <c r="U820" s="58"/>
      <c r="V820" s="49"/>
      <c r="W820" s="58"/>
      <c r="X820" s="49"/>
      <c r="Y820" s="47"/>
      <c r="Z820" s="49"/>
      <c r="AA820" s="49"/>
      <c r="AB820" s="49"/>
      <c r="AC820" s="49"/>
      <c r="AD820" s="49"/>
      <c r="AE820" s="49"/>
      <c r="AF820" s="49"/>
      <c r="AG820" s="49"/>
      <c r="AH820" s="49"/>
      <c r="AI820" s="49"/>
      <c r="AJ820" s="49"/>
      <c r="AK820" s="49"/>
      <c r="AL820" s="49"/>
      <c r="AM820" s="49"/>
      <c r="AN820" s="49"/>
      <c r="AO820" s="49"/>
    </row>
    <row r="821" spans="1:41" ht="13">
      <c r="A821" s="49"/>
      <c r="B821" s="49"/>
      <c r="C821" s="47"/>
      <c r="D821" s="49"/>
      <c r="E821" s="49"/>
      <c r="F821" s="49" t="b">
        <v>0</v>
      </c>
      <c r="G821" s="49"/>
      <c r="H821" s="47"/>
      <c r="I821" s="47"/>
      <c r="J821" s="49"/>
      <c r="K821" s="49"/>
      <c r="L821" s="49"/>
      <c r="M821" s="49"/>
      <c r="N821" s="49"/>
      <c r="O821" s="49" t="b">
        <v>0</v>
      </c>
      <c r="P821" s="49"/>
      <c r="Q821" s="49"/>
      <c r="R821" s="49"/>
      <c r="S821" s="49"/>
      <c r="T821" s="49"/>
      <c r="U821" s="58"/>
      <c r="V821" s="49"/>
      <c r="W821" s="58"/>
      <c r="X821" s="49"/>
      <c r="Y821" s="47"/>
      <c r="Z821" s="49"/>
      <c r="AA821" s="49"/>
      <c r="AB821" s="49"/>
      <c r="AC821" s="49"/>
      <c r="AD821" s="49"/>
      <c r="AE821" s="49"/>
      <c r="AF821" s="49"/>
      <c r="AG821" s="49"/>
      <c r="AH821" s="49"/>
      <c r="AI821" s="49"/>
      <c r="AJ821" s="49"/>
      <c r="AK821" s="49"/>
      <c r="AL821" s="49"/>
      <c r="AM821" s="49"/>
      <c r="AN821" s="49"/>
      <c r="AO821" s="49"/>
    </row>
    <row r="822" spans="1:41" ht="13">
      <c r="A822" s="49"/>
      <c r="B822" s="49"/>
      <c r="C822" s="47"/>
      <c r="D822" s="49"/>
      <c r="E822" s="49"/>
      <c r="F822" s="49" t="b">
        <v>0</v>
      </c>
      <c r="G822" s="49"/>
      <c r="H822" s="47"/>
      <c r="I822" s="47"/>
      <c r="J822" s="49"/>
      <c r="K822" s="49"/>
      <c r="L822" s="49"/>
      <c r="M822" s="49"/>
      <c r="N822" s="49"/>
      <c r="O822" s="49" t="b">
        <v>0</v>
      </c>
      <c r="P822" s="49"/>
      <c r="Q822" s="49"/>
      <c r="R822" s="49"/>
      <c r="S822" s="49"/>
      <c r="T822" s="49"/>
      <c r="U822" s="58"/>
      <c r="V822" s="49"/>
      <c r="W822" s="58"/>
      <c r="X822" s="49"/>
      <c r="Y822" s="47"/>
      <c r="Z822" s="49"/>
      <c r="AA822" s="49"/>
      <c r="AB822" s="49"/>
      <c r="AC822" s="49"/>
      <c r="AD822" s="49"/>
      <c r="AE822" s="49"/>
      <c r="AF822" s="49"/>
      <c r="AG822" s="49"/>
      <c r="AH822" s="49"/>
      <c r="AI822" s="49"/>
      <c r="AJ822" s="49"/>
      <c r="AK822" s="49"/>
      <c r="AL822" s="49"/>
      <c r="AM822" s="49"/>
      <c r="AN822" s="49"/>
      <c r="AO822" s="49"/>
    </row>
    <row r="823" spans="1:41" ht="13">
      <c r="A823" s="49"/>
      <c r="B823" s="49"/>
      <c r="C823" s="47"/>
      <c r="D823" s="49"/>
      <c r="E823" s="49"/>
      <c r="F823" s="49" t="b">
        <v>0</v>
      </c>
      <c r="G823" s="49"/>
      <c r="H823" s="47"/>
      <c r="I823" s="47"/>
      <c r="J823" s="49"/>
      <c r="K823" s="49"/>
      <c r="L823" s="49"/>
      <c r="M823" s="49"/>
      <c r="N823" s="49"/>
      <c r="O823" s="49" t="b">
        <v>0</v>
      </c>
      <c r="P823" s="49"/>
      <c r="Q823" s="49"/>
      <c r="R823" s="49"/>
      <c r="S823" s="49"/>
      <c r="T823" s="49"/>
      <c r="U823" s="58"/>
      <c r="V823" s="49"/>
      <c r="W823" s="58"/>
      <c r="X823" s="49"/>
      <c r="Y823" s="47"/>
      <c r="Z823" s="49"/>
      <c r="AA823" s="49"/>
      <c r="AB823" s="49"/>
      <c r="AC823" s="49"/>
      <c r="AD823" s="49"/>
      <c r="AE823" s="49"/>
      <c r="AF823" s="49"/>
      <c r="AG823" s="49"/>
      <c r="AH823" s="49"/>
      <c r="AI823" s="49"/>
      <c r="AJ823" s="49"/>
      <c r="AK823" s="49"/>
      <c r="AL823" s="49"/>
      <c r="AM823" s="49"/>
      <c r="AN823" s="49"/>
      <c r="AO823" s="49"/>
    </row>
    <row r="824" spans="1:41" ht="13">
      <c r="A824" s="49"/>
      <c r="B824" s="49"/>
      <c r="C824" s="47"/>
      <c r="D824" s="49"/>
      <c r="E824" s="49"/>
      <c r="F824" s="49" t="b">
        <v>0</v>
      </c>
      <c r="G824" s="49"/>
      <c r="H824" s="47"/>
      <c r="I824" s="47"/>
      <c r="J824" s="49"/>
      <c r="K824" s="49"/>
      <c r="L824" s="49"/>
      <c r="M824" s="49"/>
      <c r="N824" s="49"/>
      <c r="O824" s="49" t="b">
        <v>0</v>
      </c>
      <c r="P824" s="49"/>
      <c r="Q824" s="49"/>
      <c r="R824" s="49"/>
      <c r="S824" s="49"/>
      <c r="T824" s="49"/>
      <c r="U824" s="58"/>
      <c r="V824" s="49"/>
      <c r="W824" s="58"/>
      <c r="X824" s="49"/>
      <c r="Y824" s="47"/>
      <c r="Z824" s="49"/>
      <c r="AA824" s="49"/>
      <c r="AB824" s="49"/>
      <c r="AC824" s="49"/>
      <c r="AD824" s="49"/>
      <c r="AE824" s="49"/>
      <c r="AF824" s="49"/>
      <c r="AG824" s="49"/>
      <c r="AH824" s="49"/>
      <c r="AI824" s="49"/>
      <c r="AJ824" s="49"/>
      <c r="AK824" s="49"/>
      <c r="AL824" s="49"/>
      <c r="AM824" s="49"/>
      <c r="AN824" s="49"/>
      <c r="AO824" s="49"/>
    </row>
    <row r="825" spans="1:41" ht="13">
      <c r="A825" s="49"/>
      <c r="B825" s="49"/>
      <c r="C825" s="47"/>
      <c r="D825" s="49"/>
      <c r="E825" s="49"/>
      <c r="F825" s="49" t="b">
        <v>0</v>
      </c>
      <c r="G825" s="49"/>
      <c r="H825" s="47"/>
      <c r="I825" s="47"/>
      <c r="J825" s="49"/>
      <c r="K825" s="49"/>
      <c r="L825" s="49"/>
      <c r="M825" s="49"/>
      <c r="N825" s="49"/>
      <c r="O825" s="49" t="b">
        <v>0</v>
      </c>
      <c r="P825" s="49"/>
      <c r="Q825" s="49"/>
      <c r="R825" s="49"/>
      <c r="S825" s="49"/>
      <c r="T825" s="49"/>
      <c r="U825" s="58"/>
      <c r="V825" s="49"/>
      <c r="W825" s="58"/>
      <c r="X825" s="49"/>
      <c r="Y825" s="47"/>
      <c r="Z825" s="49"/>
      <c r="AA825" s="49"/>
      <c r="AB825" s="49"/>
      <c r="AC825" s="49"/>
      <c r="AD825" s="49"/>
      <c r="AE825" s="49"/>
      <c r="AF825" s="49"/>
      <c r="AG825" s="49"/>
      <c r="AH825" s="49"/>
      <c r="AI825" s="49"/>
      <c r="AJ825" s="49"/>
      <c r="AK825" s="49"/>
      <c r="AL825" s="49"/>
      <c r="AM825" s="49"/>
      <c r="AN825" s="49"/>
      <c r="AO825" s="49"/>
    </row>
    <row r="826" spans="1:41" ht="13">
      <c r="A826" s="49"/>
      <c r="B826" s="49"/>
      <c r="C826" s="47"/>
      <c r="D826" s="49"/>
      <c r="E826" s="49"/>
      <c r="F826" s="49" t="b">
        <v>0</v>
      </c>
      <c r="G826" s="49"/>
      <c r="H826" s="47"/>
      <c r="I826" s="47"/>
      <c r="J826" s="49"/>
      <c r="K826" s="49"/>
      <c r="L826" s="49"/>
      <c r="M826" s="49"/>
      <c r="N826" s="49"/>
      <c r="O826" s="49" t="b">
        <v>0</v>
      </c>
      <c r="P826" s="49"/>
      <c r="Q826" s="49"/>
      <c r="R826" s="49"/>
      <c r="S826" s="49"/>
      <c r="T826" s="49"/>
      <c r="U826" s="58"/>
      <c r="V826" s="49"/>
      <c r="W826" s="58"/>
      <c r="X826" s="49"/>
      <c r="Y826" s="47"/>
      <c r="Z826" s="49"/>
      <c r="AA826" s="49"/>
      <c r="AB826" s="49"/>
      <c r="AC826" s="49"/>
      <c r="AD826" s="49"/>
      <c r="AE826" s="49"/>
      <c r="AF826" s="49"/>
      <c r="AG826" s="49"/>
      <c r="AH826" s="49"/>
      <c r="AI826" s="49"/>
      <c r="AJ826" s="49"/>
      <c r="AK826" s="49"/>
      <c r="AL826" s="49"/>
      <c r="AM826" s="49"/>
      <c r="AN826" s="49"/>
      <c r="AO826" s="49"/>
    </row>
    <row r="827" spans="1:41" ht="13">
      <c r="A827" s="49"/>
      <c r="B827" s="49"/>
      <c r="C827" s="47"/>
      <c r="D827" s="49"/>
      <c r="E827" s="49"/>
      <c r="F827" s="49" t="b">
        <v>0</v>
      </c>
      <c r="G827" s="49"/>
      <c r="H827" s="47"/>
      <c r="I827" s="47"/>
      <c r="J827" s="49"/>
      <c r="K827" s="49"/>
      <c r="L827" s="49"/>
      <c r="M827" s="49"/>
      <c r="N827" s="49"/>
      <c r="O827" s="49" t="b">
        <v>0</v>
      </c>
      <c r="P827" s="49"/>
      <c r="Q827" s="49"/>
      <c r="R827" s="49"/>
      <c r="S827" s="49"/>
      <c r="T827" s="49"/>
      <c r="U827" s="58"/>
      <c r="V827" s="49"/>
      <c r="W827" s="58"/>
      <c r="X827" s="49"/>
      <c r="Y827" s="47"/>
      <c r="Z827" s="49"/>
      <c r="AA827" s="49"/>
      <c r="AB827" s="49"/>
      <c r="AC827" s="49"/>
      <c r="AD827" s="49"/>
      <c r="AE827" s="49"/>
      <c r="AF827" s="49"/>
      <c r="AG827" s="49"/>
      <c r="AH827" s="49"/>
      <c r="AI827" s="49"/>
      <c r="AJ827" s="49"/>
      <c r="AK827" s="49"/>
      <c r="AL827" s="49"/>
      <c r="AM827" s="49"/>
      <c r="AN827" s="49"/>
      <c r="AO827" s="49"/>
    </row>
    <row r="828" spans="1:41" ht="13">
      <c r="A828" s="49"/>
      <c r="B828" s="49"/>
      <c r="C828" s="47"/>
      <c r="D828" s="49"/>
      <c r="E828" s="49"/>
      <c r="F828" s="49" t="b">
        <v>0</v>
      </c>
      <c r="G828" s="49"/>
      <c r="H828" s="47"/>
      <c r="I828" s="47"/>
      <c r="J828" s="49"/>
      <c r="K828" s="49"/>
      <c r="L828" s="49"/>
      <c r="M828" s="49"/>
      <c r="N828" s="49"/>
      <c r="O828" s="49" t="b">
        <v>0</v>
      </c>
      <c r="P828" s="49"/>
      <c r="Q828" s="49"/>
      <c r="R828" s="49"/>
      <c r="S828" s="49"/>
      <c r="T828" s="49"/>
      <c r="U828" s="58"/>
      <c r="V828" s="49"/>
      <c r="W828" s="58"/>
      <c r="X828" s="49"/>
      <c r="Y828" s="47"/>
      <c r="Z828" s="49"/>
      <c r="AA828" s="49"/>
      <c r="AB828" s="49"/>
      <c r="AC828" s="49"/>
      <c r="AD828" s="49"/>
      <c r="AE828" s="49"/>
      <c r="AF828" s="49"/>
      <c r="AG828" s="49"/>
      <c r="AH828" s="49"/>
      <c r="AI828" s="49"/>
      <c r="AJ828" s="49"/>
      <c r="AK828" s="49"/>
      <c r="AL828" s="49"/>
      <c r="AM828" s="49"/>
      <c r="AN828" s="49"/>
      <c r="AO828" s="49"/>
    </row>
    <row r="829" spans="1:41" ht="13">
      <c r="A829" s="49"/>
      <c r="B829" s="49"/>
      <c r="C829" s="47"/>
      <c r="D829" s="49"/>
      <c r="E829" s="49"/>
      <c r="F829" s="49" t="b">
        <v>0</v>
      </c>
      <c r="G829" s="49"/>
      <c r="H829" s="47"/>
      <c r="I829" s="47"/>
      <c r="J829" s="49"/>
      <c r="K829" s="49"/>
      <c r="L829" s="49"/>
      <c r="M829" s="49"/>
      <c r="N829" s="49"/>
      <c r="O829" s="49" t="b">
        <v>0</v>
      </c>
      <c r="P829" s="49"/>
      <c r="Q829" s="49"/>
      <c r="R829" s="49"/>
      <c r="S829" s="49"/>
      <c r="T829" s="49"/>
      <c r="U829" s="58"/>
      <c r="V829" s="49"/>
      <c r="W829" s="58"/>
      <c r="X829" s="49"/>
      <c r="Y829" s="47"/>
      <c r="Z829" s="49"/>
      <c r="AA829" s="49"/>
      <c r="AB829" s="49"/>
      <c r="AC829" s="49"/>
      <c r="AD829" s="49"/>
      <c r="AE829" s="49"/>
      <c r="AF829" s="49"/>
      <c r="AG829" s="49"/>
      <c r="AH829" s="49"/>
      <c r="AI829" s="49"/>
      <c r="AJ829" s="49"/>
      <c r="AK829" s="49"/>
      <c r="AL829" s="49"/>
      <c r="AM829" s="49"/>
      <c r="AN829" s="49"/>
      <c r="AO829" s="49"/>
    </row>
    <row r="830" spans="1:41" ht="13">
      <c r="A830" s="49"/>
      <c r="B830" s="49"/>
      <c r="C830" s="47"/>
      <c r="D830" s="49"/>
      <c r="E830" s="49"/>
      <c r="F830" s="49" t="b">
        <v>0</v>
      </c>
      <c r="G830" s="49"/>
      <c r="H830" s="47"/>
      <c r="I830" s="47"/>
      <c r="J830" s="49"/>
      <c r="K830" s="49"/>
      <c r="L830" s="49"/>
      <c r="M830" s="49"/>
      <c r="N830" s="49"/>
      <c r="O830" s="49" t="b">
        <v>0</v>
      </c>
      <c r="P830" s="49"/>
      <c r="Q830" s="49"/>
      <c r="R830" s="49"/>
      <c r="S830" s="49"/>
      <c r="T830" s="49"/>
      <c r="U830" s="58"/>
      <c r="V830" s="49"/>
      <c r="W830" s="58"/>
      <c r="X830" s="49"/>
      <c r="Y830" s="47"/>
      <c r="Z830" s="49"/>
      <c r="AA830" s="49"/>
      <c r="AB830" s="49"/>
      <c r="AC830" s="49"/>
      <c r="AD830" s="49"/>
      <c r="AE830" s="49"/>
      <c r="AF830" s="49"/>
      <c r="AG830" s="49"/>
      <c r="AH830" s="49"/>
      <c r="AI830" s="49"/>
      <c r="AJ830" s="49"/>
      <c r="AK830" s="49"/>
      <c r="AL830" s="49"/>
      <c r="AM830" s="49"/>
      <c r="AN830" s="49"/>
      <c r="AO830" s="49"/>
    </row>
    <row r="831" spans="1:41" ht="13">
      <c r="A831" s="49"/>
      <c r="B831" s="49"/>
      <c r="C831" s="47"/>
      <c r="D831" s="49"/>
      <c r="E831" s="49"/>
      <c r="F831" s="49" t="b">
        <v>0</v>
      </c>
      <c r="G831" s="49"/>
      <c r="H831" s="47"/>
      <c r="I831" s="47"/>
      <c r="J831" s="49"/>
      <c r="K831" s="49"/>
      <c r="L831" s="49"/>
      <c r="M831" s="49"/>
      <c r="N831" s="49"/>
      <c r="O831" s="49" t="b">
        <v>0</v>
      </c>
      <c r="P831" s="49"/>
      <c r="Q831" s="49"/>
      <c r="R831" s="49"/>
      <c r="S831" s="49"/>
      <c r="T831" s="49"/>
      <c r="U831" s="58"/>
      <c r="V831" s="49"/>
      <c r="W831" s="58"/>
      <c r="X831" s="49"/>
      <c r="Y831" s="47"/>
      <c r="Z831" s="49"/>
      <c r="AA831" s="49"/>
      <c r="AB831" s="49"/>
      <c r="AC831" s="49"/>
      <c r="AD831" s="49"/>
      <c r="AE831" s="49"/>
      <c r="AF831" s="49"/>
      <c r="AG831" s="49"/>
      <c r="AH831" s="49"/>
      <c r="AI831" s="49"/>
      <c r="AJ831" s="49"/>
      <c r="AK831" s="49"/>
      <c r="AL831" s="49"/>
      <c r="AM831" s="49"/>
      <c r="AN831" s="49"/>
      <c r="AO831" s="49"/>
    </row>
    <row r="832" spans="1:41" ht="13">
      <c r="A832" s="49"/>
      <c r="B832" s="49"/>
      <c r="C832" s="47"/>
      <c r="D832" s="49"/>
      <c r="E832" s="49"/>
      <c r="F832" s="49" t="b">
        <v>0</v>
      </c>
      <c r="G832" s="49"/>
      <c r="H832" s="47"/>
      <c r="I832" s="47"/>
      <c r="J832" s="49"/>
      <c r="K832" s="49"/>
      <c r="L832" s="49"/>
      <c r="M832" s="49"/>
      <c r="N832" s="49"/>
      <c r="O832" s="49" t="b">
        <v>0</v>
      </c>
      <c r="P832" s="49"/>
      <c r="Q832" s="49"/>
      <c r="R832" s="49"/>
      <c r="S832" s="49"/>
      <c r="T832" s="49"/>
      <c r="U832" s="58"/>
      <c r="V832" s="49"/>
      <c r="W832" s="58"/>
      <c r="X832" s="49"/>
      <c r="Y832" s="47"/>
      <c r="Z832" s="49"/>
      <c r="AA832" s="49"/>
      <c r="AB832" s="49"/>
      <c r="AC832" s="49"/>
      <c r="AD832" s="49"/>
      <c r="AE832" s="49"/>
      <c r="AF832" s="49"/>
      <c r="AG832" s="49"/>
      <c r="AH832" s="49"/>
      <c r="AI832" s="49"/>
      <c r="AJ832" s="49"/>
      <c r="AK832" s="49"/>
      <c r="AL832" s="49"/>
      <c r="AM832" s="49"/>
      <c r="AN832" s="49"/>
      <c r="AO832" s="49"/>
    </row>
    <row r="833" spans="1:41" ht="13">
      <c r="A833" s="49"/>
      <c r="B833" s="49"/>
      <c r="C833" s="47"/>
      <c r="D833" s="49"/>
      <c r="E833" s="49"/>
      <c r="F833" s="49" t="b">
        <v>0</v>
      </c>
      <c r="G833" s="49"/>
      <c r="H833" s="47"/>
      <c r="I833" s="47"/>
      <c r="J833" s="49"/>
      <c r="K833" s="49"/>
      <c r="L833" s="49"/>
      <c r="M833" s="49"/>
      <c r="N833" s="49"/>
      <c r="O833" s="49" t="b">
        <v>0</v>
      </c>
      <c r="P833" s="49"/>
      <c r="Q833" s="49"/>
      <c r="R833" s="49"/>
      <c r="S833" s="49"/>
      <c r="T833" s="49"/>
      <c r="U833" s="58"/>
      <c r="V833" s="49"/>
      <c r="W833" s="58"/>
      <c r="X833" s="49"/>
      <c r="Y833" s="47"/>
      <c r="Z833" s="49"/>
      <c r="AA833" s="49"/>
      <c r="AB833" s="49"/>
      <c r="AC833" s="49"/>
      <c r="AD833" s="49"/>
      <c r="AE833" s="49"/>
      <c r="AF833" s="49"/>
      <c r="AG833" s="49"/>
      <c r="AH833" s="49"/>
      <c r="AI833" s="49"/>
      <c r="AJ833" s="49"/>
      <c r="AK833" s="49"/>
      <c r="AL833" s="49"/>
      <c r="AM833" s="49"/>
      <c r="AN833" s="49"/>
      <c r="AO833" s="49"/>
    </row>
    <row r="834" spans="1:41" ht="13">
      <c r="A834" s="49"/>
      <c r="B834" s="49"/>
      <c r="C834" s="47"/>
      <c r="D834" s="49"/>
      <c r="E834" s="49"/>
      <c r="F834" s="49" t="b">
        <v>0</v>
      </c>
      <c r="G834" s="49"/>
      <c r="H834" s="47"/>
      <c r="I834" s="47"/>
      <c r="J834" s="49"/>
      <c r="K834" s="49"/>
      <c r="L834" s="49"/>
      <c r="M834" s="49"/>
      <c r="N834" s="49"/>
      <c r="O834" s="49" t="b">
        <v>0</v>
      </c>
      <c r="P834" s="49"/>
      <c r="Q834" s="49"/>
      <c r="R834" s="49"/>
      <c r="S834" s="49"/>
      <c r="T834" s="49"/>
      <c r="U834" s="58"/>
      <c r="V834" s="49"/>
      <c r="W834" s="58"/>
      <c r="X834" s="49"/>
      <c r="Y834" s="47"/>
      <c r="Z834" s="49"/>
      <c r="AA834" s="49"/>
      <c r="AB834" s="49"/>
      <c r="AC834" s="49"/>
      <c r="AD834" s="49"/>
      <c r="AE834" s="49"/>
      <c r="AF834" s="49"/>
      <c r="AG834" s="49"/>
      <c r="AH834" s="49"/>
      <c r="AI834" s="49"/>
      <c r="AJ834" s="49"/>
      <c r="AK834" s="49"/>
      <c r="AL834" s="49"/>
      <c r="AM834" s="49"/>
      <c r="AN834" s="49"/>
      <c r="AO834" s="49"/>
    </row>
    <row r="835" spans="1:41" ht="13">
      <c r="A835" s="49"/>
      <c r="B835" s="49"/>
      <c r="C835" s="47"/>
      <c r="D835" s="49"/>
      <c r="E835" s="49"/>
      <c r="F835" s="49" t="b">
        <v>0</v>
      </c>
      <c r="G835" s="49"/>
      <c r="H835" s="47"/>
      <c r="I835" s="47"/>
      <c r="J835" s="49"/>
      <c r="K835" s="49"/>
      <c r="L835" s="49"/>
      <c r="M835" s="49"/>
      <c r="N835" s="49"/>
      <c r="O835" s="49" t="b">
        <v>0</v>
      </c>
      <c r="P835" s="49"/>
      <c r="Q835" s="49"/>
      <c r="R835" s="49"/>
      <c r="S835" s="49"/>
      <c r="T835" s="49"/>
      <c r="U835" s="58"/>
      <c r="V835" s="49"/>
      <c r="W835" s="58"/>
      <c r="X835" s="49"/>
      <c r="Y835" s="47"/>
      <c r="Z835" s="49"/>
      <c r="AA835" s="49"/>
      <c r="AB835" s="49"/>
      <c r="AC835" s="49"/>
      <c r="AD835" s="49"/>
      <c r="AE835" s="49"/>
      <c r="AF835" s="49"/>
      <c r="AG835" s="49"/>
      <c r="AH835" s="49"/>
      <c r="AI835" s="49"/>
      <c r="AJ835" s="49"/>
      <c r="AK835" s="49"/>
      <c r="AL835" s="49"/>
      <c r="AM835" s="49"/>
      <c r="AN835" s="49"/>
      <c r="AO835" s="49"/>
    </row>
    <row r="836" spans="1:41" ht="13">
      <c r="A836" s="49"/>
      <c r="B836" s="49"/>
      <c r="C836" s="47"/>
      <c r="D836" s="49"/>
      <c r="E836" s="49"/>
      <c r="F836" s="49" t="b">
        <v>0</v>
      </c>
      <c r="G836" s="49"/>
      <c r="H836" s="47"/>
      <c r="I836" s="47"/>
      <c r="J836" s="49"/>
      <c r="K836" s="49"/>
      <c r="L836" s="49"/>
      <c r="M836" s="49"/>
      <c r="N836" s="49"/>
      <c r="O836" s="49" t="b">
        <v>0</v>
      </c>
      <c r="P836" s="49"/>
      <c r="Q836" s="49"/>
      <c r="R836" s="49"/>
      <c r="S836" s="49"/>
      <c r="T836" s="49"/>
      <c r="U836" s="58"/>
      <c r="V836" s="49"/>
      <c r="W836" s="58"/>
      <c r="X836" s="49"/>
      <c r="Y836" s="47"/>
      <c r="Z836" s="49"/>
      <c r="AA836" s="49"/>
      <c r="AB836" s="49"/>
      <c r="AC836" s="49"/>
      <c r="AD836" s="49"/>
      <c r="AE836" s="49"/>
      <c r="AF836" s="49"/>
      <c r="AG836" s="49"/>
      <c r="AH836" s="49"/>
      <c r="AI836" s="49"/>
      <c r="AJ836" s="49"/>
      <c r="AK836" s="49"/>
      <c r="AL836" s="49"/>
      <c r="AM836" s="49"/>
      <c r="AN836" s="49"/>
      <c r="AO836" s="49"/>
    </row>
    <row r="837" spans="1:41" ht="13">
      <c r="A837" s="49"/>
      <c r="B837" s="49"/>
      <c r="C837" s="47"/>
      <c r="D837" s="49"/>
      <c r="E837" s="49"/>
      <c r="F837" s="49" t="b">
        <v>0</v>
      </c>
      <c r="G837" s="49"/>
      <c r="H837" s="47"/>
      <c r="I837" s="47"/>
      <c r="J837" s="49"/>
      <c r="K837" s="49"/>
      <c r="L837" s="49"/>
      <c r="M837" s="49"/>
      <c r="N837" s="49"/>
      <c r="O837" s="49" t="b">
        <v>0</v>
      </c>
      <c r="P837" s="49"/>
      <c r="Q837" s="49"/>
      <c r="R837" s="49"/>
      <c r="S837" s="49"/>
      <c r="T837" s="49"/>
      <c r="U837" s="58"/>
      <c r="V837" s="49"/>
      <c r="W837" s="58"/>
      <c r="X837" s="49"/>
      <c r="Y837" s="47"/>
      <c r="Z837" s="49"/>
      <c r="AA837" s="49"/>
      <c r="AB837" s="49"/>
      <c r="AC837" s="49"/>
      <c r="AD837" s="49"/>
      <c r="AE837" s="49"/>
      <c r="AF837" s="49"/>
      <c r="AG837" s="49"/>
      <c r="AH837" s="49"/>
      <c r="AI837" s="49"/>
      <c r="AJ837" s="49"/>
      <c r="AK837" s="49"/>
      <c r="AL837" s="49"/>
      <c r="AM837" s="49"/>
      <c r="AN837" s="49"/>
      <c r="AO837" s="49"/>
    </row>
    <row r="838" spans="1:41" ht="13">
      <c r="A838" s="49"/>
      <c r="B838" s="49"/>
      <c r="C838" s="47"/>
      <c r="D838" s="49"/>
      <c r="E838" s="49"/>
      <c r="F838" s="49" t="b">
        <v>0</v>
      </c>
      <c r="G838" s="49"/>
      <c r="H838" s="47"/>
      <c r="I838" s="47"/>
      <c r="J838" s="49"/>
      <c r="K838" s="49"/>
      <c r="L838" s="49"/>
      <c r="M838" s="49"/>
      <c r="N838" s="49"/>
      <c r="O838" s="49" t="b">
        <v>0</v>
      </c>
      <c r="P838" s="49"/>
      <c r="Q838" s="49"/>
      <c r="R838" s="49"/>
      <c r="S838" s="49"/>
      <c r="T838" s="49"/>
      <c r="U838" s="58"/>
      <c r="V838" s="49"/>
      <c r="W838" s="58"/>
      <c r="X838" s="49"/>
      <c r="Y838" s="47"/>
      <c r="Z838" s="49"/>
      <c r="AA838" s="49"/>
      <c r="AB838" s="49"/>
      <c r="AC838" s="49"/>
      <c r="AD838" s="49"/>
      <c r="AE838" s="49"/>
      <c r="AF838" s="49"/>
      <c r="AG838" s="49"/>
      <c r="AH838" s="49"/>
      <c r="AI838" s="49"/>
      <c r="AJ838" s="49"/>
      <c r="AK838" s="49"/>
      <c r="AL838" s="49"/>
      <c r="AM838" s="49"/>
      <c r="AN838" s="49"/>
      <c r="AO838" s="49"/>
    </row>
    <row r="839" spans="1:41" ht="13">
      <c r="A839" s="49"/>
      <c r="B839" s="49"/>
      <c r="C839" s="47"/>
      <c r="D839" s="49"/>
      <c r="E839" s="49"/>
      <c r="F839" s="49" t="b">
        <v>0</v>
      </c>
      <c r="G839" s="49"/>
      <c r="H839" s="47"/>
      <c r="I839" s="47"/>
      <c r="J839" s="49"/>
      <c r="K839" s="49"/>
      <c r="L839" s="49"/>
      <c r="M839" s="49"/>
      <c r="N839" s="49"/>
      <c r="O839" s="49" t="b">
        <v>0</v>
      </c>
      <c r="P839" s="49"/>
      <c r="Q839" s="49"/>
      <c r="R839" s="49"/>
      <c r="S839" s="49"/>
      <c r="T839" s="49"/>
      <c r="U839" s="58"/>
      <c r="V839" s="49"/>
      <c r="W839" s="58"/>
      <c r="X839" s="49"/>
      <c r="Y839" s="47"/>
      <c r="Z839" s="49"/>
      <c r="AA839" s="49"/>
      <c r="AB839" s="49"/>
      <c r="AC839" s="49"/>
      <c r="AD839" s="49"/>
      <c r="AE839" s="49"/>
      <c r="AF839" s="49"/>
      <c r="AG839" s="49"/>
      <c r="AH839" s="49"/>
      <c r="AI839" s="49"/>
      <c r="AJ839" s="49"/>
      <c r="AK839" s="49"/>
      <c r="AL839" s="49"/>
      <c r="AM839" s="49"/>
      <c r="AN839" s="49"/>
      <c r="AO839" s="49"/>
    </row>
    <row r="840" spans="1:41" ht="13">
      <c r="A840" s="49"/>
      <c r="B840" s="49"/>
      <c r="C840" s="47"/>
      <c r="D840" s="49"/>
      <c r="E840" s="49"/>
      <c r="F840" s="49" t="b">
        <v>0</v>
      </c>
      <c r="G840" s="49"/>
      <c r="H840" s="47"/>
      <c r="I840" s="47"/>
      <c r="J840" s="49"/>
      <c r="K840" s="49"/>
      <c r="L840" s="49"/>
      <c r="M840" s="49"/>
      <c r="N840" s="49"/>
      <c r="O840" s="49" t="b">
        <v>0</v>
      </c>
      <c r="P840" s="49"/>
      <c r="Q840" s="49"/>
      <c r="R840" s="49"/>
      <c r="S840" s="49"/>
      <c r="T840" s="49"/>
      <c r="U840" s="58"/>
      <c r="V840" s="49"/>
      <c r="W840" s="58"/>
      <c r="X840" s="49"/>
      <c r="Y840" s="47"/>
      <c r="Z840" s="49"/>
      <c r="AA840" s="49"/>
      <c r="AB840" s="49"/>
      <c r="AC840" s="49"/>
      <c r="AD840" s="49"/>
      <c r="AE840" s="49"/>
      <c r="AF840" s="49"/>
      <c r="AG840" s="49"/>
      <c r="AH840" s="49"/>
      <c r="AI840" s="49"/>
      <c r="AJ840" s="49"/>
      <c r="AK840" s="49"/>
      <c r="AL840" s="49"/>
      <c r="AM840" s="49"/>
      <c r="AN840" s="49"/>
      <c r="AO840" s="49"/>
    </row>
    <row r="841" spans="1:41" ht="13">
      <c r="A841" s="49"/>
      <c r="B841" s="49"/>
      <c r="C841" s="47"/>
      <c r="D841" s="49"/>
      <c r="E841" s="49"/>
      <c r="F841" s="49" t="b">
        <v>0</v>
      </c>
      <c r="G841" s="49"/>
      <c r="H841" s="47"/>
      <c r="I841" s="47"/>
      <c r="J841" s="49"/>
      <c r="K841" s="49"/>
      <c r="L841" s="49"/>
      <c r="M841" s="49"/>
      <c r="N841" s="49"/>
      <c r="O841" s="49" t="b">
        <v>0</v>
      </c>
      <c r="P841" s="49"/>
      <c r="Q841" s="49"/>
      <c r="R841" s="49"/>
      <c r="S841" s="49"/>
      <c r="T841" s="49"/>
      <c r="U841" s="58"/>
      <c r="V841" s="49"/>
      <c r="W841" s="58"/>
      <c r="X841" s="49"/>
      <c r="Y841" s="47"/>
      <c r="Z841" s="49"/>
      <c r="AA841" s="49"/>
      <c r="AB841" s="49"/>
      <c r="AC841" s="49"/>
      <c r="AD841" s="49"/>
      <c r="AE841" s="49"/>
      <c r="AF841" s="49"/>
      <c r="AG841" s="49"/>
      <c r="AH841" s="49"/>
      <c r="AI841" s="49"/>
      <c r="AJ841" s="49"/>
      <c r="AK841" s="49"/>
      <c r="AL841" s="49"/>
      <c r="AM841" s="49"/>
      <c r="AN841" s="49"/>
      <c r="AO841" s="49"/>
    </row>
    <row r="842" spans="1:41" ht="13">
      <c r="A842" s="49"/>
      <c r="B842" s="49"/>
      <c r="C842" s="47"/>
      <c r="D842" s="49"/>
      <c r="E842" s="49"/>
      <c r="F842" s="49" t="b">
        <v>0</v>
      </c>
      <c r="G842" s="49"/>
      <c r="H842" s="47"/>
      <c r="I842" s="47"/>
      <c r="J842" s="49"/>
      <c r="K842" s="49"/>
      <c r="L842" s="49"/>
      <c r="M842" s="49"/>
      <c r="N842" s="49"/>
      <c r="O842" s="49" t="b">
        <v>0</v>
      </c>
      <c r="P842" s="49"/>
      <c r="Q842" s="49"/>
      <c r="R842" s="49"/>
      <c r="S842" s="49"/>
      <c r="T842" s="49"/>
      <c r="U842" s="58"/>
      <c r="V842" s="49"/>
      <c r="W842" s="58"/>
      <c r="X842" s="49"/>
      <c r="Y842" s="47"/>
      <c r="Z842" s="49"/>
      <c r="AA842" s="49"/>
      <c r="AB842" s="49"/>
      <c r="AC842" s="49"/>
      <c r="AD842" s="49"/>
      <c r="AE842" s="49"/>
      <c r="AF842" s="49"/>
      <c r="AG842" s="49"/>
      <c r="AH842" s="49"/>
      <c r="AI842" s="49"/>
      <c r="AJ842" s="49"/>
      <c r="AK842" s="49"/>
      <c r="AL842" s="49"/>
      <c r="AM842" s="49"/>
      <c r="AN842" s="49"/>
      <c r="AO842" s="49"/>
    </row>
    <row r="843" spans="1:41" ht="13">
      <c r="A843" s="49"/>
      <c r="B843" s="49"/>
      <c r="C843" s="47"/>
      <c r="D843" s="49"/>
      <c r="E843" s="49"/>
      <c r="F843" s="49" t="b">
        <v>0</v>
      </c>
      <c r="G843" s="49"/>
      <c r="H843" s="47"/>
      <c r="I843" s="47"/>
      <c r="J843" s="49"/>
      <c r="K843" s="49"/>
      <c r="L843" s="49"/>
      <c r="M843" s="49"/>
      <c r="N843" s="49"/>
      <c r="O843" s="49" t="b">
        <v>0</v>
      </c>
      <c r="P843" s="49"/>
      <c r="Q843" s="49"/>
      <c r="R843" s="49"/>
      <c r="S843" s="49"/>
      <c r="T843" s="49"/>
      <c r="U843" s="58"/>
      <c r="V843" s="49"/>
      <c r="W843" s="58"/>
      <c r="X843" s="49"/>
      <c r="Y843" s="47"/>
      <c r="Z843" s="49"/>
      <c r="AA843" s="49"/>
      <c r="AB843" s="49"/>
      <c r="AC843" s="49"/>
      <c r="AD843" s="49"/>
      <c r="AE843" s="49"/>
      <c r="AF843" s="49"/>
      <c r="AG843" s="49"/>
      <c r="AH843" s="49"/>
      <c r="AI843" s="49"/>
      <c r="AJ843" s="49"/>
      <c r="AK843" s="49"/>
      <c r="AL843" s="49"/>
      <c r="AM843" s="49"/>
      <c r="AN843" s="49"/>
      <c r="AO843" s="49"/>
    </row>
    <row r="844" spans="1:41" ht="13">
      <c r="A844" s="49"/>
      <c r="B844" s="49"/>
      <c r="C844" s="47"/>
      <c r="D844" s="49"/>
      <c r="E844" s="49"/>
      <c r="F844" s="49" t="b">
        <v>0</v>
      </c>
      <c r="G844" s="49"/>
      <c r="H844" s="47"/>
      <c r="I844" s="47"/>
      <c r="J844" s="49"/>
      <c r="K844" s="49"/>
      <c r="L844" s="49"/>
      <c r="M844" s="49"/>
      <c r="N844" s="49"/>
      <c r="O844" s="49" t="b">
        <v>0</v>
      </c>
      <c r="P844" s="49"/>
      <c r="Q844" s="49"/>
      <c r="R844" s="49"/>
      <c r="S844" s="49"/>
      <c r="T844" s="49"/>
      <c r="U844" s="58"/>
      <c r="V844" s="49"/>
      <c r="W844" s="58"/>
      <c r="X844" s="49"/>
      <c r="Y844" s="47"/>
      <c r="Z844" s="49"/>
      <c r="AA844" s="49"/>
      <c r="AB844" s="49"/>
      <c r="AC844" s="49"/>
      <c r="AD844" s="49"/>
      <c r="AE844" s="49"/>
      <c r="AF844" s="49"/>
      <c r="AG844" s="49"/>
      <c r="AH844" s="49"/>
      <c r="AI844" s="49"/>
      <c r="AJ844" s="49"/>
      <c r="AK844" s="49"/>
      <c r="AL844" s="49"/>
      <c r="AM844" s="49"/>
      <c r="AN844" s="49"/>
      <c r="AO844" s="49"/>
    </row>
    <row r="845" spans="1:41" ht="13">
      <c r="A845" s="49"/>
      <c r="B845" s="49"/>
      <c r="C845" s="47"/>
      <c r="D845" s="49"/>
      <c r="E845" s="49"/>
      <c r="F845" s="49" t="b">
        <v>0</v>
      </c>
      <c r="G845" s="49"/>
      <c r="H845" s="47"/>
      <c r="I845" s="47"/>
      <c r="J845" s="49"/>
      <c r="K845" s="49"/>
      <c r="L845" s="49"/>
      <c r="M845" s="49"/>
      <c r="N845" s="49"/>
      <c r="O845" s="49" t="b">
        <v>0</v>
      </c>
      <c r="P845" s="49"/>
      <c r="Q845" s="49"/>
      <c r="R845" s="49"/>
      <c r="S845" s="49"/>
      <c r="T845" s="49"/>
      <c r="U845" s="58"/>
      <c r="V845" s="49"/>
      <c r="W845" s="58"/>
      <c r="X845" s="49"/>
      <c r="Y845" s="47"/>
      <c r="Z845" s="49"/>
      <c r="AA845" s="49"/>
      <c r="AB845" s="49"/>
      <c r="AC845" s="49"/>
      <c r="AD845" s="49"/>
      <c r="AE845" s="49"/>
      <c r="AF845" s="49"/>
      <c r="AG845" s="49"/>
      <c r="AH845" s="49"/>
      <c r="AI845" s="49"/>
      <c r="AJ845" s="49"/>
      <c r="AK845" s="49"/>
      <c r="AL845" s="49"/>
      <c r="AM845" s="49"/>
      <c r="AN845" s="49"/>
      <c r="AO845" s="49"/>
    </row>
    <row r="846" spans="1:41" ht="13">
      <c r="A846" s="49"/>
      <c r="B846" s="49"/>
      <c r="C846" s="47"/>
      <c r="D846" s="49"/>
      <c r="E846" s="49"/>
      <c r="F846" s="49" t="b">
        <v>0</v>
      </c>
      <c r="G846" s="49"/>
      <c r="H846" s="47"/>
      <c r="I846" s="47"/>
      <c r="J846" s="49"/>
      <c r="K846" s="49"/>
      <c r="L846" s="49"/>
      <c r="M846" s="49"/>
      <c r="N846" s="49"/>
      <c r="O846" s="49" t="b">
        <v>0</v>
      </c>
      <c r="P846" s="49"/>
      <c r="Q846" s="49"/>
      <c r="R846" s="49"/>
      <c r="S846" s="49"/>
      <c r="T846" s="49"/>
      <c r="U846" s="58"/>
      <c r="V846" s="49"/>
      <c r="W846" s="58"/>
      <c r="X846" s="49"/>
      <c r="Y846" s="47"/>
      <c r="Z846" s="49"/>
      <c r="AA846" s="49"/>
      <c r="AB846" s="49"/>
      <c r="AC846" s="49"/>
      <c r="AD846" s="49"/>
      <c r="AE846" s="49"/>
      <c r="AF846" s="49"/>
      <c r="AG846" s="49"/>
      <c r="AH846" s="49"/>
      <c r="AI846" s="49"/>
      <c r="AJ846" s="49"/>
      <c r="AK846" s="49"/>
      <c r="AL846" s="49"/>
      <c r="AM846" s="49"/>
      <c r="AN846" s="49"/>
      <c r="AO846" s="49"/>
    </row>
    <row r="847" spans="1:41" ht="13">
      <c r="A847" s="49"/>
      <c r="B847" s="49"/>
      <c r="C847" s="47"/>
      <c r="D847" s="49"/>
      <c r="E847" s="49"/>
      <c r="F847" s="49" t="b">
        <v>0</v>
      </c>
      <c r="G847" s="49"/>
      <c r="H847" s="47"/>
      <c r="I847" s="47"/>
      <c r="J847" s="49"/>
      <c r="K847" s="49"/>
      <c r="L847" s="49"/>
      <c r="M847" s="49"/>
      <c r="N847" s="49"/>
      <c r="O847" s="49" t="b">
        <v>0</v>
      </c>
      <c r="P847" s="49"/>
      <c r="Q847" s="49"/>
      <c r="R847" s="49"/>
      <c r="S847" s="49"/>
      <c r="T847" s="49"/>
      <c r="U847" s="58"/>
      <c r="V847" s="49"/>
      <c r="W847" s="58"/>
      <c r="X847" s="49"/>
      <c r="Y847" s="47"/>
      <c r="Z847" s="49"/>
      <c r="AA847" s="49"/>
      <c r="AB847" s="49"/>
      <c r="AC847" s="49"/>
      <c r="AD847" s="49"/>
      <c r="AE847" s="49"/>
      <c r="AF847" s="49"/>
      <c r="AG847" s="49"/>
      <c r="AH847" s="49"/>
      <c r="AI847" s="49"/>
      <c r="AJ847" s="49"/>
      <c r="AK847" s="49"/>
      <c r="AL847" s="49"/>
      <c r="AM847" s="49"/>
      <c r="AN847" s="49"/>
      <c r="AO847" s="49"/>
    </row>
    <row r="848" spans="1:41" ht="13">
      <c r="A848" s="49"/>
      <c r="B848" s="49"/>
      <c r="C848" s="47"/>
      <c r="D848" s="49"/>
      <c r="E848" s="49"/>
      <c r="F848" s="49" t="b">
        <v>0</v>
      </c>
      <c r="G848" s="49"/>
      <c r="H848" s="47"/>
      <c r="I848" s="47"/>
      <c r="J848" s="49"/>
      <c r="K848" s="49"/>
      <c r="L848" s="49"/>
      <c r="M848" s="49"/>
      <c r="N848" s="49"/>
      <c r="O848" s="49" t="b">
        <v>0</v>
      </c>
      <c r="P848" s="49"/>
      <c r="Q848" s="49"/>
      <c r="R848" s="49"/>
      <c r="S848" s="49"/>
      <c r="T848" s="49"/>
      <c r="U848" s="58"/>
      <c r="V848" s="49"/>
      <c r="W848" s="58"/>
      <c r="X848" s="49"/>
      <c r="Y848" s="47"/>
      <c r="Z848" s="49"/>
      <c r="AA848" s="49"/>
      <c r="AB848" s="49"/>
      <c r="AC848" s="49"/>
      <c r="AD848" s="49"/>
      <c r="AE848" s="49"/>
      <c r="AF848" s="49"/>
      <c r="AG848" s="49"/>
      <c r="AH848" s="49"/>
      <c r="AI848" s="49"/>
      <c r="AJ848" s="49"/>
      <c r="AK848" s="49"/>
      <c r="AL848" s="49"/>
      <c r="AM848" s="49"/>
      <c r="AN848" s="49"/>
      <c r="AO848" s="49"/>
    </row>
    <row r="849" spans="1:41" ht="13">
      <c r="A849" s="49"/>
      <c r="B849" s="49"/>
      <c r="C849" s="47"/>
      <c r="D849" s="49"/>
      <c r="E849" s="49"/>
      <c r="F849" s="49" t="b">
        <v>0</v>
      </c>
      <c r="G849" s="49"/>
      <c r="H849" s="47"/>
      <c r="I849" s="47"/>
      <c r="J849" s="49"/>
      <c r="K849" s="49"/>
      <c r="L849" s="49"/>
      <c r="M849" s="49"/>
      <c r="N849" s="49"/>
      <c r="O849" s="49" t="b">
        <v>0</v>
      </c>
      <c r="P849" s="49"/>
      <c r="Q849" s="49"/>
      <c r="R849" s="49"/>
      <c r="S849" s="49"/>
      <c r="T849" s="49"/>
      <c r="U849" s="58"/>
      <c r="V849" s="49"/>
      <c r="W849" s="58"/>
      <c r="X849" s="49"/>
      <c r="Y849" s="47"/>
      <c r="Z849" s="49"/>
      <c r="AA849" s="49"/>
      <c r="AB849" s="49"/>
      <c r="AC849" s="49"/>
      <c r="AD849" s="49"/>
      <c r="AE849" s="49"/>
      <c r="AF849" s="49"/>
      <c r="AG849" s="49"/>
      <c r="AH849" s="49"/>
      <c r="AI849" s="49"/>
      <c r="AJ849" s="49"/>
      <c r="AK849" s="49"/>
      <c r="AL849" s="49"/>
      <c r="AM849" s="49"/>
      <c r="AN849" s="49"/>
      <c r="AO849" s="49"/>
    </row>
    <row r="850" spans="1:41" ht="13">
      <c r="A850" s="49"/>
      <c r="B850" s="49"/>
      <c r="C850" s="47"/>
      <c r="D850" s="49"/>
      <c r="E850" s="49"/>
      <c r="F850" s="49" t="b">
        <v>0</v>
      </c>
      <c r="G850" s="49"/>
      <c r="H850" s="47"/>
      <c r="I850" s="47"/>
      <c r="J850" s="49"/>
      <c r="K850" s="49"/>
      <c r="L850" s="49"/>
      <c r="M850" s="49"/>
      <c r="N850" s="49"/>
      <c r="O850" s="49" t="b">
        <v>0</v>
      </c>
      <c r="P850" s="49"/>
      <c r="Q850" s="49"/>
      <c r="R850" s="49"/>
      <c r="S850" s="49"/>
      <c r="T850" s="49"/>
      <c r="U850" s="58"/>
      <c r="V850" s="49"/>
      <c r="W850" s="58"/>
      <c r="X850" s="49"/>
      <c r="Y850" s="47"/>
      <c r="Z850" s="49"/>
      <c r="AA850" s="49"/>
      <c r="AB850" s="49"/>
      <c r="AC850" s="49"/>
      <c r="AD850" s="49"/>
      <c r="AE850" s="49"/>
      <c r="AF850" s="49"/>
      <c r="AG850" s="49"/>
      <c r="AH850" s="49"/>
      <c r="AI850" s="49"/>
      <c r="AJ850" s="49"/>
      <c r="AK850" s="49"/>
      <c r="AL850" s="49"/>
      <c r="AM850" s="49"/>
      <c r="AN850" s="49"/>
      <c r="AO850" s="49"/>
    </row>
    <row r="851" spans="1:41" ht="13">
      <c r="A851" s="49"/>
      <c r="B851" s="49"/>
      <c r="C851" s="47"/>
      <c r="D851" s="49"/>
      <c r="E851" s="49"/>
      <c r="F851" s="49" t="b">
        <v>0</v>
      </c>
      <c r="G851" s="49"/>
      <c r="H851" s="47"/>
      <c r="I851" s="47"/>
      <c r="J851" s="49"/>
      <c r="K851" s="49"/>
      <c r="L851" s="49"/>
      <c r="M851" s="49"/>
      <c r="N851" s="49"/>
      <c r="O851" s="49" t="b">
        <v>0</v>
      </c>
      <c r="P851" s="49"/>
      <c r="Q851" s="49"/>
      <c r="R851" s="49"/>
      <c r="S851" s="49"/>
      <c r="T851" s="49"/>
      <c r="U851" s="58"/>
      <c r="V851" s="49"/>
      <c r="W851" s="58"/>
      <c r="X851" s="49"/>
      <c r="Y851" s="47"/>
      <c r="Z851" s="49"/>
      <c r="AA851" s="49"/>
      <c r="AB851" s="49"/>
      <c r="AC851" s="49"/>
      <c r="AD851" s="49"/>
      <c r="AE851" s="49"/>
      <c r="AF851" s="49"/>
      <c r="AG851" s="49"/>
      <c r="AH851" s="49"/>
      <c r="AI851" s="49"/>
      <c r="AJ851" s="49"/>
      <c r="AK851" s="49"/>
      <c r="AL851" s="49"/>
      <c r="AM851" s="49"/>
      <c r="AN851" s="49"/>
      <c r="AO851" s="49"/>
    </row>
    <row r="852" spans="1:41" ht="13">
      <c r="A852" s="49"/>
      <c r="B852" s="49"/>
      <c r="C852" s="47"/>
      <c r="D852" s="49"/>
      <c r="E852" s="49"/>
      <c r="F852" s="49" t="b">
        <v>0</v>
      </c>
      <c r="G852" s="49"/>
      <c r="H852" s="47"/>
      <c r="I852" s="47"/>
      <c r="J852" s="49"/>
      <c r="K852" s="49"/>
      <c r="L852" s="49"/>
      <c r="M852" s="49"/>
      <c r="N852" s="49"/>
      <c r="O852" s="49" t="b">
        <v>0</v>
      </c>
      <c r="P852" s="49"/>
      <c r="Q852" s="49"/>
      <c r="R852" s="49"/>
      <c r="S852" s="49"/>
      <c r="T852" s="49"/>
      <c r="U852" s="58"/>
      <c r="V852" s="49"/>
      <c r="W852" s="58"/>
      <c r="X852" s="49"/>
      <c r="Y852" s="47"/>
      <c r="Z852" s="49"/>
      <c r="AA852" s="49"/>
      <c r="AB852" s="49"/>
      <c r="AC852" s="49"/>
      <c r="AD852" s="49"/>
      <c r="AE852" s="49"/>
      <c r="AF852" s="49"/>
      <c r="AG852" s="49"/>
      <c r="AH852" s="49"/>
      <c r="AI852" s="49"/>
      <c r="AJ852" s="49"/>
      <c r="AK852" s="49"/>
      <c r="AL852" s="49"/>
      <c r="AM852" s="49"/>
      <c r="AN852" s="49"/>
      <c r="AO852" s="49"/>
    </row>
    <row r="853" spans="1:41" ht="13">
      <c r="A853" s="49"/>
      <c r="B853" s="49"/>
      <c r="C853" s="47"/>
      <c r="D853" s="49"/>
      <c r="E853" s="49"/>
      <c r="F853" s="49" t="b">
        <v>0</v>
      </c>
      <c r="G853" s="49"/>
      <c r="H853" s="47"/>
      <c r="I853" s="47"/>
      <c r="J853" s="49"/>
      <c r="K853" s="49"/>
      <c r="L853" s="49"/>
      <c r="M853" s="49"/>
      <c r="N853" s="49"/>
      <c r="O853" s="49" t="b">
        <v>0</v>
      </c>
      <c r="P853" s="49"/>
      <c r="Q853" s="49"/>
      <c r="R853" s="49"/>
      <c r="S853" s="49"/>
      <c r="T853" s="49"/>
      <c r="U853" s="58"/>
      <c r="V853" s="49"/>
      <c r="W853" s="58"/>
      <c r="X853" s="49"/>
      <c r="Y853" s="47"/>
      <c r="Z853" s="49"/>
      <c r="AA853" s="49"/>
      <c r="AB853" s="49"/>
      <c r="AC853" s="49"/>
      <c r="AD853" s="49"/>
      <c r="AE853" s="49"/>
      <c r="AF853" s="49"/>
      <c r="AG853" s="49"/>
      <c r="AH853" s="49"/>
      <c r="AI853" s="49"/>
      <c r="AJ853" s="49"/>
      <c r="AK853" s="49"/>
      <c r="AL853" s="49"/>
      <c r="AM853" s="49"/>
      <c r="AN853" s="49"/>
      <c r="AO853" s="49"/>
    </row>
    <row r="854" spans="1:41" ht="13">
      <c r="A854" s="49"/>
      <c r="B854" s="49"/>
      <c r="C854" s="47"/>
      <c r="D854" s="49"/>
      <c r="E854" s="49"/>
      <c r="F854" s="49" t="b">
        <v>0</v>
      </c>
      <c r="G854" s="49"/>
      <c r="H854" s="47"/>
      <c r="I854" s="47"/>
      <c r="J854" s="49"/>
      <c r="K854" s="49"/>
      <c r="L854" s="49"/>
      <c r="M854" s="49"/>
      <c r="N854" s="49"/>
      <c r="O854" s="49" t="b">
        <v>0</v>
      </c>
      <c r="P854" s="49"/>
      <c r="Q854" s="49"/>
      <c r="R854" s="49"/>
      <c r="S854" s="49"/>
      <c r="T854" s="49"/>
      <c r="U854" s="58"/>
      <c r="V854" s="49"/>
      <c r="W854" s="58"/>
      <c r="X854" s="49"/>
      <c r="Y854" s="47"/>
      <c r="Z854" s="49"/>
      <c r="AA854" s="49"/>
      <c r="AB854" s="49"/>
      <c r="AC854" s="49"/>
      <c r="AD854" s="49"/>
      <c r="AE854" s="49"/>
      <c r="AF854" s="49"/>
      <c r="AG854" s="49"/>
      <c r="AH854" s="49"/>
      <c r="AI854" s="49"/>
      <c r="AJ854" s="49"/>
      <c r="AK854" s="49"/>
      <c r="AL854" s="49"/>
      <c r="AM854" s="49"/>
      <c r="AN854" s="49"/>
      <c r="AO854" s="49"/>
    </row>
    <row r="855" spans="1:41" ht="13">
      <c r="A855" s="49"/>
      <c r="B855" s="49"/>
      <c r="C855" s="47"/>
      <c r="D855" s="49"/>
      <c r="E855" s="49"/>
      <c r="F855" s="49" t="b">
        <v>0</v>
      </c>
      <c r="G855" s="49"/>
      <c r="H855" s="47"/>
      <c r="I855" s="47"/>
      <c r="J855" s="49"/>
      <c r="K855" s="49"/>
      <c r="L855" s="49"/>
      <c r="M855" s="49"/>
      <c r="N855" s="49"/>
      <c r="O855" s="49" t="b">
        <v>0</v>
      </c>
      <c r="P855" s="49"/>
      <c r="Q855" s="49"/>
      <c r="R855" s="49"/>
      <c r="S855" s="49"/>
      <c r="T855" s="49"/>
      <c r="U855" s="58"/>
      <c r="V855" s="49"/>
      <c r="W855" s="58"/>
      <c r="X855" s="49"/>
      <c r="Y855" s="47"/>
      <c r="Z855" s="49"/>
      <c r="AA855" s="49"/>
      <c r="AB855" s="49"/>
      <c r="AC855" s="49"/>
      <c r="AD855" s="49"/>
      <c r="AE855" s="49"/>
      <c r="AF855" s="49"/>
      <c r="AG855" s="49"/>
      <c r="AH855" s="49"/>
      <c r="AI855" s="49"/>
      <c r="AJ855" s="49"/>
      <c r="AK855" s="49"/>
      <c r="AL855" s="49"/>
      <c r="AM855" s="49"/>
      <c r="AN855" s="49"/>
      <c r="AO855" s="49"/>
    </row>
    <row r="856" spans="1:41" ht="13">
      <c r="A856" s="49"/>
      <c r="B856" s="49"/>
      <c r="C856" s="47"/>
      <c r="D856" s="49"/>
      <c r="E856" s="49"/>
      <c r="F856" s="49" t="b">
        <v>0</v>
      </c>
      <c r="G856" s="49"/>
      <c r="H856" s="47"/>
      <c r="I856" s="47"/>
      <c r="J856" s="49"/>
      <c r="K856" s="49"/>
      <c r="L856" s="49"/>
      <c r="M856" s="49"/>
      <c r="N856" s="49"/>
      <c r="O856" s="49" t="b">
        <v>0</v>
      </c>
      <c r="P856" s="49"/>
      <c r="Q856" s="49"/>
      <c r="R856" s="49"/>
      <c r="S856" s="49"/>
      <c r="T856" s="49"/>
      <c r="U856" s="58"/>
      <c r="V856" s="49"/>
      <c r="W856" s="58"/>
      <c r="X856" s="49"/>
      <c r="Y856" s="47"/>
      <c r="Z856" s="49"/>
      <c r="AA856" s="49"/>
      <c r="AB856" s="49"/>
      <c r="AC856" s="49"/>
      <c r="AD856" s="49"/>
      <c r="AE856" s="49"/>
      <c r="AF856" s="49"/>
      <c r="AG856" s="49"/>
      <c r="AH856" s="49"/>
      <c r="AI856" s="49"/>
      <c r="AJ856" s="49"/>
      <c r="AK856" s="49"/>
      <c r="AL856" s="49"/>
      <c r="AM856" s="49"/>
      <c r="AN856" s="49"/>
      <c r="AO856" s="49"/>
    </row>
    <row r="857" spans="1:41" ht="13">
      <c r="A857" s="49"/>
      <c r="B857" s="49"/>
      <c r="C857" s="47"/>
      <c r="D857" s="49"/>
      <c r="E857" s="49"/>
      <c r="F857" s="49" t="b">
        <v>0</v>
      </c>
      <c r="G857" s="49"/>
      <c r="H857" s="47"/>
      <c r="I857" s="47"/>
      <c r="J857" s="49"/>
      <c r="K857" s="49"/>
      <c r="L857" s="49"/>
      <c r="M857" s="49"/>
      <c r="N857" s="49"/>
      <c r="O857" s="49" t="b">
        <v>0</v>
      </c>
      <c r="P857" s="49"/>
      <c r="Q857" s="49"/>
      <c r="R857" s="49"/>
      <c r="S857" s="49"/>
      <c r="T857" s="49"/>
      <c r="U857" s="58"/>
      <c r="V857" s="49"/>
      <c r="W857" s="58"/>
      <c r="X857" s="49"/>
      <c r="Y857" s="47"/>
      <c r="Z857" s="49"/>
      <c r="AA857" s="49"/>
      <c r="AB857" s="49"/>
      <c r="AC857" s="49"/>
      <c r="AD857" s="49"/>
      <c r="AE857" s="49"/>
      <c r="AF857" s="49"/>
      <c r="AG857" s="49"/>
      <c r="AH857" s="49"/>
      <c r="AI857" s="49"/>
      <c r="AJ857" s="49"/>
      <c r="AK857" s="49"/>
      <c r="AL857" s="49"/>
      <c r="AM857" s="49"/>
      <c r="AN857" s="49"/>
      <c r="AO857" s="49"/>
    </row>
    <row r="858" spans="1:41" ht="13">
      <c r="A858" s="49"/>
      <c r="B858" s="49"/>
      <c r="C858" s="47"/>
      <c r="D858" s="49"/>
      <c r="E858" s="49"/>
      <c r="F858" s="49" t="b">
        <v>0</v>
      </c>
      <c r="G858" s="49"/>
      <c r="H858" s="47"/>
      <c r="I858" s="47"/>
      <c r="J858" s="49"/>
      <c r="K858" s="49"/>
      <c r="L858" s="49"/>
      <c r="M858" s="49"/>
      <c r="N858" s="49"/>
      <c r="O858" s="49" t="b">
        <v>0</v>
      </c>
      <c r="P858" s="49"/>
      <c r="Q858" s="49"/>
      <c r="R858" s="49"/>
      <c r="S858" s="49"/>
      <c r="T858" s="49"/>
      <c r="U858" s="58"/>
      <c r="V858" s="49"/>
      <c r="W858" s="58"/>
      <c r="X858" s="49"/>
      <c r="Y858" s="47"/>
      <c r="Z858" s="49"/>
      <c r="AA858" s="49"/>
      <c r="AB858" s="49"/>
      <c r="AC858" s="49"/>
      <c r="AD858" s="49"/>
      <c r="AE858" s="49"/>
      <c r="AF858" s="49"/>
      <c r="AG858" s="49"/>
      <c r="AH858" s="49"/>
      <c r="AI858" s="49"/>
      <c r="AJ858" s="49"/>
      <c r="AK858" s="49"/>
      <c r="AL858" s="49"/>
      <c r="AM858" s="49"/>
      <c r="AN858" s="49"/>
      <c r="AO858" s="49"/>
    </row>
    <row r="859" spans="1:41" ht="13">
      <c r="A859" s="49"/>
      <c r="B859" s="49"/>
      <c r="C859" s="47"/>
      <c r="D859" s="49"/>
      <c r="E859" s="49"/>
      <c r="F859" s="49" t="b">
        <v>0</v>
      </c>
      <c r="G859" s="49"/>
      <c r="H859" s="47"/>
      <c r="I859" s="47"/>
      <c r="J859" s="49"/>
      <c r="K859" s="49"/>
      <c r="L859" s="49"/>
      <c r="M859" s="49"/>
      <c r="N859" s="49"/>
      <c r="O859" s="49" t="b">
        <v>0</v>
      </c>
      <c r="P859" s="49"/>
      <c r="Q859" s="49"/>
      <c r="R859" s="49"/>
      <c r="S859" s="49"/>
      <c r="T859" s="49"/>
      <c r="U859" s="58"/>
      <c r="V859" s="49"/>
      <c r="W859" s="58"/>
      <c r="X859" s="49"/>
      <c r="Y859" s="47"/>
      <c r="Z859" s="49"/>
      <c r="AA859" s="49"/>
      <c r="AB859" s="49"/>
      <c r="AC859" s="49"/>
      <c r="AD859" s="49"/>
      <c r="AE859" s="49"/>
      <c r="AF859" s="49"/>
      <c r="AG859" s="49"/>
      <c r="AH859" s="49"/>
      <c r="AI859" s="49"/>
      <c r="AJ859" s="49"/>
      <c r="AK859" s="49"/>
      <c r="AL859" s="49"/>
      <c r="AM859" s="49"/>
      <c r="AN859" s="49"/>
      <c r="AO859" s="49"/>
    </row>
    <row r="860" spans="1:41" ht="13">
      <c r="A860" s="49"/>
      <c r="B860" s="49"/>
      <c r="C860" s="47"/>
      <c r="D860" s="49"/>
      <c r="E860" s="49"/>
      <c r="F860" s="49" t="b">
        <v>0</v>
      </c>
      <c r="G860" s="49"/>
      <c r="H860" s="47"/>
      <c r="I860" s="47"/>
      <c r="J860" s="49"/>
      <c r="K860" s="49"/>
      <c r="L860" s="49"/>
      <c r="M860" s="49"/>
      <c r="N860" s="49"/>
      <c r="O860" s="49" t="b">
        <v>0</v>
      </c>
      <c r="P860" s="49"/>
      <c r="Q860" s="49"/>
      <c r="R860" s="49"/>
      <c r="S860" s="49"/>
      <c r="T860" s="49"/>
      <c r="U860" s="58"/>
      <c r="V860" s="49"/>
      <c r="W860" s="58"/>
      <c r="X860" s="49"/>
      <c r="Y860" s="47"/>
      <c r="Z860" s="49"/>
      <c r="AA860" s="49"/>
      <c r="AB860" s="49"/>
      <c r="AC860" s="49"/>
      <c r="AD860" s="49"/>
      <c r="AE860" s="49"/>
      <c r="AF860" s="49"/>
      <c r="AG860" s="49"/>
      <c r="AH860" s="49"/>
      <c r="AI860" s="49"/>
      <c r="AJ860" s="49"/>
      <c r="AK860" s="49"/>
      <c r="AL860" s="49"/>
      <c r="AM860" s="49"/>
      <c r="AN860" s="49"/>
      <c r="AO860" s="49"/>
    </row>
    <row r="861" spans="1:41" ht="13">
      <c r="A861" s="49"/>
      <c r="B861" s="49"/>
      <c r="C861" s="47"/>
      <c r="D861" s="49"/>
      <c r="E861" s="49"/>
      <c r="F861" s="49" t="b">
        <v>0</v>
      </c>
      <c r="G861" s="49"/>
      <c r="H861" s="47"/>
      <c r="I861" s="47"/>
      <c r="J861" s="49"/>
      <c r="K861" s="49"/>
      <c r="L861" s="49"/>
      <c r="M861" s="49"/>
      <c r="N861" s="49"/>
      <c r="O861" s="49" t="b">
        <v>0</v>
      </c>
      <c r="P861" s="49"/>
      <c r="Q861" s="49"/>
      <c r="R861" s="49"/>
      <c r="S861" s="49"/>
      <c r="T861" s="49"/>
      <c r="U861" s="58"/>
      <c r="V861" s="49"/>
      <c r="W861" s="58"/>
      <c r="X861" s="49"/>
      <c r="Y861" s="47"/>
      <c r="Z861" s="49"/>
      <c r="AA861" s="49"/>
      <c r="AB861" s="49"/>
      <c r="AC861" s="49"/>
      <c r="AD861" s="49"/>
      <c r="AE861" s="49"/>
      <c r="AF861" s="49"/>
      <c r="AG861" s="49"/>
      <c r="AH861" s="49"/>
      <c r="AI861" s="49"/>
      <c r="AJ861" s="49"/>
      <c r="AK861" s="49"/>
      <c r="AL861" s="49"/>
      <c r="AM861" s="49"/>
      <c r="AN861" s="49"/>
      <c r="AO861" s="49"/>
    </row>
    <row r="862" spans="1:41" ht="13">
      <c r="A862" s="49"/>
      <c r="B862" s="49"/>
      <c r="C862" s="47"/>
      <c r="D862" s="49"/>
      <c r="E862" s="49"/>
      <c r="F862" s="49" t="b">
        <v>0</v>
      </c>
      <c r="G862" s="49"/>
      <c r="H862" s="47"/>
      <c r="I862" s="47"/>
      <c r="J862" s="49"/>
      <c r="K862" s="49"/>
      <c r="L862" s="49"/>
      <c r="M862" s="49"/>
      <c r="N862" s="49"/>
      <c r="O862" s="49" t="b">
        <v>0</v>
      </c>
      <c r="P862" s="49"/>
      <c r="Q862" s="49"/>
      <c r="R862" s="49"/>
      <c r="S862" s="49"/>
      <c r="T862" s="49"/>
      <c r="U862" s="58"/>
      <c r="V862" s="49"/>
      <c r="W862" s="58"/>
      <c r="X862" s="49"/>
      <c r="Y862" s="47"/>
      <c r="Z862" s="49"/>
      <c r="AA862" s="49"/>
      <c r="AB862" s="49"/>
      <c r="AC862" s="49"/>
      <c r="AD862" s="49"/>
      <c r="AE862" s="49"/>
      <c r="AF862" s="49"/>
      <c r="AG862" s="49"/>
      <c r="AH862" s="49"/>
      <c r="AI862" s="49"/>
      <c r="AJ862" s="49"/>
      <c r="AK862" s="49"/>
      <c r="AL862" s="49"/>
      <c r="AM862" s="49"/>
      <c r="AN862" s="49"/>
      <c r="AO862" s="49"/>
    </row>
    <row r="863" spans="1:41" ht="13">
      <c r="A863" s="49"/>
      <c r="B863" s="49"/>
      <c r="C863" s="47"/>
      <c r="D863" s="49"/>
      <c r="E863" s="49"/>
      <c r="F863" s="49" t="b">
        <v>0</v>
      </c>
      <c r="G863" s="49"/>
      <c r="H863" s="47"/>
      <c r="I863" s="47"/>
      <c r="J863" s="49"/>
      <c r="K863" s="49"/>
      <c r="L863" s="49"/>
      <c r="M863" s="49"/>
      <c r="N863" s="49"/>
      <c r="O863" s="49" t="b">
        <v>0</v>
      </c>
      <c r="P863" s="49"/>
      <c r="Q863" s="49"/>
      <c r="R863" s="49"/>
      <c r="S863" s="49"/>
      <c r="T863" s="49"/>
      <c r="U863" s="58"/>
      <c r="V863" s="49"/>
      <c r="W863" s="58"/>
      <c r="X863" s="49"/>
      <c r="Y863" s="47"/>
      <c r="Z863" s="49"/>
      <c r="AA863" s="49"/>
      <c r="AB863" s="49"/>
      <c r="AC863" s="49"/>
      <c r="AD863" s="49"/>
      <c r="AE863" s="49"/>
      <c r="AF863" s="49"/>
      <c r="AG863" s="49"/>
      <c r="AH863" s="49"/>
      <c r="AI863" s="49"/>
      <c r="AJ863" s="49"/>
      <c r="AK863" s="49"/>
      <c r="AL863" s="49"/>
      <c r="AM863" s="49"/>
      <c r="AN863" s="49"/>
      <c r="AO863" s="49"/>
    </row>
    <row r="864" spans="1:41" ht="13">
      <c r="A864" s="49"/>
      <c r="B864" s="49"/>
      <c r="C864" s="47"/>
      <c r="D864" s="49"/>
      <c r="E864" s="49"/>
      <c r="F864" s="49" t="b">
        <v>0</v>
      </c>
      <c r="G864" s="49"/>
      <c r="H864" s="47"/>
      <c r="I864" s="47"/>
      <c r="J864" s="49"/>
      <c r="K864" s="49"/>
      <c r="L864" s="49"/>
      <c r="M864" s="49"/>
      <c r="N864" s="49"/>
      <c r="O864" s="49" t="b">
        <v>0</v>
      </c>
      <c r="P864" s="49"/>
      <c r="Q864" s="49"/>
      <c r="R864" s="49"/>
      <c r="S864" s="49"/>
      <c r="T864" s="49"/>
      <c r="U864" s="58"/>
      <c r="V864" s="49"/>
      <c r="W864" s="58"/>
      <c r="X864" s="49"/>
      <c r="Y864" s="47"/>
      <c r="Z864" s="49"/>
      <c r="AA864" s="49"/>
      <c r="AB864" s="49"/>
      <c r="AC864" s="49"/>
      <c r="AD864" s="49"/>
      <c r="AE864" s="49"/>
      <c r="AF864" s="49"/>
      <c r="AG864" s="49"/>
      <c r="AH864" s="49"/>
      <c r="AI864" s="49"/>
      <c r="AJ864" s="49"/>
      <c r="AK864" s="49"/>
      <c r="AL864" s="49"/>
      <c r="AM864" s="49"/>
      <c r="AN864" s="49"/>
      <c r="AO864" s="49"/>
    </row>
    <row r="865" spans="1:41" ht="13">
      <c r="A865" s="49"/>
      <c r="B865" s="49"/>
      <c r="C865" s="47"/>
      <c r="D865" s="49"/>
      <c r="E865" s="49"/>
      <c r="F865" s="49" t="b">
        <v>0</v>
      </c>
      <c r="G865" s="49"/>
      <c r="H865" s="47"/>
      <c r="I865" s="47"/>
      <c r="J865" s="49"/>
      <c r="K865" s="49"/>
      <c r="L865" s="49"/>
      <c r="M865" s="49"/>
      <c r="N865" s="49"/>
      <c r="O865" s="49" t="b">
        <v>0</v>
      </c>
      <c r="P865" s="49"/>
      <c r="Q865" s="49"/>
      <c r="R865" s="49"/>
      <c r="S865" s="49"/>
      <c r="T865" s="49"/>
      <c r="U865" s="58"/>
      <c r="V865" s="49"/>
      <c r="W865" s="58"/>
      <c r="X865" s="49"/>
      <c r="Y865" s="47"/>
      <c r="Z865" s="49"/>
      <c r="AA865" s="49"/>
      <c r="AB865" s="49"/>
      <c r="AC865" s="49"/>
      <c r="AD865" s="49"/>
      <c r="AE865" s="49"/>
      <c r="AF865" s="49"/>
      <c r="AG865" s="49"/>
      <c r="AH865" s="49"/>
      <c r="AI865" s="49"/>
      <c r="AJ865" s="49"/>
      <c r="AK865" s="49"/>
      <c r="AL865" s="49"/>
      <c r="AM865" s="49"/>
      <c r="AN865" s="49"/>
      <c r="AO865" s="49"/>
    </row>
    <row r="866" spans="1:41" ht="13">
      <c r="A866" s="49"/>
      <c r="B866" s="49"/>
      <c r="C866" s="47"/>
      <c r="D866" s="49"/>
      <c r="E866" s="49"/>
      <c r="F866" s="49" t="b">
        <v>0</v>
      </c>
      <c r="G866" s="49"/>
      <c r="H866" s="47"/>
      <c r="I866" s="47"/>
      <c r="J866" s="49"/>
      <c r="K866" s="49"/>
      <c r="L866" s="49"/>
      <c r="M866" s="49"/>
      <c r="N866" s="49"/>
      <c r="O866" s="49" t="b">
        <v>0</v>
      </c>
      <c r="P866" s="49"/>
      <c r="Q866" s="49"/>
      <c r="R866" s="49"/>
      <c r="S866" s="49"/>
      <c r="T866" s="49"/>
      <c r="U866" s="58"/>
      <c r="V866" s="49"/>
      <c r="W866" s="58"/>
      <c r="X866" s="49"/>
      <c r="Y866" s="47"/>
      <c r="Z866" s="49"/>
      <c r="AA866" s="49"/>
      <c r="AB866" s="49"/>
      <c r="AC866" s="49"/>
      <c r="AD866" s="49"/>
      <c r="AE866" s="49"/>
      <c r="AF866" s="49"/>
      <c r="AG866" s="49"/>
      <c r="AH866" s="49"/>
      <c r="AI866" s="49"/>
      <c r="AJ866" s="49"/>
      <c r="AK866" s="49"/>
      <c r="AL866" s="49"/>
      <c r="AM866" s="49"/>
      <c r="AN866" s="49"/>
      <c r="AO866" s="49"/>
    </row>
    <row r="867" spans="1:41" ht="13">
      <c r="A867" s="49"/>
      <c r="B867" s="49"/>
      <c r="C867" s="47"/>
      <c r="D867" s="49"/>
      <c r="E867" s="49"/>
      <c r="F867" s="49" t="b">
        <v>0</v>
      </c>
      <c r="G867" s="49"/>
      <c r="H867" s="47"/>
      <c r="I867" s="47"/>
      <c r="J867" s="49"/>
      <c r="K867" s="49"/>
      <c r="L867" s="49"/>
      <c r="M867" s="49"/>
      <c r="N867" s="49"/>
      <c r="O867" s="49" t="b">
        <v>0</v>
      </c>
      <c r="P867" s="49"/>
      <c r="Q867" s="49"/>
      <c r="R867" s="49"/>
      <c r="S867" s="49"/>
      <c r="T867" s="49"/>
      <c r="U867" s="58"/>
      <c r="V867" s="49"/>
      <c r="W867" s="58"/>
      <c r="X867" s="49"/>
      <c r="Y867" s="47"/>
      <c r="Z867" s="49"/>
      <c r="AA867" s="49"/>
      <c r="AB867" s="49"/>
      <c r="AC867" s="49"/>
      <c r="AD867" s="49"/>
      <c r="AE867" s="49"/>
      <c r="AF867" s="49"/>
      <c r="AG867" s="49"/>
      <c r="AH867" s="49"/>
      <c r="AI867" s="49"/>
      <c r="AJ867" s="49"/>
      <c r="AK867" s="49"/>
      <c r="AL867" s="49"/>
      <c r="AM867" s="49"/>
      <c r="AN867" s="49"/>
      <c r="AO867" s="49"/>
    </row>
    <row r="868" spans="1:41" ht="13">
      <c r="A868" s="49"/>
      <c r="B868" s="49"/>
      <c r="C868" s="47"/>
      <c r="D868" s="49"/>
      <c r="E868" s="49"/>
      <c r="F868" s="49" t="b">
        <v>0</v>
      </c>
      <c r="G868" s="49"/>
      <c r="H868" s="47"/>
      <c r="I868" s="47"/>
      <c r="J868" s="49"/>
      <c r="K868" s="49"/>
      <c r="L868" s="49"/>
      <c r="M868" s="49"/>
      <c r="N868" s="49"/>
      <c r="O868" s="49" t="b">
        <v>0</v>
      </c>
      <c r="P868" s="49"/>
      <c r="Q868" s="49"/>
      <c r="R868" s="49"/>
      <c r="S868" s="49"/>
      <c r="T868" s="49"/>
      <c r="U868" s="58"/>
      <c r="V868" s="49"/>
      <c r="W868" s="58"/>
      <c r="X868" s="49"/>
      <c r="Y868" s="47"/>
      <c r="Z868" s="49"/>
      <c r="AA868" s="49"/>
      <c r="AB868" s="49"/>
      <c r="AC868" s="49"/>
      <c r="AD868" s="49"/>
      <c r="AE868" s="49"/>
      <c r="AF868" s="49"/>
      <c r="AG868" s="49"/>
      <c r="AH868" s="49"/>
      <c r="AI868" s="49"/>
      <c r="AJ868" s="49"/>
      <c r="AK868" s="49"/>
      <c r="AL868" s="49"/>
      <c r="AM868" s="49"/>
      <c r="AN868" s="49"/>
      <c r="AO868" s="49"/>
    </row>
    <row r="869" spans="1:41" ht="13">
      <c r="A869" s="49"/>
      <c r="B869" s="49"/>
      <c r="C869" s="47"/>
      <c r="D869" s="49"/>
      <c r="E869" s="49"/>
      <c r="F869" s="49" t="b">
        <v>0</v>
      </c>
      <c r="G869" s="49"/>
      <c r="H869" s="47"/>
      <c r="I869" s="47"/>
      <c r="J869" s="49"/>
      <c r="K869" s="49"/>
      <c r="L869" s="49"/>
      <c r="M869" s="49"/>
      <c r="N869" s="49"/>
      <c r="O869" s="49" t="b">
        <v>0</v>
      </c>
      <c r="P869" s="49"/>
      <c r="Q869" s="49"/>
      <c r="R869" s="49"/>
      <c r="S869" s="49"/>
      <c r="T869" s="49"/>
      <c r="U869" s="58"/>
      <c r="V869" s="49"/>
      <c r="W869" s="58"/>
      <c r="X869" s="49"/>
      <c r="Y869" s="47"/>
      <c r="Z869" s="49"/>
      <c r="AA869" s="49"/>
      <c r="AB869" s="49"/>
      <c r="AC869" s="49"/>
      <c r="AD869" s="49"/>
      <c r="AE869" s="49"/>
      <c r="AF869" s="49"/>
      <c r="AG869" s="49"/>
      <c r="AH869" s="49"/>
      <c r="AI869" s="49"/>
      <c r="AJ869" s="49"/>
      <c r="AK869" s="49"/>
      <c r="AL869" s="49"/>
      <c r="AM869" s="49"/>
      <c r="AN869" s="49"/>
      <c r="AO869" s="49"/>
    </row>
    <row r="870" spans="1:41" ht="13">
      <c r="A870" s="49"/>
      <c r="B870" s="49"/>
      <c r="C870" s="47"/>
      <c r="D870" s="49"/>
      <c r="E870" s="49"/>
      <c r="F870" s="49" t="b">
        <v>0</v>
      </c>
      <c r="G870" s="49"/>
      <c r="H870" s="47"/>
      <c r="I870" s="47"/>
      <c r="J870" s="49"/>
      <c r="K870" s="49"/>
      <c r="L870" s="49"/>
      <c r="M870" s="49"/>
      <c r="N870" s="49"/>
      <c r="O870" s="49" t="b">
        <v>0</v>
      </c>
      <c r="P870" s="49"/>
      <c r="Q870" s="49"/>
      <c r="R870" s="49"/>
      <c r="S870" s="49"/>
      <c r="T870" s="49"/>
      <c r="U870" s="58"/>
      <c r="V870" s="49"/>
      <c r="W870" s="58"/>
      <c r="X870" s="49"/>
      <c r="Y870" s="47"/>
      <c r="Z870" s="49"/>
      <c r="AA870" s="49"/>
      <c r="AB870" s="49"/>
      <c r="AC870" s="49"/>
      <c r="AD870" s="49"/>
      <c r="AE870" s="49"/>
      <c r="AF870" s="49"/>
      <c r="AG870" s="49"/>
      <c r="AH870" s="49"/>
      <c r="AI870" s="49"/>
      <c r="AJ870" s="49"/>
      <c r="AK870" s="49"/>
      <c r="AL870" s="49"/>
      <c r="AM870" s="49"/>
      <c r="AN870" s="49"/>
      <c r="AO870" s="49"/>
    </row>
    <row r="871" spans="1:41" ht="13">
      <c r="A871" s="49"/>
      <c r="B871" s="49"/>
      <c r="C871" s="47"/>
      <c r="D871" s="49"/>
      <c r="E871" s="49"/>
      <c r="F871" s="49" t="b">
        <v>0</v>
      </c>
      <c r="G871" s="49"/>
      <c r="H871" s="47"/>
      <c r="I871" s="47"/>
      <c r="J871" s="49"/>
      <c r="K871" s="49"/>
      <c r="L871" s="49"/>
      <c r="M871" s="49"/>
      <c r="N871" s="49"/>
      <c r="O871" s="49" t="b">
        <v>0</v>
      </c>
      <c r="P871" s="49"/>
      <c r="Q871" s="49"/>
      <c r="R871" s="49"/>
      <c r="S871" s="49"/>
      <c r="T871" s="49"/>
      <c r="U871" s="58"/>
      <c r="V871" s="49"/>
      <c r="W871" s="58"/>
      <c r="X871" s="49"/>
      <c r="Y871" s="47"/>
      <c r="Z871" s="49"/>
      <c r="AA871" s="49"/>
      <c r="AB871" s="49"/>
      <c r="AC871" s="49"/>
      <c r="AD871" s="49"/>
      <c r="AE871" s="49"/>
      <c r="AF871" s="49"/>
      <c r="AG871" s="49"/>
      <c r="AH871" s="49"/>
      <c r="AI871" s="49"/>
      <c r="AJ871" s="49"/>
      <c r="AK871" s="49"/>
      <c r="AL871" s="49"/>
      <c r="AM871" s="49"/>
      <c r="AN871" s="49"/>
      <c r="AO871" s="49"/>
    </row>
    <row r="872" spans="1:41" ht="13">
      <c r="A872" s="49"/>
      <c r="B872" s="49"/>
      <c r="C872" s="47"/>
      <c r="D872" s="49"/>
      <c r="E872" s="49"/>
      <c r="F872" s="49" t="b">
        <v>0</v>
      </c>
      <c r="G872" s="49"/>
      <c r="H872" s="47"/>
      <c r="I872" s="47"/>
      <c r="J872" s="49"/>
      <c r="K872" s="49"/>
      <c r="L872" s="49"/>
      <c r="M872" s="49"/>
      <c r="N872" s="49"/>
      <c r="O872" s="49" t="b">
        <v>0</v>
      </c>
      <c r="P872" s="49"/>
      <c r="Q872" s="49"/>
      <c r="R872" s="49"/>
      <c r="S872" s="49"/>
      <c r="T872" s="49"/>
      <c r="U872" s="58"/>
      <c r="V872" s="49"/>
      <c r="W872" s="58"/>
      <c r="X872" s="49"/>
      <c r="Y872" s="47"/>
      <c r="Z872" s="49"/>
      <c r="AA872" s="49"/>
      <c r="AB872" s="49"/>
      <c r="AC872" s="49"/>
      <c r="AD872" s="49"/>
      <c r="AE872" s="49"/>
      <c r="AF872" s="49"/>
      <c r="AG872" s="49"/>
      <c r="AH872" s="49"/>
      <c r="AI872" s="49"/>
      <c r="AJ872" s="49"/>
      <c r="AK872" s="49"/>
      <c r="AL872" s="49"/>
      <c r="AM872" s="49"/>
      <c r="AN872" s="49"/>
      <c r="AO872" s="49"/>
    </row>
    <row r="873" spans="1:41" ht="13">
      <c r="A873" s="49"/>
      <c r="B873" s="49"/>
      <c r="C873" s="47"/>
      <c r="D873" s="49"/>
      <c r="E873" s="49"/>
      <c r="F873" s="49" t="b">
        <v>0</v>
      </c>
      <c r="G873" s="49"/>
      <c r="H873" s="47"/>
      <c r="I873" s="47"/>
      <c r="J873" s="49"/>
      <c r="K873" s="49"/>
      <c r="L873" s="49"/>
      <c r="M873" s="49"/>
      <c r="N873" s="49"/>
      <c r="O873" s="49" t="b">
        <v>0</v>
      </c>
      <c r="P873" s="49"/>
      <c r="Q873" s="49"/>
      <c r="R873" s="49"/>
      <c r="S873" s="49"/>
      <c r="T873" s="49"/>
      <c r="U873" s="58"/>
      <c r="V873" s="49"/>
      <c r="W873" s="58"/>
      <c r="X873" s="49"/>
      <c r="Y873" s="47"/>
      <c r="Z873" s="49"/>
      <c r="AA873" s="49"/>
      <c r="AB873" s="49"/>
      <c r="AC873" s="49"/>
      <c r="AD873" s="49"/>
      <c r="AE873" s="49"/>
      <c r="AF873" s="49"/>
      <c r="AG873" s="49"/>
      <c r="AH873" s="49"/>
      <c r="AI873" s="49"/>
      <c r="AJ873" s="49"/>
      <c r="AK873" s="49"/>
      <c r="AL873" s="49"/>
      <c r="AM873" s="49"/>
      <c r="AN873" s="49"/>
      <c r="AO873" s="49"/>
    </row>
    <row r="874" spans="1:41" ht="13">
      <c r="A874" s="49"/>
      <c r="B874" s="49"/>
      <c r="C874" s="47"/>
      <c r="D874" s="49"/>
      <c r="E874" s="49"/>
      <c r="F874" s="49" t="b">
        <v>0</v>
      </c>
      <c r="G874" s="49"/>
      <c r="H874" s="47"/>
      <c r="I874" s="47"/>
      <c r="J874" s="49"/>
      <c r="K874" s="49"/>
      <c r="L874" s="49"/>
      <c r="M874" s="49"/>
      <c r="N874" s="49"/>
      <c r="O874" s="49" t="b">
        <v>0</v>
      </c>
      <c r="P874" s="49"/>
      <c r="Q874" s="49"/>
      <c r="R874" s="49"/>
      <c r="S874" s="49"/>
      <c r="T874" s="49"/>
      <c r="U874" s="58"/>
      <c r="V874" s="49"/>
      <c r="W874" s="58"/>
      <c r="X874" s="49"/>
      <c r="Y874" s="47"/>
      <c r="Z874" s="49"/>
      <c r="AA874" s="49"/>
      <c r="AB874" s="49"/>
      <c r="AC874" s="49"/>
      <c r="AD874" s="49"/>
      <c r="AE874" s="49"/>
      <c r="AF874" s="49"/>
      <c r="AG874" s="49"/>
      <c r="AH874" s="49"/>
      <c r="AI874" s="49"/>
      <c r="AJ874" s="49"/>
      <c r="AK874" s="49"/>
      <c r="AL874" s="49"/>
      <c r="AM874" s="49"/>
      <c r="AN874" s="49"/>
      <c r="AO874" s="49"/>
    </row>
    <row r="875" spans="1:41" ht="13">
      <c r="A875" s="49"/>
      <c r="B875" s="49"/>
      <c r="C875" s="47"/>
      <c r="D875" s="49"/>
      <c r="E875" s="49"/>
      <c r="F875" s="49" t="b">
        <v>0</v>
      </c>
      <c r="G875" s="49"/>
      <c r="H875" s="47"/>
      <c r="I875" s="47"/>
      <c r="J875" s="49"/>
      <c r="K875" s="49"/>
      <c r="L875" s="49"/>
      <c r="M875" s="49"/>
      <c r="N875" s="49"/>
      <c r="O875" s="49" t="b">
        <v>0</v>
      </c>
      <c r="P875" s="49"/>
      <c r="Q875" s="49"/>
      <c r="R875" s="49"/>
      <c r="S875" s="49"/>
      <c r="T875" s="49"/>
      <c r="U875" s="58"/>
      <c r="V875" s="49"/>
      <c r="W875" s="58"/>
      <c r="X875" s="49"/>
      <c r="Y875" s="47"/>
      <c r="Z875" s="49"/>
      <c r="AA875" s="49"/>
      <c r="AB875" s="49"/>
      <c r="AC875" s="49"/>
      <c r="AD875" s="49"/>
      <c r="AE875" s="49"/>
      <c r="AF875" s="49"/>
      <c r="AG875" s="49"/>
      <c r="AH875" s="49"/>
      <c r="AI875" s="49"/>
      <c r="AJ875" s="49"/>
      <c r="AK875" s="49"/>
      <c r="AL875" s="49"/>
      <c r="AM875" s="49"/>
      <c r="AN875" s="49"/>
      <c r="AO875" s="49"/>
    </row>
    <row r="876" spans="1:41" ht="13">
      <c r="A876" s="49"/>
      <c r="B876" s="49"/>
      <c r="C876" s="47"/>
      <c r="D876" s="49"/>
      <c r="E876" s="49"/>
      <c r="F876" s="49" t="b">
        <v>0</v>
      </c>
      <c r="G876" s="49"/>
      <c r="H876" s="47"/>
      <c r="I876" s="47"/>
      <c r="J876" s="49"/>
      <c r="K876" s="49"/>
      <c r="L876" s="49"/>
      <c r="M876" s="49"/>
      <c r="N876" s="49"/>
      <c r="O876" s="49" t="b">
        <v>0</v>
      </c>
      <c r="P876" s="49"/>
      <c r="Q876" s="49"/>
      <c r="R876" s="49"/>
      <c r="S876" s="49"/>
      <c r="T876" s="49"/>
      <c r="U876" s="58"/>
      <c r="V876" s="49"/>
      <c r="W876" s="58"/>
      <c r="X876" s="49"/>
      <c r="Y876" s="47"/>
      <c r="Z876" s="49"/>
      <c r="AA876" s="49"/>
      <c r="AB876" s="49"/>
      <c r="AC876" s="49"/>
      <c r="AD876" s="49"/>
      <c r="AE876" s="49"/>
      <c r="AF876" s="49"/>
      <c r="AG876" s="49"/>
      <c r="AH876" s="49"/>
      <c r="AI876" s="49"/>
      <c r="AJ876" s="49"/>
      <c r="AK876" s="49"/>
      <c r="AL876" s="49"/>
      <c r="AM876" s="49"/>
      <c r="AN876" s="49"/>
      <c r="AO876" s="49"/>
    </row>
    <row r="877" spans="1:41" ht="13">
      <c r="A877" s="49"/>
      <c r="B877" s="49"/>
      <c r="C877" s="47"/>
      <c r="D877" s="49"/>
      <c r="E877" s="49"/>
      <c r="F877" s="49" t="b">
        <v>0</v>
      </c>
      <c r="G877" s="49"/>
      <c r="H877" s="47"/>
      <c r="I877" s="47"/>
      <c r="J877" s="49"/>
      <c r="K877" s="49"/>
      <c r="L877" s="49"/>
      <c r="M877" s="49"/>
      <c r="N877" s="49"/>
      <c r="O877" s="49" t="b">
        <v>0</v>
      </c>
      <c r="P877" s="49"/>
      <c r="Q877" s="49"/>
      <c r="R877" s="49"/>
      <c r="S877" s="49"/>
      <c r="T877" s="49"/>
      <c r="U877" s="58"/>
      <c r="V877" s="49"/>
      <c r="W877" s="58"/>
      <c r="X877" s="49"/>
      <c r="Y877" s="47"/>
      <c r="Z877" s="49"/>
      <c r="AA877" s="49"/>
      <c r="AB877" s="49"/>
      <c r="AC877" s="49"/>
      <c r="AD877" s="49"/>
      <c r="AE877" s="49"/>
      <c r="AF877" s="49"/>
      <c r="AG877" s="49"/>
      <c r="AH877" s="49"/>
      <c r="AI877" s="49"/>
      <c r="AJ877" s="49"/>
      <c r="AK877" s="49"/>
      <c r="AL877" s="49"/>
      <c r="AM877" s="49"/>
      <c r="AN877" s="49"/>
      <c r="AO877" s="49"/>
    </row>
    <row r="878" spans="1:41" ht="13">
      <c r="A878" s="49"/>
      <c r="B878" s="49"/>
      <c r="C878" s="47"/>
      <c r="D878" s="49"/>
      <c r="E878" s="49"/>
      <c r="F878" s="49" t="b">
        <v>0</v>
      </c>
      <c r="G878" s="49"/>
      <c r="H878" s="47"/>
      <c r="I878" s="47"/>
      <c r="J878" s="49"/>
      <c r="K878" s="49"/>
      <c r="L878" s="49"/>
      <c r="M878" s="49"/>
      <c r="N878" s="49"/>
      <c r="O878" s="49" t="b">
        <v>0</v>
      </c>
      <c r="P878" s="49"/>
      <c r="Q878" s="49"/>
      <c r="R878" s="49"/>
      <c r="S878" s="49"/>
      <c r="T878" s="49"/>
      <c r="U878" s="58"/>
      <c r="V878" s="49"/>
      <c r="W878" s="58"/>
      <c r="X878" s="49"/>
      <c r="Y878" s="47"/>
      <c r="Z878" s="49"/>
      <c r="AA878" s="49"/>
      <c r="AB878" s="49"/>
      <c r="AC878" s="49"/>
      <c r="AD878" s="49"/>
      <c r="AE878" s="49"/>
      <c r="AF878" s="49"/>
      <c r="AG878" s="49"/>
      <c r="AH878" s="49"/>
      <c r="AI878" s="49"/>
      <c r="AJ878" s="49"/>
      <c r="AK878" s="49"/>
      <c r="AL878" s="49"/>
      <c r="AM878" s="49"/>
      <c r="AN878" s="49"/>
      <c r="AO878" s="49"/>
    </row>
    <row r="879" spans="1:41" ht="13">
      <c r="A879" s="49"/>
      <c r="B879" s="49"/>
      <c r="C879" s="47"/>
      <c r="D879" s="49"/>
      <c r="E879" s="49"/>
      <c r="F879" s="49" t="b">
        <v>0</v>
      </c>
      <c r="G879" s="49"/>
      <c r="H879" s="47"/>
      <c r="I879" s="47"/>
      <c r="J879" s="49"/>
      <c r="K879" s="49"/>
      <c r="L879" s="49"/>
      <c r="M879" s="49"/>
      <c r="N879" s="49"/>
      <c r="O879" s="49" t="b">
        <v>0</v>
      </c>
      <c r="P879" s="49"/>
      <c r="Q879" s="49"/>
      <c r="R879" s="49"/>
      <c r="S879" s="49"/>
      <c r="T879" s="49"/>
      <c r="U879" s="58"/>
      <c r="V879" s="49"/>
      <c r="W879" s="58"/>
      <c r="X879" s="49"/>
      <c r="Y879" s="47"/>
      <c r="Z879" s="49"/>
      <c r="AA879" s="49"/>
      <c r="AB879" s="49"/>
      <c r="AC879" s="49"/>
      <c r="AD879" s="49"/>
      <c r="AE879" s="49"/>
      <c r="AF879" s="49"/>
      <c r="AG879" s="49"/>
      <c r="AH879" s="49"/>
      <c r="AI879" s="49"/>
      <c r="AJ879" s="49"/>
      <c r="AK879" s="49"/>
      <c r="AL879" s="49"/>
      <c r="AM879" s="49"/>
      <c r="AN879" s="49"/>
      <c r="AO879" s="49"/>
    </row>
    <row r="880" spans="1:41" ht="13">
      <c r="A880" s="49"/>
      <c r="B880" s="49"/>
      <c r="C880" s="47"/>
      <c r="D880" s="49"/>
      <c r="E880" s="49"/>
      <c r="F880" s="49" t="b">
        <v>0</v>
      </c>
      <c r="G880" s="49"/>
      <c r="H880" s="47"/>
      <c r="I880" s="47"/>
      <c r="J880" s="49"/>
      <c r="K880" s="49"/>
      <c r="L880" s="49"/>
      <c r="M880" s="49"/>
      <c r="N880" s="49"/>
      <c r="O880" s="49" t="b">
        <v>0</v>
      </c>
      <c r="P880" s="49"/>
      <c r="Q880" s="49"/>
      <c r="R880" s="49"/>
      <c r="S880" s="49"/>
      <c r="T880" s="49"/>
      <c r="U880" s="58"/>
      <c r="V880" s="49"/>
      <c r="W880" s="58"/>
      <c r="X880" s="49"/>
      <c r="Y880" s="47"/>
      <c r="Z880" s="49"/>
      <c r="AA880" s="49"/>
      <c r="AB880" s="49"/>
      <c r="AC880" s="49"/>
      <c r="AD880" s="49"/>
      <c r="AE880" s="49"/>
      <c r="AF880" s="49"/>
      <c r="AG880" s="49"/>
      <c r="AH880" s="49"/>
      <c r="AI880" s="49"/>
      <c r="AJ880" s="49"/>
      <c r="AK880" s="49"/>
      <c r="AL880" s="49"/>
      <c r="AM880" s="49"/>
      <c r="AN880" s="49"/>
      <c r="AO880" s="49"/>
    </row>
    <row r="881" spans="1:41" ht="13">
      <c r="A881" s="49"/>
      <c r="B881" s="49"/>
      <c r="C881" s="47"/>
      <c r="D881" s="49"/>
      <c r="E881" s="49"/>
      <c r="F881" s="49" t="b">
        <v>0</v>
      </c>
      <c r="G881" s="49"/>
      <c r="H881" s="47"/>
      <c r="I881" s="47"/>
      <c r="J881" s="49"/>
      <c r="K881" s="49"/>
      <c r="L881" s="49"/>
      <c r="M881" s="49"/>
      <c r="N881" s="49"/>
      <c r="O881" s="49" t="b">
        <v>0</v>
      </c>
      <c r="P881" s="49"/>
      <c r="Q881" s="49"/>
      <c r="R881" s="49"/>
      <c r="S881" s="49"/>
      <c r="T881" s="49"/>
      <c r="U881" s="58"/>
      <c r="V881" s="49"/>
      <c r="W881" s="58"/>
      <c r="X881" s="49"/>
      <c r="Y881" s="47"/>
      <c r="Z881" s="49"/>
      <c r="AA881" s="49"/>
      <c r="AB881" s="49"/>
      <c r="AC881" s="49"/>
      <c r="AD881" s="49"/>
      <c r="AE881" s="49"/>
      <c r="AF881" s="49"/>
      <c r="AG881" s="49"/>
      <c r="AH881" s="49"/>
      <c r="AI881" s="49"/>
      <c r="AJ881" s="49"/>
      <c r="AK881" s="49"/>
      <c r="AL881" s="49"/>
      <c r="AM881" s="49"/>
      <c r="AN881" s="49"/>
      <c r="AO881" s="49"/>
    </row>
    <row r="882" spans="1:41" ht="13">
      <c r="A882" s="49"/>
      <c r="B882" s="49"/>
      <c r="C882" s="47"/>
      <c r="D882" s="49"/>
      <c r="E882" s="49"/>
      <c r="F882" s="49" t="b">
        <v>0</v>
      </c>
      <c r="G882" s="49"/>
      <c r="H882" s="47"/>
      <c r="I882" s="47"/>
      <c r="J882" s="49"/>
      <c r="K882" s="49"/>
      <c r="L882" s="49"/>
      <c r="M882" s="49"/>
      <c r="N882" s="49"/>
      <c r="O882" s="49" t="b">
        <v>0</v>
      </c>
      <c r="P882" s="49"/>
      <c r="Q882" s="49"/>
      <c r="R882" s="49"/>
      <c r="S882" s="49"/>
      <c r="T882" s="49"/>
      <c r="U882" s="58"/>
      <c r="V882" s="49"/>
      <c r="W882" s="58"/>
      <c r="X882" s="49"/>
      <c r="Y882" s="47"/>
      <c r="Z882" s="49"/>
      <c r="AA882" s="49"/>
      <c r="AB882" s="49"/>
      <c r="AC882" s="49"/>
      <c r="AD882" s="49"/>
      <c r="AE882" s="49"/>
      <c r="AF882" s="49"/>
      <c r="AG882" s="49"/>
      <c r="AH882" s="49"/>
      <c r="AI882" s="49"/>
      <c r="AJ882" s="49"/>
      <c r="AK882" s="49"/>
      <c r="AL882" s="49"/>
      <c r="AM882" s="49"/>
      <c r="AN882" s="49"/>
      <c r="AO882" s="49"/>
    </row>
    <row r="883" spans="1:41" ht="13">
      <c r="A883" s="49"/>
      <c r="B883" s="49"/>
      <c r="C883" s="47"/>
      <c r="D883" s="49"/>
      <c r="E883" s="49"/>
      <c r="F883" s="49" t="b">
        <v>0</v>
      </c>
      <c r="G883" s="49"/>
      <c r="H883" s="47"/>
      <c r="I883" s="47"/>
      <c r="J883" s="49"/>
      <c r="K883" s="49"/>
      <c r="L883" s="49"/>
      <c r="M883" s="49"/>
      <c r="N883" s="49"/>
      <c r="O883" s="49" t="b">
        <v>0</v>
      </c>
      <c r="P883" s="49"/>
      <c r="Q883" s="49"/>
      <c r="R883" s="49"/>
      <c r="S883" s="49"/>
      <c r="T883" s="49"/>
      <c r="U883" s="58"/>
      <c r="V883" s="49"/>
      <c r="W883" s="58"/>
      <c r="X883" s="49"/>
      <c r="Y883" s="47"/>
      <c r="Z883" s="49"/>
      <c r="AA883" s="49"/>
      <c r="AB883" s="49"/>
      <c r="AC883" s="49"/>
      <c r="AD883" s="49"/>
      <c r="AE883" s="49"/>
      <c r="AF883" s="49"/>
      <c r="AG883" s="49"/>
      <c r="AH883" s="49"/>
      <c r="AI883" s="49"/>
      <c r="AJ883" s="49"/>
      <c r="AK883" s="49"/>
      <c r="AL883" s="49"/>
      <c r="AM883" s="49"/>
      <c r="AN883" s="49"/>
      <c r="AO883" s="49"/>
    </row>
    <row r="884" spans="1:41" ht="13">
      <c r="A884" s="49"/>
      <c r="B884" s="49"/>
      <c r="C884" s="47"/>
      <c r="D884" s="49"/>
      <c r="E884" s="49"/>
      <c r="F884" s="49" t="b">
        <v>0</v>
      </c>
      <c r="G884" s="49"/>
      <c r="H884" s="47"/>
      <c r="I884" s="47"/>
      <c r="J884" s="49"/>
      <c r="K884" s="49"/>
      <c r="L884" s="49"/>
      <c r="M884" s="49"/>
      <c r="N884" s="49"/>
      <c r="O884" s="49" t="b">
        <v>0</v>
      </c>
      <c r="P884" s="49"/>
      <c r="Q884" s="49"/>
      <c r="R884" s="49"/>
      <c r="S884" s="49"/>
      <c r="T884" s="49"/>
      <c r="U884" s="58"/>
      <c r="V884" s="49"/>
      <c r="W884" s="58"/>
      <c r="X884" s="49"/>
      <c r="Y884" s="47"/>
      <c r="Z884" s="49"/>
      <c r="AA884" s="49"/>
      <c r="AB884" s="49"/>
      <c r="AC884" s="49"/>
      <c r="AD884" s="49"/>
      <c r="AE884" s="49"/>
      <c r="AF884" s="49"/>
      <c r="AG884" s="49"/>
      <c r="AH884" s="49"/>
      <c r="AI884" s="49"/>
      <c r="AJ884" s="49"/>
      <c r="AK884" s="49"/>
      <c r="AL884" s="49"/>
      <c r="AM884" s="49"/>
      <c r="AN884" s="49"/>
      <c r="AO884" s="49"/>
    </row>
    <row r="885" spans="1:41" ht="13">
      <c r="A885" s="49"/>
      <c r="B885" s="49"/>
      <c r="C885" s="47"/>
      <c r="D885" s="49"/>
      <c r="E885" s="49"/>
      <c r="F885" s="49" t="b">
        <v>0</v>
      </c>
      <c r="G885" s="49"/>
      <c r="H885" s="47"/>
      <c r="I885" s="47"/>
      <c r="J885" s="49"/>
      <c r="K885" s="49"/>
      <c r="L885" s="49"/>
      <c r="M885" s="49"/>
      <c r="N885" s="49"/>
      <c r="O885" s="49" t="b">
        <v>0</v>
      </c>
      <c r="P885" s="49"/>
      <c r="Q885" s="49"/>
      <c r="R885" s="49"/>
      <c r="S885" s="49"/>
      <c r="T885" s="49"/>
      <c r="U885" s="58"/>
      <c r="V885" s="49"/>
      <c r="W885" s="58"/>
      <c r="X885" s="49"/>
      <c r="Y885" s="47"/>
      <c r="Z885" s="49"/>
      <c r="AA885" s="49"/>
      <c r="AB885" s="49"/>
      <c r="AC885" s="49"/>
      <c r="AD885" s="49"/>
      <c r="AE885" s="49"/>
      <c r="AF885" s="49"/>
      <c r="AG885" s="49"/>
      <c r="AH885" s="49"/>
      <c r="AI885" s="49"/>
      <c r="AJ885" s="49"/>
      <c r="AK885" s="49"/>
      <c r="AL885" s="49"/>
      <c r="AM885" s="49"/>
      <c r="AN885" s="49"/>
      <c r="AO885" s="49"/>
    </row>
    <row r="886" spans="1:41" ht="13">
      <c r="A886" s="49"/>
      <c r="B886" s="49"/>
      <c r="C886" s="47"/>
      <c r="D886" s="49"/>
      <c r="E886" s="49"/>
      <c r="F886" s="49" t="b">
        <v>0</v>
      </c>
      <c r="G886" s="49"/>
      <c r="H886" s="47"/>
      <c r="I886" s="47"/>
      <c r="J886" s="49"/>
      <c r="K886" s="49"/>
      <c r="L886" s="49"/>
      <c r="M886" s="49"/>
      <c r="N886" s="49"/>
      <c r="O886" s="49" t="b">
        <v>0</v>
      </c>
      <c r="P886" s="49"/>
      <c r="Q886" s="49"/>
      <c r="R886" s="49"/>
      <c r="S886" s="49"/>
      <c r="T886" s="49"/>
      <c r="U886" s="58"/>
      <c r="V886" s="49"/>
      <c r="W886" s="58"/>
      <c r="X886" s="49"/>
      <c r="Y886" s="47"/>
      <c r="Z886" s="49"/>
      <c r="AA886" s="49"/>
      <c r="AB886" s="49"/>
      <c r="AC886" s="49"/>
      <c r="AD886" s="49"/>
      <c r="AE886" s="49"/>
      <c r="AF886" s="49"/>
      <c r="AG886" s="49"/>
      <c r="AH886" s="49"/>
      <c r="AI886" s="49"/>
      <c r="AJ886" s="49"/>
      <c r="AK886" s="49"/>
      <c r="AL886" s="49"/>
      <c r="AM886" s="49"/>
      <c r="AN886" s="49"/>
      <c r="AO886" s="49"/>
    </row>
    <row r="887" spans="1:41" ht="13">
      <c r="A887" s="49"/>
      <c r="B887" s="49"/>
      <c r="C887" s="47"/>
      <c r="D887" s="49"/>
      <c r="E887" s="49"/>
      <c r="F887" s="49" t="b">
        <v>0</v>
      </c>
      <c r="G887" s="49"/>
      <c r="H887" s="47"/>
      <c r="I887" s="47"/>
      <c r="J887" s="49"/>
      <c r="K887" s="49"/>
      <c r="L887" s="49"/>
      <c r="M887" s="49"/>
      <c r="N887" s="49"/>
      <c r="O887" s="49" t="b">
        <v>0</v>
      </c>
      <c r="P887" s="49"/>
      <c r="Q887" s="49"/>
      <c r="R887" s="49"/>
      <c r="S887" s="49"/>
      <c r="T887" s="49"/>
      <c r="U887" s="58"/>
      <c r="V887" s="49"/>
      <c r="W887" s="58"/>
      <c r="X887" s="49"/>
      <c r="Y887" s="47"/>
      <c r="Z887" s="49"/>
      <c r="AA887" s="49"/>
      <c r="AB887" s="49"/>
      <c r="AC887" s="49"/>
      <c r="AD887" s="49"/>
      <c r="AE887" s="49"/>
      <c r="AF887" s="49"/>
      <c r="AG887" s="49"/>
      <c r="AH887" s="49"/>
      <c r="AI887" s="49"/>
      <c r="AJ887" s="49"/>
      <c r="AK887" s="49"/>
      <c r="AL887" s="49"/>
      <c r="AM887" s="49"/>
      <c r="AN887" s="49"/>
      <c r="AO887" s="49"/>
    </row>
    <row r="888" spans="1:41" ht="13">
      <c r="A888" s="49"/>
      <c r="B888" s="49"/>
      <c r="C888" s="47"/>
      <c r="D888" s="49"/>
      <c r="E888" s="49"/>
      <c r="F888" s="49" t="b">
        <v>0</v>
      </c>
      <c r="G888" s="49"/>
      <c r="H888" s="47"/>
      <c r="I888" s="47"/>
      <c r="J888" s="49"/>
      <c r="K888" s="49"/>
      <c r="L888" s="49"/>
      <c r="M888" s="49"/>
      <c r="N888" s="49"/>
      <c r="O888" s="49" t="b">
        <v>0</v>
      </c>
      <c r="P888" s="49"/>
      <c r="Q888" s="49"/>
      <c r="R888" s="49"/>
      <c r="S888" s="49"/>
      <c r="T888" s="49"/>
      <c r="U888" s="58"/>
      <c r="V888" s="49"/>
      <c r="W888" s="58"/>
      <c r="X888" s="49"/>
      <c r="Y888" s="47"/>
      <c r="Z888" s="49"/>
      <c r="AA888" s="49"/>
      <c r="AB888" s="49"/>
      <c r="AC888" s="49"/>
      <c r="AD888" s="49"/>
      <c r="AE888" s="49"/>
      <c r="AF888" s="49"/>
      <c r="AG888" s="49"/>
      <c r="AH888" s="49"/>
      <c r="AI888" s="49"/>
      <c r="AJ888" s="49"/>
      <c r="AK888" s="49"/>
      <c r="AL888" s="49"/>
      <c r="AM888" s="49"/>
      <c r="AN888" s="49"/>
      <c r="AO888" s="49"/>
    </row>
    <row r="889" spans="1:41" ht="13">
      <c r="A889" s="49"/>
      <c r="B889" s="49"/>
      <c r="C889" s="47"/>
      <c r="D889" s="49"/>
      <c r="E889" s="49"/>
      <c r="F889" s="49" t="b">
        <v>0</v>
      </c>
      <c r="G889" s="49"/>
      <c r="H889" s="47"/>
      <c r="I889" s="47"/>
      <c r="J889" s="49"/>
      <c r="K889" s="49"/>
      <c r="L889" s="49"/>
      <c r="M889" s="49"/>
      <c r="N889" s="49"/>
      <c r="O889" s="49" t="b">
        <v>0</v>
      </c>
      <c r="P889" s="49"/>
      <c r="Q889" s="49"/>
      <c r="R889" s="49"/>
      <c r="S889" s="49"/>
      <c r="T889" s="49"/>
      <c r="U889" s="58"/>
      <c r="V889" s="49"/>
      <c r="W889" s="58"/>
      <c r="X889" s="49"/>
      <c r="Y889" s="47"/>
      <c r="Z889" s="49"/>
      <c r="AA889" s="49"/>
      <c r="AB889" s="49"/>
      <c r="AC889" s="49"/>
      <c r="AD889" s="49"/>
      <c r="AE889" s="49"/>
      <c r="AF889" s="49"/>
      <c r="AG889" s="49"/>
      <c r="AH889" s="49"/>
      <c r="AI889" s="49"/>
      <c r="AJ889" s="49"/>
      <c r="AK889" s="49"/>
      <c r="AL889" s="49"/>
      <c r="AM889" s="49"/>
      <c r="AN889" s="49"/>
      <c r="AO889" s="49"/>
    </row>
    <row r="890" spans="1:41" ht="13">
      <c r="A890" s="49"/>
      <c r="B890" s="49"/>
      <c r="C890" s="47"/>
      <c r="D890" s="49"/>
      <c r="E890" s="49"/>
      <c r="F890" s="49" t="b">
        <v>0</v>
      </c>
      <c r="G890" s="49"/>
      <c r="H890" s="47"/>
      <c r="I890" s="47"/>
      <c r="J890" s="49"/>
      <c r="K890" s="49"/>
      <c r="L890" s="49"/>
      <c r="M890" s="49"/>
      <c r="N890" s="49"/>
      <c r="O890" s="49" t="b">
        <v>0</v>
      </c>
      <c r="P890" s="49"/>
      <c r="Q890" s="49"/>
      <c r="R890" s="49"/>
      <c r="S890" s="49"/>
      <c r="T890" s="49"/>
      <c r="U890" s="58"/>
      <c r="V890" s="49"/>
      <c r="W890" s="58"/>
      <c r="X890" s="49"/>
      <c r="Y890" s="47"/>
      <c r="Z890" s="49"/>
      <c r="AA890" s="49"/>
      <c r="AB890" s="49"/>
      <c r="AC890" s="49"/>
      <c r="AD890" s="49"/>
      <c r="AE890" s="49"/>
      <c r="AF890" s="49"/>
      <c r="AG890" s="49"/>
      <c r="AH890" s="49"/>
      <c r="AI890" s="49"/>
      <c r="AJ890" s="49"/>
      <c r="AK890" s="49"/>
      <c r="AL890" s="49"/>
      <c r="AM890" s="49"/>
      <c r="AN890" s="49"/>
      <c r="AO890" s="49"/>
    </row>
    <row r="891" spans="1:41" ht="13">
      <c r="A891" s="49"/>
      <c r="B891" s="49"/>
      <c r="C891" s="47"/>
      <c r="D891" s="49"/>
      <c r="E891" s="49"/>
      <c r="F891" s="49" t="b">
        <v>0</v>
      </c>
      <c r="G891" s="49"/>
      <c r="H891" s="47"/>
      <c r="I891" s="47"/>
      <c r="J891" s="49"/>
      <c r="K891" s="49"/>
      <c r="L891" s="49"/>
      <c r="M891" s="49"/>
      <c r="N891" s="49"/>
      <c r="O891" s="49" t="b">
        <v>0</v>
      </c>
      <c r="P891" s="49"/>
      <c r="Q891" s="49"/>
      <c r="R891" s="49"/>
      <c r="S891" s="49"/>
      <c r="T891" s="49"/>
      <c r="U891" s="58"/>
      <c r="V891" s="49"/>
      <c r="W891" s="58"/>
      <c r="X891" s="49"/>
      <c r="Y891" s="47"/>
      <c r="Z891" s="49"/>
      <c r="AA891" s="49"/>
      <c r="AB891" s="49"/>
      <c r="AC891" s="49"/>
      <c r="AD891" s="49"/>
      <c r="AE891" s="49"/>
      <c r="AF891" s="49"/>
      <c r="AG891" s="49"/>
      <c r="AH891" s="49"/>
      <c r="AI891" s="49"/>
      <c r="AJ891" s="49"/>
      <c r="AK891" s="49"/>
      <c r="AL891" s="49"/>
      <c r="AM891" s="49"/>
      <c r="AN891" s="49"/>
      <c r="AO891" s="49"/>
    </row>
    <row r="892" spans="1:41" ht="13">
      <c r="A892" s="49"/>
      <c r="B892" s="49"/>
      <c r="C892" s="47"/>
      <c r="D892" s="49"/>
      <c r="E892" s="49"/>
      <c r="F892" s="49" t="b">
        <v>0</v>
      </c>
      <c r="G892" s="49"/>
      <c r="H892" s="47"/>
      <c r="I892" s="47"/>
      <c r="J892" s="49"/>
      <c r="K892" s="49"/>
      <c r="L892" s="49"/>
      <c r="M892" s="49"/>
      <c r="N892" s="49"/>
      <c r="O892" s="49" t="b">
        <v>0</v>
      </c>
      <c r="P892" s="49"/>
      <c r="Q892" s="49"/>
      <c r="R892" s="49"/>
      <c r="S892" s="49"/>
      <c r="T892" s="49"/>
      <c r="U892" s="58"/>
      <c r="V892" s="49"/>
      <c r="W892" s="58"/>
      <c r="X892" s="49"/>
      <c r="Y892" s="47"/>
      <c r="Z892" s="49"/>
      <c r="AA892" s="49"/>
      <c r="AB892" s="49"/>
      <c r="AC892" s="49"/>
      <c r="AD892" s="49"/>
      <c r="AE892" s="49"/>
      <c r="AF892" s="49"/>
      <c r="AG892" s="49"/>
      <c r="AH892" s="49"/>
      <c r="AI892" s="49"/>
      <c r="AJ892" s="49"/>
      <c r="AK892" s="49"/>
      <c r="AL892" s="49"/>
      <c r="AM892" s="49"/>
      <c r="AN892" s="49"/>
      <c r="AO892" s="49"/>
    </row>
    <row r="893" spans="1:41" ht="13">
      <c r="A893" s="49"/>
      <c r="B893" s="49"/>
      <c r="C893" s="47"/>
      <c r="D893" s="49"/>
      <c r="E893" s="49"/>
      <c r="F893" s="49" t="b">
        <v>0</v>
      </c>
      <c r="G893" s="49"/>
      <c r="H893" s="47"/>
      <c r="I893" s="47"/>
      <c r="J893" s="49"/>
      <c r="K893" s="49"/>
      <c r="L893" s="49"/>
      <c r="M893" s="49"/>
      <c r="N893" s="49"/>
      <c r="O893" s="49" t="b">
        <v>0</v>
      </c>
      <c r="P893" s="49"/>
      <c r="Q893" s="49"/>
      <c r="R893" s="49"/>
      <c r="S893" s="49"/>
      <c r="T893" s="49"/>
      <c r="U893" s="58"/>
      <c r="V893" s="49"/>
      <c r="W893" s="58"/>
      <c r="X893" s="49"/>
      <c r="Y893" s="47"/>
      <c r="Z893" s="49"/>
      <c r="AA893" s="49"/>
      <c r="AB893" s="49"/>
      <c r="AC893" s="49"/>
      <c r="AD893" s="49"/>
      <c r="AE893" s="49"/>
      <c r="AF893" s="49"/>
      <c r="AG893" s="49"/>
      <c r="AH893" s="49"/>
      <c r="AI893" s="49"/>
      <c r="AJ893" s="49"/>
      <c r="AK893" s="49"/>
      <c r="AL893" s="49"/>
      <c r="AM893" s="49"/>
      <c r="AN893" s="49"/>
      <c r="AO893" s="49"/>
    </row>
    <row r="894" spans="1:41" ht="13">
      <c r="A894" s="49"/>
      <c r="B894" s="49"/>
      <c r="C894" s="47"/>
      <c r="D894" s="49"/>
      <c r="E894" s="49"/>
      <c r="F894" s="49" t="b">
        <v>0</v>
      </c>
      <c r="G894" s="49"/>
      <c r="H894" s="47"/>
      <c r="I894" s="47"/>
      <c r="J894" s="49"/>
      <c r="K894" s="49"/>
      <c r="L894" s="49"/>
      <c r="M894" s="49"/>
      <c r="N894" s="49"/>
      <c r="O894" s="49" t="b">
        <v>0</v>
      </c>
      <c r="P894" s="49"/>
      <c r="Q894" s="49"/>
      <c r="R894" s="49"/>
      <c r="S894" s="49"/>
      <c r="T894" s="49"/>
      <c r="U894" s="58"/>
      <c r="V894" s="49"/>
      <c r="W894" s="58"/>
      <c r="X894" s="49"/>
      <c r="Y894" s="47"/>
      <c r="Z894" s="49"/>
      <c r="AA894" s="49"/>
      <c r="AB894" s="49"/>
      <c r="AC894" s="49"/>
      <c r="AD894" s="49"/>
      <c r="AE894" s="49"/>
      <c r="AF894" s="49"/>
      <c r="AG894" s="49"/>
      <c r="AH894" s="49"/>
      <c r="AI894" s="49"/>
      <c r="AJ894" s="49"/>
      <c r="AK894" s="49"/>
      <c r="AL894" s="49"/>
      <c r="AM894" s="49"/>
      <c r="AN894" s="49"/>
      <c r="AO894" s="49"/>
    </row>
    <row r="895" spans="1:41" ht="13">
      <c r="A895" s="49"/>
      <c r="B895" s="49"/>
      <c r="C895" s="47"/>
      <c r="D895" s="49"/>
      <c r="E895" s="49"/>
      <c r="F895" s="49" t="b">
        <v>0</v>
      </c>
      <c r="G895" s="49"/>
      <c r="H895" s="47"/>
      <c r="I895" s="47"/>
      <c r="J895" s="49"/>
      <c r="K895" s="49"/>
      <c r="L895" s="49"/>
      <c r="M895" s="49"/>
      <c r="N895" s="49"/>
      <c r="O895" s="49" t="b">
        <v>0</v>
      </c>
      <c r="P895" s="49"/>
      <c r="Q895" s="49"/>
      <c r="R895" s="49"/>
      <c r="S895" s="49"/>
      <c r="T895" s="49"/>
      <c r="U895" s="58"/>
      <c r="V895" s="49"/>
      <c r="W895" s="58"/>
      <c r="X895" s="49"/>
      <c r="Y895" s="47"/>
      <c r="Z895" s="49"/>
      <c r="AA895" s="49"/>
      <c r="AB895" s="49"/>
      <c r="AC895" s="49"/>
      <c r="AD895" s="49"/>
      <c r="AE895" s="49"/>
      <c r="AF895" s="49"/>
      <c r="AG895" s="49"/>
      <c r="AH895" s="49"/>
      <c r="AI895" s="49"/>
      <c r="AJ895" s="49"/>
      <c r="AK895" s="49"/>
      <c r="AL895" s="49"/>
      <c r="AM895" s="49"/>
      <c r="AN895" s="49"/>
      <c r="AO895" s="49"/>
    </row>
    <row r="896" spans="1:41" ht="13">
      <c r="A896" s="49"/>
      <c r="B896" s="49"/>
      <c r="C896" s="47"/>
      <c r="D896" s="49"/>
      <c r="E896" s="49"/>
      <c r="F896" s="49" t="b">
        <v>0</v>
      </c>
      <c r="G896" s="49"/>
      <c r="H896" s="47"/>
      <c r="I896" s="47"/>
      <c r="J896" s="49"/>
      <c r="K896" s="49"/>
      <c r="L896" s="49"/>
      <c r="M896" s="49"/>
      <c r="N896" s="49"/>
      <c r="O896" s="49" t="b">
        <v>0</v>
      </c>
      <c r="P896" s="49"/>
      <c r="Q896" s="49"/>
      <c r="R896" s="49"/>
      <c r="S896" s="49"/>
      <c r="T896" s="49"/>
      <c r="U896" s="58"/>
      <c r="V896" s="49"/>
      <c r="W896" s="58"/>
      <c r="X896" s="49"/>
      <c r="Y896" s="47"/>
      <c r="Z896" s="49"/>
      <c r="AA896" s="49"/>
      <c r="AB896" s="49"/>
      <c r="AC896" s="49"/>
      <c r="AD896" s="49"/>
      <c r="AE896" s="49"/>
      <c r="AF896" s="49"/>
      <c r="AG896" s="49"/>
      <c r="AH896" s="49"/>
      <c r="AI896" s="49"/>
      <c r="AJ896" s="49"/>
      <c r="AK896" s="49"/>
      <c r="AL896" s="49"/>
      <c r="AM896" s="49"/>
      <c r="AN896" s="49"/>
      <c r="AO896" s="49"/>
    </row>
    <row r="897" spans="1:41" ht="13">
      <c r="A897" s="49"/>
      <c r="B897" s="49"/>
      <c r="C897" s="47"/>
      <c r="D897" s="49"/>
      <c r="E897" s="49"/>
      <c r="F897" s="49" t="b">
        <v>0</v>
      </c>
      <c r="G897" s="49"/>
      <c r="H897" s="47"/>
      <c r="I897" s="47"/>
      <c r="J897" s="49"/>
      <c r="K897" s="49"/>
      <c r="L897" s="49"/>
      <c r="M897" s="49"/>
      <c r="N897" s="49"/>
      <c r="O897" s="49" t="b">
        <v>0</v>
      </c>
      <c r="P897" s="49"/>
      <c r="Q897" s="49"/>
      <c r="R897" s="49"/>
      <c r="S897" s="49"/>
      <c r="T897" s="49"/>
      <c r="U897" s="58"/>
      <c r="V897" s="49"/>
      <c r="W897" s="58"/>
      <c r="X897" s="49"/>
      <c r="Y897" s="47"/>
      <c r="Z897" s="49"/>
      <c r="AA897" s="49"/>
      <c r="AB897" s="49"/>
      <c r="AC897" s="49"/>
      <c r="AD897" s="49"/>
      <c r="AE897" s="49"/>
      <c r="AF897" s="49"/>
      <c r="AG897" s="49"/>
      <c r="AH897" s="49"/>
      <c r="AI897" s="49"/>
      <c r="AJ897" s="49"/>
      <c r="AK897" s="49"/>
      <c r="AL897" s="49"/>
      <c r="AM897" s="49"/>
      <c r="AN897" s="49"/>
      <c r="AO897" s="49"/>
    </row>
    <row r="898" spans="1:41" ht="13">
      <c r="A898" s="49"/>
      <c r="B898" s="49"/>
      <c r="C898" s="47"/>
      <c r="D898" s="49"/>
      <c r="E898" s="49"/>
      <c r="F898" s="49" t="b">
        <v>0</v>
      </c>
      <c r="G898" s="49"/>
      <c r="H898" s="47"/>
      <c r="I898" s="47"/>
      <c r="J898" s="49"/>
      <c r="K898" s="49"/>
      <c r="L898" s="49"/>
      <c r="M898" s="49"/>
      <c r="N898" s="49"/>
      <c r="O898" s="49" t="b">
        <v>0</v>
      </c>
      <c r="P898" s="49"/>
      <c r="Q898" s="49"/>
      <c r="R898" s="49"/>
      <c r="S898" s="49"/>
      <c r="T898" s="49"/>
      <c r="U898" s="58"/>
      <c r="V898" s="49"/>
      <c r="W898" s="58"/>
      <c r="X898" s="49"/>
      <c r="Y898" s="47"/>
      <c r="Z898" s="49"/>
      <c r="AA898" s="49"/>
      <c r="AB898" s="49"/>
      <c r="AC898" s="49"/>
      <c r="AD898" s="49"/>
      <c r="AE898" s="49"/>
      <c r="AF898" s="49"/>
      <c r="AG898" s="49"/>
      <c r="AH898" s="49"/>
      <c r="AI898" s="49"/>
      <c r="AJ898" s="49"/>
      <c r="AK898" s="49"/>
      <c r="AL898" s="49"/>
      <c r="AM898" s="49"/>
      <c r="AN898" s="49"/>
      <c r="AO898" s="49"/>
    </row>
    <row r="899" spans="1:41" ht="13">
      <c r="A899" s="49"/>
      <c r="B899" s="49"/>
      <c r="C899" s="47"/>
      <c r="D899" s="49"/>
      <c r="E899" s="49"/>
      <c r="F899" s="49" t="b">
        <v>0</v>
      </c>
      <c r="G899" s="49"/>
      <c r="H899" s="47"/>
      <c r="I899" s="47"/>
      <c r="J899" s="49"/>
      <c r="K899" s="49"/>
      <c r="L899" s="49"/>
      <c r="M899" s="49"/>
      <c r="N899" s="49"/>
      <c r="O899" s="49" t="b">
        <v>0</v>
      </c>
      <c r="P899" s="49"/>
      <c r="Q899" s="49"/>
      <c r="R899" s="49"/>
      <c r="S899" s="49"/>
      <c r="T899" s="49"/>
      <c r="U899" s="58"/>
      <c r="V899" s="49"/>
      <c r="W899" s="58"/>
      <c r="X899" s="49"/>
      <c r="Y899" s="47"/>
      <c r="Z899" s="49"/>
      <c r="AA899" s="49"/>
      <c r="AB899" s="49"/>
      <c r="AC899" s="49"/>
      <c r="AD899" s="49"/>
      <c r="AE899" s="49"/>
      <c r="AF899" s="49"/>
      <c r="AG899" s="49"/>
      <c r="AH899" s="49"/>
      <c r="AI899" s="49"/>
      <c r="AJ899" s="49"/>
      <c r="AK899" s="49"/>
      <c r="AL899" s="49"/>
      <c r="AM899" s="49"/>
      <c r="AN899" s="49"/>
      <c r="AO899" s="49"/>
    </row>
    <row r="900" spans="1:41" ht="13">
      <c r="A900" s="49"/>
      <c r="B900" s="49"/>
      <c r="C900" s="47"/>
      <c r="D900" s="49"/>
      <c r="E900" s="49"/>
      <c r="F900" s="49" t="b">
        <v>0</v>
      </c>
      <c r="G900" s="49"/>
      <c r="H900" s="47"/>
      <c r="I900" s="47"/>
      <c r="J900" s="49"/>
      <c r="K900" s="49"/>
      <c r="L900" s="49"/>
      <c r="M900" s="49"/>
      <c r="N900" s="49"/>
      <c r="O900" s="49" t="b">
        <v>0</v>
      </c>
      <c r="P900" s="49"/>
      <c r="Q900" s="49"/>
      <c r="R900" s="49"/>
      <c r="S900" s="49"/>
      <c r="T900" s="49"/>
      <c r="U900" s="58"/>
      <c r="V900" s="49"/>
      <c r="W900" s="58"/>
      <c r="X900" s="49"/>
      <c r="Y900" s="47"/>
      <c r="Z900" s="49"/>
      <c r="AA900" s="49"/>
      <c r="AB900" s="49"/>
      <c r="AC900" s="49"/>
      <c r="AD900" s="49"/>
      <c r="AE900" s="49"/>
      <c r="AF900" s="49"/>
      <c r="AG900" s="49"/>
      <c r="AH900" s="49"/>
      <c r="AI900" s="49"/>
      <c r="AJ900" s="49"/>
      <c r="AK900" s="49"/>
      <c r="AL900" s="49"/>
      <c r="AM900" s="49"/>
      <c r="AN900" s="49"/>
      <c r="AO900" s="49"/>
    </row>
    <row r="901" spans="1:41" ht="13">
      <c r="A901" s="49"/>
      <c r="B901" s="49"/>
      <c r="C901" s="47"/>
      <c r="D901" s="49"/>
      <c r="E901" s="49"/>
      <c r="F901" s="49" t="b">
        <v>0</v>
      </c>
      <c r="G901" s="49"/>
      <c r="H901" s="47"/>
      <c r="I901" s="47"/>
      <c r="J901" s="49"/>
      <c r="K901" s="49"/>
      <c r="L901" s="49"/>
      <c r="M901" s="49"/>
      <c r="N901" s="49"/>
      <c r="O901" s="49" t="b">
        <v>0</v>
      </c>
      <c r="P901" s="49"/>
      <c r="Q901" s="49"/>
      <c r="R901" s="49"/>
      <c r="S901" s="49"/>
      <c r="T901" s="49"/>
      <c r="U901" s="58"/>
      <c r="V901" s="49"/>
      <c r="W901" s="58"/>
      <c r="X901" s="49"/>
      <c r="Y901" s="47"/>
      <c r="Z901" s="49"/>
      <c r="AA901" s="49"/>
      <c r="AB901" s="49"/>
      <c r="AC901" s="49"/>
      <c r="AD901" s="49"/>
      <c r="AE901" s="49"/>
      <c r="AF901" s="49"/>
      <c r="AG901" s="49"/>
      <c r="AH901" s="49"/>
      <c r="AI901" s="49"/>
      <c r="AJ901" s="49"/>
      <c r="AK901" s="49"/>
      <c r="AL901" s="49"/>
      <c r="AM901" s="49"/>
      <c r="AN901" s="49"/>
      <c r="AO901" s="49"/>
    </row>
    <row r="902" spans="1:41" ht="13">
      <c r="A902" s="49"/>
      <c r="B902" s="49"/>
      <c r="C902" s="47"/>
      <c r="D902" s="49"/>
      <c r="E902" s="49"/>
      <c r="F902" s="49" t="b">
        <v>0</v>
      </c>
      <c r="G902" s="49"/>
      <c r="H902" s="47"/>
      <c r="I902" s="47"/>
      <c r="J902" s="49"/>
      <c r="K902" s="49"/>
      <c r="L902" s="49"/>
      <c r="M902" s="49"/>
      <c r="N902" s="49"/>
      <c r="O902" s="49" t="b">
        <v>0</v>
      </c>
      <c r="P902" s="49"/>
      <c r="Q902" s="49"/>
      <c r="R902" s="49"/>
      <c r="S902" s="49"/>
      <c r="T902" s="49"/>
      <c r="U902" s="58"/>
      <c r="V902" s="49"/>
      <c r="W902" s="58"/>
      <c r="X902" s="49"/>
      <c r="Y902" s="47"/>
      <c r="Z902" s="49"/>
      <c r="AA902" s="49"/>
      <c r="AB902" s="49"/>
      <c r="AC902" s="49"/>
      <c r="AD902" s="49"/>
      <c r="AE902" s="49"/>
      <c r="AF902" s="49"/>
      <c r="AG902" s="49"/>
      <c r="AH902" s="49"/>
      <c r="AI902" s="49"/>
      <c r="AJ902" s="49"/>
      <c r="AK902" s="49"/>
      <c r="AL902" s="49"/>
      <c r="AM902" s="49"/>
      <c r="AN902" s="49"/>
      <c r="AO902" s="49"/>
    </row>
    <row r="903" spans="1:41" ht="13">
      <c r="A903" s="49"/>
      <c r="B903" s="49"/>
      <c r="C903" s="47"/>
      <c r="D903" s="49"/>
      <c r="E903" s="49"/>
      <c r="F903" s="49" t="b">
        <v>0</v>
      </c>
      <c r="G903" s="49"/>
      <c r="H903" s="47"/>
      <c r="I903" s="47"/>
      <c r="J903" s="49"/>
      <c r="K903" s="49"/>
      <c r="L903" s="49"/>
      <c r="M903" s="49"/>
      <c r="N903" s="49"/>
      <c r="O903" s="49" t="b">
        <v>0</v>
      </c>
      <c r="P903" s="49"/>
      <c r="Q903" s="49"/>
      <c r="R903" s="49"/>
      <c r="S903" s="49"/>
      <c r="T903" s="49"/>
      <c r="U903" s="58"/>
      <c r="V903" s="49"/>
      <c r="W903" s="58"/>
      <c r="X903" s="49"/>
      <c r="Y903" s="47"/>
      <c r="Z903" s="49"/>
      <c r="AA903" s="49"/>
      <c r="AB903" s="49"/>
      <c r="AC903" s="49"/>
      <c r="AD903" s="49"/>
      <c r="AE903" s="49"/>
      <c r="AF903" s="49"/>
      <c r="AG903" s="49"/>
      <c r="AH903" s="49"/>
      <c r="AI903" s="49"/>
      <c r="AJ903" s="49"/>
      <c r="AK903" s="49"/>
      <c r="AL903" s="49"/>
      <c r="AM903" s="49"/>
      <c r="AN903" s="49"/>
      <c r="AO903" s="49"/>
    </row>
    <row r="904" spans="1:41" ht="13">
      <c r="A904" s="49"/>
      <c r="B904" s="49"/>
      <c r="C904" s="47"/>
      <c r="D904" s="49"/>
      <c r="E904" s="49"/>
      <c r="F904" s="49" t="b">
        <v>0</v>
      </c>
      <c r="G904" s="49"/>
      <c r="H904" s="47"/>
      <c r="I904" s="47"/>
      <c r="J904" s="49"/>
      <c r="K904" s="49"/>
      <c r="L904" s="49"/>
      <c r="M904" s="49"/>
      <c r="N904" s="49"/>
      <c r="O904" s="49" t="b">
        <v>0</v>
      </c>
      <c r="P904" s="49"/>
      <c r="Q904" s="49"/>
      <c r="R904" s="49"/>
      <c r="S904" s="49"/>
      <c r="T904" s="49"/>
      <c r="U904" s="58"/>
      <c r="V904" s="49"/>
      <c r="W904" s="58"/>
      <c r="X904" s="49"/>
      <c r="Y904" s="47"/>
      <c r="Z904" s="49"/>
      <c r="AA904" s="49"/>
      <c r="AB904" s="49"/>
      <c r="AC904" s="49"/>
      <c r="AD904" s="49"/>
      <c r="AE904" s="49"/>
      <c r="AF904" s="49"/>
      <c r="AG904" s="49"/>
      <c r="AH904" s="49"/>
      <c r="AI904" s="49"/>
      <c r="AJ904" s="49"/>
      <c r="AK904" s="49"/>
      <c r="AL904" s="49"/>
      <c r="AM904" s="49"/>
      <c r="AN904" s="49"/>
      <c r="AO904" s="49"/>
    </row>
    <row r="905" spans="1:41" ht="13">
      <c r="A905" s="49"/>
      <c r="B905" s="49"/>
      <c r="C905" s="47"/>
      <c r="D905" s="49"/>
      <c r="E905" s="49"/>
      <c r="F905" s="49" t="b">
        <v>0</v>
      </c>
      <c r="G905" s="49"/>
      <c r="H905" s="47"/>
      <c r="I905" s="47"/>
      <c r="J905" s="49"/>
      <c r="K905" s="49"/>
      <c r="L905" s="49"/>
      <c r="M905" s="49"/>
      <c r="N905" s="49"/>
      <c r="O905" s="49" t="b">
        <v>0</v>
      </c>
      <c r="P905" s="49"/>
      <c r="Q905" s="49"/>
      <c r="R905" s="49"/>
      <c r="S905" s="49"/>
      <c r="T905" s="49"/>
      <c r="U905" s="58"/>
      <c r="V905" s="49"/>
      <c r="W905" s="58"/>
      <c r="X905" s="49"/>
      <c r="Y905" s="47"/>
      <c r="Z905" s="49"/>
      <c r="AA905" s="49"/>
      <c r="AB905" s="49"/>
      <c r="AC905" s="49"/>
      <c r="AD905" s="49"/>
      <c r="AE905" s="49"/>
      <c r="AF905" s="49"/>
      <c r="AG905" s="49"/>
      <c r="AH905" s="49"/>
      <c r="AI905" s="49"/>
      <c r="AJ905" s="49"/>
      <c r="AK905" s="49"/>
      <c r="AL905" s="49"/>
      <c r="AM905" s="49"/>
      <c r="AN905" s="49"/>
      <c r="AO905" s="49"/>
    </row>
    <row r="906" spans="1:41" ht="13">
      <c r="A906" s="49"/>
      <c r="B906" s="49"/>
      <c r="C906" s="47"/>
      <c r="D906" s="49"/>
      <c r="E906" s="49"/>
      <c r="F906" s="49" t="b">
        <v>0</v>
      </c>
      <c r="G906" s="49"/>
      <c r="H906" s="47"/>
      <c r="I906" s="47"/>
      <c r="J906" s="49"/>
      <c r="K906" s="49"/>
      <c r="L906" s="49"/>
      <c r="M906" s="49"/>
      <c r="N906" s="49"/>
      <c r="O906" s="49" t="b">
        <v>0</v>
      </c>
      <c r="P906" s="49"/>
      <c r="Q906" s="49"/>
      <c r="R906" s="49"/>
      <c r="S906" s="49"/>
      <c r="T906" s="49"/>
      <c r="U906" s="58"/>
      <c r="V906" s="49"/>
      <c r="W906" s="58"/>
      <c r="X906" s="49"/>
      <c r="Y906" s="47"/>
      <c r="Z906" s="49"/>
      <c r="AA906" s="49"/>
      <c r="AB906" s="49"/>
      <c r="AC906" s="49"/>
      <c r="AD906" s="49"/>
      <c r="AE906" s="49"/>
      <c r="AF906" s="49"/>
      <c r="AG906" s="49"/>
      <c r="AH906" s="49"/>
      <c r="AI906" s="49"/>
      <c r="AJ906" s="49"/>
      <c r="AK906" s="49"/>
      <c r="AL906" s="49"/>
      <c r="AM906" s="49"/>
      <c r="AN906" s="49"/>
      <c r="AO906" s="49"/>
    </row>
    <row r="907" spans="1:41" ht="13">
      <c r="A907" s="49"/>
      <c r="B907" s="49"/>
      <c r="C907" s="47"/>
      <c r="D907" s="49"/>
      <c r="E907" s="49"/>
      <c r="F907" s="49" t="b">
        <v>0</v>
      </c>
      <c r="G907" s="49"/>
      <c r="H907" s="47"/>
      <c r="I907" s="47"/>
      <c r="J907" s="49"/>
      <c r="K907" s="49"/>
      <c r="L907" s="49"/>
      <c r="M907" s="49"/>
      <c r="N907" s="49"/>
      <c r="O907" s="49" t="b">
        <v>0</v>
      </c>
      <c r="P907" s="49"/>
      <c r="Q907" s="49"/>
      <c r="R907" s="49"/>
      <c r="S907" s="49"/>
      <c r="T907" s="49"/>
      <c r="U907" s="58"/>
      <c r="V907" s="49"/>
      <c r="W907" s="58"/>
      <c r="X907" s="49"/>
      <c r="Y907" s="47"/>
      <c r="Z907" s="49"/>
      <c r="AA907" s="49"/>
      <c r="AB907" s="49"/>
      <c r="AC907" s="49"/>
      <c r="AD907" s="49"/>
      <c r="AE907" s="49"/>
      <c r="AF907" s="49"/>
      <c r="AG907" s="49"/>
      <c r="AH907" s="49"/>
      <c r="AI907" s="49"/>
      <c r="AJ907" s="49"/>
      <c r="AK907" s="49"/>
      <c r="AL907" s="49"/>
      <c r="AM907" s="49"/>
      <c r="AN907" s="49"/>
      <c r="AO907" s="49"/>
    </row>
    <row r="908" spans="1:41" ht="13">
      <c r="A908" s="49"/>
      <c r="B908" s="49"/>
      <c r="C908" s="47"/>
      <c r="D908" s="49"/>
      <c r="E908" s="49"/>
      <c r="F908" s="49" t="b">
        <v>0</v>
      </c>
      <c r="G908" s="49"/>
      <c r="H908" s="47"/>
      <c r="I908" s="47"/>
      <c r="J908" s="49"/>
      <c r="K908" s="49"/>
      <c r="L908" s="49"/>
      <c r="M908" s="49"/>
      <c r="N908" s="49"/>
      <c r="O908" s="49" t="b">
        <v>0</v>
      </c>
      <c r="P908" s="49"/>
      <c r="Q908" s="49"/>
      <c r="R908" s="49"/>
      <c r="S908" s="49"/>
      <c r="T908" s="49"/>
      <c r="U908" s="58"/>
      <c r="V908" s="49"/>
      <c r="W908" s="58"/>
      <c r="X908" s="49"/>
      <c r="Y908" s="47"/>
      <c r="Z908" s="49"/>
      <c r="AA908" s="49"/>
      <c r="AB908" s="49"/>
      <c r="AC908" s="49"/>
      <c r="AD908" s="49"/>
      <c r="AE908" s="49"/>
      <c r="AF908" s="49"/>
      <c r="AG908" s="49"/>
      <c r="AH908" s="49"/>
      <c r="AI908" s="49"/>
      <c r="AJ908" s="49"/>
      <c r="AK908" s="49"/>
      <c r="AL908" s="49"/>
      <c r="AM908" s="49"/>
      <c r="AN908" s="49"/>
      <c r="AO908" s="49"/>
    </row>
    <row r="909" spans="1:41" ht="13">
      <c r="A909" s="49"/>
      <c r="B909" s="49"/>
      <c r="C909" s="47"/>
      <c r="D909" s="49"/>
      <c r="E909" s="49"/>
      <c r="F909" s="49" t="b">
        <v>0</v>
      </c>
      <c r="G909" s="49"/>
      <c r="H909" s="47"/>
      <c r="I909" s="47"/>
      <c r="J909" s="49"/>
      <c r="K909" s="49"/>
      <c r="L909" s="49"/>
      <c r="M909" s="49"/>
      <c r="N909" s="49"/>
      <c r="O909" s="49" t="b">
        <v>0</v>
      </c>
      <c r="P909" s="49"/>
      <c r="Q909" s="49"/>
      <c r="R909" s="49"/>
      <c r="S909" s="49"/>
      <c r="T909" s="49"/>
      <c r="U909" s="58"/>
      <c r="V909" s="49"/>
      <c r="W909" s="58"/>
      <c r="X909" s="49"/>
      <c r="Y909" s="47"/>
      <c r="Z909" s="49"/>
      <c r="AA909" s="49"/>
      <c r="AB909" s="49"/>
      <c r="AC909" s="49"/>
      <c r="AD909" s="49"/>
      <c r="AE909" s="49"/>
      <c r="AF909" s="49"/>
      <c r="AG909" s="49"/>
      <c r="AH909" s="49"/>
      <c r="AI909" s="49"/>
      <c r="AJ909" s="49"/>
      <c r="AK909" s="49"/>
      <c r="AL909" s="49"/>
      <c r="AM909" s="49"/>
      <c r="AN909" s="49"/>
      <c r="AO909" s="49"/>
    </row>
    <row r="910" spans="1:41" ht="13">
      <c r="A910" s="49"/>
      <c r="B910" s="49"/>
      <c r="C910" s="47"/>
      <c r="D910" s="49"/>
      <c r="E910" s="49"/>
      <c r="F910" s="49" t="b">
        <v>0</v>
      </c>
      <c r="G910" s="49"/>
      <c r="H910" s="47"/>
      <c r="I910" s="47"/>
      <c r="J910" s="49"/>
      <c r="K910" s="49"/>
      <c r="L910" s="49"/>
      <c r="M910" s="49"/>
      <c r="N910" s="49"/>
      <c r="O910" s="49" t="b">
        <v>0</v>
      </c>
      <c r="P910" s="49"/>
      <c r="Q910" s="49"/>
      <c r="R910" s="49"/>
      <c r="S910" s="49"/>
      <c r="T910" s="49"/>
      <c r="U910" s="58"/>
      <c r="V910" s="49"/>
      <c r="W910" s="58"/>
      <c r="X910" s="49"/>
      <c r="Y910" s="47"/>
      <c r="Z910" s="49"/>
      <c r="AA910" s="49"/>
      <c r="AB910" s="49"/>
      <c r="AC910" s="49"/>
      <c r="AD910" s="49"/>
      <c r="AE910" s="49"/>
      <c r="AF910" s="49"/>
      <c r="AG910" s="49"/>
      <c r="AH910" s="49"/>
      <c r="AI910" s="49"/>
      <c r="AJ910" s="49"/>
      <c r="AK910" s="49"/>
      <c r="AL910" s="49"/>
      <c r="AM910" s="49"/>
      <c r="AN910" s="49"/>
      <c r="AO910" s="49"/>
    </row>
    <row r="911" spans="1:41" ht="13">
      <c r="A911" s="49"/>
      <c r="B911" s="49"/>
      <c r="C911" s="47"/>
      <c r="D911" s="49"/>
      <c r="E911" s="49"/>
      <c r="F911" s="49" t="b">
        <v>0</v>
      </c>
      <c r="G911" s="49"/>
      <c r="H911" s="47"/>
      <c r="I911" s="47"/>
      <c r="J911" s="49"/>
      <c r="K911" s="49"/>
      <c r="L911" s="49"/>
      <c r="M911" s="49"/>
      <c r="N911" s="49"/>
      <c r="O911" s="49" t="b">
        <v>0</v>
      </c>
      <c r="P911" s="49"/>
      <c r="Q911" s="49"/>
      <c r="R911" s="49"/>
      <c r="S911" s="49"/>
      <c r="T911" s="49"/>
      <c r="U911" s="58"/>
      <c r="V911" s="49"/>
      <c r="W911" s="58"/>
      <c r="X911" s="49"/>
      <c r="Y911" s="47"/>
      <c r="Z911" s="49"/>
      <c r="AA911" s="49"/>
      <c r="AB911" s="49"/>
      <c r="AC911" s="49"/>
      <c r="AD911" s="49"/>
      <c r="AE911" s="49"/>
      <c r="AF911" s="49"/>
      <c r="AG911" s="49"/>
      <c r="AH911" s="49"/>
      <c r="AI911" s="49"/>
      <c r="AJ911" s="49"/>
      <c r="AK911" s="49"/>
      <c r="AL911" s="49"/>
      <c r="AM911" s="49"/>
      <c r="AN911" s="49"/>
      <c r="AO911" s="49"/>
    </row>
    <row r="912" spans="1:41" ht="13">
      <c r="A912" s="49"/>
      <c r="B912" s="49"/>
      <c r="C912" s="47"/>
      <c r="D912" s="49"/>
      <c r="E912" s="49"/>
      <c r="F912" s="49" t="b">
        <v>0</v>
      </c>
      <c r="G912" s="49"/>
      <c r="H912" s="47"/>
      <c r="I912" s="47"/>
      <c r="J912" s="49"/>
      <c r="K912" s="49"/>
      <c r="L912" s="49"/>
      <c r="M912" s="49"/>
      <c r="N912" s="49"/>
      <c r="O912" s="49" t="b">
        <v>0</v>
      </c>
      <c r="P912" s="49"/>
      <c r="Q912" s="49"/>
      <c r="R912" s="49"/>
      <c r="S912" s="49"/>
      <c r="T912" s="49"/>
      <c r="U912" s="58"/>
      <c r="V912" s="49"/>
      <c r="W912" s="58"/>
      <c r="X912" s="49"/>
      <c r="Y912" s="47"/>
      <c r="Z912" s="49"/>
      <c r="AA912" s="49"/>
      <c r="AB912" s="49"/>
      <c r="AC912" s="49"/>
      <c r="AD912" s="49"/>
      <c r="AE912" s="49"/>
      <c r="AF912" s="49"/>
      <c r="AG912" s="49"/>
      <c r="AH912" s="49"/>
      <c r="AI912" s="49"/>
      <c r="AJ912" s="49"/>
      <c r="AK912" s="49"/>
      <c r="AL912" s="49"/>
      <c r="AM912" s="49"/>
      <c r="AN912" s="49"/>
      <c r="AO912" s="49"/>
    </row>
    <row r="913" spans="1:41" ht="13">
      <c r="A913" s="49"/>
      <c r="B913" s="49"/>
      <c r="C913" s="47"/>
      <c r="D913" s="49"/>
      <c r="E913" s="49"/>
      <c r="F913" s="49" t="b">
        <v>0</v>
      </c>
      <c r="G913" s="49"/>
      <c r="H913" s="47"/>
      <c r="I913" s="47"/>
      <c r="J913" s="49"/>
      <c r="K913" s="49"/>
      <c r="L913" s="49"/>
      <c r="M913" s="49"/>
      <c r="N913" s="49"/>
      <c r="O913" s="49" t="b">
        <v>0</v>
      </c>
      <c r="P913" s="49"/>
      <c r="Q913" s="49"/>
      <c r="R913" s="49"/>
      <c r="S913" s="49"/>
      <c r="T913" s="49"/>
      <c r="U913" s="58"/>
      <c r="V913" s="49"/>
      <c r="W913" s="58"/>
      <c r="X913" s="49"/>
      <c r="Y913" s="47"/>
      <c r="Z913" s="49"/>
      <c r="AA913" s="49"/>
      <c r="AB913" s="49"/>
      <c r="AC913" s="49"/>
      <c r="AD913" s="49"/>
      <c r="AE913" s="49"/>
      <c r="AF913" s="49"/>
      <c r="AG913" s="49"/>
      <c r="AH913" s="49"/>
      <c r="AI913" s="49"/>
      <c r="AJ913" s="49"/>
      <c r="AK913" s="49"/>
      <c r="AL913" s="49"/>
      <c r="AM913" s="49"/>
      <c r="AN913" s="49"/>
      <c r="AO913" s="49"/>
    </row>
    <row r="914" spans="1:41" ht="13">
      <c r="A914" s="49"/>
      <c r="B914" s="49"/>
      <c r="C914" s="47"/>
      <c r="D914" s="49"/>
      <c r="E914" s="49"/>
      <c r="F914" s="49" t="b">
        <v>0</v>
      </c>
      <c r="G914" s="49"/>
      <c r="H914" s="47"/>
      <c r="I914" s="47"/>
      <c r="J914" s="49"/>
      <c r="K914" s="49"/>
      <c r="L914" s="49"/>
      <c r="M914" s="49"/>
      <c r="N914" s="49"/>
      <c r="O914" s="49" t="b">
        <v>0</v>
      </c>
      <c r="P914" s="49"/>
      <c r="Q914" s="49"/>
      <c r="R914" s="49"/>
      <c r="S914" s="49"/>
      <c r="T914" s="49"/>
      <c r="U914" s="58"/>
      <c r="V914" s="49"/>
      <c r="W914" s="58"/>
      <c r="X914" s="49"/>
      <c r="Y914" s="47"/>
      <c r="Z914" s="49"/>
      <c r="AA914" s="49"/>
      <c r="AB914" s="49"/>
      <c r="AC914" s="49"/>
      <c r="AD914" s="49"/>
      <c r="AE914" s="49"/>
      <c r="AF914" s="49"/>
      <c r="AG914" s="49"/>
      <c r="AH914" s="49"/>
      <c r="AI914" s="49"/>
      <c r="AJ914" s="49"/>
      <c r="AK914" s="49"/>
      <c r="AL914" s="49"/>
      <c r="AM914" s="49"/>
      <c r="AN914" s="49"/>
      <c r="AO914" s="49"/>
    </row>
    <row r="915" spans="1:41" ht="13">
      <c r="A915" s="49"/>
      <c r="B915" s="49"/>
      <c r="C915" s="47"/>
      <c r="D915" s="49"/>
      <c r="E915" s="49"/>
      <c r="F915" s="49" t="b">
        <v>0</v>
      </c>
      <c r="G915" s="49"/>
      <c r="H915" s="47"/>
      <c r="I915" s="47"/>
      <c r="J915" s="49"/>
      <c r="K915" s="49"/>
      <c r="L915" s="49"/>
      <c r="M915" s="49"/>
      <c r="N915" s="49"/>
      <c r="O915" s="49" t="b">
        <v>0</v>
      </c>
      <c r="P915" s="49"/>
      <c r="Q915" s="49"/>
      <c r="R915" s="49"/>
      <c r="S915" s="49"/>
      <c r="T915" s="49"/>
      <c r="U915" s="58"/>
      <c r="V915" s="49"/>
      <c r="W915" s="58"/>
      <c r="X915" s="49"/>
      <c r="Y915" s="47"/>
      <c r="Z915" s="49"/>
      <c r="AA915" s="49"/>
      <c r="AB915" s="49"/>
      <c r="AC915" s="49"/>
      <c r="AD915" s="49"/>
      <c r="AE915" s="49"/>
      <c r="AF915" s="49"/>
      <c r="AG915" s="49"/>
      <c r="AH915" s="49"/>
      <c r="AI915" s="49"/>
      <c r="AJ915" s="49"/>
      <c r="AK915" s="49"/>
      <c r="AL915" s="49"/>
      <c r="AM915" s="49"/>
      <c r="AN915" s="49"/>
      <c r="AO915" s="49"/>
    </row>
    <row r="916" spans="1:41" ht="13">
      <c r="A916" s="49"/>
      <c r="B916" s="49"/>
      <c r="C916" s="47"/>
      <c r="D916" s="49"/>
      <c r="E916" s="49"/>
      <c r="F916" s="49" t="b">
        <v>0</v>
      </c>
      <c r="G916" s="49"/>
      <c r="H916" s="47"/>
      <c r="I916" s="47"/>
      <c r="J916" s="49"/>
      <c r="K916" s="49"/>
      <c r="L916" s="49"/>
      <c r="M916" s="49"/>
      <c r="N916" s="49"/>
      <c r="O916" s="49" t="b">
        <v>0</v>
      </c>
      <c r="P916" s="49"/>
      <c r="Q916" s="49"/>
      <c r="R916" s="49"/>
      <c r="S916" s="49"/>
      <c r="T916" s="49"/>
      <c r="U916" s="58"/>
      <c r="V916" s="49"/>
      <c r="W916" s="58"/>
      <c r="X916" s="49"/>
      <c r="Y916" s="47"/>
      <c r="Z916" s="49"/>
      <c r="AA916" s="49"/>
      <c r="AB916" s="49"/>
      <c r="AC916" s="49"/>
      <c r="AD916" s="49"/>
      <c r="AE916" s="49"/>
      <c r="AF916" s="49"/>
      <c r="AG916" s="49"/>
      <c r="AH916" s="49"/>
      <c r="AI916" s="49"/>
      <c r="AJ916" s="49"/>
      <c r="AK916" s="49"/>
      <c r="AL916" s="49"/>
      <c r="AM916" s="49"/>
      <c r="AN916" s="49"/>
      <c r="AO916" s="49"/>
    </row>
    <row r="917" spans="1:41" ht="13">
      <c r="A917" s="49"/>
      <c r="B917" s="49"/>
      <c r="C917" s="47"/>
      <c r="D917" s="49"/>
      <c r="E917" s="49"/>
      <c r="F917" s="49" t="b">
        <v>0</v>
      </c>
      <c r="G917" s="49"/>
      <c r="H917" s="47"/>
      <c r="I917" s="47"/>
      <c r="J917" s="49"/>
      <c r="K917" s="49"/>
      <c r="L917" s="49"/>
      <c r="M917" s="49"/>
      <c r="N917" s="49"/>
      <c r="O917" s="49" t="b">
        <v>0</v>
      </c>
      <c r="P917" s="49"/>
      <c r="Q917" s="49"/>
      <c r="R917" s="49"/>
      <c r="S917" s="49"/>
      <c r="T917" s="49"/>
      <c r="U917" s="58"/>
      <c r="V917" s="49"/>
      <c r="W917" s="58"/>
      <c r="X917" s="49"/>
      <c r="Y917" s="47"/>
      <c r="Z917" s="49"/>
      <c r="AA917" s="49"/>
      <c r="AB917" s="49"/>
      <c r="AC917" s="49"/>
      <c r="AD917" s="49"/>
      <c r="AE917" s="49"/>
      <c r="AF917" s="49"/>
      <c r="AG917" s="49"/>
      <c r="AH917" s="49"/>
      <c r="AI917" s="49"/>
      <c r="AJ917" s="49"/>
      <c r="AK917" s="49"/>
      <c r="AL917" s="49"/>
      <c r="AM917" s="49"/>
      <c r="AN917" s="49"/>
      <c r="AO917" s="49"/>
    </row>
    <row r="918" spans="1:41" ht="13">
      <c r="A918" s="49"/>
      <c r="B918" s="49"/>
      <c r="C918" s="47"/>
      <c r="D918" s="49"/>
      <c r="E918" s="49"/>
      <c r="F918" s="49" t="b">
        <v>0</v>
      </c>
      <c r="G918" s="49"/>
      <c r="H918" s="47"/>
      <c r="I918" s="47"/>
      <c r="J918" s="49"/>
      <c r="K918" s="49"/>
      <c r="L918" s="49"/>
      <c r="M918" s="49"/>
      <c r="N918" s="49"/>
      <c r="O918" s="49" t="b">
        <v>0</v>
      </c>
      <c r="P918" s="49"/>
      <c r="Q918" s="49"/>
      <c r="R918" s="49"/>
      <c r="S918" s="49"/>
      <c r="T918" s="49"/>
      <c r="U918" s="58"/>
      <c r="V918" s="49"/>
      <c r="W918" s="58"/>
      <c r="X918" s="49"/>
      <c r="Y918" s="47"/>
      <c r="Z918" s="49"/>
      <c r="AA918" s="49"/>
      <c r="AB918" s="49"/>
      <c r="AC918" s="49"/>
      <c r="AD918" s="49"/>
      <c r="AE918" s="49"/>
      <c r="AF918" s="49"/>
      <c r="AG918" s="49"/>
      <c r="AH918" s="49"/>
      <c r="AI918" s="49"/>
      <c r="AJ918" s="49"/>
      <c r="AK918" s="49"/>
      <c r="AL918" s="49"/>
      <c r="AM918" s="49"/>
      <c r="AN918" s="49"/>
      <c r="AO918" s="49"/>
    </row>
    <row r="919" spans="1:41" ht="13">
      <c r="A919" s="49"/>
      <c r="B919" s="49"/>
      <c r="C919" s="47"/>
      <c r="D919" s="49"/>
      <c r="E919" s="49"/>
      <c r="F919" s="49" t="b">
        <v>0</v>
      </c>
      <c r="G919" s="49"/>
      <c r="H919" s="47"/>
      <c r="I919" s="47"/>
      <c r="J919" s="49"/>
      <c r="K919" s="49"/>
      <c r="L919" s="49"/>
      <c r="M919" s="49"/>
      <c r="N919" s="49"/>
      <c r="O919" s="49" t="b">
        <v>0</v>
      </c>
      <c r="P919" s="49"/>
      <c r="Q919" s="49"/>
      <c r="R919" s="49"/>
      <c r="S919" s="49"/>
      <c r="T919" s="49"/>
      <c r="U919" s="58"/>
      <c r="V919" s="49"/>
      <c r="W919" s="58"/>
      <c r="X919" s="49"/>
      <c r="Y919" s="47"/>
      <c r="Z919" s="49"/>
      <c r="AA919" s="49"/>
      <c r="AB919" s="49"/>
      <c r="AC919" s="49"/>
      <c r="AD919" s="49"/>
      <c r="AE919" s="49"/>
      <c r="AF919" s="49"/>
      <c r="AG919" s="49"/>
      <c r="AH919" s="49"/>
      <c r="AI919" s="49"/>
      <c r="AJ919" s="49"/>
      <c r="AK919" s="49"/>
      <c r="AL919" s="49"/>
      <c r="AM919" s="49"/>
      <c r="AN919" s="49"/>
      <c r="AO919" s="49"/>
    </row>
    <row r="920" spans="1:41" ht="13">
      <c r="A920" s="49"/>
      <c r="B920" s="49"/>
      <c r="C920" s="47"/>
      <c r="D920" s="49"/>
      <c r="E920" s="49"/>
      <c r="F920" s="49" t="b">
        <v>0</v>
      </c>
      <c r="G920" s="49"/>
      <c r="H920" s="47"/>
      <c r="I920" s="47"/>
      <c r="J920" s="49"/>
      <c r="K920" s="49"/>
      <c r="L920" s="49"/>
      <c r="M920" s="49"/>
      <c r="N920" s="49"/>
      <c r="O920" s="49" t="b">
        <v>0</v>
      </c>
      <c r="P920" s="49"/>
      <c r="Q920" s="49"/>
      <c r="R920" s="49"/>
      <c r="S920" s="49"/>
      <c r="T920" s="49"/>
      <c r="U920" s="58"/>
      <c r="V920" s="49"/>
      <c r="W920" s="58"/>
      <c r="X920" s="49"/>
      <c r="Y920" s="47"/>
      <c r="Z920" s="49"/>
      <c r="AA920" s="49"/>
      <c r="AB920" s="49"/>
      <c r="AC920" s="49"/>
      <c r="AD920" s="49"/>
      <c r="AE920" s="49"/>
      <c r="AF920" s="49"/>
      <c r="AG920" s="49"/>
      <c r="AH920" s="49"/>
      <c r="AI920" s="49"/>
      <c r="AJ920" s="49"/>
      <c r="AK920" s="49"/>
      <c r="AL920" s="49"/>
      <c r="AM920" s="49"/>
      <c r="AN920" s="49"/>
      <c r="AO920" s="49"/>
    </row>
    <row r="921" spans="1:41" ht="13">
      <c r="A921" s="49"/>
      <c r="B921" s="49"/>
      <c r="C921" s="47"/>
      <c r="D921" s="49"/>
      <c r="E921" s="49"/>
      <c r="F921" s="49" t="b">
        <v>0</v>
      </c>
      <c r="G921" s="49"/>
      <c r="H921" s="47"/>
      <c r="I921" s="47"/>
      <c r="J921" s="49"/>
      <c r="K921" s="49"/>
      <c r="L921" s="49"/>
      <c r="M921" s="49"/>
      <c r="N921" s="49"/>
      <c r="O921" s="49" t="b">
        <v>0</v>
      </c>
      <c r="P921" s="49"/>
      <c r="Q921" s="49"/>
      <c r="R921" s="49"/>
      <c r="S921" s="49"/>
      <c r="T921" s="49"/>
      <c r="U921" s="58"/>
      <c r="V921" s="49"/>
      <c r="W921" s="58"/>
      <c r="X921" s="49"/>
      <c r="Y921" s="47"/>
      <c r="Z921" s="49"/>
      <c r="AA921" s="49"/>
      <c r="AB921" s="49"/>
      <c r="AC921" s="49"/>
      <c r="AD921" s="49"/>
      <c r="AE921" s="49"/>
      <c r="AF921" s="49"/>
      <c r="AG921" s="49"/>
      <c r="AH921" s="49"/>
      <c r="AI921" s="49"/>
      <c r="AJ921" s="49"/>
      <c r="AK921" s="49"/>
      <c r="AL921" s="49"/>
      <c r="AM921" s="49"/>
      <c r="AN921" s="49"/>
      <c r="AO921" s="49"/>
    </row>
    <row r="922" spans="1:41" ht="13">
      <c r="A922" s="49"/>
      <c r="B922" s="49"/>
      <c r="C922" s="47"/>
      <c r="D922" s="49"/>
      <c r="E922" s="49"/>
      <c r="F922" s="49" t="b">
        <v>0</v>
      </c>
      <c r="G922" s="49"/>
      <c r="H922" s="47"/>
      <c r="I922" s="47"/>
      <c r="J922" s="49"/>
      <c r="K922" s="49"/>
      <c r="L922" s="49"/>
      <c r="M922" s="49"/>
      <c r="N922" s="49"/>
      <c r="O922" s="49" t="b">
        <v>0</v>
      </c>
      <c r="P922" s="49"/>
      <c r="Q922" s="49"/>
      <c r="R922" s="49"/>
      <c r="S922" s="49"/>
      <c r="T922" s="49"/>
      <c r="U922" s="58"/>
      <c r="V922" s="49"/>
      <c r="W922" s="58"/>
      <c r="X922" s="49"/>
      <c r="Y922" s="47"/>
      <c r="Z922" s="49"/>
      <c r="AA922" s="49"/>
      <c r="AB922" s="49"/>
      <c r="AC922" s="49"/>
      <c r="AD922" s="49"/>
      <c r="AE922" s="49"/>
      <c r="AF922" s="49"/>
      <c r="AG922" s="49"/>
      <c r="AH922" s="49"/>
      <c r="AI922" s="49"/>
      <c r="AJ922" s="49"/>
      <c r="AK922" s="49"/>
      <c r="AL922" s="49"/>
      <c r="AM922" s="49"/>
      <c r="AN922" s="49"/>
      <c r="AO922" s="49"/>
    </row>
    <row r="923" spans="1:41" ht="13">
      <c r="A923" s="49"/>
      <c r="B923" s="49"/>
      <c r="C923" s="47"/>
      <c r="D923" s="49"/>
      <c r="E923" s="49"/>
      <c r="F923" s="49" t="b">
        <v>0</v>
      </c>
      <c r="G923" s="49"/>
      <c r="H923" s="47"/>
      <c r="I923" s="47"/>
      <c r="J923" s="49"/>
      <c r="K923" s="49"/>
      <c r="L923" s="49"/>
      <c r="M923" s="49"/>
      <c r="N923" s="49"/>
      <c r="O923" s="49" t="b">
        <v>0</v>
      </c>
      <c r="P923" s="49"/>
      <c r="Q923" s="49"/>
      <c r="R923" s="49"/>
      <c r="S923" s="49"/>
      <c r="T923" s="49"/>
      <c r="U923" s="58"/>
      <c r="V923" s="49"/>
      <c r="W923" s="58"/>
      <c r="X923" s="49"/>
      <c r="Y923" s="47"/>
      <c r="Z923" s="49"/>
      <c r="AA923" s="49"/>
      <c r="AB923" s="49"/>
      <c r="AC923" s="49"/>
      <c r="AD923" s="49"/>
      <c r="AE923" s="49"/>
      <c r="AF923" s="49"/>
      <c r="AG923" s="49"/>
      <c r="AH923" s="49"/>
      <c r="AI923" s="49"/>
      <c r="AJ923" s="49"/>
      <c r="AK923" s="49"/>
      <c r="AL923" s="49"/>
      <c r="AM923" s="49"/>
      <c r="AN923" s="49"/>
      <c r="AO923" s="49"/>
    </row>
    <row r="924" spans="1:41" ht="13">
      <c r="A924" s="49"/>
      <c r="B924" s="49"/>
      <c r="C924" s="47"/>
      <c r="D924" s="49"/>
      <c r="E924" s="49"/>
      <c r="F924" s="49" t="b">
        <v>0</v>
      </c>
      <c r="G924" s="49"/>
      <c r="H924" s="47"/>
      <c r="I924" s="47"/>
      <c r="J924" s="49"/>
      <c r="K924" s="49"/>
      <c r="L924" s="49"/>
      <c r="M924" s="49"/>
      <c r="N924" s="49"/>
      <c r="O924" s="49" t="b">
        <v>0</v>
      </c>
      <c r="P924" s="49"/>
      <c r="Q924" s="49"/>
      <c r="R924" s="49"/>
      <c r="S924" s="49"/>
      <c r="T924" s="49"/>
      <c r="U924" s="58"/>
      <c r="V924" s="49"/>
      <c r="W924" s="58"/>
      <c r="X924" s="49"/>
      <c r="Y924" s="47"/>
      <c r="Z924" s="49"/>
      <c r="AA924" s="49"/>
      <c r="AB924" s="49"/>
      <c r="AC924" s="49"/>
      <c r="AD924" s="49"/>
      <c r="AE924" s="49"/>
      <c r="AF924" s="49"/>
      <c r="AG924" s="49"/>
      <c r="AH924" s="49"/>
      <c r="AI924" s="49"/>
      <c r="AJ924" s="49"/>
      <c r="AK924" s="49"/>
      <c r="AL924" s="49"/>
      <c r="AM924" s="49"/>
      <c r="AN924" s="49"/>
      <c r="AO924" s="49"/>
    </row>
    <row r="925" spans="1:41" ht="13">
      <c r="A925" s="49"/>
      <c r="B925" s="49"/>
      <c r="C925" s="47"/>
      <c r="D925" s="49"/>
      <c r="E925" s="49"/>
      <c r="F925" s="49" t="b">
        <v>0</v>
      </c>
      <c r="G925" s="49"/>
      <c r="H925" s="47"/>
      <c r="I925" s="47"/>
      <c r="J925" s="49"/>
      <c r="K925" s="49"/>
      <c r="L925" s="49"/>
      <c r="M925" s="49"/>
      <c r="N925" s="49"/>
      <c r="O925" s="49" t="b">
        <v>0</v>
      </c>
      <c r="P925" s="49"/>
      <c r="Q925" s="49"/>
      <c r="R925" s="49"/>
      <c r="S925" s="49"/>
      <c r="T925" s="49"/>
      <c r="U925" s="58"/>
      <c r="V925" s="49"/>
      <c r="W925" s="58"/>
      <c r="X925" s="49"/>
      <c r="Y925" s="47"/>
      <c r="Z925" s="49"/>
      <c r="AA925" s="49"/>
      <c r="AB925" s="49"/>
      <c r="AC925" s="49"/>
      <c r="AD925" s="49"/>
      <c r="AE925" s="49"/>
      <c r="AF925" s="49"/>
      <c r="AG925" s="49"/>
      <c r="AH925" s="49"/>
      <c r="AI925" s="49"/>
      <c r="AJ925" s="49"/>
      <c r="AK925" s="49"/>
      <c r="AL925" s="49"/>
      <c r="AM925" s="49"/>
      <c r="AN925" s="49"/>
      <c r="AO925" s="49"/>
    </row>
    <row r="926" spans="1:41" ht="13">
      <c r="A926" s="49"/>
      <c r="B926" s="49"/>
      <c r="C926" s="47"/>
      <c r="D926" s="49"/>
      <c r="E926" s="49"/>
      <c r="F926" s="49" t="b">
        <v>0</v>
      </c>
      <c r="G926" s="49"/>
      <c r="H926" s="47"/>
      <c r="I926" s="47"/>
      <c r="J926" s="49"/>
      <c r="K926" s="49"/>
      <c r="L926" s="49"/>
      <c r="M926" s="49"/>
      <c r="N926" s="49"/>
      <c r="O926" s="49" t="b">
        <v>0</v>
      </c>
      <c r="P926" s="49"/>
      <c r="Q926" s="49"/>
      <c r="R926" s="49"/>
      <c r="S926" s="49"/>
      <c r="T926" s="49"/>
      <c r="U926" s="58"/>
      <c r="V926" s="49"/>
      <c r="W926" s="58"/>
      <c r="X926" s="49"/>
      <c r="Y926" s="47"/>
      <c r="Z926" s="49"/>
      <c r="AA926" s="49"/>
      <c r="AB926" s="49"/>
      <c r="AC926" s="49"/>
      <c r="AD926" s="49"/>
      <c r="AE926" s="49"/>
      <c r="AF926" s="49"/>
      <c r="AG926" s="49"/>
      <c r="AH926" s="49"/>
      <c r="AI926" s="49"/>
      <c r="AJ926" s="49"/>
      <c r="AK926" s="49"/>
      <c r="AL926" s="49"/>
      <c r="AM926" s="49"/>
      <c r="AN926" s="49"/>
      <c r="AO926" s="49"/>
    </row>
    <row r="927" spans="1:41" ht="13">
      <c r="A927" s="49"/>
      <c r="B927" s="49"/>
      <c r="C927" s="47"/>
      <c r="D927" s="49"/>
      <c r="E927" s="49"/>
      <c r="F927" s="49" t="b">
        <v>0</v>
      </c>
      <c r="G927" s="49"/>
      <c r="H927" s="47"/>
      <c r="I927" s="47"/>
      <c r="J927" s="49"/>
      <c r="K927" s="49"/>
      <c r="L927" s="49"/>
      <c r="M927" s="49"/>
      <c r="N927" s="49"/>
      <c r="O927" s="49" t="b">
        <v>0</v>
      </c>
      <c r="P927" s="49"/>
      <c r="Q927" s="49"/>
      <c r="R927" s="49"/>
      <c r="S927" s="49"/>
      <c r="T927" s="49"/>
      <c r="U927" s="58"/>
      <c r="V927" s="49"/>
      <c r="W927" s="58"/>
      <c r="X927" s="49"/>
      <c r="Y927" s="47"/>
      <c r="Z927" s="49"/>
      <c r="AA927" s="49"/>
      <c r="AB927" s="49"/>
      <c r="AC927" s="49"/>
      <c r="AD927" s="49"/>
      <c r="AE927" s="49"/>
      <c r="AF927" s="49"/>
      <c r="AG927" s="49"/>
      <c r="AH927" s="49"/>
      <c r="AI927" s="49"/>
      <c r="AJ927" s="49"/>
      <c r="AK927" s="49"/>
      <c r="AL927" s="49"/>
      <c r="AM927" s="49"/>
      <c r="AN927" s="49"/>
      <c r="AO927" s="49"/>
    </row>
    <row r="928" spans="1:41" ht="13">
      <c r="A928" s="49"/>
      <c r="B928" s="49"/>
      <c r="C928" s="47"/>
      <c r="D928" s="49"/>
      <c r="E928" s="49"/>
      <c r="F928" s="49" t="b">
        <v>0</v>
      </c>
      <c r="G928" s="49"/>
      <c r="H928" s="47"/>
      <c r="I928" s="47"/>
      <c r="J928" s="49"/>
      <c r="K928" s="49"/>
      <c r="L928" s="49"/>
      <c r="M928" s="49"/>
      <c r="N928" s="49"/>
      <c r="O928" s="49" t="b">
        <v>0</v>
      </c>
      <c r="P928" s="49"/>
      <c r="Q928" s="49"/>
      <c r="R928" s="49"/>
      <c r="S928" s="49"/>
      <c r="T928" s="49"/>
      <c r="U928" s="58"/>
      <c r="V928" s="49"/>
      <c r="W928" s="58"/>
      <c r="X928" s="49"/>
      <c r="Y928" s="47"/>
      <c r="Z928" s="49"/>
      <c r="AA928" s="49"/>
      <c r="AB928" s="49"/>
      <c r="AC928" s="49"/>
      <c r="AD928" s="49"/>
      <c r="AE928" s="49"/>
      <c r="AF928" s="49"/>
      <c r="AG928" s="49"/>
      <c r="AH928" s="49"/>
      <c r="AI928" s="49"/>
      <c r="AJ928" s="49"/>
      <c r="AK928" s="49"/>
      <c r="AL928" s="49"/>
      <c r="AM928" s="49"/>
      <c r="AN928" s="49"/>
      <c r="AO928" s="49"/>
    </row>
    <row r="929" spans="1:41" ht="13">
      <c r="A929" s="49"/>
      <c r="B929" s="49"/>
      <c r="C929" s="47"/>
      <c r="D929" s="49"/>
      <c r="E929" s="49"/>
      <c r="F929" s="49" t="b">
        <v>0</v>
      </c>
      <c r="G929" s="49"/>
      <c r="H929" s="47"/>
      <c r="I929" s="47"/>
      <c r="J929" s="49"/>
      <c r="K929" s="49"/>
      <c r="L929" s="49"/>
      <c r="M929" s="49"/>
      <c r="N929" s="49"/>
      <c r="O929" s="49" t="b">
        <v>0</v>
      </c>
      <c r="P929" s="49"/>
      <c r="Q929" s="49"/>
      <c r="R929" s="49"/>
      <c r="S929" s="49"/>
      <c r="T929" s="49"/>
      <c r="U929" s="58"/>
      <c r="V929" s="49"/>
      <c r="W929" s="58"/>
      <c r="X929" s="49"/>
      <c r="Y929" s="47"/>
      <c r="Z929" s="49"/>
      <c r="AA929" s="49"/>
      <c r="AB929" s="49"/>
      <c r="AC929" s="49"/>
      <c r="AD929" s="49"/>
      <c r="AE929" s="49"/>
      <c r="AF929" s="49"/>
      <c r="AG929" s="49"/>
      <c r="AH929" s="49"/>
      <c r="AI929" s="49"/>
      <c r="AJ929" s="49"/>
      <c r="AK929" s="49"/>
      <c r="AL929" s="49"/>
      <c r="AM929" s="49"/>
      <c r="AN929" s="49"/>
      <c r="AO929" s="49"/>
    </row>
    <row r="930" spans="1:41" ht="13">
      <c r="A930" s="49"/>
      <c r="B930" s="49"/>
      <c r="C930" s="47"/>
      <c r="D930" s="49"/>
      <c r="E930" s="49"/>
      <c r="F930" s="49" t="b">
        <v>0</v>
      </c>
      <c r="G930" s="49"/>
      <c r="H930" s="47"/>
      <c r="I930" s="47"/>
      <c r="J930" s="49"/>
      <c r="K930" s="49"/>
      <c r="L930" s="49"/>
      <c r="M930" s="49"/>
      <c r="N930" s="49"/>
      <c r="O930" s="49" t="b">
        <v>0</v>
      </c>
      <c r="P930" s="49"/>
      <c r="Q930" s="49"/>
      <c r="R930" s="49"/>
      <c r="S930" s="49"/>
      <c r="T930" s="49"/>
      <c r="U930" s="58"/>
      <c r="V930" s="49"/>
      <c r="W930" s="58"/>
      <c r="X930" s="49"/>
      <c r="Y930" s="47"/>
      <c r="Z930" s="49"/>
      <c r="AA930" s="49"/>
      <c r="AB930" s="49"/>
      <c r="AC930" s="49"/>
      <c r="AD930" s="49"/>
      <c r="AE930" s="49"/>
      <c r="AF930" s="49"/>
      <c r="AG930" s="49"/>
      <c r="AH930" s="49"/>
      <c r="AI930" s="49"/>
      <c r="AJ930" s="49"/>
      <c r="AK930" s="49"/>
      <c r="AL930" s="49"/>
      <c r="AM930" s="49"/>
      <c r="AN930" s="49"/>
      <c r="AO930" s="49"/>
    </row>
    <row r="931" spans="1:41" ht="13">
      <c r="A931" s="49"/>
      <c r="B931" s="49"/>
      <c r="C931" s="47"/>
      <c r="D931" s="49"/>
      <c r="E931" s="49"/>
      <c r="F931" s="49" t="b">
        <v>0</v>
      </c>
      <c r="G931" s="49"/>
      <c r="H931" s="47"/>
      <c r="I931" s="47"/>
      <c r="J931" s="49"/>
      <c r="K931" s="49"/>
      <c r="L931" s="49"/>
      <c r="M931" s="49"/>
      <c r="N931" s="49"/>
      <c r="O931" s="49" t="b">
        <v>0</v>
      </c>
      <c r="P931" s="49"/>
      <c r="Q931" s="49"/>
      <c r="R931" s="49"/>
      <c r="S931" s="49"/>
      <c r="T931" s="49"/>
      <c r="U931" s="58"/>
      <c r="V931" s="49"/>
      <c r="W931" s="58"/>
      <c r="X931" s="49"/>
      <c r="Y931" s="47"/>
      <c r="Z931" s="49"/>
      <c r="AA931" s="49"/>
      <c r="AB931" s="49"/>
      <c r="AC931" s="49"/>
      <c r="AD931" s="49"/>
      <c r="AE931" s="49"/>
      <c r="AF931" s="49"/>
      <c r="AG931" s="49"/>
      <c r="AH931" s="49"/>
      <c r="AI931" s="49"/>
      <c r="AJ931" s="49"/>
      <c r="AK931" s="49"/>
      <c r="AL931" s="49"/>
      <c r="AM931" s="49"/>
      <c r="AN931" s="49"/>
      <c r="AO931" s="49"/>
    </row>
    <row r="932" spans="1:41" ht="13">
      <c r="A932" s="49"/>
      <c r="B932" s="49"/>
      <c r="C932" s="47"/>
      <c r="D932" s="49"/>
      <c r="E932" s="49"/>
      <c r="F932" s="49" t="b">
        <v>0</v>
      </c>
      <c r="G932" s="49"/>
      <c r="H932" s="47"/>
      <c r="I932" s="47"/>
      <c r="J932" s="49"/>
      <c r="K932" s="49"/>
      <c r="L932" s="49"/>
      <c r="M932" s="49"/>
      <c r="N932" s="49"/>
      <c r="O932" s="49" t="b">
        <v>0</v>
      </c>
      <c r="P932" s="49"/>
      <c r="Q932" s="49"/>
      <c r="R932" s="49"/>
      <c r="S932" s="49"/>
      <c r="T932" s="49"/>
      <c r="U932" s="58"/>
      <c r="V932" s="49"/>
      <c r="W932" s="58"/>
      <c r="X932" s="49"/>
      <c r="Y932" s="47"/>
      <c r="Z932" s="49"/>
      <c r="AA932" s="49"/>
      <c r="AB932" s="49"/>
      <c r="AC932" s="49"/>
      <c r="AD932" s="49"/>
      <c r="AE932" s="49"/>
      <c r="AF932" s="49"/>
      <c r="AG932" s="49"/>
      <c r="AH932" s="49"/>
      <c r="AI932" s="49"/>
      <c r="AJ932" s="49"/>
      <c r="AK932" s="49"/>
      <c r="AL932" s="49"/>
      <c r="AM932" s="49"/>
      <c r="AN932" s="49"/>
      <c r="AO932" s="49"/>
    </row>
    <row r="933" spans="1:41" ht="13">
      <c r="A933" s="49"/>
      <c r="B933" s="49"/>
      <c r="C933" s="47"/>
      <c r="D933" s="49"/>
      <c r="E933" s="49"/>
      <c r="F933" s="49" t="b">
        <v>0</v>
      </c>
      <c r="G933" s="49"/>
      <c r="H933" s="47"/>
      <c r="I933" s="47"/>
      <c r="J933" s="49"/>
      <c r="K933" s="49"/>
      <c r="L933" s="49"/>
      <c r="M933" s="49"/>
      <c r="N933" s="49"/>
      <c r="O933" s="49" t="b">
        <v>0</v>
      </c>
      <c r="P933" s="49"/>
      <c r="Q933" s="49"/>
      <c r="R933" s="49"/>
      <c r="S933" s="49"/>
      <c r="T933" s="49"/>
      <c r="U933" s="58"/>
      <c r="V933" s="49"/>
      <c r="W933" s="58"/>
      <c r="X933" s="49"/>
      <c r="Y933" s="47"/>
      <c r="Z933" s="49"/>
      <c r="AA933" s="49"/>
      <c r="AB933" s="49"/>
      <c r="AC933" s="49"/>
      <c r="AD933" s="49"/>
      <c r="AE933" s="49"/>
      <c r="AF933" s="49"/>
      <c r="AG933" s="49"/>
      <c r="AH933" s="49"/>
      <c r="AI933" s="49"/>
      <c r="AJ933" s="49"/>
      <c r="AK933" s="49"/>
      <c r="AL933" s="49"/>
      <c r="AM933" s="49"/>
      <c r="AN933" s="49"/>
      <c r="AO933" s="49"/>
    </row>
    <row r="934" spans="1:41" ht="13">
      <c r="A934" s="49"/>
      <c r="B934" s="49"/>
      <c r="C934" s="47"/>
      <c r="D934" s="49"/>
      <c r="E934" s="49"/>
      <c r="F934" s="49" t="b">
        <v>0</v>
      </c>
      <c r="G934" s="49"/>
      <c r="H934" s="47"/>
      <c r="I934" s="47"/>
      <c r="J934" s="49"/>
      <c r="K934" s="49"/>
      <c r="L934" s="49"/>
      <c r="M934" s="49"/>
      <c r="N934" s="49"/>
      <c r="O934" s="49" t="b">
        <v>0</v>
      </c>
      <c r="P934" s="49"/>
      <c r="Q934" s="49"/>
      <c r="R934" s="49"/>
      <c r="S934" s="49"/>
      <c r="T934" s="49"/>
      <c r="U934" s="58"/>
      <c r="V934" s="49"/>
      <c r="W934" s="58"/>
      <c r="X934" s="49"/>
      <c r="Y934" s="47"/>
      <c r="Z934" s="49"/>
      <c r="AA934" s="49"/>
      <c r="AB934" s="49"/>
      <c r="AC934" s="49"/>
      <c r="AD934" s="49"/>
      <c r="AE934" s="49"/>
      <c r="AF934" s="49"/>
      <c r="AG934" s="49"/>
      <c r="AH934" s="49"/>
      <c r="AI934" s="49"/>
      <c r="AJ934" s="49"/>
      <c r="AK934" s="49"/>
      <c r="AL934" s="49"/>
      <c r="AM934" s="49"/>
      <c r="AN934" s="49"/>
      <c r="AO934" s="49"/>
    </row>
    <row r="935" spans="1:41" ht="13">
      <c r="A935" s="49"/>
      <c r="B935" s="49"/>
      <c r="C935" s="47"/>
      <c r="D935" s="49"/>
      <c r="E935" s="49"/>
      <c r="F935" s="49" t="b">
        <v>0</v>
      </c>
      <c r="G935" s="49"/>
      <c r="H935" s="47"/>
      <c r="I935" s="47"/>
      <c r="J935" s="49"/>
      <c r="K935" s="49"/>
      <c r="L935" s="49"/>
      <c r="M935" s="49"/>
      <c r="N935" s="49"/>
      <c r="O935" s="49" t="b">
        <v>0</v>
      </c>
      <c r="P935" s="49"/>
      <c r="Q935" s="49"/>
      <c r="R935" s="49"/>
      <c r="S935" s="49"/>
      <c r="T935" s="49"/>
      <c r="U935" s="58"/>
      <c r="V935" s="49"/>
      <c r="W935" s="58"/>
      <c r="X935" s="49"/>
      <c r="Y935" s="47"/>
      <c r="Z935" s="49"/>
      <c r="AA935" s="49"/>
      <c r="AB935" s="49"/>
      <c r="AC935" s="49"/>
      <c r="AD935" s="49"/>
      <c r="AE935" s="49"/>
      <c r="AF935" s="49"/>
      <c r="AG935" s="49"/>
      <c r="AH935" s="49"/>
      <c r="AI935" s="49"/>
      <c r="AJ935" s="49"/>
      <c r="AK935" s="49"/>
      <c r="AL935" s="49"/>
      <c r="AM935" s="49"/>
      <c r="AN935" s="49"/>
      <c r="AO935" s="49"/>
    </row>
    <row r="936" spans="1:41" ht="13">
      <c r="A936" s="49"/>
      <c r="B936" s="49"/>
      <c r="C936" s="47"/>
      <c r="D936" s="49"/>
      <c r="E936" s="49"/>
      <c r="F936" s="49" t="b">
        <v>0</v>
      </c>
      <c r="G936" s="49"/>
      <c r="H936" s="47"/>
      <c r="I936" s="47"/>
      <c r="J936" s="49"/>
      <c r="K936" s="49"/>
      <c r="L936" s="49"/>
      <c r="M936" s="49"/>
      <c r="N936" s="49"/>
      <c r="O936" s="49" t="b">
        <v>0</v>
      </c>
      <c r="P936" s="49"/>
      <c r="Q936" s="49"/>
      <c r="R936" s="49"/>
      <c r="S936" s="49"/>
      <c r="T936" s="49"/>
      <c r="U936" s="58"/>
      <c r="V936" s="49"/>
      <c r="W936" s="58"/>
      <c r="X936" s="49"/>
      <c r="Y936" s="47"/>
      <c r="Z936" s="49"/>
      <c r="AA936" s="49"/>
      <c r="AB936" s="49"/>
      <c r="AC936" s="49"/>
      <c r="AD936" s="49"/>
      <c r="AE936" s="49"/>
      <c r="AF936" s="49"/>
      <c r="AG936" s="49"/>
      <c r="AH936" s="49"/>
      <c r="AI936" s="49"/>
      <c r="AJ936" s="49"/>
      <c r="AK936" s="49"/>
      <c r="AL936" s="49"/>
      <c r="AM936" s="49"/>
      <c r="AN936" s="49"/>
      <c r="AO936" s="49"/>
    </row>
    <row r="937" spans="1:41" ht="13">
      <c r="A937" s="49"/>
      <c r="B937" s="49"/>
      <c r="C937" s="47"/>
      <c r="D937" s="49"/>
      <c r="E937" s="49"/>
      <c r="F937" s="49" t="b">
        <v>0</v>
      </c>
      <c r="G937" s="49"/>
      <c r="H937" s="47"/>
      <c r="I937" s="47"/>
      <c r="J937" s="49"/>
      <c r="K937" s="49"/>
      <c r="L937" s="49"/>
      <c r="M937" s="49"/>
      <c r="N937" s="49"/>
      <c r="O937" s="49" t="b">
        <v>0</v>
      </c>
      <c r="P937" s="49"/>
      <c r="Q937" s="49"/>
      <c r="R937" s="49"/>
      <c r="S937" s="49"/>
      <c r="T937" s="49"/>
      <c r="U937" s="58"/>
      <c r="V937" s="49"/>
      <c r="W937" s="58"/>
      <c r="X937" s="49"/>
      <c r="Y937" s="47"/>
      <c r="Z937" s="49"/>
      <c r="AA937" s="49"/>
      <c r="AB937" s="49"/>
      <c r="AC937" s="49"/>
      <c r="AD937" s="49"/>
      <c r="AE937" s="49"/>
      <c r="AF937" s="49"/>
      <c r="AG937" s="49"/>
      <c r="AH937" s="49"/>
      <c r="AI937" s="49"/>
      <c r="AJ937" s="49"/>
      <c r="AK937" s="49"/>
      <c r="AL937" s="49"/>
      <c r="AM937" s="49"/>
      <c r="AN937" s="49"/>
      <c r="AO937" s="49"/>
    </row>
    <row r="938" spans="1:41" ht="13">
      <c r="A938" s="49"/>
      <c r="B938" s="49"/>
      <c r="C938" s="47"/>
      <c r="D938" s="49"/>
      <c r="E938" s="49"/>
      <c r="F938" s="49" t="b">
        <v>0</v>
      </c>
      <c r="G938" s="49"/>
      <c r="H938" s="47"/>
      <c r="I938" s="47"/>
      <c r="J938" s="49"/>
      <c r="K938" s="49"/>
      <c r="L938" s="49"/>
      <c r="M938" s="49"/>
      <c r="N938" s="49"/>
      <c r="O938" s="49" t="b">
        <v>0</v>
      </c>
      <c r="P938" s="49"/>
      <c r="Q938" s="49"/>
      <c r="R938" s="49"/>
      <c r="S938" s="49"/>
      <c r="T938" s="49"/>
      <c r="U938" s="58"/>
      <c r="V938" s="49"/>
      <c r="W938" s="58"/>
      <c r="X938" s="49"/>
      <c r="Y938" s="47"/>
      <c r="Z938" s="49"/>
      <c r="AA938" s="49"/>
      <c r="AB938" s="49"/>
      <c r="AC938" s="49"/>
      <c r="AD938" s="49"/>
      <c r="AE938" s="49"/>
      <c r="AF938" s="49"/>
      <c r="AG938" s="49"/>
      <c r="AH938" s="49"/>
      <c r="AI938" s="49"/>
      <c r="AJ938" s="49"/>
      <c r="AK938" s="49"/>
      <c r="AL938" s="49"/>
      <c r="AM938" s="49"/>
      <c r="AN938" s="49"/>
      <c r="AO938" s="49"/>
    </row>
    <row r="939" spans="1:41" ht="13">
      <c r="A939" s="49"/>
      <c r="B939" s="49"/>
      <c r="C939" s="47"/>
      <c r="D939" s="49"/>
      <c r="E939" s="49"/>
      <c r="F939" s="49" t="b">
        <v>0</v>
      </c>
      <c r="G939" s="49"/>
      <c r="H939" s="47"/>
      <c r="I939" s="47"/>
      <c r="J939" s="49"/>
      <c r="K939" s="49"/>
      <c r="L939" s="49"/>
      <c r="M939" s="49"/>
      <c r="N939" s="49"/>
      <c r="O939" s="49" t="b">
        <v>0</v>
      </c>
      <c r="P939" s="49"/>
      <c r="Q939" s="49"/>
      <c r="R939" s="49"/>
      <c r="S939" s="49"/>
      <c r="T939" s="49"/>
      <c r="U939" s="58"/>
      <c r="V939" s="49"/>
      <c r="W939" s="58"/>
      <c r="X939" s="49"/>
      <c r="Y939" s="47"/>
      <c r="Z939" s="49"/>
      <c r="AA939" s="49"/>
      <c r="AB939" s="49"/>
      <c r="AC939" s="49"/>
      <c r="AD939" s="49"/>
      <c r="AE939" s="49"/>
      <c r="AF939" s="49"/>
      <c r="AG939" s="49"/>
      <c r="AH939" s="49"/>
      <c r="AI939" s="49"/>
      <c r="AJ939" s="49"/>
      <c r="AK939" s="49"/>
      <c r="AL939" s="49"/>
      <c r="AM939" s="49"/>
      <c r="AN939" s="49"/>
      <c r="AO939" s="49"/>
    </row>
    <row r="940" spans="1:41" ht="13">
      <c r="A940" s="49"/>
      <c r="B940" s="49"/>
      <c r="C940" s="47"/>
      <c r="D940" s="49"/>
      <c r="E940" s="49"/>
      <c r="F940" s="49" t="b">
        <v>0</v>
      </c>
      <c r="G940" s="49"/>
      <c r="H940" s="47"/>
      <c r="I940" s="47"/>
      <c r="J940" s="49"/>
      <c r="K940" s="49"/>
      <c r="L940" s="49"/>
      <c r="M940" s="49"/>
      <c r="N940" s="49"/>
      <c r="O940" s="49" t="b">
        <v>0</v>
      </c>
      <c r="P940" s="49"/>
      <c r="Q940" s="49"/>
      <c r="R940" s="49"/>
      <c r="S940" s="49"/>
      <c r="T940" s="49"/>
      <c r="U940" s="58"/>
      <c r="V940" s="49"/>
      <c r="W940" s="58"/>
      <c r="X940" s="49"/>
      <c r="Y940" s="47"/>
      <c r="Z940" s="49"/>
      <c r="AA940" s="49"/>
      <c r="AB940" s="49"/>
      <c r="AC940" s="49"/>
      <c r="AD940" s="49"/>
      <c r="AE940" s="49"/>
      <c r="AF940" s="49"/>
      <c r="AG940" s="49"/>
      <c r="AH940" s="49"/>
      <c r="AI940" s="49"/>
      <c r="AJ940" s="49"/>
      <c r="AK940" s="49"/>
      <c r="AL940" s="49"/>
      <c r="AM940" s="49"/>
      <c r="AN940" s="49"/>
      <c r="AO940" s="49"/>
    </row>
    <row r="941" spans="1:41" ht="13">
      <c r="A941" s="49"/>
      <c r="B941" s="49"/>
      <c r="C941" s="47"/>
      <c r="D941" s="49"/>
      <c r="E941" s="49"/>
      <c r="F941" s="49" t="b">
        <v>0</v>
      </c>
      <c r="G941" s="49"/>
      <c r="H941" s="47"/>
      <c r="I941" s="47"/>
      <c r="J941" s="49"/>
      <c r="K941" s="49"/>
      <c r="L941" s="49"/>
      <c r="M941" s="49"/>
      <c r="N941" s="49"/>
      <c r="O941" s="49" t="b">
        <v>0</v>
      </c>
      <c r="P941" s="49"/>
      <c r="Q941" s="49"/>
      <c r="R941" s="49"/>
      <c r="S941" s="49"/>
      <c r="T941" s="49"/>
      <c r="U941" s="58"/>
      <c r="V941" s="49"/>
      <c r="W941" s="58"/>
      <c r="X941" s="49"/>
      <c r="Y941" s="47"/>
      <c r="Z941" s="49"/>
      <c r="AA941" s="49"/>
      <c r="AB941" s="49"/>
      <c r="AC941" s="49"/>
      <c r="AD941" s="49"/>
      <c r="AE941" s="49"/>
      <c r="AF941" s="49"/>
      <c r="AG941" s="49"/>
      <c r="AH941" s="49"/>
      <c r="AI941" s="49"/>
      <c r="AJ941" s="49"/>
      <c r="AK941" s="49"/>
      <c r="AL941" s="49"/>
      <c r="AM941" s="49"/>
      <c r="AN941" s="49"/>
      <c r="AO941" s="49"/>
    </row>
    <row r="942" spans="1:41" ht="13">
      <c r="A942" s="49"/>
      <c r="B942" s="49"/>
      <c r="C942" s="47"/>
      <c r="D942" s="49"/>
      <c r="E942" s="49"/>
      <c r="F942" s="49" t="b">
        <v>0</v>
      </c>
      <c r="G942" s="49"/>
      <c r="H942" s="47"/>
      <c r="I942" s="47"/>
      <c r="J942" s="49"/>
      <c r="K942" s="49"/>
      <c r="L942" s="49"/>
      <c r="M942" s="49"/>
      <c r="N942" s="49"/>
      <c r="O942" s="49" t="b">
        <v>0</v>
      </c>
      <c r="P942" s="49"/>
      <c r="Q942" s="49"/>
      <c r="R942" s="49"/>
      <c r="S942" s="49"/>
      <c r="T942" s="49"/>
      <c r="U942" s="58"/>
      <c r="V942" s="49"/>
      <c r="W942" s="58"/>
      <c r="X942" s="49"/>
      <c r="Y942" s="47"/>
      <c r="Z942" s="49"/>
      <c r="AA942" s="49"/>
      <c r="AB942" s="49"/>
      <c r="AC942" s="49"/>
      <c r="AD942" s="49"/>
      <c r="AE942" s="49"/>
      <c r="AF942" s="49"/>
      <c r="AG942" s="49"/>
      <c r="AH942" s="49"/>
      <c r="AI942" s="49"/>
      <c r="AJ942" s="49"/>
      <c r="AK942" s="49"/>
      <c r="AL942" s="49"/>
      <c r="AM942" s="49"/>
      <c r="AN942" s="49"/>
      <c r="AO942" s="49"/>
    </row>
    <row r="943" spans="1:41" ht="13">
      <c r="A943" s="49"/>
      <c r="B943" s="49"/>
      <c r="C943" s="47"/>
      <c r="D943" s="49"/>
      <c r="E943" s="49"/>
      <c r="F943" s="49" t="b">
        <v>0</v>
      </c>
      <c r="G943" s="49"/>
      <c r="H943" s="47"/>
      <c r="I943" s="47"/>
      <c r="J943" s="49"/>
      <c r="K943" s="49"/>
      <c r="L943" s="49"/>
      <c r="M943" s="49"/>
      <c r="N943" s="49"/>
      <c r="O943" s="49" t="b">
        <v>0</v>
      </c>
      <c r="P943" s="49"/>
      <c r="Q943" s="49"/>
      <c r="R943" s="49"/>
      <c r="S943" s="49"/>
      <c r="T943" s="49"/>
      <c r="U943" s="58"/>
      <c r="V943" s="49"/>
      <c r="W943" s="58"/>
      <c r="X943" s="49"/>
      <c r="Y943" s="47"/>
      <c r="Z943" s="49"/>
      <c r="AA943" s="49"/>
      <c r="AB943" s="49"/>
      <c r="AC943" s="49"/>
      <c r="AD943" s="49"/>
      <c r="AE943" s="49"/>
      <c r="AF943" s="49"/>
      <c r="AG943" s="49"/>
      <c r="AH943" s="49"/>
      <c r="AI943" s="49"/>
      <c r="AJ943" s="49"/>
      <c r="AK943" s="49"/>
      <c r="AL943" s="49"/>
      <c r="AM943" s="49"/>
      <c r="AN943" s="49"/>
      <c r="AO943" s="49"/>
    </row>
    <row r="944" spans="1:41" ht="13">
      <c r="A944" s="49"/>
      <c r="B944" s="49"/>
      <c r="C944" s="47"/>
      <c r="D944" s="49"/>
      <c r="E944" s="49"/>
      <c r="F944" s="49" t="b">
        <v>0</v>
      </c>
      <c r="G944" s="49"/>
      <c r="H944" s="47"/>
      <c r="I944" s="47"/>
      <c r="J944" s="49"/>
      <c r="K944" s="49"/>
      <c r="L944" s="49"/>
      <c r="M944" s="49"/>
      <c r="N944" s="49"/>
      <c r="O944" s="49" t="b">
        <v>0</v>
      </c>
      <c r="P944" s="49"/>
      <c r="Q944" s="49"/>
      <c r="R944" s="49"/>
      <c r="S944" s="49"/>
      <c r="T944" s="49"/>
      <c r="U944" s="58"/>
      <c r="V944" s="49"/>
      <c r="W944" s="58"/>
      <c r="X944" s="49"/>
      <c r="Y944" s="47"/>
      <c r="Z944" s="49"/>
      <c r="AA944" s="49"/>
      <c r="AB944" s="49"/>
      <c r="AC944" s="49"/>
      <c r="AD944" s="49"/>
      <c r="AE944" s="49"/>
      <c r="AF944" s="49"/>
      <c r="AG944" s="49"/>
      <c r="AH944" s="49"/>
      <c r="AI944" s="49"/>
      <c r="AJ944" s="49"/>
      <c r="AK944" s="49"/>
      <c r="AL944" s="49"/>
      <c r="AM944" s="49"/>
      <c r="AN944" s="49"/>
      <c r="AO944" s="49"/>
    </row>
    <row r="945" spans="1:41" ht="13">
      <c r="A945" s="49"/>
      <c r="B945" s="49"/>
      <c r="C945" s="47"/>
      <c r="D945" s="49"/>
      <c r="E945" s="49"/>
      <c r="F945" s="49" t="b">
        <v>0</v>
      </c>
      <c r="G945" s="49"/>
      <c r="H945" s="47"/>
      <c r="I945" s="47"/>
      <c r="J945" s="49"/>
      <c r="K945" s="49"/>
      <c r="L945" s="49"/>
      <c r="M945" s="49"/>
      <c r="N945" s="49"/>
      <c r="O945" s="49" t="b">
        <v>0</v>
      </c>
      <c r="P945" s="49"/>
      <c r="Q945" s="49"/>
      <c r="R945" s="49"/>
      <c r="S945" s="49"/>
      <c r="T945" s="49"/>
      <c r="U945" s="58"/>
      <c r="V945" s="49"/>
      <c r="W945" s="58"/>
      <c r="X945" s="49"/>
      <c r="Y945" s="47"/>
      <c r="Z945" s="49"/>
      <c r="AA945" s="49"/>
      <c r="AB945" s="49"/>
      <c r="AC945" s="49"/>
      <c r="AD945" s="49"/>
      <c r="AE945" s="49"/>
      <c r="AF945" s="49"/>
      <c r="AG945" s="49"/>
      <c r="AH945" s="49"/>
      <c r="AI945" s="49"/>
      <c r="AJ945" s="49"/>
      <c r="AK945" s="49"/>
      <c r="AL945" s="49"/>
      <c r="AM945" s="49"/>
      <c r="AN945" s="49"/>
      <c r="AO945" s="49"/>
    </row>
    <row r="946" spans="1:41" ht="13">
      <c r="A946" s="49"/>
      <c r="B946" s="49"/>
      <c r="C946" s="47"/>
      <c r="D946" s="49"/>
      <c r="E946" s="49"/>
      <c r="F946" s="49" t="b">
        <v>0</v>
      </c>
      <c r="G946" s="49"/>
      <c r="H946" s="47"/>
      <c r="I946" s="47"/>
      <c r="J946" s="49"/>
      <c r="K946" s="49"/>
      <c r="L946" s="49"/>
      <c r="M946" s="49"/>
      <c r="N946" s="49"/>
      <c r="O946" s="49" t="b">
        <v>0</v>
      </c>
      <c r="P946" s="49"/>
      <c r="Q946" s="49"/>
      <c r="R946" s="49"/>
      <c r="S946" s="49"/>
      <c r="T946" s="49"/>
      <c r="U946" s="58"/>
      <c r="V946" s="49"/>
      <c r="W946" s="58"/>
      <c r="X946" s="49"/>
      <c r="Y946" s="47"/>
      <c r="Z946" s="49"/>
      <c r="AA946" s="49"/>
      <c r="AB946" s="49"/>
      <c r="AC946" s="49"/>
      <c r="AD946" s="49"/>
      <c r="AE946" s="49"/>
      <c r="AF946" s="49"/>
      <c r="AG946" s="49"/>
      <c r="AH946" s="49"/>
      <c r="AI946" s="49"/>
      <c r="AJ946" s="49"/>
      <c r="AK946" s="49"/>
      <c r="AL946" s="49"/>
      <c r="AM946" s="49"/>
      <c r="AN946" s="49"/>
      <c r="AO946" s="49"/>
    </row>
    <row r="947" spans="1:41" ht="13">
      <c r="A947" s="49"/>
      <c r="B947" s="49"/>
      <c r="C947" s="47"/>
      <c r="D947" s="49"/>
      <c r="E947" s="49"/>
      <c r="F947" s="49" t="b">
        <v>0</v>
      </c>
      <c r="G947" s="49"/>
      <c r="H947" s="47"/>
      <c r="I947" s="47"/>
      <c r="J947" s="49"/>
      <c r="K947" s="49"/>
      <c r="L947" s="49"/>
      <c r="M947" s="49"/>
      <c r="N947" s="49"/>
      <c r="O947" s="49" t="b">
        <v>0</v>
      </c>
      <c r="P947" s="49"/>
      <c r="Q947" s="49"/>
      <c r="R947" s="49"/>
      <c r="S947" s="49"/>
      <c r="T947" s="49"/>
      <c r="U947" s="58"/>
      <c r="V947" s="49"/>
      <c r="W947" s="58"/>
      <c r="X947" s="49"/>
      <c r="Y947" s="47"/>
      <c r="Z947" s="49"/>
      <c r="AA947" s="49"/>
      <c r="AB947" s="49"/>
      <c r="AC947" s="49"/>
      <c r="AD947" s="49"/>
      <c r="AE947" s="49"/>
      <c r="AF947" s="49"/>
      <c r="AG947" s="49"/>
      <c r="AH947" s="49"/>
      <c r="AI947" s="49"/>
      <c r="AJ947" s="49"/>
      <c r="AK947" s="49"/>
      <c r="AL947" s="49"/>
      <c r="AM947" s="49"/>
      <c r="AN947" s="49"/>
      <c r="AO947" s="49"/>
    </row>
    <row r="948" spans="1:41" ht="13">
      <c r="A948" s="49"/>
      <c r="B948" s="49"/>
      <c r="C948" s="47"/>
      <c r="D948" s="49"/>
      <c r="E948" s="49"/>
      <c r="F948" s="49" t="b">
        <v>0</v>
      </c>
      <c r="G948" s="49"/>
      <c r="H948" s="47"/>
      <c r="I948" s="47"/>
      <c r="J948" s="49"/>
      <c r="K948" s="49"/>
      <c r="L948" s="49"/>
      <c r="M948" s="49"/>
      <c r="N948" s="49"/>
      <c r="O948" s="49" t="b">
        <v>0</v>
      </c>
      <c r="P948" s="49"/>
      <c r="Q948" s="49"/>
      <c r="R948" s="49"/>
      <c r="S948" s="49"/>
      <c r="T948" s="49"/>
      <c r="U948" s="58"/>
      <c r="V948" s="49"/>
      <c r="W948" s="58"/>
      <c r="X948" s="49"/>
      <c r="Y948" s="47"/>
      <c r="Z948" s="49"/>
      <c r="AA948" s="49"/>
      <c r="AB948" s="49"/>
      <c r="AC948" s="49"/>
      <c r="AD948" s="49"/>
      <c r="AE948" s="49"/>
      <c r="AF948" s="49"/>
      <c r="AG948" s="49"/>
      <c r="AH948" s="49"/>
      <c r="AI948" s="49"/>
      <c r="AJ948" s="49"/>
      <c r="AK948" s="49"/>
      <c r="AL948" s="49"/>
      <c r="AM948" s="49"/>
      <c r="AN948" s="49"/>
      <c r="AO948" s="49"/>
    </row>
    <row r="949" spans="1:41" ht="13">
      <c r="A949" s="49"/>
      <c r="B949" s="49"/>
      <c r="C949" s="47"/>
      <c r="D949" s="49"/>
      <c r="E949" s="49"/>
      <c r="F949" s="49" t="b">
        <v>0</v>
      </c>
      <c r="G949" s="49"/>
      <c r="H949" s="47"/>
      <c r="I949" s="47"/>
      <c r="J949" s="49"/>
      <c r="K949" s="49"/>
      <c r="L949" s="49"/>
      <c r="M949" s="49"/>
      <c r="N949" s="49"/>
      <c r="O949" s="49" t="b">
        <v>0</v>
      </c>
      <c r="P949" s="49"/>
      <c r="Q949" s="49"/>
      <c r="R949" s="49"/>
      <c r="S949" s="49"/>
      <c r="T949" s="49"/>
      <c r="U949" s="58"/>
      <c r="V949" s="49"/>
      <c r="W949" s="58"/>
      <c r="X949" s="49"/>
      <c r="Y949" s="47"/>
      <c r="Z949" s="49"/>
      <c r="AA949" s="49"/>
      <c r="AB949" s="49"/>
      <c r="AC949" s="49"/>
      <c r="AD949" s="49"/>
      <c r="AE949" s="49"/>
      <c r="AF949" s="49"/>
      <c r="AG949" s="49"/>
      <c r="AH949" s="49"/>
      <c r="AI949" s="49"/>
      <c r="AJ949" s="49"/>
      <c r="AK949" s="49"/>
      <c r="AL949" s="49"/>
      <c r="AM949" s="49"/>
      <c r="AN949" s="49"/>
      <c r="AO949" s="49"/>
    </row>
    <row r="950" spans="1:41" ht="13">
      <c r="A950" s="49"/>
      <c r="B950" s="49"/>
      <c r="C950" s="47"/>
      <c r="D950" s="49"/>
      <c r="E950" s="49"/>
      <c r="F950" s="49" t="b">
        <v>0</v>
      </c>
      <c r="G950" s="49"/>
      <c r="H950" s="47"/>
      <c r="I950" s="47"/>
      <c r="J950" s="49"/>
      <c r="K950" s="49"/>
      <c r="L950" s="49"/>
      <c r="M950" s="49"/>
      <c r="N950" s="49"/>
      <c r="O950" s="49" t="b">
        <v>0</v>
      </c>
      <c r="P950" s="49"/>
      <c r="Q950" s="49"/>
      <c r="R950" s="49"/>
      <c r="S950" s="49"/>
      <c r="T950" s="49"/>
      <c r="U950" s="58"/>
      <c r="V950" s="49"/>
      <c r="W950" s="58"/>
      <c r="X950" s="49"/>
      <c r="Y950" s="47"/>
      <c r="Z950" s="49"/>
      <c r="AA950" s="49"/>
      <c r="AB950" s="49"/>
      <c r="AC950" s="49"/>
      <c r="AD950" s="49"/>
      <c r="AE950" s="49"/>
      <c r="AF950" s="49"/>
      <c r="AG950" s="49"/>
      <c r="AH950" s="49"/>
      <c r="AI950" s="49"/>
      <c r="AJ950" s="49"/>
      <c r="AK950" s="49"/>
      <c r="AL950" s="49"/>
      <c r="AM950" s="49"/>
      <c r="AN950" s="49"/>
      <c r="AO950" s="49"/>
    </row>
    <row r="951" spans="1:41" ht="13">
      <c r="A951" s="49"/>
      <c r="B951" s="49"/>
      <c r="C951" s="47"/>
      <c r="D951" s="49"/>
      <c r="E951" s="49"/>
      <c r="F951" s="49" t="b">
        <v>0</v>
      </c>
      <c r="G951" s="49"/>
      <c r="H951" s="47"/>
      <c r="I951" s="47"/>
      <c r="J951" s="49"/>
      <c r="K951" s="49"/>
      <c r="L951" s="49"/>
      <c r="M951" s="49"/>
      <c r="N951" s="49"/>
      <c r="O951" s="49" t="b">
        <v>0</v>
      </c>
      <c r="P951" s="49"/>
      <c r="Q951" s="49"/>
      <c r="R951" s="49"/>
      <c r="S951" s="49"/>
      <c r="T951" s="49"/>
      <c r="U951" s="58"/>
      <c r="V951" s="49"/>
      <c r="W951" s="58"/>
      <c r="X951" s="49"/>
      <c r="Y951" s="47"/>
      <c r="Z951" s="49"/>
      <c r="AA951" s="49"/>
      <c r="AB951" s="49"/>
      <c r="AC951" s="49"/>
      <c r="AD951" s="49"/>
      <c r="AE951" s="49"/>
      <c r="AF951" s="49"/>
      <c r="AG951" s="49"/>
      <c r="AH951" s="49"/>
      <c r="AI951" s="49"/>
      <c r="AJ951" s="49"/>
      <c r="AK951" s="49"/>
      <c r="AL951" s="49"/>
      <c r="AM951" s="49"/>
      <c r="AN951" s="49"/>
      <c r="AO951" s="49"/>
    </row>
    <row r="952" spans="1:41" ht="13">
      <c r="A952" s="49"/>
      <c r="B952" s="49"/>
      <c r="C952" s="47"/>
      <c r="D952" s="49"/>
      <c r="E952" s="49"/>
      <c r="F952" s="49" t="b">
        <v>0</v>
      </c>
      <c r="G952" s="49"/>
      <c r="H952" s="47"/>
      <c r="I952" s="47"/>
      <c r="J952" s="49"/>
      <c r="K952" s="49"/>
      <c r="L952" s="49"/>
      <c r="M952" s="49"/>
      <c r="N952" s="49"/>
      <c r="O952" s="49" t="b">
        <v>0</v>
      </c>
      <c r="P952" s="49"/>
      <c r="Q952" s="49"/>
      <c r="R952" s="49"/>
      <c r="S952" s="49"/>
      <c r="T952" s="49"/>
      <c r="U952" s="58"/>
      <c r="V952" s="49"/>
      <c r="W952" s="58"/>
      <c r="X952" s="49"/>
      <c r="Y952" s="47"/>
      <c r="Z952" s="49"/>
      <c r="AA952" s="49"/>
      <c r="AB952" s="49"/>
      <c r="AC952" s="49"/>
      <c r="AD952" s="49"/>
      <c r="AE952" s="49"/>
      <c r="AF952" s="49"/>
      <c r="AG952" s="49"/>
      <c r="AH952" s="49"/>
      <c r="AI952" s="49"/>
      <c r="AJ952" s="49"/>
      <c r="AK952" s="49"/>
      <c r="AL952" s="49"/>
      <c r="AM952" s="49"/>
      <c r="AN952" s="49"/>
      <c r="AO952" s="49"/>
    </row>
    <row r="953" spans="1:41" ht="13">
      <c r="A953" s="49"/>
      <c r="B953" s="49"/>
      <c r="C953" s="47"/>
      <c r="D953" s="49"/>
      <c r="E953" s="49"/>
      <c r="F953" s="49" t="b">
        <v>0</v>
      </c>
      <c r="G953" s="49"/>
      <c r="H953" s="47"/>
      <c r="I953" s="47"/>
      <c r="J953" s="49"/>
      <c r="K953" s="49"/>
      <c r="L953" s="49"/>
      <c r="M953" s="49"/>
      <c r="N953" s="49"/>
      <c r="O953" s="49" t="b">
        <v>0</v>
      </c>
      <c r="P953" s="49"/>
      <c r="Q953" s="49"/>
      <c r="R953" s="49"/>
      <c r="S953" s="49"/>
      <c r="T953" s="49"/>
      <c r="U953" s="58"/>
      <c r="V953" s="49"/>
      <c r="W953" s="58"/>
      <c r="X953" s="49"/>
      <c r="Y953" s="47"/>
      <c r="Z953" s="49"/>
      <c r="AA953" s="49"/>
      <c r="AB953" s="49"/>
      <c r="AC953" s="49"/>
      <c r="AD953" s="49"/>
      <c r="AE953" s="49"/>
      <c r="AF953" s="49"/>
      <c r="AG953" s="49"/>
      <c r="AH953" s="49"/>
      <c r="AI953" s="49"/>
      <c r="AJ953" s="49"/>
      <c r="AK953" s="49"/>
      <c r="AL953" s="49"/>
      <c r="AM953" s="49"/>
      <c r="AN953" s="49"/>
      <c r="AO953" s="49"/>
    </row>
    <row r="954" spans="1:41" ht="13">
      <c r="A954" s="49"/>
      <c r="B954" s="49"/>
      <c r="C954" s="47"/>
      <c r="D954" s="49"/>
      <c r="E954" s="49"/>
      <c r="F954" s="49" t="b">
        <v>0</v>
      </c>
      <c r="G954" s="49"/>
      <c r="H954" s="47"/>
      <c r="I954" s="47"/>
      <c r="J954" s="49"/>
      <c r="K954" s="49"/>
      <c r="L954" s="49"/>
      <c r="M954" s="49"/>
      <c r="N954" s="49"/>
      <c r="O954" s="49" t="b">
        <v>0</v>
      </c>
      <c r="P954" s="49"/>
      <c r="Q954" s="49"/>
      <c r="R954" s="49"/>
      <c r="S954" s="49"/>
      <c r="T954" s="49"/>
      <c r="U954" s="58"/>
      <c r="V954" s="49"/>
      <c r="W954" s="58"/>
      <c r="X954" s="49"/>
      <c r="Y954" s="47"/>
      <c r="Z954" s="49"/>
      <c r="AA954" s="49"/>
      <c r="AB954" s="49"/>
      <c r="AC954" s="49"/>
      <c r="AD954" s="49"/>
      <c r="AE954" s="49"/>
      <c r="AF954" s="49"/>
      <c r="AG954" s="49"/>
      <c r="AH954" s="49"/>
      <c r="AI954" s="49"/>
      <c r="AJ954" s="49"/>
      <c r="AK954" s="49"/>
      <c r="AL954" s="49"/>
      <c r="AM954" s="49"/>
      <c r="AN954" s="49"/>
      <c r="AO954" s="49"/>
    </row>
    <row r="955" spans="1:41" ht="13">
      <c r="A955" s="49"/>
      <c r="B955" s="49"/>
      <c r="C955" s="47"/>
      <c r="D955" s="49"/>
      <c r="E955" s="49"/>
      <c r="F955" s="49" t="b">
        <v>0</v>
      </c>
      <c r="G955" s="49"/>
      <c r="H955" s="47"/>
      <c r="I955" s="47"/>
      <c r="J955" s="49"/>
      <c r="K955" s="49"/>
      <c r="L955" s="49"/>
      <c r="M955" s="49"/>
      <c r="N955" s="49"/>
      <c r="O955" s="49" t="b">
        <v>0</v>
      </c>
      <c r="P955" s="49"/>
      <c r="Q955" s="49"/>
      <c r="R955" s="49"/>
      <c r="S955" s="49"/>
      <c r="T955" s="49"/>
      <c r="U955" s="58"/>
      <c r="V955" s="49"/>
      <c r="W955" s="58"/>
      <c r="X955" s="49"/>
      <c r="Y955" s="47"/>
      <c r="Z955" s="49"/>
      <c r="AA955" s="49"/>
      <c r="AB955" s="49"/>
      <c r="AC955" s="49"/>
      <c r="AD955" s="49"/>
      <c r="AE955" s="49"/>
      <c r="AF955" s="49"/>
      <c r="AG955" s="49"/>
      <c r="AH955" s="49"/>
      <c r="AI955" s="49"/>
      <c r="AJ955" s="49"/>
      <c r="AK955" s="49"/>
      <c r="AL955" s="49"/>
      <c r="AM955" s="49"/>
      <c r="AN955" s="49"/>
      <c r="AO955" s="49"/>
    </row>
    <row r="956" spans="1:41" ht="13">
      <c r="A956" s="49"/>
      <c r="B956" s="49"/>
      <c r="C956" s="47"/>
      <c r="D956" s="49"/>
      <c r="E956" s="49"/>
      <c r="F956" s="49" t="b">
        <v>0</v>
      </c>
      <c r="G956" s="49"/>
      <c r="H956" s="47"/>
      <c r="I956" s="47"/>
      <c r="J956" s="49"/>
      <c r="K956" s="49"/>
      <c r="L956" s="49"/>
      <c r="M956" s="49"/>
      <c r="N956" s="49"/>
      <c r="O956" s="49" t="b">
        <v>0</v>
      </c>
      <c r="P956" s="49"/>
      <c r="Q956" s="49"/>
      <c r="R956" s="49"/>
      <c r="S956" s="49"/>
      <c r="T956" s="49"/>
      <c r="U956" s="58"/>
      <c r="V956" s="49"/>
      <c r="W956" s="58"/>
      <c r="X956" s="49"/>
      <c r="Y956" s="47"/>
      <c r="Z956" s="49"/>
      <c r="AA956" s="49"/>
      <c r="AB956" s="49"/>
      <c r="AC956" s="49"/>
      <c r="AD956" s="49"/>
      <c r="AE956" s="49"/>
      <c r="AF956" s="49"/>
      <c r="AG956" s="49"/>
      <c r="AH956" s="49"/>
      <c r="AI956" s="49"/>
      <c r="AJ956" s="49"/>
      <c r="AK956" s="49"/>
      <c r="AL956" s="49"/>
      <c r="AM956" s="49"/>
      <c r="AN956" s="49"/>
      <c r="AO956" s="49"/>
    </row>
    <row r="957" spans="1:41" ht="13">
      <c r="A957" s="49"/>
      <c r="B957" s="49"/>
      <c r="C957" s="47"/>
      <c r="D957" s="49"/>
      <c r="E957" s="49"/>
      <c r="F957" s="49" t="b">
        <v>0</v>
      </c>
      <c r="G957" s="49"/>
      <c r="H957" s="47"/>
      <c r="I957" s="47"/>
      <c r="J957" s="49"/>
      <c r="K957" s="49"/>
      <c r="L957" s="49"/>
      <c r="M957" s="49"/>
      <c r="N957" s="49"/>
      <c r="O957" s="49" t="b">
        <v>0</v>
      </c>
      <c r="P957" s="49"/>
      <c r="Q957" s="49"/>
      <c r="R957" s="49"/>
      <c r="S957" s="49"/>
      <c r="T957" s="49"/>
      <c r="U957" s="58"/>
      <c r="V957" s="49"/>
      <c r="W957" s="58"/>
      <c r="X957" s="49"/>
      <c r="Y957" s="47"/>
      <c r="Z957" s="49"/>
      <c r="AA957" s="49"/>
      <c r="AB957" s="49"/>
      <c r="AC957" s="49"/>
      <c r="AD957" s="49"/>
      <c r="AE957" s="49"/>
      <c r="AF957" s="49"/>
      <c r="AG957" s="49"/>
      <c r="AH957" s="49"/>
      <c r="AI957" s="49"/>
      <c r="AJ957" s="49"/>
      <c r="AK957" s="49"/>
      <c r="AL957" s="49"/>
      <c r="AM957" s="49"/>
      <c r="AN957" s="49"/>
      <c r="AO957" s="49"/>
    </row>
    <row r="958" spans="1:41" ht="13">
      <c r="A958" s="49"/>
      <c r="B958" s="49"/>
      <c r="C958" s="47"/>
      <c r="D958" s="49"/>
      <c r="E958" s="49"/>
      <c r="F958" s="49" t="b">
        <v>0</v>
      </c>
      <c r="G958" s="49"/>
      <c r="H958" s="47"/>
      <c r="I958" s="47"/>
      <c r="J958" s="49"/>
      <c r="K958" s="49"/>
      <c r="L958" s="49"/>
      <c r="M958" s="49"/>
      <c r="N958" s="49"/>
      <c r="O958" s="49" t="b">
        <v>0</v>
      </c>
      <c r="P958" s="49"/>
      <c r="Q958" s="49"/>
      <c r="R958" s="49"/>
      <c r="S958" s="49"/>
      <c r="T958" s="49"/>
      <c r="U958" s="58"/>
      <c r="V958" s="49"/>
      <c r="W958" s="58"/>
      <c r="X958" s="49"/>
      <c r="Y958" s="47"/>
      <c r="Z958" s="49"/>
      <c r="AA958" s="49"/>
      <c r="AB958" s="49"/>
      <c r="AC958" s="49"/>
      <c r="AD958" s="49"/>
      <c r="AE958" s="49"/>
      <c r="AF958" s="49"/>
      <c r="AG958" s="49"/>
      <c r="AH958" s="49"/>
      <c r="AI958" s="49"/>
      <c r="AJ958" s="49"/>
      <c r="AK958" s="49"/>
      <c r="AL958" s="49"/>
      <c r="AM958" s="49"/>
      <c r="AN958" s="49"/>
      <c r="AO958" s="49"/>
    </row>
    <row r="959" spans="1:41" ht="13">
      <c r="A959" s="49"/>
      <c r="B959" s="49"/>
      <c r="C959" s="47"/>
      <c r="D959" s="49"/>
      <c r="E959" s="49"/>
      <c r="F959" s="49" t="b">
        <v>0</v>
      </c>
      <c r="G959" s="49"/>
      <c r="H959" s="47"/>
      <c r="I959" s="47"/>
      <c r="J959" s="49"/>
      <c r="K959" s="49"/>
      <c r="L959" s="49"/>
      <c r="M959" s="49"/>
      <c r="N959" s="49"/>
      <c r="O959" s="49" t="b">
        <v>0</v>
      </c>
      <c r="P959" s="49"/>
      <c r="Q959" s="49"/>
      <c r="R959" s="49"/>
      <c r="S959" s="49"/>
      <c r="T959" s="49"/>
      <c r="U959" s="58"/>
      <c r="V959" s="49"/>
      <c r="W959" s="58"/>
      <c r="X959" s="49"/>
      <c r="Y959" s="47"/>
      <c r="Z959" s="49"/>
      <c r="AA959" s="49"/>
      <c r="AB959" s="49"/>
      <c r="AC959" s="49"/>
      <c r="AD959" s="49"/>
      <c r="AE959" s="49"/>
      <c r="AF959" s="49"/>
      <c r="AG959" s="49"/>
      <c r="AH959" s="49"/>
      <c r="AI959" s="49"/>
      <c r="AJ959" s="49"/>
      <c r="AK959" s="49"/>
      <c r="AL959" s="49"/>
      <c r="AM959" s="49"/>
      <c r="AN959" s="49"/>
      <c r="AO959" s="49"/>
    </row>
    <row r="960" spans="1:41" ht="13">
      <c r="A960" s="49"/>
      <c r="B960" s="49"/>
      <c r="C960" s="47"/>
      <c r="D960" s="49"/>
      <c r="E960" s="49"/>
      <c r="F960" s="49" t="b">
        <v>0</v>
      </c>
      <c r="G960" s="49"/>
      <c r="H960" s="47"/>
      <c r="I960" s="47"/>
      <c r="J960" s="49"/>
      <c r="K960" s="49"/>
      <c r="L960" s="49"/>
      <c r="M960" s="49"/>
      <c r="N960" s="49"/>
      <c r="O960" s="49" t="b">
        <v>0</v>
      </c>
      <c r="P960" s="49"/>
      <c r="Q960" s="49"/>
      <c r="R960" s="49"/>
      <c r="S960" s="49"/>
      <c r="T960" s="49"/>
      <c r="U960" s="58"/>
      <c r="V960" s="49"/>
      <c r="W960" s="58"/>
      <c r="X960" s="49"/>
      <c r="Y960" s="47"/>
      <c r="Z960" s="49"/>
      <c r="AA960" s="49"/>
      <c r="AB960" s="49"/>
      <c r="AC960" s="49"/>
      <c r="AD960" s="49"/>
      <c r="AE960" s="49"/>
      <c r="AF960" s="49"/>
      <c r="AG960" s="49"/>
      <c r="AH960" s="49"/>
      <c r="AI960" s="49"/>
      <c r="AJ960" s="49"/>
      <c r="AK960" s="49"/>
      <c r="AL960" s="49"/>
      <c r="AM960" s="49"/>
      <c r="AN960" s="49"/>
      <c r="AO960" s="49"/>
    </row>
    <row r="961" spans="1:41" ht="13">
      <c r="A961" s="49"/>
      <c r="B961" s="49"/>
      <c r="C961" s="47"/>
      <c r="D961" s="49"/>
      <c r="E961" s="49"/>
      <c r="F961" s="49" t="b">
        <v>0</v>
      </c>
      <c r="G961" s="49"/>
      <c r="H961" s="47"/>
      <c r="I961" s="47"/>
      <c r="J961" s="49"/>
      <c r="K961" s="49"/>
      <c r="L961" s="49"/>
      <c r="M961" s="49"/>
      <c r="N961" s="49"/>
      <c r="O961" s="49" t="b">
        <v>0</v>
      </c>
      <c r="P961" s="49"/>
      <c r="Q961" s="49"/>
      <c r="R961" s="49"/>
      <c r="S961" s="49"/>
      <c r="T961" s="49"/>
      <c r="U961" s="58"/>
      <c r="V961" s="49"/>
      <c r="W961" s="58"/>
      <c r="X961" s="49"/>
      <c r="Y961" s="47"/>
      <c r="Z961" s="49"/>
      <c r="AA961" s="49"/>
      <c r="AB961" s="49"/>
      <c r="AC961" s="49"/>
      <c r="AD961" s="49"/>
      <c r="AE961" s="49"/>
      <c r="AF961" s="49"/>
      <c r="AG961" s="49"/>
      <c r="AH961" s="49"/>
      <c r="AI961" s="49"/>
      <c r="AJ961" s="49"/>
      <c r="AK961" s="49"/>
      <c r="AL961" s="49"/>
      <c r="AM961" s="49"/>
      <c r="AN961" s="49"/>
      <c r="AO961" s="49"/>
    </row>
    <row r="962" spans="1:41" ht="13">
      <c r="A962" s="49"/>
      <c r="B962" s="49"/>
      <c r="C962" s="47"/>
      <c r="D962" s="49"/>
      <c r="E962" s="49"/>
      <c r="F962" s="49" t="b">
        <v>0</v>
      </c>
      <c r="G962" s="49"/>
      <c r="H962" s="47"/>
      <c r="I962" s="47"/>
      <c r="J962" s="49"/>
      <c r="K962" s="49"/>
      <c r="L962" s="49"/>
      <c r="M962" s="49"/>
      <c r="N962" s="49"/>
      <c r="O962" s="49" t="b">
        <v>0</v>
      </c>
      <c r="P962" s="49"/>
      <c r="Q962" s="49"/>
      <c r="R962" s="49"/>
      <c r="S962" s="49"/>
      <c r="T962" s="49"/>
      <c r="U962" s="58"/>
      <c r="V962" s="49"/>
      <c r="W962" s="58"/>
      <c r="X962" s="49"/>
      <c r="Y962" s="47"/>
      <c r="Z962" s="49"/>
      <c r="AA962" s="49"/>
      <c r="AB962" s="49"/>
      <c r="AC962" s="49"/>
      <c r="AD962" s="49"/>
      <c r="AE962" s="49"/>
      <c r="AF962" s="49"/>
      <c r="AG962" s="49"/>
      <c r="AH962" s="49"/>
      <c r="AI962" s="49"/>
      <c r="AJ962" s="49"/>
      <c r="AK962" s="49"/>
      <c r="AL962" s="49"/>
      <c r="AM962" s="49"/>
      <c r="AN962" s="49"/>
      <c r="AO962" s="49"/>
    </row>
    <row r="963" spans="1:41" ht="13">
      <c r="A963" s="49"/>
      <c r="B963" s="49"/>
      <c r="C963" s="47"/>
      <c r="D963" s="49"/>
      <c r="E963" s="49"/>
      <c r="F963" s="49" t="b">
        <v>0</v>
      </c>
      <c r="G963" s="49"/>
      <c r="H963" s="47"/>
      <c r="I963" s="47"/>
      <c r="J963" s="49"/>
      <c r="K963" s="49"/>
      <c r="L963" s="49"/>
      <c r="M963" s="49"/>
      <c r="N963" s="49"/>
      <c r="O963" s="49" t="b">
        <v>0</v>
      </c>
      <c r="P963" s="49"/>
      <c r="Q963" s="49"/>
      <c r="R963" s="49"/>
      <c r="S963" s="49"/>
      <c r="T963" s="49"/>
      <c r="U963" s="58"/>
      <c r="V963" s="49"/>
      <c r="W963" s="58"/>
      <c r="X963" s="49"/>
      <c r="Y963" s="47"/>
      <c r="Z963" s="49"/>
      <c r="AA963" s="49"/>
      <c r="AB963" s="49"/>
      <c r="AC963" s="49"/>
      <c r="AD963" s="49"/>
      <c r="AE963" s="49"/>
      <c r="AF963" s="49"/>
      <c r="AG963" s="49"/>
      <c r="AH963" s="49"/>
      <c r="AI963" s="49"/>
      <c r="AJ963" s="49"/>
      <c r="AK963" s="49"/>
      <c r="AL963" s="49"/>
      <c r="AM963" s="49"/>
      <c r="AN963" s="49"/>
      <c r="AO963" s="49"/>
    </row>
    <row r="964" spans="1:41" ht="13">
      <c r="A964" s="49"/>
      <c r="B964" s="49"/>
      <c r="C964" s="47"/>
      <c r="D964" s="49"/>
      <c r="E964" s="49"/>
      <c r="F964" s="49" t="b">
        <v>0</v>
      </c>
      <c r="G964" s="49"/>
      <c r="H964" s="47"/>
      <c r="I964" s="47"/>
      <c r="J964" s="49"/>
      <c r="K964" s="49"/>
      <c r="L964" s="49"/>
      <c r="M964" s="49"/>
      <c r="N964" s="49"/>
      <c r="O964" s="49" t="b">
        <v>0</v>
      </c>
      <c r="P964" s="49"/>
      <c r="Q964" s="49"/>
      <c r="R964" s="49"/>
      <c r="S964" s="49"/>
      <c r="T964" s="49"/>
      <c r="U964" s="58"/>
      <c r="V964" s="49"/>
      <c r="W964" s="58"/>
      <c r="X964" s="49"/>
      <c r="Y964" s="47"/>
      <c r="Z964" s="49"/>
      <c r="AA964" s="49"/>
      <c r="AB964" s="49"/>
      <c r="AC964" s="49"/>
      <c r="AD964" s="49"/>
      <c r="AE964" s="49"/>
      <c r="AF964" s="49"/>
      <c r="AG964" s="49"/>
      <c r="AH964" s="49"/>
      <c r="AI964" s="49"/>
      <c r="AJ964" s="49"/>
      <c r="AK964" s="49"/>
      <c r="AL964" s="49"/>
      <c r="AM964" s="49"/>
      <c r="AN964" s="49"/>
      <c r="AO964" s="49"/>
    </row>
    <row r="965" spans="1:41" ht="13">
      <c r="A965" s="49"/>
      <c r="B965" s="49"/>
      <c r="C965" s="47"/>
      <c r="D965" s="49"/>
      <c r="E965" s="49"/>
      <c r="F965" s="49" t="b">
        <v>0</v>
      </c>
      <c r="G965" s="49"/>
      <c r="H965" s="47"/>
      <c r="I965" s="47"/>
      <c r="J965" s="49"/>
      <c r="K965" s="49"/>
      <c r="L965" s="49"/>
      <c r="M965" s="49"/>
      <c r="N965" s="49"/>
      <c r="O965" s="49" t="b">
        <v>0</v>
      </c>
      <c r="P965" s="49"/>
      <c r="Q965" s="49"/>
      <c r="R965" s="49"/>
      <c r="S965" s="49"/>
      <c r="T965" s="49"/>
      <c r="U965" s="58"/>
      <c r="V965" s="49"/>
      <c r="W965" s="58"/>
      <c r="X965" s="49"/>
      <c r="Y965" s="47"/>
      <c r="Z965" s="49"/>
      <c r="AA965" s="49"/>
      <c r="AB965" s="49"/>
      <c r="AC965" s="49"/>
      <c r="AD965" s="49"/>
      <c r="AE965" s="49"/>
      <c r="AF965" s="49"/>
      <c r="AG965" s="49"/>
      <c r="AH965" s="49"/>
      <c r="AI965" s="49"/>
      <c r="AJ965" s="49"/>
      <c r="AK965" s="49"/>
      <c r="AL965" s="49"/>
      <c r="AM965" s="49"/>
      <c r="AN965" s="49"/>
      <c r="AO965" s="49"/>
    </row>
    <row r="966" spans="1:41" ht="13">
      <c r="A966" s="49"/>
      <c r="B966" s="49"/>
      <c r="C966" s="47"/>
      <c r="D966" s="49"/>
      <c r="E966" s="49"/>
      <c r="F966" s="49" t="b">
        <v>0</v>
      </c>
      <c r="G966" s="49"/>
      <c r="H966" s="47"/>
      <c r="I966" s="47"/>
      <c r="J966" s="49"/>
      <c r="K966" s="49"/>
      <c r="L966" s="49"/>
      <c r="M966" s="49"/>
      <c r="N966" s="49"/>
      <c r="O966" s="49" t="b">
        <v>0</v>
      </c>
      <c r="P966" s="49"/>
      <c r="Q966" s="49"/>
      <c r="R966" s="49"/>
      <c r="S966" s="49"/>
      <c r="T966" s="49"/>
      <c r="U966" s="58"/>
      <c r="V966" s="49"/>
      <c r="W966" s="58"/>
      <c r="X966" s="49"/>
      <c r="Y966" s="47"/>
      <c r="Z966" s="49"/>
      <c r="AA966" s="49"/>
      <c r="AB966" s="49"/>
      <c r="AC966" s="49"/>
      <c r="AD966" s="49"/>
      <c r="AE966" s="49"/>
      <c r="AF966" s="49"/>
      <c r="AG966" s="49"/>
      <c r="AH966" s="49"/>
      <c r="AI966" s="49"/>
      <c r="AJ966" s="49"/>
      <c r="AK966" s="49"/>
      <c r="AL966" s="49"/>
      <c r="AM966" s="49"/>
      <c r="AN966" s="49"/>
      <c r="AO966" s="49"/>
    </row>
    <row r="967" spans="1:41" ht="13">
      <c r="A967" s="49"/>
      <c r="B967" s="49"/>
      <c r="C967" s="47"/>
      <c r="D967" s="49"/>
      <c r="E967" s="49"/>
      <c r="F967" s="49" t="b">
        <v>0</v>
      </c>
      <c r="G967" s="49"/>
      <c r="H967" s="47"/>
      <c r="I967" s="47"/>
      <c r="J967" s="49"/>
      <c r="K967" s="49"/>
      <c r="L967" s="49"/>
      <c r="M967" s="49"/>
      <c r="N967" s="49"/>
      <c r="O967" s="49" t="b">
        <v>0</v>
      </c>
      <c r="P967" s="49"/>
      <c r="Q967" s="49"/>
      <c r="R967" s="49"/>
      <c r="S967" s="49"/>
      <c r="T967" s="49"/>
      <c r="U967" s="58"/>
      <c r="V967" s="49"/>
      <c r="W967" s="58"/>
      <c r="X967" s="49"/>
      <c r="Y967" s="47"/>
      <c r="Z967" s="49"/>
      <c r="AA967" s="49"/>
      <c r="AB967" s="49"/>
      <c r="AC967" s="49"/>
      <c r="AD967" s="49"/>
      <c r="AE967" s="49"/>
      <c r="AF967" s="49"/>
      <c r="AG967" s="49"/>
      <c r="AH967" s="49"/>
      <c r="AI967" s="49"/>
      <c r="AJ967" s="49"/>
      <c r="AK967" s="49"/>
      <c r="AL967" s="49"/>
      <c r="AM967" s="49"/>
      <c r="AN967" s="49"/>
      <c r="AO967" s="49"/>
    </row>
    <row r="968" spans="1:41" ht="13">
      <c r="A968" s="49"/>
      <c r="B968" s="49"/>
      <c r="C968" s="47"/>
      <c r="D968" s="49"/>
      <c r="E968" s="49"/>
      <c r="F968" s="49" t="b">
        <v>0</v>
      </c>
      <c r="G968" s="49"/>
      <c r="H968" s="47"/>
      <c r="I968" s="47"/>
      <c r="J968" s="49"/>
      <c r="K968" s="49"/>
      <c r="L968" s="49"/>
      <c r="M968" s="49"/>
      <c r="N968" s="49"/>
      <c r="O968" s="49" t="b">
        <v>0</v>
      </c>
      <c r="P968" s="49"/>
      <c r="Q968" s="49"/>
      <c r="R968" s="49"/>
      <c r="S968" s="49"/>
      <c r="T968" s="49"/>
      <c r="U968" s="58"/>
      <c r="V968" s="49"/>
      <c r="W968" s="58"/>
      <c r="X968" s="49"/>
      <c r="Y968" s="47"/>
      <c r="Z968" s="49"/>
      <c r="AA968" s="49"/>
      <c r="AB968" s="49"/>
      <c r="AC968" s="49"/>
      <c r="AD968" s="49"/>
      <c r="AE968" s="49"/>
      <c r="AF968" s="49"/>
      <c r="AG968" s="49"/>
      <c r="AH968" s="49"/>
      <c r="AI968" s="49"/>
      <c r="AJ968" s="49"/>
      <c r="AK968" s="49"/>
      <c r="AL968" s="49"/>
      <c r="AM968" s="49"/>
      <c r="AN968" s="49"/>
      <c r="AO968" s="49"/>
    </row>
    <row r="969" spans="1:41" ht="13">
      <c r="A969" s="49"/>
      <c r="B969" s="49"/>
      <c r="C969" s="47"/>
      <c r="D969" s="49"/>
      <c r="E969" s="49"/>
      <c r="F969" s="49" t="b">
        <v>0</v>
      </c>
      <c r="G969" s="49"/>
      <c r="H969" s="47"/>
      <c r="I969" s="47"/>
      <c r="J969" s="49"/>
      <c r="K969" s="49"/>
      <c r="L969" s="49"/>
      <c r="M969" s="49"/>
      <c r="N969" s="49"/>
      <c r="O969" s="49" t="b">
        <v>0</v>
      </c>
      <c r="P969" s="49"/>
      <c r="Q969" s="49"/>
      <c r="R969" s="49"/>
      <c r="S969" s="49"/>
      <c r="T969" s="49"/>
      <c r="U969" s="58"/>
      <c r="V969" s="49"/>
      <c r="W969" s="58"/>
      <c r="X969" s="49"/>
      <c r="Y969" s="47"/>
      <c r="Z969" s="49"/>
      <c r="AA969" s="49"/>
      <c r="AB969" s="49"/>
      <c r="AC969" s="49"/>
      <c r="AD969" s="49"/>
      <c r="AE969" s="49"/>
      <c r="AF969" s="49"/>
      <c r="AG969" s="49"/>
      <c r="AH969" s="49"/>
      <c r="AI969" s="49"/>
      <c r="AJ969" s="49"/>
      <c r="AK969" s="49"/>
      <c r="AL969" s="49"/>
      <c r="AM969" s="49"/>
      <c r="AN969" s="49"/>
      <c r="AO969" s="49"/>
    </row>
    <row r="970" spans="1:41" ht="13">
      <c r="A970" s="49"/>
      <c r="B970" s="49"/>
      <c r="C970" s="47"/>
      <c r="D970" s="49"/>
      <c r="E970" s="49"/>
      <c r="F970" s="49" t="b">
        <v>0</v>
      </c>
      <c r="G970" s="49"/>
      <c r="H970" s="47"/>
      <c r="I970" s="47"/>
      <c r="J970" s="49"/>
      <c r="K970" s="49"/>
      <c r="L970" s="49"/>
      <c r="M970" s="49"/>
      <c r="N970" s="49"/>
      <c r="O970" s="49" t="b">
        <v>0</v>
      </c>
      <c r="P970" s="49"/>
      <c r="Q970" s="49"/>
      <c r="R970" s="49"/>
      <c r="S970" s="49"/>
      <c r="T970" s="49"/>
      <c r="U970" s="58"/>
      <c r="V970" s="49"/>
      <c r="W970" s="58"/>
      <c r="X970" s="49"/>
      <c r="Y970" s="47"/>
      <c r="Z970" s="49"/>
      <c r="AA970" s="49"/>
      <c r="AB970" s="49"/>
      <c r="AC970" s="49"/>
      <c r="AD970" s="49"/>
      <c r="AE970" s="49"/>
      <c r="AF970" s="49"/>
      <c r="AG970" s="49"/>
      <c r="AH970" s="49"/>
      <c r="AI970" s="49"/>
      <c r="AJ970" s="49"/>
      <c r="AK970" s="49"/>
      <c r="AL970" s="49"/>
      <c r="AM970" s="49"/>
      <c r="AN970" s="49"/>
      <c r="AO970" s="49"/>
    </row>
    <row r="971" spans="1:41" ht="13">
      <c r="A971" s="49"/>
      <c r="B971" s="49"/>
      <c r="C971" s="47"/>
      <c r="D971" s="49"/>
      <c r="E971" s="49"/>
      <c r="F971" s="49" t="b">
        <v>0</v>
      </c>
      <c r="G971" s="49"/>
      <c r="H971" s="47"/>
      <c r="I971" s="47"/>
      <c r="J971" s="49"/>
      <c r="K971" s="49"/>
      <c r="L971" s="49"/>
      <c r="M971" s="49"/>
      <c r="N971" s="49"/>
      <c r="O971" s="49" t="b">
        <v>0</v>
      </c>
      <c r="P971" s="49"/>
      <c r="Q971" s="49"/>
      <c r="R971" s="49"/>
      <c r="S971" s="49"/>
      <c r="T971" s="49"/>
      <c r="U971" s="58"/>
      <c r="V971" s="49"/>
      <c r="W971" s="58"/>
      <c r="X971" s="49"/>
      <c r="Y971" s="47"/>
      <c r="Z971" s="49"/>
      <c r="AA971" s="49"/>
      <c r="AB971" s="49"/>
      <c r="AC971" s="49"/>
      <c r="AD971" s="49"/>
      <c r="AE971" s="49"/>
      <c r="AF971" s="49"/>
      <c r="AG971" s="49"/>
      <c r="AH971" s="49"/>
      <c r="AI971" s="49"/>
      <c r="AJ971" s="49"/>
      <c r="AK971" s="49"/>
      <c r="AL971" s="49"/>
      <c r="AM971" s="49"/>
      <c r="AN971" s="49"/>
      <c r="AO971" s="49"/>
    </row>
    <row r="972" spans="1:41" ht="13">
      <c r="A972" s="49"/>
      <c r="B972" s="49"/>
      <c r="C972" s="47"/>
      <c r="D972" s="49"/>
      <c r="E972" s="49"/>
      <c r="F972" s="49" t="b">
        <v>0</v>
      </c>
      <c r="G972" s="49"/>
      <c r="H972" s="47"/>
      <c r="I972" s="47"/>
      <c r="J972" s="49"/>
      <c r="K972" s="49"/>
      <c r="L972" s="49"/>
      <c r="M972" s="49"/>
      <c r="N972" s="49"/>
      <c r="O972" s="49" t="b">
        <v>0</v>
      </c>
      <c r="P972" s="49"/>
      <c r="Q972" s="49"/>
      <c r="R972" s="49"/>
      <c r="S972" s="49"/>
      <c r="T972" s="49"/>
      <c r="U972" s="58"/>
      <c r="V972" s="49"/>
      <c r="W972" s="58"/>
      <c r="X972" s="49"/>
      <c r="Y972" s="47"/>
      <c r="Z972" s="49"/>
      <c r="AA972" s="49"/>
      <c r="AB972" s="49"/>
      <c r="AC972" s="49"/>
      <c r="AD972" s="49"/>
      <c r="AE972" s="49"/>
      <c r="AF972" s="49"/>
      <c r="AG972" s="49"/>
      <c r="AH972" s="49"/>
      <c r="AI972" s="49"/>
      <c r="AJ972" s="49"/>
      <c r="AK972" s="49"/>
      <c r="AL972" s="49"/>
      <c r="AM972" s="49"/>
      <c r="AN972" s="49"/>
      <c r="AO972" s="49"/>
    </row>
    <row r="973" spans="1:41" ht="13">
      <c r="A973" s="49"/>
      <c r="B973" s="49"/>
      <c r="C973" s="47"/>
      <c r="D973" s="49"/>
      <c r="E973" s="49"/>
      <c r="F973" s="49" t="b">
        <v>0</v>
      </c>
      <c r="G973" s="49"/>
      <c r="H973" s="47"/>
      <c r="I973" s="47"/>
      <c r="J973" s="49"/>
      <c r="K973" s="49"/>
      <c r="L973" s="49"/>
      <c r="M973" s="49"/>
      <c r="N973" s="49"/>
      <c r="O973" s="49" t="b">
        <v>0</v>
      </c>
      <c r="P973" s="49"/>
      <c r="Q973" s="49"/>
      <c r="R973" s="49"/>
      <c r="S973" s="49"/>
      <c r="T973" s="49"/>
      <c r="U973" s="58"/>
      <c r="V973" s="49"/>
      <c r="W973" s="58"/>
      <c r="X973" s="49"/>
      <c r="Y973" s="47"/>
      <c r="Z973" s="49"/>
      <c r="AA973" s="49"/>
      <c r="AB973" s="49"/>
      <c r="AC973" s="49"/>
      <c r="AD973" s="49"/>
      <c r="AE973" s="49"/>
      <c r="AF973" s="49"/>
      <c r="AG973" s="49"/>
      <c r="AH973" s="49"/>
      <c r="AI973" s="49"/>
      <c r="AJ973" s="49"/>
      <c r="AK973" s="49"/>
      <c r="AL973" s="49"/>
      <c r="AM973" s="49"/>
      <c r="AN973" s="49"/>
      <c r="AO973" s="49"/>
    </row>
    <row r="974" spans="1:41" ht="13">
      <c r="A974" s="49"/>
      <c r="B974" s="49"/>
      <c r="C974" s="47"/>
      <c r="D974" s="49"/>
      <c r="E974" s="49"/>
      <c r="F974" s="49" t="b">
        <v>0</v>
      </c>
      <c r="G974" s="49"/>
      <c r="H974" s="47"/>
      <c r="I974" s="47"/>
      <c r="J974" s="49"/>
      <c r="K974" s="49"/>
      <c r="L974" s="49"/>
      <c r="M974" s="49"/>
      <c r="N974" s="49"/>
      <c r="O974" s="49" t="b">
        <v>0</v>
      </c>
      <c r="P974" s="49"/>
      <c r="Q974" s="49"/>
      <c r="R974" s="49"/>
      <c r="S974" s="49"/>
      <c r="T974" s="49"/>
      <c r="U974" s="58"/>
      <c r="V974" s="49"/>
      <c r="W974" s="58"/>
      <c r="X974" s="49"/>
      <c r="Y974" s="47"/>
      <c r="Z974" s="49"/>
      <c r="AA974" s="49"/>
      <c r="AB974" s="49"/>
      <c r="AC974" s="49"/>
      <c r="AD974" s="49"/>
      <c r="AE974" s="49"/>
      <c r="AF974" s="49"/>
      <c r="AG974" s="49"/>
      <c r="AH974" s="49"/>
      <c r="AI974" s="49"/>
      <c r="AJ974" s="49"/>
      <c r="AK974" s="49"/>
      <c r="AL974" s="49"/>
      <c r="AM974" s="49"/>
      <c r="AN974" s="49"/>
      <c r="AO974" s="49"/>
    </row>
    <row r="975" spans="1:41" ht="13">
      <c r="A975" s="49"/>
      <c r="B975" s="49"/>
      <c r="C975" s="47"/>
      <c r="D975" s="49"/>
      <c r="E975" s="49"/>
      <c r="F975" s="49" t="b">
        <v>0</v>
      </c>
      <c r="G975" s="49"/>
      <c r="H975" s="47"/>
      <c r="I975" s="47"/>
      <c r="J975" s="49"/>
      <c r="K975" s="49"/>
      <c r="L975" s="49"/>
      <c r="M975" s="49"/>
      <c r="N975" s="49"/>
      <c r="O975" s="49" t="b">
        <v>0</v>
      </c>
      <c r="P975" s="49"/>
      <c r="Q975" s="49"/>
      <c r="R975" s="49"/>
      <c r="S975" s="49"/>
      <c r="T975" s="49"/>
      <c r="U975" s="58"/>
      <c r="V975" s="49"/>
      <c r="W975" s="58"/>
      <c r="X975" s="49"/>
      <c r="Y975" s="47"/>
      <c r="Z975" s="49"/>
      <c r="AA975" s="49"/>
      <c r="AB975" s="49"/>
      <c r="AC975" s="49"/>
      <c r="AD975" s="49"/>
      <c r="AE975" s="49"/>
      <c r="AF975" s="49"/>
      <c r="AG975" s="49"/>
      <c r="AH975" s="49"/>
      <c r="AI975" s="49"/>
      <c r="AJ975" s="49"/>
      <c r="AK975" s="49"/>
      <c r="AL975" s="49"/>
      <c r="AM975" s="49"/>
      <c r="AN975" s="49"/>
      <c r="AO975" s="49"/>
    </row>
    <row r="976" spans="1:41" ht="13">
      <c r="A976" s="49"/>
      <c r="B976" s="49"/>
      <c r="C976" s="47"/>
      <c r="D976" s="49"/>
      <c r="E976" s="49"/>
      <c r="F976" s="49" t="b">
        <v>0</v>
      </c>
      <c r="G976" s="49"/>
      <c r="H976" s="47"/>
      <c r="I976" s="47"/>
      <c r="J976" s="49"/>
      <c r="K976" s="49"/>
      <c r="L976" s="49"/>
      <c r="M976" s="49"/>
      <c r="N976" s="49"/>
      <c r="O976" s="49" t="b">
        <v>0</v>
      </c>
      <c r="P976" s="49"/>
      <c r="Q976" s="49"/>
      <c r="R976" s="49"/>
      <c r="S976" s="49"/>
      <c r="T976" s="49"/>
      <c r="U976" s="58"/>
      <c r="V976" s="49"/>
      <c r="W976" s="58"/>
      <c r="X976" s="49"/>
      <c r="Y976" s="47"/>
      <c r="Z976" s="49"/>
      <c r="AA976" s="49"/>
      <c r="AB976" s="49"/>
      <c r="AC976" s="49"/>
      <c r="AD976" s="49"/>
      <c r="AE976" s="49"/>
      <c r="AF976" s="49"/>
      <c r="AG976" s="49"/>
      <c r="AH976" s="49"/>
      <c r="AI976" s="49"/>
      <c r="AJ976" s="49"/>
      <c r="AK976" s="49"/>
      <c r="AL976" s="49"/>
      <c r="AM976" s="49"/>
      <c r="AN976" s="49"/>
      <c r="AO976" s="49"/>
    </row>
    <row r="977" spans="1:41" ht="13">
      <c r="A977" s="49"/>
      <c r="B977" s="49"/>
      <c r="C977" s="47"/>
      <c r="D977" s="49"/>
      <c r="E977" s="49"/>
      <c r="F977" s="49" t="b">
        <v>0</v>
      </c>
      <c r="G977" s="49"/>
      <c r="H977" s="47"/>
      <c r="I977" s="47"/>
      <c r="J977" s="49"/>
      <c r="K977" s="49"/>
      <c r="L977" s="49"/>
      <c r="M977" s="49"/>
      <c r="N977" s="49"/>
      <c r="O977" s="49" t="b">
        <v>0</v>
      </c>
      <c r="P977" s="49"/>
      <c r="Q977" s="49"/>
      <c r="R977" s="49"/>
      <c r="S977" s="49"/>
      <c r="T977" s="49"/>
      <c r="U977" s="58"/>
      <c r="V977" s="49"/>
      <c r="W977" s="58"/>
      <c r="X977" s="49"/>
      <c r="Y977" s="47"/>
      <c r="Z977" s="49"/>
      <c r="AA977" s="49"/>
      <c r="AB977" s="49"/>
      <c r="AC977" s="49"/>
      <c r="AD977" s="49"/>
      <c r="AE977" s="49"/>
      <c r="AF977" s="49"/>
      <c r="AG977" s="49"/>
      <c r="AH977" s="49"/>
      <c r="AI977" s="49"/>
      <c r="AJ977" s="49"/>
      <c r="AK977" s="49"/>
      <c r="AL977" s="49"/>
      <c r="AM977" s="49"/>
      <c r="AN977" s="49"/>
      <c r="AO977" s="49"/>
    </row>
    <row r="978" spans="1:41" ht="13">
      <c r="A978" s="49"/>
      <c r="B978" s="49"/>
      <c r="C978" s="47"/>
      <c r="D978" s="49"/>
      <c r="E978" s="49"/>
      <c r="F978" s="49" t="b">
        <v>0</v>
      </c>
      <c r="G978" s="49"/>
      <c r="H978" s="47"/>
      <c r="I978" s="47"/>
      <c r="J978" s="49"/>
      <c r="K978" s="49"/>
      <c r="L978" s="49"/>
      <c r="M978" s="49"/>
      <c r="N978" s="49"/>
      <c r="O978" s="49" t="b">
        <v>0</v>
      </c>
      <c r="P978" s="49"/>
      <c r="Q978" s="49"/>
      <c r="R978" s="49"/>
      <c r="S978" s="49"/>
      <c r="T978" s="49"/>
      <c r="U978" s="58"/>
      <c r="V978" s="49"/>
      <c r="W978" s="58"/>
      <c r="X978" s="49"/>
      <c r="Y978" s="47"/>
      <c r="Z978" s="49"/>
      <c r="AA978" s="49"/>
      <c r="AB978" s="49"/>
      <c r="AC978" s="49"/>
      <c r="AD978" s="49"/>
      <c r="AE978" s="49"/>
      <c r="AF978" s="49"/>
      <c r="AG978" s="49"/>
      <c r="AH978" s="49"/>
      <c r="AI978" s="49"/>
      <c r="AJ978" s="49"/>
      <c r="AK978" s="49"/>
      <c r="AL978" s="49"/>
      <c r="AM978" s="49"/>
      <c r="AN978" s="49"/>
      <c r="AO978" s="49"/>
    </row>
    <row r="979" spans="1:41" ht="13">
      <c r="A979" s="49"/>
      <c r="B979" s="49"/>
      <c r="C979" s="47"/>
      <c r="D979" s="49"/>
      <c r="E979" s="49"/>
      <c r="F979" s="49" t="b">
        <v>0</v>
      </c>
      <c r="G979" s="49"/>
      <c r="H979" s="47"/>
      <c r="I979" s="47"/>
      <c r="J979" s="49"/>
      <c r="K979" s="49"/>
      <c r="L979" s="49"/>
      <c r="M979" s="49"/>
      <c r="N979" s="49"/>
      <c r="O979" s="49" t="b">
        <v>0</v>
      </c>
      <c r="P979" s="49"/>
      <c r="Q979" s="49"/>
      <c r="R979" s="49"/>
      <c r="S979" s="49"/>
      <c r="T979" s="49"/>
      <c r="U979" s="58"/>
      <c r="V979" s="49"/>
      <c r="W979" s="58"/>
      <c r="X979" s="49"/>
      <c r="Y979" s="47"/>
      <c r="Z979" s="49"/>
      <c r="AA979" s="49"/>
      <c r="AB979" s="49"/>
      <c r="AC979" s="49"/>
      <c r="AD979" s="49"/>
      <c r="AE979" s="49"/>
      <c r="AF979" s="49"/>
      <c r="AG979" s="49"/>
      <c r="AH979" s="49"/>
      <c r="AI979" s="49"/>
      <c r="AJ979" s="49"/>
      <c r="AK979" s="49"/>
      <c r="AL979" s="49"/>
      <c r="AM979" s="49"/>
      <c r="AN979" s="49"/>
      <c r="AO979" s="49"/>
    </row>
    <row r="980" spans="1:41" ht="13">
      <c r="A980" s="49"/>
      <c r="B980" s="49"/>
      <c r="C980" s="47"/>
      <c r="D980" s="49"/>
      <c r="E980" s="49"/>
      <c r="F980" s="49" t="b">
        <v>0</v>
      </c>
      <c r="G980" s="49"/>
      <c r="H980" s="47"/>
      <c r="I980" s="47"/>
      <c r="J980" s="49"/>
      <c r="K980" s="49"/>
      <c r="L980" s="49"/>
      <c r="M980" s="49"/>
      <c r="N980" s="49"/>
      <c r="O980" s="49" t="b">
        <v>0</v>
      </c>
      <c r="P980" s="49"/>
      <c r="Q980" s="49"/>
      <c r="R980" s="49"/>
      <c r="S980" s="49"/>
      <c r="T980" s="49"/>
      <c r="U980" s="58"/>
      <c r="V980" s="49"/>
      <c r="W980" s="58"/>
      <c r="X980" s="49"/>
      <c r="Y980" s="47"/>
      <c r="Z980" s="49"/>
      <c r="AA980" s="49"/>
      <c r="AB980" s="49"/>
      <c r="AC980" s="49"/>
      <c r="AD980" s="49"/>
      <c r="AE980" s="49"/>
      <c r="AF980" s="49"/>
      <c r="AG980" s="49"/>
      <c r="AH980" s="49"/>
      <c r="AI980" s="49"/>
      <c r="AJ980" s="49"/>
      <c r="AK980" s="49"/>
      <c r="AL980" s="49"/>
      <c r="AM980" s="49"/>
      <c r="AN980" s="49"/>
      <c r="AO980" s="49"/>
    </row>
    <row r="981" spans="1:41" ht="13">
      <c r="A981" s="49"/>
      <c r="B981" s="49"/>
      <c r="C981" s="47"/>
      <c r="D981" s="49"/>
      <c r="E981" s="49"/>
      <c r="F981" s="49" t="b">
        <v>0</v>
      </c>
      <c r="G981" s="49"/>
      <c r="H981" s="47"/>
      <c r="I981" s="47"/>
      <c r="J981" s="49"/>
      <c r="K981" s="49"/>
      <c r="L981" s="49"/>
      <c r="M981" s="49"/>
      <c r="N981" s="49"/>
      <c r="O981" s="49" t="b">
        <v>0</v>
      </c>
      <c r="P981" s="49"/>
      <c r="Q981" s="49"/>
      <c r="R981" s="49"/>
      <c r="S981" s="49"/>
      <c r="T981" s="49"/>
      <c r="U981" s="58"/>
      <c r="V981" s="49"/>
      <c r="W981" s="58"/>
      <c r="X981" s="49"/>
      <c r="Y981" s="47"/>
      <c r="Z981" s="49"/>
      <c r="AA981" s="49"/>
      <c r="AB981" s="49"/>
      <c r="AC981" s="49"/>
      <c r="AD981" s="49"/>
      <c r="AE981" s="49"/>
      <c r="AF981" s="49"/>
      <c r="AG981" s="49"/>
      <c r="AH981" s="49"/>
      <c r="AI981" s="49"/>
      <c r="AJ981" s="49"/>
      <c r="AK981" s="49"/>
      <c r="AL981" s="49"/>
      <c r="AM981" s="49"/>
      <c r="AN981" s="49"/>
      <c r="AO981" s="49"/>
    </row>
    <row r="982" spans="1:41" ht="13">
      <c r="A982" s="49"/>
      <c r="B982" s="49"/>
      <c r="C982" s="47"/>
      <c r="D982" s="49"/>
      <c r="E982" s="49"/>
      <c r="F982" s="49" t="b">
        <v>0</v>
      </c>
      <c r="G982" s="49"/>
      <c r="H982" s="47"/>
      <c r="I982" s="47"/>
      <c r="J982" s="49"/>
      <c r="K982" s="49"/>
      <c r="L982" s="49"/>
      <c r="M982" s="49"/>
      <c r="N982" s="49"/>
      <c r="O982" s="49" t="b">
        <v>0</v>
      </c>
      <c r="P982" s="49"/>
      <c r="Q982" s="49"/>
      <c r="R982" s="49"/>
      <c r="S982" s="49"/>
      <c r="T982" s="49"/>
      <c r="U982" s="58"/>
      <c r="V982" s="49"/>
      <c r="W982" s="58"/>
      <c r="X982" s="49"/>
      <c r="Y982" s="47"/>
      <c r="Z982" s="49"/>
      <c r="AA982" s="49"/>
      <c r="AB982" s="49"/>
      <c r="AC982" s="49"/>
      <c r="AD982" s="49"/>
      <c r="AE982" s="49"/>
      <c r="AF982" s="49"/>
      <c r="AG982" s="49"/>
      <c r="AH982" s="49"/>
      <c r="AI982" s="49"/>
      <c r="AJ982" s="49"/>
      <c r="AK982" s="49"/>
      <c r="AL982" s="49"/>
      <c r="AM982" s="49"/>
      <c r="AN982" s="49"/>
      <c r="AO982" s="49"/>
    </row>
    <row r="983" spans="1:41" ht="13">
      <c r="A983" s="49"/>
      <c r="B983" s="49"/>
      <c r="C983" s="47"/>
      <c r="D983" s="49"/>
      <c r="E983" s="49"/>
      <c r="F983" s="49" t="b">
        <v>0</v>
      </c>
      <c r="G983" s="49"/>
      <c r="H983" s="47"/>
      <c r="I983" s="47"/>
      <c r="J983" s="49"/>
      <c r="K983" s="49"/>
      <c r="L983" s="49"/>
      <c r="M983" s="49"/>
      <c r="N983" s="49"/>
      <c r="O983" s="49" t="b">
        <v>0</v>
      </c>
      <c r="P983" s="49"/>
      <c r="Q983" s="49"/>
      <c r="R983" s="49"/>
      <c r="S983" s="49"/>
      <c r="T983" s="49"/>
      <c r="U983" s="58"/>
      <c r="V983" s="49"/>
      <c r="W983" s="58"/>
      <c r="X983" s="49"/>
      <c r="Y983" s="47"/>
      <c r="Z983" s="49"/>
      <c r="AA983" s="49"/>
      <c r="AB983" s="49"/>
      <c r="AC983" s="49"/>
      <c r="AD983" s="49"/>
      <c r="AE983" s="49"/>
      <c r="AF983" s="49"/>
      <c r="AG983" s="49"/>
      <c r="AH983" s="49"/>
      <c r="AI983" s="49"/>
      <c r="AJ983" s="49"/>
      <c r="AK983" s="49"/>
      <c r="AL983" s="49"/>
      <c r="AM983" s="49"/>
      <c r="AN983" s="49"/>
      <c r="AO983" s="49"/>
    </row>
    <row r="984" spans="1:41" ht="13">
      <c r="A984" s="49"/>
      <c r="B984" s="49"/>
      <c r="C984" s="47"/>
      <c r="D984" s="49"/>
      <c r="E984" s="49"/>
      <c r="F984" s="49" t="b">
        <v>0</v>
      </c>
      <c r="G984" s="49"/>
      <c r="H984" s="47"/>
      <c r="I984" s="47"/>
      <c r="J984" s="49"/>
      <c r="K984" s="49"/>
      <c r="L984" s="49"/>
      <c r="M984" s="49"/>
      <c r="N984" s="49"/>
      <c r="O984" s="49" t="b">
        <v>0</v>
      </c>
      <c r="P984" s="49"/>
      <c r="Q984" s="49"/>
      <c r="R984" s="49"/>
      <c r="S984" s="49"/>
      <c r="T984" s="49"/>
      <c r="U984" s="58"/>
      <c r="V984" s="49"/>
      <c r="W984" s="58"/>
      <c r="X984" s="49"/>
      <c r="Y984" s="47"/>
      <c r="Z984" s="49"/>
      <c r="AA984" s="49"/>
      <c r="AB984" s="49"/>
      <c r="AC984" s="49"/>
      <c r="AD984" s="49"/>
      <c r="AE984" s="49"/>
      <c r="AF984" s="49"/>
      <c r="AG984" s="49"/>
      <c r="AH984" s="49"/>
      <c r="AI984" s="49"/>
      <c r="AJ984" s="49"/>
      <c r="AK984" s="49"/>
      <c r="AL984" s="49"/>
      <c r="AM984" s="49"/>
      <c r="AN984" s="49"/>
      <c r="AO984" s="49"/>
    </row>
    <row r="985" spans="1:41" ht="13">
      <c r="A985" s="49"/>
      <c r="B985" s="49"/>
      <c r="C985" s="47"/>
      <c r="D985" s="49"/>
      <c r="E985" s="49"/>
      <c r="F985" s="49" t="b">
        <v>0</v>
      </c>
      <c r="G985" s="49"/>
      <c r="H985" s="47"/>
      <c r="I985" s="47"/>
      <c r="J985" s="49"/>
      <c r="K985" s="49"/>
      <c r="L985" s="49"/>
      <c r="M985" s="49"/>
      <c r="N985" s="49"/>
      <c r="O985" s="49" t="b">
        <v>0</v>
      </c>
      <c r="P985" s="49"/>
      <c r="Q985" s="49"/>
      <c r="R985" s="49"/>
      <c r="S985" s="49"/>
      <c r="T985" s="49"/>
      <c r="U985" s="58"/>
      <c r="V985" s="49"/>
      <c r="W985" s="58"/>
      <c r="X985" s="49"/>
      <c r="Y985" s="47"/>
      <c r="Z985" s="49"/>
      <c r="AA985" s="49"/>
      <c r="AB985" s="49"/>
      <c r="AC985" s="49"/>
      <c r="AD985" s="49"/>
      <c r="AE985" s="49"/>
      <c r="AF985" s="49"/>
      <c r="AG985" s="49"/>
      <c r="AH985" s="49"/>
      <c r="AI985" s="49"/>
      <c r="AJ985" s="49"/>
      <c r="AK985" s="49"/>
      <c r="AL985" s="49"/>
      <c r="AM985" s="49"/>
      <c r="AN985" s="49"/>
      <c r="AO985" s="49"/>
    </row>
    <row r="986" spans="1:41" ht="13">
      <c r="A986" s="49"/>
      <c r="B986" s="49"/>
      <c r="C986" s="47"/>
      <c r="D986" s="49"/>
      <c r="E986" s="49"/>
      <c r="F986" s="49" t="b">
        <v>0</v>
      </c>
      <c r="G986" s="49"/>
      <c r="H986" s="47"/>
      <c r="I986" s="47"/>
      <c r="J986" s="49"/>
      <c r="K986" s="49"/>
      <c r="L986" s="49"/>
      <c r="M986" s="49"/>
      <c r="N986" s="49"/>
      <c r="O986" s="49" t="b">
        <v>0</v>
      </c>
      <c r="P986" s="49"/>
      <c r="Q986" s="49"/>
      <c r="R986" s="49"/>
      <c r="S986" s="49"/>
      <c r="T986" s="49"/>
      <c r="U986" s="58"/>
      <c r="V986" s="49"/>
      <c r="W986" s="58"/>
      <c r="X986" s="49"/>
      <c r="Y986" s="47"/>
      <c r="Z986" s="49"/>
      <c r="AA986" s="49"/>
      <c r="AB986" s="49"/>
      <c r="AC986" s="49"/>
      <c r="AD986" s="49"/>
      <c r="AE986" s="49"/>
      <c r="AF986" s="49"/>
      <c r="AG986" s="49"/>
      <c r="AH986" s="49"/>
      <c r="AI986" s="49"/>
      <c r="AJ986" s="49"/>
      <c r="AK986" s="49"/>
      <c r="AL986" s="49"/>
      <c r="AM986" s="49"/>
      <c r="AN986" s="49"/>
      <c r="AO986" s="49"/>
    </row>
    <row r="987" spans="1:41" ht="13">
      <c r="A987" s="49"/>
      <c r="B987" s="49"/>
      <c r="C987" s="47"/>
      <c r="D987" s="49"/>
      <c r="E987" s="49"/>
      <c r="F987" s="49" t="b">
        <v>0</v>
      </c>
      <c r="G987" s="49"/>
      <c r="H987" s="47"/>
      <c r="I987" s="47"/>
      <c r="J987" s="49"/>
      <c r="K987" s="49"/>
      <c r="L987" s="49"/>
      <c r="M987" s="49"/>
      <c r="N987" s="49"/>
      <c r="O987" s="49" t="b">
        <v>0</v>
      </c>
      <c r="P987" s="49"/>
      <c r="Q987" s="49"/>
      <c r="R987" s="49"/>
      <c r="S987" s="49"/>
      <c r="T987" s="49"/>
      <c r="U987" s="58"/>
      <c r="V987" s="49"/>
      <c r="W987" s="58"/>
      <c r="X987" s="49"/>
      <c r="Y987" s="47"/>
      <c r="Z987" s="49"/>
      <c r="AA987" s="49"/>
      <c r="AB987" s="49"/>
      <c r="AC987" s="49"/>
      <c r="AD987" s="49"/>
      <c r="AE987" s="49"/>
      <c r="AF987" s="49"/>
      <c r="AG987" s="49"/>
      <c r="AH987" s="49"/>
      <c r="AI987" s="49"/>
      <c r="AJ987" s="49"/>
      <c r="AK987" s="49"/>
      <c r="AL987" s="49"/>
      <c r="AM987" s="49"/>
      <c r="AN987" s="49"/>
      <c r="AO987" s="49"/>
    </row>
    <row r="988" spans="1:41" ht="13">
      <c r="A988" s="49"/>
      <c r="B988" s="49"/>
      <c r="C988" s="47"/>
      <c r="D988" s="49"/>
      <c r="E988" s="49"/>
      <c r="F988" s="49" t="b">
        <v>0</v>
      </c>
      <c r="G988" s="49"/>
      <c r="H988" s="47"/>
      <c r="I988" s="47"/>
      <c r="J988" s="49"/>
      <c r="K988" s="49"/>
      <c r="L988" s="49"/>
      <c r="M988" s="49"/>
      <c r="N988" s="49"/>
      <c r="O988" s="49" t="b">
        <v>0</v>
      </c>
      <c r="P988" s="49"/>
      <c r="Q988" s="49"/>
      <c r="R988" s="49"/>
      <c r="S988" s="49"/>
      <c r="T988" s="49"/>
      <c r="U988" s="58"/>
      <c r="V988" s="49"/>
      <c r="W988" s="58"/>
      <c r="X988" s="49"/>
      <c r="Y988" s="47"/>
      <c r="Z988" s="49"/>
      <c r="AA988" s="49"/>
      <c r="AB988" s="49"/>
      <c r="AC988" s="49"/>
      <c r="AD988" s="49"/>
      <c r="AE988" s="49"/>
      <c r="AF988" s="49"/>
      <c r="AG988" s="49"/>
      <c r="AH988" s="49"/>
      <c r="AI988" s="49"/>
      <c r="AJ988" s="49"/>
      <c r="AK988" s="49"/>
      <c r="AL988" s="49"/>
      <c r="AM988" s="49"/>
      <c r="AN988" s="49"/>
      <c r="AO988" s="49"/>
    </row>
    <row r="989" spans="1:41" ht="13">
      <c r="A989" s="49"/>
      <c r="B989" s="49"/>
      <c r="C989" s="47"/>
      <c r="D989" s="49"/>
      <c r="E989" s="49"/>
      <c r="F989" s="49" t="b">
        <v>0</v>
      </c>
      <c r="G989" s="49"/>
      <c r="H989" s="47"/>
      <c r="I989" s="47"/>
      <c r="J989" s="49"/>
      <c r="K989" s="49"/>
      <c r="L989" s="49"/>
      <c r="M989" s="49"/>
      <c r="N989" s="49"/>
      <c r="O989" s="49" t="b">
        <v>0</v>
      </c>
      <c r="P989" s="49"/>
      <c r="Q989" s="49"/>
      <c r="R989" s="49"/>
      <c r="S989" s="49"/>
      <c r="T989" s="49"/>
      <c r="U989" s="58"/>
      <c r="V989" s="49"/>
      <c r="W989" s="58"/>
      <c r="X989" s="49"/>
      <c r="Y989" s="47"/>
      <c r="Z989" s="49"/>
      <c r="AA989" s="49"/>
      <c r="AB989" s="49"/>
      <c r="AC989" s="49"/>
      <c r="AD989" s="49"/>
      <c r="AE989" s="49"/>
      <c r="AF989" s="49"/>
      <c r="AG989" s="49"/>
      <c r="AH989" s="49"/>
      <c r="AI989" s="49"/>
      <c r="AJ989" s="49"/>
      <c r="AK989" s="49"/>
      <c r="AL989" s="49"/>
      <c r="AM989" s="49"/>
      <c r="AN989" s="49"/>
      <c r="AO989" s="49"/>
    </row>
  </sheetData>
  <mergeCells count="5">
    <mergeCell ref="B1:H1"/>
    <mergeCell ref="J1:K1"/>
    <mergeCell ref="L1:N1"/>
    <mergeCell ref="P1:T1"/>
    <mergeCell ref="W1:W2"/>
  </mergeCells>
  <conditionalFormatting sqref="B1:B222 B224:B989">
    <cfRule type="containsText" dxfId="12" priority="1" operator="containsText" text="Unassigned">
      <formula>NOT(ISERROR(SEARCH(("Unassigned"),(B1))))</formula>
    </cfRule>
  </conditionalFormatting>
  <dataValidations count="4">
    <dataValidation type="list" allowBlank="1" sqref="I1:I222 I224:I989" xr:uid="{00000000-0002-0000-0200-000000000000}">
      <formula1>"Only,First,Second,Third,Archived"</formula1>
    </dataValidation>
    <dataValidation type="list" allowBlank="1" sqref="G3:G222 G224:G989" xr:uid="{00000000-0002-0000-0200-000001000000}">
      <formula1>"Actionability,Gene Disease Validity,Variant Pathogenicity,Dosage Sensitivity,Somatic Cancer,Baseline,NA"</formula1>
    </dataValidation>
    <dataValidation type="list" allowBlank="1" sqref="E3:F222 E224:F989" xr:uid="{00000000-0002-0000-0200-000002000000}">
      <formula1>"Yes,No"</formula1>
    </dataValidation>
    <dataValidation type="list" allowBlank="1" sqref="B3:B989" xr:uid="{00000000-0002-0000-02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U786"/>
  <sheetViews>
    <sheetView workbookViewId="0">
      <pane ySplit="2" topLeftCell="A3" activePane="bottomLeft" state="frozen"/>
      <selection pane="bottomLeft" activeCell="B4" sqref="B4"/>
    </sheetView>
  </sheetViews>
  <sheetFormatPr baseColWidth="10" defaultColWidth="14.5" defaultRowHeight="15.75" customHeight="1"/>
  <cols>
    <col min="1" max="1" width="16.5" customWidth="1"/>
    <col min="2" max="2" width="11.1640625" customWidth="1"/>
    <col min="3" max="3" width="11" customWidth="1"/>
    <col min="4" max="4" width="21.33203125" customWidth="1"/>
    <col min="5" max="5" width="18.5" customWidth="1"/>
    <col min="6" max="6" width="27.83203125" customWidth="1"/>
    <col min="7" max="7" width="24.5" customWidth="1"/>
    <col min="8" max="8" width="32.1640625" customWidth="1"/>
  </cols>
  <sheetData>
    <row r="1" spans="1:21" ht="30">
      <c r="A1" s="177" t="s">
        <v>7</v>
      </c>
      <c r="B1" s="178"/>
      <c r="C1" s="178"/>
      <c r="D1" s="178"/>
      <c r="E1" s="179"/>
      <c r="F1" s="21" t="s">
        <v>38</v>
      </c>
      <c r="G1" s="24" t="s">
        <v>41</v>
      </c>
      <c r="H1" s="21" t="s">
        <v>42</v>
      </c>
      <c r="I1" s="30"/>
      <c r="J1" s="30"/>
      <c r="K1" s="30"/>
      <c r="L1" s="30"/>
      <c r="M1" s="30"/>
      <c r="N1" s="30"/>
      <c r="O1" s="30"/>
      <c r="P1" s="30"/>
      <c r="Q1" s="30"/>
      <c r="R1" s="30"/>
      <c r="S1" s="30"/>
      <c r="T1" s="30"/>
      <c r="U1" s="30"/>
    </row>
    <row r="2" spans="1:21" ht="30">
      <c r="A2" s="36" t="s">
        <v>0</v>
      </c>
      <c r="B2" s="36" t="s">
        <v>73</v>
      </c>
      <c r="C2" s="38" t="s">
        <v>74</v>
      </c>
      <c r="D2" s="36" t="s">
        <v>76</v>
      </c>
      <c r="E2" s="38" t="s">
        <v>77</v>
      </c>
      <c r="F2" s="38" t="s">
        <v>81</v>
      </c>
      <c r="G2" s="38" t="s">
        <v>84</v>
      </c>
      <c r="H2" s="35" t="s">
        <v>85</v>
      </c>
      <c r="I2" s="32"/>
      <c r="J2" s="32"/>
      <c r="K2" s="32"/>
      <c r="L2" s="32"/>
      <c r="M2" s="32"/>
      <c r="N2" s="32"/>
      <c r="O2" s="32"/>
      <c r="P2" s="32"/>
      <c r="Q2" s="32"/>
      <c r="R2" s="32"/>
      <c r="S2" s="32"/>
      <c r="T2" s="32"/>
      <c r="U2" s="32"/>
    </row>
    <row r="3" spans="1:21" ht="14">
      <c r="A3" s="42" t="s">
        <v>108</v>
      </c>
      <c r="B3" s="43">
        <v>43570</v>
      </c>
      <c r="C3" s="42" t="s">
        <v>117</v>
      </c>
      <c r="D3" s="42" t="s">
        <v>122</v>
      </c>
      <c r="E3" s="45" t="s">
        <v>123</v>
      </c>
      <c r="F3" s="49" t="str">
        <f ca="1">IFERROR(__xludf.DUMMYFUNCTION("QUERY('Volunteer Survey'!B5)"),"Xiaodong Wang")</f>
        <v>Xiaodong Wang</v>
      </c>
      <c r="G3" s="42" t="str">
        <f ca="1">IFERROR(__xludf.DUMMYFUNCTION("QUERY('Volunteer Survey'!H5)"),"Comprehensive")</f>
        <v>Comprehensive</v>
      </c>
      <c r="H3" s="49" t="str">
        <f ca="1">IFERROR(__xludf.DUMMYFUNCTION("QUERY('Volunteer Survey'!I5)"),"Gene-Disease Validity")</f>
        <v>Gene-Disease Validity</v>
      </c>
      <c r="I3" s="49"/>
      <c r="J3" s="49"/>
      <c r="K3" s="49"/>
      <c r="L3" s="49"/>
      <c r="M3" s="49"/>
      <c r="N3" s="49"/>
      <c r="O3" s="49"/>
      <c r="P3" s="49"/>
      <c r="Q3" s="49"/>
      <c r="R3" s="49"/>
      <c r="S3" s="49"/>
      <c r="T3" s="49"/>
      <c r="U3" s="49"/>
    </row>
    <row r="4" spans="1:21" ht="14">
      <c r="A4" s="42" t="s">
        <v>125</v>
      </c>
      <c r="B4" s="50">
        <v>43446</v>
      </c>
      <c r="C4" s="42" t="s">
        <v>117</v>
      </c>
      <c r="D4" s="42" t="s">
        <v>122</v>
      </c>
      <c r="E4" s="45" t="s">
        <v>143</v>
      </c>
      <c r="F4" s="49" t="str">
        <f ca="1">IFERROR(__xludf.DUMMYFUNCTION("QUERY('Volunteer Survey'!B7)"),"Jennifer Howe")</f>
        <v>Jennifer Howe</v>
      </c>
      <c r="G4" s="42" t="str">
        <f ca="1">IFERROR(__xludf.DUMMYFUNCTION("QUERY('Volunteer Survey'!H7)"),"Comprehensive")</f>
        <v>Comprehensive</v>
      </c>
      <c r="H4" s="49" t="str">
        <f ca="1">IFERROR(__xludf.DUMMYFUNCTION("QUERY('Volunteer Survey'!I7)"),"Gene-Disease Validity")</f>
        <v>Gene-Disease Validity</v>
      </c>
      <c r="I4" s="49"/>
      <c r="J4" s="49"/>
      <c r="K4" s="49"/>
      <c r="L4" s="49"/>
      <c r="M4" s="49"/>
      <c r="N4" s="49"/>
      <c r="O4" s="49"/>
      <c r="P4" s="49"/>
      <c r="Q4" s="49"/>
      <c r="R4" s="49"/>
      <c r="S4" s="49"/>
      <c r="T4" s="49"/>
      <c r="U4" s="49"/>
    </row>
    <row r="5" spans="1:21" ht="14">
      <c r="A5" s="42" t="s">
        <v>125</v>
      </c>
      <c r="B5" s="50">
        <v>43446</v>
      </c>
      <c r="C5" s="42" t="s">
        <v>117</v>
      </c>
      <c r="D5" s="42" t="s">
        <v>122</v>
      </c>
      <c r="E5" s="45" t="s">
        <v>20</v>
      </c>
      <c r="F5" s="49" t="str">
        <f ca="1">IFERROR(__xludf.DUMMYFUNCTION("QUERY('Volunteer Survey'!B8)"),"Kalpana Panneerselvam")</f>
        <v>Kalpana Panneerselvam</v>
      </c>
      <c r="G5" s="42" t="str">
        <f ca="1">IFERROR(__xludf.DUMMYFUNCTION("QUERY('Volunteer Survey'!H8)"),"Comprehensive")</f>
        <v>Comprehensive</v>
      </c>
      <c r="H5" s="49" t="str">
        <f ca="1">IFERROR(__xludf.DUMMYFUNCTION("QUERY('Volunteer Survey'!I8)"),"Gene-Disease Validity")</f>
        <v>Gene-Disease Validity</v>
      </c>
      <c r="I5" s="49"/>
      <c r="J5" s="49"/>
      <c r="K5" s="49"/>
      <c r="L5" s="49"/>
      <c r="M5" s="49"/>
      <c r="N5" s="49"/>
      <c r="O5" s="49"/>
      <c r="P5" s="49"/>
      <c r="Q5" s="49"/>
      <c r="R5" s="49"/>
      <c r="S5" s="49"/>
      <c r="T5" s="49"/>
      <c r="U5" s="49"/>
    </row>
    <row r="6" spans="1:21" ht="14">
      <c r="A6" s="42" t="s">
        <v>160</v>
      </c>
      <c r="B6" s="59">
        <v>43580</v>
      </c>
      <c r="C6" s="42" t="s">
        <v>117</v>
      </c>
      <c r="D6" s="42" t="s">
        <v>163</v>
      </c>
      <c r="E6" s="45" t="s">
        <v>164</v>
      </c>
      <c r="F6" s="49" t="str">
        <f ca="1">IFERROR(__xludf.DUMMYFUNCTION("QUERY('Volunteer Survey'!B9)"),"Justin Schleede Phd")</f>
        <v>Justin Schleede Phd</v>
      </c>
      <c r="G6" s="42" t="str">
        <f ca="1">IFERROR(__xludf.DUMMYFUNCTION("QUERY('Volunteer Survey'!H9)"),"Comprehensive")</f>
        <v>Comprehensive</v>
      </c>
      <c r="H6" s="49" t="str">
        <f ca="1">IFERROR(__xludf.DUMMYFUNCTION("QUERY('Volunteer Survey'!I9)"),"Dosage Sensitivity")</f>
        <v>Dosage Sensitivity</v>
      </c>
      <c r="I6" s="49"/>
      <c r="J6" s="49"/>
      <c r="K6" s="49"/>
      <c r="L6" s="49"/>
      <c r="M6" s="49"/>
      <c r="N6" s="49"/>
      <c r="O6" s="49"/>
      <c r="P6" s="49"/>
      <c r="Q6" s="49"/>
      <c r="R6" s="49"/>
      <c r="S6" s="49"/>
      <c r="T6" s="49"/>
      <c r="U6" s="49"/>
    </row>
    <row r="7" spans="1:21" ht="13">
      <c r="A7" s="42" t="s">
        <v>108</v>
      </c>
      <c r="B7" s="59">
        <v>43678</v>
      </c>
      <c r="C7" s="42" t="s">
        <v>117</v>
      </c>
      <c r="D7" s="42" t="s">
        <v>19</v>
      </c>
      <c r="E7" s="63"/>
      <c r="F7" s="49" t="str">
        <f ca="1">IFERROR(__xludf.DUMMYFUNCTION("QUERY('Volunteer Survey'!B11)"),"Juan Carlos Diaz ")</f>
        <v xml:space="preserve">Juan Carlos Diaz </v>
      </c>
      <c r="G7" s="42" t="str">
        <f ca="1">IFERROR(__xludf.DUMMYFUNCTION("QUERY('Volunteer Survey'!H11)"),"Comprehensive")</f>
        <v>Comprehensive</v>
      </c>
      <c r="H7" s="49" t="str">
        <f ca="1">IFERROR(__xludf.DUMMYFUNCTION("QUERY('Volunteer Survey'!I11)"),"Clinical Actionability")</f>
        <v>Clinical Actionability</v>
      </c>
      <c r="I7" s="49"/>
      <c r="J7" s="49"/>
      <c r="K7" s="49"/>
      <c r="L7" s="49"/>
      <c r="M7" s="49"/>
      <c r="N7" s="49"/>
      <c r="O7" s="49"/>
      <c r="P7" s="49"/>
      <c r="Q7" s="49"/>
      <c r="R7" s="49"/>
      <c r="S7" s="49"/>
      <c r="T7" s="49"/>
      <c r="U7" s="49"/>
    </row>
    <row r="8" spans="1:21" ht="28">
      <c r="A8" s="42" t="s">
        <v>108</v>
      </c>
      <c r="B8" s="59">
        <v>43570</v>
      </c>
      <c r="C8" s="42" t="s">
        <v>117</v>
      </c>
      <c r="D8" s="42" t="s">
        <v>122</v>
      </c>
      <c r="E8" s="45" t="s">
        <v>173</v>
      </c>
      <c r="F8" s="49" t="str">
        <f ca="1">IFERROR(__xludf.DUMMYFUNCTION("QUERY('Volunteer Survey'!B13)"),"Tomohiko Ai")</f>
        <v>Tomohiko Ai</v>
      </c>
      <c r="G8" s="42" t="str">
        <f ca="1">IFERROR(__xludf.DUMMYFUNCTION("QUERY('Volunteer Survey'!H13)"),"Comprehensive")</f>
        <v>Comprehensive</v>
      </c>
      <c r="H8" s="49" t="str">
        <f ca="1">IFERROR(__xludf.DUMMYFUNCTION("QUERY('Volunteer Survey'!I13)"),"Gene-Disease Validity")</f>
        <v>Gene-Disease Validity</v>
      </c>
      <c r="I8" s="49"/>
      <c r="J8" s="49"/>
      <c r="K8" s="49"/>
      <c r="L8" s="49"/>
      <c r="M8" s="49"/>
      <c r="N8" s="49"/>
      <c r="O8" s="49"/>
      <c r="P8" s="49"/>
      <c r="Q8" s="49"/>
      <c r="R8" s="49"/>
      <c r="S8" s="49"/>
      <c r="T8" s="49"/>
      <c r="U8" s="49"/>
    </row>
    <row r="9" spans="1:21" ht="14">
      <c r="A9" s="42" t="s">
        <v>168</v>
      </c>
      <c r="B9" s="43">
        <v>43476</v>
      </c>
      <c r="C9" s="42" t="s">
        <v>117</v>
      </c>
      <c r="D9" s="42" t="s">
        <v>136</v>
      </c>
      <c r="E9" s="45" t="s">
        <v>179</v>
      </c>
      <c r="F9" s="49" t="str">
        <f ca="1">IFERROR(__xludf.DUMMYFUNCTION("QUERY('Volunteer Survey'!B14)"),"Rajavarman Kittu")</f>
        <v>Rajavarman Kittu</v>
      </c>
      <c r="G9" s="42" t="str">
        <f ca="1">IFERROR(__xludf.DUMMYFUNCTION("QUERY('Volunteer Survey'!H14)"),"Comprehensive")</f>
        <v>Comprehensive</v>
      </c>
      <c r="H9" s="42" t="s">
        <v>136</v>
      </c>
      <c r="I9" s="49"/>
      <c r="J9" s="49"/>
      <c r="K9" s="49"/>
      <c r="L9" s="49"/>
      <c r="M9" s="49"/>
      <c r="N9" s="49"/>
      <c r="O9" s="49"/>
      <c r="P9" s="49"/>
      <c r="Q9" s="49"/>
      <c r="R9" s="49"/>
      <c r="S9" s="49"/>
      <c r="T9" s="49"/>
      <c r="U9" s="49"/>
    </row>
    <row r="10" spans="1:21" ht="13">
      <c r="A10" s="42" t="s">
        <v>108</v>
      </c>
      <c r="B10" s="59">
        <v>43678</v>
      </c>
      <c r="C10" s="42" t="s">
        <v>117</v>
      </c>
      <c r="D10" s="42" t="s">
        <v>19</v>
      </c>
      <c r="E10" s="63"/>
      <c r="F10" s="49" t="str">
        <f ca="1">IFERROR(__xludf.DUMMYFUNCTION("QUERY('Volunteer Survey'!B15)"),"Rhea Vallente")</f>
        <v>Rhea Vallente</v>
      </c>
      <c r="G10" s="42" t="str">
        <f ca="1">IFERROR(__xludf.DUMMYFUNCTION("QUERY('Volunteer Survey'!H15)"),"Comprehensive")</f>
        <v>Comprehensive</v>
      </c>
      <c r="H10" s="49" t="str">
        <f ca="1">IFERROR(__xludf.DUMMYFUNCTION("QUERY('Volunteer Survey'!I15)"),"Clinical Actionability")</f>
        <v>Clinical Actionability</v>
      </c>
      <c r="I10" s="49"/>
      <c r="J10" s="49"/>
      <c r="K10" s="49"/>
      <c r="L10" s="49"/>
      <c r="M10" s="49"/>
      <c r="N10" s="49"/>
      <c r="O10" s="49"/>
      <c r="P10" s="49"/>
      <c r="Q10" s="49"/>
      <c r="R10" s="49"/>
      <c r="S10" s="49"/>
      <c r="T10" s="49"/>
      <c r="U10" s="49"/>
    </row>
    <row r="11" spans="1:21" ht="14">
      <c r="A11" s="42" t="s">
        <v>125</v>
      </c>
      <c r="B11" s="50">
        <v>43585</v>
      </c>
      <c r="C11" s="42" t="s">
        <v>117</v>
      </c>
      <c r="D11" s="42" t="s">
        <v>122</v>
      </c>
      <c r="E11" s="45" t="s">
        <v>197</v>
      </c>
      <c r="F11" s="49" t="str">
        <f ca="1">IFERROR(__xludf.DUMMYFUNCTION("QUERY('Volunteer Survey'!B16)"),"Caitlin Hale")</f>
        <v>Caitlin Hale</v>
      </c>
      <c r="G11" s="42" t="str">
        <f ca="1">IFERROR(__xludf.DUMMYFUNCTION("QUERY('Volunteer Survey'!H16)"),"Comprehensive")</f>
        <v>Comprehensive</v>
      </c>
      <c r="H11" s="49" t="str">
        <f ca="1">IFERROR(__xludf.DUMMYFUNCTION("QUERY('Volunteer Survey'!I16)"),"Gene-Disease Validity")</f>
        <v>Gene-Disease Validity</v>
      </c>
      <c r="I11" s="49"/>
      <c r="J11" s="49"/>
      <c r="K11" s="49"/>
      <c r="L11" s="49"/>
      <c r="M11" s="49"/>
      <c r="N11" s="49"/>
      <c r="O11" s="49"/>
      <c r="P11" s="49"/>
      <c r="Q11" s="49"/>
      <c r="R11" s="49"/>
      <c r="S11" s="49"/>
      <c r="T11" s="49"/>
      <c r="U11" s="49"/>
    </row>
    <row r="12" spans="1:21" ht="13">
      <c r="A12" s="42" t="s">
        <v>108</v>
      </c>
      <c r="B12" s="67">
        <v>43567</v>
      </c>
      <c r="C12" s="42" t="s">
        <v>117</v>
      </c>
      <c r="D12" s="42" t="s">
        <v>19</v>
      </c>
      <c r="E12" s="63" t="s">
        <v>19</v>
      </c>
      <c r="F12" s="49" t="str">
        <f ca="1">IFERROR(__xludf.DUMMYFUNCTION("QUERY('Volunteer Survey'!B17)"),"Melissa Murfin")</f>
        <v>Melissa Murfin</v>
      </c>
      <c r="G12" s="42" t="str">
        <f ca="1">IFERROR(__xludf.DUMMYFUNCTION("QUERY('Volunteer Survey'!H17)"),"Comprehensive")</f>
        <v>Comprehensive</v>
      </c>
      <c r="H12" s="49" t="str">
        <f ca="1">IFERROR(__xludf.DUMMYFUNCTION("QUERY('Volunteer Survey'!I17)"),"Clinical Actionability")</f>
        <v>Clinical Actionability</v>
      </c>
      <c r="I12" s="49"/>
      <c r="J12" s="49"/>
      <c r="K12" s="49"/>
      <c r="L12" s="49"/>
      <c r="M12" s="49"/>
      <c r="N12" s="49"/>
      <c r="O12" s="49"/>
      <c r="P12" s="49"/>
      <c r="Q12" s="49"/>
      <c r="R12" s="49"/>
      <c r="S12" s="49"/>
      <c r="T12" s="49"/>
      <c r="U12" s="49"/>
    </row>
    <row r="13" spans="1:21" ht="14">
      <c r="A13" s="42" t="s">
        <v>108</v>
      </c>
      <c r="B13" s="59">
        <v>43585</v>
      </c>
      <c r="C13" s="42" t="s">
        <v>117</v>
      </c>
      <c r="D13" s="42" t="s">
        <v>122</v>
      </c>
      <c r="E13" s="45" t="s">
        <v>220</v>
      </c>
      <c r="F13" s="49" t="str">
        <f ca="1">IFERROR(__xludf.DUMMYFUNCTION("QUERY('Volunteer Survey'!B18)"),"Ana León")</f>
        <v>Ana León</v>
      </c>
      <c r="G13" s="42" t="str">
        <f ca="1">IFERROR(__xludf.DUMMYFUNCTION("QUERY('Volunteer Survey'!H18)"),"Comprehensive")</f>
        <v>Comprehensive</v>
      </c>
      <c r="H13" s="49" t="str">
        <f ca="1">IFERROR(__xludf.DUMMYFUNCTION("QUERY('Volunteer Survey'!I18)"),"Gene-Disease Validity")</f>
        <v>Gene-Disease Validity</v>
      </c>
      <c r="I13" s="49"/>
      <c r="J13" s="49"/>
      <c r="K13" s="49"/>
      <c r="L13" s="49"/>
      <c r="M13" s="49"/>
      <c r="N13" s="49"/>
      <c r="O13" s="49"/>
      <c r="P13" s="49"/>
      <c r="Q13" s="49"/>
      <c r="R13" s="49"/>
      <c r="S13" s="49"/>
      <c r="T13" s="49"/>
      <c r="U13" s="49"/>
    </row>
    <row r="14" spans="1:21" ht="14">
      <c r="A14" s="42" t="s">
        <v>160</v>
      </c>
      <c r="B14" s="50">
        <v>43446</v>
      </c>
      <c r="C14" s="42" t="s">
        <v>117</v>
      </c>
      <c r="D14" s="42" t="s">
        <v>122</v>
      </c>
      <c r="E14" s="45" t="s">
        <v>143</v>
      </c>
      <c r="F14" s="49" t="str">
        <f ca="1">IFERROR(__xludf.DUMMYFUNCTION("QUERY('Volunteer Survey'!B19)"),"Catalina Betancur")</f>
        <v>Catalina Betancur</v>
      </c>
      <c r="G14" s="42" t="str">
        <f ca="1">IFERROR(__xludf.DUMMYFUNCTION("QUERY('Volunteer Survey'!H19)"),"Comprehensive")</f>
        <v>Comprehensive</v>
      </c>
      <c r="H14" s="49" t="str">
        <f ca="1">IFERROR(__xludf.DUMMYFUNCTION("QUERY('Volunteer Survey'!I19)"),"Gene-Disease Validity")</f>
        <v>Gene-Disease Validity</v>
      </c>
      <c r="I14" s="49"/>
      <c r="J14" s="49"/>
      <c r="K14" s="49"/>
      <c r="L14" s="49"/>
      <c r="M14" s="49"/>
      <c r="N14" s="49"/>
      <c r="O14" s="49"/>
      <c r="P14" s="49"/>
      <c r="Q14" s="49"/>
      <c r="R14" s="49"/>
      <c r="S14" s="49"/>
      <c r="T14" s="49"/>
      <c r="U14" s="49"/>
    </row>
    <row r="15" spans="1:21" ht="13">
      <c r="A15" s="42" t="s">
        <v>108</v>
      </c>
      <c r="B15" s="59">
        <v>43580</v>
      </c>
      <c r="C15" s="42" t="s">
        <v>117</v>
      </c>
      <c r="D15" s="42" t="s">
        <v>163</v>
      </c>
      <c r="E15" s="47"/>
      <c r="F15" s="49" t="str">
        <f ca="1">IFERROR(__xludf.DUMMYFUNCTION("QUERY('Volunteer Survey'!B21)"),"Shulin Zhang")</f>
        <v>Shulin Zhang</v>
      </c>
      <c r="G15" s="42" t="str">
        <f ca="1">IFERROR(__xludf.DUMMYFUNCTION("QUERY('Volunteer Survey'!H21)"),"Comprehensive")</f>
        <v>Comprehensive</v>
      </c>
      <c r="H15" s="49" t="str">
        <f ca="1">IFERROR(__xludf.DUMMYFUNCTION("QUERY('Volunteer Survey'!I21)"),"Dosage Sensitivity")</f>
        <v>Dosage Sensitivity</v>
      </c>
      <c r="I15" s="49"/>
      <c r="J15" s="49"/>
      <c r="K15" s="49"/>
      <c r="L15" s="49"/>
      <c r="M15" s="49"/>
      <c r="N15" s="49"/>
      <c r="O15" s="49"/>
      <c r="P15" s="49"/>
      <c r="Q15" s="49"/>
      <c r="R15" s="49"/>
      <c r="S15" s="49"/>
      <c r="T15" s="49"/>
      <c r="U15" s="49"/>
    </row>
    <row r="16" spans="1:21" ht="13">
      <c r="A16" s="42" t="s">
        <v>108</v>
      </c>
      <c r="B16" s="67">
        <v>43567</v>
      </c>
      <c r="C16" s="42" t="s">
        <v>117</v>
      </c>
      <c r="D16" s="42" t="s">
        <v>19</v>
      </c>
      <c r="E16" s="63"/>
      <c r="F16" s="49" t="str">
        <f ca="1">IFERROR(__xludf.DUMMYFUNCTION("QUERY('Volunteer Survey'!B22)"),"Marwan Shinawi")</f>
        <v>Marwan Shinawi</v>
      </c>
      <c r="G16" s="42" t="str">
        <f ca="1">IFERROR(__xludf.DUMMYFUNCTION("QUERY('Volunteer Survey'!H22)"),"Comprehensive")</f>
        <v>Comprehensive</v>
      </c>
      <c r="H16" s="49" t="str">
        <f ca="1">IFERROR(__xludf.DUMMYFUNCTION("QUERY('Volunteer Survey'!I22)"),"Clinical Actionability")</f>
        <v>Clinical Actionability</v>
      </c>
      <c r="I16" s="49"/>
      <c r="J16" s="49"/>
      <c r="K16" s="49"/>
      <c r="L16" s="49"/>
      <c r="M16" s="49"/>
      <c r="N16" s="49"/>
      <c r="O16" s="49"/>
      <c r="P16" s="49"/>
      <c r="Q16" s="49"/>
      <c r="R16" s="49"/>
      <c r="S16" s="49"/>
      <c r="T16" s="49"/>
      <c r="U16" s="49"/>
    </row>
    <row r="17" spans="1:21" ht="14">
      <c r="A17" s="42" t="s">
        <v>108</v>
      </c>
      <c r="B17" s="59">
        <v>43605</v>
      </c>
      <c r="C17" s="42" t="s">
        <v>117</v>
      </c>
      <c r="D17" s="42" t="s">
        <v>251</v>
      </c>
      <c r="E17" s="45" t="s">
        <v>252</v>
      </c>
      <c r="F17" s="49" t="str">
        <f ca="1">IFERROR(__xludf.DUMMYFUNCTION("QUERY('Volunteer Survey'!B23)"),"Adam Coovadia")</f>
        <v>Adam Coovadia</v>
      </c>
      <c r="G17" s="42" t="str">
        <f ca="1">IFERROR(__xludf.DUMMYFUNCTION("QUERY('Volunteer Survey'!H23)"),"Comprehensive")</f>
        <v>Comprehensive</v>
      </c>
      <c r="H17" s="49" t="str">
        <f ca="1">IFERROR(__xludf.DUMMYFUNCTION("QUERY('Volunteer Survey'!I23)"),"Variant Pathogenicity")</f>
        <v>Variant Pathogenicity</v>
      </c>
      <c r="I17" s="49"/>
      <c r="J17" s="49"/>
      <c r="K17" s="49"/>
      <c r="L17" s="49"/>
      <c r="M17" s="49"/>
      <c r="N17" s="49"/>
      <c r="O17" s="49"/>
      <c r="P17" s="49"/>
      <c r="Q17" s="49"/>
      <c r="R17" s="49"/>
      <c r="S17" s="49"/>
      <c r="T17" s="49"/>
      <c r="U17" s="49"/>
    </row>
    <row r="18" spans="1:21" ht="14">
      <c r="A18" s="42" t="s">
        <v>160</v>
      </c>
      <c r="B18" s="50">
        <v>43446</v>
      </c>
      <c r="C18" s="42" t="s">
        <v>117</v>
      </c>
      <c r="D18" s="42" t="s">
        <v>122</v>
      </c>
      <c r="E18" s="45" t="s">
        <v>20</v>
      </c>
      <c r="F18" s="49" t="str">
        <f ca="1">IFERROR(__xludf.DUMMYFUNCTION("QUERY('Volunteer Survey'!B24)"),"Volkan Okur")</f>
        <v>Volkan Okur</v>
      </c>
      <c r="G18" s="42" t="str">
        <f ca="1">IFERROR(__xludf.DUMMYFUNCTION("QUERY('Volunteer Survey'!H24)"),"Comprehensive")</f>
        <v>Comprehensive</v>
      </c>
      <c r="H18" s="49" t="str">
        <f ca="1">IFERROR(__xludf.DUMMYFUNCTION("QUERY('Volunteer Survey'!I24)"),"Gene-Disease Validity")</f>
        <v>Gene-Disease Validity</v>
      </c>
      <c r="I18" s="49"/>
      <c r="J18" s="49"/>
      <c r="K18" s="49"/>
      <c r="L18" s="49"/>
      <c r="M18" s="49"/>
      <c r="N18" s="49"/>
      <c r="O18" s="49"/>
      <c r="P18" s="49"/>
      <c r="Q18" s="49"/>
      <c r="R18" s="49"/>
      <c r="S18" s="49"/>
      <c r="T18" s="49"/>
      <c r="U18" s="49"/>
    </row>
    <row r="19" spans="1:21" ht="14">
      <c r="A19" s="42" t="s">
        <v>160</v>
      </c>
      <c r="B19" s="50">
        <v>43446</v>
      </c>
      <c r="C19" s="42" t="s">
        <v>117</v>
      </c>
      <c r="D19" s="42" t="s">
        <v>122</v>
      </c>
      <c r="E19" s="45" t="s">
        <v>197</v>
      </c>
      <c r="F19" s="49" t="str">
        <f ca="1">IFERROR(__xludf.DUMMYFUNCTION("QUERY('Volunteer Survey'!B25)"),"Mythily Ganapathi")</f>
        <v>Mythily Ganapathi</v>
      </c>
      <c r="G19" s="42" t="str">
        <f ca="1">IFERROR(__xludf.DUMMYFUNCTION("QUERY('Volunteer Survey'!H25)"),"Comprehensive")</f>
        <v>Comprehensive</v>
      </c>
      <c r="H19" s="49" t="str">
        <f ca="1">IFERROR(__xludf.DUMMYFUNCTION("QUERY('Volunteer Survey'!I25)"),"Gene-Disease Validity")</f>
        <v>Gene-Disease Validity</v>
      </c>
      <c r="I19" s="49"/>
      <c r="J19" s="49"/>
      <c r="K19" s="49"/>
      <c r="L19" s="49"/>
      <c r="M19" s="49"/>
      <c r="N19" s="49"/>
      <c r="O19" s="49"/>
      <c r="P19" s="49"/>
      <c r="Q19" s="49"/>
      <c r="R19" s="49"/>
      <c r="S19" s="49"/>
      <c r="T19" s="49"/>
      <c r="U19" s="49"/>
    </row>
    <row r="20" spans="1:21" ht="13">
      <c r="A20" s="42" t="s">
        <v>168</v>
      </c>
      <c r="B20" s="59">
        <v>43585</v>
      </c>
      <c r="C20" s="42" t="s">
        <v>117</v>
      </c>
      <c r="D20" s="42" t="s">
        <v>122</v>
      </c>
      <c r="E20" s="47"/>
      <c r="F20" s="49" t="str">
        <f ca="1">IFERROR(__xludf.DUMMYFUNCTION("QUERY('Volunteer Survey'!B26)"),"Leslie Oldfield")</f>
        <v>Leslie Oldfield</v>
      </c>
      <c r="G20" s="42" t="str">
        <f ca="1">IFERROR(__xludf.DUMMYFUNCTION("QUERY('Volunteer Survey'!H26)"),"Comprehensive")</f>
        <v>Comprehensive</v>
      </c>
      <c r="H20" s="49" t="str">
        <f ca="1">IFERROR(__xludf.DUMMYFUNCTION("QUERY('Volunteer Survey'!I26)"),"Gene-Disease Validity")</f>
        <v>Gene-Disease Validity</v>
      </c>
      <c r="I20" s="49"/>
      <c r="J20" s="49"/>
      <c r="K20" s="49"/>
      <c r="L20" s="49"/>
      <c r="M20" s="49"/>
      <c r="N20" s="49"/>
      <c r="O20" s="49"/>
      <c r="P20" s="49"/>
      <c r="Q20" s="49"/>
      <c r="R20" s="49"/>
      <c r="S20" s="49"/>
      <c r="T20" s="49"/>
      <c r="U20" s="49"/>
    </row>
    <row r="21" spans="1:21" ht="14">
      <c r="A21" s="42" t="s">
        <v>160</v>
      </c>
      <c r="B21" s="50">
        <v>43446</v>
      </c>
      <c r="C21" s="42" t="s">
        <v>117</v>
      </c>
      <c r="D21" s="42" t="s">
        <v>122</v>
      </c>
      <c r="E21" s="45" t="s">
        <v>287</v>
      </c>
      <c r="F21" s="49" t="str">
        <f ca="1">IFERROR(__xludf.DUMMYFUNCTION("QUERY('Volunteer Survey'!B27)"),"John Shoffner")</f>
        <v>John Shoffner</v>
      </c>
      <c r="G21" s="42" t="str">
        <f ca="1">IFERROR(__xludf.DUMMYFUNCTION("QUERY('Volunteer Survey'!H27)"),"Comprehensive")</f>
        <v>Comprehensive</v>
      </c>
      <c r="H21" s="49" t="str">
        <f ca="1">IFERROR(__xludf.DUMMYFUNCTION("QUERY('Volunteer Survey'!I27)"),"Gene-Disease Validity")</f>
        <v>Gene-Disease Validity</v>
      </c>
      <c r="I21" s="49"/>
      <c r="J21" s="49"/>
      <c r="K21" s="49"/>
      <c r="L21" s="49"/>
      <c r="M21" s="49"/>
      <c r="N21" s="49"/>
      <c r="O21" s="49"/>
      <c r="P21" s="49"/>
      <c r="Q21" s="49"/>
      <c r="R21" s="49"/>
      <c r="S21" s="49"/>
      <c r="T21" s="49"/>
      <c r="U21" s="49"/>
    </row>
    <row r="22" spans="1:21" ht="14">
      <c r="A22" s="42" t="s">
        <v>160</v>
      </c>
      <c r="B22" s="50">
        <v>43446</v>
      </c>
      <c r="C22" s="42" t="s">
        <v>117</v>
      </c>
      <c r="D22" s="42" t="s">
        <v>122</v>
      </c>
      <c r="E22" s="45" t="s">
        <v>287</v>
      </c>
      <c r="F22" s="49" t="str">
        <f ca="1">IFERROR(__xludf.DUMMYFUNCTION("QUERY('Volunteer Survey'!B28)"),"Isabelle Thiffault")</f>
        <v>Isabelle Thiffault</v>
      </c>
      <c r="G22" s="42" t="str">
        <f ca="1">IFERROR(__xludf.DUMMYFUNCTION("QUERY('Volunteer Survey'!H28)"),"Comprehensive")</f>
        <v>Comprehensive</v>
      </c>
      <c r="H22" s="49" t="str">
        <f ca="1">IFERROR(__xludf.DUMMYFUNCTION("QUERY('Volunteer Survey'!I28)"),"Gene-Disease Validity")</f>
        <v>Gene-Disease Validity</v>
      </c>
      <c r="I22" s="49"/>
      <c r="J22" s="49"/>
      <c r="K22" s="49"/>
      <c r="L22" s="49"/>
      <c r="M22" s="49"/>
      <c r="N22" s="49"/>
      <c r="O22" s="49"/>
      <c r="P22" s="49"/>
      <c r="Q22" s="49"/>
      <c r="R22" s="49"/>
      <c r="S22" s="49"/>
      <c r="T22" s="49"/>
      <c r="U22" s="49"/>
    </row>
    <row r="23" spans="1:21" ht="14">
      <c r="A23" s="42" t="s">
        <v>160</v>
      </c>
      <c r="B23" s="42" t="s">
        <v>291</v>
      </c>
      <c r="C23" s="42" t="s">
        <v>130</v>
      </c>
      <c r="D23" s="42" t="s">
        <v>122</v>
      </c>
      <c r="E23" s="45" t="s">
        <v>20</v>
      </c>
      <c r="F23" s="49" t="str">
        <f ca="1">IFERROR(__xludf.DUMMYFUNCTION("QUERY('Volunteer Survey'!B29)"),"Ye Cao")</f>
        <v>Ye Cao</v>
      </c>
      <c r="G23" s="42" t="str">
        <f ca="1">IFERROR(__xludf.DUMMYFUNCTION("QUERY('Volunteer Survey'!H29)"),"Comprehensive")</f>
        <v>Comprehensive</v>
      </c>
      <c r="H23" s="49" t="str">
        <f ca="1">IFERROR(__xludf.DUMMYFUNCTION("QUERY('Volunteer Survey'!I29)"),"Gene-Disease Validity")</f>
        <v>Gene-Disease Validity</v>
      </c>
      <c r="I23" s="49"/>
      <c r="J23" s="49"/>
      <c r="K23" s="49"/>
      <c r="L23" s="49"/>
      <c r="M23" s="49"/>
      <c r="N23" s="49"/>
      <c r="O23" s="49"/>
      <c r="P23" s="49"/>
      <c r="Q23" s="49"/>
      <c r="R23" s="49"/>
      <c r="S23" s="49"/>
      <c r="T23" s="49"/>
      <c r="U23" s="49"/>
    </row>
    <row r="24" spans="1:21" ht="14">
      <c r="A24" s="42" t="s">
        <v>160</v>
      </c>
      <c r="B24" s="50">
        <v>43446</v>
      </c>
      <c r="C24" s="42" t="s">
        <v>117</v>
      </c>
      <c r="D24" s="42" t="s">
        <v>122</v>
      </c>
      <c r="E24" s="45" t="s">
        <v>104</v>
      </c>
      <c r="F24" s="49" t="str">
        <f ca="1">IFERROR(__xludf.DUMMYFUNCTION("QUERY('Volunteer Survey'!B31)"),"Colin Ellis")</f>
        <v>Colin Ellis</v>
      </c>
      <c r="G24" s="42" t="str">
        <f ca="1">IFERROR(__xludf.DUMMYFUNCTION("QUERY('Volunteer Survey'!H31)"),"Comprehensive")</f>
        <v>Comprehensive</v>
      </c>
      <c r="H24" s="49" t="str">
        <f ca="1">IFERROR(__xludf.DUMMYFUNCTION("QUERY('Volunteer Survey'!I31)"),"Gene-Disease Validity")</f>
        <v>Gene-Disease Validity</v>
      </c>
      <c r="I24" s="49"/>
      <c r="J24" s="49"/>
      <c r="K24" s="49"/>
      <c r="L24" s="49"/>
      <c r="M24" s="49"/>
      <c r="N24" s="49"/>
      <c r="O24" s="49"/>
      <c r="P24" s="49"/>
      <c r="Q24" s="49"/>
      <c r="R24" s="49"/>
      <c r="S24" s="49"/>
      <c r="T24" s="49"/>
      <c r="U24" s="49"/>
    </row>
    <row r="25" spans="1:21" ht="14">
      <c r="A25" s="42" t="s">
        <v>125</v>
      </c>
      <c r="B25" s="50">
        <v>43446</v>
      </c>
      <c r="C25" s="42" t="s">
        <v>117</v>
      </c>
      <c r="D25" s="42" t="s">
        <v>122</v>
      </c>
      <c r="E25" s="45" t="s">
        <v>20</v>
      </c>
      <c r="F25" s="49" t="str">
        <f ca="1">IFERROR(__xludf.DUMMYFUNCTION("QUERY('Volunteer Survey'!B32)"),"Mansour Zamanpoor")</f>
        <v>Mansour Zamanpoor</v>
      </c>
      <c r="G25" s="42" t="str">
        <f ca="1">IFERROR(__xludf.DUMMYFUNCTION("QUERY('Volunteer Survey'!H32)"),"Comprehensive")</f>
        <v>Comprehensive</v>
      </c>
      <c r="H25" s="49" t="str">
        <f ca="1">IFERROR(__xludf.DUMMYFUNCTION("QUERY('Volunteer Survey'!I32)"),"Gene-Disease Validity")</f>
        <v>Gene-Disease Validity</v>
      </c>
      <c r="I25" s="49"/>
      <c r="J25" s="49"/>
      <c r="K25" s="49"/>
      <c r="L25" s="49"/>
      <c r="M25" s="49"/>
      <c r="N25" s="49"/>
      <c r="O25" s="49"/>
      <c r="P25" s="49"/>
      <c r="Q25" s="49"/>
      <c r="R25" s="49"/>
      <c r="S25" s="49"/>
      <c r="T25" s="49"/>
      <c r="U25" s="49"/>
    </row>
    <row r="26" spans="1:21" ht="14">
      <c r="A26" s="42" t="s">
        <v>160</v>
      </c>
      <c r="B26" s="50">
        <v>43446</v>
      </c>
      <c r="C26" s="42" t="s">
        <v>117</v>
      </c>
      <c r="D26" s="42" t="s">
        <v>122</v>
      </c>
      <c r="E26" s="45" t="s">
        <v>293</v>
      </c>
      <c r="F26" s="49" t="str">
        <f ca="1">IFERROR(__xludf.DUMMYFUNCTION("QUERY('Volunteer Survey'!B33)"),"Benjamin Kang")</f>
        <v>Benjamin Kang</v>
      </c>
      <c r="G26" s="42" t="str">
        <f ca="1">IFERROR(__xludf.DUMMYFUNCTION("QUERY('Volunteer Survey'!H33)"),"Comprehensive")</f>
        <v>Comprehensive</v>
      </c>
      <c r="H26" s="49" t="str">
        <f ca="1">IFERROR(__xludf.DUMMYFUNCTION("QUERY('Volunteer Survey'!I33)"),"Gene-Disease Validity")</f>
        <v>Gene-Disease Validity</v>
      </c>
      <c r="I26" s="49"/>
      <c r="J26" s="49"/>
      <c r="K26" s="49"/>
      <c r="L26" s="49"/>
      <c r="M26" s="49"/>
      <c r="N26" s="49"/>
      <c r="O26" s="49"/>
      <c r="P26" s="49"/>
      <c r="Q26" s="49"/>
      <c r="R26" s="49"/>
      <c r="S26" s="49"/>
      <c r="T26" s="49"/>
      <c r="U26" s="49"/>
    </row>
    <row r="27" spans="1:21" ht="14">
      <c r="A27" s="42" t="s">
        <v>108</v>
      </c>
      <c r="B27" s="50">
        <v>43585</v>
      </c>
      <c r="C27" s="42" t="s">
        <v>117</v>
      </c>
      <c r="D27" s="42" t="s">
        <v>122</v>
      </c>
      <c r="E27" s="45" t="s">
        <v>294</v>
      </c>
      <c r="F27" s="49" t="str">
        <f ca="1">IFERROR(__xludf.DUMMYFUNCTION("QUERY('Volunteer Survey'!B34)"),"Ljubica Caldovic")</f>
        <v>Ljubica Caldovic</v>
      </c>
      <c r="G27" s="42" t="str">
        <f ca="1">IFERROR(__xludf.DUMMYFUNCTION("QUERY('Volunteer Survey'!H34)"),"Comprehensive")</f>
        <v>Comprehensive</v>
      </c>
      <c r="H27" s="49" t="str">
        <f ca="1">IFERROR(__xludf.DUMMYFUNCTION("QUERY('Volunteer Survey'!I34)"),"Gene-Disease Validity")</f>
        <v>Gene-Disease Validity</v>
      </c>
      <c r="I27" s="49"/>
      <c r="J27" s="49"/>
      <c r="K27" s="49"/>
      <c r="L27" s="49"/>
      <c r="M27" s="49"/>
      <c r="N27" s="49"/>
      <c r="O27" s="49"/>
      <c r="P27" s="49"/>
      <c r="Q27" s="49"/>
      <c r="R27" s="49"/>
      <c r="S27" s="49"/>
      <c r="T27" s="49"/>
      <c r="U27" s="49"/>
    </row>
    <row r="28" spans="1:21" ht="13">
      <c r="A28" s="42" t="s">
        <v>108</v>
      </c>
      <c r="B28" s="50">
        <v>43446</v>
      </c>
      <c r="C28" s="42" t="s">
        <v>117</v>
      </c>
      <c r="D28" s="42" t="s">
        <v>122</v>
      </c>
      <c r="E28" s="47"/>
      <c r="F28" s="49" t="str">
        <f ca="1">IFERROR(__xludf.DUMMYFUNCTION("QUERY('Volunteer Survey'!B38)"),"Vaidehi Jobanputra")</f>
        <v>Vaidehi Jobanputra</v>
      </c>
      <c r="G28" s="42" t="str">
        <f ca="1">IFERROR(__xludf.DUMMYFUNCTION("QUERY('Volunteer Survey'!H38)"),"Comprehensive")</f>
        <v>Comprehensive</v>
      </c>
      <c r="H28" s="49" t="str">
        <f ca="1">IFERROR(__xludf.DUMMYFUNCTION("QUERY('Volunteer Survey'!I38)"),"Gene-Disease Validity")</f>
        <v>Gene-Disease Validity</v>
      </c>
      <c r="I28" s="49"/>
      <c r="J28" s="49"/>
      <c r="K28" s="49"/>
      <c r="L28" s="49"/>
      <c r="M28" s="49"/>
      <c r="N28" s="49"/>
      <c r="O28" s="49"/>
      <c r="P28" s="49"/>
      <c r="Q28" s="49"/>
      <c r="R28" s="49"/>
      <c r="S28" s="49"/>
      <c r="T28" s="49"/>
      <c r="U28" s="49"/>
    </row>
    <row r="29" spans="1:21" ht="14">
      <c r="A29" s="42" t="s">
        <v>108</v>
      </c>
      <c r="B29" s="59">
        <v>43585</v>
      </c>
      <c r="C29" s="42" t="s">
        <v>117</v>
      </c>
      <c r="D29" s="42" t="s">
        <v>122</v>
      </c>
      <c r="E29" s="45" t="s">
        <v>123</v>
      </c>
      <c r="F29" s="49" t="str">
        <f ca="1">IFERROR(__xludf.DUMMYFUNCTION("QUERY('Volunteer Survey'!B40)"),"Erik Thorland")</f>
        <v>Erik Thorland</v>
      </c>
      <c r="G29" s="42" t="str">
        <f ca="1">IFERROR(__xludf.DUMMYFUNCTION("QUERY('Volunteer Survey'!H40)"),"Comprehensive")</f>
        <v>Comprehensive</v>
      </c>
      <c r="H29" s="49" t="str">
        <f ca="1">IFERROR(__xludf.DUMMYFUNCTION("QUERY('Volunteer Survey'!I40)"),"Gene-Disease Validity")</f>
        <v>Gene-Disease Validity</v>
      </c>
      <c r="I29" s="49"/>
      <c r="J29" s="49"/>
      <c r="K29" s="49"/>
      <c r="L29" s="49"/>
      <c r="M29" s="49"/>
      <c r="N29" s="49"/>
      <c r="O29" s="49"/>
      <c r="P29" s="49"/>
      <c r="Q29" s="49"/>
      <c r="R29" s="49"/>
      <c r="S29" s="49"/>
      <c r="T29" s="49"/>
      <c r="U29" s="49"/>
    </row>
    <row r="30" spans="1:21" ht="14">
      <c r="A30" s="42" t="s">
        <v>160</v>
      </c>
      <c r="B30" s="50">
        <v>43446</v>
      </c>
      <c r="C30" s="42" t="s">
        <v>117</v>
      </c>
      <c r="D30" s="42" t="s">
        <v>122</v>
      </c>
      <c r="E30" s="45" t="s">
        <v>143</v>
      </c>
      <c r="F30" s="49" t="str">
        <f ca="1">IFERROR(__xludf.DUMMYFUNCTION("QUERY('Volunteer Survey'!B41)"),"Olivia Rennie")</f>
        <v>Olivia Rennie</v>
      </c>
      <c r="G30" s="42" t="str">
        <f ca="1">IFERROR(__xludf.DUMMYFUNCTION("QUERY('Volunteer Survey'!H41)"),"Comprehensive")</f>
        <v>Comprehensive</v>
      </c>
      <c r="H30" s="49" t="str">
        <f ca="1">IFERROR(__xludf.DUMMYFUNCTION("QUERY('Volunteer Survey'!I41)"),"Gene-Disease Validity")</f>
        <v>Gene-Disease Validity</v>
      </c>
      <c r="I30" s="49"/>
      <c r="J30" s="49"/>
      <c r="K30" s="49"/>
      <c r="L30" s="49"/>
      <c r="M30" s="49"/>
      <c r="N30" s="49"/>
      <c r="O30" s="49"/>
      <c r="P30" s="49"/>
      <c r="Q30" s="49"/>
      <c r="R30" s="49"/>
      <c r="S30" s="49"/>
      <c r="T30" s="49"/>
      <c r="U30" s="49"/>
    </row>
    <row r="31" spans="1:21" ht="14">
      <c r="A31" s="42" t="s">
        <v>125</v>
      </c>
      <c r="B31" s="50">
        <v>43446</v>
      </c>
      <c r="C31" s="42" t="s">
        <v>117</v>
      </c>
      <c r="D31" s="42" t="s">
        <v>122</v>
      </c>
      <c r="E31" s="45" t="s">
        <v>143</v>
      </c>
      <c r="F31" s="49" t="str">
        <f ca="1">IFERROR(__xludf.DUMMYFUNCTION("QUERY('Volunteer Survey'!B42)"),"Kira Dies")</f>
        <v>Kira Dies</v>
      </c>
      <c r="G31" s="42" t="s">
        <v>63</v>
      </c>
      <c r="H31" s="49" t="str">
        <f ca="1">IFERROR(__xludf.DUMMYFUNCTION("QUERY('Volunteer Survey'!I42)"),"Gene-Disease Validity")</f>
        <v>Gene-Disease Validity</v>
      </c>
      <c r="I31" s="49"/>
      <c r="J31" s="49"/>
      <c r="K31" s="49"/>
      <c r="L31" s="49"/>
      <c r="M31" s="49"/>
      <c r="N31" s="49"/>
      <c r="O31" s="49"/>
      <c r="P31" s="49"/>
      <c r="Q31" s="49"/>
      <c r="R31" s="49"/>
      <c r="S31" s="49"/>
      <c r="T31" s="49"/>
      <c r="U31" s="49"/>
    </row>
    <row r="32" spans="1:21" ht="14">
      <c r="A32" s="42" t="s">
        <v>160</v>
      </c>
      <c r="B32" s="67">
        <v>43341</v>
      </c>
      <c r="C32" s="42" t="s">
        <v>117</v>
      </c>
      <c r="D32" s="42" t="s">
        <v>122</v>
      </c>
      <c r="E32" s="74" t="s">
        <v>20</v>
      </c>
      <c r="F32" s="49" t="str">
        <f ca="1">IFERROR(__xludf.DUMMYFUNCTION("QUERY('Volunteer Survey'!B46)"),"Sainan Wei")</f>
        <v>Sainan Wei</v>
      </c>
      <c r="G32" s="42" t="str">
        <f ca="1">IFERROR(__xludf.DUMMYFUNCTION("QUERY('Volunteer Survey'!H46)"),"Comprehensive")</f>
        <v>Comprehensive</v>
      </c>
      <c r="H32" s="49" t="str">
        <f ca="1">IFERROR(__xludf.DUMMYFUNCTION("QUERY('Volunteer Survey'!I46)"),"Gene-Disease Validity")</f>
        <v>Gene-Disease Validity</v>
      </c>
      <c r="I32" s="49"/>
      <c r="J32" s="49"/>
      <c r="K32" s="49"/>
      <c r="L32" s="49"/>
      <c r="M32" s="49"/>
      <c r="N32" s="49"/>
      <c r="O32" s="49"/>
      <c r="P32" s="49"/>
      <c r="Q32" s="49"/>
      <c r="R32" s="49"/>
      <c r="S32" s="49"/>
      <c r="T32" s="49"/>
      <c r="U32" s="49"/>
    </row>
    <row r="33" spans="1:21" ht="13">
      <c r="A33" s="42" t="s">
        <v>160</v>
      </c>
      <c r="B33" s="50">
        <v>43453</v>
      </c>
      <c r="C33" s="42" t="s">
        <v>117</v>
      </c>
      <c r="D33" s="42" t="s">
        <v>163</v>
      </c>
      <c r="E33" s="47"/>
      <c r="F33" s="49" t="str">
        <f ca="1">IFERROR(__xludf.DUMMYFUNCTION("QUERY('Volunteer Survey'!B47)"),"Preti Jain")</f>
        <v>Preti Jain</v>
      </c>
      <c r="G33" s="42" t="str">
        <f ca="1">IFERROR(__xludf.DUMMYFUNCTION("QUERY('Volunteer Survey'!H47)"),"Comprehensive")</f>
        <v>Comprehensive</v>
      </c>
      <c r="H33" s="49" t="str">
        <f ca="1">IFERROR(__xludf.DUMMYFUNCTION("QUERY('Volunteer Survey'!I47)"),"Dosage Sensitivity")</f>
        <v>Dosage Sensitivity</v>
      </c>
      <c r="I33" s="49"/>
      <c r="J33" s="49"/>
      <c r="K33" s="49"/>
      <c r="L33" s="49"/>
      <c r="M33" s="49"/>
      <c r="N33" s="49"/>
      <c r="O33" s="49"/>
      <c r="P33" s="49"/>
      <c r="Q33" s="49"/>
      <c r="R33" s="49"/>
      <c r="S33" s="49"/>
      <c r="T33" s="49"/>
      <c r="U33" s="49"/>
    </row>
    <row r="34" spans="1:21" ht="13">
      <c r="A34" s="42" t="s">
        <v>160</v>
      </c>
      <c r="B34" s="67">
        <v>43341</v>
      </c>
      <c r="C34" s="42" t="s">
        <v>117</v>
      </c>
      <c r="D34" s="42" t="s">
        <v>163</v>
      </c>
      <c r="E34" s="47"/>
      <c r="F34" s="49" t="str">
        <f ca="1">IFERROR(__xludf.DUMMYFUNCTION("QUERY('Volunteer Survey'!B48)"),"Andrea Vaags")</f>
        <v>Andrea Vaags</v>
      </c>
      <c r="G34" s="42" t="str">
        <f ca="1">IFERROR(__xludf.DUMMYFUNCTION("QUERY('Volunteer Survey'!H48)"),"Comprehensive")</f>
        <v>Comprehensive</v>
      </c>
      <c r="H34" s="49" t="str">
        <f ca="1">IFERROR(__xludf.DUMMYFUNCTION("QUERY('Volunteer Survey'!I48)"),"Dosage Sensitivity")</f>
        <v>Dosage Sensitivity</v>
      </c>
      <c r="I34" s="49"/>
      <c r="J34" s="49"/>
      <c r="K34" s="49"/>
      <c r="L34" s="49"/>
      <c r="M34" s="49"/>
      <c r="N34" s="49"/>
      <c r="O34" s="49"/>
      <c r="P34" s="49"/>
      <c r="Q34" s="49"/>
      <c r="R34" s="49"/>
      <c r="S34" s="49"/>
      <c r="T34" s="49"/>
      <c r="U34" s="49"/>
    </row>
    <row r="35" spans="1:21" ht="13">
      <c r="A35" s="42" t="s">
        <v>160</v>
      </c>
      <c r="B35" s="50">
        <v>43453</v>
      </c>
      <c r="C35" s="42" t="s">
        <v>117</v>
      </c>
      <c r="D35" s="42" t="s">
        <v>163</v>
      </c>
      <c r="E35" s="47"/>
      <c r="F35" s="49" t="str">
        <f ca="1">IFERROR(__xludf.DUMMYFUNCTION("QUERY('Volunteer Survey'!B49)"),"George Burghel")</f>
        <v>George Burghel</v>
      </c>
      <c r="G35" s="42" t="str">
        <f ca="1">IFERROR(__xludf.DUMMYFUNCTION("QUERY('Volunteer Survey'!H49)"),"Comprehensive")</f>
        <v>Comprehensive</v>
      </c>
      <c r="H35" s="49" t="str">
        <f ca="1">IFERROR(__xludf.DUMMYFUNCTION("QUERY('Volunteer Survey'!I49)"),"Dosage Sensitivity")</f>
        <v>Dosage Sensitivity</v>
      </c>
      <c r="I35" s="49"/>
      <c r="J35" s="49"/>
      <c r="K35" s="49"/>
      <c r="L35" s="49"/>
      <c r="M35" s="49"/>
      <c r="N35" s="49"/>
      <c r="O35" s="49"/>
      <c r="P35" s="49"/>
      <c r="Q35" s="49"/>
      <c r="R35" s="49"/>
      <c r="S35" s="49"/>
      <c r="T35" s="49"/>
      <c r="U35" s="49"/>
    </row>
    <row r="36" spans="1:21" ht="13">
      <c r="A36" s="42" t="s">
        <v>160</v>
      </c>
      <c r="B36" s="50">
        <v>43453</v>
      </c>
      <c r="C36" s="42" t="s">
        <v>117</v>
      </c>
      <c r="D36" s="42" t="s">
        <v>163</v>
      </c>
      <c r="E36" s="45"/>
      <c r="F36" s="49" t="str">
        <f ca="1">IFERROR(__xludf.DUMMYFUNCTION("QUERY('Volunteer Survey'!B50)"),"Coumarane Mani")</f>
        <v>Coumarane Mani</v>
      </c>
      <c r="G36" s="42" t="str">
        <f ca="1">IFERROR(__xludf.DUMMYFUNCTION("QUERY('Volunteer Survey'!H50)"),"Comprehensive")</f>
        <v>Comprehensive</v>
      </c>
      <c r="H36" s="49" t="str">
        <f ca="1">IFERROR(__xludf.DUMMYFUNCTION("QUERY('Volunteer Survey'!I50)"),"Dosage Sensitivity")</f>
        <v>Dosage Sensitivity</v>
      </c>
      <c r="I36" s="49"/>
      <c r="J36" s="49"/>
      <c r="K36" s="49"/>
      <c r="L36" s="49"/>
      <c r="M36" s="49"/>
      <c r="N36" s="49"/>
      <c r="O36" s="49"/>
      <c r="P36" s="49"/>
      <c r="Q36" s="49"/>
      <c r="R36" s="49"/>
      <c r="S36" s="49"/>
      <c r="T36" s="49"/>
      <c r="U36" s="49"/>
    </row>
    <row r="37" spans="1:21" ht="13">
      <c r="A37" s="42" t="s">
        <v>160</v>
      </c>
      <c r="B37" s="50">
        <v>43453</v>
      </c>
      <c r="C37" s="42" t="s">
        <v>117</v>
      </c>
      <c r="D37" s="42" t="s">
        <v>163</v>
      </c>
      <c r="E37" s="47"/>
      <c r="F37" s="49" t="str">
        <f ca="1">IFERROR(__xludf.DUMMYFUNCTION("QUERY('Volunteer Survey'!B51)"),"Mahesh Iddawela")</f>
        <v>Mahesh Iddawela</v>
      </c>
      <c r="G37" s="42" t="str">
        <f ca="1">IFERROR(__xludf.DUMMYFUNCTION("QUERY('Volunteer Survey'!H51)"),"Comprehensive")</f>
        <v>Comprehensive</v>
      </c>
      <c r="H37" s="49" t="str">
        <f ca="1">IFERROR(__xludf.DUMMYFUNCTION("QUERY('Volunteer Survey'!I51)"),"Dosage Sensitivity")</f>
        <v>Dosage Sensitivity</v>
      </c>
      <c r="I37" s="49"/>
      <c r="J37" s="49"/>
      <c r="K37" s="49"/>
      <c r="L37" s="49"/>
      <c r="M37" s="49"/>
      <c r="N37" s="49"/>
      <c r="O37" s="49"/>
      <c r="P37" s="49"/>
      <c r="Q37" s="49"/>
      <c r="R37" s="49"/>
      <c r="S37" s="49"/>
      <c r="T37" s="49"/>
      <c r="U37" s="49"/>
    </row>
    <row r="38" spans="1:21" ht="13">
      <c r="A38" s="42" t="s">
        <v>160</v>
      </c>
      <c r="B38" s="50">
        <v>43453</v>
      </c>
      <c r="C38" s="42" t="s">
        <v>117</v>
      </c>
      <c r="D38" s="42" t="s">
        <v>163</v>
      </c>
      <c r="E38" s="45"/>
      <c r="F38" s="49" t="str">
        <f ca="1">IFERROR(__xludf.DUMMYFUNCTION("QUERY('Volunteer Survey'!B52)"),"Diogo Ventura Lovato")</f>
        <v>Diogo Ventura Lovato</v>
      </c>
      <c r="G38" s="42" t="str">
        <f ca="1">IFERROR(__xludf.DUMMYFUNCTION("QUERY('Volunteer Survey'!H52)"),"Comprehensive")</f>
        <v>Comprehensive</v>
      </c>
      <c r="H38" s="49" t="str">
        <f ca="1">IFERROR(__xludf.DUMMYFUNCTION("QUERY('Volunteer Survey'!I52)"),"Dosage Sensitivity")</f>
        <v>Dosage Sensitivity</v>
      </c>
      <c r="I38" s="49"/>
      <c r="J38" s="49"/>
      <c r="K38" s="49"/>
      <c r="L38" s="49"/>
      <c r="M38" s="49"/>
      <c r="N38" s="49"/>
      <c r="O38" s="49"/>
      <c r="P38" s="49"/>
      <c r="Q38" s="49"/>
      <c r="R38" s="49"/>
      <c r="S38" s="49"/>
      <c r="T38" s="49"/>
      <c r="U38" s="49"/>
    </row>
    <row r="39" spans="1:21" ht="28">
      <c r="A39" s="42" t="s">
        <v>168</v>
      </c>
      <c r="B39" s="43">
        <v>43476</v>
      </c>
      <c r="C39" s="42" t="s">
        <v>117</v>
      </c>
      <c r="D39" s="42" t="s">
        <v>136</v>
      </c>
      <c r="E39" s="45" t="s">
        <v>296</v>
      </c>
      <c r="F39" s="49" t="str">
        <f ca="1">IFERROR(__xludf.DUMMYFUNCTION("QUERY('Volunteer Survey'!B54)"),"Sameeha Shirwadkar")</f>
        <v>Sameeha Shirwadkar</v>
      </c>
      <c r="G39" s="42" t="str">
        <f ca="1">IFERROR(__xludf.DUMMYFUNCTION("QUERY('Volunteer Survey'!H54)"),"Comprehensive")</f>
        <v>Comprehensive</v>
      </c>
      <c r="H39" s="49" t="str">
        <f ca="1">IFERROR(__xludf.DUMMYFUNCTION("QUERY('Volunteer Survey'!I54)"),"Somatic Cancer")</f>
        <v>Somatic Cancer</v>
      </c>
      <c r="I39" s="49"/>
      <c r="J39" s="49"/>
      <c r="K39" s="49"/>
      <c r="L39" s="49"/>
      <c r="M39" s="49"/>
      <c r="N39" s="49"/>
      <c r="O39" s="49"/>
      <c r="P39" s="49"/>
      <c r="Q39" s="49"/>
      <c r="R39" s="49"/>
      <c r="S39" s="49"/>
      <c r="T39" s="49"/>
      <c r="U39" s="49"/>
    </row>
    <row r="40" spans="1:21" ht="28">
      <c r="A40" s="42" t="s">
        <v>168</v>
      </c>
      <c r="B40" s="43">
        <v>43476</v>
      </c>
      <c r="C40" s="42" t="s">
        <v>117</v>
      </c>
      <c r="D40" s="42" t="s">
        <v>136</v>
      </c>
      <c r="E40" s="45" t="s">
        <v>297</v>
      </c>
      <c r="F40" s="49" t="str">
        <f ca="1">IFERROR(__xludf.DUMMYFUNCTION("QUERY('Volunteer Survey'!B56)"),"Laura Richards")</f>
        <v>Laura Richards</v>
      </c>
      <c r="G40" s="42" t="str">
        <f ca="1">IFERROR(__xludf.DUMMYFUNCTION("QUERY('Volunteer Survey'!H56)"),"Comprehensive")</f>
        <v>Comprehensive</v>
      </c>
      <c r="H40" s="49" t="str">
        <f ca="1">IFERROR(__xludf.DUMMYFUNCTION("QUERY('Volunteer Survey'!I56)"),"Somatic Cancer")</f>
        <v>Somatic Cancer</v>
      </c>
      <c r="I40" s="49"/>
      <c r="J40" s="49"/>
      <c r="K40" s="49"/>
      <c r="L40" s="49"/>
      <c r="M40" s="49"/>
      <c r="N40" s="49"/>
      <c r="O40" s="49"/>
      <c r="P40" s="49"/>
      <c r="Q40" s="49"/>
      <c r="R40" s="49"/>
      <c r="S40" s="49"/>
      <c r="T40" s="49"/>
      <c r="U40" s="49"/>
    </row>
    <row r="41" spans="1:21" ht="28">
      <c r="A41" s="42" t="s">
        <v>125</v>
      </c>
      <c r="B41" s="43">
        <v>43476</v>
      </c>
      <c r="C41" s="42" t="s">
        <v>117</v>
      </c>
      <c r="D41" s="42" t="s">
        <v>136</v>
      </c>
      <c r="E41" s="45" t="s">
        <v>296</v>
      </c>
      <c r="F41" s="49" t="str">
        <f ca="1">IFERROR(__xludf.DUMMYFUNCTION("QUERY('Volunteer Survey'!B58)"),"Kaylee Barber")</f>
        <v>Kaylee Barber</v>
      </c>
      <c r="G41" s="42" t="str">
        <f ca="1">IFERROR(__xludf.DUMMYFUNCTION("QUERY('Volunteer Survey'!H58)"),"Comprehensive")</f>
        <v>Comprehensive</v>
      </c>
      <c r="H41" s="49" t="str">
        <f ca="1">IFERROR(__xludf.DUMMYFUNCTION("QUERY('Volunteer Survey'!I58)"),"Somatic Cancer")</f>
        <v>Somatic Cancer</v>
      </c>
      <c r="I41" s="49"/>
      <c r="J41" s="49"/>
      <c r="K41" s="49"/>
      <c r="L41" s="49"/>
      <c r="M41" s="49"/>
      <c r="N41" s="49"/>
      <c r="O41" s="49"/>
      <c r="P41" s="49"/>
      <c r="Q41" s="49"/>
      <c r="R41" s="49"/>
      <c r="S41" s="49"/>
      <c r="T41" s="49"/>
      <c r="U41" s="49"/>
    </row>
    <row r="42" spans="1:21" ht="42">
      <c r="A42" s="42" t="s">
        <v>160</v>
      </c>
      <c r="B42" s="43">
        <v>43476</v>
      </c>
      <c r="C42" s="42" t="s">
        <v>117</v>
      </c>
      <c r="D42" s="42" t="s">
        <v>136</v>
      </c>
      <c r="E42" s="45" t="s">
        <v>298</v>
      </c>
      <c r="F42" s="49" t="str">
        <f ca="1">IFERROR(__xludf.DUMMYFUNCTION("QUERY('Volunteer Survey'!B59)"),"Wan-Hsin Lin")</f>
        <v>Wan-Hsin Lin</v>
      </c>
      <c r="G42" s="42" t="str">
        <f ca="1">IFERROR(__xludf.DUMMYFUNCTION("QUERY('Volunteer Survey'!H59)"),"Comprehensive")</f>
        <v>Comprehensive</v>
      </c>
      <c r="H42" s="49" t="str">
        <f ca="1">IFERROR(__xludf.DUMMYFUNCTION("QUERY('Volunteer Survey'!I59)"),"Somatic Cancer")</f>
        <v>Somatic Cancer</v>
      </c>
      <c r="I42" s="49"/>
      <c r="J42" s="49"/>
      <c r="K42" s="49"/>
      <c r="L42" s="49"/>
      <c r="M42" s="49"/>
      <c r="N42" s="49"/>
      <c r="O42" s="49"/>
      <c r="P42" s="49"/>
      <c r="Q42" s="49"/>
      <c r="R42" s="49"/>
      <c r="S42" s="49"/>
      <c r="T42" s="49"/>
      <c r="U42" s="49"/>
    </row>
    <row r="43" spans="1:21" ht="20.25" customHeight="1">
      <c r="A43" s="42" t="s">
        <v>168</v>
      </c>
      <c r="B43" s="43">
        <v>43476</v>
      </c>
      <c r="C43" s="42" t="s">
        <v>117</v>
      </c>
      <c r="D43" s="42" t="s">
        <v>136</v>
      </c>
      <c r="E43" s="45" t="s">
        <v>297</v>
      </c>
      <c r="F43" s="49" t="str">
        <f ca="1">IFERROR(__xludf.DUMMYFUNCTION("QUERY('Volunteer Survey'!B60)"),"Stefan Rentas")</f>
        <v>Stefan Rentas</v>
      </c>
      <c r="G43" s="42" t="str">
        <f ca="1">IFERROR(__xludf.DUMMYFUNCTION("QUERY('Volunteer Survey'!H60)"),"Comprehensive")</f>
        <v>Comprehensive</v>
      </c>
      <c r="H43" s="49" t="str">
        <f ca="1">IFERROR(__xludf.DUMMYFUNCTION("QUERY('Volunteer Survey'!I60)"),"Somatic Cancer")</f>
        <v>Somatic Cancer</v>
      </c>
      <c r="I43" s="49"/>
      <c r="J43" s="49"/>
      <c r="K43" s="49"/>
      <c r="L43" s="49"/>
      <c r="M43" s="49"/>
      <c r="N43" s="49"/>
      <c r="O43" s="49"/>
      <c r="P43" s="49"/>
      <c r="Q43" s="49"/>
      <c r="R43" s="49"/>
      <c r="S43" s="49"/>
      <c r="T43" s="49"/>
      <c r="U43" s="49"/>
    </row>
    <row r="44" spans="1:21" ht="18.75" customHeight="1">
      <c r="A44" s="42" t="s">
        <v>168</v>
      </c>
      <c r="B44" s="43">
        <v>43476</v>
      </c>
      <c r="C44" s="42" t="s">
        <v>117</v>
      </c>
      <c r="D44" s="42" t="s">
        <v>136</v>
      </c>
      <c r="E44" s="45" t="s">
        <v>296</v>
      </c>
      <c r="F44" s="49" t="str">
        <f ca="1">IFERROR(__xludf.DUMMYFUNCTION("QUERY('Volunteer Survey'!B62)"),"Iman Haroun")</f>
        <v>Iman Haroun</v>
      </c>
      <c r="G44" s="42" t="str">
        <f ca="1">IFERROR(__xludf.DUMMYFUNCTION("QUERY('Volunteer Survey'!H62)"),"Comprehensive")</f>
        <v>Comprehensive</v>
      </c>
      <c r="H44" s="49" t="str">
        <f ca="1">IFERROR(__xludf.DUMMYFUNCTION("QUERY('Volunteer Survey'!I62)"),"Somatic Cancer")</f>
        <v>Somatic Cancer</v>
      </c>
      <c r="I44" s="49"/>
      <c r="J44" s="49"/>
      <c r="K44" s="49"/>
      <c r="L44" s="49"/>
      <c r="M44" s="49"/>
      <c r="N44" s="49"/>
      <c r="O44" s="49"/>
      <c r="P44" s="49"/>
      <c r="Q44" s="49"/>
      <c r="R44" s="49"/>
      <c r="S44" s="49"/>
      <c r="T44" s="49"/>
      <c r="U44" s="49"/>
    </row>
    <row r="45" spans="1:21" ht="13">
      <c r="A45" s="42" t="s">
        <v>168</v>
      </c>
      <c r="B45" s="59">
        <v>43605</v>
      </c>
      <c r="C45" s="42" t="s">
        <v>117</v>
      </c>
      <c r="D45" s="42" t="s">
        <v>251</v>
      </c>
      <c r="E45" s="47"/>
      <c r="F45" s="49" t="str">
        <f ca="1">IFERROR(__xludf.DUMMYFUNCTION("QUERY('Volunteer Survey'!B65)"),"Luke Drury")</f>
        <v>Luke Drury</v>
      </c>
      <c r="G45" s="42" t="str">
        <f ca="1">IFERROR(__xludf.DUMMYFUNCTION("QUERY('Volunteer Survey'!H65)"),"Comprehensive")</f>
        <v>Comprehensive</v>
      </c>
      <c r="H45" s="49" t="str">
        <f ca="1">IFERROR(__xludf.DUMMYFUNCTION("QUERY('Volunteer Survey'!I65)"),"Variant Pathogenicity")</f>
        <v>Variant Pathogenicity</v>
      </c>
      <c r="I45" s="49"/>
      <c r="J45" s="49"/>
      <c r="K45" s="49"/>
      <c r="L45" s="49"/>
      <c r="M45" s="49"/>
      <c r="N45" s="49"/>
      <c r="O45" s="49"/>
      <c r="P45" s="49"/>
      <c r="Q45" s="49"/>
      <c r="R45" s="49"/>
      <c r="S45" s="49"/>
      <c r="T45" s="49"/>
      <c r="U45" s="49"/>
    </row>
    <row r="46" spans="1:21" ht="14">
      <c r="A46" s="42" t="s">
        <v>160</v>
      </c>
      <c r="B46" s="59">
        <v>43605</v>
      </c>
      <c r="C46" s="42" t="s">
        <v>117</v>
      </c>
      <c r="D46" s="42" t="s">
        <v>251</v>
      </c>
      <c r="E46" s="45" t="s">
        <v>248</v>
      </c>
      <c r="F46" s="49" t="str">
        <f ca="1">IFERROR(__xludf.DUMMYFUNCTION("QUERY('Volunteer Survey'!B66)"),"Lynne Rosenblum")</f>
        <v>Lynne Rosenblum</v>
      </c>
      <c r="G46" s="42" t="str">
        <f ca="1">IFERROR(__xludf.DUMMYFUNCTION("QUERY('Volunteer Survey'!H66)"),"Comprehensive")</f>
        <v>Comprehensive</v>
      </c>
      <c r="H46" s="49" t="str">
        <f ca="1">IFERROR(__xludf.DUMMYFUNCTION("QUERY('Volunteer Survey'!I66)"),"Variant Pathogenicity")</f>
        <v>Variant Pathogenicity</v>
      </c>
      <c r="I46" s="49"/>
      <c r="J46" s="49"/>
      <c r="K46" s="49"/>
      <c r="L46" s="49"/>
      <c r="M46" s="49"/>
      <c r="N46" s="49"/>
      <c r="O46" s="49"/>
      <c r="P46" s="49"/>
      <c r="Q46" s="49"/>
      <c r="R46" s="49"/>
      <c r="S46" s="49"/>
      <c r="T46" s="49"/>
      <c r="U46" s="49"/>
    </row>
    <row r="47" spans="1:21" ht="14">
      <c r="A47" s="42" t="s">
        <v>160</v>
      </c>
      <c r="B47" s="59">
        <v>43605</v>
      </c>
      <c r="C47" s="42" t="s">
        <v>117</v>
      </c>
      <c r="D47" s="42" t="s">
        <v>251</v>
      </c>
      <c r="E47" s="45" t="s">
        <v>169</v>
      </c>
      <c r="F47" s="49" t="str">
        <f ca="1">IFERROR(__xludf.DUMMYFUNCTION("QUERY('Volunteer Survey'!B67)"),"Yang Wang")</f>
        <v>Yang Wang</v>
      </c>
      <c r="G47" s="42" t="str">
        <f ca="1">IFERROR(__xludf.DUMMYFUNCTION("QUERY('Volunteer Survey'!H67)"),"Comprehensive")</f>
        <v>Comprehensive</v>
      </c>
      <c r="H47" s="49" t="str">
        <f ca="1">IFERROR(__xludf.DUMMYFUNCTION("QUERY('Volunteer Survey'!I67)"),"Variant Pathogenicity")</f>
        <v>Variant Pathogenicity</v>
      </c>
      <c r="I47" s="49"/>
      <c r="J47" s="49"/>
      <c r="K47" s="49"/>
      <c r="L47" s="49"/>
      <c r="M47" s="49"/>
      <c r="N47" s="49"/>
      <c r="O47" s="49"/>
      <c r="P47" s="49"/>
      <c r="Q47" s="49"/>
      <c r="R47" s="49"/>
      <c r="S47" s="49"/>
      <c r="T47" s="49"/>
      <c r="U47" s="49"/>
    </row>
    <row r="48" spans="1:21" ht="13">
      <c r="A48" s="76" t="s">
        <v>108</v>
      </c>
      <c r="B48" s="77">
        <v>43446</v>
      </c>
      <c r="C48" s="76" t="s">
        <v>117</v>
      </c>
      <c r="D48" s="76" t="s">
        <v>122</v>
      </c>
      <c r="E48" s="78"/>
      <c r="F48" s="79" t="str">
        <f ca="1">IFERROR(__xludf.DUMMYFUNCTION("QUERY('Volunteer Survey'!B68)"),"Elaine Spector ")</f>
        <v xml:space="preserve">Elaine Spector </v>
      </c>
      <c r="G48" s="76" t="str">
        <f ca="1">IFERROR(__xludf.DUMMYFUNCTION("QUERY('Volunteer Survey'!H68)"),"Comprehensive")</f>
        <v>Comprehensive</v>
      </c>
      <c r="H48" s="79" t="str">
        <f ca="1">IFERROR(__xludf.DUMMYFUNCTION("QUERY('Volunteer Survey'!I68)"),"Gene-Disease Validity")</f>
        <v>Gene-Disease Validity</v>
      </c>
      <c r="I48" s="79"/>
      <c r="J48" s="79"/>
      <c r="K48" s="79"/>
      <c r="L48" s="79"/>
      <c r="M48" s="79"/>
      <c r="N48" s="79"/>
      <c r="O48" s="79"/>
      <c r="P48" s="79"/>
      <c r="Q48" s="79"/>
      <c r="R48" s="79"/>
      <c r="S48" s="79"/>
      <c r="T48" s="79"/>
      <c r="U48" s="79"/>
    </row>
    <row r="49" spans="1:21" ht="14">
      <c r="A49" s="42" t="s">
        <v>160</v>
      </c>
      <c r="B49" s="59">
        <v>43608</v>
      </c>
      <c r="C49" s="42" t="s">
        <v>117</v>
      </c>
      <c r="D49" s="42" t="s">
        <v>251</v>
      </c>
      <c r="E49" s="45" t="s">
        <v>302</v>
      </c>
      <c r="F49" s="49" t="str">
        <f ca="1">IFERROR(__xludf.DUMMYFUNCTION("QUERY('Volunteer Survey'!B72)"),"Rhonda Lassiter ")</f>
        <v xml:space="preserve">Rhonda Lassiter </v>
      </c>
      <c r="G49" s="42" t="str">
        <f ca="1">IFERROR(__xludf.DUMMYFUNCTION("QUERY('Volunteer Survey'!H72)"),"Comprehensive")</f>
        <v>Comprehensive</v>
      </c>
      <c r="H49" s="49" t="str">
        <f ca="1">IFERROR(__xludf.DUMMYFUNCTION("QUERY('Volunteer Survey'!I72)"),"Variant Pathogenicity")</f>
        <v>Variant Pathogenicity</v>
      </c>
      <c r="I49" s="49"/>
      <c r="J49" s="49"/>
      <c r="K49" s="49"/>
      <c r="L49" s="49"/>
      <c r="M49" s="49"/>
      <c r="N49" s="49"/>
      <c r="O49" s="49"/>
      <c r="P49" s="49"/>
      <c r="Q49" s="49"/>
      <c r="R49" s="49"/>
      <c r="S49" s="49"/>
      <c r="T49" s="49"/>
      <c r="U49" s="49"/>
    </row>
    <row r="50" spans="1:21" ht="14">
      <c r="A50" s="42" t="s">
        <v>108</v>
      </c>
      <c r="B50" s="59">
        <v>43608</v>
      </c>
      <c r="C50" s="42" t="s">
        <v>117</v>
      </c>
      <c r="D50" s="42" t="s">
        <v>251</v>
      </c>
      <c r="E50" s="45" t="s">
        <v>303</v>
      </c>
      <c r="F50" s="49" t="str">
        <f ca="1">IFERROR(__xludf.DUMMYFUNCTION("QUERY('Volunteer Survey'!B74)"),"Emma Reble ")</f>
        <v xml:space="preserve">Emma Reble </v>
      </c>
      <c r="G50" s="42" t="str">
        <f ca="1">IFERROR(__xludf.DUMMYFUNCTION("QUERY('Volunteer Survey'!H74)"),"Comprehensive")</f>
        <v>Comprehensive</v>
      </c>
      <c r="H50" s="49" t="str">
        <f ca="1">IFERROR(__xludf.DUMMYFUNCTION("QUERY('Volunteer Survey'!I74)"),"Variant Pathogenicity")</f>
        <v>Variant Pathogenicity</v>
      </c>
      <c r="I50" s="49"/>
      <c r="J50" s="49"/>
      <c r="K50" s="49"/>
      <c r="L50" s="49"/>
      <c r="M50" s="49"/>
      <c r="N50" s="49"/>
      <c r="O50" s="49"/>
      <c r="P50" s="49"/>
      <c r="Q50" s="49"/>
      <c r="R50" s="49"/>
      <c r="S50" s="49"/>
      <c r="T50" s="49"/>
      <c r="U50" s="49"/>
    </row>
    <row r="51" spans="1:21" ht="28">
      <c r="A51" s="42" t="s">
        <v>160</v>
      </c>
      <c r="B51" s="59">
        <v>43608</v>
      </c>
      <c r="C51" s="42" t="s">
        <v>117</v>
      </c>
      <c r="D51" s="42" t="s">
        <v>251</v>
      </c>
      <c r="E51" s="45" t="s">
        <v>304</v>
      </c>
      <c r="F51" s="49" t="str">
        <f ca="1">IFERROR(__xludf.DUMMYFUNCTION("QUERY('Volunteer Survey'!B76)"),"Qiliang Ding")</f>
        <v>Qiliang Ding</v>
      </c>
      <c r="G51" s="42" t="str">
        <f ca="1">IFERROR(__xludf.DUMMYFUNCTION("QUERY('Volunteer Survey'!H76)"),"Comprehensive")</f>
        <v>Comprehensive</v>
      </c>
      <c r="H51" s="49" t="str">
        <f ca="1">IFERROR(__xludf.DUMMYFUNCTION("QUERY('Volunteer Survey'!I76)"),"Variant Pathogenicity")</f>
        <v>Variant Pathogenicity</v>
      </c>
      <c r="I51" s="49"/>
      <c r="J51" s="49"/>
      <c r="K51" s="49"/>
      <c r="L51" s="49"/>
      <c r="M51" s="49"/>
      <c r="N51" s="49"/>
      <c r="O51" s="49"/>
      <c r="P51" s="49"/>
      <c r="Q51" s="49"/>
      <c r="R51" s="49"/>
      <c r="S51" s="49"/>
      <c r="T51" s="49"/>
      <c r="U51" s="49"/>
    </row>
    <row r="52" spans="1:21" ht="13">
      <c r="A52" s="42" t="s">
        <v>108</v>
      </c>
      <c r="B52" s="59">
        <v>43608</v>
      </c>
      <c r="C52" s="42" t="s">
        <v>117</v>
      </c>
      <c r="D52" s="42" t="s">
        <v>251</v>
      </c>
      <c r="E52" s="47"/>
      <c r="F52" s="49" t="str">
        <f ca="1">IFERROR(__xludf.DUMMYFUNCTION("QUERY('Volunteer Survey'!B77)"),"Amy Donahue")</f>
        <v>Amy Donahue</v>
      </c>
      <c r="G52" s="42" t="str">
        <f ca="1">IFERROR(__xludf.DUMMYFUNCTION("QUERY('Volunteer Survey'!H77)"),"Comprehensive")</f>
        <v>Comprehensive</v>
      </c>
      <c r="H52" s="49" t="str">
        <f ca="1">IFERROR(__xludf.DUMMYFUNCTION("QUERY('Volunteer Survey'!I77)"),"Variant Pathogenicity")</f>
        <v>Variant Pathogenicity</v>
      </c>
      <c r="I52" s="49"/>
      <c r="J52" s="49"/>
      <c r="K52" s="49"/>
      <c r="L52" s="49"/>
      <c r="M52" s="49"/>
      <c r="N52" s="49"/>
      <c r="O52" s="49"/>
      <c r="P52" s="49"/>
      <c r="Q52" s="49"/>
      <c r="R52" s="49"/>
      <c r="S52" s="49"/>
      <c r="T52" s="49"/>
      <c r="U52" s="49"/>
    </row>
    <row r="53" spans="1:21" ht="14">
      <c r="A53" s="42" t="s">
        <v>160</v>
      </c>
      <c r="B53" s="59">
        <v>43605</v>
      </c>
      <c r="C53" s="42" t="s">
        <v>117</v>
      </c>
      <c r="D53" s="42" t="s">
        <v>251</v>
      </c>
      <c r="E53" s="45" t="s">
        <v>303</v>
      </c>
      <c r="F53" s="49" t="str">
        <f ca="1">IFERROR(__xludf.DUMMYFUNCTION("QUERY('Volunteer Survey'!B78)"),"Dave Ferguson")</f>
        <v>Dave Ferguson</v>
      </c>
      <c r="G53" s="42" t="str">
        <f ca="1">IFERROR(__xludf.DUMMYFUNCTION("QUERY('Volunteer Survey'!H78)"),"Comprehensive")</f>
        <v>Comprehensive</v>
      </c>
      <c r="H53" s="49" t="str">
        <f ca="1">IFERROR(__xludf.DUMMYFUNCTION("QUERY('Volunteer Survey'!I78)"),"Variant Pathogenicity")</f>
        <v>Variant Pathogenicity</v>
      </c>
      <c r="I53" s="49"/>
      <c r="J53" s="49"/>
      <c r="K53" s="49"/>
      <c r="L53" s="49"/>
      <c r="M53" s="49"/>
      <c r="N53" s="49"/>
      <c r="O53" s="49"/>
      <c r="P53" s="49"/>
      <c r="Q53" s="49"/>
      <c r="R53" s="49"/>
      <c r="S53" s="49"/>
      <c r="T53" s="49"/>
      <c r="U53" s="49"/>
    </row>
    <row r="54" spans="1:21" ht="14">
      <c r="A54" s="42" t="s">
        <v>160</v>
      </c>
      <c r="B54" s="59">
        <v>43608</v>
      </c>
      <c r="C54" s="42" t="s">
        <v>117</v>
      </c>
      <c r="D54" s="42" t="s">
        <v>251</v>
      </c>
      <c r="E54" s="45" t="s">
        <v>305</v>
      </c>
      <c r="F54" s="49" t="str">
        <f ca="1">IFERROR(__xludf.DUMMYFUNCTION("QUERY('Volunteer Survey'!B82)"),"Alisdair Philp")</f>
        <v>Alisdair Philp</v>
      </c>
      <c r="G54" s="42" t="str">
        <f ca="1">IFERROR(__xludf.DUMMYFUNCTION("QUERY('Volunteer Survey'!H82)"),"Comprehensive")</f>
        <v>Comprehensive</v>
      </c>
      <c r="H54" s="49" t="str">
        <f ca="1">IFERROR(__xludf.DUMMYFUNCTION("QUERY('Volunteer Survey'!I82)"),"Variant Pathogenicity")</f>
        <v>Variant Pathogenicity</v>
      </c>
      <c r="I54" s="49"/>
      <c r="J54" s="49"/>
      <c r="K54" s="49"/>
      <c r="L54" s="49"/>
      <c r="M54" s="49"/>
      <c r="N54" s="49"/>
      <c r="O54" s="49"/>
      <c r="P54" s="49"/>
      <c r="Q54" s="49"/>
      <c r="R54" s="49"/>
      <c r="S54" s="49"/>
      <c r="T54" s="49"/>
      <c r="U54" s="49"/>
    </row>
    <row r="55" spans="1:21" ht="13">
      <c r="A55" s="42" t="s">
        <v>108</v>
      </c>
      <c r="B55" s="59">
        <v>43580</v>
      </c>
      <c r="C55" s="42" t="s">
        <v>117</v>
      </c>
      <c r="D55" s="42" t="s">
        <v>163</v>
      </c>
      <c r="E55" s="47"/>
      <c r="F55" s="49" t="str">
        <f ca="1">IFERROR(__xludf.DUMMYFUNCTION("QUERY('Volunteer Survey'!B91)"),"Nan Jiang")</f>
        <v>Nan Jiang</v>
      </c>
      <c r="G55" s="42" t="str">
        <f ca="1">IFERROR(__xludf.DUMMYFUNCTION("QUERY('Volunteer Survey'!H91)"),"Comprehensive")</f>
        <v>Comprehensive</v>
      </c>
      <c r="H55" s="49" t="str">
        <f ca="1">IFERROR(__xludf.DUMMYFUNCTION("QUERY('Volunteer Survey'!I91)"),"Dosage Sensitivity")</f>
        <v>Dosage Sensitivity</v>
      </c>
      <c r="I55" s="49"/>
      <c r="J55" s="49"/>
      <c r="K55" s="49"/>
      <c r="L55" s="49"/>
      <c r="M55" s="49"/>
      <c r="N55" s="49"/>
      <c r="O55" s="49"/>
      <c r="P55" s="49"/>
      <c r="Q55" s="49"/>
      <c r="R55" s="49"/>
      <c r="S55" s="49"/>
      <c r="T55" s="49"/>
      <c r="U55" s="49"/>
    </row>
    <row r="56" spans="1:21" ht="14">
      <c r="A56" s="42" t="s">
        <v>125</v>
      </c>
      <c r="B56" s="50">
        <v>43446</v>
      </c>
      <c r="C56" s="42" t="s">
        <v>117</v>
      </c>
      <c r="D56" s="42" t="s">
        <v>122</v>
      </c>
      <c r="E56" s="45" t="s">
        <v>143</v>
      </c>
      <c r="F56" s="49" t="str">
        <f ca="1">IFERROR(__xludf.DUMMYFUNCTION("QUERY('Volunteer Survey'!B100)"),"Ny Hoang")</f>
        <v>Ny Hoang</v>
      </c>
      <c r="G56" s="42" t="s">
        <v>63</v>
      </c>
      <c r="H56" s="49" t="str">
        <f ca="1">IFERROR(__xludf.DUMMYFUNCTION("QUERY('Volunteer Survey'!I100)"),"Gene-Disease Validity")</f>
        <v>Gene-Disease Validity</v>
      </c>
      <c r="I56" s="49"/>
      <c r="J56" s="49"/>
      <c r="K56" s="49"/>
      <c r="L56" s="49"/>
      <c r="M56" s="49"/>
      <c r="N56" s="49"/>
      <c r="O56" s="49"/>
      <c r="P56" s="49"/>
      <c r="Q56" s="49"/>
      <c r="R56" s="49"/>
      <c r="S56" s="49"/>
      <c r="T56" s="49"/>
      <c r="U56" s="49"/>
    </row>
    <row r="57" spans="1:21" ht="13">
      <c r="A57" s="42" t="s">
        <v>108</v>
      </c>
      <c r="B57" s="43">
        <v>43598</v>
      </c>
      <c r="C57" s="42" t="s">
        <v>117</v>
      </c>
      <c r="D57" s="42" t="s">
        <v>136</v>
      </c>
      <c r="E57" s="47"/>
      <c r="F57" s="49" t="str">
        <f ca="1">IFERROR(__xludf.DUMMYFUNCTION("QUERY('Volunteer Survey'!B102)"),"Qiuxiang Ou")</f>
        <v>Qiuxiang Ou</v>
      </c>
      <c r="G57" s="42" t="str">
        <f ca="1">IFERROR(__xludf.DUMMYFUNCTION("QUERY('Volunteer Survey'!H102)"),"Comprehensive")</f>
        <v>Comprehensive</v>
      </c>
      <c r="H57" s="49" t="str">
        <f ca="1">IFERROR(__xludf.DUMMYFUNCTION("QUERY('Volunteer Survey'!I102)"),"Somatic Cancer")</f>
        <v>Somatic Cancer</v>
      </c>
      <c r="I57" s="49"/>
      <c r="J57" s="49"/>
      <c r="K57" s="49"/>
      <c r="L57" s="49"/>
      <c r="M57" s="49"/>
      <c r="N57" s="49"/>
      <c r="O57" s="49"/>
      <c r="P57" s="49"/>
      <c r="Q57" s="49"/>
      <c r="R57" s="49"/>
      <c r="S57" s="49"/>
      <c r="T57" s="49"/>
      <c r="U57" s="49"/>
    </row>
    <row r="58" spans="1:21" ht="14">
      <c r="A58" s="42" t="s">
        <v>108</v>
      </c>
      <c r="B58" s="67">
        <v>43522</v>
      </c>
      <c r="C58" s="42" t="s">
        <v>117</v>
      </c>
      <c r="D58" s="42" t="s">
        <v>19</v>
      </c>
      <c r="E58" s="45" t="s">
        <v>19</v>
      </c>
      <c r="F58" s="49" t="str">
        <f ca="1">IFERROR(__xludf.DUMMYFUNCTION("QUERY('Volunteer Survey'!B103)"),"Kylin Boehler")</f>
        <v>Kylin Boehler</v>
      </c>
      <c r="G58" s="42" t="str">
        <f ca="1">IFERROR(__xludf.DUMMYFUNCTION("QUERY('Volunteer Survey'!H103)"),"Comprehensive")</f>
        <v>Comprehensive</v>
      </c>
      <c r="H58" s="49" t="str">
        <f ca="1">IFERROR(__xludf.DUMMYFUNCTION("QUERY('Volunteer Survey'!I103)"),"Clinical Actionability")</f>
        <v>Clinical Actionability</v>
      </c>
      <c r="I58" s="49"/>
      <c r="J58" s="49"/>
      <c r="K58" s="49"/>
      <c r="L58" s="49"/>
      <c r="M58" s="49"/>
      <c r="N58" s="49"/>
      <c r="O58" s="49"/>
      <c r="P58" s="49"/>
      <c r="Q58" s="49"/>
      <c r="R58" s="49"/>
      <c r="S58" s="49"/>
      <c r="T58" s="49"/>
      <c r="U58" s="49"/>
    </row>
    <row r="59" spans="1:21" ht="13">
      <c r="A59" s="42" t="s">
        <v>108</v>
      </c>
      <c r="B59" s="67">
        <v>43567</v>
      </c>
      <c r="C59" s="42" t="s">
        <v>117</v>
      </c>
      <c r="D59" s="42" t="s">
        <v>19</v>
      </c>
      <c r="E59" s="45"/>
      <c r="F59" s="49" t="str">
        <f ca="1">IFERROR(__xludf.DUMMYFUNCTION("QUERY('Volunteer Survey'!B105)"),"Nharimann Azima")</f>
        <v>Nharimann Azima</v>
      </c>
      <c r="G59" s="42" t="str">
        <f ca="1">IFERROR(__xludf.DUMMYFUNCTION("QUERY('Volunteer Survey'!H105)"),"Comprehensive")</f>
        <v>Comprehensive</v>
      </c>
      <c r="H59" s="49" t="str">
        <f ca="1">IFERROR(__xludf.DUMMYFUNCTION("QUERY('Volunteer Survey'!I105)"),"Clinical Actionability")</f>
        <v>Clinical Actionability</v>
      </c>
      <c r="I59" s="49"/>
      <c r="J59" s="49"/>
      <c r="K59" s="49"/>
      <c r="L59" s="49"/>
      <c r="M59" s="49"/>
      <c r="N59" s="49"/>
      <c r="O59" s="49"/>
      <c r="P59" s="49"/>
      <c r="Q59" s="49"/>
      <c r="R59" s="49"/>
      <c r="S59" s="49"/>
      <c r="T59" s="49"/>
      <c r="U59" s="49"/>
    </row>
    <row r="60" spans="1:21" ht="14">
      <c r="A60" s="42" t="s">
        <v>108</v>
      </c>
      <c r="B60" s="59">
        <v>43678</v>
      </c>
      <c r="C60" s="42" t="s">
        <v>117</v>
      </c>
      <c r="D60" s="42" t="s">
        <v>19</v>
      </c>
      <c r="E60" s="45" t="s">
        <v>19</v>
      </c>
      <c r="F60" s="49" t="str">
        <f ca="1">IFERROR(__xludf.DUMMYFUNCTION("QUERY('Volunteer Survey'!B106)"),"Krzysztof Szczaluba")</f>
        <v>Krzysztof Szczaluba</v>
      </c>
      <c r="G60" s="42" t="str">
        <f ca="1">IFERROR(__xludf.DUMMYFUNCTION("QUERY('Volunteer Survey'!H106)"),"Comprehensive")</f>
        <v>Comprehensive</v>
      </c>
      <c r="H60" s="49" t="str">
        <f ca="1">IFERROR(__xludf.DUMMYFUNCTION("QUERY('Volunteer Survey'!I106)"),"Clinical Actionability")</f>
        <v>Clinical Actionability</v>
      </c>
      <c r="I60" s="49"/>
      <c r="J60" s="49"/>
      <c r="K60" s="49"/>
      <c r="L60" s="49"/>
      <c r="M60" s="49"/>
      <c r="N60" s="49"/>
      <c r="O60" s="49"/>
      <c r="P60" s="49"/>
      <c r="Q60" s="49"/>
      <c r="R60" s="49"/>
      <c r="S60" s="49"/>
      <c r="T60" s="49"/>
      <c r="U60" s="49"/>
    </row>
    <row r="61" spans="1:21" ht="14">
      <c r="A61" s="42" t="s">
        <v>108</v>
      </c>
      <c r="B61" s="67">
        <v>43522</v>
      </c>
      <c r="C61" s="42" t="s">
        <v>117</v>
      </c>
      <c r="D61" s="42" t="s">
        <v>19</v>
      </c>
      <c r="E61" s="45" t="s">
        <v>19</v>
      </c>
      <c r="F61" s="49" t="str">
        <f ca="1">IFERROR(__xludf.DUMMYFUNCTION("QUERY('Volunteer Survey'!B108)"),"Fiona Curtis")</f>
        <v>Fiona Curtis</v>
      </c>
      <c r="G61" s="42" t="str">
        <f ca="1">IFERROR(__xludf.DUMMYFUNCTION("QUERY('Volunteer Survey'!H108)"),"Comprehensive")</f>
        <v>Comprehensive</v>
      </c>
      <c r="H61" s="49" t="str">
        <f ca="1">IFERROR(__xludf.DUMMYFUNCTION("QUERY('Volunteer Survey'!I108)"),"Clinical Actionability")</f>
        <v>Clinical Actionability</v>
      </c>
      <c r="I61" s="49"/>
      <c r="J61" s="49"/>
      <c r="K61" s="49"/>
      <c r="L61" s="49"/>
      <c r="M61" s="49"/>
      <c r="N61" s="49"/>
      <c r="O61" s="49"/>
      <c r="P61" s="49"/>
      <c r="Q61" s="49"/>
      <c r="R61" s="49"/>
      <c r="S61" s="49"/>
      <c r="T61" s="49"/>
      <c r="U61" s="49"/>
    </row>
    <row r="62" spans="1:21" ht="14">
      <c r="A62" s="42" t="s">
        <v>125</v>
      </c>
      <c r="B62" s="50">
        <v>43476</v>
      </c>
      <c r="C62" s="42" t="s">
        <v>117</v>
      </c>
      <c r="D62" s="42" t="s">
        <v>19</v>
      </c>
      <c r="E62" s="45" t="s">
        <v>19</v>
      </c>
      <c r="F62" s="49" t="str">
        <f ca="1">IFERROR(__xludf.DUMMYFUNCTION("QUERY('Volunteer Survey'!B110)"),"Laura Fuqua")</f>
        <v>Laura Fuqua</v>
      </c>
      <c r="G62" s="42" t="str">
        <f ca="1">IFERROR(__xludf.DUMMYFUNCTION("QUERY('Volunteer Survey'!H110)"),"Comprehensive")</f>
        <v>Comprehensive</v>
      </c>
      <c r="H62" s="42" t="str">
        <f ca="1">IFERROR(__xludf.DUMMYFUNCTION("QUERY('Volunteer Survey'!I110)"),"Somatic Cancer")</f>
        <v>Somatic Cancer</v>
      </c>
      <c r="I62" s="49"/>
      <c r="J62" s="49"/>
      <c r="K62" s="49"/>
      <c r="L62" s="49"/>
      <c r="M62" s="49"/>
      <c r="N62" s="49"/>
      <c r="O62" s="49"/>
      <c r="P62" s="49"/>
      <c r="Q62" s="49"/>
      <c r="R62" s="49"/>
      <c r="S62" s="49"/>
      <c r="T62" s="49"/>
      <c r="U62" s="49"/>
    </row>
    <row r="63" spans="1:21" ht="13">
      <c r="A63" s="42" t="s">
        <v>108</v>
      </c>
      <c r="B63" s="59">
        <v>43678</v>
      </c>
      <c r="C63" s="42" t="s">
        <v>117</v>
      </c>
      <c r="D63" s="42" t="s">
        <v>19</v>
      </c>
      <c r="E63" s="45"/>
      <c r="F63" s="49" t="str">
        <f ca="1">IFERROR(__xludf.DUMMYFUNCTION("QUERY('Volunteer Survey'!B112)"),"Sandra P Smieszek")</f>
        <v>Sandra P Smieszek</v>
      </c>
      <c r="G63" s="42" t="str">
        <f ca="1">IFERROR(__xludf.DUMMYFUNCTION("QUERY('Volunteer Survey'!H112)"),"Comprehensive")</f>
        <v>Comprehensive</v>
      </c>
      <c r="H63" s="49" t="str">
        <f ca="1">IFERROR(__xludf.DUMMYFUNCTION("QUERY('Volunteer Survey'!I112)"),"Clinical Actionability")</f>
        <v>Clinical Actionability</v>
      </c>
      <c r="I63" s="49"/>
      <c r="J63" s="49"/>
      <c r="K63" s="49"/>
      <c r="L63" s="49"/>
      <c r="M63" s="49"/>
      <c r="N63" s="49"/>
      <c r="O63" s="49"/>
      <c r="P63" s="49"/>
      <c r="Q63" s="49"/>
      <c r="R63" s="49"/>
      <c r="S63" s="49"/>
      <c r="T63" s="49"/>
      <c r="U63" s="49"/>
    </row>
    <row r="64" spans="1:21" ht="28">
      <c r="A64" s="42" t="s">
        <v>160</v>
      </c>
      <c r="B64" s="43">
        <v>43581</v>
      </c>
      <c r="C64" s="42" t="s">
        <v>117</v>
      </c>
      <c r="D64" s="42" t="s">
        <v>136</v>
      </c>
      <c r="E64" s="45" t="s">
        <v>306</v>
      </c>
      <c r="F64" s="49" t="str">
        <f ca="1">IFERROR(__xludf.DUMMYFUNCTION("QUERY('Volunteer Survey'!B116)"),"Parisa Lotfi")</f>
        <v>Parisa Lotfi</v>
      </c>
      <c r="G64" s="42" t="str">
        <f ca="1">IFERROR(__xludf.DUMMYFUNCTION("QUERY('Volunteer Survey'!H116)"),"Comprehensive")</f>
        <v>Comprehensive</v>
      </c>
      <c r="H64" s="49" t="str">
        <f ca="1">IFERROR(__xludf.DUMMYFUNCTION("QUERY('Volunteer Survey'!I116)"),"Somatic Cancer")</f>
        <v>Somatic Cancer</v>
      </c>
      <c r="I64" s="49"/>
      <c r="J64" s="49"/>
      <c r="K64" s="49"/>
      <c r="L64" s="49"/>
      <c r="M64" s="49"/>
      <c r="N64" s="49"/>
      <c r="O64" s="49"/>
      <c r="P64" s="49"/>
      <c r="Q64" s="49"/>
      <c r="R64" s="49"/>
      <c r="S64" s="49"/>
      <c r="T64" s="49"/>
      <c r="U64" s="49"/>
    </row>
    <row r="65" spans="1:21" ht="13">
      <c r="A65" s="42" t="s">
        <v>108</v>
      </c>
      <c r="B65" s="59">
        <v>43692</v>
      </c>
      <c r="C65" s="42" t="s">
        <v>117</v>
      </c>
      <c r="D65" s="42" t="s">
        <v>122</v>
      </c>
      <c r="E65" s="47"/>
      <c r="F65" s="49" t="str">
        <f ca="1">IFERROR(__xludf.DUMMYFUNCTION("QUERY('Volunteer Survey'!B120)"),"Szabolcs Szelinger")</f>
        <v>Szabolcs Szelinger</v>
      </c>
      <c r="G65" s="42" t="str">
        <f ca="1">IFERROR(__xludf.DUMMYFUNCTION("QUERY('Volunteer Survey'!H120)"),"Comprehensive")</f>
        <v>Comprehensive</v>
      </c>
      <c r="H65" s="49" t="str">
        <f ca="1">IFERROR(__xludf.DUMMYFUNCTION("QUERY('Volunteer Survey'!I120)"),"Gene-Disease Validity")</f>
        <v>Gene-Disease Validity</v>
      </c>
      <c r="I65" s="49"/>
      <c r="J65" s="49"/>
      <c r="K65" s="49"/>
      <c r="L65" s="49"/>
      <c r="M65" s="49"/>
      <c r="N65" s="49"/>
      <c r="O65" s="49"/>
      <c r="P65" s="49"/>
      <c r="Q65" s="49"/>
      <c r="R65" s="49"/>
      <c r="S65" s="49"/>
      <c r="T65" s="49"/>
      <c r="U65" s="49"/>
    </row>
    <row r="66" spans="1:21" ht="13">
      <c r="A66" s="42" t="s">
        <v>108</v>
      </c>
      <c r="B66" s="67">
        <v>43567</v>
      </c>
      <c r="C66" s="42" t="s">
        <v>117</v>
      </c>
      <c r="D66" s="42" t="s">
        <v>19</v>
      </c>
      <c r="E66" s="63" t="s">
        <v>19</v>
      </c>
      <c r="F66" s="49" t="str">
        <f ca="1">IFERROR(__xludf.DUMMYFUNCTION("QUERY('Volunteer Survey'!B122)"),"Ramesh Vaidyanathan")</f>
        <v>Ramesh Vaidyanathan</v>
      </c>
      <c r="G66" s="42" t="str">
        <f ca="1">IFERROR(__xludf.DUMMYFUNCTION("QUERY('Volunteer Survey'!H122)"),"Comprehensive")</f>
        <v>Comprehensive</v>
      </c>
      <c r="H66" s="49" t="str">
        <f ca="1">IFERROR(__xludf.DUMMYFUNCTION("QUERY('Volunteer Survey'!I122)"),"Clinical Actionability")</f>
        <v>Clinical Actionability</v>
      </c>
      <c r="I66" s="49"/>
      <c r="J66" s="49"/>
      <c r="K66" s="49"/>
      <c r="L66" s="49"/>
      <c r="M66" s="49"/>
      <c r="N66" s="49"/>
      <c r="O66" s="49"/>
      <c r="P66" s="49"/>
      <c r="Q66" s="49"/>
      <c r="R66" s="49"/>
      <c r="S66" s="49"/>
      <c r="T66" s="49"/>
      <c r="U66" s="49"/>
    </row>
    <row r="67" spans="1:21" ht="13">
      <c r="A67" s="42" t="s">
        <v>108</v>
      </c>
      <c r="B67" s="43">
        <v>43598</v>
      </c>
      <c r="C67" s="42" t="s">
        <v>117</v>
      </c>
      <c r="D67" s="42" t="s">
        <v>136</v>
      </c>
      <c r="E67" s="47"/>
      <c r="F67" s="49" t="str">
        <f ca="1">IFERROR(__xludf.DUMMYFUNCTION("QUERY('Volunteer Survey'!B123)"),"Ranjit Shetty")</f>
        <v>Ranjit Shetty</v>
      </c>
      <c r="G67" s="42" t="str">
        <f ca="1">IFERROR(__xludf.DUMMYFUNCTION("QUERY('Volunteer Survey'!H123)"),"Comprehensive")</f>
        <v>Comprehensive</v>
      </c>
      <c r="H67" s="49" t="str">
        <f ca="1">IFERROR(__xludf.DUMMYFUNCTION("QUERY('Volunteer Survey'!I123)"),"Somatic Cancer")</f>
        <v>Somatic Cancer</v>
      </c>
      <c r="I67" s="49"/>
      <c r="J67" s="49"/>
      <c r="K67" s="49"/>
      <c r="L67" s="49"/>
      <c r="M67" s="49"/>
      <c r="N67" s="49"/>
      <c r="O67" s="49"/>
      <c r="P67" s="49"/>
      <c r="Q67" s="49"/>
      <c r="R67" s="49"/>
      <c r="S67" s="49"/>
      <c r="T67" s="49"/>
      <c r="U67" s="49"/>
    </row>
    <row r="68" spans="1:21" ht="13">
      <c r="A68" s="42" t="s">
        <v>108</v>
      </c>
      <c r="B68" s="59">
        <v>43696</v>
      </c>
      <c r="C68" s="42" t="s">
        <v>117</v>
      </c>
      <c r="D68" s="42" t="s">
        <v>122</v>
      </c>
      <c r="E68" s="47"/>
      <c r="F68" s="49" t="str">
        <f ca="1">IFERROR(__xludf.DUMMYFUNCTION("QUERY('Volunteer Survey'!B124)"),"Brooke H. Miller")</f>
        <v>Brooke H. Miller</v>
      </c>
      <c r="G68" s="42" t="str">
        <f ca="1">IFERROR(__xludf.DUMMYFUNCTION("QUERY('Volunteer Survey'!H124)"),"Comprehensive")</f>
        <v>Comprehensive</v>
      </c>
      <c r="H68" s="49" t="str">
        <f ca="1">IFERROR(__xludf.DUMMYFUNCTION("QUERY('Volunteer Survey'!I124)"),"Gene-Disease Validity")</f>
        <v>Gene-Disease Validity</v>
      </c>
      <c r="I68" s="49"/>
      <c r="J68" s="49"/>
      <c r="K68" s="49"/>
      <c r="L68" s="49"/>
      <c r="M68" s="49"/>
      <c r="N68" s="49"/>
      <c r="O68" s="49"/>
      <c r="P68" s="49"/>
      <c r="Q68" s="49"/>
      <c r="R68" s="49"/>
      <c r="S68" s="49"/>
      <c r="T68" s="49"/>
      <c r="U68" s="49"/>
    </row>
    <row r="69" spans="1:21" ht="16.5" customHeight="1">
      <c r="A69" s="42" t="s">
        <v>108</v>
      </c>
      <c r="B69" s="43">
        <v>43581</v>
      </c>
      <c r="C69" s="42" t="s">
        <v>117</v>
      </c>
      <c r="D69" s="42" t="s">
        <v>136</v>
      </c>
      <c r="E69" s="45" t="s">
        <v>308</v>
      </c>
      <c r="F69" s="49" t="str">
        <f ca="1">IFERROR(__xludf.DUMMYFUNCTION("QUERY('Volunteer Survey'!B127)"),"HUILING XU")</f>
        <v>HUILING XU</v>
      </c>
      <c r="G69" s="42" t="str">
        <f ca="1">IFERROR(__xludf.DUMMYFUNCTION("QUERY('Volunteer Survey'!H127)"),"Comprehensive")</f>
        <v>Comprehensive</v>
      </c>
      <c r="H69" s="49" t="str">
        <f ca="1">IFERROR(__xludf.DUMMYFUNCTION("QUERY('Volunteer Survey'!I127)"),"Somatic Cancer")</f>
        <v>Somatic Cancer</v>
      </c>
      <c r="I69" s="49"/>
      <c r="J69" s="49"/>
      <c r="K69" s="49"/>
      <c r="L69" s="49"/>
      <c r="M69" s="49"/>
      <c r="N69" s="49"/>
      <c r="O69" s="49"/>
      <c r="P69" s="49"/>
      <c r="Q69" s="49"/>
      <c r="R69" s="49"/>
      <c r="S69" s="49"/>
      <c r="T69" s="49"/>
      <c r="U69" s="49"/>
    </row>
    <row r="70" spans="1:21" ht="14">
      <c r="A70" s="42" t="s">
        <v>108</v>
      </c>
      <c r="B70" s="43">
        <v>43570</v>
      </c>
      <c r="C70" s="42" t="s">
        <v>117</v>
      </c>
      <c r="D70" s="42" t="s">
        <v>122</v>
      </c>
      <c r="E70" s="45" t="s">
        <v>294</v>
      </c>
      <c r="F70" s="49" t="str">
        <f ca="1">IFERROR(__xludf.DUMMYFUNCTION("QUERY('Volunteer Survey'!B128)"),"Nilufar Inamdar")</f>
        <v>Nilufar Inamdar</v>
      </c>
      <c r="G70" s="42" t="str">
        <f ca="1">IFERROR(__xludf.DUMMYFUNCTION("QUERY('Volunteer Survey'!H128)"),"Comprehensive")</f>
        <v>Comprehensive</v>
      </c>
      <c r="H70" s="49" t="str">
        <f ca="1">IFERROR(__xludf.DUMMYFUNCTION("QUERY('Volunteer Survey'!I128)"),"Gene-Disease Validity")</f>
        <v>Gene-Disease Validity</v>
      </c>
      <c r="I70" s="49"/>
      <c r="J70" s="49"/>
      <c r="K70" s="49"/>
      <c r="L70" s="49"/>
      <c r="M70" s="49"/>
      <c r="N70" s="49"/>
      <c r="O70" s="49"/>
      <c r="P70" s="49"/>
      <c r="Q70" s="49"/>
      <c r="R70" s="49"/>
      <c r="S70" s="49"/>
      <c r="T70" s="49"/>
      <c r="U70" s="49"/>
    </row>
    <row r="71" spans="1:21" ht="14">
      <c r="A71" s="42" t="s">
        <v>108</v>
      </c>
      <c r="B71" s="50">
        <v>43608</v>
      </c>
      <c r="C71" s="42" t="s">
        <v>117</v>
      </c>
      <c r="D71" s="42" t="s">
        <v>251</v>
      </c>
      <c r="E71" s="45" t="s">
        <v>169</v>
      </c>
      <c r="F71" s="49" t="str">
        <f ca="1">IFERROR(__xludf.DUMMYFUNCTION("QUERY('Volunteer Survey'!B129)"),"Michael McLachlan")</f>
        <v>Michael McLachlan</v>
      </c>
      <c r="G71" s="42" t="str">
        <f ca="1">IFERROR(__xludf.DUMMYFUNCTION("QUERY('Volunteer Survey'!H129)"),"Comprehensive")</f>
        <v>Comprehensive</v>
      </c>
      <c r="H71" s="49" t="str">
        <f ca="1">IFERROR(__xludf.DUMMYFUNCTION("QUERY('Volunteer Survey'!I129)"),"Variant Pathogenicity")</f>
        <v>Variant Pathogenicity</v>
      </c>
      <c r="I71" s="49"/>
      <c r="J71" s="49"/>
      <c r="K71" s="49"/>
      <c r="L71" s="49"/>
      <c r="M71" s="49"/>
      <c r="N71" s="49"/>
      <c r="O71" s="49"/>
      <c r="P71" s="49"/>
      <c r="Q71" s="49"/>
      <c r="R71" s="49"/>
      <c r="S71" s="49"/>
      <c r="T71" s="49"/>
      <c r="U71" s="49"/>
    </row>
    <row r="72" spans="1:21" ht="13">
      <c r="A72" s="42" t="s">
        <v>108</v>
      </c>
      <c r="B72" s="59">
        <v>43585</v>
      </c>
      <c r="C72" s="42" t="s">
        <v>117</v>
      </c>
      <c r="D72" s="42" t="s">
        <v>122</v>
      </c>
      <c r="E72" s="47"/>
      <c r="F72" s="49" t="str">
        <f ca="1">IFERROR(__xludf.DUMMYFUNCTION("QUERY('Volunteer Survey'!B132)"),"Urjit Patel")</f>
        <v>Urjit Patel</v>
      </c>
      <c r="G72" s="42" t="str">
        <f ca="1">IFERROR(__xludf.DUMMYFUNCTION("QUERY('Volunteer Survey'!H132)"),"Comprehensive")</f>
        <v>Comprehensive</v>
      </c>
      <c r="H72" s="49" t="str">
        <f ca="1">IFERROR(__xludf.DUMMYFUNCTION("QUERY('Volunteer Survey'!I132)"),"Gene-Disease Validity")</f>
        <v>Gene-Disease Validity</v>
      </c>
      <c r="I72" s="49"/>
      <c r="J72" s="49"/>
      <c r="K72" s="49"/>
      <c r="L72" s="49"/>
      <c r="M72" s="49"/>
      <c r="N72" s="49"/>
      <c r="O72" s="49"/>
      <c r="P72" s="49"/>
      <c r="Q72" s="49"/>
      <c r="R72" s="49"/>
      <c r="S72" s="49"/>
      <c r="T72" s="49"/>
      <c r="U72" s="49"/>
    </row>
    <row r="73" spans="1:21" ht="13">
      <c r="A73" s="42" t="s">
        <v>108</v>
      </c>
      <c r="B73" s="67">
        <v>43567</v>
      </c>
      <c r="C73" s="42" t="s">
        <v>117</v>
      </c>
      <c r="D73" s="42" t="s">
        <v>19</v>
      </c>
      <c r="E73" s="63" t="s">
        <v>19</v>
      </c>
      <c r="F73" s="49" t="str">
        <f ca="1">IFERROR(__xludf.DUMMYFUNCTION("QUERY('Volunteer Survey'!B133)"),"Lesley Northrop")</f>
        <v>Lesley Northrop</v>
      </c>
      <c r="G73" s="42" t="str">
        <f ca="1">IFERROR(__xludf.DUMMYFUNCTION("QUERY('Volunteer Survey'!H133)"),"Comprehensive")</f>
        <v>Comprehensive</v>
      </c>
      <c r="H73" s="49" t="str">
        <f ca="1">IFERROR(__xludf.DUMMYFUNCTION("QUERY('Volunteer Survey'!I133)"),"Clinical Actionability")</f>
        <v>Clinical Actionability</v>
      </c>
      <c r="I73" s="49"/>
      <c r="J73" s="49"/>
      <c r="K73" s="49"/>
      <c r="L73" s="49"/>
      <c r="M73" s="49"/>
      <c r="N73" s="49"/>
      <c r="O73" s="49"/>
      <c r="P73" s="49"/>
      <c r="Q73" s="49"/>
      <c r="R73" s="49"/>
      <c r="S73" s="49"/>
      <c r="T73" s="49"/>
      <c r="U73" s="49"/>
    </row>
    <row r="74" spans="1:21" ht="14">
      <c r="A74" s="42" t="s">
        <v>108</v>
      </c>
      <c r="B74" s="43">
        <v>43570</v>
      </c>
      <c r="C74" s="42" t="s">
        <v>117</v>
      </c>
      <c r="D74" s="42" t="s">
        <v>122</v>
      </c>
      <c r="E74" s="45" t="s">
        <v>123</v>
      </c>
      <c r="F74" s="49" t="str">
        <f ca="1">IFERROR(__xludf.DUMMYFUNCTION("QUERY('Volunteer Survey'!B136)"),"Angela Pickart")</f>
        <v>Angela Pickart</v>
      </c>
      <c r="G74" s="42" t="str">
        <f ca="1">IFERROR(__xludf.DUMMYFUNCTION("QUERY('Volunteer Survey'!H136)"),"Comprehensive")</f>
        <v>Comprehensive</v>
      </c>
      <c r="H74" s="49" t="str">
        <f ca="1">IFERROR(__xludf.DUMMYFUNCTION("QUERY('Volunteer Survey'!I136)"),"Gene-Disease Validity")</f>
        <v>Gene-Disease Validity</v>
      </c>
      <c r="I74" s="49"/>
      <c r="J74" s="49"/>
      <c r="K74" s="49"/>
      <c r="L74" s="49"/>
      <c r="M74" s="49"/>
      <c r="N74" s="49"/>
      <c r="O74" s="49"/>
      <c r="P74" s="49"/>
      <c r="Q74" s="49"/>
      <c r="R74" s="49"/>
      <c r="S74" s="49"/>
      <c r="T74" s="49"/>
      <c r="U74" s="49"/>
    </row>
    <row r="75" spans="1:21" ht="14">
      <c r="A75" s="42" t="s">
        <v>160</v>
      </c>
      <c r="B75" s="59">
        <v>43605</v>
      </c>
      <c r="C75" s="42" t="s">
        <v>117</v>
      </c>
      <c r="D75" s="42" t="s">
        <v>251</v>
      </c>
      <c r="E75" s="45" t="s">
        <v>248</v>
      </c>
      <c r="F75" s="49" t="str">
        <f ca="1">IFERROR(__xludf.DUMMYFUNCTION("QUERY('Volunteer Survey'!B137)"),"Jing Xie")</f>
        <v>Jing Xie</v>
      </c>
      <c r="G75" s="42" t="str">
        <f ca="1">IFERROR(__xludf.DUMMYFUNCTION("QUERY('Volunteer Survey'!H137)"),"Comprehensive")</f>
        <v>Comprehensive</v>
      </c>
      <c r="H75" s="49" t="str">
        <f ca="1">IFERROR(__xludf.DUMMYFUNCTION("QUERY('Volunteer Survey'!I137)"),"Variant Pathogenicity")</f>
        <v>Variant Pathogenicity</v>
      </c>
      <c r="I75" s="49"/>
      <c r="J75" s="49"/>
      <c r="K75" s="49"/>
      <c r="L75" s="49"/>
      <c r="M75" s="49"/>
      <c r="N75" s="49"/>
      <c r="O75" s="49"/>
      <c r="P75" s="49"/>
      <c r="Q75" s="49"/>
      <c r="R75" s="49"/>
      <c r="S75" s="49"/>
      <c r="T75" s="49"/>
      <c r="U75" s="49"/>
    </row>
    <row r="76" spans="1:21" ht="14">
      <c r="A76" s="42" t="s">
        <v>108</v>
      </c>
      <c r="B76" s="59">
        <v>43605</v>
      </c>
      <c r="C76" s="42" t="s">
        <v>117</v>
      </c>
      <c r="D76" s="42" t="s">
        <v>251</v>
      </c>
      <c r="E76" s="45" t="s">
        <v>242</v>
      </c>
      <c r="F76" s="49" t="str">
        <f ca="1">IFERROR(__xludf.DUMMYFUNCTION("QUERY('Volunteer Survey'!B139)"),"Kathryn Kronquist")</f>
        <v>Kathryn Kronquist</v>
      </c>
      <c r="G76" s="42" t="str">
        <f ca="1">IFERROR(__xludf.DUMMYFUNCTION("QUERY('Volunteer Survey'!H139)"),"Comprehensive")</f>
        <v>Comprehensive</v>
      </c>
      <c r="H76" s="49" t="str">
        <f ca="1">IFERROR(__xludf.DUMMYFUNCTION("QUERY('Volunteer Survey'!I139)"),"Variant Pathogenicity")</f>
        <v>Variant Pathogenicity</v>
      </c>
      <c r="I76" s="49"/>
      <c r="J76" s="49"/>
      <c r="K76" s="49"/>
      <c r="L76" s="49"/>
      <c r="M76" s="49"/>
      <c r="N76" s="49"/>
      <c r="O76" s="49"/>
      <c r="P76" s="49"/>
      <c r="Q76" s="49"/>
      <c r="R76" s="49"/>
      <c r="S76" s="49"/>
      <c r="T76" s="49"/>
      <c r="U76" s="49"/>
    </row>
    <row r="77" spans="1:21" ht="13">
      <c r="A77" s="42" t="s">
        <v>108</v>
      </c>
      <c r="B77" s="43">
        <v>43581</v>
      </c>
      <c r="C77" s="42" t="s">
        <v>117</v>
      </c>
      <c r="D77" s="42" t="s">
        <v>136</v>
      </c>
      <c r="E77" s="47"/>
      <c r="F77" s="49" t="str">
        <f ca="1">IFERROR(__xludf.DUMMYFUNCTION("QUERY('Volunteer Survey'!B141)"),"Venkataswamy Eswarachari")</f>
        <v>Venkataswamy Eswarachari</v>
      </c>
      <c r="G77" s="42" t="str">
        <f ca="1">IFERROR(__xludf.DUMMYFUNCTION("QUERY('Volunteer Survey'!H141)"),"Comprehensive")</f>
        <v>Comprehensive</v>
      </c>
      <c r="H77" s="49" t="str">
        <f ca="1">IFERROR(__xludf.DUMMYFUNCTION("QUERY('Volunteer Survey'!I141)"),"Somatic Cancer")</f>
        <v>Somatic Cancer</v>
      </c>
      <c r="I77" s="49"/>
      <c r="J77" s="49"/>
      <c r="K77" s="49"/>
      <c r="L77" s="49"/>
      <c r="M77" s="49"/>
      <c r="N77" s="49"/>
      <c r="O77" s="49"/>
      <c r="P77" s="49"/>
      <c r="Q77" s="49"/>
      <c r="R77" s="49"/>
      <c r="S77" s="49"/>
      <c r="T77" s="49"/>
      <c r="U77" s="49"/>
    </row>
    <row r="78" spans="1:21" ht="14">
      <c r="A78" s="42" t="s">
        <v>160</v>
      </c>
      <c r="B78" s="50">
        <v>43626</v>
      </c>
      <c r="C78" s="42" t="s">
        <v>117</v>
      </c>
      <c r="D78" s="42" t="s">
        <v>251</v>
      </c>
      <c r="E78" s="45" t="s">
        <v>252</v>
      </c>
      <c r="F78" s="49" t="str">
        <f ca="1">IFERROR(__xludf.DUMMYFUNCTION("QUERY('Volunteer Survey'!B144)"),"Barbara Vona")</f>
        <v>Barbara Vona</v>
      </c>
      <c r="G78" s="42" t="str">
        <f ca="1">IFERROR(__xludf.DUMMYFUNCTION("QUERY('Volunteer Survey'!H144)"),"Comprehensive")</f>
        <v>Comprehensive</v>
      </c>
      <c r="H78" s="49" t="str">
        <f ca="1">IFERROR(__xludf.DUMMYFUNCTION("QUERY('Volunteer Survey'!I144)"),"Variant Pathogenicity")</f>
        <v>Variant Pathogenicity</v>
      </c>
      <c r="I78" s="49"/>
      <c r="J78" s="49"/>
      <c r="K78" s="49"/>
      <c r="L78" s="49"/>
      <c r="M78" s="49"/>
      <c r="N78" s="49"/>
      <c r="O78" s="49"/>
      <c r="P78" s="49"/>
      <c r="Q78" s="49"/>
      <c r="R78" s="49"/>
      <c r="S78" s="49"/>
      <c r="T78" s="49"/>
      <c r="U78" s="49"/>
    </row>
    <row r="79" spans="1:21" ht="14">
      <c r="A79" s="42" t="s">
        <v>160</v>
      </c>
      <c r="B79" s="59">
        <v>43605</v>
      </c>
      <c r="C79" s="42" t="s">
        <v>117</v>
      </c>
      <c r="D79" s="42" t="s">
        <v>251</v>
      </c>
      <c r="E79" s="45" t="s">
        <v>309</v>
      </c>
      <c r="F79" s="49" t="str">
        <f ca="1">IFERROR(__xludf.DUMMYFUNCTION("QUERY('Volunteer Survey'!B145)"),"Viridiana Murillo")</f>
        <v>Viridiana Murillo</v>
      </c>
      <c r="G79" s="42" t="str">
        <f ca="1">IFERROR(__xludf.DUMMYFUNCTION("QUERY('Volunteer Survey'!H145)"),"Comprehensive")</f>
        <v>Comprehensive</v>
      </c>
      <c r="H79" s="49" t="str">
        <f ca="1">IFERROR(__xludf.DUMMYFUNCTION("QUERY('Volunteer Survey'!I145)"),"Variant Pathogenicity")</f>
        <v>Variant Pathogenicity</v>
      </c>
      <c r="I79" s="49"/>
      <c r="J79" s="49"/>
      <c r="K79" s="49"/>
      <c r="L79" s="49"/>
      <c r="M79" s="49"/>
      <c r="N79" s="49"/>
      <c r="O79" s="49"/>
      <c r="P79" s="49"/>
      <c r="Q79" s="49"/>
      <c r="R79" s="49"/>
      <c r="S79" s="49"/>
      <c r="T79" s="49"/>
      <c r="U79" s="49"/>
    </row>
    <row r="80" spans="1:21" ht="13">
      <c r="A80" s="42" t="s">
        <v>168</v>
      </c>
      <c r="B80" s="59">
        <v>43605</v>
      </c>
      <c r="C80" s="42" t="s">
        <v>117</v>
      </c>
      <c r="D80" s="42" t="s">
        <v>251</v>
      </c>
      <c r="E80" s="47"/>
      <c r="F80" s="49" t="str">
        <f ca="1">IFERROR(__xludf.DUMMYFUNCTION("QUERY('Volunteer Survey'!B146)"),"Sharon Suchy")</f>
        <v>Sharon Suchy</v>
      </c>
      <c r="G80" s="42" t="str">
        <f ca="1">IFERROR(__xludf.DUMMYFUNCTION("QUERY('Volunteer Survey'!H146)"),"Comprehensive")</f>
        <v>Comprehensive</v>
      </c>
      <c r="H80" s="49" t="str">
        <f ca="1">IFERROR(__xludf.DUMMYFUNCTION("QUERY('Volunteer Survey'!I146)"),"Variant Pathogenicity")</f>
        <v>Variant Pathogenicity</v>
      </c>
      <c r="I80" s="49"/>
      <c r="J80" s="49"/>
      <c r="K80" s="49"/>
      <c r="L80" s="49"/>
      <c r="M80" s="49"/>
      <c r="N80" s="49"/>
      <c r="O80" s="49"/>
      <c r="P80" s="49"/>
      <c r="Q80" s="49"/>
      <c r="R80" s="49"/>
      <c r="S80" s="49"/>
      <c r="T80" s="49"/>
      <c r="U80" s="49"/>
    </row>
    <row r="81" spans="1:21" ht="14">
      <c r="A81" s="42" t="s">
        <v>160</v>
      </c>
      <c r="B81" s="59">
        <v>43608</v>
      </c>
      <c r="C81" s="42" t="s">
        <v>117</v>
      </c>
      <c r="D81" s="42" t="s">
        <v>251</v>
      </c>
      <c r="E81" s="45" t="s">
        <v>310</v>
      </c>
      <c r="F81" s="49" t="str">
        <f ca="1">IFERROR(__xludf.DUMMYFUNCTION("QUERY('Volunteer Survey'!B148)"),"Theodore E. Wilson")</f>
        <v>Theodore E. Wilson</v>
      </c>
      <c r="G81" s="42" t="str">
        <f ca="1">IFERROR(__xludf.DUMMYFUNCTION("QUERY('Volunteer Survey'!H148)"),"Comprehensive")</f>
        <v>Comprehensive</v>
      </c>
      <c r="H81" s="49" t="str">
        <f ca="1">IFERROR(__xludf.DUMMYFUNCTION("QUERY('Volunteer Survey'!I148)"),"Variant Pathogenicity")</f>
        <v>Variant Pathogenicity</v>
      </c>
      <c r="I81" s="49"/>
      <c r="J81" s="49"/>
      <c r="K81" s="49"/>
      <c r="L81" s="49"/>
      <c r="M81" s="49"/>
      <c r="N81" s="49"/>
      <c r="O81" s="49"/>
      <c r="P81" s="49"/>
      <c r="Q81" s="49"/>
      <c r="R81" s="49"/>
      <c r="S81" s="49"/>
      <c r="T81" s="49"/>
      <c r="U81" s="49"/>
    </row>
    <row r="82" spans="1:21" ht="14">
      <c r="A82" s="42" t="s">
        <v>160</v>
      </c>
      <c r="B82" s="59">
        <v>43605</v>
      </c>
      <c r="C82" s="42" t="s">
        <v>117</v>
      </c>
      <c r="D82" s="42" t="s">
        <v>251</v>
      </c>
      <c r="E82" s="45" t="s">
        <v>248</v>
      </c>
      <c r="F82" s="49" t="str">
        <f ca="1">IFERROR(__xludf.DUMMYFUNCTION("QUERY('Volunteer Survey'!B149)"),"Christina Y Hung")</f>
        <v>Christina Y Hung</v>
      </c>
      <c r="G82" s="42" t="str">
        <f ca="1">IFERROR(__xludf.DUMMYFUNCTION("QUERY('Volunteer Survey'!H149)"),"Comprehensive")</f>
        <v>Comprehensive</v>
      </c>
      <c r="H82" s="49" t="str">
        <f ca="1">IFERROR(__xludf.DUMMYFUNCTION("QUERY('Volunteer Survey'!I149)"),"Variant Pathogenicity")</f>
        <v>Variant Pathogenicity</v>
      </c>
      <c r="I82" s="49"/>
      <c r="J82" s="49"/>
      <c r="K82" s="49"/>
      <c r="L82" s="49"/>
      <c r="M82" s="49"/>
      <c r="N82" s="49"/>
      <c r="O82" s="49"/>
      <c r="P82" s="49"/>
      <c r="Q82" s="49"/>
      <c r="R82" s="49"/>
      <c r="S82" s="49"/>
      <c r="T82" s="49"/>
      <c r="U82" s="49"/>
    </row>
    <row r="83" spans="1:21" ht="14">
      <c r="A83" s="42" t="s">
        <v>160</v>
      </c>
      <c r="B83" s="59">
        <v>43605</v>
      </c>
      <c r="C83" s="42" t="s">
        <v>117</v>
      </c>
      <c r="D83" s="42" t="s">
        <v>251</v>
      </c>
      <c r="E83" s="45" t="s">
        <v>302</v>
      </c>
      <c r="F83" s="49" t="str">
        <f ca="1">IFERROR(__xludf.DUMMYFUNCTION("QUERY('Volunteer Survey'!B151)"),"Junyu Zhang")</f>
        <v>Junyu Zhang</v>
      </c>
      <c r="G83" s="42" t="str">
        <f ca="1">IFERROR(__xludf.DUMMYFUNCTION("QUERY('Volunteer Survey'!H151)"),"Comprehensive")</f>
        <v>Comprehensive</v>
      </c>
      <c r="H83" s="49" t="str">
        <f ca="1">IFERROR(__xludf.DUMMYFUNCTION("QUERY('Volunteer Survey'!I151)"),"Variant Pathogenicity")</f>
        <v>Variant Pathogenicity</v>
      </c>
      <c r="I83" s="49"/>
      <c r="J83" s="49"/>
      <c r="K83" s="49"/>
      <c r="L83" s="49"/>
      <c r="M83" s="49"/>
      <c r="N83" s="49"/>
      <c r="O83" s="49"/>
      <c r="P83" s="49"/>
      <c r="Q83" s="49"/>
      <c r="R83" s="49"/>
      <c r="S83" s="49"/>
      <c r="T83" s="49"/>
      <c r="U83" s="49"/>
    </row>
    <row r="84" spans="1:21" ht="14">
      <c r="A84" s="42" t="s">
        <v>108</v>
      </c>
      <c r="B84" s="59">
        <v>43585</v>
      </c>
      <c r="C84" s="42" t="s">
        <v>117</v>
      </c>
      <c r="D84" s="42" t="s">
        <v>122</v>
      </c>
      <c r="E84" s="45" t="s">
        <v>220</v>
      </c>
      <c r="F84" s="49" t="str">
        <f ca="1">IFERROR(__xludf.DUMMYFUNCTION("QUERY('Volunteer Survey'!B152)"),"Jing Zhang")</f>
        <v>Jing Zhang</v>
      </c>
      <c r="G84" s="42" t="str">
        <f ca="1">IFERROR(__xludf.DUMMYFUNCTION("QUERY('Volunteer Survey'!H152)"),"Comprehensive")</f>
        <v>Comprehensive</v>
      </c>
      <c r="H84" s="49" t="str">
        <f ca="1">IFERROR(__xludf.DUMMYFUNCTION("QUERY('Volunteer Survey'!I152)"),"Gene-Disease Validity")</f>
        <v>Gene-Disease Validity</v>
      </c>
      <c r="I84" s="49"/>
      <c r="J84" s="49"/>
      <c r="K84" s="49"/>
      <c r="L84" s="49"/>
      <c r="M84" s="49"/>
      <c r="N84" s="49"/>
      <c r="O84" s="49"/>
      <c r="P84" s="49"/>
      <c r="Q84" s="49"/>
      <c r="R84" s="49"/>
      <c r="S84" s="49"/>
      <c r="T84" s="49"/>
      <c r="U84" s="49"/>
    </row>
    <row r="85" spans="1:21" ht="14">
      <c r="A85" s="42" t="s">
        <v>160</v>
      </c>
      <c r="B85" s="59">
        <v>43605</v>
      </c>
      <c r="C85" s="42" t="s">
        <v>117</v>
      </c>
      <c r="D85" s="42" t="s">
        <v>251</v>
      </c>
      <c r="E85" s="45" t="s">
        <v>305</v>
      </c>
      <c r="F85" s="49" t="str">
        <f ca="1">IFERROR(__xludf.DUMMYFUNCTION("QUERY('Volunteer Survey'!B154)"),"Emily Higgs")</f>
        <v>Emily Higgs</v>
      </c>
      <c r="G85" s="42" t="str">
        <f ca="1">IFERROR(__xludf.DUMMYFUNCTION("QUERY('Volunteer Survey'!H154)"),"Comprehensive")</f>
        <v>Comprehensive</v>
      </c>
      <c r="H85" s="49" t="str">
        <f ca="1">IFERROR(__xludf.DUMMYFUNCTION("QUERY('Volunteer Survey'!I154)"),"Variant Pathogenicity")</f>
        <v>Variant Pathogenicity</v>
      </c>
      <c r="I85" s="49"/>
      <c r="J85" s="49"/>
      <c r="K85" s="49"/>
      <c r="L85" s="49"/>
      <c r="M85" s="49"/>
      <c r="N85" s="49"/>
      <c r="O85" s="49"/>
      <c r="P85" s="49"/>
      <c r="Q85" s="49"/>
      <c r="R85" s="49"/>
      <c r="S85" s="49"/>
      <c r="T85" s="49"/>
      <c r="U85" s="49"/>
    </row>
    <row r="86" spans="1:21" ht="14">
      <c r="A86" s="42" t="s">
        <v>125</v>
      </c>
      <c r="B86" s="43">
        <v>43570</v>
      </c>
      <c r="C86" s="42" t="s">
        <v>117</v>
      </c>
      <c r="D86" s="42" t="s">
        <v>122</v>
      </c>
      <c r="E86" s="45" t="s">
        <v>220</v>
      </c>
      <c r="F86" s="49" t="str">
        <f ca="1">IFERROR(__xludf.DUMMYFUNCTION("QUERY('Volunteer Survey'!B156)"),"Samantha Chill")</f>
        <v>Samantha Chill</v>
      </c>
      <c r="G86" s="42" t="str">
        <f ca="1">IFERROR(__xludf.DUMMYFUNCTION("QUERY('Volunteer Survey'!H156)"),"Comprehensive")</f>
        <v>Comprehensive</v>
      </c>
      <c r="H86" s="49" t="str">
        <f ca="1">IFERROR(__xludf.DUMMYFUNCTION("QUERY('Volunteer Survey'!I156)"),"Gene-Disease Validity")</f>
        <v>Gene-Disease Validity</v>
      </c>
      <c r="I86" s="49"/>
      <c r="J86" s="49"/>
      <c r="K86" s="49"/>
      <c r="L86" s="49"/>
      <c r="M86" s="49"/>
      <c r="N86" s="49"/>
      <c r="O86" s="49"/>
      <c r="P86" s="49"/>
      <c r="Q86" s="49"/>
      <c r="R86" s="49"/>
      <c r="S86" s="49"/>
      <c r="T86" s="49"/>
      <c r="U86" s="49"/>
    </row>
    <row r="87" spans="1:21" ht="14">
      <c r="A87" s="42" t="s">
        <v>108</v>
      </c>
      <c r="B87" s="59">
        <v>43585</v>
      </c>
      <c r="C87" s="42" t="s">
        <v>117</v>
      </c>
      <c r="D87" s="42" t="s">
        <v>122</v>
      </c>
      <c r="E87" s="45" t="s">
        <v>197</v>
      </c>
      <c r="F87" s="49" t="str">
        <f ca="1">IFERROR(__xludf.DUMMYFUNCTION("QUERY('Volunteer Survey'!B158)"),"HECTOR RODRIGO MENDEZ")</f>
        <v>HECTOR RODRIGO MENDEZ</v>
      </c>
      <c r="G87" s="42" t="str">
        <f ca="1">IFERROR(__xludf.DUMMYFUNCTION("QUERY('Volunteer Survey'!H158)"),"Comprehensive")</f>
        <v>Comprehensive</v>
      </c>
      <c r="H87" s="49" t="str">
        <f ca="1">IFERROR(__xludf.DUMMYFUNCTION("QUERY('Volunteer Survey'!I158)"),"Gene-Disease Validity")</f>
        <v>Gene-Disease Validity</v>
      </c>
      <c r="I87" s="49"/>
      <c r="J87" s="49"/>
      <c r="K87" s="49"/>
      <c r="L87" s="49"/>
      <c r="M87" s="49"/>
      <c r="N87" s="49"/>
      <c r="O87" s="49"/>
      <c r="P87" s="49"/>
      <c r="Q87" s="49"/>
      <c r="R87" s="49"/>
      <c r="S87" s="49"/>
      <c r="T87" s="49"/>
      <c r="U87" s="49"/>
    </row>
    <row r="88" spans="1:21" ht="13">
      <c r="A88" s="42" t="s">
        <v>108</v>
      </c>
      <c r="B88" s="59">
        <v>43594</v>
      </c>
      <c r="C88" s="42" t="s">
        <v>117</v>
      </c>
      <c r="D88" s="42" t="s">
        <v>19</v>
      </c>
      <c r="E88" s="63" t="s">
        <v>19</v>
      </c>
      <c r="F88" s="49" t="str">
        <f ca="1">IFERROR(__xludf.DUMMYFUNCTION("QUERY('Volunteer Survey'!B160)"),"Karen Hanson")</f>
        <v>Karen Hanson</v>
      </c>
      <c r="G88" s="42" t="str">
        <f ca="1">IFERROR(__xludf.DUMMYFUNCTION("QUERY('Volunteer Survey'!H160)"),"Comprehensive")</f>
        <v>Comprehensive</v>
      </c>
      <c r="H88" s="49" t="str">
        <f ca="1">IFERROR(__xludf.DUMMYFUNCTION("QUERY('Volunteer Survey'!I160)"),"Clinical Actionability")</f>
        <v>Clinical Actionability</v>
      </c>
      <c r="I88" s="49"/>
      <c r="J88" s="49"/>
      <c r="K88" s="49"/>
      <c r="L88" s="49"/>
      <c r="M88" s="49"/>
      <c r="N88" s="49"/>
      <c r="O88" s="49"/>
      <c r="P88" s="49"/>
      <c r="Q88" s="49"/>
      <c r="R88" s="49"/>
      <c r="S88" s="49"/>
      <c r="T88" s="49"/>
      <c r="U88" s="49"/>
    </row>
    <row r="89" spans="1:21" ht="13">
      <c r="A89" s="42" t="s">
        <v>108</v>
      </c>
      <c r="B89" s="59">
        <v>43580</v>
      </c>
      <c r="C89" s="42" t="s">
        <v>117</v>
      </c>
      <c r="D89" s="42" t="s">
        <v>163</v>
      </c>
      <c r="E89" s="47"/>
      <c r="F89" s="49" t="str">
        <f ca="1">IFERROR(__xludf.DUMMYFUNCTION("QUERY('Volunteer Survey'!B162)"),"Christine Preston")</f>
        <v>Christine Preston</v>
      </c>
      <c r="G89" s="42" t="str">
        <f ca="1">IFERROR(__xludf.DUMMYFUNCTION("QUERY('Volunteer Survey'!H162)"),"Comprehensive")</f>
        <v>Comprehensive</v>
      </c>
      <c r="H89" s="49" t="str">
        <f ca="1">IFERROR(__xludf.DUMMYFUNCTION("QUERY('Volunteer Survey'!I162)"),"Dosage Sensitivity")</f>
        <v>Dosage Sensitivity</v>
      </c>
      <c r="I89" s="49"/>
      <c r="J89" s="49"/>
      <c r="K89" s="49"/>
      <c r="L89" s="49"/>
      <c r="M89" s="49"/>
      <c r="N89" s="49"/>
      <c r="O89" s="49"/>
      <c r="P89" s="49"/>
      <c r="Q89" s="49"/>
      <c r="R89" s="49"/>
      <c r="S89" s="49"/>
      <c r="T89" s="49"/>
      <c r="U89" s="49"/>
    </row>
    <row r="90" spans="1:21" ht="14">
      <c r="A90" s="42" t="s">
        <v>108</v>
      </c>
      <c r="B90" s="59">
        <v>43585</v>
      </c>
      <c r="C90" s="42" t="s">
        <v>117</v>
      </c>
      <c r="D90" s="42" t="s">
        <v>122</v>
      </c>
      <c r="E90" s="45" t="s">
        <v>123</v>
      </c>
      <c r="F90" s="49" t="str">
        <f ca="1">IFERROR(__xludf.DUMMYFUNCTION("QUERY('Volunteer Survey'!B165)"),"Alexander Ing")</f>
        <v>Alexander Ing</v>
      </c>
      <c r="G90" s="42" t="str">
        <f ca="1">IFERROR(__xludf.DUMMYFUNCTION("QUERY('Volunteer Survey'!H165)"),"Comprehensive")</f>
        <v>Comprehensive</v>
      </c>
      <c r="H90" s="49" t="str">
        <f ca="1">IFERROR(__xludf.DUMMYFUNCTION("QUERY('Volunteer Survey'!I165)"),"Gene-Disease Validity")</f>
        <v>Gene-Disease Validity</v>
      </c>
      <c r="I90" s="49"/>
      <c r="J90" s="49"/>
      <c r="K90" s="49"/>
      <c r="L90" s="49"/>
      <c r="M90" s="49"/>
      <c r="N90" s="49"/>
      <c r="O90" s="49"/>
      <c r="P90" s="49"/>
      <c r="Q90" s="49"/>
      <c r="R90" s="49"/>
      <c r="S90" s="49"/>
      <c r="T90" s="49"/>
      <c r="U90" s="49"/>
    </row>
    <row r="91" spans="1:21" ht="13">
      <c r="A91" s="42" t="s">
        <v>108</v>
      </c>
      <c r="B91" s="59">
        <v>43692</v>
      </c>
      <c r="C91" s="42" t="s">
        <v>117</v>
      </c>
      <c r="D91" s="42" t="s">
        <v>122</v>
      </c>
      <c r="E91" s="47"/>
      <c r="F91" s="49" t="str">
        <f ca="1">IFERROR(__xludf.DUMMYFUNCTION("QUERY('Volunteer Survey'!B166)"),"Jun Liao")</f>
        <v>Jun Liao</v>
      </c>
      <c r="G91" s="42" t="str">
        <f ca="1">IFERROR(__xludf.DUMMYFUNCTION("QUERY('Volunteer Survey'!H166)"),"Comprehensive")</f>
        <v>Comprehensive</v>
      </c>
      <c r="H91" s="49" t="str">
        <f ca="1">IFERROR(__xludf.DUMMYFUNCTION("QUERY('Volunteer Survey'!I166)"),"Gene-Disease Validity")</f>
        <v>Gene-Disease Validity</v>
      </c>
      <c r="I91" s="49"/>
      <c r="J91" s="49"/>
      <c r="K91" s="49"/>
      <c r="L91" s="49"/>
      <c r="M91" s="49"/>
      <c r="N91" s="49"/>
      <c r="O91" s="49"/>
      <c r="P91" s="49"/>
      <c r="Q91" s="49"/>
      <c r="R91" s="49"/>
      <c r="S91" s="49"/>
      <c r="T91" s="49"/>
      <c r="U91" s="49"/>
    </row>
    <row r="92" spans="1:21" ht="14">
      <c r="A92" s="42" t="s">
        <v>108</v>
      </c>
      <c r="B92" s="59">
        <v>43585</v>
      </c>
      <c r="C92" s="42" t="s">
        <v>117</v>
      </c>
      <c r="D92" s="42" t="s">
        <v>122</v>
      </c>
      <c r="E92" s="45" t="s">
        <v>123</v>
      </c>
      <c r="F92" s="49" t="str">
        <f ca="1">IFERROR(__xludf.DUMMYFUNCTION("QUERY('Volunteer Survey'!B167)"),"Maki Kaneko")</f>
        <v>Maki Kaneko</v>
      </c>
      <c r="G92" s="42" t="str">
        <f ca="1">IFERROR(__xludf.DUMMYFUNCTION("QUERY('Volunteer Survey'!H167)"),"Comprehensive")</f>
        <v>Comprehensive</v>
      </c>
      <c r="H92" s="49" t="str">
        <f ca="1">IFERROR(__xludf.DUMMYFUNCTION("QUERY('Volunteer Survey'!I167)"),"Gene-Disease Validity")</f>
        <v>Gene-Disease Validity</v>
      </c>
      <c r="I92" s="49"/>
      <c r="J92" s="49"/>
      <c r="K92" s="49"/>
      <c r="L92" s="49"/>
      <c r="M92" s="49"/>
      <c r="N92" s="49"/>
      <c r="O92" s="49"/>
      <c r="P92" s="49"/>
      <c r="Q92" s="49"/>
      <c r="R92" s="49"/>
      <c r="S92" s="49"/>
      <c r="T92" s="49"/>
      <c r="U92" s="49"/>
    </row>
    <row r="93" spans="1:21" ht="14">
      <c r="A93" s="42" t="s">
        <v>160</v>
      </c>
      <c r="B93" s="50">
        <v>43627</v>
      </c>
      <c r="C93" s="42" t="s">
        <v>117</v>
      </c>
      <c r="D93" s="42" t="s">
        <v>251</v>
      </c>
      <c r="E93" s="45" t="s">
        <v>311</v>
      </c>
      <c r="F93" s="49" t="str">
        <f ca="1">IFERROR(__xludf.DUMMYFUNCTION("QUERY('Volunteer Survey'!B170)"),"Suvina To")</f>
        <v>Suvina To</v>
      </c>
      <c r="G93" s="42" t="str">
        <f ca="1">IFERROR(__xludf.DUMMYFUNCTION("QUERY('Volunteer Survey'!H170)"),"Comprehensive")</f>
        <v>Comprehensive</v>
      </c>
      <c r="H93" s="49" t="str">
        <f ca="1">IFERROR(__xludf.DUMMYFUNCTION("QUERY('Volunteer Survey'!I170)"),"Variant Pathogenicity")</f>
        <v>Variant Pathogenicity</v>
      </c>
      <c r="I93" s="49"/>
      <c r="J93" s="49"/>
      <c r="K93" s="49"/>
      <c r="L93" s="49"/>
      <c r="M93" s="49"/>
      <c r="N93" s="49"/>
      <c r="O93" s="49"/>
      <c r="P93" s="49"/>
      <c r="Q93" s="49"/>
      <c r="R93" s="49"/>
      <c r="S93" s="49"/>
      <c r="T93" s="49"/>
      <c r="U93" s="49"/>
    </row>
    <row r="94" spans="1:21" ht="14">
      <c r="A94" s="42" t="s">
        <v>160</v>
      </c>
      <c r="B94" s="59">
        <v>43608</v>
      </c>
      <c r="C94" s="42" t="s">
        <v>117</v>
      </c>
      <c r="D94" s="42" t="s">
        <v>251</v>
      </c>
      <c r="E94" s="45" t="s">
        <v>169</v>
      </c>
      <c r="F94" s="49" t="str">
        <f ca="1">IFERROR(__xludf.DUMMYFUNCTION("QUERY('Volunteer Survey'!B171)"),"Lemuel Racacho")</f>
        <v>Lemuel Racacho</v>
      </c>
      <c r="G94" s="42" t="str">
        <f ca="1">IFERROR(__xludf.DUMMYFUNCTION("QUERY('Volunteer Survey'!H171)"),"Comprehensive")</f>
        <v>Comprehensive</v>
      </c>
      <c r="H94" s="49" t="str">
        <f ca="1">IFERROR(__xludf.DUMMYFUNCTION("QUERY('Volunteer Survey'!I171)"),"Variant Pathogenicity")</f>
        <v>Variant Pathogenicity</v>
      </c>
      <c r="I94" s="49"/>
      <c r="J94" s="49"/>
      <c r="K94" s="49"/>
      <c r="L94" s="49"/>
      <c r="M94" s="49"/>
      <c r="N94" s="49"/>
      <c r="O94" s="49"/>
      <c r="P94" s="49"/>
      <c r="Q94" s="49"/>
      <c r="R94" s="49"/>
      <c r="S94" s="49"/>
      <c r="T94" s="49"/>
      <c r="U94" s="49"/>
    </row>
    <row r="95" spans="1:21" ht="14">
      <c r="A95" s="42" t="s">
        <v>160</v>
      </c>
      <c r="B95" s="59">
        <v>43608</v>
      </c>
      <c r="C95" s="42" t="s">
        <v>117</v>
      </c>
      <c r="D95" s="42" t="s">
        <v>251</v>
      </c>
      <c r="E95" s="45" t="s">
        <v>312</v>
      </c>
      <c r="F95" s="49" t="str">
        <f ca="1">IFERROR(__xludf.DUMMYFUNCTION("QUERY('Volunteer Survey'!B175)"),"Samya Chakravorty")</f>
        <v>Samya Chakravorty</v>
      </c>
      <c r="G95" s="42" t="str">
        <f ca="1">IFERROR(__xludf.DUMMYFUNCTION("QUERY('Volunteer Survey'!H175)"),"Comprehensive")</f>
        <v>Comprehensive</v>
      </c>
      <c r="H95" s="49" t="str">
        <f ca="1">IFERROR(__xludf.DUMMYFUNCTION("QUERY('Volunteer Survey'!I175)"),"Variant Pathogenicity")</f>
        <v>Variant Pathogenicity</v>
      </c>
      <c r="I95" s="49"/>
      <c r="J95" s="49"/>
      <c r="K95" s="49"/>
      <c r="L95" s="49"/>
      <c r="M95" s="49"/>
      <c r="N95" s="49"/>
      <c r="O95" s="49"/>
      <c r="P95" s="49"/>
      <c r="Q95" s="49"/>
      <c r="R95" s="49"/>
      <c r="S95" s="49"/>
      <c r="T95" s="49"/>
      <c r="U95" s="49"/>
    </row>
    <row r="96" spans="1:21" ht="13">
      <c r="A96" s="42" t="s">
        <v>108</v>
      </c>
      <c r="B96" s="59">
        <v>43692</v>
      </c>
      <c r="C96" s="42" t="s">
        <v>117</v>
      </c>
      <c r="D96" s="42" t="s">
        <v>122</v>
      </c>
      <c r="E96" s="47"/>
      <c r="F96" s="49" t="str">
        <f ca="1">IFERROR(__xludf.DUMMYFUNCTION("QUERY('Volunteer Survey'!B178)"),"Alison Bright")</f>
        <v>Alison Bright</v>
      </c>
      <c r="G96" s="42" t="str">
        <f ca="1">IFERROR(__xludf.DUMMYFUNCTION("QUERY('Volunteer Survey'!H178)"),"Comprehensive")</f>
        <v>Comprehensive</v>
      </c>
      <c r="H96" s="49" t="str">
        <f ca="1">IFERROR(__xludf.DUMMYFUNCTION("QUERY('Volunteer Survey'!I178)"),"Gene-Disease Validity")</f>
        <v>Gene-Disease Validity</v>
      </c>
      <c r="I96" s="49"/>
      <c r="J96" s="49"/>
      <c r="K96" s="49"/>
      <c r="L96" s="49"/>
      <c r="M96" s="49"/>
      <c r="N96" s="49"/>
      <c r="O96" s="49"/>
      <c r="P96" s="49"/>
      <c r="Q96" s="49"/>
      <c r="R96" s="49"/>
      <c r="S96" s="49"/>
      <c r="T96" s="49"/>
      <c r="U96" s="49"/>
    </row>
    <row r="97" spans="1:21" ht="13">
      <c r="A97" s="42" t="s">
        <v>108</v>
      </c>
      <c r="B97" s="43">
        <v>43581</v>
      </c>
      <c r="C97" s="42" t="s">
        <v>117</v>
      </c>
      <c r="D97" s="42" t="s">
        <v>136</v>
      </c>
      <c r="E97" s="47"/>
      <c r="F97" s="49" t="str">
        <f ca="1">IFERROR(__xludf.DUMMYFUNCTION("QUERY('Volunteer Survey'!B181)"),"Ying Zou")</f>
        <v>Ying Zou</v>
      </c>
      <c r="G97" s="42" t="str">
        <f ca="1">IFERROR(__xludf.DUMMYFUNCTION("QUERY('Volunteer Survey'!H181)"),"Comprehensive")</f>
        <v>Comprehensive</v>
      </c>
      <c r="H97" s="49" t="str">
        <f ca="1">IFERROR(__xludf.DUMMYFUNCTION("QUERY('Volunteer Survey'!I181)"),"Somatic Cancer")</f>
        <v>Somatic Cancer</v>
      </c>
      <c r="I97" s="49"/>
      <c r="J97" s="49"/>
      <c r="K97" s="49"/>
      <c r="L97" s="49"/>
      <c r="M97" s="49"/>
      <c r="N97" s="49"/>
      <c r="O97" s="49"/>
      <c r="P97" s="49"/>
      <c r="Q97" s="49"/>
      <c r="R97" s="49"/>
      <c r="S97" s="49"/>
      <c r="T97" s="49"/>
      <c r="U97" s="49"/>
    </row>
    <row r="98" spans="1:21" ht="13">
      <c r="A98" s="42" t="s">
        <v>168</v>
      </c>
      <c r="B98" s="59">
        <v>43570</v>
      </c>
      <c r="C98" s="42" t="s">
        <v>117</v>
      </c>
      <c r="D98" s="42" t="s">
        <v>313</v>
      </c>
      <c r="E98" s="47"/>
      <c r="F98" s="49" t="str">
        <f ca="1">IFERROR(__xludf.DUMMYFUNCTION("QUERY('Volunteer Survey'!B182)"),"JIXIA LIU")</f>
        <v>JIXIA LIU</v>
      </c>
      <c r="G98" s="42" t="str">
        <f ca="1">IFERROR(__xludf.DUMMYFUNCTION("QUERY('Volunteer Survey'!H182)"),"Comprehensive")</f>
        <v>Comprehensive</v>
      </c>
      <c r="H98" s="49" t="str">
        <f ca="1">IFERROR(__xludf.DUMMYFUNCTION("QUERY('Volunteer Survey'!I182)"),"Gene-Disease Validity")</f>
        <v>Gene-Disease Validity</v>
      </c>
      <c r="I98" s="49"/>
      <c r="J98" s="49"/>
      <c r="K98" s="49"/>
      <c r="L98" s="49"/>
      <c r="M98" s="49"/>
      <c r="N98" s="49"/>
      <c r="O98" s="49"/>
      <c r="P98" s="49"/>
      <c r="Q98" s="49"/>
      <c r="R98" s="49"/>
      <c r="S98" s="49"/>
      <c r="T98" s="49"/>
      <c r="U98" s="49"/>
    </row>
    <row r="99" spans="1:21" ht="18" customHeight="1">
      <c r="A99" s="42" t="s">
        <v>160</v>
      </c>
      <c r="B99" s="50">
        <v>43605</v>
      </c>
      <c r="C99" s="42" t="s">
        <v>117</v>
      </c>
      <c r="D99" s="42" t="s">
        <v>251</v>
      </c>
      <c r="E99" s="45" t="s">
        <v>314</v>
      </c>
      <c r="F99" s="49" t="str">
        <f ca="1">IFERROR(__xludf.DUMMYFUNCTION("QUERY('Volunteer Survey'!B183)"),"Catherine Driscoll")</f>
        <v>Catherine Driscoll</v>
      </c>
      <c r="G99" s="42" t="str">
        <f ca="1">IFERROR(__xludf.DUMMYFUNCTION("QUERY('Volunteer Survey'!H183)"),"Comprehensive")</f>
        <v>Comprehensive</v>
      </c>
      <c r="H99" s="49" t="str">
        <f ca="1">IFERROR(__xludf.DUMMYFUNCTION("QUERY('Volunteer Survey'!I183)"),"Variant Pathogenicity")</f>
        <v>Variant Pathogenicity</v>
      </c>
      <c r="I99" s="49"/>
      <c r="J99" s="49"/>
      <c r="K99" s="49"/>
      <c r="L99" s="49"/>
      <c r="M99" s="49"/>
      <c r="N99" s="49"/>
      <c r="O99" s="49"/>
      <c r="P99" s="49"/>
      <c r="Q99" s="49"/>
      <c r="R99" s="49"/>
      <c r="S99" s="49"/>
      <c r="T99" s="49"/>
      <c r="U99" s="49"/>
    </row>
    <row r="100" spans="1:21" ht="17.25" customHeight="1">
      <c r="A100" s="42" t="s">
        <v>160</v>
      </c>
      <c r="B100" s="50">
        <v>43608</v>
      </c>
      <c r="C100" s="42" t="s">
        <v>117</v>
      </c>
      <c r="D100" s="42" t="s">
        <v>251</v>
      </c>
      <c r="E100" s="45" t="s">
        <v>302</v>
      </c>
      <c r="F100" s="49" t="str">
        <f ca="1">IFERROR(__xludf.DUMMYFUNCTION("QUERY('Volunteer Survey'!B186)"),"Ashley Marsh")</f>
        <v>Ashley Marsh</v>
      </c>
      <c r="G100" s="42" t="str">
        <f ca="1">IFERROR(__xludf.DUMMYFUNCTION("QUERY('Volunteer Survey'!H186)"),"Comprehensive")</f>
        <v>Comprehensive</v>
      </c>
      <c r="H100" s="49" t="str">
        <f ca="1">IFERROR(__xludf.DUMMYFUNCTION("QUERY('Volunteer Survey'!I186)"),"Variant Pathogenicity")</f>
        <v>Variant Pathogenicity</v>
      </c>
      <c r="I100" s="49"/>
      <c r="J100" s="49"/>
      <c r="K100" s="49"/>
      <c r="L100" s="49"/>
      <c r="M100" s="49"/>
      <c r="N100" s="49"/>
      <c r="O100" s="49"/>
      <c r="P100" s="49"/>
      <c r="Q100" s="49"/>
      <c r="R100" s="49"/>
      <c r="S100" s="49"/>
      <c r="T100" s="49"/>
      <c r="U100" s="49"/>
    </row>
    <row r="101" spans="1:21" ht="14">
      <c r="A101" s="42" t="s">
        <v>108</v>
      </c>
      <c r="B101" s="59">
        <v>43585</v>
      </c>
      <c r="C101" s="42" t="s">
        <v>117</v>
      </c>
      <c r="D101" s="42" t="s">
        <v>122</v>
      </c>
      <c r="E101" s="45" t="s">
        <v>311</v>
      </c>
      <c r="F101" s="49" t="str">
        <f ca="1">IFERROR(__xludf.DUMMYFUNCTION("QUERY('Volunteer Survey'!B187)"),"Kevin Colclough")</f>
        <v>Kevin Colclough</v>
      </c>
      <c r="G101" s="42" t="str">
        <f ca="1">IFERROR(__xludf.DUMMYFUNCTION("QUERY('Volunteer Survey'!H187)"),"Comprehensive")</f>
        <v>Comprehensive</v>
      </c>
      <c r="H101" s="49" t="str">
        <f ca="1">IFERROR(__xludf.DUMMYFUNCTION("QUERY('Volunteer Survey'!I187)"),"Variant Pathogenicity")</f>
        <v>Variant Pathogenicity</v>
      </c>
      <c r="I101" s="49"/>
      <c r="J101" s="49"/>
      <c r="K101" s="49"/>
      <c r="L101" s="49"/>
      <c r="M101" s="49"/>
      <c r="N101" s="49"/>
      <c r="O101" s="49"/>
      <c r="P101" s="49"/>
      <c r="Q101" s="49"/>
      <c r="R101" s="49"/>
      <c r="S101" s="49"/>
      <c r="T101" s="49"/>
      <c r="U101" s="49"/>
    </row>
    <row r="102" spans="1:21" ht="13">
      <c r="A102" s="42" t="s">
        <v>108</v>
      </c>
      <c r="B102" s="59">
        <v>43692</v>
      </c>
      <c r="C102" s="42" t="s">
        <v>117</v>
      </c>
      <c r="D102" s="42" t="s">
        <v>122</v>
      </c>
      <c r="E102" s="47"/>
      <c r="F102" s="49" t="str">
        <f ca="1">IFERROR(__xludf.DUMMYFUNCTION("QUERY('Volunteer Survey'!B191)"),"FEN GUO")</f>
        <v>FEN GUO</v>
      </c>
      <c r="G102" s="42" t="str">
        <f ca="1">IFERROR(__xludf.DUMMYFUNCTION("QUERY('Volunteer Survey'!H191)"),"Comprehensive")</f>
        <v>Comprehensive</v>
      </c>
      <c r="H102" s="49" t="str">
        <f ca="1">IFERROR(__xludf.DUMMYFUNCTION("QUERY('Volunteer Survey'!I191)"),"Gene-Disease Validity")</f>
        <v>Gene-Disease Validity</v>
      </c>
      <c r="I102" s="49"/>
      <c r="J102" s="49"/>
      <c r="K102" s="49"/>
      <c r="L102" s="49"/>
      <c r="M102" s="49"/>
      <c r="N102" s="49"/>
      <c r="O102" s="49"/>
      <c r="P102" s="49"/>
      <c r="Q102" s="49"/>
      <c r="R102" s="49"/>
      <c r="S102" s="49"/>
      <c r="T102" s="49"/>
      <c r="U102" s="49"/>
    </row>
    <row r="103" spans="1:21" ht="13">
      <c r="A103" s="42" t="s">
        <v>168</v>
      </c>
      <c r="B103" s="50">
        <v>43476</v>
      </c>
      <c r="C103" s="42" t="s">
        <v>117</v>
      </c>
      <c r="D103" s="42" t="s">
        <v>136</v>
      </c>
      <c r="E103" s="47"/>
      <c r="F103" s="49" t="str">
        <f ca="1">IFERROR(__xludf.DUMMYFUNCTION("QUERY('Volunteer Survey'!B194)"),"Lisa Dyer")</f>
        <v>Lisa Dyer</v>
      </c>
      <c r="G103" s="42" t="str">
        <f ca="1">IFERROR(__xludf.DUMMYFUNCTION("QUERY('Volunteer Survey'!H194)"),"Comprehensive")</f>
        <v>Comprehensive</v>
      </c>
      <c r="H103" s="49" t="str">
        <f ca="1">IFERROR(__xludf.DUMMYFUNCTION("QUERY('Volunteer Survey'!I194)"),"Somatic Cancer")</f>
        <v>Somatic Cancer</v>
      </c>
      <c r="I103" s="49"/>
      <c r="J103" s="49"/>
      <c r="K103" s="49"/>
      <c r="L103" s="49"/>
      <c r="M103" s="49"/>
      <c r="N103" s="49"/>
      <c r="O103" s="49"/>
      <c r="P103" s="49"/>
      <c r="Q103" s="49"/>
      <c r="R103" s="49"/>
      <c r="S103" s="49"/>
      <c r="T103" s="49"/>
      <c r="U103" s="49"/>
    </row>
    <row r="104" spans="1:21" ht="14">
      <c r="A104" s="42" t="s">
        <v>160</v>
      </c>
      <c r="B104" s="50">
        <v>43605</v>
      </c>
      <c r="C104" s="42" t="s">
        <v>117</v>
      </c>
      <c r="D104" s="42" t="s">
        <v>251</v>
      </c>
      <c r="E104" s="45" t="s">
        <v>305</v>
      </c>
      <c r="F104" s="49" t="str">
        <f ca="1">IFERROR(__xludf.DUMMYFUNCTION("QUERY('Volunteer Survey'!B200)"),"Olivia Rennie")</f>
        <v>Olivia Rennie</v>
      </c>
      <c r="G104" s="42" t="str">
        <f ca="1">IFERROR(__xludf.DUMMYFUNCTION("QUERY('Volunteer Survey'!H200)"),"Comprehensive")</f>
        <v>Comprehensive</v>
      </c>
      <c r="H104" s="49" t="str">
        <f ca="1">IFERROR(__xludf.DUMMYFUNCTION("QUERY('Volunteer Survey'!I200)"),"Variant Pathogenicity")</f>
        <v>Variant Pathogenicity</v>
      </c>
      <c r="I104" s="49"/>
      <c r="J104" s="49"/>
      <c r="K104" s="49"/>
      <c r="L104" s="49"/>
      <c r="M104" s="49"/>
      <c r="N104" s="49"/>
      <c r="O104" s="49"/>
      <c r="P104" s="49"/>
      <c r="Q104" s="49"/>
      <c r="R104" s="49"/>
      <c r="S104" s="49"/>
      <c r="T104" s="49"/>
      <c r="U104" s="49"/>
    </row>
    <row r="105" spans="1:21" ht="13">
      <c r="A105" s="42" t="s">
        <v>108</v>
      </c>
      <c r="B105" s="50">
        <v>43627</v>
      </c>
      <c r="C105" s="42" t="s">
        <v>117</v>
      </c>
      <c r="D105" s="42" t="s">
        <v>313</v>
      </c>
      <c r="E105" s="47"/>
      <c r="F105" s="49" t="str">
        <f ca="1">IFERROR(__xludf.DUMMYFUNCTION("QUERY('Volunteer Survey'!B201)"),"Aleš Maver")</f>
        <v>Aleš Maver</v>
      </c>
      <c r="G105" s="42" t="str">
        <f ca="1">IFERROR(__xludf.DUMMYFUNCTION("QUERY('Volunteer Survey'!H201)"),"Comprehensive")</f>
        <v>Comprehensive</v>
      </c>
      <c r="H105" s="49" t="str">
        <f ca="1">IFERROR(__xludf.DUMMYFUNCTION("QUERY('Volunteer Survey'!I201)"),"Variant Pathogenicity")</f>
        <v>Variant Pathogenicity</v>
      </c>
      <c r="I105" s="49"/>
      <c r="J105" s="49"/>
      <c r="K105" s="49"/>
      <c r="L105" s="49"/>
      <c r="M105" s="49"/>
      <c r="N105" s="49"/>
      <c r="O105" s="49"/>
      <c r="P105" s="49"/>
      <c r="Q105" s="49"/>
      <c r="R105" s="49"/>
      <c r="S105" s="49"/>
      <c r="T105" s="49"/>
      <c r="U105" s="49"/>
    </row>
    <row r="106" spans="1:21" ht="13">
      <c r="A106" s="42" t="s">
        <v>108</v>
      </c>
      <c r="B106" s="50">
        <v>43627</v>
      </c>
      <c r="C106" s="42" t="s">
        <v>117</v>
      </c>
      <c r="D106" s="42" t="s">
        <v>313</v>
      </c>
      <c r="E106" s="47"/>
      <c r="F106" s="49" t="str">
        <f ca="1">IFERROR(__xludf.DUMMYFUNCTION("QUERY('Volunteer Survey'!B205)"),"Robert Butler")</f>
        <v>Robert Butler</v>
      </c>
      <c r="G106" s="42" t="str">
        <f ca="1">IFERROR(__xludf.DUMMYFUNCTION("QUERY('Volunteer Survey'!H205)"),"Comprehensive")</f>
        <v>Comprehensive</v>
      </c>
      <c r="H106" s="49" t="str">
        <f ca="1">IFERROR(__xludf.DUMMYFUNCTION("QUERY('Volunteer Survey'!I205)"),"Variant Pathogenicity")</f>
        <v>Variant Pathogenicity</v>
      </c>
      <c r="I106" s="49"/>
      <c r="J106" s="49"/>
      <c r="K106" s="49"/>
      <c r="L106" s="49"/>
      <c r="M106" s="49"/>
      <c r="N106" s="49"/>
      <c r="O106" s="49"/>
      <c r="P106" s="49"/>
      <c r="Q106" s="49"/>
      <c r="R106" s="49"/>
      <c r="S106" s="49"/>
      <c r="T106" s="49"/>
      <c r="U106" s="49"/>
    </row>
    <row r="107" spans="1:21" ht="13">
      <c r="A107" s="42" t="s">
        <v>108</v>
      </c>
      <c r="B107" s="50">
        <v>43626</v>
      </c>
      <c r="C107" s="42" t="s">
        <v>117</v>
      </c>
      <c r="D107" s="42" t="s">
        <v>251</v>
      </c>
      <c r="E107" s="47"/>
      <c r="F107" s="49" t="str">
        <f ca="1">IFERROR(__xludf.DUMMYFUNCTION("QUERY('Volunteer Survey'!B206)"),"Ljubica Caldovic")</f>
        <v>Ljubica Caldovic</v>
      </c>
      <c r="G107" s="42" t="str">
        <f ca="1">IFERROR(__xludf.DUMMYFUNCTION("QUERY('Volunteer Survey'!H206)"),"Comprehensive")</f>
        <v>Comprehensive</v>
      </c>
      <c r="H107" s="49" t="str">
        <f ca="1">IFERROR(__xludf.DUMMYFUNCTION("QUERY('Volunteer Survey'!I206)"),"Variant Pathogenicity")</f>
        <v>Variant Pathogenicity</v>
      </c>
      <c r="I107" s="49"/>
      <c r="J107" s="49"/>
      <c r="K107" s="49"/>
      <c r="L107" s="49"/>
      <c r="M107" s="49"/>
      <c r="N107" s="49"/>
      <c r="O107" s="49"/>
      <c r="P107" s="49"/>
      <c r="Q107" s="49"/>
      <c r="R107" s="49"/>
      <c r="S107" s="49"/>
      <c r="T107" s="49"/>
      <c r="U107" s="49"/>
    </row>
    <row r="108" spans="1:21" ht="14">
      <c r="A108" s="42" t="s">
        <v>160</v>
      </c>
      <c r="B108" s="50">
        <v>43627</v>
      </c>
      <c r="C108" s="42" t="s">
        <v>117</v>
      </c>
      <c r="D108" s="42" t="s">
        <v>251</v>
      </c>
      <c r="E108" s="45" t="s">
        <v>303</v>
      </c>
      <c r="F108" s="49" t="str">
        <f ca="1">IFERROR(__xludf.DUMMYFUNCTION("QUERY('Volunteer Survey'!B207)"),"Joy Goffena")</f>
        <v>Joy Goffena</v>
      </c>
      <c r="G108" s="42" t="str">
        <f ca="1">IFERROR(__xludf.DUMMYFUNCTION("QUERY('Volunteer Survey'!H207)"),"Comprehensive")</f>
        <v>Comprehensive</v>
      </c>
      <c r="H108" s="49" t="str">
        <f ca="1">IFERROR(__xludf.DUMMYFUNCTION("QUERY('Volunteer Survey'!I207)"),"Variant Pathogenicity")</f>
        <v>Variant Pathogenicity</v>
      </c>
      <c r="I108" s="49"/>
      <c r="J108" s="49"/>
      <c r="K108" s="49"/>
      <c r="L108" s="49"/>
      <c r="M108" s="49"/>
      <c r="N108" s="49"/>
      <c r="O108" s="49"/>
      <c r="P108" s="49"/>
      <c r="Q108" s="49"/>
      <c r="R108" s="49"/>
      <c r="S108" s="49"/>
      <c r="T108" s="49"/>
      <c r="U108" s="49"/>
    </row>
    <row r="109" spans="1:21" ht="13">
      <c r="A109" s="42" t="s">
        <v>108</v>
      </c>
      <c r="B109" s="59">
        <v>43692</v>
      </c>
      <c r="C109" s="42" t="s">
        <v>117</v>
      </c>
      <c r="D109" s="42" t="s">
        <v>122</v>
      </c>
      <c r="E109" s="47"/>
      <c r="F109" s="49" t="str">
        <f ca="1">IFERROR(__xludf.DUMMYFUNCTION("QUERY('Volunteer Survey'!B208)"),"Amruta Phatak")</f>
        <v>Amruta Phatak</v>
      </c>
      <c r="G109" s="42" t="str">
        <f ca="1">IFERROR(__xludf.DUMMYFUNCTION("QUERY('Volunteer Survey'!H208)"),"Comprehensive")</f>
        <v>Comprehensive</v>
      </c>
      <c r="H109" s="49" t="str">
        <f ca="1">IFERROR(__xludf.DUMMYFUNCTION("QUERY('Volunteer Survey'!I208)"),"Gene-Disease Validity")</f>
        <v>Gene-Disease Validity</v>
      </c>
      <c r="I109" s="49"/>
      <c r="J109" s="49"/>
      <c r="K109" s="49"/>
      <c r="L109" s="49"/>
      <c r="M109" s="49"/>
      <c r="N109" s="49"/>
      <c r="O109" s="49"/>
      <c r="P109" s="49"/>
      <c r="Q109" s="49"/>
      <c r="R109" s="49"/>
      <c r="S109" s="49"/>
      <c r="T109" s="49"/>
      <c r="U109" s="49"/>
    </row>
    <row r="110" spans="1:21" ht="13">
      <c r="A110" s="42" t="s">
        <v>108</v>
      </c>
      <c r="B110" s="50">
        <v>43627</v>
      </c>
      <c r="C110" s="42" t="s">
        <v>117</v>
      </c>
      <c r="D110" s="42" t="s">
        <v>251</v>
      </c>
      <c r="E110" s="47"/>
      <c r="F110" s="49" t="str">
        <f ca="1">IFERROR(__xludf.DUMMYFUNCTION("QUERY('Volunteer Survey'!B211)"),"Abdelazeem Elhabyan ")</f>
        <v xml:space="preserve">Abdelazeem Elhabyan </v>
      </c>
      <c r="G110" s="42" t="str">
        <f ca="1">IFERROR(__xludf.DUMMYFUNCTION("QUERY('Volunteer Survey'!H211)"),"Comprehensive")</f>
        <v>Comprehensive</v>
      </c>
      <c r="H110" s="49" t="str">
        <f ca="1">IFERROR(__xludf.DUMMYFUNCTION("QUERY('Volunteer Survey'!I211)"),"Variant Pathogenicity")</f>
        <v>Variant Pathogenicity</v>
      </c>
      <c r="I110" s="49"/>
      <c r="J110" s="49"/>
      <c r="K110" s="49"/>
      <c r="L110" s="49"/>
      <c r="M110" s="49"/>
      <c r="N110" s="49"/>
      <c r="O110" s="49"/>
      <c r="P110" s="49"/>
      <c r="Q110" s="49"/>
      <c r="R110" s="49"/>
      <c r="S110" s="49"/>
      <c r="T110" s="49"/>
      <c r="U110" s="49"/>
    </row>
    <row r="111" spans="1:21" ht="13">
      <c r="A111" s="42" t="s">
        <v>108</v>
      </c>
      <c r="B111" s="50">
        <v>43627</v>
      </c>
      <c r="C111" s="42" t="s">
        <v>117</v>
      </c>
      <c r="D111" s="42" t="s">
        <v>251</v>
      </c>
      <c r="E111" s="47"/>
      <c r="F111" s="49" t="str">
        <f ca="1">IFERROR(__xludf.DUMMYFUNCTION("QUERY('Volunteer Survey'!B216)"),"Carolina Bustamante")</f>
        <v>Carolina Bustamante</v>
      </c>
      <c r="G111" s="42" t="str">
        <f ca="1">IFERROR(__xludf.DUMMYFUNCTION("QUERY('Volunteer Survey'!H216)"),"Comprehensive")</f>
        <v>Comprehensive</v>
      </c>
      <c r="H111" s="49" t="str">
        <f ca="1">IFERROR(__xludf.DUMMYFUNCTION("QUERY('Volunteer Survey'!I216)"),"Variant Pathogenicity")</f>
        <v>Variant Pathogenicity</v>
      </c>
      <c r="I111" s="49"/>
      <c r="J111" s="49"/>
      <c r="K111" s="49"/>
      <c r="L111" s="49"/>
      <c r="M111" s="49"/>
      <c r="N111" s="49"/>
      <c r="O111" s="49"/>
      <c r="P111" s="49"/>
      <c r="Q111" s="49"/>
      <c r="R111" s="49"/>
      <c r="S111" s="49"/>
      <c r="T111" s="49"/>
      <c r="U111" s="49"/>
    </row>
    <row r="112" spans="1:21" ht="13">
      <c r="A112" s="42" t="s">
        <v>108</v>
      </c>
      <c r="B112" s="59">
        <v>43692</v>
      </c>
      <c r="C112" s="42" t="s">
        <v>117</v>
      </c>
      <c r="D112" s="42" t="s">
        <v>122</v>
      </c>
      <c r="E112" s="47"/>
      <c r="F112" s="49" t="str">
        <f ca="1">IFERROR(__xludf.DUMMYFUNCTION("QUERY('Volunteer Survey'!B218)"),"Jean Davidson")</f>
        <v>Jean Davidson</v>
      </c>
      <c r="G112" s="42" t="str">
        <f ca="1">IFERROR(__xludf.DUMMYFUNCTION("QUERY('Volunteer Survey'!H218)"),"Comprehensive")</f>
        <v>Comprehensive</v>
      </c>
      <c r="H112" s="49" t="str">
        <f ca="1">IFERROR(__xludf.DUMMYFUNCTION("QUERY('Volunteer Survey'!I218)"),"Gene-Disease Validity")</f>
        <v>Gene-Disease Validity</v>
      </c>
      <c r="I112" s="49"/>
      <c r="J112" s="49"/>
      <c r="K112" s="49"/>
      <c r="L112" s="49"/>
      <c r="M112" s="49"/>
      <c r="N112" s="49"/>
      <c r="O112" s="49"/>
      <c r="P112" s="49"/>
      <c r="Q112" s="49"/>
      <c r="R112" s="49"/>
      <c r="S112" s="49"/>
      <c r="T112" s="49"/>
      <c r="U112" s="49"/>
    </row>
    <row r="113" spans="1:21" ht="13">
      <c r="A113" s="42" t="s">
        <v>108</v>
      </c>
      <c r="B113" s="50">
        <v>43626</v>
      </c>
      <c r="C113" s="42" t="s">
        <v>117</v>
      </c>
      <c r="D113" s="42" t="s">
        <v>313</v>
      </c>
      <c r="E113" s="47"/>
      <c r="F113" s="49" t="str">
        <f ca="1">IFERROR(__xludf.DUMMYFUNCTION("QUERY('Volunteer Survey'!B223)"),"Pamela")</f>
        <v>Pamela</v>
      </c>
      <c r="G113" s="42" t="str">
        <f ca="1">IFERROR(__xludf.DUMMYFUNCTION("QUERY('Volunteer Survey'!H223)"),"Comprehensive")</f>
        <v>Comprehensive</v>
      </c>
      <c r="H113" s="49" t="str">
        <f ca="1">IFERROR(__xludf.DUMMYFUNCTION("QUERY('Volunteer Survey'!I223)"),"Variant Pathogenicity")</f>
        <v>Variant Pathogenicity</v>
      </c>
      <c r="I113" s="49"/>
      <c r="J113" s="49"/>
      <c r="K113" s="49"/>
      <c r="L113" s="49"/>
      <c r="M113" s="49"/>
      <c r="N113" s="49"/>
      <c r="O113" s="49"/>
      <c r="P113" s="49"/>
      <c r="Q113" s="49"/>
      <c r="R113" s="49"/>
      <c r="S113" s="49"/>
      <c r="T113" s="49"/>
      <c r="U113" s="49"/>
    </row>
    <row r="114" spans="1:21" ht="13">
      <c r="A114" s="42" t="s">
        <v>108</v>
      </c>
      <c r="B114" s="59">
        <v>43692</v>
      </c>
      <c r="C114" s="42" t="s">
        <v>117</v>
      </c>
      <c r="D114" s="42" t="s">
        <v>122</v>
      </c>
      <c r="E114" s="47"/>
      <c r="F114" s="49" t="str">
        <f ca="1">IFERROR(__xludf.DUMMYFUNCTION("QUERY('Volunteer Survey'!B237)"),"Marc Lataillade")</f>
        <v>Marc Lataillade</v>
      </c>
      <c r="G114" s="42" t="str">
        <f ca="1">IFERROR(__xludf.DUMMYFUNCTION("QUERY('Volunteer Survey'!H237)"),"Comprehensive")</f>
        <v>Comprehensive</v>
      </c>
      <c r="H114" s="49" t="str">
        <f ca="1">IFERROR(__xludf.DUMMYFUNCTION("QUERY('Volunteer Survey'!I237)"),"Gene-Disease Validity")</f>
        <v>Gene-Disease Validity</v>
      </c>
      <c r="I114" s="49"/>
      <c r="J114" s="49"/>
      <c r="K114" s="49"/>
      <c r="L114" s="49"/>
      <c r="M114" s="49"/>
      <c r="N114" s="49"/>
      <c r="O114" s="49"/>
      <c r="P114" s="49"/>
      <c r="Q114" s="49"/>
      <c r="R114" s="49"/>
      <c r="S114" s="49"/>
      <c r="T114" s="49"/>
      <c r="U114" s="49"/>
    </row>
    <row r="115" spans="1:21" ht="28">
      <c r="A115" s="42" t="s">
        <v>160</v>
      </c>
      <c r="B115" s="59">
        <v>43719</v>
      </c>
      <c r="C115" s="42" t="s">
        <v>117</v>
      </c>
      <c r="D115" s="42" t="s">
        <v>136</v>
      </c>
      <c r="E115" s="45" t="s">
        <v>317</v>
      </c>
      <c r="F115" s="49" t="str">
        <f ca="1">IFERROR(__xludf.DUMMYFUNCTION("QUERY('Volunteer Survey'!B239)"),"Lori Millner")</f>
        <v>Lori Millner</v>
      </c>
      <c r="G115" s="42" t="str">
        <f ca="1">IFERROR(__xludf.DUMMYFUNCTION("QUERY('Volunteer Survey'!H239)"),"Comprehensive")</f>
        <v>Comprehensive</v>
      </c>
      <c r="H115" s="49" t="str">
        <f ca="1">IFERROR(__xludf.DUMMYFUNCTION("QUERY('Volunteer Survey'!I239)"),"Somatic Cancer")</f>
        <v>Somatic Cancer</v>
      </c>
      <c r="I115" s="49"/>
      <c r="J115" s="49"/>
      <c r="K115" s="49"/>
      <c r="L115" s="49"/>
      <c r="M115" s="49"/>
      <c r="N115" s="49"/>
      <c r="O115" s="49"/>
      <c r="P115" s="49"/>
      <c r="Q115" s="49"/>
      <c r="R115" s="49"/>
      <c r="S115" s="49"/>
      <c r="T115" s="49"/>
      <c r="U115" s="49"/>
    </row>
    <row r="116" spans="1:21" ht="13">
      <c r="A116" s="42" t="s">
        <v>108</v>
      </c>
      <c r="B116" s="59">
        <v>43692</v>
      </c>
      <c r="C116" s="42" t="s">
        <v>117</v>
      </c>
      <c r="D116" s="42" t="s">
        <v>122</v>
      </c>
      <c r="E116" s="47"/>
      <c r="F116" s="49" t="str">
        <f ca="1">IFERROR(__xludf.DUMMYFUNCTION("QUERY('Volunteer Survey'!B245)"),"Mayher Patel")</f>
        <v>Mayher Patel</v>
      </c>
      <c r="G116" s="42" t="str">
        <f ca="1">IFERROR(__xludf.DUMMYFUNCTION("QUERY('Volunteer Survey'!H245)"),"Comprehensive")</f>
        <v>Comprehensive</v>
      </c>
      <c r="H116" s="49" t="str">
        <f ca="1">IFERROR(__xludf.DUMMYFUNCTION("QUERY('Volunteer Survey'!I245)"),"Gene-Disease Validity")</f>
        <v>Gene-Disease Validity</v>
      </c>
      <c r="I116" s="49"/>
      <c r="J116" s="49"/>
      <c r="K116" s="49"/>
      <c r="L116" s="49"/>
      <c r="M116" s="49"/>
      <c r="N116" s="49"/>
      <c r="O116" s="49"/>
      <c r="P116" s="49"/>
      <c r="Q116" s="49"/>
      <c r="R116" s="49"/>
      <c r="S116" s="49"/>
      <c r="T116" s="49"/>
      <c r="U116" s="49"/>
    </row>
    <row r="117" spans="1:21" ht="13">
      <c r="A117" s="42" t="s">
        <v>108</v>
      </c>
      <c r="B117" s="59">
        <v>43692</v>
      </c>
      <c r="C117" s="42" t="s">
        <v>117</v>
      </c>
      <c r="D117" s="42" t="s">
        <v>122</v>
      </c>
      <c r="E117" s="47"/>
      <c r="F117" s="49" t="str">
        <f ca="1">IFERROR(__xludf.DUMMYFUNCTION("QUERY('Volunteer Survey'!B247)"),"Hwaida Hannoush")</f>
        <v>Hwaida Hannoush</v>
      </c>
      <c r="G117" s="42" t="str">
        <f ca="1">IFERROR(__xludf.DUMMYFUNCTION("QUERY('Volunteer Survey'!H247)"),"Comprehensive")</f>
        <v>Comprehensive</v>
      </c>
      <c r="H117" s="49" t="str">
        <f ca="1">IFERROR(__xludf.DUMMYFUNCTION("QUERY('Volunteer Survey'!I247)"),"Gene-Disease Validity")</f>
        <v>Gene-Disease Validity</v>
      </c>
      <c r="I117" s="49"/>
      <c r="J117" s="49"/>
      <c r="K117" s="49"/>
      <c r="L117" s="49"/>
      <c r="M117" s="49"/>
      <c r="N117" s="49"/>
      <c r="O117" s="49"/>
      <c r="P117" s="49"/>
      <c r="Q117" s="49"/>
      <c r="R117" s="49"/>
      <c r="S117" s="49"/>
      <c r="T117" s="49"/>
      <c r="U117" s="49"/>
    </row>
    <row r="118" spans="1:21" ht="42">
      <c r="A118" s="42" t="s">
        <v>160</v>
      </c>
      <c r="B118" s="59">
        <v>43719</v>
      </c>
      <c r="C118" s="42" t="s">
        <v>117</v>
      </c>
      <c r="D118" s="42" t="s">
        <v>136</v>
      </c>
      <c r="E118" s="45" t="s">
        <v>319</v>
      </c>
      <c r="F118" s="49" t="str">
        <f ca="1">IFERROR(__xludf.DUMMYFUNCTION("QUERY('Volunteer Survey'!B256)"),"Panieh Terraf")</f>
        <v>Panieh Terraf</v>
      </c>
      <c r="G118" s="42" t="str">
        <f ca="1">IFERROR(__xludf.DUMMYFUNCTION("QUERY('Volunteer Survey'!H256)"),"Comprehensive")</f>
        <v>Comprehensive</v>
      </c>
      <c r="H118" s="49" t="str">
        <f ca="1">IFERROR(__xludf.DUMMYFUNCTION("QUERY('Volunteer Survey'!I256)"),"Somatic Cancer")</f>
        <v>Somatic Cancer</v>
      </c>
      <c r="I118" s="49"/>
      <c r="J118" s="49"/>
      <c r="K118" s="49"/>
      <c r="L118" s="49"/>
      <c r="M118" s="49"/>
      <c r="N118" s="49"/>
      <c r="O118" s="49"/>
      <c r="P118" s="49"/>
      <c r="Q118" s="49"/>
      <c r="R118" s="49"/>
      <c r="S118" s="49"/>
      <c r="T118" s="49"/>
      <c r="U118" s="49"/>
    </row>
    <row r="119" spans="1:21" ht="13">
      <c r="A119" s="42" t="s">
        <v>108</v>
      </c>
      <c r="B119" s="59">
        <v>43719</v>
      </c>
      <c r="C119" s="42" t="s">
        <v>117</v>
      </c>
      <c r="D119" s="42" t="s">
        <v>136</v>
      </c>
      <c r="E119" s="45"/>
      <c r="F119" s="49" t="str">
        <f ca="1">IFERROR(__xludf.DUMMYFUNCTION("QUERY('Volunteer Survey'!B258)"),"Eric Kil")</f>
        <v>Eric Kil</v>
      </c>
      <c r="G119" s="42" t="str">
        <f ca="1">IFERROR(__xludf.DUMMYFUNCTION("QUERY('Volunteer Survey'!H258)"),"comprehensive")</f>
        <v>comprehensive</v>
      </c>
      <c r="H119" s="49" t="str">
        <f ca="1">IFERROR(__xludf.DUMMYFUNCTION("QUERY('Volunteer Survey'!I258)"),"Somatic Cancer")</f>
        <v>Somatic Cancer</v>
      </c>
      <c r="I119" s="49"/>
      <c r="J119" s="49"/>
      <c r="K119" s="49"/>
      <c r="L119" s="49"/>
      <c r="M119" s="49"/>
      <c r="N119" s="49"/>
      <c r="O119" s="49"/>
      <c r="P119" s="49"/>
      <c r="Q119" s="49"/>
      <c r="R119" s="49"/>
      <c r="S119" s="49"/>
      <c r="T119" s="49"/>
      <c r="U119" s="49"/>
    </row>
    <row r="120" spans="1:21" ht="28">
      <c r="A120" s="42" t="s">
        <v>160</v>
      </c>
      <c r="B120" s="59">
        <v>43719</v>
      </c>
      <c r="C120" s="42" t="s">
        <v>117</v>
      </c>
      <c r="D120" s="42" t="s">
        <v>136</v>
      </c>
      <c r="E120" s="45" t="s">
        <v>320</v>
      </c>
      <c r="F120" s="49" t="str">
        <f ca="1">IFERROR(__xludf.DUMMYFUNCTION("QUERY('Volunteer Survey'!B259)"),"Joseph Steward")</f>
        <v>Joseph Steward</v>
      </c>
      <c r="G120" s="42" t="str">
        <f ca="1">IFERROR(__xludf.DUMMYFUNCTION("QUERY('Volunteer Survey'!H259)"),"comprehensive")</f>
        <v>comprehensive</v>
      </c>
      <c r="H120" s="49" t="str">
        <f ca="1">IFERROR(__xludf.DUMMYFUNCTION("QUERY('Volunteer Survey'!I259)"),"Somatic Cancer")</f>
        <v>Somatic Cancer</v>
      </c>
      <c r="I120" s="49"/>
      <c r="J120" s="49"/>
      <c r="K120" s="49"/>
      <c r="L120" s="49"/>
      <c r="M120" s="49"/>
      <c r="N120" s="49"/>
      <c r="O120" s="49"/>
      <c r="P120" s="49"/>
      <c r="Q120" s="49"/>
      <c r="R120" s="49"/>
      <c r="S120" s="49"/>
      <c r="T120" s="49"/>
      <c r="U120" s="49"/>
    </row>
    <row r="121" spans="1:21" ht="13">
      <c r="A121" s="42" t="s">
        <v>108</v>
      </c>
      <c r="B121" s="59">
        <v>43692</v>
      </c>
      <c r="C121" s="42" t="s">
        <v>117</v>
      </c>
      <c r="D121" s="42" t="s">
        <v>122</v>
      </c>
      <c r="E121" s="47"/>
      <c r="F121" s="49" t="str">
        <f ca="1">IFERROR(__xludf.DUMMYFUNCTION("QUERY('Volunteer Survey'!B266)"),"SAILATHA RAVI")</f>
        <v>SAILATHA RAVI</v>
      </c>
      <c r="G121" s="42" t="str">
        <f ca="1">IFERROR(__xludf.DUMMYFUNCTION("QUERY('Volunteer Survey'!H266)"),"Comprehensive")</f>
        <v>Comprehensive</v>
      </c>
      <c r="H121" s="49" t="str">
        <f ca="1">IFERROR(__xludf.DUMMYFUNCTION("QUERY('Volunteer Survey'!I266)"),"Gene-Disease Validity")</f>
        <v>Gene-Disease Validity</v>
      </c>
      <c r="I121" s="49"/>
      <c r="J121" s="49"/>
      <c r="K121" s="49"/>
      <c r="L121" s="49"/>
      <c r="M121" s="49"/>
      <c r="N121" s="49"/>
      <c r="O121" s="49"/>
      <c r="P121" s="49"/>
      <c r="Q121" s="49"/>
      <c r="R121" s="49"/>
      <c r="S121" s="49"/>
      <c r="T121" s="49"/>
      <c r="U121" s="49"/>
    </row>
    <row r="122" spans="1:21" ht="28">
      <c r="A122" s="42" t="s">
        <v>160</v>
      </c>
      <c r="B122" s="50">
        <v>43719</v>
      </c>
      <c r="C122" s="42" t="s">
        <v>117</v>
      </c>
      <c r="D122" s="42" t="s">
        <v>136</v>
      </c>
      <c r="E122" s="45" t="s">
        <v>321</v>
      </c>
      <c r="F122" s="49" t="str">
        <f ca="1">IFERROR(__xludf.DUMMYFUNCTION("QUERY('Volunteer Survey'!B275)"),"FENGLI ZHANG")</f>
        <v>FENGLI ZHANG</v>
      </c>
      <c r="G122" s="42" t="str">
        <f ca="1">IFERROR(__xludf.DUMMYFUNCTION("QUERY('Volunteer Survey'!H275)"),"Comprehensive")</f>
        <v>Comprehensive</v>
      </c>
      <c r="H122" s="49" t="str">
        <f ca="1">IFERROR(__xludf.DUMMYFUNCTION("QUERY('Volunteer Survey'!I275)"),"Somatic Cancer")</f>
        <v>Somatic Cancer</v>
      </c>
      <c r="I122" s="49"/>
      <c r="J122" s="49"/>
      <c r="K122" s="49"/>
      <c r="L122" s="49"/>
      <c r="M122" s="49"/>
      <c r="N122" s="49"/>
      <c r="O122" s="49"/>
      <c r="P122" s="49"/>
      <c r="Q122" s="49"/>
      <c r="R122" s="49"/>
      <c r="S122" s="49"/>
      <c r="T122" s="49"/>
      <c r="U122" s="49"/>
    </row>
    <row r="123" spans="1:21" ht="13">
      <c r="A123" s="42" t="s">
        <v>108</v>
      </c>
      <c r="B123" s="50">
        <v>43626</v>
      </c>
      <c r="C123" s="42" t="s">
        <v>117</v>
      </c>
      <c r="D123" s="42" t="s">
        <v>251</v>
      </c>
      <c r="E123" s="47"/>
      <c r="F123" s="49" t="str">
        <f ca="1">IFERROR(__xludf.DUMMYFUNCTION("QUERY('Volunteer Survey'!B292)"),"Tomohiko Ai")</f>
        <v>Tomohiko Ai</v>
      </c>
      <c r="G123" s="42" t="str">
        <f ca="1">IFERROR(__xludf.DUMMYFUNCTION("QUERY('Volunteer Survey'!H292)"),"Comprehensive")</f>
        <v>Comprehensive</v>
      </c>
      <c r="H123" s="49" t="str">
        <f ca="1">IFERROR(__xludf.DUMMYFUNCTION("QUERY('Volunteer Survey'!I292)"),"Variant Pathogenicity")</f>
        <v>Variant Pathogenicity</v>
      </c>
      <c r="I123" s="49"/>
      <c r="J123" s="49"/>
      <c r="K123" s="49"/>
      <c r="L123" s="49"/>
      <c r="M123" s="49"/>
      <c r="N123" s="49"/>
      <c r="O123" s="49"/>
      <c r="P123" s="49"/>
      <c r="Q123" s="49"/>
      <c r="R123" s="49"/>
      <c r="S123" s="49"/>
      <c r="T123" s="49"/>
      <c r="U123" s="49"/>
    </row>
    <row r="124" spans="1:21" ht="13">
      <c r="A124" s="42" t="s">
        <v>108</v>
      </c>
      <c r="B124" s="50">
        <v>42124</v>
      </c>
      <c r="C124" s="42" t="s">
        <v>117</v>
      </c>
      <c r="D124" s="42" t="s">
        <v>122</v>
      </c>
      <c r="E124" s="47"/>
      <c r="F124" s="49" t="str">
        <f ca="1">IFERROR(__xludf.DUMMYFUNCTION("QUERY('Volunteer Survey'!B293)"),"Coumarane Mani")</f>
        <v>Coumarane Mani</v>
      </c>
      <c r="G124" s="42" t="str">
        <f ca="1">IFERROR(__xludf.DUMMYFUNCTION("QUERY('Volunteer Survey'!H293)"),"Comprehensive")</f>
        <v>Comprehensive</v>
      </c>
      <c r="H124" s="49" t="str">
        <f ca="1">IFERROR(__xludf.DUMMYFUNCTION("QUERY('Volunteer Survey'!I293)"),"Gene-Disease Validity")</f>
        <v>Gene-Disease Validity</v>
      </c>
      <c r="I124" s="49"/>
      <c r="J124" s="49"/>
      <c r="K124" s="49"/>
      <c r="L124" s="49"/>
      <c r="M124" s="49"/>
      <c r="N124" s="49"/>
      <c r="O124" s="49"/>
      <c r="P124" s="49"/>
      <c r="Q124" s="49"/>
      <c r="R124" s="49"/>
      <c r="S124" s="49"/>
      <c r="T124" s="49"/>
      <c r="U124" s="49"/>
    </row>
    <row r="125" spans="1:21" ht="13">
      <c r="A125" s="42" t="s">
        <v>108</v>
      </c>
      <c r="B125" s="50">
        <v>43605</v>
      </c>
      <c r="C125" s="42" t="s">
        <v>117</v>
      </c>
      <c r="D125" s="42" t="s">
        <v>251</v>
      </c>
      <c r="E125" s="47"/>
      <c r="F125" s="49" t="str">
        <f ca="1">IFERROR(__xludf.DUMMYFUNCTION("QUERY('Volunteer Survey'!B294)"),"Coumarane Mani")</f>
        <v>Coumarane Mani</v>
      </c>
      <c r="G125" s="42" t="str">
        <f ca="1">IFERROR(__xludf.DUMMYFUNCTION("QUERY('Volunteer Survey'!H294)"),"Comprehensive")</f>
        <v>Comprehensive</v>
      </c>
      <c r="H125" s="49" t="str">
        <f ca="1">IFERROR(__xludf.DUMMYFUNCTION("QUERY('Volunteer Survey'!I294)"),"Variant Pathogenicity")</f>
        <v>Variant Pathogenicity</v>
      </c>
      <c r="I125" s="49"/>
      <c r="J125" s="49"/>
      <c r="K125" s="49"/>
      <c r="L125" s="49"/>
      <c r="M125" s="49"/>
      <c r="N125" s="49"/>
      <c r="O125" s="49"/>
      <c r="P125" s="49"/>
      <c r="Q125" s="49"/>
      <c r="R125" s="49"/>
      <c r="S125" s="49"/>
      <c r="T125" s="49"/>
      <c r="U125" s="49"/>
    </row>
    <row r="126" spans="1:21" ht="13">
      <c r="A126" s="42" t="s">
        <v>108</v>
      </c>
      <c r="B126" s="50">
        <v>47258</v>
      </c>
      <c r="C126" s="42" t="s">
        <v>117</v>
      </c>
      <c r="D126" s="42" t="s">
        <v>251</v>
      </c>
      <c r="E126" s="47"/>
      <c r="F126" s="49" t="str">
        <f ca="1">IFERROR(__xludf.DUMMYFUNCTION("QUERY('Volunteer Survey'!B295)"),"Diogo Ventura Lovato")</f>
        <v>Diogo Ventura Lovato</v>
      </c>
      <c r="G126" s="42" t="str">
        <f ca="1">IFERROR(__xludf.DUMMYFUNCTION("QUERY('Volunteer Survey'!H295)"),"Comprehensive")</f>
        <v>Comprehensive</v>
      </c>
      <c r="H126" s="49" t="str">
        <f ca="1">IFERROR(__xludf.DUMMYFUNCTION("QUERY('Volunteer Survey'!I295)"),"Variant Pathogenicity")</f>
        <v>Variant Pathogenicity</v>
      </c>
      <c r="I126" s="49"/>
      <c r="J126" s="49"/>
      <c r="K126" s="49"/>
      <c r="L126" s="49"/>
      <c r="M126" s="49"/>
      <c r="N126" s="49"/>
      <c r="O126" s="49"/>
      <c r="P126" s="49"/>
      <c r="Q126" s="49"/>
      <c r="R126" s="49"/>
      <c r="S126" s="49"/>
      <c r="T126" s="49"/>
      <c r="U126" s="49"/>
    </row>
    <row r="127" spans="1:21" ht="13">
      <c r="A127" s="42" t="s">
        <v>108</v>
      </c>
      <c r="B127" s="50">
        <v>43626</v>
      </c>
      <c r="C127" s="42" t="s">
        <v>117</v>
      </c>
      <c r="D127" s="42" t="s">
        <v>251</v>
      </c>
      <c r="E127" s="47"/>
      <c r="F127" s="49" t="str">
        <f ca="1">IFERROR(__xludf.DUMMYFUNCTION("QUERY('Volunteer Survey'!B296)"),"Elaine Spector")</f>
        <v>Elaine Spector</v>
      </c>
      <c r="G127" s="42" t="str">
        <f ca="1">IFERROR(__xludf.DUMMYFUNCTION("QUERY('Volunteer Survey'!H296)"),"Comprehensive")</f>
        <v>Comprehensive</v>
      </c>
      <c r="H127" s="49" t="str">
        <f ca="1">IFERROR(__xludf.DUMMYFUNCTION("QUERY('Volunteer Survey'!I296)"),"Variant Pathogenicity")</f>
        <v>Variant Pathogenicity</v>
      </c>
      <c r="I127" s="49"/>
      <c r="J127" s="49"/>
      <c r="K127" s="49"/>
      <c r="L127" s="49"/>
      <c r="M127" s="49"/>
      <c r="N127" s="49"/>
      <c r="O127" s="49"/>
      <c r="P127" s="49"/>
      <c r="Q127" s="49"/>
      <c r="R127" s="49"/>
      <c r="S127" s="49"/>
      <c r="T127" s="49"/>
      <c r="U127" s="49"/>
    </row>
    <row r="128" spans="1:21" ht="14">
      <c r="A128" s="42" t="s">
        <v>108</v>
      </c>
      <c r="B128" s="50">
        <v>43608</v>
      </c>
      <c r="C128" s="42" t="s">
        <v>117</v>
      </c>
      <c r="D128" s="42" t="s">
        <v>251</v>
      </c>
      <c r="E128" s="45" t="s">
        <v>305</v>
      </c>
      <c r="F128" s="49" t="str">
        <f ca="1">IFERROR(__xludf.DUMMYFUNCTION("QUERY('Volunteer Survey'!B297)"),"Laura Fuqua")</f>
        <v>Laura Fuqua</v>
      </c>
      <c r="G128" s="42" t="str">
        <f ca="1">IFERROR(__xludf.DUMMYFUNCTION("QUERY('Volunteer Survey'!H297)"),"Comprehensive")</f>
        <v>Comprehensive</v>
      </c>
      <c r="H128" s="49" t="str">
        <f ca="1">IFERROR(__xludf.DUMMYFUNCTION("QUERY('Volunteer Survey'!I297)"),"Variant Pathogenicity")</f>
        <v>Variant Pathogenicity</v>
      </c>
      <c r="I128" s="49"/>
      <c r="J128" s="49"/>
      <c r="K128" s="49"/>
      <c r="L128" s="49"/>
      <c r="M128" s="49"/>
      <c r="N128" s="49"/>
      <c r="O128" s="49"/>
      <c r="P128" s="49"/>
      <c r="Q128" s="49"/>
      <c r="R128" s="49"/>
      <c r="S128" s="49"/>
      <c r="T128" s="49"/>
      <c r="U128" s="49"/>
    </row>
    <row r="129" spans="1:21" ht="13">
      <c r="A129" s="42" t="s">
        <v>322</v>
      </c>
      <c r="B129" s="49"/>
      <c r="C129" s="49"/>
      <c r="D129" s="42" t="s">
        <v>313</v>
      </c>
      <c r="E129" s="47"/>
      <c r="F129" s="49" t="str">
        <f ca="1">IFERROR(__xludf.DUMMYFUNCTION("QUERY('Volunteer Survey'!B405)"),"")</f>
        <v/>
      </c>
      <c r="G129" s="42" t="str">
        <f ca="1">IFERROR(__xludf.DUMMYFUNCTION("QUERY('Volunteer Survey'!H405)"),"")</f>
        <v/>
      </c>
      <c r="H129" s="49" t="str">
        <f ca="1">IFERROR(__xludf.DUMMYFUNCTION("QUERY('Volunteer Survey'!I405)"),"")</f>
        <v/>
      </c>
      <c r="I129" s="49"/>
      <c r="J129" s="49"/>
      <c r="K129" s="49"/>
      <c r="L129" s="49"/>
      <c r="M129" s="49"/>
      <c r="N129" s="49"/>
      <c r="O129" s="49"/>
      <c r="P129" s="49"/>
      <c r="Q129" s="49"/>
      <c r="R129" s="49"/>
      <c r="S129" s="49"/>
      <c r="T129" s="49"/>
      <c r="U129" s="49"/>
    </row>
    <row r="130" spans="1:21" ht="13">
      <c r="A130" s="42" t="s">
        <v>322</v>
      </c>
      <c r="B130" s="49"/>
      <c r="C130" s="49"/>
      <c r="D130" s="42" t="s">
        <v>313</v>
      </c>
      <c r="E130" s="47"/>
      <c r="F130" s="49" t="str">
        <f ca="1">IFERROR(__xludf.DUMMYFUNCTION("QUERY('Volunteer Survey'!B406)"),"")</f>
        <v/>
      </c>
      <c r="G130" s="42" t="str">
        <f ca="1">IFERROR(__xludf.DUMMYFUNCTION("QUERY('Volunteer Survey'!H406)"),"")</f>
        <v/>
      </c>
      <c r="H130" s="49" t="str">
        <f ca="1">IFERROR(__xludf.DUMMYFUNCTION("QUERY('Volunteer Survey'!I406)"),"")</f>
        <v/>
      </c>
      <c r="I130" s="49"/>
      <c r="J130" s="49"/>
      <c r="K130" s="49"/>
      <c r="L130" s="49"/>
      <c r="M130" s="49"/>
      <c r="N130" s="49"/>
      <c r="O130" s="49"/>
      <c r="P130" s="49"/>
      <c r="Q130" s="49"/>
      <c r="R130" s="49"/>
      <c r="S130" s="49"/>
      <c r="T130" s="49"/>
      <c r="U130" s="49"/>
    </row>
    <row r="131" spans="1:21" ht="13">
      <c r="A131" s="42" t="s">
        <v>322</v>
      </c>
      <c r="B131" s="49"/>
      <c r="C131" s="49"/>
      <c r="D131" s="42" t="s">
        <v>313</v>
      </c>
      <c r="E131" s="47"/>
      <c r="F131" s="49" t="str">
        <f ca="1">IFERROR(__xludf.DUMMYFUNCTION("QUERY('Volunteer Survey'!B407)"),"")</f>
        <v/>
      </c>
      <c r="G131" s="42" t="str">
        <f ca="1">IFERROR(__xludf.DUMMYFUNCTION("QUERY('Volunteer Survey'!H407)"),"")</f>
        <v/>
      </c>
      <c r="H131" s="49" t="str">
        <f ca="1">IFERROR(__xludf.DUMMYFUNCTION("QUERY('Volunteer Survey'!I728)"),"")</f>
        <v/>
      </c>
      <c r="I131" s="49"/>
      <c r="J131" s="49"/>
      <c r="K131" s="49"/>
      <c r="L131" s="49"/>
      <c r="M131" s="49"/>
      <c r="N131" s="49"/>
      <c r="O131" s="49"/>
      <c r="P131" s="49"/>
      <c r="Q131" s="49"/>
      <c r="R131" s="49"/>
      <c r="S131" s="49"/>
      <c r="T131" s="49"/>
      <c r="U131" s="49"/>
    </row>
    <row r="132" spans="1:21" ht="13">
      <c r="A132" s="42" t="s">
        <v>322</v>
      </c>
      <c r="B132" s="49"/>
      <c r="C132" s="49"/>
      <c r="D132" s="42" t="s">
        <v>313</v>
      </c>
      <c r="E132" s="47"/>
      <c r="F132" s="49" t="str">
        <f ca="1">IFERROR(__xludf.DUMMYFUNCTION("QUERY('Volunteer Survey'!B408)"),"")</f>
        <v/>
      </c>
      <c r="G132" s="42" t="str">
        <f ca="1">IFERROR(__xludf.DUMMYFUNCTION("QUERY('Volunteer Survey'!H408)"),"")</f>
        <v/>
      </c>
      <c r="H132" s="49" t="str">
        <f ca="1">IFERROR(__xludf.DUMMYFUNCTION("QUERY('Volunteer Survey'!I729)"),"")</f>
        <v/>
      </c>
      <c r="I132" s="49"/>
      <c r="J132" s="49"/>
      <c r="K132" s="49"/>
      <c r="L132" s="49"/>
      <c r="M132" s="49"/>
      <c r="N132" s="49"/>
      <c r="O132" s="49"/>
      <c r="P132" s="49"/>
      <c r="Q132" s="49"/>
      <c r="R132" s="49"/>
      <c r="S132" s="49"/>
      <c r="T132" s="49"/>
      <c r="U132" s="49"/>
    </row>
    <row r="133" spans="1:21" ht="13">
      <c r="A133" s="42" t="s">
        <v>322</v>
      </c>
      <c r="B133" s="49"/>
      <c r="C133" s="49"/>
      <c r="D133" s="42" t="s">
        <v>313</v>
      </c>
      <c r="E133" s="47"/>
      <c r="F133" s="49" t="str">
        <f ca="1">IFERROR(__xludf.DUMMYFUNCTION("QUERY('Volunteer Survey'!B409)"),"")</f>
        <v/>
      </c>
      <c r="G133" s="42" t="str">
        <f ca="1">IFERROR(__xludf.DUMMYFUNCTION("QUERY('Volunteer Survey'!H730)"),"")</f>
        <v/>
      </c>
      <c r="H133" s="49" t="str">
        <f ca="1">IFERROR(__xludf.DUMMYFUNCTION("QUERY('Volunteer Survey'!I730)"),"")</f>
        <v/>
      </c>
      <c r="I133" s="49"/>
      <c r="J133" s="49"/>
      <c r="K133" s="49"/>
      <c r="L133" s="49"/>
      <c r="M133" s="49"/>
      <c r="N133" s="49"/>
      <c r="O133" s="49"/>
      <c r="P133" s="49"/>
      <c r="Q133" s="49"/>
      <c r="R133" s="49"/>
      <c r="S133" s="49"/>
      <c r="T133" s="49"/>
      <c r="U133" s="49"/>
    </row>
    <row r="134" spans="1:21" ht="13">
      <c r="A134" s="42" t="s">
        <v>322</v>
      </c>
      <c r="B134" s="49"/>
      <c r="C134" s="49"/>
      <c r="D134" s="42" t="s">
        <v>313</v>
      </c>
      <c r="E134" s="47"/>
      <c r="F134" s="49" t="str">
        <f ca="1">IFERROR(__xludf.DUMMYFUNCTION("QUERY('Volunteer Survey'!B410)"),"")</f>
        <v/>
      </c>
      <c r="G134" s="42" t="str">
        <f ca="1">IFERROR(__xludf.DUMMYFUNCTION("QUERY('Volunteer Survey'!H731)"),"")</f>
        <v/>
      </c>
      <c r="H134" s="49" t="str">
        <f ca="1">IFERROR(__xludf.DUMMYFUNCTION("QUERY('Volunteer Survey'!I731)"),"")</f>
        <v/>
      </c>
      <c r="I134" s="49"/>
      <c r="J134" s="49"/>
      <c r="K134" s="49"/>
      <c r="L134" s="49"/>
      <c r="M134" s="49"/>
      <c r="N134" s="49"/>
      <c r="O134" s="49"/>
      <c r="P134" s="49"/>
      <c r="Q134" s="49"/>
      <c r="R134" s="49"/>
      <c r="S134" s="49"/>
      <c r="T134" s="49"/>
      <c r="U134" s="49"/>
    </row>
    <row r="135" spans="1:21" ht="13">
      <c r="A135" s="42" t="s">
        <v>322</v>
      </c>
      <c r="B135" s="49"/>
      <c r="C135" s="49"/>
      <c r="D135" s="42" t="s">
        <v>313</v>
      </c>
      <c r="E135" s="47"/>
      <c r="F135" s="49" t="str">
        <f ca="1">IFERROR(__xludf.DUMMYFUNCTION("QUERY('Volunteer Survey'!B411)"),"")</f>
        <v/>
      </c>
      <c r="G135" s="42" t="str">
        <f ca="1">IFERROR(__xludf.DUMMYFUNCTION("QUERY('Volunteer Survey'!H732)"),"")</f>
        <v/>
      </c>
      <c r="H135" s="49" t="str">
        <f ca="1">IFERROR(__xludf.DUMMYFUNCTION("QUERY('Volunteer Survey'!I732)"),"")</f>
        <v/>
      </c>
      <c r="I135" s="49"/>
      <c r="J135" s="49"/>
      <c r="K135" s="49"/>
      <c r="L135" s="49"/>
      <c r="M135" s="49"/>
      <c r="N135" s="49"/>
      <c r="O135" s="49"/>
      <c r="P135" s="49"/>
      <c r="Q135" s="49"/>
      <c r="R135" s="49"/>
      <c r="S135" s="49"/>
      <c r="T135" s="49"/>
      <c r="U135" s="49"/>
    </row>
    <row r="136" spans="1:21" ht="13">
      <c r="A136" s="42" t="s">
        <v>322</v>
      </c>
      <c r="B136" s="49"/>
      <c r="C136" s="49"/>
      <c r="D136" s="42" t="s">
        <v>313</v>
      </c>
      <c r="E136" s="47"/>
      <c r="F136" s="49" t="str">
        <f ca="1">IFERROR(__xludf.DUMMYFUNCTION("QUERY('Volunteer Survey'!B416)"),"")</f>
        <v/>
      </c>
      <c r="G136" s="42" t="str">
        <f ca="1">IFERROR(__xludf.DUMMYFUNCTION("QUERY('Volunteer Survey'!H733)"),"")</f>
        <v/>
      </c>
      <c r="H136" s="49" t="str">
        <f ca="1">IFERROR(__xludf.DUMMYFUNCTION("QUERY('Volunteer Survey'!I733)"),"")</f>
        <v/>
      </c>
      <c r="I136" s="49"/>
      <c r="J136" s="49"/>
      <c r="K136" s="49"/>
      <c r="L136" s="49"/>
      <c r="M136" s="49"/>
      <c r="N136" s="49"/>
      <c r="O136" s="49"/>
      <c r="P136" s="49"/>
      <c r="Q136" s="49"/>
      <c r="R136" s="49"/>
      <c r="S136" s="49"/>
      <c r="T136" s="49"/>
      <c r="U136" s="49"/>
    </row>
    <row r="137" spans="1:21" ht="13">
      <c r="A137" s="42" t="s">
        <v>322</v>
      </c>
      <c r="B137" s="49"/>
      <c r="C137" s="49"/>
      <c r="D137" s="42" t="s">
        <v>313</v>
      </c>
      <c r="E137" s="47"/>
      <c r="F137" s="49" t="str">
        <f ca="1">IFERROR(__xludf.DUMMYFUNCTION("QUERY('Volunteer Survey'!B734)"),"")</f>
        <v/>
      </c>
      <c r="G137" s="42" t="str">
        <f ca="1">IFERROR(__xludf.DUMMYFUNCTION("QUERY('Volunteer Survey'!H734)"),"")</f>
        <v/>
      </c>
      <c r="H137" s="49" t="str">
        <f ca="1">IFERROR(__xludf.DUMMYFUNCTION("QUERY('Volunteer Survey'!I734)"),"")</f>
        <v/>
      </c>
      <c r="I137" s="49"/>
      <c r="J137" s="49"/>
      <c r="K137" s="49"/>
      <c r="L137" s="49"/>
      <c r="M137" s="49"/>
      <c r="N137" s="49"/>
      <c r="O137" s="49"/>
      <c r="P137" s="49"/>
      <c r="Q137" s="49"/>
      <c r="R137" s="49"/>
      <c r="S137" s="49"/>
      <c r="T137" s="49"/>
      <c r="U137" s="49"/>
    </row>
    <row r="138" spans="1:21" ht="13">
      <c r="A138" s="42" t="s">
        <v>322</v>
      </c>
      <c r="B138" s="49"/>
      <c r="C138" s="49"/>
      <c r="D138" s="42" t="s">
        <v>313</v>
      </c>
      <c r="E138" s="47"/>
      <c r="F138" s="49" t="str">
        <f ca="1">IFERROR(__xludf.DUMMYFUNCTION("QUERY('Volunteer Survey'!B735)"),"")</f>
        <v/>
      </c>
      <c r="G138" s="42" t="str">
        <f ca="1">IFERROR(__xludf.DUMMYFUNCTION("QUERY('Volunteer Survey'!H735)"),"")</f>
        <v/>
      </c>
      <c r="H138" s="49" t="str">
        <f ca="1">IFERROR(__xludf.DUMMYFUNCTION("QUERY('Volunteer Survey'!I735)"),"")</f>
        <v/>
      </c>
      <c r="I138" s="49"/>
      <c r="J138" s="49"/>
      <c r="K138" s="49"/>
      <c r="L138" s="49"/>
      <c r="M138" s="49"/>
      <c r="N138" s="49"/>
      <c r="O138" s="49"/>
      <c r="P138" s="49"/>
      <c r="Q138" s="49"/>
      <c r="R138" s="49"/>
      <c r="S138" s="49"/>
      <c r="T138" s="49"/>
      <c r="U138" s="49"/>
    </row>
    <row r="139" spans="1:21" ht="13">
      <c r="A139" s="42" t="s">
        <v>322</v>
      </c>
      <c r="B139" s="49"/>
      <c r="C139" s="49"/>
      <c r="D139" s="42" t="s">
        <v>313</v>
      </c>
      <c r="E139" s="47"/>
      <c r="F139" s="49" t="str">
        <f ca="1">IFERROR(__xludf.DUMMYFUNCTION("QUERY('Volunteer Survey'!B736)"),"")</f>
        <v/>
      </c>
      <c r="G139" s="42" t="str">
        <f ca="1">IFERROR(__xludf.DUMMYFUNCTION("QUERY('Volunteer Survey'!H736)"),"")</f>
        <v/>
      </c>
      <c r="H139" s="49" t="str">
        <f ca="1">IFERROR(__xludf.DUMMYFUNCTION("QUERY('Volunteer Survey'!I736)"),"")</f>
        <v/>
      </c>
      <c r="I139" s="49"/>
      <c r="J139" s="49"/>
      <c r="K139" s="49"/>
      <c r="L139" s="49"/>
      <c r="M139" s="49"/>
      <c r="N139" s="49"/>
      <c r="O139" s="49"/>
      <c r="P139" s="49"/>
      <c r="Q139" s="49"/>
      <c r="R139" s="49"/>
      <c r="S139" s="49"/>
      <c r="T139" s="49"/>
      <c r="U139" s="49"/>
    </row>
    <row r="140" spans="1:21" ht="13">
      <c r="A140" s="42" t="s">
        <v>322</v>
      </c>
      <c r="B140" s="49"/>
      <c r="C140" s="49"/>
      <c r="D140" s="42" t="s">
        <v>313</v>
      </c>
      <c r="E140" s="47"/>
      <c r="F140" s="49" t="str">
        <f ca="1">IFERROR(__xludf.DUMMYFUNCTION("QUERY('Volunteer Survey'!B737)"),"")</f>
        <v/>
      </c>
      <c r="G140" s="42" t="str">
        <f ca="1">IFERROR(__xludf.DUMMYFUNCTION("QUERY('Volunteer Survey'!H737)"),"")</f>
        <v/>
      </c>
      <c r="H140" s="49" t="str">
        <f ca="1">IFERROR(__xludf.DUMMYFUNCTION("QUERY('Volunteer Survey'!I737)"),"")</f>
        <v/>
      </c>
      <c r="I140" s="49"/>
      <c r="J140" s="49"/>
      <c r="K140" s="49"/>
      <c r="L140" s="49"/>
      <c r="M140" s="49"/>
      <c r="N140" s="49"/>
      <c r="O140" s="49"/>
      <c r="P140" s="49"/>
      <c r="Q140" s="49"/>
      <c r="R140" s="49"/>
      <c r="S140" s="49"/>
      <c r="T140" s="49"/>
      <c r="U140" s="49"/>
    </row>
    <row r="141" spans="1:21" ht="13">
      <c r="A141" s="42" t="s">
        <v>322</v>
      </c>
      <c r="B141" s="49"/>
      <c r="C141" s="49"/>
      <c r="D141" s="42" t="s">
        <v>313</v>
      </c>
      <c r="E141" s="47"/>
      <c r="F141" s="49" t="str">
        <f ca="1">IFERROR(__xludf.DUMMYFUNCTION("QUERY('Volunteer Survey'!B738)"),"")</f>
        <v/>
      </c>
      <c r="G141" s="42" t="str">
        <f ca="1">IFERROR(__xludf.DUMMYFUNCTION("QUERY('Volunteer Survey'!H738)"),"")</f>
        <v/>
      </c>
      <c r="H141" s="49" t="str">
        <f ca="1">IFERROR(__xludf.DUMMYFUNCTION("QUERY('Volunteer Survey'!I738)"),"")</f>
        <v/>
      </c>
      <c r="I141" s="49"/>
      <c r="J141" s="49"/>
      <c r="K141" s="49"/>
      <c r="L141" s="49"/>
      <c r="M141" s="49"/>
      <c r="N141" s="49"/>
      <c r="O141" s="49"/>
      <c r="P141" s="49"/>
      <c r="Q141" s="49"/>
      <c r="R141" s="49"/>
      <c r="S141" s="49"/>
      <c r="T141" s="49"/>
      <c r="U141" s="49"/>
    </row>
    <row r="142" spans="1:21" ht="13">
      <c r="A142" s="42" t="s">
        <v>322</v>
      </c>
      <c r="B142" s="49"/>
      <c r="C142" s="49"/>
      <c r="D142" s="42" t="s">
        <v>313</v>
      </c>
      <c r="E142" s="47"/>
      <c r="F142" s="49" t="str">
        <f ca="1">IFERROR(__xludf.DUMMYFUNCTION("QUERY('Volunteer Survey'!B739)"),"")</f>
        <v/>
      </c>
      <c r="G142" s="42" t="str">
        <f ca="1">IFERROR(__xludf.DUMMYFUNCTION("QUERY('Volunteer Survey'!H739)"),"")</f>
        <v/>
      </c>
      <c r="H142" s="49" t="str">
        <f ca="1">IFERROR(__xludf.DUMMYFUNCTION("QUERY('Volunteer Survey'!I739)"),"")</f>
        <v/>
      </c>
      <c r="I142" s="49"/>
      <c r="J142" s="49"/>
      <c r="K142" s="49"/>
      <c r="L142" s="49"/>
      <c r="M142" s="49"/>
      <c r="N142" s="49"/>
      <c r="O142" s="49"/>
      <c r="P142" s="49"/>
      <c r="Q142" s="49"/>
      <c r="R142" s="49"/>
      <c r="S142" s="49"/>
      <c r="T142" s="49"/>
      <c r="U142" s="49"/>
    </row>
    <row r="143" spans="1:21" ht="13">
      <c r="A143" s="42" t="s">
        <v>322</v>
      </c>
      <c r="B143" s="49"/>
      <c r="C143" s="49"/>
      <c r="D143" s="42" t="s">
        <v>313</v>
      </c>
      <c r="E143" s="47"/>
      <c r="F143" s="49" t="str">
        <f ca="1">IFERROR(__xludf.DUMMYFUNCTION("QUERY('Volunteer Survey'!B740)"),"")</f>
        <v/>
      </c>
      <c r="G143" s="42" t="str">
        <f ca="1">IFERROR(__xludf.DUMMYFUNCTION("QUERY('Volunteer Survey'!H740)"),"")</f>
        <v/>
      </c>
      <c r="H143" s="49" t="str">
        <f ca="1">IFERROR(__xludf.DUMMYFUNCTION("QUERY('Volunteer Survey'!I740)"),"")</f>
        <v/>
      </c>
      <c r="I143" s="49"/>
      <c r="J143" s="49"/>
      <c r="K143" s="49"/>
      <c r="L143" s="49"/>
      <c r="M143" s="49"/>
      <c r="N143" s="49"/>
      <c r="O143" s="49"/>
      <c r="P143" s="49"/>
      <c r="Q143" s="49"/>
      <c r="R143" s="49"/>
      <c r="S143" s="49"/>
      <c r="T143" s="49"/>
      <c r="U143" s="49"/>
    </row>
    <row r="144" spans="1:21" ht="13">
      <c r="A144" s="42" t="s">
        <v>322</v>
      </c>
      <c r="B144" s="49"/>
      <c r="C144" s="49"/>
      <c r="D144" s="42" t="s">
        <v>313</v>
      </c>
      <c r="E144" s="47"/>
      <c r="F144" s="49" t="str">
        <f ca="1">IFERROR(__xludf.DUMMYFUNCTION("QUERY('Volunteer Survey'!B741)"),"")</f>
        <v/>
      </c>
      <c r="G144" s="42" t="str">
        <f ca="1">IFERROR(__xludf.DUMMYFUNCTION("QUERY('Volunteer Survey'!H741)"),"")</f>
        <v/>
      </c>
      <c r="H144" s="49" t="str">
        <f ca="1">IFERROR(__xludf.DUMMYFUNCTION("QUERY('Volunteer Survey'!I741)"),"")</f>
        <v/>
      </c>
      <c r="I144" s="49"/>
      <c r="J144" s="49"/>
      <c r="K144" s="49"/>
      <c r="L144" s="49"/>
      <c r="M144" s="49"/>
      <c r="N144" s="49"/>
      <c r="O144" s="49"/>
      <c r="P144" s="49"/>
      <c r="Q144" s="49"/>
      <c r="R144" s="49"/>
      <c r="S144" s="49"/>
      <c r="T144" s="49"/>
      <c r="U144" s="49"/>
    </row>
    <row r="145" spans="1:21" ht="13">
      <c r="A145" s="42" t="s">
        <v>322</v>
      </c>
      <c r="B145" s="49"/>
      <c r="C145" s="49"/>
      <c r="D145" s="42" t="s">
        <v>313</v>
      </c>
      <c r="E145" s="47"/>
      <c r="F145" s="49" t="str">
        <f ca="1">IFERROR(__xludf.DUMMYFUNCTION("QUERY('Volunteer Survey'!B742)"),"")</f>
        <v/>
      </c>
      <c r="G145" s="42" t="str">
        <f ca="1">IFERROR(__xludf.DUMMYFUNCTION("QUERY('Volunteer Survey'!H742)"),"")</f>
        <v/>
      </c>
      <c r="H145" s="49" t="str">
        <f ca="1">IFERROR(__xludf.DUMMYFUNCTION("QUERY('Volunteer Survey'!I742)"),"")</f>
        <v/>
      </c>
      <c r="I145" s="49"/>
      <c r="J145" s="49"/>
      <c r="K145" s="49"/>
      <c r="L145" s="49"/>
      <c r="M145" s="49"/>
      <c r="N145" s="49"/>
      <c r="O145" s="49"/>
      <c r="P145" s="49"/>
      <c r="Q145" s="49"/>
      <c r="R145" s="49"/>
      <c r="S145" s="49"/>
      <c r="T145" s="49"/>
      <c r="U145" s="49"/>
    </row>
    <row r="146" spans="1:21" ht="13">
      <c r="A146" s="42" t="s">
        <v>322</v>
      </c>
      <c r="B146" s="49"/>
      <c r="C146" s="49"/>
      <c r="D146" s="42" t="s">
        <v>313</v>
      </c>
      <c r="E146" s="47"/>
      <c r="F146" s="49" t="str">
        <f ca="1">IFERROR(__xludf.DUMMYFUNCTION("QUERY('Volunteer Survey'!B743)"),"")</f>
        <v/>
      </c>
      <c r="G146" s="42" t="str">
        <f ca="1">IFERROR(__xludf.DUMMYFUNCTION("QUERY('Volunteer Survey'!H743)"),"")</f>
        <v/>
      </c>
      <c r="H146" s="49" t="str">
        <f ca="1">IFERROR(__xludf.DUMMYFUNCTION("QUERY('Volunteer Survey'!I743)"),"")</f>
        <v/>
      </c>
      <c r="I146" s="49"/>
      <c r="J146" s="49"/>
      <c r="K146" s="49"/>
      <c r="L146" s="49"/>
      <c r="M146" s="49"/>
      <c r="N146" s="49"/>
      <c r="O146" s="49"/>
      <c r="P146" s="49"/>
      <c r="Q146" s="49"/>
      <c r="R146" s="49"/>
      <c r="S146" s="49"/>
      <c r="T146" s="49"/>
      <c r="U146" s="49"/>
    </row>
    <row r="147" spans="1:21" ht="13">
      <c r="A147" s="42" t="s">
        <v>322</v>
      </c>
      <c r="B147" s="49"/>
      <c r="C147" s="49"/>
      <c r="D147" s="42" t="s">
        <v>313</v>
      </c>
      <c r="E147" s="47"/>
      <c r="F147" s="49" t="str">
        <f ca="1">IFERROR(__xludf.DUMMYFUNCTION("QUERY('Volunteer Survey'!B744)"),"")</f>
        <v/>
      </c>
      <c r="G147" s="42" t="str">
        <f ca="1">IFERROR(__xludf.DUMMYFUNCTION("QUERY('Volunteer Survey'!H744)"),"")</f>
        <v/>
      </c>
      <c r="H147" s="49" t="str">
        <f ca="1">IFERROR(__xludf.DUMMYFUNCTION("QUERY('Volunteer Survey'!I744)"),"")</f>
        <v/>
      </c>
      <c r="I147" s="49"/>
      <c r="J147" s="49"/>
      <c r="K147" s="49"/>
      <c r="L147" s="49"/>
      <c r="M147" s="49"/>
      <c r="N147" s="49"/>
      <c r="O147" s="49"/>
      <c r="P147" s="49"/>
      <c r="Q147" s="49"/>
      <c r="R147" s="49"/>
      <c r="S147" s="49"/>
      <c r="T147" s="49"/>
      <c r="U147" s="49"/>
    </row>
    <row r="148" spans="1:21" ht="13">
      <c r="A148" s="42" t="s">
        <v>322</v>
      </c>
      <c r="B148" s="49"/>
      <c r="C148" s="49"/>
      <c r="D148" s="42" t="s">
        <v>313</v>
      </c>
      <c r="E148" s="47"/>
      <c r="F148" s="49" t="str">
        <f ca="1">IFERROR(__xludf.DUMMYFUNCTION("QUERY('Volunteer Survey'!B745)"),"")</f>
        <v/>
      </c>
      <c r="G148" s="42" t="str">
        <f ca="1">IFERROR(__xludf.DUMMYFUNCTION("QUERY('Volunteer Survey'!H745)"),"")</f>
        <v/>
      </c>
      <c r="H148" s="49" t="str">
        <f ca="1">IFERROR(__xludf.DUMMYFUNCTION("QUERY('Volunteer Survey'!I745)"),"")</f>
        <v/>
      </c>
      <c r="I148" s="49"/>
      <c r="J148" s="49"/>
      <c r="K148" s="49"/>
      <c r="L148" s="49"/>
      <c r="M148" s="49"/>
      <c r="N148" s="49"/>
      <c r="O148" s="49"/>
      <c r="P148" s="49"/>
      <c r="Q148" s="49"/>
      <c r="R148" s="49"/>
      <c r="S148" s="49"/>
      <c r="T148" s="49"/>
      <c r="U148" s="49"/>
    </row>
    <row r="149" spans="1:21" ht="13">
      <c r="A149" s="42" t="s">
        <v>322</v>
      </c>
      <c r="B149" s="49"/>
      <c r="C149" s="49"/>
      <c r="D149" s="42" t="s">
        <v>313</v>
      </c>
      <c r="E149" s="47"/>
      <c r="F149" s="49" t="str">
        <f ca="1">IFERROR(__xludf.DUMMYFUNCTION("QUERY('Volunteer Survey'!B746)"),"")</f>
        <v/>
      </c>
      <c r="G149" s="42" t="str">
        <f ca="1">IFERROR(__xludf.DUMMYFUNCTION("QUERY('Volunteer Survey'!H746)"),"")</f>
        <v/>
      </c>
      <c r="H149" s="49" t="str">
        <f ca="1">IFERROR(__xludf.DUMMYFUNCTION("QUERY('Volunteer Survey'!I746)"),"")</f>
        <v/>
      </c>
      <c r="I149" s="49"/>
      <c r="J149" s="49"/>
      <c r="K149" s="49"/>
      <c r="L149" s="49"/>
      <c r="M149" s="49"/>
      <c r="N149" s="49"/>
      <c r="O149" s="49"/>
      <c r="P149" s="49"/>
      <c r="Q149" s="49"/>
      <c r="R149" s="49"/>
      <c r="S149" s="49"/>
      <c r="T149" s="49"/>
      <c r="U149" s="49"/>
    </row>
    <row r="150" spans="1:21" ht="13">
      <c r="A150" s="42" t="s">
        <v>322</v>
      </c>
      <c r="B150" s="49"/>
      <c r="C150" s="49"/>
      <c r="D150" s="42" t="s">
        <v>313</v>
      </c>
      <c r="E150" s="47"/>
      <c r="F150" s="49" t="str">
        <f ca="1">IFERROR(__xludf.DUMMYFUNCTION("QUERY('Volunteer Survey'!B747)"),"")</f>
        <v/>
      </c>
      <c r="G150" s="42" t="str">
        <f ca="1">IFERROR(__xludf.DUMMYFUNCTION("QUERY('Volunteer Survey'!H747)"),"")</f>
        <v/>
      </c>
      <c r="H150" s="49" t="str">
        <f ca="1">IFERROR(__xludf.DUMMYFUNCTION("QUERY('Volunteer Survey'!I747)"),"")</f>
        <v/>
      </c>
      <c r="I150" s="49"/>
      <c r="J150" s="49"/>
      <c r="K150" s="49"/>
      <c r="L150" s="49"/>
      <c r="M150" s="49"/>
      <c r="N150" s="49"/>
      <c r="O150" s="49"/>
      <c r="P150" s="49"/>
      <c r="Q150" s="49"/>
      <c r="R150" s="49"/>
      <c r="S150" s="49"/>
      <c r="T150" s="49"/>
      <c r="U150" s="49"/>
    </row>
    <row r="151" spans="1:21" ht="13">
      <c r="A151" s="42" t="s">
        <v>322</v>
      </c>
      <c r="B151" s="49"/>
      <c r="C151" s="49"/>
      <c r="D151" s="42" t="s">
        <v>313</v>
      </c>
      <c r="E151" s="47"/>
      <c r="F151" s="49" t="str">
        <f ca="1">IFERROR(__xludf.DUMMYFUNCTION("QUERY('Volunteer Survey'!B748)"),"")</f>
        <v/>
      </c>
      <c r="G151" s="42" t="str">
        <f ca="1">IFERROR(__xludf.DUMMYFUNCTION("QUERY('Volunteer Survey'!H748)"),"")</f>
        <v/>
      </c>
      <c r="H151" s="49" t="str">
        <f ca="1">IFERROR(__xludf.DUMMYFUNCTION("QUERY('Volunteer Survey'!I748)"),"")</f>
        <v/>
      </c>
      <c r="I151" s="49"/>
      <c r="J151" s="49"/>
      <c r="K151" s="49"/>
      <c r="L151" s="49"/>
      <c r="M151" s="49"/>
      <c r="N151" s="49"/>
      <c r="O151" s="49"/>
      <c r="P151" s="49"/>
      <c r="Q151" s="49"/>
      <c r="R151" s="49"/>
      <c r="S151" s="49"/>
      <c r="T151" s="49"/>
      <c r="U151" s="49"/>
    </row>
    <row r="152" spans="1:21" ht="13">
      <c r="A152" s="42" t="s">
        <v>322</v>
      </c>
      <c r="B152" s="49"/>
      <c r="C152" s="49"/>
      <c r="D152" s="42" t="s">
        <v>313</v>
      </c>
      <c r="E152" s="47"/>
      <c r="F152" s="49" t="str">
        <f ca="1">IFERROR(__xludf.DUMMYFUNCTION("QUERY('Volunteer Survey'!B749)"),"")</f>
        <v/>
      </c>
      <c r="G152" s="42" t="str">
        <f ca="1">IFERROR(__xludf.DUMMYFUNCTION("QUERY('Volunteer Survey'!H749)"),"")</f>
        <v/>
      </c>
      <c r="H152" s="49" t="str">
        <f ca="1">IFERROR(__xludf.DUMMYFUNCTION("QUERY('Volunteer Survey'!I749)"),"")</f>
        <v/>
      </c>
      <c r="I152" s="49"/>
      <c r="J152" s="49"/>
      <c r="K152" s="49"/>
      <c r="L152" s="49"/>
      <c r="M152" s="49"/>
      <c r="N152" s="49"/>
      <c r="O152" s="49"/>
      <c r="P152" s="49"/>
      <c r="Q152" s="49"/>
      <c r="R152" s="49"/>
      <c r="S152" s="49"/>
      <c r="T152" s="49"/>
      <c r="U152" s="49"/>
    </row>
    <row r="153" spans="1:21" ht="13">
      <c r="A153" s="42" t="s">
        <v>322</v>
      </c>
      <c r="B153" s="49"/>
      <c r="C153" s="49"/>
      <c r="D153" s="42" t="s">
        <v>313</v>
      </c>
      <c r="E153" s="47"/>
      <c r="F153" s="49" t="str">
        <f ca="1">IFERROR(__xludf.DUMMYFUNCTION("QUERY('Volunteer Survey'!B750)"),"")</f>
        <v/>
      </c>
      <c r="G153" s="42" t="str">
        <f ca="1">IFERROR(__xludf.DUMMYFUNCTION("QUERY('Volunteer Survey'!H750)"),"")</f>
        <v/>
      </c>
      <c r="H153" s="49" t="str">
        <f ca="1">IFERROR(__xludf.DUMMYFUNCTION("QUERY('Volunteer Survey'!I750)"),"")</f>
        <v/>
      </c>
      <c r="I153" s="49"/>
      <c r="J153" s="49"/>
      <c r="K153" s="49"/>
      <c r="L153" s="49"/>
      <c r="M153" s="49"/>
      <c r="N153" s="49"/>
      <c r="O153" s="49"/>
      <c r="P153" s="49"/>
      <c r="Q153" s="49"/>
      <c r="R153" s="49"/>
      <c r="S153" s="49"/>
      <c r="T153" s="49"/>
      <c r="U153" s="49"/>
    </row>
    <row r="154" spans="1:21" ht="13">
      <c r="A154" s="42" t="s">
        <v>322</v>
      </c>
      <c r="B154" s="49"/>
      <c r="C154" s="49"/>
      <c r="D154" s="42" t="s">
        <v>313</v>
      </c>
      <c r="E154" s="47"/>
      <c r="F154" s="49" t="str">
        <f ca="1">IFERROR(__xludf.DUMMYFUNCTION("QUERY('Volunteer Survey'!B751)"),"")</f>
        <v/>
      </c>
      <c r="G154" s="42" t="str">
        <f ca="1">IFERROR(__xludf.DUMMYFUNCTION("QUERY('Volunteer Survey'!H751)"),"")</f>
        <v/>
      </c>
      <c r="H154" s="49" t="str">
        <f ca="1">IFERROR(__xludf.DUMMYFUNCTION("QUERY('Volunteer Survey'!I751)"),"")</f>
        <v/>
      </c>
      <c r="I154" s="49"/>
      <c r="J154" s="49"/>
      <c r="K154" s="49"/>
      <c r="L154" s="49"/>
      <c r="M154" s="49"/>
      <c r="N154" s="49"/>
      <c r="O154" s="49"/>
      <c r="P154" s="49"/>
      <c r="Q154" s="49"/>
      <c r="R154" s="49"/>
      <c r="S154" s="49"/>
      <c r="T154" s="49"/>
      <c r="U154" s="49"/>
    </row>
    <row r="155" spans="1:21" ht="13">
      <c r="A155" s="42" t="s">
        <v>322</v>
      </c>
      <c r="B155" s="49"/>
      <c r="C155" s="49"/>
      <c r="D155" s="42" t="s">
        <v>313</v>
      </c>
      <c r="E155" s="47"/>
      <c r="F155" s="49" t="str">
        <f ca="1">IFERROR(__xludf.DUMMYFUNCTION("QUERY('Volunteer Survey'!B752)"),"")</f>
        <v/>
      </c>
      <c r="G155" s="42" t="str">
        <f ca="1">IFERROR(__xludf.DUMMYFUNCTION("QUERY('Volunteer Survey'!H752)"),"")</f>
        <v/>
      </c>
      <c r="H155" s="49" t="str">
        <f ca="1">IFERROR(__xludf.DUMMYFUNCTION("QUERY('Volunteer Survey'!I752)"),"")</f>
        <v/>
      </c>
      <c r="I155" s="49"/>
      <c r="J155" s="49"/>
      <c r="K155" s="49"/>
      <c r="L155" s="49"/>
      <c r="M155" s="49"/>
      <c r="N155" s="49"/>
      <c r="O155" s="49"/>
      <c r="P155" s="49"/>
      <c r="Q155" s="49"/>
      <c r="R155" s="49"/>
      <c r="S155" s="49"/>
      <c r="T155" s="49"/>
      <c r="U155" s="49"/>
    </row>
    <row r="156" spans="1:21" ht="13">
      <c r="A156" s="42" t="s">
        <v>322</v>
      </c>
      <c r="B156" s="49"/>
      <c r="C156" s="49"/>
      <c r="D156" s="42" t="s">
        <v>313</v>
      </c>
      <c r="E156" s="47"/>
      <c r="F156" s="49" t="str">
        <f ca="1">IFERROR(__xludf.DUMMYFUNCTION("QUERY('Volunteer Survey'!B753)"),"")</f>
        <v/>
      </c>
      <c r="G156" s="42" t="str">
        <f ca="1">IFERROR(__xludf.DUMMYFUNCTION("QUERY('Volunteer Survey'!H753)"),"")</f>
        <v/>
      </c>
      <c r="H156" s="49" t="str">
        <f ca="1">IFERROR(__xludf.DUMMYFUNCTION("QUERY('Volunteer Survey'!I753)"),"")</f>
        <v/>
      </c>
      <c r="I156" s="49"/>
      <c r="J156" s="49"/>
      <c r="K156" s="49"/>
      <c r="L156" s="49"/>
      <c r="M156" s="49"/>
      <c r="N156" s="49"/>
      <c r="O156" s="49"/>
      <c r="P156" s="49"/>
      <c r="Q156" s="49"/>
      <c r="R156" s="49"/>
      <c r="S156" s="49"/>
      <c r="T156" s="49"/>
      <c r="U156" s="49"/>
    </row>
    <row r="157" spans="1:21" ht="13">
      <c r="A157" s="42" t="s">
        <v>322</v>
      </c>
      <c r="B157" s="49"/>
      <c r="C157" s="49"/>
      <c r="D157" s="42" t="s">
        <v>313</v>
      </c>
      <c r="E157" s="47"/>
      <c r="F157" s="49" t="str">
        <f ca="1">IFERROR(__xludf.DUMMYFUNCTION("QUERY('Volunteer Survey'!B754)"),"")</f>
        <v/>
      </c>
      <c r="G157" s="42" t="str">
        <f ca="1">IFERROR(__xludf.DUMMYFUNCTION("QUERY('Volunteer Survey'!H754)"),"")</f>
        <v/>
      </c>
      <c r="H157" s="49" t="str">
        <f ca="1">IFERROR(__xludf.DUMMYFUNCTION("QUERY('Volunteer Survey'!I754)"),"")</f>
        <v/>
      </c>
      <c r="I157" s="49"/>
      <c r="J157" s="49"/>
      <c r="K157" s="49"/>
      <c r="L157" s="49"/>
      <c r="M157" s="49"/>
      <c r="N157" s="49"/>
      <c r="O157" s="49"/>
      <c r="P157" s="49"/>
      <c r="Q157" s="49"/>
      <c r="R157" s="49"/>
      <c r="S157" s="49"/>
      <c r="T157" s="49"/>
      <c r="U157" s="49"/>
    </row>
    <row r="158" spans="1:21" ht="13">
      <c r="A158" s="42" t="s">
        <v>322</v>
      </c>
      <c r="B158" s="49"/>
      <c r="C158" s="49"/>
      <c r="D158" s="42" t="s">
        <v>313</v>
      </c>
      <c r="E158" s="47"/>
      <c r="F158" s="49" t="str">
        <f ca="1">IFERROR(__xludf.DUMMYFUNCTION("QUERY('Volunteer Survey'!B755)"),"")</f>
        <v/>
      </c>
      <c r="G158" s="42" t="str">
        <f ca="1">IFERROR(__xludf.DUMMYFUNCTION("QUERY('Volunteer Survey'!H755)"),"")</f>
        <v/>
      </c>
      <c r="H158" s="49" t="str">
        <f ca="1">IFERROR(__xludf.DUMMYFUNCTION("QUERY('Volunteer Survey'!I755)"),"")</f>
        <v/>
      </c>
      <c r="I158" s="49"/>
      <c r="J158" s="49"/>
      <c r="K158" s="49"/>
      <c r="L158" s="49"/>
      <c r="M158" s="49"/>
      <c r="N158" s="49"/>
      <c r="O158" s="49"/>
      <c r="P158" s="49"/>
      <c r="Q158" s="49"/>
      <c r="R158" s="49"/>
      <c r="S158" s="49"/>
      <c r="T158" s="49"/>
      <c r="U158" s="49"/>
    </row>
    <row r="159" spans="1:21" ht="13">
      <c r="A159" s="42" t="s">
        <v>322</v>
      </c>
      <c r="B159" s="49"/>
      <c r="C159" s="49"/>
      <c r="D159" s="42" t="s">
        <v>313</v>
      </c>
      <c r="E159" s="47"/>
      <c r="F159" s="49" t="str">
        <f ca="1">IFERROR(__xludf.DUMMYFUNCTION("QUERY('Volunteer Survey'!B756)"),"")</f>
        <v/>
      </c>
      <c r="G159" s="42" t="str">
        <f ca="1">IFERROR(__xludf.DUMMYFUNCTION("QUERY('Volunteer Survey'!H756)"),"")</f>
        <v/>
      </c>
      <c r="H159" s="49" t="str">
        <f ca="1">IFERROR(__xludf.DUMMYFUNCTION("QUERY('Volunteer Survey'!I756)"),"")</f>
        <v/>
      </c>
      <c r="I159" s="49"/>
      <c r="J159" s="49"/>
      <c r="K159" s="49"/>
      <c r="L159" s="49"/>
      <c r="M159" s="49"/>
      <c r="N159" s="49"/>
      <c r="O159" s="49"/>
      <c r="P159" s="49"/>
      <c r="Q159" s="49"/>
      <c r="R159" s="49"/>
      <c r="S159" s="49"/>
      <c r="T159" s="49"/>
      <c r="U159" s="49"/>
    </row>
    <row r="160" spans="1:21" ht="13">
      <c r="A160" s="42" t="s">
        <v>322</v>
      </c>
      <c r="B160" s="49"/>
      <c r="C160" s="49"/>
      <c r="D160" s="42" t="s">
        <v>313</v>
      </c>
      <c r="E160" s="47"/>
      <c r="F160" s="49" t="str">
        <f ca="1">IFERROR(__xludf.DUMMYFUNCTION("QUERY('Volunteer Survey'!B757)"),"")</f>
        <v/>
      </c>
      <c r="G160" s="42" t="str">
        <f ca="1">IFERROR(__xludf.DUMMYFUNCTION("QUERY('Volunteer Survey'!H757)"),"")</f>
        <v/>
      </c>
      <c r="H160" s="49" t="str">
        <f ca="1">IFERROR(__xludf.DUMMYFUNCTION("QUERY('Volunteer Survey'!I757)"),"")</f>
        <v/>
      </c>
      <c r="I160" s="49"/>
      <c r="J160" s="49"/>
      <c r="K160" s="49"/>
      <c r="L160" s="49"/>
      <c r="M160" s="49"/>
      <c r="N160" s="49"/>
      <c r="O160" s="49"/>
      <c r="P160" s="49"/>
      <c r="Q160" s="49"/>
      <c r="R160" s="49"/>
      <c r="S160" s="49"/>
      <c r="T160" s="49"/>
      <c r="U160" s="49"/>
    </row>
    <row r="161" spans="1:21" ht="13">
      <c r="A161" s="42" t="s">
        <v>322</v>
      </c>
      <c r="B161" s="49"/>
      <c r="C161" s="49"/>
      <c r="D161" s="42" t="s">
        <v>313</v>
      </c>
      <c r="E161" s="47"/>
      <c r="F161" s="49" t="str">
        <f ca="1">IFERROR(__xludf.DUMMYFUNCTION("QUERY('Volunteer Survey'!B758)"),"")</f>
        <v/>
      </c>
      <c r="G161" s="42" t="str">
        <f ca="1">IFERROR(__xludf.DUMMYFUNCTION("QUERY('Volunteer Survey'!H758)"),"")</f>
        <v/>
      </c>
      <c r="H161" s="49" t="str">
        <f ca="1">IFERROR(__xludf.DUMMYFUNCTION("QUERY('Volunteer Survey'!I758)"),"")</f>
        <v/>
      </c>
      <c r="I161" s="49"/>
      <c r="J161" s="49"/>
      <c r="K161" s="49"/>
      <c r="L161" s="49"/>
      <c r="M161" s="49"/>
      <c r="N161" s="49"/>
      <c r="O161" s="49"/>
      <c r="P161" s="49"/>
      <c r="Q161" s="49"/>
      <c r="R161" s="49"/>
      <c r="S161" s="49"/>
      <c r="T161" s="49"/>
      <c r="U161" s="49"/>
    </row>
    <row r="162" spans="1:21" ht="13">
      <c r="A162" s="42" t="s">
        <v>322</v>
      </c>
      <c r="B162" s="49"/>
      <c r="C162" s="49"/>
      <c r="D162" s="42" t="s">
        <v>313</v>
      </c>
      <c r="E162" s="47"/>
      <c r="F162" s="49" t="str">
        <f ca="1">IFERROR(__xludf.DUMMYFUNCTION("QUERY('Volunteer Survey'!B759)"),"")</f>
        <v/>
      </c>
      <c r="G162" s="42" t="str">
        <f ca="1">IFERROR(__xludf.DUMMYFUNCTION("QUERY('Volunteer Survey'!H759)"),"")</f>
        <v/>
      </c>
      <c r="H162" s="49" t="str">
        <f ca="1">IFERROR(__xludf.DUMMYFUNCTION("QUERY('Volunteer Survey'!I759)"),"")</f>
        <v/>
      </c>
      <c r="I162" s="49"/>
      <c r="J162" s="49"/>
      <c r="K162" s="49"/>
      <c r="L162" s="49"/>
      <c r="M162" s="49"/>
      <c r="N162" s="49"/>
      <c r="O162" s="49"/>
      <c r="P162" s="49"/>
      <c r="Q162" s="49"/>
      <c r="R162" s="49"/>
      <c r="S162" s="49"/>
      <c r="T162" s="49"/>
      <c r="U162" s="49"/>
    </row>
    <row r="163" spans="1:21" ht="13">
      <c r="A163" s="42" t="s">
        <v>322</v>
      </c>
      <c r="B163" s="49"/>
      <c r="C163" s="49"/>
      <c r="D163" s="42" t="s">
        <v>313</v>
      </c>
      <c r="E163" s="47"/>
      <c r="F163" s="49" t="str">
        <f ca="1">IFERROR(__xludf.DUMMYFUNCTION("QUERY('Volunteer Survey'!B760)"),"")</f>
        <v/>
      </c>
      <c r="G163" s="42" t="str">
        <f ca="1">IFERROR(__xludf.DUMMYFUNCTION("QUERY('Volunteer Survey'!H760)"),"")</f>
        <v/>
      </c>
      <c r="H163" s="49" t="str">
        <f ca="1">IFERROR(__xludf.DUMMYFUNCTION("QUERY('Volunteer Survey'!I760)"),"")</f>
        <v/>
      </c>
      <c r="I163" s="49"/>
      <c r="J163" s="49"/>
      <c r="K163" s="49"/>
      <c r="L163" s="49"/>
      <c r="M163" s="49"/>
      <c r="N163" s="49"/>
      <c r="O163" s="49"/>
      <c r="P163" s="49"/>
      <c r="Q163" s="49"/>
      <c r="R163" s="49"/>
      <c r="S163" s="49"/>
      <c r="T163" s="49"/>
      <c r="U163" s="49"/>
    </row>
    <row r="164" spans="1:21" ht="13">
      <c r="A164" s="42" t="s">
        <v>322</v>
      </c>
      <c r="B164" s="49"/>
      <c r="C164" s="49"/>
      <c r="D164" s="42" t="s">
        <v>313</v>
      </c>
      <c r="E164" s="47"/>
      <c r="F164" s="49" t="str">
        <f ca="1">IFERROR(__xludf.DUMMYFUNCTION("QUERY('Volunteer Survey'!B761)"),"")</f>
        <v/>
      </c>
      <c r="G164" s="42" t="str">
        <f ca="1">IFERROR(__xludf.DUMMYFUNCTION("QUERY('Volunteer Survey'!H761)"),"")</f>
        <v/>
      </c>
      <c r="H164" s="49" t="str">
        <f ca="1">IFERROR(__xludf.DUMMYFUNCTION("QUERY('Volunteer Survey'!I761)"),"")</f>
        <v/>
      </c>
      <c r="I164" s="49"/>
      <c r="J164" s="49"/>
      <c r="K164" s="49"/>
      <c r="L164" s="49"/>
      <c r="M164" s="49"/>
      <c r="N164" s="49"/>
      <c r="O164" s="49"/>
      <c r="P164" s="49"/>
      <c r="Q164" s="49"/>
      <c r="R164" s="49"/>
      <c r="S164" s="49"/>
      <c r="T164" s="49"/>
      <c r="U164" s="49"/>
    </row>
    <row r="165" spans="1:21" ht="13">
      <c r="A165" s="42" t="s">
        <v>322</v>
      </c>
      <c r="B165" s="49"/>
      <c r="C165" s="49"/>
      <c r="D165" s="42" t="s">
        <v>313</v>
      </c>
      <c r="E165" s="47"/>
      <c r="F165" s="49" t="str">
        <f ca="1">IFERROR(__xludf.DUMMYFUNCTION("QUERY('Volunteer Survey'!B762)"),"")</f>
        <v/>
      </c>
      <c r="G165" s="42" t="str">
        <f ca="1">IFERROR(__xludf.DUMMYFUNCTION("QUERY('Volunteer Survey'!H762)"),"")</f>
        <v/>
      </c>
      <c r="H165" s="49" t="str">
        <f ca="1">IFERROR(__xludf.DUMMYFUNCTION("QUERY('Volunteer Survey'!I762)"),"")</f>
        <v/>
      </c>
      <c r="I165" s="49"/>
      <c r="J165" s="49"/>
      <c r="K165" s="49"/>
      <c r="L165" s="49"/>
      <c r="M165" s="49"/>
      <c r="N165" s="49"/>
      <c r="O165" s="49"/>
      <c r="P165" s="49"/>
      <c r="Q165" s="49"/>
      <c r="R165" s="49"/>
      <c r="S165" s="49"/>
      <c r="T165" s="49"/>
      <c r="U165" s="49"/>
    </row>
    <row r="166" spans="1:21" ht="13">
      <c r="A166" s="42" t="s">
        <v>322</v>
      </c>
      <c r="B166" s="49"/>
      <c r="C166" s="49"/>
      <c r="D166" s="42" t="s">
        <v>313</v>
      </c>
      <c r="E166" s="47"/>
      <c r="F166" s="49" t="str">
        <f ca="1">IFERROR(__xludf.DUMMYFUNCTION("QUERY('Volunteer Survey'!B763)"),"")</f>
        <v/>
      </c>
      <c r="G166" s="42" t="str">
        <f ca="1">IFERROR(__xludf.DUMMYFUNCTION("QUERY('Volunteer Survey'!H763)"),"")</f>
        <v/>
      </c>
      <c r="H166" s="49" t="str">
        <f ca="1">IFERROR(__xludf.DUMMYFUNCTION("QUERY('Volunteer Survey'!I763)"),"")</f>
        <v/>
      </c>
      <c r="I166" s="49"/>
      <c r="J166" s="49"/>
      <c r="K166" s="49"/>
      <c r="L166" s="49"/>
      <c r="M166" s="49"/>
      <c r="N166" s="49"/>
      <c r="O166" s="49"/>
      <c r="P166" s="49"/>
      <c r="Q166" s="49"/>
      <c r="R166" s="49"/>
      <c r="S166" s="49"/>
      <c r="T166" s="49"/>
      <c r="U166" s="49"/>
    </row>
    <row r="167" spans="1:21" ht="13">
      <c r="A167" s="42" t="s">
        <v>322</v>
      </c>
      <c r="B167" s="49"/>
      <c r="C167" s="49"/>
      <c r="D167" s="42" t="s">
        <v>313</v>
      </c>
      <c r="E167" s="47"/>
      <c r="F167" s="49" t="str">
        <f ca="1">IFERROR(__xludf.DUMMYFUNCTION("QUERY('Volunteer Survey'!B764)"),"")</f>
        <v/>
      </c>
      <c r="G167" s="42" t="str">
        <f ca="1">IFERROR(__xludf.DUMMYFUNCTION("QUERY('Volunteer Survey'!H764)"),"")</f>
        <v/>
      </c>
      <c r="H167" s="49" t="str">
        <f ca="1">IFERROR(__xludf.DUMMYFUNCTION("QUERY('Volunteer Survey'!I764)"),"")</f>
        <v/>
      </c>
      <c r="I167" s="49"/>
      <c r="J167" s="49"/>
      <c r="K167" s="49"/>
      <c r="L167" s="49"/>
      <c r="M167" s="49"/>
      <c r="N167" s="49"/>
      <c r="O167" s="49"/>
      <c r="P167" s="49"/>
      <c r="Q167" s="49"/>
      <c r="R167" s="49"/>
      <c r="S167" s="49"/>
      <c r="T167" s="49"/>
      <c r="U167" s="49"/>
    </row>
    <row r="168" spans="1:21" ht="13">
      <c r="A168" s="42" t="s">
        <v>322</v>
      </c>
      <c r="B168" s="49"/>
      <c r="C168" s="49"/>
      <c r="D168" s="42" t="s">
        <v>313</v>
      </c>
      <c r="E168" s="47"/>
      <c r="F168" s="49" t="str">
        <f ca="1">IFERROR(__xludf.DUMMYFUNCTION("QUERY('Volunteer Survey'!B765)"),"")</f>
        <v/>
      </c>
      <c r="G168" s="42" t="str">
        <f ca="1">IFERROR(__xludf.DUMMYFUNCTION("QUERY('Volunteer Survey'!H765)"),"")</f>
        <v/>
      </c>
      <c r="H168" s="49" t="str">
        <f ca="1">IFERROR(__xludf.DUMMYFUNCTION("QUERY('Volunteer Survey'!I765)"),"")</f>
        <v/>
      </c>
      <c r="I168" s="49"/>
      <c r="J168" s="49"/>
      <c r="K168" s="49"/>
      <c r="L168" s="49"/>
      <c r="M168" s="49"/>
      <c r="N168" s="49"/>
      <c r="O168" s="49"/>
      <c r="P168" s="49"/>
      <c r="Q168" s="49"/>
      <c r="R168" s="49"/>
      <c r="S168" s="49"/>
      <c r="T168" s="49"/>
      <c r="U168" s="49"/>
    </row>
    <row r="169" spans="1:21" ht="13">
      <c r="A169" s="42" t="s">
        <v>322</v>
      </c>
      <c r="B169" s="49"/>
      <c r="C169" s="49"/>
      <c r="D169" s="42" t="s">
        <v>313</v>
      </c>
      <c r="E169" s="47"/>
      <c r="F169" s="49" t="str">
        <f ca="1">IFERROR(__xludf.DUMMYFUNCTION("QUERY('Volunteer Survey'!B766)"),"")</f>
        <v/>
      </c>
      <c r="G169" s="42" t="str">
        <f ca="1">IFERROR(__xludf.DUMMYFUNCTION("QUERY('Volunteer Survey'!H766)"),"")</f>
        <v/>
      </c>
      <c r="H169" s="49" t="str">
        <f ca="1">IFERROR(__xludf.DUMMYFUNCTION("QUERY('Volunteer Survey'!I766)"),"")</f>
        <v/>
      </c>
      <c r="I169" s="49"/>
      <c r="J169" s="49"/>
      <c r="K169" s="49"/>
      <c r="L169" s="49"/>
      <c r="M169" s="49"/>
      <c r="N169" s="49"/>
      <c r="O169" s="49"/>
      <c r="P169" s="49"/>
      <c r="Q169" s="49"/>
      <c r="R169" s="49"/>
      <c r="S169" s="49"/>
      <c r="T169" s="49"/>
      <c r="U169" s="49"/>
    </row>
    <row r="170" spans="1:21" ht="13">
      <c r="A170" s="42" t="s">
        <v>322</v>
      </c>
      <c r="B170" s="49"/>
      <c r="C170" s="49"/>
      <c r="D170" s="42" t="s">
        <v>313</v>
      </c>
      <c r="E170" s="47"/>
      <c r="F170" s="49" t="str">
        <f ca="1">IFERROR(__xludf.DUMMYFUNCTION("QUERY('Volunteer Survey'!B767)"),"")</f>
        <v/>
      </c>
      <c r="G170" s="42" t="str">
        <f ca="1">IFERROR(__xludf.DUMMYFUNCTION("QUERY('Volunteer Survey'!H767)"),"")</f>
        <v/>
      </c>
      <c r="H170" s="49" t="str">
        <f ca="1">IFERROR(__xludf.DUMMYFUNCTION("QUERY('Volunteer Survey'!I767)"),"")</f>
        <v/>
      </c>
      <c r="I170" s="49"/>
      <c r="J170" s="49"/>
      <c r="K170" s="49"/>
      <c r="L170" s="49"/>
      <c r="M170" s="49"/>
      <c r="N170" s="49"/>
      <c r="O170" s="49"/>
      <c r="P170" s="49"/>
      <c r="Q170" s="49"/>
      <c r="R170" s="49"/>
      <c r="S170" s="49"/>
      <c r="T170" s="49"/>
      <c r="U170" s="49"/>
    </row>
    <row r="171" spans="1:21" ht="13">
      <c r="A171" s="42" t="s">
        <v>322</v>
      </c>
      <c r="B171" s="49"/>
      <c r="C171" s="49"/>
      <c r="D171" s="42" t="s">
        <v>313</v>
      </c>
      <c r="E171" s="47"/>
      <c r="F171" s="49" t="str">
        <f ca="1">IFERROR(__xludf.DUMMYFUNCTION("QUERY('Volunteer Survey'!B768)"),"")</f>
        <v/>
      </c>
      <c r="G171" s="42" t="str">
        <f ca="1">IFERROR(__xludf.DUMMYFUNCTION("QUERY('Volunteer Survey'!H768)"),"")</f>
        <v/>
      </c>
      <c r="H171" s="49" t="str">
        <f ca="1">IFERROR(__xludf.DUMMYFUNCTION("QUERY('Volunteer Survey'!I768)"),"")</f>
        <v/>
      </c>
      <c r="I171" s="49"/>
      <c r="J171" s="49"/>
      <c r="K171" s="49"/>
      <c r="L171" s="49"/>
      <c r="M171" s="49"/>
      <c r="N171" s="49"/>
      <c r="O171" s="49"/>
      <c r="P171" s="49"/>
      <c r="Q171" s="49"/>
      <c r="R171" s="49"/>
      <c r="S171" s="49"/>
      <c r="T171" s="49"/>
      <c r="U171" s="49"/>
    </row>
    <row r="172" spans="1:21" ht="13">
      <c r="A172" s="42" t="s">
        <v>322</v>
      </c>
      <c r="B172" s="49"/>
      <c r="C172" s="49"/>
      <c r="D172" s="42" t="s">
        <v>313</v>
      </c>
      <c r="E172" s="47"/>
      <c r="F172" s="49" t="str">
        <f ca="1">IFERROR(__xludf.DUMMYFUNCTION("QUERY('Volunteer Survey'!B769)"),"")</f>
        <v/>
      </c>
      <c r="G172" s="42" t="str">
        <f ca="1">IFERROR(__xludf.DUMMYFUNCTION("QUERY('Volunteer Survey'!H769)"),"")</f>
        <v/>
      </c>
      <c r="H172" s="49" t="str">
        <f ca="1">IFERROR(__xludf.DUMMYFUNCTION("QUERY('Volunteer Survey'!I769)"),"")</f>
        <v/>
      </c>
      <c r="I172" s="49"/>
      <c r="J172" s="49"/>
      <c r="K172" s="49"/>
      <c r="L172" s="49"/>
      <c r="M172" s="49"/>
      <c r="N172" s="49"/>
      <c r="O172" s="49"/>
      <c r="P172" s="49"/>
      <c r="Q172" s="49"/>
      <c r="R172" s="49"/>
      <c r="S172" s="49"/>
      <c r="T172" s="49"/>
      <c r="U172" s="49"/>
    </row>
    <row r="173" spans="1:21" ht="13">
      <c r="A173" s="42" t="s">
        <v>322</v>
      </c>
      <c r="B173" s="49"/>
      <c r="C173" s="49"/>
      <c r="D173" s="42" t="s">
        <v>313</v>
      </c>
      <c r="E173" s="47"/>
      <c r="F173" s="49" t="str">
        <f ca="1">IFERROR(__xludf.DUMMYFUNCTION("QUERY('Volunteer Survey'!B770)"),"")</f>
        <v/>
      </c>
      <c r="G173" s="42" t="str">
        <f ca="1">IFERROR(__xludf.DUMMYFUNCTION("QUERY('Volunteer Survey'!H770)"),"")</f>
        <v/>
      </c>
      <c r="H173" s="49" t="str">
        <f ca="1">IFERROR(__xludf.DUMMYFUNCTION("QUERY('Volunteer Survey'!I770)"),"")</f>
        <v/>
      </c>
      <c r="I173" s="49"/>
      <c r="J173" s="49"/>
      <c r="K173" s="49"/>
      <c r="L173" s="49"/>
      <c r="M173" s="49"/>
      <c r="N173" s="49"/>
      <c r="O173" s="49"/>
      <c r="P173" s="49"/>
      <c r="Q173" s="49"/>
      <c r="R173" s="49"/>
      <c r="S173" s="49"/>
      <c r="T173" s="49"/>
      <c r="U173" s="49"/>
    </row>
    <row r="174" spans="1:21" ht="13">
      <c r="A174" s="42" t="s">
        <v>322</v>
      </c>
      <c r="B174" s="49"/>
      <c r="C174" s="49"/>
      <c r="D174" s="42" t="s">
        <v>313</v>
      </c>
      <c r="E174" s="47"/>
      <c r="F174" s="49" t="str">
        <f ca="1">IFERROR(__xludf.DUMMYFUNCTION("QUERY('Volunteer Survey'!B771)"),"")</f>
        <v/>
      </c>
      <c r="G174" s="42" t="str">
        <f ca="1">IFERROR(__xludf.DUMMYFUNCTION("QUERY('Volunteer Survey'!H771)"),"")</f>
        <v/>
      </c>
      <c r="H174" s="49" t="str">
        <f ca="1">IFERROR(__xludf.DUMMYFUNCTION("QUERY('Volunteer Survey'!I771)"),"")</f>
        <v/>
      </c>
      <c r="I174" s="49"/>
      <c r="J174" s="49"/>
      <c r="K174" s="49"/>
      <c r="L174" s="49"/>
      <c r="M174" s="49"/>
      <c r="N174" s="49"/>
      <c r="O174" s="49"/>
      <c r="P174" s="49"/>
      <c r="Q174" s="49"/>
      <c r="R174" s="49"/>
      <c r="S174" s="49"/>
      <c r="T174" s="49"/>
      <c r="U174" s="49"/>
    </row>
    <row r="175" spans="1:21" ht="13">
      <c r="A175" s="42" t="s">
        <v>322</v>
      </c>
      <c r="B175" s="49"/>
      <c r="C175" s="49"/>
      <c r="D175" s="42" t="s">
        <v>313</v>
      </c>
      <c r="E175" s="47"/>
      <c r="F175" s="49" t="str">
        <f ca="1">IFERROR(__xludf.DUMMYFUNCTION("QUERY('Volunteer Survey'!B772)"),"")</f>
        <v/>
      </c>
      <c r="G175" s="42" t="str">
        <f ca="1">IFERROR(__xludf.DUMMYFUNCTION("QUERY('Volunteer Survey'!H772)"),"")</f>
        <v/>
      </c>
      <c r="H175" s="49" t="str">
        <f ca="1">IFERROR(__xludf.DUMMYFUNCTION("QUERY('Volunteer Survey'!I772)"),"")</f>
        <v/>
      </c>
      <c r="I175" s="49"/>
      <c r="J175" s="49"/>
      <c r="K175" s="49"/>
      <c r="L175" s="49"/>
      <c r="M175" s="49"/>
      <c r="N175" s="49"/>
      <c r="O175" s="49"/>
      <c r="P175" s="49"/>
      <c r="Q175" s="49"/>
      <c r="R175" s="49"/>
      <c r="S175" s="49"/>
      <c r="T175" s="49"/>
      <c r="U175" s="49"/>
    </row>
    <row r="176" spans="1:21" ht="13">
      <c r="A176" s="42" t="s">
        <v>322</v>
      </c>
      <c r="B176" s="49"/>
      <c r="C176" s="49"/>
      <c r="D176" s="42" t="s">
        <v>313</v>
      </c>
      <c r="E176" s="47"/>
      <c r="F176" s="49" t="str">
        <f ca="1">IFERROR(__xludf.DUMMYFUNCTION("QUERY('Volunteer Survey'!B773)"),"")</f>
        <v/>
      </c>
      <c r="G176" s="42" t="str">
        <f ca="1">IFERROR(__xludf.DUMMYFUNCTION("QUERY('Volunteer Survey'!H773)"),"")</f>
        <v/>
      </c>
      <c r="H176" s="49" t="str">
        <f ca="1">IFERROR(__xludf.DUMMYFUNCTION("QUERY('Volunteer Survey'!I773)"),"")</f>
        <v/>
      </c>
      <c r="I176" s="49"/>
      <c r="J176" s="49"/>
      <c r="K176" s="49"/>
      <c r="L176" s="49"/>
      <c r="M176" s="49"/>
      <c r="N176" s="49"/>
      <c r="O176" s="49"/>
      <c r="P176" s="49"/>
      <c r="Q176" s="49"/>
      <c r="R176" s="49"/>
      <c r="S176" s="49"/>
      <c r="T176" s="49"/>
      <c r="U176" s="49"/>
    </row>
    <row r="177" spans="1:21" ht="13">
      <c r="A177" s="42" t="s">
        <v>322</v>
      </c>
      <c r="B177" s="49"/>
      <c r="C177" s="49"/>
      <c r="D177" s="42" t="s">
        <v>313</v>
      </c>
      <c r="E177" s="47"/>
      <c r="F177" s="49" t="str">
        <f ca="1">IFERROR(__xludf.DUMMYFUNCTION("QUERY('Volunteer Survey'!B774)"),"")</f>
        <v/>
      </c>
      <c r="G177" s="42" t="str">
        <f ca="1">IFERROR(__xludf.DUMMYFUNCTION("QUERY('Volunteer Survey'!H774)"),"")</f>
        <v/>
      </c>
      <c r="H177" s="49" t="str">
        <f ca="1">IFERROR(__xludf.DUMMYFUNCTION("QUERY('Volunteer Survey'!I774)"),"")</f>
        <v/>
      </c>
      <c r="I177" s="49"/>
      <c r="J177" s="49"/>
      <c r="K177" s="49"/>
      <c r="L177" s="49"/>
      <c r="M177" s="49"/>
      <c r="N177" s="49"/>
      <c r="O177" s="49"/>
      <c r="P177" s="49"/>
      <c r="Q177" s="49"/>
      <c r="R177" s="49"/>
      <c r="S177" s="49"/>
      <c r="T177" s="49"/>
      <c r="U177" s="49"/>
    </row>
    <row r="178" spans="1:21" ht="13">
      <c r="A178" s="42" t="s">
        <v>322</v>
      </c>
      <c r="B178" s="49"/>
      <c r="C178" s="49"/>
      <c r="D178" s="42" t="s">
        <v>313</v>
      </c>
      <c r="E178" s="47"/>
      <c r="F178" s="49" t="str">
        <f ca="1">IFERROR(__xludf.DUMMYFUNCTION("QUERY('Volunteer Survey'!B775)"),"")</f>
        <v/>
      </c>
      <c r="G178" s="42" t="str">
        <f ca="1">IFERROR(__xludf.DUMMYFUNCTION("QUERY('Volunteer Survey'!H775)"),"")</f>
        <v/>
      </c>
      <c r="H178" s="49" t="str">
        <f ca="1">IFERROR(__xludf.DUMMYFUNCTION("QUERY('Volunteer Survey'!I775)"),"")</f>
        <v/>
      </c>
      <c r="I178" s="49"/>
      <c r="J178" s="49"/>
      <c r="K178" s="49"/>
      <c r="L178" s="49"/>
      <c r="M178" s="49"/>
      <c r="N178" s="49"/>
      <c r="O178" s="49"/>
      <c r="P178" s="49"/>
      <c r="Q178" s="49"/>
      <c r="R178" s="49"/>
      <c r="S178" s="49"/>
      <c r="T178" s="49"/>
      <c r="U178" s="49"/>
    </row>
    <row r="179" spans="1:21" ht="13">
      <c r="A179" s="42" t="s">
        <v>322</v>
      </c>
      <c r="B179" s="49"/>
      <c r="C179" s="49"/>
      <c r="D179" s="42" t="s">
        <v>313</v>
      </c>
      <c r="E179" s="47"/>
      <c r="F179" s="49" t="str">
        <f ca="1">IFERROR(__xludf.DUMMYFUNCTION("QUERY('Volunteer Survey'!B776)"),"")</f>
        <v/>
      </c>
      <c r="G179" s="42" t="str">
        <f ca="1">IFERROR(__xludf.DUMMYFUNCTION("QUERY('Volunteer Survey'!H776)"),"")</f>
        <v/>
      </c>
      <c r="H179" s="49" t="str">
        <f ca="1">IFERROR(__xludf.DUMMYFUNCTION("QUERY('Volunteer Survey'!I776)"),"")</f>
        <v/>
      </c>
      <c r="I179" s="49"/>
      <c r="J179" s="49"/>
      <c r="K179" s="49"/>
      <c r="L179" s="49"/>
      <c r="M179" s="49"/>
      <c r="N179" s="49"/>
      <c r="O179" s="49"/>
      <c r="P179" s="49"/>
      <c r="Q179" s="49"/>
      <c r="R179" s="49"/>
      <c r="S179" s="49"/>
      <c r="T179" s="49"/>
      <c r="U179" s="49"/>
    </row>
    <row r="180" spans="1:21" ht="13">
      <c r="A180" s="42" t="s">
        <v>322</v>
      </c>
      <c r="B180" s="49"/>
      <c r="C180" s="49"/>
      <c r="D180" s="42" t="s">
        <v>313</v>
      </c>
      <c r="E180" s="47"/>
      <c r="F180" s="49" t="str">
        <f ca="1">IFERROR(__xludf.DUMMYFUNCTION("QUERY('Volunteer Survey'!B777)"),"")</f>
        <v/>
      </c>
      <c r="G180" s="42" t="str">
        <f ca="1">IFERROR(__xludf.DUMMYFUNCTION("QUERY('Volunteer Survey'!H777)"),"")</f>
        <v/>
      </c>
      <c r="H180" s="49" t="str">
        <f ca="1">IFERROR(__xludf.DUMMYFUNCTION("QUERY('Volunteer Survey'!I777)"),"")</f>
        <v/>
      </c>
      <c r="I180" s="49"/>
      <c r="J180" s="49"/>
      <c r="K180" s="49"/>
      <c r="L180" s="49"/>
      <c r="M180" s="49"/>
      <c r="N180" s="49"/>
      <c r="O180" s="49"/>
      <c r="P180" s="49"/>
      <c r="Q180" s="49"/>
      <c r="R180" s="49"/>
      <c r="S180" s="49"/>
      <c r="T180" s="49"/>
      <c r="U180" s="49"/>
    </row>
    <row r="181" spans="1:21" ht="13">
      <c r="A181" s="42" t="s">
        <v>322</v>
      </c>
      <c r="B181" s="49"/>
      <c r="C181" s="49"/>
      <c r="D181" s="42" t="s">
        <v>313</v>
      </c>
      <c r="E181" s="47"/>
      <c r="F181" s="49" t="str">
        <f ca="1">IFERROR(__xludf.DUMMYFUNCTION("QUERY('Volunteer Survey'!B778)"),"")</f>
        <v/>
      </c>
      <c r="G181" s="42" t="str">
        <f ca="1">IFERROR(__xludf.DUMMYFUNCTION("QUERY('Volunteer Survey'!H778)"),"")</f>
        <v/>
      </c>
      <c r="H181" s="49" t="str">
        <f ca="1">IFERROR(__xludf.DUMMYFUNCTION("QUERY('Volunteer Survey'!I778)"),"")</f>
        <v/>
      </c>
      <c r="I181" s="49"/>
      <c r="J181" s="49"/>
      <c r="K181" s="49"/>
      <c r="L181" s="49"/>
      <c r="M181" s="49"/>
      <c r="N181" s="49"/>
      <c r="O181" s="49"/>
      <c r="P181" s="49"/>
      <c r="Q181" s="49"/>
      <c r="R181" s="49"/>
      <c r="S181" s="49"/>
      <c r="T181" s="49"/>
      <c r="U181" s="49"/>
    </row>
    <row r="182" spans="1:21" ht="13">
      <c r="A182" s="42" t="s">
        <v>322</v>
      </c>
      <c r="B182" s="49"/>
      <c r="C182" s="49"/>
      <c r="D182" s="42" t="s">
        <v>313</v>
      </c>
      <c r="E182" s="47"/>
      <c r="F182" s="49" t="str">
        <f ca="1">IFERROR(__xludf.DUMMYFUNCTION("QUERY('Volunteer Survey'!B779)"),"")</f>
        <v/>
      </c>
      <c r="G182" s="42" t="str">
        <f ca="1">IFERROR(__xludf.DUMMYFUNCTION("QUERY('Volunteer Survey'!H779)"),"")</f>
        <v/>
      </c>
      <c r="H182" s="49" t="str">
        <f ca="1">IFERROR(__xludf.DUMMYFUNCTION("QUERY('Volunteer Survey'!I779)"),"")</f>
        <v/>
      </c>
      <c r="I182" s="49"/>
      <c r="J182" s="49"/>
      <c r="K182" s="49"/>
      <c r="L182" s="49"/>
      <c r="M182" s="49"/>
      <c r="N182" s="49"/>
      <c r="O182" s="49"/>
      <c r="P182" s="49"/>
      <c r="Q182" s="49"/>
      <c r="R182" s="49"/>
      <c r="S182" s="49"/>
      <c r="T182" s="49"/>
      <c r="U182" s="49"/>
    </row>
    <row r="183" spans="1:21" ht="13">
      <c r="A183" s="42" t="s">
        <v>322</v>
      </c>
      <c r="B183" s="49"/>
      <c r="C183" s="49"/>
      <c r="D183" s="42" t="s">
        <v>313</v>
      </c>
      <c r="E183" s="47"/>
      <c r="F183" s="49" t="str">
        <f ca="1">IFERROR(__xludf.DUMMYFUNCTION("QUERY('Volunteer Survey'!B780)"),"")</f>
        <v/>
      </c>
      <c r="G183" s="42" t="str">
        <f ca="1">IFERROR(__xludf.DUMMYFUNCTION("QUERY('Volunteer Survey'!H780)"),"")</f>
        <v/>
      </c>
      <c r="H183" s="49" t="str">
        <f ca="1">IFERROR(__xludf.DUMMYFUNCTION("QUERY('Volunteer Survey'!I780)"),"")</f>
        <v/>
      </c>
      <c r="I183" s="49"/>
      <c r="J183" s="49"/>
      <c r="K183" s="49"/>
      <c r="L183" s="49"/>
      <c r="M183" s="49"/>
      <c r="N183" s="49"/>
      <c r="O183" s="49"/>
      <c r="P183" s="49"/>
      <c r="Q183" s="49"/>
      <c r="R183" s="49"/>
      <c r="S183" s="49"/>
      <c r="T183" s="49"/>
      <c r="U183" s="49"/>
    </row>
    <row r="184" spans="1:21" ht="13">
      <c r="A184" s="42" t="s">
        <v>322</v>
      </c>
      <c r="B184" s="49"/>
      <c r="C184" s="49"/>
      <c r="D184" s="42" t="s">
        <v>313</v>
      </c>
      <c r="E184" s="47"/>
      <c r="F184" s="49" t="str">
        <f ca="1">IFERROR(__xludf.DUMMYFUNCTION("QUERY('Volunteer Survey'!B781)"),"")</f>
        <v/>
      </c>
      <c r="G184" s="42" t="str">
        <f ca="1">IFERROR(__xludf.DUMMYFUNCTION("QUERY('Volunteer Survey'!H781)"),"")</f>
        <v/>
      </c>
      <c r="H184" s="49" t="str">
        <f ca="1">IFERROR(__xludf.DUMMYFUNCTION("QUERY('Volunteer Survey'!I781)"),"")</f>
        <v/>
      </c>
      <c r="I184" s="49"/>
      <c r="J184" s="49"/>
      <c r="K184" s="49"/>
      <c r="L184" s="49"/>
      <c r="M184" s="49"/>
      <c r="N184" s="49"/>
      <c r="O184" s="49"/>
      <c r="P184" s="49"/>
      <c r="Q184" s="49"/>
      <c r="R184" s="49"/>
      <c r="S184" s="49"/>
      <c r="T184" s="49"/>
      <c r="U184" s="49"/>
    </row>
    <row r="185" spans="1:21" ht="13">
      <c r="A185" s="42" t="s">
        <v>322</v>
      </c>
      <c r="B185" s="49"/>
      <c r="C185" s="49"/>
      <c r="D185" s="42" t="s">
        <v>313</v>
      </c>
      <c r="E185" s="47"/>
      <c r="F185" s="49" t="str">
        <f ca="1">IFERROR(__xludf.DUMMYFUNCTION("QUERY('Volunteer Survey'!B782)"),"")</f>
        <v/>
      </c>
      <c r="G185" s="42" t="str">
        <f ca="1">IFERROR(__xludf.DUMMYFUNCTION("QUERY('Volunteer Survey'!H782)"),"")</f>
        <v/>
      </c>
      <c r="H185" s="49" t="str">
        <f ca="1">IFERROR(__xludf.DUMMYFUNCTION("QUERY('Volunteer Survey'!I782)"),"")</f>
        <v/>
      </c>
      <c r="I185" s="49"/>
      <c r="J185" s="49"/>
      <c r="K185" s="49"/>
      <c r="L185" s="49"/>
      <c r="M185" s="49"/>
      <c r="N185" s="49"/>
      <c r="O185" s="49"/>
      <c r="P185" s="49"/>
      <c r="Q185" s="49"/>
      <c r="R185" s="49"/>
      <c r="S185" s="49"/>
      <c r="T185" s="49"/>
      <c r="U185" s="49"/>
    </row>
    <row r="186" spans="1:21" ht="13">
      <c r="A186" s="42" t="s">
        <v>322</v>
      </c>
      <c r="B186" s="49"/>
      <c r="C186" s="49"/>
      <c r="D186" s="42" t="s">
        <v>313</v>
      </c>
      <c r="E186" s="47"/>
      <c r="F186" s="49" t="str">
        <f ca="1">IFERROR(__xludf.DUMMYFUNCTION("QUERY('Volunteer Survey'!B783)"),"")</f>
        <v/>
      </c>
      <c r="G186" s="42" t="str">
        <f ca="1">IFERROR(__xludf.DUMMYFUNCTION("QUERY('Volunteer Survey'!H783)"),"")</f>
        <v/>
      </c>
      <c r="H186" s="49" t="str">
        <f ca="1">IFERROR(__xludf.DUMMYFUNCTION("QUERY('Volunteer Survey'!I783)"),"")</f>
        <v/>
      </c>
      <c r="I186" s="49"/>
      <c r="J186" s="49"/>
      <c r="K186" s="49"/>
      <c r="L186" s="49"/>
      <c r="M186" s="49"/>
      <c r="N186" s="49"/>
      <c r="O186" s="49"/>
      <c r="P186" s="49"/>
      <c r="Q186" s="49"/>
      <c r="R186" s="49"/>
      <c r="S186" s="49"/>
      <c r="T186" s="49"/>
      <c r="U186" s="49"/>
    </row>
    <row r="187" spans="1:21" ht="13">
      <c r="A187" s="42" t="s">
        <v>322</v>
      </c>
      <c r="B187" s="49"/>
      <c r="C187" s="49"/>
      <c r="D187" s="42" t="s">
        <v>313</v>
      </c>
      <c r="E187" s="47"/>
      <c r="F187" s="49" t="str">
        <f ca="1">IFERROR(__xludf.DUMMYFUNCTION("QUERY('Volunteer Survey'!B784)"),"")</f>
        <v/>
      </c>
      <c r="G187" s="42" t="str">
        <f ca="1">IFERROR(__xludf.DUMMYFUNCTION("QUERY('Volunteer Survey'!H784)"),"")</f>
        <v/>
      </c>
      <c r="H187" s="49" t="str">
        <f ca="1">IFERROR(__xludf.DUMMYFUNCTION("QUERY('Volunteer Survey'!I784)"),"")</f>
        <v/>
      </c>
      <c r="I187" s="49"/>
      <c r="J187" s="49"/>
      <c r="K187" s="49"/>
      <c r="L187" s="49"/>
      <c r="M187" s="49"/>
      <c r="N187" s="49"/>
      <c r="O187" s="49"/>
      <c r="P187" s="49"/>
      <c r="Q187" s="49"/>
      <c r="R187" s="49"/>
      <c r="S187" s="49"/>
      <c r="T187" s="49"/>
      <c r="U187" s="49"/>
    </row>
    <row r="188" spans="1:21" ht="13">
      <c r="A188" s="42" t="s">
        <v>322</v>
      </c>
      <c r="B188" s="49"/>
      <c r="C188" s="49"/>
      <c r="D188" s="42" t="s">
        <v>313</v>
      </c>
      <c r="E188" s="47"/>
      <c r="F188" s="49" t="str">
        <f ca="1">IFERROR(__xludf.DUMMYFUNCTION("QUERY('Volunteer Survey'!B785)"),"")</f>
        <v/>
      </c>
      <c r="G188" s="42" t="str">
        <f ca="1">IFERROR(__xludf.DUMMYFUNCTION("QUERY('Volunteer Survey'!H785)"),"")</f>
        <v/>
      </c>
      <c r="H188" s="49" t="str">
        <f ca="1">IFERROR(__xludf.DUMMYFUNCTION("QUERY('Volunteer Survey'!I785)"),"")</f>
        <v/>
      </c>
      <c r="I188" s="49"/>
      <c r="J188" s="49"/>
      <c r="K188" s="49"/>
      <c r="L188" s="49"/>
      <c r="M188" s="49"/>
      <c r="N188" s="49"/>
      <c r="O188" s="49"/>
      <c r="P188" s="49"/>
      <c r="Q188" s="49"/>
      <c r="R188" s="49"/>
      <c r="S188" s="49"/>
      <c r="T188" s="49"/>
      <c r="U188" s="49"/>
    </row>
    <row r="189" spans="1:21" ht="13">
      <c r="A189" s="42" t="s">
        <v>322</v>
      </c>
      <c r="B189" s="49"/>
      <c r="C189" s="49"/>
      <c r="D189" s="42" t="s">
        <v>313</v>
      </c>
      <c r="E189" s="47"/>
      <c r="F189" s="49" t="str">
        <f ca="1">IFERROR(__xludf.DUMMYFUNCTION("QUERY('Volunteer Survey'!B786)"),"")</f>
        <v/>
      </c>
      <c r="G189" s="42" t="str">
        <f ca="1">IFERROR(__xludf.DUMMYFUNCTION("QUERY('Volunteer Survey'!H786)"),"")</f>
        <v/>
      </c>
      <c r="H189" s="49" t="str">
        <f ca="1">IFERROR(__xludf.DUMMYFUNCTION("QUERY('Volunteer Survey'!I786)"),"")</f>
        <v/>
      </c>
      <c r="I189" s="49"/>
      <c r="J189" s="49"/>
      <c r="K189" s="49"/>
      <c r="L189" s="49"/>
      <c r="M189" s="49"/>
      <c r="N189" s="49"/>
      <c r="O189" s="49"/>
      <c r="P189" s="49"/>
      <c r="Q189" s="49"/>
      <c r="R189" s="49"/>
      <c r="S189" s="49"/>
      <c r="T189" s="49"/>
      <c r="U189" s="49"/>
    </row>
    <row r="190" spans="1:21" ht="13">
      <c r="A190" s="42" t="s">
        <v>322</v>
      </c>
      <c r="B190" s="49"/>
      <c r="C190" s="49"/>
      <c r="D190" s="42" t="s">
        <v>313</v>
      </c>
      <c r="E190" s="47"/>
      <c r="F190" s="49" t="str">
        <f ca="1">IFERROR(__xludf.DUMMYFUNCTION("QUERY('Volunteer Survey'!B787)"),"")</f>
        <v/>
      </c>
      <c r="G190" s="42" t="str">
        <f ca="1">IFERROR(__xludf.DUMMYFUNCTION("QUERY('Volunteer Survey'!H787)"),"")</f>
        <v/>
      </c>
      <c r="H190" s="49" t="str">
        <f ca="1">IFERROR(__xludf.DUMMYFUNCTION("QUERY('Volunteer Survey'!I787)"),"")</f>
        <v/>
      </c>
      <c r="I190" s="49"/>
      <c r="J190" s="49"/>
      <c r="K190" s="49"/>
      <c r="L190" s="49"/>
      <c r="M190" s="49"/>
      <c r="N190" s="49"/>
      <c r="O190" s="49"/>
      <c r="P190" s="49"/>
      <c r="Q190" s="49"/>
      <c r="R190" s="49"/>
      <c r="S190" s="49"/>
      <c r="T190" s="49"/>
      <c r="U190" s="49"/>
    </row>
    <row r="191" spans="1:21" ht="13">
      <c r="A191" s="42" t="s">
        <v>322</v>
      </c>
      <c r="B191" s="49"/>
      <c r="C191" s="49"/>
      <c r="D191" s="42" t="s">
        <v>313</v>
      </c>
      <c r="E191" s="47"/>
      <c r="F191" s="49" t="str">
        <f ca="1">IFERROR(__xludf.DUMMYFUNCTION("QUERY('Volunteer Survey'!B788)"),"")</f>
        <v/>
      </c>
      <c r="G191" s="42" t="str">
        <f ca="1">IFERROR(__xludf.DUMMYFUNCTION("QUERY('Volunteer Survey'!H788)"),"")</f>
        <v/>
      </c>
      <c r="H191" s="49" t="str">
        <f ca="1">IFERROR(__xludf.DUMMYFUNCTION("QUERY('Volunteer Survey'!I788)"),"")</f>
        <v/>
      </c>
      <c r="I191" s="49"/>
      <c r="J191" s="49"/>
      <c r="K191" s="49"/>
      <c r="L191" s="49"/>
      <c r="M191" s="49"/>
      <c r="N191" s="49"/>
      <c r="O191" s="49"/>
      <c r="P191" s="49"/>
      <c r="Q191" s="49"/>
      <c r="R191" s="49"/>
      <c r="S191" s="49"/>
      <c r="T191" s="49"/>
      <c r="U191" s="49"/>
    </row>
    <row r="192" spans="1:21" ht="13">
      <c r="A192" s="42" t="s">
        <v>322</v>
      </c>
      <c r="B192" s="49"/>
      <c r="C192" s="49"/>
      <c r="D192" s="42" t="s">
        <v>313</v>
      </c>
      <c r="E192" s="47"/>
      <c r="F192" s="49" t="str">
        <f ca="1">IFERROR(__xludf.DUMMYFUNCTION("QUERY('Volunteer Survey'!B789)"),"")</f>
        <v/>
      </c>
      <c r="G192" s="42" t="str">
        <f ca="1">IFERROR(__xludf.DUMMYFUNCTION("QUERY('Volunteer Survey'!H789)"),"")</f>
        <v/>
      </c>
      <c r="H192" s="49" t="str">
        <f ca="1">IFERROR(__xludf.DUMMYFUNCTION("QUERY('Volunteer Survey'!I789)"),"")</f>
        <v/>
      </c>
      <c r="I192" s="49"/>
      <c r="J192" s="49"/>
      <c r="K192" s="49"/>
      <c r="L192" s="49"/>
      <c r="M192" s="49"/>
      <c r="N192" s="49"/>
      <c r="O192" s="49"/>
      <c r="P192" s="49"/>
      <c r="Q192" s="49"/>
      <c r="R192" s="49"/>
      <c r="S192" s="49"/>
      <c r="T192" s="49"/>
      <c r="U192" s="49"/>
    </row>
    <row r="193" spans="1:21" ht="13">
      <c r="A193" s="42" t="s">
        <v>322</v>
      </c>
      <c r="B193" s="49"/>
      <c r="C193" s="49"/>
      <c r="D193" s="42" t="s">
        <v>313</v>
      </c>
      <c r="E193" s="47"/>
      <c r="F193" s="49" t="str">
        <f ca="1">IFERROR(__xludf.DUMMYFUNCTION("QUERY('Volunteer Survey'!B790)"),"")</f>
        <v/>
      </c>
      <c r="G193" s="42" t="str">
        <f ca="1">IFERROR(__xludf.DUMMYFUNCTION("QUERY('Volunteer Survey'!H790)"),"")</f>
        <v/>
      </c>
      <c r="H193" s="49" t="str">
        <f ca="1">IFERROR(__xludf.DUMMYFUNCTION("QUERY('Volunteer Survey'!I790)"),"")</f>
        <v/>
      </c>
      <c r="I193" s="49"/>
      <c r="J193" s="49"/>
      <c r="K193" s="49"/>
      <c r="L193" s="49"/>
      <c r="M193" s="49"/>
      <c r="N193" s="49"/>
      <c r="O193" s="49"/>
      <c r="P193" s="49"/>
      <c r="Q193" s="49"/>
      <c r="R193" s="49"/>
      <c r="S193" s="49"/>
      <c r="T193" s="49"/>
      <c r="U193" s="49"/>
    </row>
    <row r="194" spans="1:21" ht="13">
      <c r="A194" s="42" t="s">
        <v>322</v>
      </c>
      <c r="B194" s="49"/>
      <c r="C194" s="49"/>
      <c r="D194" s="49"/>
      <c r="E194" s="47"/>
      <c r="F194" s="49" t="str">
        <f ca="1">IFERROR(__xludf.DUMMYFUNCTION("QUERY('Volunteer Survey'!B791)"),"")</f>
        <v/>
      </c>
      <c r="G194" s="42" t="str">
        <f ca="1">IFERROR(__xludf.DUMMYFUNCTION("QUERY('Volunteer Survey'!H791)"),"")</f>
        <v/>
      </c>
      <c r="H194" s="49" t="str">
        <f ca="1">IFERROR(__xludf.DUMMYFUNCTION("QUERY('Volunteer Survey'!I791)"),"")</f>
        <v/>
      </c>
      <c r="I194" s="49"/>
      <c r="J194" s="49"/>
      <c r="K194" s="49"/>
      <c r="L194" s="49"/>
      <c r="M194" s="49"/>
      <c r="N194" s="49"/>
      <c r="O194" s="49"/>
      <c r="P194" s="49"/>
      <c r="Q194" s="49"/>
      <c r="R194" s="49"/>
      <c r="S194" s="49"/>
      <c r="T194" s="49"/>
      <c r="U194" s="49"/>
    </row>
    <row r="195" spans="1:21" ht="13">
      <c r="A195" s="42" t="s">
        <v>322</v>
      </c>
      <c r="B195" s="49"/>
      <c r="C195" s="49"/>
      <c r="D195" s="49"/>
      <c r="E195" s="47"/>
      <c r="F195" s="49" t="str">
        <f ca="1">IFERROR(__xludf.DUMMYFUNCTION("QUERY('Volunteer Survey'!B792)"),"")</f>
        <v/>
      </c>
      <c r="G195" s="42" t="str">
        <f ca="1">IFERROR(__xludf.DUMMYFUNCTION("QUERY('Volunteer Survey'!H792)"),"")</f>
        <v/>
      </c>
      <c r="H195" s="49" t="str">
        <f ca="1">IFERROR(__xludf.DUMMYFUNCTION("QUERY('Volunteer Survey'!I792)"),"")</f>
        <v/>
      </c>
      <c r="I195" s="49"/>
      <c r="J195" s="49"/>
      <c r="K195" s="49"/>
      <c r="L195" s="49"/>
      <c r="M195" s="49"/>
      <c r="N195" s="49"/>
      <c r="O195" s="49"/>
      <c r="P195" s="49"/>
      <c r="Q195" s="49"/>
      <c r="R195" s="49"/>
      <c r="S195" s="49"/>
      <c r="T195" s="49"/>
      <c r="U195" s="49"/>
    </row>
    <row r="196" spans="1:21" ht="13">
      <c r="A196" s="42" t="s">
        <v>322</v>
      </c>
      <c r="B196" s="49"/>
      <c r="C196" s="49"/>
      <c r="D196" s="49"/>
      <c r="E196" s="47"/>
      <c r="F196" s="49" t="str">
        <f ca="1">IFERROR(__xludf.DUMMYFUNCTION("QUERY('Volunteer Survey'!B793)"),"")</f>
        <v/>
      </c>
      <c r="G196" s="42" t="str">
        <f ca="1">IFERROR(__xludf.DUMMYFUNCTION("QUERY('Volunteer Survey'!H793)"),"")</f>
        <v/>
      </c>
      <c r="H196" s="49" t="str">
        <f ca="1">IFERROR(__xludf.DUMMYFUNCTION("QUERY('Volunteer Survey'!I793)"),"")</f>
        <v/>
      </c>
      <c r="I196" s="49"/>
      <c r="J196" s="49"/>
      <c r="K196" s="49"/>
      <c r="L196" s="49"/>
      <c r="M196" s="49"/>
      <c r="N196" s="49"/>
      <c r="O196" s="49"/>
      <c r="P196" s="49"/>
      <c r="Q196" s="49"/>
      <c r="R196" s="49"/>
      <c r="S196" s="49"/>
      <c r="T196" s="49"/>
      <c r="U196" s="49"/>
    </row>
    <row r="197" spans="1:21" ht="13">
      <c r="A197" s="42" t="s">
        <v>322</v>
      </c>
      <c r="B197" s="49"/>
      <c r="C197" s="49"/>
      <c r="D197" s="49"/>
      <c r="E197" s="47"/>
      <c r="F197" s="49" t="str">
        <f ca="1">IFERROR(__xludf.DUMMYFUNCTION("QUERY('Volunteer Survey'!B794)"),"")</f>
        <v/>
      </c>
      <c r="G197" s="42" t="str">
        <f ca="1">IFERROR(__xludf.DUMMYFUNCTION("QUERY('Volunteer Survey'!H794)"),"")</f>
        <v/>
      </c>
      <c r="H197" s="49" t="str">
        <f ca="1">IFERROR(__xludf.DUMMYFUNCTION("QUERY('Volunteer Survey'!I794)"),"")</f>
        <v/>
      </c>
      <c r="I197" s="49"/>
      <c r="J197" s="49"/>
      <c r="K197" s="49"/>
      <c r="L197" s="49"/>
      <c r="M197" s="49"/>
      <c r="N197" s="49"/>
      <c r="O197" s="49"/>
      <c r="P197" s="49"/>
      <c r="Q197" s="49"/>
      <c r="R197" s="49"/>
      <c r="S197" s="49"/>
      <c r="T197" s="49"/>
      <c r="U197" s="49"/>
    </row>
    <row r="198" spans="1:21" ht="13">
      <c r="A198" s="42" t="s">
        <v>322</v>
      </c>
      <c r="B198" s="49"/>
      <c r="C198" s="49"/>
      <c r="D198" s="49"/>
      <c r="E198" s="47"/>
      <c r="F198" s="49" t="str">
        <f ca="1">IFERROR(__xludf.DUMMYFUNCTION("QUERY('Volunteer Survey'!B795)"),"")</f>
        <v/>
      </c>
      <c r="G198" s="42" t="str">
        <f ca="1">IFERROR(__xludf.DUMMYFUNCTION("QUERY('Volunteer Survey'!H795)"),"")</f>
        <v/>
      </c>
      <c r="H198" s="49" t="str">
        <f ca="1">IFERROR(__xludf.DUMMYFUNCTION("QUERY('Volunteer Survey'!I795)"),"")</f>
        <v/>
      </c>
      <c r="I198" s="49"/>
      <c r="J198" s="49"/>
      <c r="K198" s="49"/>
      <c r="L198" s="49"/>
      <c r="M198" s="49"/>
      <c r="N198" s="49"/>
      <c r="O198" s="49"/>
      <c r="P198" s="49"/>
      <c r="Q198" s="49"/>
      <c r="R198" s="49"/>
      <c r="S198" s="49"/>
      <c r="T198" s="49"/>
      <c r="U198" s="49"/>
    </row>
    <row r="199" spans="1:21" ht="13">
      <c r="A199" s="42" t="s">
        <v>322</v>
      </c>
      <c r="B199" s="49"/>
      <c r="C199" s="49"/>
      <c r="D199" s="49"/>
      <c r="E199" s="47"/>
      <c r="F199" s="49" t="str">
        <f ca="1">IFERROR(__xludf.DUMMYFUNCTION("QUERY('Volunteer Survey'!B796)"),"")</f>
        <v/>
      </c>
      <c r="G199" s="42" t="str">
        <f ca="1">IFERROR(__xludf.DUMMYFUNCTION("QUERY('Volunteer Survey'!H796)"),"")</f>
        <v/>
      </c>
      <c r="H199" s="49" t="str">
        <f ca="1">IFERROR(__xludf.DUMMYFUNCTION("QUERY('Volunteer Survey'!I796)"),"")</f>
        <v/>
      </c>
      <c r="I199" s="49"/>
      <c r="J199" s="49"/>
      <c r="K199" s="49"/>
      <c r="L199" s="49"/>
      <c r="M199" s="49"/>
      <c r="N199" s="49"/>
      <c r="O199" s="49"/>
      <c r="P199" s="49"/>
      <c r="Q199" s="49"/>
      <c r="R199" s="49"/>
      <c r="S199" s="49"/>
      <c r="T199" s="49"/>
      <c r="U199" s="49"/>
    </row>
    <row r="200" spans="1:21" ht="13">
      <c r="A200" s="42" t="s">
        <v>322</v>
      </c>
      <c r="B200" s="49"/>
      <c r="C200" s="49"/>
      <c r="D200" s="49"/>
      <c r="E200" s="47"/>
      <c r="F200" s="49" t="str">
        <f ca="1">IFERROR(__xludf.DUMMYFUNCTION("QUERY('Volunteer Survey'!B797)"),"")</f>
        <v/>
      </c>
      <c r="G200" s="42" t="str">
        <f ca="1">IFERROR(__xludf.DUMMYFUNCTION("QUERY('Volunteer Survey'!H797)"),"")</f>
        <v/>
      </c>
      <c r="H200" s="49" t="str">
        <f ca="1">IFERROR(__xludf.DUMMYFUNCTION("QUERY('Volunteer Survey'!I797)"),"")</f>
        <v/>
      </c>
      <c r="I200" s="49"/>
      <c r="J200" s="49"/>
      <c r="K200" s="49"/>
      <c r="L200" s="49"/>
      <c r="M200" s="49"/>
      <c r="N200" s="49"/>
      <c r="O200" s="49"/>
      <c r="P200" s="49"/>
      <c r="Q200" s="49"/>
      <c r="R200" s="49"/>
      <c r="S200" s="49"/>
      <c r="T200" s="49"/>
      <c r="U200" s="49"/>
    </row>
    <row r="201" spans="1:21" ht="13">
      <c r="A201" s="42" t="s">
        <v>322</v>
      </c>
      <c r="B201" s="49"/>
      <c r="C201" s="49"/>
      <c r="D201" s="49"/>
      <c r="E201" s="47"/>
      <c r="F201" s="49" t="str">
        <f ca="1">IFERROR(__xludf.DUMMYFUNCTION("QUERY('Volunteer Survey'!B798)"),"")</f>
        <v/>
      </c>
      <c r="G201" s="42" t="str">
        <f ca="1">IFERROR(__xludf.DUMMYFUNCTION("QUERY('Volunteer Survey'!H798)"),"")</f>
        <v/>
      </c>
      <c r="H201" s="49" t="str">
        <f ca="1">IFERROR(__xludf.DUMMYFUNCTION("QUERY('Volunteer Survey'!I798)"),"")</f>
        <v/>
      </c>
      <c r="I201" s="49"/>
      <c r="J201" s="49"/>
      <c r="K201" s="49"/>
      <c r="L201" s="49"/>
      <c r="M201" s="49"/>
      <c r="N201" s="49"/>
      <c r="O201" s="49"/>
      <c r="P201" s="49"/>
      <c r="Q201" s="49"/>
      <c r="R201" s="49"/>
      <c r="S201" s="49"/>
      <c r="T201" s="49"/>
      <c r="U201" s="49"/>
    </row>
    <row r="202" spans="1:21" ht="13">
      <c r="A202" s="42" t="s">
        <v>322</v>
      </c>
      <c r="B202" s="49"/>
      <c r="C202" s="49"/>
      <c r="D202" s="49"/>
      <c r="E202" s="47"/>
      <c r="F202" s="49" t="str">
        <f ca="1">IFERROR(__xludf.DUMMYFUNCTION("QUERY('Volunteer Survey'!B799)"),"")</f>
        <v/>
      </c>
      <c r="G202" s="42" t="str">
        <f ca="1">IFERROR(__xludf.DUMMYFUNCTION("QUERY('Volunteer Survey'!H799)"),"")</f>
        <v/>
      </c>
      <c r="H202" s="49" t="str">
        <f ca="1">IFERROR(__xludf.DUMMYFUNCTION("QUERY('Volunteer Survey'!I799)"),"")</f>
        <v/>
      </c>
      <c r="I202" s="49"/>
      <c r="J202" s="49"/>
      <c r="K202" s="49"/>
      <c r="L202" s="49"/>
      <c r="M202" s="49"/>
      <c r="N202" s="49"/>
      <c r="O202" s="49"/>
      <c r="P202" s="49"/>
      <c r="Q202" s="49"/>
      <c r="R202" s="49"/>
      <c r="S202" s="49"/>
      <c r="T202" s="49"/>
      <c r="U202" s="49"/>
    </row>
    <row r="203" spans="1:21" ht="13">
      <c r="A203" s="42" t="s">
        <v>322</v>
      </c>
      <c r="B203" s="49"/>
      <c r="C203" s="49"/>
      <c r="D203" s="49"/>
      <c r="E203" s="47"/>
      <c r="F203" s="49" t="str">
        <f ca="1">IFERROR(__xludf.DUMMYFUNCTION("QUERY('Volunteer Survey'!B800)"),"")</f>
        <v/>
      </c>
      <c r="G203" s="42" t="str">
        <f ca="1">IFERROR(__xludf.DUMMYFUNCTION("QUERY('Volunteer Survey'!H800)"),"")</f>
        <v/>
      </c>
      <c r="H203" s="49" t="str">
        <f ca="1">IFERROR(__xludf.DUMMYFUNCTION("QUERY('Volunteer Survey'!I800)"),"")</f>
        <v/>
      </c>
      <c r="I203" s="49"/>
      <c r="J203" s="49"/>
      <c r="K203" s="49"/>
      <c r="L203" s="49"/>
      <c r="M203" s="49"/>
      <c r="N203" s="49"/>
      <c r="O203" s="49"/>
      <c r="P203" s="49"/>
      <c r="Q203" s="49"/>
      <c r="R203" s="49"/>
      <c r="S203" s="49"/>
      <c r="T203" s="49"/>
      <c r="U203" s="49"/>
    </row>
    <row r="204" spans="1:21" ht="13">
      <c r="A204" s="42" t="s">
        <v>322</v>
      </c>
      <c r="B204" s="49"/>
      <c r="C204" s="49"/>
      <c r="D204" s="49"/>
      <c r="E204" s="47"/>
      <c r="F204" s="49" t="str">
        <f ca="1">IFERROR(__xludf.DUMMYFUNCTION("QUERY('Volunteer Survey'!B801)"),"")</f>
        <v/>
      </c>
      <c r="G204" s="42" t="str">
        <f ca="1">IFERROR(__xludf.DUMMYFUNCTION("QUERY('Volunteer Survey'!H801)"),"")</f>
        <v/>
      </c>
      <c r="H204" s="49" t="str">
        <f ca="1">IFERROR(__xludf.DUMMYFUNCTION("QUERY('Volunteer Survey'!I801)"),"")</f>
        <v/>
      </c>
      <c r="I204" s="49"/>
      <c r="J204" s="49"/>
      <c r="K204" s="49"/>
      <c r="L204" s="49"/>
      <c r="M204" s="49"/>
      <c r="N204" s="49"/>
      <c r="O204" s="49"/>
      <c r="P204" s="49"/>
      <c r="Q204" s="49"/>
      <c r="R204" s="49"/>
      <c r="S204" s="49"/>
      <c r="T204" s="49"/>
      <c r="U204" s="49"/>
    </row>
    <row r="205" spans="1:21" ht="13">
      <c r="A205" s="42" t="s">
        <v>322</v>
      </c>
      <c r="B205" s="49"/>
      <c r="C205" s="49"/>
      <c r="D205" s="49"/>
      <c r="E205" s="47"/>
      <c r="F205" s="49" t="str">
        <f ca="1">IFERROR(__xludf.DUMMYFUNCTION("QUERY('Volunteer Survey'!B802)"),"")</f>
        <v/>
      </c>
      <c r="G205" s="42" t="str">
        <f ca="1">IFERROR(__xludf.DUMMYFUNCTION("QUERY('Volunteer Survey'!H802)"),"")</f>
        <v/>
      </c>
      <c r="H205" s="49" t="str">
        <f ca="1">IFERROR(__xludf.DUMMYFUNCTION("QUERY('Volunteer Survey'!I802)"),"")</f>
        <v/>
      </c>
      <c r="I205" s="49"/>
      <c r="J205" s="49"/>
      <c r="K205" s="49"/>
      <c r="L205" s="49"/>
      <c r="M205" s="49"/>
      <c r="N205" s="49"/>
      <c r="O205" s="49"/>
      <c r="P205" s="49"/>
      <c r="Q205" s="49"/>
      <c r="R205" s="49"/>
      <c r="S205" s="49"/>
      <c r="T205" s="49"/>
      <c r="U205" s="49"/>
    </row>
    <row r="206" spans="1:21" ht="13">
      <c r="A206" s="42" t="s">
        <v>322</v>
      </c>
      <c r="B206" s="49"/>
      <c r="C206" s="49"/>
      <c r="D206" s="49"/>
      <c r="E206" s="47"/>
      <c r="F206" s="49" t="str">
        <f ca="1">IFERROR(__xludf.DUMMYFUNCTION("QUERY('Volunteer Survey'!B803)"),"")</f>
        <v/>
      </c>
      <c r="G206" s="42" t="str">
        <f ca="1">IFERROR(__xludf.DUMMYFUNCTION("QUERY('Volunteer Survey'!H803)"),"")</f>
        <v/>
      </c>
      <c r="H206" s="49" t="str">
        <f ca="1">IFERROR(__xludf.DUMMYFUNCTION("QUERY('Volunteer Survey'!I803)"),"")</f>
        <v/>
      </c>
      <c r="I206" s="49"/>
      <c r="J206" s="49"/>
      <c r="K206" s="49"/>
      <c r="L206" s="49"/>
      <c r="M206" s="49"/>
      <c r="N206" s="49"/>
      <c r="O206" s="49"/>
      <c r="P206" s="49"/>
      <c r="Q206" s="49"/>
      <c r="R206" s="49"/>
      <c r="S206" s="49"/>
      <c r="T206" s="49"/>
      <c r="U206" s="49"/>
    </row>
    <row r="207" spans="1:21" ht="13">
      <c r="A207" s="42" t="s">
        <v>322</v>
      </c>
      <c r="B207" s="49"/>
      <c r="C207" s="49"/>
      <c r="D207" s="49"/>
      <c r="E207" s="47"/>
      <c r="F207" s="49" t="str">
        <f ca="1">IFERROR(__xludf.DUMMYFUNCTION("QUERY('Volunteer Survey'!B804)"),"")</f>
        <v/>
      </c>
      <c r="G207" s="42" t="str">
        <f ca="1">IFERROR(__xludf.DUMMYFUNCTION("QUERY('Volunteer Survey'!H804)"),"")</f>
        <v/>
      </c>
      <c r="H207" s="49" t="str">
        <f ca="1">IFERROR(__xludf.DUMMYFUNCTION("QUERY('Volunteer Survey'!I804)"),"")</f>
        <v/>
      </c>
      <c r="I207" s="49"/>
      <c r="J207" s="49"/>
      <c r="K207" s="49"/>
      <c r="L207" s="49"/>
      <c r="M207" s="49"/>
      <c r="N207" s="49"/>
      <c r="O207" s="49"/>
      <c r="P207" s="49"/>
      <c r="Q207" s="49"/>
      <c r="R207" s="49"/>
      <c r="S207" s="49"/>
      <c r="T207" s="49"/>
      <c r="U207" s="49"/>
    </row>
    <row r="208" spans="1:21" ht="13">
      <c r="A208" s="42" t="s">
        <v>322</v>
      </c>
      <c r="B208" s="49"/>
      <c r="C208" s="49"/>
      <c r="D208" s="49"/>
      <c r="E208" s="47"/>
      <c r="F208" s="49" t="str">
        <f ca="1">IFERROR(__xludf.DUMMYFUNCTION("QUERY('Volunteer Survey'!B805)"),"")</f>
        <v/>
      </c>
      <c r="G208" s="42" t="str">
        <f ca="1">IFERROR(__xludf.DUMMYFUNCTION("QUERY('Volunteer Survey'!H805)"),"")</f>
        <v/>
      </c>
      <c r="H208" s="49" t="str">
        <f ca="1">IFERROR(__xludf.DUMMYFUNCTION("QUERY('Volunteer Survey'!I805)"),"")</f>
        <v/>
      </c>
      <c r="I208" s="49"/>
      <c r="J208" s="49"/>
      <c r="K208" s="49"/>
      <c r="L208" s="49"/>
      <c r="M208" s="49"/>
      <c r="N208" s="49"/>
      <c r="O208" s="49"/>
      <c r="P208" s="49"/>
      <c r="Q208" s="49"/>
      <c r="R208" s="49"/>
      <c r="S208" s="49"/>
      <c r="T208" s="49"/>
      <c r="U208" s="49"/>
    </row>
    <row r="209" spans="1:21" ht="13">
      <c r="A209" s="42" t="s">
        <v>322</v>
      </c>
      <c r="B209" s="49"/>
      <c r="C209" s="49"/>
      <c r="D209" s="49"/>
      <c r="E209" s="47"/>
      <c r="F209" s="49" t="str">
        <f ca="1">IFERROR(__xludf.DUMMYFUNCTION("QUERY('Volunteer Survey'!B806)"),"")</f>
        <v/>
      </c>
      <c r="G209" s="42" t="str">
        <f ca="1">IFERROR(__xludf.DUMMYFUNCTION("QUERY('Volunteer Survey'!H806)"),"")</f>
        <v/>
      </c>
      <c r="H209" s="49" t="str">
        <f ca="1">IFERROR(__xludf.DUMMYFUNCTION("QUERY('Volunteer Survey'!I806)"),"")</f>
        <v/>
      </c>
      <c r="I209" s="49"/>
      <c r="J209" s="49"/>
      <c r="K209" s="49"/>
      <c r="L209" s="49"/>
      <c r="M209" s="49"/>
      <c r="N209" s="49"/>
      <c r="O209" s="49"/>
      <c r="P209" s="49"/>
      <c r="Q209" s="49"/>
      <c r="R209" s="49"/>
      <c r="S209" s="49"/>
      <c r="T209" s="49"/>
      <c r="U209" s="49"/>
    </row>
    <row r="210" spans="1:21" ht="13">
      <c r="A210" s="42" t="s">
        <v>322</v>
      </c>
      <c r="B210" s="49"/>
      <c r="C210" s="49"/>
      <c r="D210" s="49"/>
      <c r="E210" s="47"/>
      <c r="F210" s="49" t="str">
        <f ca="1">IFERROR(__xludf.DUMMYFUNCTION("QUERY('Volunteer Survey'!B807)"),"")</f>
        <v/>
      </c>
      <c r="G210" s="42" t="str">
        <f ca="1">IFERROR(__xludf.DUMMYFUNCTION("QUERY('Volunteer Survey'!H807)"),"")</f>
        <v/>
      </c>
      <c r="H210" s="49" t="str">
        <f ca="1">IFERROR(__xludf.DUMMYFUNCTION("QUERY('Volunteer Survey'!I807)"),"")</f>
        <v/>
      </c>
      <c r="I210" s="49"/>
      <c r="J210" s="49"/>
      <c r="K210" s="49"/>
      <c r="L210" s="49"/>
      <c r="M210" s="49"/>
      <c r="N210" s="49"/>
      <c r="O210" s="49"/>
      <c r="P210" s="49"/>
      <c r="Q210" s="49"/>
      <c r="R210" s="49"/>
      <c r="S210" s="49"/>
      <c r="T210" s="49"/>
      <c r="U210" s="49"/>
    </row>
    <row r="211" spans="1:21" ht="13">
      <c r="A211" s="42" t="s">
        <v>322</v>
      </c>
      <c r="B211" s="49"/>
      <c r="C211" s="49"/>
      <c r="D211" s="49"/>
      <c r="E211" s="47"/>
      <c r="F211" s="49" t="str">
        <f ca="1">IFERROR(__xludf.DUMMYFUNCTION("QUERY('Volunteer Survey'!B808)"),"")</f>
        <v/>
      </c>
      <c r="G211" s="42" t="str">
        <f ca="1">IFERROR(__xludf.DUMMYFUNCTION("QUERY('Volunteer Survey'!H808)"),"")</f>
        <v/>
      </c>
      <c r="H211" s="49" t="str">
        <f ca="1">IFERROR(__xludf.DUMMYFUNCTION("QUERY('Volunteer Survey'!I808)"),"")</f>
        <v/>
      </c>
      <c r="I211" s="49"/>
      <c r="J211" s="49"/>
      <c r="K211" s="49"/>
      <c r="L211" s="49"/>
      <c r="M211" s="49"/>
      <c r="N211" s="49"/>
      <c r="O211" s="49"/>
      <c r="P211" s="49"/>
      <c r="Q211" s="49"/>
      <c r="R211" s="49"/>
      <c r="S211" s="49"/>
      <c r="T211" s="49"/>
      <c r="U211" s="49"/>
    </row>
    <row r="212" spans="1:21" ht="13">
      <c r="A212" s="42" t="s">
        <v>322</v>
      </c>
      <c r="B212" s="49"/>
      <c r="C212" s="49"/>
      <c r="D212" s="49"/>
      <c r="E212" s="47"/>
      <c r="F212" s="49" t="str">
        <f ca="1">IFERROR(__xludf.DUMMYFUNCTION("QUERY('Volunteer Survey'!B809)"),"")</f>
        <v/>
      </c>
      <c r="G212" s="42" t="str">
        <f ca="1">IFERROR(__xludf.DUMMYFUNCTION("QUERY('Volunteer Survey'!H809)"),"")</f>
        <v/>
      </c>
      <c r="H212" s="49" t="str">
        <f ca="1">IFERROR(__xludf.DUMMYFUNCTION("QUERY('Volunteer Survey'!I809)"),"")</f>
        <v/>
      </c>
      <c r="I212" s="49"/>
      <c r="J212" s="49"/>
      <c r="K212" s="49"/>
      <c r="L212" s="49"/>
      <c r="M212" s="49"/>
      <c r="N212" s="49"/>
      <c r="O212" s="49"/>
      <c r="P212" s="49"/>
      <c r="Q212" s="49"/>
      <c r="R212" s="49"/>
      <c r="S212" s="49"/>
      <c r="T212" s="49"/>
      <c r="U212" s="49"/>
    </row>
    <row r="213" spans="1:21" ht="13">
      <c r="A213" s="42" t="s">
        <v>322</v>
      </c>
      <c r="B213" s="49"/>
      <c r="C213" s="49"/>
      <c r="D213" s="49"/>
      <c r="E213" s="47"/>
      <c r="F213" s="49" t="str">
        <f ca="1">IFERROR(__xludf.DUMMYFUNCTION("QUERY('Volunteer Survey'!B810)"),"")</f>
        <v/>
      </c>
      <c r="G213" s="42" t="str">
        <f ca="1">IFERROR(__xludf.DUMMYFUNCTION("QUERY('Volunteer Survey'!H810)"),"")</f>
        <v/>
      </c>
      <c r="H213" s="49" t="str">
        <f ca="1">IFERROR(__xludf.DUMMYFUNCTION("QUERY('Volunteer Survey'!I810)"),"")</f>
        <v/>
      </c>
      <c r="I213" s="49"/>
      <c r="J213" s="49"/>
      <c r="K213" s="49"/>
      <c r="L213" s="49"/>
      <c r="M213" s="49"/>
      <c r="N213" s="49"/>
      <c r="O213" s="49"/>
      <c r="P213" s="49"/>
      <c r="Q213" s="49"/>
      <c r="R213" s="49"/>
      <c r="S213" s="49"/>
      <c r="T213" s="49"/>
      <c r="U213" s="49"/>
    </row>
    <row r="214" spans="1:21" ht="13">
      <c r="A214" s="42" t="s">
        <v>322</v>
      </c>
      <c r="B214" s="49"/>
      <c r="C214" s="49"/>
      <c r="D214" s="49"/>
      <c r="E214" s="47"/>
      <c r="F214" s="49" t="str">
        <f ca="1">IFERROR(__xludf.DUMMYFUNCTION("QUERY('Volunteer Survey'!B811)"),"")</f>
        <v/>
      </c>
      <c r="G214" s="42" t="str">
        <f ca="1">IFERROR(__xludf.DUMMYFUNCTION("QUERY('Volunteer Survey'!H811)"),"")</f>
        <v/>
      </c>
      <c r="H214" s="49" t="str">
        <f ca="1">IFERROR(__xludf.DUMMYFUNCTION("QUERY('Volunteer Survey'!I811)"),"")</f>
        <v/>
      </c>
      <c r="I214" s="49"/>
      <c r="J214" s="49"/>
      <c r="K214" s="49"/>
      <c r="L214" s="49"/>
      <c r="M214" s="49"/>
      <c r="N214" s="49"/>
      <c r="O214" s="49"/>
      <c r="P214" s="49"/>
      <c r="Q214" s="49"/>
      <c r="R214" s="49"/>
      <c r="S214" s="49"/>
      <c r="T214" s="49"/>
      <c r="U214" s="49"/>
    </row>
    <row r="215" spans="1:21" ht="13">
      <c r="A215" s="42" t="s">
        <v>322</v>
      </c>
      <c r="B215" s="49"/>
      <c r="C215" s="49"/>
      <c r="D215" s="49"/>
      <c r="E215" s="47"/>
      <c r="F215" s="49" t="str">
        <f ca="1">IFERROR(__xludf.DUMMYFUNCTION("QUERY('Volunteer Survey'!B812)"),"")</f>
        <v/>
      </c>
      <c r="G215" s="42" t="str">
        <f ca="1">IFERROR(__xludf.DUMMYFUNCTION("QUERY('Volunteer Survey'!H812)"),"")</f>
        <v/>
      </c>
      <c r="H215" s="49" t="str">
        <f ca="1">IFERROR(__xludf.DUMMYFUNCTION("QUERY('Volunteer Survey'!I812)"),"")</f>
        <v/>
      </c>
      <c r="I215" s="49"/>
      <c r="J215" s="49"/>
      <c r="K215" s="49"/>
      <c r="L215" s="49"/>
      <c r="M215" s="49"/>
      <c r="N215" s="49"/>
      <c r="O215" s="49"/>
      <c r="P215" s="49"/>
      <c r="Q215" s="49"/>
      <c r="R215" s="49"/>
      <c r="S215" s="49"/>
      <c r="T215" s="49"/>
      <c r="U215" s="49"/>
    </row>
    <row r="216" spans="1:21" ht="13">
      <c r="A216" s="42" t="s">
        <v>322</v>
      </c>
      <c r="B216" s="49"/>
      <c r="C216" s="49"/>
      <c r="D216" s="49"/>
      <c r="E216" s="47"/>
      <c r="F216" s="49" t="str">
        <f ca="1">IFERROR(__xludf.DUMMYFUNCTION("QUERY('Volunteer Survey'!B813)"),"")</f>
        <v/>
      </c>
      <c r="G216" s="42" t="str">
        <f ca="1">IFERROR(__xludf.DUMMYFUNCTION("QUERY('Volunteer Survey'!H813)"),"")</f>
        <v/>
      </c>
      <c r="H216" s="49" t="str">
        <f ca="1">IFERROR(__xludf.DUMMYFUNCTION("QUERY('Volunteer Survey'!I813)"),"")</f>
        <v/>
      </c>
      <c r="I216" s="49"/>
      <c r="J216" s="49"/>
      <c r="K216" s="49"/>
      <c r="L216" s="49"/>
      <c r="M216" s="49"/>
      <c r="N216" s="49"/>
      <c r="O216" s="49"/>
      <c r="P216" s="49"/>
      <c r="Q216" s="49"/>
      <c r="R216" s="49"/>
      <c r="S216" s="49"/>
      <c r="T216" s="49"/>
      <c r="U216" s="49"/>
    </row>
    <row r="217" spans="1:21" ht="13">
      <c r="A217" s="42" t="s">
        <v>322</v>
      </c>
      <c r="B217" s="49"/>
      <c r="C217" s="49"/>
      <c r="D217" s="49"/>
      <c r="E217" s="47"/>
      <c r="F217" s="49" t="str">
        <f ca="1">IFERROR(__xludf.DUMMYFUNCTION("QUERY('Volunteer Survey'!B814)"),"")</f>
        <v/>
      </c>
      <c r="G217" s="42" t="str">
        <f ca="1">IFERROR(__xludf.DUMMYFUNCTION("QUERY('Volunteer Survey'!H814)"),"")</f>
        <v/>
      </c>
      <c r="H217" s="49" t="str">
        <f ca="1">IFERROR(__xludf.DUMMYFUNCTION("QUERY('Volunteer Survey'!I814)"),"")</f>
        <v/>
      </c>
      <c r="I217" s="49"/>
      <c r="J217" s="49"/>
      <c r="K217" s="49"/>
      <c r="L217" s="49"/>
      <c r="M217" s="49"/>
      <c r="N217" s="49"/>
      <c r="O217" s="49"/>
      <c r="P217" s="49"/>
      <c r="Q217" s="49"/>
      <c r="R217" s="49"/>
      <c r="S217" s="49"/>
      <c r="T217" s="49"/>
      <c r="U217" s="49"/>
    </row>
    <row r="218" spans="1:21" ht="13">
      <c r="A218" s="42" t="s">
        <v>322</v>
      </c>
      <c r="B218" s="49"/>
      <c r="C218" s="49"/>
      <c r="D218" s="49"/>
      <c r="E218" s="47"/>
      <c r="F218" s="49" t="str">
        <f ca="1">IFERROR(__xludf.DUMMYFUNCTION("QUERY('Volunteer Survey'!B815)"),"")</f>
        <v/>
      </c>
      <c r="G218" s="42" t="str">
        <f ca="1">IFERROR(__xludf.DUMMYFUNCTION("QUERY('Volunteer Survey'!H815)"),"")</f>
        <v/>
      </c>
      <c r="H218" s="49" t="str">
        <f ca="1">IFERROR(__xludf.DUMMYFUNCTION("QUERY('Volunteer Survey'!I815)"),"")</f>
        <v/>
      </c>
      <c r="I218" s="49"/>
      <c r="J218" s="49"/>
      <c r="K218" s="49"/>
      <c r="L218" s="49"/>
      <c r="M218" s="49"/>
      <c r="N218" s="49"/>
      <c r="O218" s="49"/>
      <c r="P218" s="49"/>
      <c r="Q218" s="49"/>
      <c r="R218" s="49"/>
      <c r="S218" s="49"/>
      <c r="T218" s="49"/>
      <c r="U218" s="49"/>
    </row>
    <row r="219" spans="1:21" ht="13">
      <c r="A219" s="42" t="s">
        <v>322</v>
      </c>
      <c r="B219" s="49"/>
      <c r="C219" s="49"/>
      <c r="D219" s="49"/>
      <c r="E219" s="47"/>
      <c r="F219" s="49" t="str">
        <f ca="1">IFERROR(__xludf.DUMMYFUNCTION("QUERY('Volunteer Survey'!B816)"),"")</f>
        <v/>
      </c>
      <c r="G219" s="42" t="str">
        <f ca="1">IFERROR(__xludf.DUMMYFUNCTION("QUERY('Volunteer Survey'!H816)"),"")</f>
        <v/>
      </c>
      <c r="H219" s="49" t="str">
        <f ca="1">IFERROR(__xludf.DUMMYFUNCTION("QUERY('Volunteer Survey'!I816)"),"")</f>
        <v/>
      </c>
      <c r="I219" s="49"/>
      <c r="J219" s="49"/>
      <c r="K219" s="49"/>
      <c r="L219" s="49"/>
      <c r="M219" s="49"/>
      <c r="N219" s="49"/>
      <c r="O219" s="49"/>
      <c r="P219" s="49"/>
      <c r="Q219" s="49"/>
      <c r="R219" s="49"/>
      <c r="S219" s="49"/>
      <c r="T219" s="49"/>
      <c r="U219" s="49"/>
    </row>
    <row r="220" spans="1:21" ht="13">
      <c r="A220" s="42" t="s">
        <v>322</v>
      </c>
      <c r="B220" s="49"/>
      <c r="C220" s="49"/>
      <c r="D220" s="49"/>
      <c r="E220" s="47"/>
      <c r="F220" s="49" t="str">
        <f ca="1">IFERROR(__xludf.DUMMYFUNCTION("QUERY('Volunteer Survey'!B817)"),"")</f>
        <v/>
      </c>
      <c r="G220" s="42" t="str">
        <f ca="1">IFERROR(__xludf.DUMMYFUNCTION("QUERY('Volunteer Survey'!H817)"),"")</f>
        <v/>
      </c>
      <c r="H220" s="49" t="str">
        <f ca="1">IFERROR(__xludf.DUMMYFUNCTION("QUERY('Volunteer Survey'!I817)"),"")</f>
        <v/>
      </c>
      <c r="I220" s="49"/>
      <c r="J220" s="49"/>
      <c r="K220" s="49"/>
      <c r="L220" s="49"/>
      <c r="M220" s="49"/>
      <c r="N220" s="49"/>
      <c r="O220" s="49"/>
      <c r="P220" s="49"/>
      <c r="Q220" s="49"/>
      <c r="R220" s="49"/>
      <c r="S220" s="49"/>
      <c r="T220" s="49"/>
      <c r="U220" s="49"/>
    </row>
    <row r="221" spans="1:21" ht="13">
      <c r="A221" s="42" t="s">
        <v>322</v>
      </c>
      <c r="B221" s="49"/>
      <c r="C221" s="49"/>
      <c r="D221" s="49"/>
      <c r="E221" s="47"/>
      <c r="F221" s="49" t="str">
        <f ca="1">IFERROR(__xludf.DUMMYFUNCTION("QUERY('Volunteer Survey'!B818)"),"")</f>
        <v/>
      </c>
      <c r="G221" s="42" t="str">
        <f ca="1">IFERROR(__xludf.DUMMYFUNCTION("QUERY('Volunteer Survey'!H818)"),"")</f>
        <v/>
      </c>
      <c r="H221" s="49" t="str">
        <f ca="1">IFERROR(__xludf.DUMMYFUNCTION("QUERY('Volunteer Survey'!I818)"),"")</f>
        <v/>
      </c>
      <c r="I221" s="49"/>
      <c r="J221" s="49"/>
      <c r="K221" s="49"/>
      <c r="L221" s="49"/>
      <c r="M221" s="49"/>
      <c r="N221" s="49"/>
      <c r="O221" s="49"/>
      <c r="P221" s="49"/>
      <c r="Q221" s="49"/>
      <c r="R221" s="49"/>
      <c r="S221" s="49"/>
      <c r="T221" s="49"/>
      <c r="U221" s="49"/>
    </row>
    <row r="222" spans="1:21" ht="13">
      <c r="A222" s="42" t="s">
        <v>322</v>
      </c>
      <c r="B222" s="49"/>
      <c r="C222" s="49"/>
      <c r="D222" s="49"/>
      <c r="E222" s="47"/>
      <c r="F222" s="49" t="str">
        <f ca="1">IFERROR(__xludf.DUMMYFUNCTION("QUERY('Volunteer Survey'!B819)"),"")</f>
        <v/>
      </c>
      <c r="G222" s="42" t="str">
        <f ca="1">IFERROR(__xludf.DUMMYFUNCTION("QUERY('Volunteer Survey'!H819)"),"")</f>
        <v/>
      </c>
      <c r="H222" s="49" t="str">
        <f ca="1">IFERROR(__xludf.DUMMYFUNCTION("QUERY('Volunteer Survey'!I819)"),"")</f>
        <v/>
      </c>
      <c r="I222" s="49"/>
      <c r="J222" s="49"/>
      <c r="K222" s="49"/>
      <c r="L222" s="49"/>
      <c r="M222" s="49"/>
      <c r="N222" s="49"/>
      <c r="O222" s="49"/>
      <c r="P222" s="49"/>
      <c r="Q222" s="49"/>
      <c r="R222" s="49"/>
      <c r="S222" s="49"/>
      <c r="T222" s="49"/>
      <c r="U222" s="49"/>
    </row>
    <row r="223" spans="1:21" ht="13">
      <c r="A223" s="42" t="s">
        <v>322</v>
      </c>
      <c r="B223" s="49"/>
      <c r="C223" s="49"/>
      <c r="D223" s="49"/>
      <c r="E223" s="47"/>
      <c r="F223" s="49" t="str">
        <f ca="1">IFERROR(__xludf.DUMMYFUNCTION("QUERY('Volunteer Survey'!B820)"),"")</f>
        <v/>
      </c>
      <c r="G223" s="42" t="str">
        <f ca="1">IFERROR(__xludf.DUMMYFUNCTION("QUERY('Volunteer Survey'!H820)"),"")</f>
        <v/>
      </c>
      <c r="H223" s="49" t="str">
        <f ca="1">IFERROR(__xludf.DUMMYFUNCTION("QUERY('Volunteer Survey'!I820)"),"")</f>
        <v/>
      </c>
      <c r="I223" s="49"/>
      <c r="J223" s="49"/>
      <c r="K223" s="49"/>
      <c r="L223" s="49"/>
      <c r="M223" s="49"/>
      <c r="N223" s="49"/>
      <c r="O223" s="49"/>
      <c r="P223" s="49"/>
      <c r="Q223" s="49"/>
      <c r="R223" s="49"/>
      <c r="S223" s="49"/>
      <c r="T223" s="49"/>
      <c r="U223" s="49"/>
    </row>
    <row r="224" spans="1:21" ht="13">
      <c r="A224" s="42" t="s">
        <v>322</v>
      </c>
      <c r="B224" s="49"/>
      <c r="C224" s="49"/>
      <c r="D224" s="49"/>
      <c r="E224" s="47"/>
      <c r="F224" s="49" t="str">
        <f ca="1">IFERROR(__xludf.DUMMYFUNCTION("QUERY('Volunteer Survey'!B821)"),"")</f>
        <v/>
      </c>
      <c r="G224" s="42" t="str">
        <f ca="1">IFERROR(__xludf.DUMMYFUNCTION("QUERY('Volunteer Survey'!H821)"),"")</f>
        <v/>
      </c>
      <c r="H224" s="49" t="str">
        <f ca="1">IFERROR(__xludf.DUMMYFUNCTION("QUERY('Volunteer Survey'!I821)"),"")</f>
        <v/>
      </c>
      <c r="I224" s="49"/>
      <c r="J224" s="49"/>
      <c r="K224" s="49"/>
      <c r="L224" s="49"/>
      <c r="M224" s="49"/>
      <c r="N224" s="49"/>
      <c r="O224" s="49"/>
      <c r="P224" s="49"/>
      <c r="Q224" s="49"/>
      <c r="R224" s="49"/>
      <c r="S224" s="49"/>
      <c r="T224" s="49"/>
      <c r="U224" s="49"/>
    </row>
    <row r="225" spans="1:21" ht="13">
      <c r="A225" s="42" t="s">
        <v>322</v>
      </c>
      <c r="B225" s="49"/>
      <c r="C225" s="49"/>
      <c r="D225" s="49"/>
      <c r="E225" s="47"/>
      <c r="F225" s="49" t="str">
        <f ca="1">IFERROR(__xludf.DUMMYFUNCTION("QUERY('Volunteer Survey'!B822)"),"")</f>
        <v/>
      </c>
      <c r="G225" s="42" t="str">
        <f ca="1">IFERROR(__xludf.DUMMYFUNCTION("QUERY('Volunteer Survey'!H822)"),"")</f>
        <v/>
      </c>
      <c r="H225" s="49" t="str">
        <f ca="1">IFERROR(__xludf.DUMMYFUNCTION("QUERY('Volunteer Survey'!I822)"),"")</f>
        <v/>
      </c>
      <c r="I225" s="49"/>
      <c r="J225" s="49"/>
      <c r="K225" s="49"/>
      <c r="L225" s="49"/>
      <c r="M225" s="49"/>
      <c r="N225" s="49"/>
      <c r="O225" s="49"/>
      <c r="P225" s="49"/>
      <c r="Q225" s="49"/>
      <c r="R225" s="49"/>
      <c r="S225" s="49"/>
      <c r="T225" s="49"/>
      <c r="U225" s="49"/>
    </row>
    <row r="226" spans="1:21" ht="13">
      <c r="A226" s="42" t="s">
        <v>322</v>
      </c>
      <c r="B226" s="49"/>
      <c r="C226" s="49"/>
      <c r="D226" s="49"/>
      <c r="E226" s="47"/>
      <c r="F226" s="49" t="str">
        <f ca="1">IFERROR(__xludf.DUMMYFUNCTION("QUERY('Volunteer Survey'!B823)"),"")</f>
        <v/>
      </c>
      <c r="G226" s="42" t="str">
        <f ca="1">IFERROR(__xludf.DUMMYFUNCTION("QUERY('Volunteer Survey'!H823)"),"")</f>
        <v/>
      </c>
      <c r="H226" s="49" t="str">
        <f ca="1">IFERROR(__xludf.DUMMYFUNCTION("QUERY('Volunteer Survey'!I823)"),"")</f>
        <v/>
      </c>
      <c r="I226" s="49"/>
      <c r="J226" s="49"/>
      <c r="K226" s="49"/>
      <c r="L226" s="49"/>
      <c r="M226" s="49"/>
      <c r="N226" s="49"/>
      <c r="O226" s="49"/>
      <c r="P226" s="49"/>
      <c r="Q226" s="49"/>
      <c r="R226" s="49"/>
      <c r="S226" s="49"/>
      <c r="T226" s="49"/>
      <c r="U226" s="49"/>
    </row>
    <row r="227" spans="1:21" ht="13">
      <c r="A227" s="42" t="s">
        <v>322</v>
      </c>
      <c r="B227" s="49"/>
      <c r="C227" s="49"/>
      <c r="D227" s="49"/>
      <c r="E227" s="47"/>
      <c r="F227" s="49" t="str">
        <f ca="1">IFERROR(__xludf.DUMMYFUNCTION("QUERY('Volunteer Survey'!B824)"),"")</f>
        <v/>
      </c>
      <c r="G227" s="42" t="str">
        <f ca="1">IFERROR(__xludf.DUMMYFUNCTION("QUERY('Volunteer Survey'!H824)"),"")</f>
        <v/>
      </c>
      <c r="H227" s="49" t="str">
        <f ca="1">IFERROR(__xludf.DUMMYFUNCTION("QUERY('Volunteer Survey'!I824)"),"")</f>
        <v/>
      </c>
      <c r="I227" s="49"/>
      <c r="J227" s="49"/>
      <c r="K227" s="49"/>
      <c r="L227" s="49"/>
      <c r="M227" s="49"/>
      <c r="N227" s="49"/>
      <c r="O227" s="49"/>
      <c r="P227" s="49"/>
      <c r="Q227" s="49"/>
      <c r="R227" s="49"/>
      <c r="S227" s="49"/>
      <c r="T227" s="49"/>
      <c r="U227" s="49"/>
    </row>
    <row r="228" spans="1:21" ht="13">
      <c r="A228" s="42" t="s">
        <v>322</v>
      </c>
      <c r="B228" s="49"/>
      <c r="C228" s="49"/>
      <c r="D228" s="49"/>
      <c r="E228" s="47"/>
      <c r="F228" s="49" t="str">
        <f ca="1">IFERROR(__xludf.DUMMYFUNCTION("QUERY('Volunteer Survey'!B825)"),"")</f>
        <v/>
      </c>
      <c r="G228" s="42" t="str">
        <f ca="1">IFERROR(__xludf.DUMMYFUNCTION("QUERY('Volunteer Survey'!H825)"),"")</f>
        <v/>
      </c>
      <c r="H228" s="49" t="str">
        <f ca="1">IFERROR(__xludf.DUMMYFUNCTION("QUERY('Volunteer Survey'!I825)"),"")</f>
        <v/>
      </c>
      <c r="I228" s="49"/>
      <c r="J228" s="49"/>
      <c r="K228" s="49"/>
      <c r="L228" s="49"/>
      <c r="M228" s="49"/>
      <c r="N228" s="49"/>
      <c r="O228" s="49"/>
      <c r="P228" s="49"/>
      <c r="Q228" s="49"/>
      <c r="R228" s="49"/>
      <c r="S228" s="49"/>
      <c r="T228" s="49"/>
      <c r="U228" s="49"/>
    </row>
    <row r="229" spans="1:21" ht="13">
      <c r="A229" s="42" t="s">
        <v>322</v>
      </c>
      <c r="B229" s="49"/>
      <c r="C229" s="49"/>
      <c r="D229" s="49"/>
      <c r="E229" s="47"/>
      <c r="F229" s="49" t="str">
        <f ca="1">IFERROR(__xludf.DUMMYFUNCTION("QUERY('Volunteer Survey'!B826)"),"")</f>
        <v/>
      </c>
      <c r="G229" s="42" t="str">
        <f ca="1">IFERROR(__xludf.DUMMYFUNCTION("QUERY('Volunteer Survey'!H826)"),"")</f>
        <v/>
      </c>
      <c r="H229" s="49" t="str">
        <f ca="1">IFERROR(__xludf.DUMMYFUNCTION("QUERY('Volunteer Survey'!I826)"),"")</f>
        <v/>
      </c>
      <c r="I229" s="49"/>
      <c r="J229" s="49"/>
      <c r="K229" s="49"/>
      <c r="L229" s="49"/>
      <c r="M229" s="49"/>
      <c r="N229" s="49"/>
      <c r="O229" s="49"/>
      <c r="P229" s="49"/>
      <c r="Q229" s="49"/>
      <c r="R229" s="49"/>
      <c r="S229" s="49"/>
      <c r="T229" s="49"/>
      <c r="U229" s="49"/>
    </row>
    <row r="230" spans="1:21" ht="13">
      <c r="A230" s="42" t="s">
        <v>322</v>
      </c>
      <c r="B230" s="49"/>
      <c r="C230" s="49"/>
      <c r="D230" s="49"/>
      <c r="E230" s="47"/>
      <c r="F230" s="49" t="str">
        <f ca="1">IFERROR(__xludf.DUMMYFUNCTION("QUERY('Volunteer Survey'!B827)"),"")</f>
        <v/>
      </c>
      <c r="G230" s="42" t="str">
        <f ca="1">IFERROR(__xludf.DUMMYFUNCTION("QUERY('Volunteer Survey'!H827)"),"")</f>
        <v/>
      </c>
      <c r="H230" s="49" t="str">
        <f ca="1">IFERROR(__xludf.DUMMYFUNCTION("QUERY('Volunteer Survey'!I827)"),"")</f>
        <v/>
      </c>
      <c r="I230" s="49"/>
      <c r="J230" s="49"/>
      <c r="K230" s="49"/>
      <c r="L230" s="49"/>
      <c r="M230" s="49"/>
      <c r="N230" s="49"/>
      <c r="O230" s="49"/>
      <c r="P230" s="49"/>
      <c r="Q230" s="49"/>
      <c r="R230" s="49"/>
      <c r="S230" s="49"/>
      <c r="T230" s="49"/>
      <c r="U230" s="49"/>
    </row>
    <row r="231" spans="1:21" ht="13">
      <c r="A231" s="42" t="s">
        <v>322</v>
      </c>
      <c r="B231" s="49"/>
      <c r="C231" s="49"/>
      <c r="D231" s="49"/>
      <c r="E231" s="47"/>
      <c r="F231" s="49" t="str">
        <f ca="1">IFERROR(__xludf.DUMMYFUNCTION("QUERY('Volunteer Survey'!B828)"),"")</f>
        <v/>
      </c>
      <c r="G231" s="42" t="str">
        <f ca="1">IFERROR(__xludf.DUMMYFUNCTION("QUERY('Volunteer Survey'!H828)"),"")</f>
        <v/>
      </c>
      <c r="H231" s="49" t="str">
        <f ca="1">IFERROR(__xludf.DUMMYFUNCTION("QUERY('Volunteer Survey'!I828)"),"")</f>
        <v/>
      </c>
      <c r="I231" s="49"/>
      <c r="J231" s="49"/>
      <c r="K231" s="49"/>
      <c r="L231" s="49"/>
      <c r="M231" s="49"/>
      <c r="N231" s="49"/>
      <c r="O231" s="49"/>
      <c r="P231" s="49"/>
      <c r="Q231" s="49"/>
      <c r="R231" s="49"/>
      <c r="S231" s="49"/>
      <c r="T231" s="49"/>
      <c r="U231" s="49"/>
    </row>
    <row r="232" spans="1:21" ht="13">
      <c r="A232" s="42" t="s">
        <v>322</v>
      </c>
      <c r="B232" s="49"/>
      <c r="C232" s="49"/>
      <c r="D232" s="49"/>
      <c r="E232" s="47"/>
      <c r="F232" s="49" t="str">
        <f ca="1">IFERROR(__xludf.DUMMYFUNCTION("QUERY('Volunteer Survey'!B829)"),"")</f>
        <v/>
      </c>
      <c r="G232" s="42" t="str">
        <f ca="1">IFERROR(__xludf.DUMMYFUNCTION("QUERY('Volunteer Survey'!H829)"),"")</f>
        <v/>
      </c>
      <c r="H232" s="49" t="str">
        <f ca="1">IFERROR(__xludf.DUMMYFUNCTION("QUERY('Volunteer Survey'!I829)"),"")</f>
        <v/>
      </c>
      <c r="I232" s="49"/>
      <c r="J232" s="49"/>
      <c r="K232" s="49"/>
      <c r="L232" s="49"/>
      <c r="M232" s="49"/>
      <c r="N232" s="49"/>
      <c r="O232" s="49"/>
      <c r="P232" s="49"/>
      <c r="Q232" s="49"/>
      <c r="R232" s="49"/>
      <c r="S232" s="49"/>
      <c r="T232" s="49"/>
      <c r="U232" s="49"/>
    </row>
    <row r="233" spans="1:21" ht="13">
      <c r="A233" s="42" t="s">
        <v>322</v>
      </c>
      <c r="B233" s="49"/>
      <c r="C233" s="49"/>
      <c r="D233" s="49"/>
      <c r="E233" s="47"/>
      <c r="F233" s="49" t="str">
        <f ca="1">IFERROR(__xludf.DUMMYFUNCTION("QUERY('Volunteer Survey'!B830)"),"")</f>
        <v/>
      </c>
      <c r="G233" s="42" t="str">
        <f ca="1">IFERROR(__xludf.DUMMYFUNCTION("QUERY('Volunteer Survey'!H830)"),"")</f>
        <v/>
      </c>
      <c r="H233" s="49" t="str">
        <f ca="1">IFERROR(__xludf.DUMMYFUNCTION("QUERY('Volunteer Survey'!I830)"),"")</f>
        <v/>
      </c>
      <c r="I233" s="49"/>
      <c r="J233" s="49"/>
      <c r="K233" s="49"/>
      <c r="L233" s="49"/>
      <c r="M233" s="49"/>
      <c r="N233" s="49"/>
      <c r="O233" s="49"/>
      <c r="P233" s="49"/>
      <c r="Q233" s="49"/>
      <c r="R233" s="49"/>
      <c r="S233" s="49"/>
      <c r="T233" s="49"/>
      <c r="U233" s="49"/>
    </row>
    <row r="234" spans="1:21" ht="13">
      <c r="A234" s="42" t="s">
        <v>322</v>
      </c>
      <c r="B234" s="49"/>
      <c r="C234" s="49"/>
      <c r="D234" s="49"/>
      <c r="E234" s="47"/>
      <c r="F234" s="49" t="str">
        <f ca="1">IFERROR(__xludf.DUMMYFUNCTION("QUERY('Volunteer Survey'!B831)"),"")</f>
        <v/>
      </c>
      <c r="G234" s="42" t="str">
        <f ca="1">IFERROR(__xludf.DUMMYFUNCTION("QUERY('Volunteer Survey'!H831)"),"")</f>
        <v/>
      </c>
      <c r="H234" s="49" t="str">
        <f ca="1">IFERROR(__xludf.DUMMYFUNCTION("QUERY('Volunteer Survey'!I831)"),"")</f>
        <v/>
      </c>
      <c r="I234" s="49"/>
      <c r="J234" s="49"/>
      <c r="K234" s="49"/>
      <c r="L234" s="49"/>
      <c r="M234" s="49"/>
      <c r="N234" s="49"/>
      <c r="O234" s="49"/>
      <c r="P234" s="49"/>
      <c r="Q234" s="49"/>
      <c r="R234" s="49"/>
      <c r="S234" s="49"/>
      <c r="T234" s="49"/>
      <c r="U234" s="49"/>
    </row>
    <row r="235" spans="1:21" ht="13">
      <c r="A235" s="42" t="s">
        <v>322</v>
      </c>
      <c r="B235" s="49"/>
      <c r="C235" s="49"/>
      <c r="D235" s="49"/>
      <c r="E235" s="47"/>
      <c r="F235" s="49" t="str">
        <f ca="1">IFERROR(__xludf.DUMMYFUNCTION("QUERY('Volunteer Survey'!B832)"),"")</f>
        <v/>
      </c>
      <c r="G235" s="42">
        <f>'Volunteer Survey'!H849</f>
        <v>0</v>
      </c>
      <c r="H235" s="49" t="str">
        <f ca="1">IFERROR(__xludf.DUMMYFUNCTION("QUERY('Volunteer Survey'!I832)"),"")</f>
        <v/>
      </c>
      <c r="I235" s="49"/>
      <c r="J235" s="49"/>
      <c r="K235" s="49"/>
      <c r="L235" s="49"/>
      <c r="M235" s="49"/>
      <c r="N235" s="49"/>
      <c r="O235" s="49"/>
      <c r="P235" s="49"/>
      <c r="Q235" s="49"/>
      <c r="R235" s="49"/>
      <c r="S235" s="49"/>
      <c r="T235" s="49"/>
      <c r="U235" s="49"/>
    </row>
    <row r="236" spans="1:21" ht="13">
      <c r="A236" s="42" t="s">
        <v>322</v>
      </c>
      <c r="B236" s="49"/>
      <c r="C236" s="49"/>
      <c r="D236" s="49"/>
      <c r="E236" s="47"/>
      <c r="F236" s="49" t="str">
        <f ca="1">IFERROR(__xludf.DUMMYFUNCTION("QUERY('Volunteer Survey'!B833)"),"")</f>
        <v/>
      </c>
      <c r="G236" s="42">
        <f>'Volunteer Survey'!H850</f>
        <v>0</v>
      </c>
      <c r="H236" s="49" t="str">
        <f ca="1">IFERROR(__xludf.DUMMYFUNCTION("QUERY('Volunteer Survey'!I833)"),"")</f>
        <v/>
      </c>
      <c r="I236" s="49"/>
      <c r="J236" s="49"/>
      <c r="K236" s="49"/>
      <c r="L236" s="49"/>
      <c r="M236" s="49"/>
      <c r="N236" s="49"/>
      <c r="O236" s="49"/>
      <c r="P236" s="49"/>
      <c r="Q236" s="49"/>
      <c r="R236" s="49"/>
      <c r="S236" s="49"/>
      <c r="T236" s="49"/>
      <c r="U236" s="49"/>
    </row>
    <row r="237" spans="1:21" ht="13">
      <c r="A237" s="42" t="s">
        <v>322</v>
      </c>
      <c r="B237" s="49"/>
      <c r="C237" s="49"/>
      <c r="D237" s="49"/>
      <c r="E237" s="47"/>
      <c r="F237" s="49" t="str">
        <f ca="1">IFERROR(__xludf.DUMMYFUNCTION("QUERY('Volunteer Survey'!B834)"),"")</f>
        <v/>
      </c>
      <c r="G237" s="42">
        <f>'Volunteer Survey'!H851</f>
        <v>0</v>
      </c>
      <c r="H237" s="49" t="str">
        <f ca="1">IFERROR(__xludf.DUMMYFUNCTION("QUERY('Volunteer Survey'!I834)"),"")</f>
        <v/>
      </c>
      <c r="I237" s="49"/>
      <c r="J237" s="49"/>
      <c r="K237" s="49"/>
      <c r="L237" s="49"/>
      <c r="M237" s="49"/>
      <c r="N237" s="49"/>
      <c r="O237" s="49"/>
      <c r="P237" s="49"/>
      <c r="Q237" s="49"/>
      <c r="R237" s="49"/>
      <c r="S237" s="49"/>
      <c r="T237" s="49"/>
      <c r="U237" s="49"/>
    </row>
    <row r="238" spans="1:21" ht="13">
      <c r="A238" s="42" t="s">
        <v>322</v>
      </c>
      <c r="B238" s="49"/>
      <c r="C238" s="49"/>
      <c r="D238" s="49"/>
      <c r="E238" s="47"/>
      <c r="F238" s="49" t="str">
        <f ca="1">IFERROR(__xludf.DUMMYFUNCTION("QUERY('Volunteer Survey'!B835)"),"")</f>
        <v/>
      </c>
      <c r="G238" s="42">
        <f>'Volunteer Survey'!H852</f>
        <v>0</v>
      </c>
      <c r="H238" s="49" t="str">
        <f ca="1">IFERROR(__xludf.DUMMYFUNCTION("QUERY('Volunteer Survey'!I835)"),"")</f>
        <v/>
      </c>
      <c r="I238" s="49"/>
      <c r="J238" s="49"/>
      <c r="K238" s="49"/>
      <c r="L238" s="49"/>
      <c r="M238" s="49"/>
      <c r="N238" s="49"/>
      <c r="O238" s="49"/>
      <c r="P238" s="49"/>
      <c r="Q238" s="49"/>
      <c r="R238" s="49"/>
      <c r="S238" s="49"/>
      <c r="T238" s="49"/>
      <c r="U238" s="49"/>
    </row>
    <row r="239" spans="1:21" ht="13">
      <c r="A239" s="42" t="s">
        <v>322</v>
      </c>
      <c r="B239" s="49"/>
      <c r="C239" s="49"/>
      <c r="D239" s="49"/>
      <c r="E239" s="47"/>
      <c r="F239" s="49" t="str">
        <f ca="1">IFERROR(__xludf.DUMMYFUNCTION("QUERY('Volunteer Survey'!B836)"),"")</f>
        <v/>
      </c>
      <c r="G239" s="42">
        <f>'Volunteer Survey'!H853</f>
        <v>0</v>
      </c>
      <c r="H239" s="49" t="str">
        <f ca="1">IFERROR(__xludf.DUMMYFUNCTION("QUERY('Volunteer Survey'!I836)"),"")</f>
        <v/>
      </c>
      <c r="I239" s="49"/>
      <c r="J239" s="49"/>
      <c r="K239" s="49"/>
      <c r="L239" s="49"/>
      <c r="M239" s="49"/>
      <c r="N239" s="49"/>
      <c r="O239" s="49"/>
      <c r="P239" s="49"/>
      <c r="Q239" s="49"/>
      <c r="R239" s="49"/>
      <c r="S239" s="49"/>
      <c r="T239" s="49"/>
      <c r="U239" s="49"/>
    </row>
    <row r="240" spans="1:21" ht="13">
      <c r="A240" s="42" t="s">
        <v>322</v>
      </c>
      <c r="B240" s="49"/>
      <c r="C240" s="49"/>
      <c r="D240" s="49"/>
      <c r="E240" s="47"/>
      <c r="F240" s="49" t="str">
        <f ca="1">IFERROR(__xludf.DUMMYFUNCTION("QUERY('Volunteer Survey'!B837)"),"")</f>
        <v/>
      </c>
      <c r="G240" s="42">
        <f>'Volunteer Survey'!H854</f>
        <v>0</v>
      </c>
      <c r="H240" s="49" t="str">
        <f ca="1">IFERROR(__xludf.DUMMYFUNCTION("QUERY('Volunteer Survey'!I837)"),"")</f>
        <v/>
      </c>
      <c r="I240" s="49"/>
      <c r="J240" s="49"/>
      <c r="K240" s="49"/>
      <c r="L240" s="49"/>
      <c r="M240" s="49"/>
      <c r="N240" s="49"/>
      <c r="O240" s="49"/>
      <c r="P240" s="49"/>
      <c r="Q240" s="49"/>
      <c r="R240" s="49"/>
      <c r="S240" s="49"/>
      <c r="T240" s="49"/>
      <c r="U240" s="49"/>
    </row>
    <row r="241" spans="1:21" ht="13">
      <c r="A241" s="42" t="s">
        <v>322</v>
      </c>
      <c r="B241" s="49"/>
      <c r="C241" s="49"/>
      <c r="D241" s="49"/>
      <c r="E241" s="47"/>
      <c r="F241" s="49" t="str">
        <f ca="1">IFERROR(__xludf.DUMMYFUNCTION("QUERY('Volunteer Survey'!B838)"),"")</f>
        <v/>
      </c>
      <c r="G241" s="42">
        <f>'Volunteer Survey'!H855</f>
        <v>0</v>
      </c>
      <c r="H241" s="49" t="str">
        <f ca="1">IFERROR(__xludf.DUMMYFUNCTION("QUERY('Volunteer Survey'!I838)"),"")</f>
        <v/>
      </c>
      <c r="I241" s="49"/>
      <c r="J241" s="49"/>
      <c r="K241" s="49"/>
      <c r="L241" s="49"/>
      <c r="M241" s="49"/>
      <c r="N241" s="49"/>
      <c r="O241" s="49"/>
      <c r="P241" s="49"/>
      <c r="Q241" s="49"/>
      <c r="R241" s="49"/>
      <c r="S241" s="49"/>
      <c r="T241" s="49"/>
      <c r="U241" s="49"/>
    </row>
    <row r="242" spans="1:21" ht="13">
      <c r="A242" s="42" t="s">
        <v>322</v>
      </c>
      <c r="B242" s="49"/>
      <c r="C242" s="49"/>
      <c r="D242" s="49"/>
      <c r="E242" s="47"/>
      <c r="F242" s="49" t="str">
        <f ca="1">IFERROR(__xludf.DUMMYFUNCTION("QUERY('Volunteer Survey'!B839)"),"")</f>
        <v/>
      </c>
      <c r="G242" s="42">
        <f>'Volunteer Survey'!H856</f>
        <v>0</v>
      </c>
      <c r="H242" s="49" t="str">
        <f ca="1">IFERROR(__xludf.DUMMYFUNCTION("QUERY('Volunteer Survey'!I839)"),"")</f>
        <v/>
      </c>
      <c r="I242" s="49"/>
      <c r="J242" s="49"/>
      <c r="K242" s="49"/>
      <c r="L242" s="49"/>
      <c r="M242" s="49"/>
      <c r="N242" s="49"/>
      <c r="O242" s="49"/>
      <c r="P242" s="49"/>
      <c r="Q242" s="49"/>
      <c r="R242" s="49"/>
      <c r="S242" s="49"/>
      <c r="T242" s="49"/>
      <c r="U242" s="49"/>
    </row>
    <row r="243" spans="1:21" ht="13">
      <c r="A243" s="42" t="s">
        <v>322</v>
      </c>
      <c r="B243" s="49"/>
      <c r="C243" s="49"/>
      <c r="D243" s="49"/>
      <c r="E243" s="47"/>
      <c r="F243" s="49" t="str">
        <f ca="1">IFERROR(__xludf.DUMMYFUNCTION("QUERY('Volunteer Survey'!B840)"),"")</f>
        <v/>
      </c>
      <c r="G243" s="42">
        <f>'Volunteer Survey'!H857</f>
        <v>0</v>
      </c>
      <c r="H243" s="49" t="str">
        <f ca="1">IFERROR(__xludf.DUMMYFUNCTION("QUERY('Volunteer Survey'!I840)"),"")</f>
        <v/>
      </c>
      <c r="I243" s="49"/>
      <c r="J243" s="49"/>
      <c r="K243" s="49"/>
      <c r="L243" s="49"/>
      <c r="M243" s="49"/>
      <c r="N243" s="49"/>
      <c r="O243" s="49"/>
      <c r="P243" s="49"/>
      <c r="Q243" s="49"/>
      <c r="R243" s="49"/>
      <c r="S243" s="49"/>
      <c r="T243" s="49"/>
      <c r="U243" s="49"/>
    </row>
    <row r="244" spans="1:21" ht="13">
      <c r="A244" s="42" t="s">
        <v>322</v>
      </c>
      <c r="B244" s="49"/>
      <c r="C244" s="49"/>
      <c r="D244" s="49"/>
      <c r="E244" s="47"/>
      <c r="F244" s="49" t="str">
        <f ca="1">IFERROR(__xludf.DUMMYFUNCTION("QUERY('Volunteer Survey'!B841)"),"")</f>
        <v/>
      </c>
      <c r="G244" s="42">
        <f>'Volunteer Survey'!H858</f>
        <v>0</v>
      </c>
      <c r="H244" s="49" t="str">
        <f ca="1">IFERROR(__xludf.DUMMYFUNCTION("QUERY('Volunteer Survey'!I841)"),"")</f>
        <v/>
      </c>
      <c r="I244" s="49"/>
      <c r="J244" s="49"/>
      <c r="K244" s="49"/>
      <c r="L244" s="49"/>
      <c r="M244" s="49"/>
      <c r="N244" s="49"/>
      <c r="O244" s="49"/>
      <c r="P244" s="49"/>
      <c r="Q244" s="49"/>
      <c r="R244" s="49"/>
      <c r="S244" s="49"/>
      <c r="T244" s="49"/>
      <c r="U244" s="49"/>
    </row>
    <row r="245" spans="1:21" ht="13">
      <c r="A245" s="42" t="s">
        <v>322</v>
      </c>
      <c r="B245" s="49"/>
      <c r="C245" s="49"/>
      <c r="D245" s="49"/>
      <c r="E245" s="47"/>
      <c r="F245" s="49" t="str">
        <f ca="1">IFERROR(__xludf.DUMMYFUNCTION("QUERY('Volunteer Survey'!B842)"),"")</f>
        <v/>
      </c>
      <c r="G245" s="42">
        <f>'Volunteer Survey'!H859</f>
        <v>0</v>
      </c>
      <c r="H245" s="49" t="str">
        <f ca="1">IFERROR(__xludf.DUMMYFUNCTION("QUERY('Volunteer Survey'!I842)"),"")</f>
        <v/>
      </c>
      <c r="I245" s="49"/>
      <c r="J245" s="49"/>
      <c r="K245" s="49"/>
      <c r="L245" s="49"/>
      <c r="M245" s="49"/>
      <c r="N245" s="49"/>
      <c r="O245" s="49"/>
      <c r="P245" s="49"/>
      <c r="Q245" s="49"/>
      <c r="R245" s="49"/>
      <c r="S245" s="49"/>
      <c r="T245" s="49"/>
      <c r="U245" s="49"/>
    </row>
    <row r="246" spans="1:21" ht="13">
      <c r="A246" s="42" t="s">
        <v>322</v>
      </c>
      <c r="B246" s="49"/>
      <c r="C246" s="49"/>
      <c r="D246" s="49"/>
      <c r="E246" s="47"/>
      <c r="F246" s="49" t="str">
        <f ca="1">IFERROR(__xludf.DUMMYFUNCTION("QUERY('Volunteer Survey'!B843)"),"")</f>
        <v/>
      </c>
      <c r="G246" s="42">
        <f>'Volunteer Survey'!H860</f>
        <v>0</v>
      </c>
      <c r="H246" s="49" t="str">
        <f ca="1">IFERROR(__xludf.DUMMYFUNCTION("QUERY('Volunteer Survey'!I843)"),"")</f>
        <v/>
      </c>
      <c r="I246" s="49"/>
      <c r="J246" s="49"/>
      <c r="K246" s="49"/>
      <c r="L246" s="49"/>
      <c r="M246" s="49"/>
      <c r="N246" s="49"/>
      <c r="O246" s="49"/>
      <c r="P246" s="49"/>
      <c r="Q246" s="49"/>
      <c r="R246" s="49"/>
      <c r="S246" s="49"/>
      <c r="T246" s="49"/>
      <c r="U246" s="49"/>
    </row>
    <row r="247" spans="1:21" ht="13">
      <c r="A247" s="42" t="s">
        <v>322</v>
      </c>
      <c r="B247" s="49"/>
      <c r="C247" s="49"/>
      <c r="D247" s="49"/>
      <c r="E247" s="47"/>
      <c r="F247" s="49" t="str">
        <f ca="1">IFERROR(__xludf.DUMMYFUNCTION("QUERY('Volunteer Survey'!B844)"),"")</f>
        <v/>
      </c>
      <c r="G247" s="42">
        <f>'Volunteer Survey'!H861</f>
        <v>0</v>
      </c>
      <c r="H247" s="49" t="str">
        <f ca="1">IFERROR(__xludf.DUMMYFUNCTION("QUERY('Volunteer Survey'!I844)"),"")</f>
        <v/>
      </c>
      <c r="I247" s="49"/>
      <c r="J247" s="49"/>
      <c r="K247" s="49"/>
      <c r="L247" s="49"/>
      <c r="M247" s="49"/>
      <c r="N247" s="49"/>
      <c r="O247" s="49"/>
      <c r="P247" s="49"/>
      <c r="Q247" s="49"/>
      <c r="R247" s="49"/>
      <c r="S247" s="49"/>
      <c r="T247" s="49"/>
      <c r="U247" s="49"/>
    </row>
    <row r="248" spans="1:21" ht="13">
      <c r="A248" s="42" t="s">
        <v>322</v>
      </c>
      <c r="B248" s="49"/>
      <c r="C248" s="49"/>
      <c r="D248" s="49"/>
      <c r="E248" s="47"/>
      <c r="F248" s="49" t="str">
        <f ca="1">IFERROR(__xludf.DUMMYFUNCTION("QUERY('Volunteer Survey'!B845)"),"")</f>
        <v/>
      </c>
      <c r="G248" s="42">
        <f>'Volunteer Survey'!H862</f>
        <v>0</v>
      </c>
      <c r="H248" s="49" t="str">
        <f ca="1">IFERROR(__xludf.DUMMYFUNCTION("QUERY('Volunteer Survey'!I845)"),"")</f>
        <v/>
      </c>
      <c r="I248" s="49"/>
      <c r="J248" s="49"/>
      <c r="K248" s="49"/>
      <c r="L248" s="49"/>
      <c r="M248" s="49"/>
      <c r="N248" s="49"/>
      <c r="O248" s="49"/>
      <c r="P248" s="49"/>
      <c r="Q248" s="49"/>
      <c r="R248" s="49"/>
      <c r="S248" s="49"/>
      <c r="T248" s="49"/>
      <c r="U248" s="49"/>
    </row>
    <row r="249" spans="1:21" ht="13">
      <c r="A249" s="42" t="s">
        <v>322</v>
      </c>
      <c r="B249" s="49"/>
      <c r="C249" s="49"/>
      <c r="D249" s="49"/>
      <c r="E249" s="47"/>
      <c r="F249" s="49" t="str">
        <f ca="1">IFERROR(__xludf.DUMMYFUNCTION("QUERY('Volunteer Survey'!B846)"),"")</f>
        <v/>
      </c>
      <c r="G249" s="42">
        <f>'Volunteer Survey'!H863</f>
        <v>0</v>
      </c>
      <c r="H249" s="49" t="str">
        <f ca="1">IFERROR(__xludf.DUMMYFUNCTION("QUERY('Volunteer Survey'!I846)"),"")</f>
        <v/>
      </c>
      <c r="I249" s="49"/>
      <c r="J249" s="49"/>
      <c r="K249" s="49"/>
      <c r="L249" s="49"/>
      <c r="M249" s="49"/>
      <c r="N249" s="49"/>
      <c r="O249" s="49"/>
      <c r="P249" s="49"/>
      <c r="Q249" s="49"/>
      <c r="R249" s="49"/>
      <c r="S249" s="49"/>
      <c r="T249" s="49"/>
      <c r="U249" s="49"/>
    </row>
    <row r="250" spans="1:21" ht="13">
      <c r="A250" s="42" t="s">
        <v>322</v>
      </c>
      <c r="B250" s="49"/>
      <c r="C250" s="49"/>
      <c r="D250" s="49"/>
      <c r="E250" s="47"/>
      <c r="F250" s="49" t="str">
        <f ca="1">IFERROR(__xludf.DUMMYFUNCTION("QUERY('Volunteer Survey'!B847)"),"")</f>
        <v/>
      </c>
      <c r="G250" s="42">
        <f>'Volunteer Survey'!H864</f>
        <v>0</v>
      </c>
      <c r="H250" s="49" t="str">
        <f ca="1">IFERROR(__xludf.DUMMYFUNCTION("QUERY('Volunteer Survey'!I847)"),"")</f>
        <v/>
      </c>
      <c r="I250" s="49"/>
      <c r="J250" s="49"/>
      <c r="K250" s="49"/>
      <c r="L250" s="49"/>
      <c r="M250" s="49"/>
      <c r="N250" s="49"/>
      <c r="O250" s="49"/>
      <c r="P250" s="49"/>
      <c r="Q250" s="49"/>
      <c r="R250" s="49"/>
      <c r="S250" s="49"/>
      <c r="T250" s="49"/>
      <c r="U250" s="49"/>
    </row>
    <row r="251" spans="1:21" ht="13">
      <c r="A251" s="42" t="s">
        <v>322</v>
      </c>
      <c r="B251" s="49"/>
      <c r="C251" s="49"/>
      <c r="D251" s="49"/>
      <c r="E251" s="47"/>
      <c r="F251" s="49" t="str">
        <f ca="1">IFERROR(__xludf.DUMMYFUNCTION("QUERY('Volunteer Survey'!B848)"),"")</f>
        <v/>
      </c>
      <c r="G251" s="42">
        <f>'Volunteer Survey'!H865</f>
        <v>0</v>
      </c>
      <c r="H251" s="49" t="str">
        <f ca="1">IFERROR(__xludf.DUMMYFUNCTION("QUERY('Volunteer Survey'!I848)"),"")</f>
        <v/>
      </c>
      <c r="I251" s="49"/>
      <c r="J251" s="49"/>
      <c r="K251" s="49"/>
      <c r="L251" s="49"/>
      <c r="M251" s="49"/>
      <c r="N251" s="49"/>
      <c r="O251" s="49"/>
      <c r="P251" s="49"/>
      <c r="Q251" s="49"/>
      <c r="R251" s="49"/>
      <c r="S251" s="49"/>
      <c r="T251" s="49"/>
      <c r="U251" s="49"/>
    </row>
    <row r="252" spans="1:21" ht="13">
      <c r="A252" s="42" t="s">
        <v>322</v>
      </c>
      <c r="B252" s="49"/>
      <c r="C252" s="49"/>
      <c r="D252" s="49"/>
      <c r="E252" s="47"/>
      <c r="F252" s="49">
        <f>'Volunteer Survey'!B865</f>
        <v>0</v>
      </c>
      <c r="G252" s="42">
        <f>'Volunteer Survey'!H866</f>
        <v>0</v>
      </c>
      <c r="H252" s="49" t="str">
        <f ca="1">IFERROR(__xludf.DUMMYFUNCTION("QUERY('Volunteer Survey'!I849)"),"")</f>
        <v/>
      </c>
      <c r="I252" s="49"/>
      <c r="J252" s="49"/>
      <c r="K252" s="49"/>
      <c r="L252" s="49"/>
      <c r="M252" s="49"/>
      <c r="N252" s="49"/>
      <c r="O252" s="49"/>
      <c r="P252" s="49"/>
      <c r="Q252" s="49"/>
      <c r="R252" s="49"/>
      <c r="S252" s="49"/>
      <c r="T252" s="49"/>
      <c r="U252" s="49"/>
    </row>
    <row r="253" spans="1:21" ht="13">
      <c r="A253" s="42" t="s">
        <v>322</v>
      </c>
      <c r="B253" s="49"/>
      <c r="C253" s="49"/>
      <c r="D253" s="49"/>
      <c r="E253" s="47"/>
      <c r="F253" s="49">
        <f>'Volunteer Survey'!B866</f>
        <v>0</v>
      </c>
      <c r="G253" s="42">
        <f>'Volunteer Survey'!H867</f>
        <v>0</v>
      </c>
      <c r="H253" s="49" t="str">
        <f ca="1">IFERROR(__xludf.DUMMYFUNCTION("QUERY('Volunteer Survey'!I850)"),"")</f>
        <v/>
      </c>
      <c r="I253" s="49"/>
      <c r="J253" s="49"/>
      <c r="K253" s="49"/>
      <c r="L253" s="49"/>
      <c r="M253" s="49"/>
      <c r="N253" s="49"/>
      <c r="O253" s="49"/>
      <c r="P253" s="49"/>
      <c r="Q253" s="49"/>
      <c r="R253" s="49"/>
      <c r="S253" s="49"/>
      <c r="T253" s="49"/>
      <c r="U253" s="49"/>
    </row>
    <row r="254" spans="1:21" ht="13">
      <c r="A254" s="42" t="s">
        <v>322</v>
      </c>
      <c r="B254" s="49"/>
      <c r="C254" s="49"/>
      <c r="D254" s="49"/>
      <c r="E254" s="47"/>
      <c r="F254" s="49">
        <f>'Volunteer Survey'!B867</f>
        <v>0</v>
      </c>
      <c r="G254" s="42">
        <f>'Volunteer Survey'!H868</f>
        <v>0</v>
      </c>
      <c r="H254" s="49" t="str">
        <f ca="1">IFERROR(__xludf.DUMMYFUNCTION("QUERY('Volunteer Survey'!I851)"),"")</f>
        <v/>
      </c>
      <c r="I254" s="49"/>
      <c r="J254" s="49"/>
      <c r="K254" s="49"/>
      <c r="L254" s="49"/>
      <c r="M254" s="49"/>
      <c r="N254" s="49"/>
      <c r="O254" s="49"/>
      <c r="P254" s="49"/>
      <c r="Q254" s="49"/>
      <c r="R254" s="49"/>
      <c r="S254" s="49"/>
      <c r="T254" s="49"/>
      <c r="U254" s="49"/>
    </row>
    <row r="255" spans="1:21" ht="13">
      <c r="A255" s="42" t="s">
        <v>322</v>
      </c>
      <c r="B255" s="49"/>
      <c r="C255" s="49"/>
      <c r="D255" s="49"/>
      <c r="E255" s="47"/>
      <c r="F255" s="49">
        <f>'Volunteer Survey'!B868</f>
        <v>0</v>
      </c>
      <c r="G255" s="42">
        <f>'Volunteer Survey'!H869</f>
        <v>0</v>
      </c>
      <c r="H255" s="49" t="str">
        <f ca="1">IFERROR(__xludf.DUMMYFUNCTION("QUERY('Volunteer Survey'!I852)"),"")</f>
        <v/>
      </c>
      <c r="I255" s="49"/>
      <c r="J255" s="49"/>
      <c r="K255" s="49"/>
      <c r="L255" s="49"/>
      <c r="M255" s="49"/>
      <c r="N255" s="49"/>
      <c r="O255" s="49"/>
      <c r="P255" s="49"/>
      <c r="Q255" s="49"/>
      <c r="R255" s="49"/>
      <c r="S255" s="49"/>
      <c r="T255" s="49"/>
      <c r="U255" s="49"/>
    </row>
    <row r="256" spans="1:21" ht="13">
      <c r="A256" s="42" t="s">
        <v>322</v>
      </c>
      <c r="B256" s="49"/>
      <c r="C256" s="49"/>
      <c r="D256" s="49"/>
      <c r="E256" s="47"/>
      <c r="F256" s="49">
        <f>'Volunteer Survey'!B869</f>
        <v>0</v>
      </c>
      <c r="G256" s="42">
        <f>'Volunteer Survey'!H870</f>
        <v>0</v>
      </c>
      <c r="H256" s="49" t="str">
        <f ca="1">IFERROR(__xludf.DUMMYFUNCTION("QUERY('Volunteer Survey'!I853)"),"")</f>
        <v/>
      </c>
      <c r="I256" s="49"/>
      <c r="J256" s="49"/>
      <c r="K256" s="49"/>
      <c r="L256" s="49"/>
      <c r="M256" s="49"/>
      <c r="N256" s="49"/>
      <c r="O256" s="49"/>
      <c r="P256" s="49"/>
      <c r="Q256" s="49"/>
      <c r="R256" s="49"/>
      <c r="S256" s="49"/>
      <c r="T256" s="49"/>
      <c r="U256" s="49"/>
    </row>
    <row r="257" spans="1:21" ht="13">
      <c r="A257" s="42" t="s">
        <v>322</v>
      </c>
      <c r="B257" s="49"/>
      <c r="C257" s="49"/>
      <c r="D257" s="49"/>
      <c r="E257" s="47"/>
      <c r="F257" s="49">
        <f>'Volunteer Survey'!B870</f>
        <v>0</v>
      </c>
      <c r="G257" s="42">
        <f>'Volunteer Survey'!H871</f>
        <v>0</v>
      </c>
      <c r="H257" s="49" t="str">
        <f ca="1">IFERROR(__xludf.DUMMYFUNCTION("QUERY('Volunteer Survey'!I854)"),"")</f>
        <v/>
      </c>
      <c r="I257" s="49"/>
      <c r="J257" s="49"/>
      <c r="K257" s="49"/>
      <c r="L257" s="49"/>
      <c r="M257" s="49"/>
      <c r="N257" s="49"/>
      <c r="O257" s="49"/>
      <c r="P257" s="49"/>
      <c r="Q257" s="49"/>
      <c r="R257" s="49"/>
      <c r="S257" s="49"/>
      <c r="T257" s="49"/>
      <c r="U257" s="49"/>
    </row>
    <row r="258" spans="1:21" ht="13">
      <c r="A258" s="42" t="s">
        <v>322</v>
      </c>
      <c r="B258" s="49"/>
      <c r="C258" s="49"/>
      <c r="D258" s="49"/>
      <c r="E258" s="47"/>
      <c r="F258" s="49">
        <f>'Volunteer Survey'!B871</f>
        <v>0</v>
      </c>
      <c r="G258" s="42">
        <f>'Volunteer Survey'!H872</f>
        <v>0</v>
      </c>
      <c r="H258" s="49"/>
      <c r="I258" s="49"/>
      <c r="J258" s="49"/>
      <c r="K258" s="49"/>
      <c r="L258" s="49"/>
      <c r="M258" s="49"/>
      <c r="N258" s="49"/>
      <c r="O258" s="49"/>
      <c r="P258" s="49"/>
      <c r="Q258" s="49"/>
      <c r="R258" s="49"/>
      <c r="S258" s="49"/>
      <c r="T258" s="49"/>
      <c r="U258" s="49"/>
    </row>
    <row r="259" spans="1:21" ht="13">
      <c r="A259" s="42" t="s">
        <v>322</v>
      </c>
      <c r="B259" s="49"/>
      <c r="C259" s="49"/>
      <c r="D259" s="49"/>
      <c r="E259" s="47"/>
      <c r="F259" s="49">
        <f>'Volunteer Survey'!B872</f>
        <v>0</v>
      </c>
      <c r="G259" s="42">
        <f>'Volunteer Survey'!H873</f>
        <v>0</v>
      </c>
      <c r="H259" s="49"/>
      <c r="I259" s="49"/>
      <c r="J259" s="49"/>
      <c r="K259" s="49"/>
      <c r="L259" s="49"/>
      <c r="M259" s="49"/>
      <c r="N259" s="49"/>
      <c r="O259" s="49"/>
      <c r="P259" s="49"/>
      <c r="Q259" s="49"/>
      <c r="R259" s="49"/>
      <c r="S259" s="49"/>
      <c r="T259" s="49"/>
      <c r="U259" s="49"/>
    </row>
    <row r="260" spans="1:21" ht="13">
      <c r="A260" s="42" t="s">
        <v>322</v>
      </c>
      <c r="B260" s="49"/>
      <c r="C260" s="49"/>
      <c r="D260" s="49"/>
      <c r="E260" s="47"/>
      <c r="F260" s="49">
        <f>'Volunteer Survey'!B873</f>
        <v>0</v>
      </c>
      <c r="G260" s="42">
        <f>'Volunteer Survey'!H874</f>
        <v>0</v>
      </c>
      <c r="H260" s="49"/>
      <c r="I260" s="49"/>
      <c r="J260" s="49"/>
      <c r="K260" s="49"/>
      <c r="L260" s="49"/>
      <c r="M260" s="49"/>
      <c r="N260" s="49"/>
      <c r="O260" s="49"/>
      <c r="P260" s="49"/>
      <c r="Q260" s="49"/>
      <c r="R260" s="49"/>
      <c r="S260" s="49"/>
      <c r="T260" s="49"/>
      <c r="U260" s="49"/>
    </row>
    <row r="261" spans="1:21" ht="13">
      <c r="A261" s="42" t="s">
        <v>322</v>
      </c>
      <c r="B261" s="49"/>
      <c r="C261" s="49"/>
      <c r="D261" s="49"/>
      <c r="E261" s="47"/>
      <c r="F261" s="49">
        <f>'Volunteer Survey'!B874</f>
        <v>0</v>
      </c>
      <c r="G261" s="42">
        <f>'Volunteer Survey'!H875</f>
        <v>0</v>
      </c>
      <c r="H261" s="49"/>
      <c r="I261" s="49"/>
      <c r="J261" s="49"/>
      <c r="K261" s="49"/>
      <c r="L261" s="49"/>
      <c r="M261" s="49"/>
      <c r="N261" s="49"/>
      <c r="O261" s="49"/>
      <c r="P261" s="49"/>
      <c r="Q261" s="49"/>
      <c r="R261" s="49"/>
      <c r="S261" s="49"/>
      <c r="T261" s="49"/>
      <c r="U261" s="49"/>
    </row>
    <row r="262" spans="1:21" ht="13">
      <c r="A262" s="42" t="s">
        <v>322</v>
      </c>
      <c r="B262" s="49"/>
      <c r="C262" s="49"/>
      <c r="D262" s="49"/>
      <c r="E262" s="47"/>
      <c r="F262" s="49">
        <f>'Volunteer Survey'!B875</f>
        <v>0</v>
      </c>
      <c r="G262" s="42">
        <f>'Volunteer Survey'!H876</f>
        <v>0</v>
      </c>
      <c r="H262" s="49"/>
      <c r="I262" s="49"/>
      <c r="J262" s="49"/>
      <c r="K262" s="49"/>
      <c r="L262" s="49"/>
      <c r="M262" s="49"/>
      <c r="N262" s="49"/>
      <c r="O262" s="49"/>
      <c r="P262" s="49"/>
      <c r="Q262" s="49"/>
      <c r="R262" s="49"/>
      <c r="S262" s="49"/>
      <c r="T262" s="49"/>
      <c r="U262" s="49"/>
    </row>
    <row r="263" spans="1:21" ht="13">
      <c r="A263" s="42" t="s">
        <v>322</v>
      </c>
      <c r="B263" s="49"/>
      <c r="C263" s="49"/>
      <c r="D263" s="49"/>
      <c r="E263" s="47"/>
      <c r="F263" s="49">
        <f>'Volunteer Survey'!B876</f>
        <v>0</v>
      </c>
      <c r="G263" s="42">
        <f>'Volunteer Survey'!H877</f>
        <v>0</v>
      </c>
      <c r="H263" s="49"/>
      <c r="I263" s="49"/>
      <c r="J263" s="49"/>
      <c r="K263" s="49"/>
      <c r="L263" s="49"/>
      <c r="M263" s="49"/>
      <c r="N263" s="49"/>
      <c r="O263" s="49"/>
      <c r="P263" s="49"/>
      <c r="Q263" s="49"/>
      <c r="R263" s="49"/>
      <c r="S263" s="49"/>
      <c r="T263" s="49"/>
      <c r="U263" s="49"/>
    </row>
    <row r="264" spans="1:21" ht="13">
      <c r="A264" s="42" t="s">
        <v>322</v>
      </c>
      <c r="B264" s="49"/>
      <c r="C264" s="49"/>
      <c r="D264" s="49"/>
      <c r="E264" s="47"/>
      <c r="F264" s="49">
        <f>'Volunteer Survey'!B877</f>
        <v>0</v>
      </c>
      <c r="G264" s="42">
        <f>'Volunteer Survey'!H878</f>
        <v>0</v>
      </c>
      <c r="H264" s="49"/>
      <c r="I264" s="49"/>
      <c r="J264" s="49"/>
      <c r="K264" s="49"/>
      <c r="L264" s="49"/>
      <c r="M264" s="49"/>
      <c r="N264" s="49"/>
      <c r="O264" s="49"/>
      <c r="P264" s="49"/>
      <c r="Q264" s="49"/>
      <c r="R264" s="49"/>
      <c r="S264" s="49"/>
      <c r="T264" s="49"/>
      <c r="U264" s="49"/>
    </row>
    <row r="265" spans="1:21" ht="13">
      <c r="A265" s="42" t="s">
        <v>322</v>
      </c>
      <c r="B265" s="49"/>
      <c r="C265" s="49"/>
      <c r="D265" s="49"/>
      <c r="E265" s="47"/>
      <c r="F265" s="49">
        <f>'Volunteer Survey'!B878</f>
        <v>0</v>
      </c>
      <c r="G265" s="42">
        <f>'Volunteer Survey'!H879</f>
        <v>0</v>
      </c>
      <c r="H265" s="49"/>
      <c r="I265" s="49"/>
      <c r="J265" s="49"/>
      <c r="K265" s="49"/>
      <c r="L265" s="49"/>
      <c r="M265" s="49"/>
      <c r="N265" s="49"/>
      <c r="O265" s="49"/>
      <c r="P265" s="49"/>
      <c r="Q265" s="49"/>
      <c r="R265" s="49"/>
      <c r="S265" s="49"/>
      <c r="T265" s="49"/>
      <c r="U265" s="49"/>
    </row>
    <row r="266" spans="1:21" ht="13">
      <c r="A266" s="42" t="s">
        <v>322</v>
      </c>
      <c r="B266" s="49"/>
      <c r="C266" s="49"/>
      <c r="D266" s="49"/>
      <c r="E266" s="47"/>
      <c r="F266" s="49">
        <f>'Volunteer Survey'!B879</f>
        <v>0</v>
      </c>
      <c r="G266" s="42">
        <f>'Volunteer Survey'!H880</f>
        <v>0</v>
      </c>
      <c r="H266" s="49"/>
      <c r="I266" s="49"/>
      <c r="J266" s="49"/>
      <c r="K266" s="49"/>
      <c r="L266" s="49"/>
      <c r="M266" s="49"/>
      <c r="N266" s="49"/>
      <c r="O266" s="49"/>
      <c r="P266" s="49"/>
      <c r="Q266" s="49"/>
      <c r="R266" s="49"/>
      <c r="S266" s="49"/>
      <c r="T266" s="49"/>
      <c r="U266" s="49"/>
    </row>
    <row r="267" spans="1:21" ht="13">
      <c r="A267" s="42" t="s">
        <v>322</v>
      </c>
      <c r="B267" s="49"/>
      <c r="C267" s="49"/>
      <c r="D267" s="49"/>
      <c r="E267" s="47"/>
      <c r="F267" s="49">
        <f>'Volunteer Survey'!B880</f>
        <v>0</v>
      </c>
      <c r="G267" s="42">
        <f>'Volunteer Survey'!H881</f>
        <v>0</v>
      </c>
      <c r="H267" s="49"/>
      <c r="I267" s="49"/>
      <c r="J267" s="49"/>
      <c r="K267" s="49"/>
      <c r="L267" s="49"/>
      <c r="M267" s="49"/>
      <c r="N267" s="49"/>
      <c r="O267" s="49"/>
      <c r="P267" s="49"/>
      <c r="Q267" s="49"/>
      <c r="R267" s="49"/>
      <c r="S267" s="49"/>
      <c r="T267" s="49"/>
      <c r="U267" s="49"/>
    </row>
    <row r="268" spans="1:21" ht="13">
      <c r="A268" s="42" t="s">
        <v>322</v>
      </c>
      <c r="B268" s="49"/>
      <c r="C268" s="49"/>
      <c r="D268" s="49"/>
      <c r="E268" s="47"/>
      <c r="F268" s="49">
        <f>'Volunteer Survey'!B881</f>
        <v>0</v>
      </c>
      <c r="G268" s="42">
        <f>'Volunteer Survey'!H882</f>
        <v>0</v>
      </c>
      <c r="H268" s="49"/>
      <c r="I268" s="49"/>
      <c r="J268" s="49"/>
      <c r="K268" s="49"/>
      <c r="L268" s="49"/>
      <c r="M268" s="49"/>
      <c r="N268" s="49"/>
      <c r="O268" s="49"/>
      <c r="P268" s="49"/>
      <c r="Q268" s="49"/>
      <c r="R268" s="49"/>
      <c r="S268" s="49"/>
      <c r="T268" s="49"/>
      <c r="U268" s="49"/>
    </row>
    <row r="269" spans="1:21" ht="13">
      <c r="A269" s="42" t="s">
        <v>322</v>
      </c>
      <c r="B269" s="49"/>
      <c r="C269" s="49"/>
      <c r="D269" s="49"/>
      <c r="E269" s="47"/>
      <c r="F269" s="49">
        <f>'Volunteer Survey'!B882</f>
        <v>0</v>
      </c>
      <c r="G269" s="42">
        <f>'Volunteer Survey'!H883</f>
        <v>0</v>
      </c>
      <c r="H269" s="49"/>
      <c r="I269" s="49"/>
      <c r="J269" s="49"/>
      <c r="K269" s="49"/>
      <c r="L269" s="49"/>
      <c r="M269" s="49"/>
      <c r="N269" s="49"/>
      <c r="O269" s="49"/>
      <c r="P269" s="49"/>
      <c r="Q269" s="49"/>
      <c r="R269" s="49"/>
      <c r="S269" s="49"/>
      <c r="T269" s="49"/>
      <c r="U269" s="49"/>
    </row>
    <row r="270" spans="1:21" ht="13">
      <c r="A270" s="42" t="s">
        <v>322</v>
      </c>
      <c r="B270" s="49"/>
      <c r="C270" s="49"/>
      <c r="D270" s="49"/>
      <c r="E270" s="47"/>
      <c r="F270" s="49">
        <f>'Volunteer Survey'!B883</f>
        <v>0</v>
      </c>
      <c r="G270" s="42">
        <f>'Volunteer Survey'!H884</f>
        <v>0</v>
      </c>
      <c r="H270" s="49"/>
      <c r="I270" s="49"/>
      <c r="J270" s="49"/>
      <c r="K270" s="49"/>
      <c r="L270" s="49"/>
      <c r="M270" s="49"/>
      <c r="N270" s="49"/>
      <c r="O270" s="49"/>
      <c r="P270" s="49"/>
      <c r="Q270" s="49"/>
      <c r="R270" s="49"/>
      <c r="S270" s="49"/>
      <c r="T270" s="49"/>
      <c r="U270" s="49"/>
    </row>
    <row r="271" spans="1:21" ht="13">
      <c r="A271" s="42" t="s">
        <v>322</v>
      </c>
      <c r="B271" s="49"/>
      <c r="C271" s="49"/>
      <c r="D271" s="49"/>
      <c r="E271" s="47"/>
      <c r="F271" s="49">
        <f>'Volunteer Survey'!B884</f>
        <v>0</v>
      </c>
      <c r="G271" s="42">
        <f>'Volunteer Survey'!H885</f>
        <v>0</v>
      </c>
      <c r="H271" s="49"/>
      <c r="I271" s="49"/>
      <c r="J271" s="49"/>
      <c r="K271" s="49"/>
      <c r="L271" s="49"/>
      <c r="M271" s="49"/>
      <c r="N271" s="49"/>
      <c r="O271" s="49"/>
      <c r="P271" s="49"/>
      <c r="Q271" s="49"/>
      <c r="R271" s="49"/>
      <c r="S271" s="49"/>
      <c r="T271" s="49"/>
      <c r="U271" s="49"/>
    </row>
    <row r="272" spans="1:21" ht="13">
      <c r="A272" s="42" t="s">
        <v>322</v>
      </c>
      <c r="B272" s="49"/>
      <c r="C272" s="49"/>
      <c r="D272" s="49"/>
      <c r="E272" s="47"/>
      <c r="F272" s="49">
        <f>'Volunteer Survey'!B885</f>
        <v>0</v>
      </c>
      <c r="G272" s="42">
        <f>'Volunteer Survey'!H886</f>
        <v>0</v>
      </c>
      <c r="H272" s="49"/>
      <c r="I272" s="49"/>
      <c r="J272" s="49"/>
      <c r="K272" s="49"/>
      <c r="L272" s="49"/>
      <c r="M272" s="49"/>
      <c r="N272" s="49"/>
      <c r="O272" s="49"/>
      <c r="P272" s="49"/>
      <c r="Q272" s="49"/>
      <c r="R272" s="49"/>
      <c r="S272" s="49"/>
      <c r="T272" s="49"/>
      <c r="U272" s="49"/>
    </row>
    <row r="273" spans="1:21" ht="13">
      <c r="A273" s="42" t="s">
        <v>322</v>
      </c>
      <c r="B273" s="49"/>
      <c r="C273" s="49"/>
      <c r="D273" s="49"/>
      <c r="E273" s="47"/>
      <c r="F273" s="49">
        <f>'Volunteer Survey'!B886</f>
        <v>0</v>
      </c>
      <c r="G273" s="42">
        <f>'Volunteer Survey'!H887</f>
        <v>0</v>
      </c>
      <c r="H273" s="49"/>
      <c r="I273" s="49"/>
      <c r="J273" s="49"/>
      <c r="K273" s="49"/>
      <c r="L273" s="49"/>
      <c r="M273" s="49"/>
      <c r="N273" s="49"/>
      <c r="O273" s="49"/>
      <c r="P273" s="49"/>
      <c r="Q273" s="49"/>
      <c r="R273" s="49"/>
      <c r="S273" s="49"/>
      <c r="T273" s="49"/>
      <c r="U273" s="49"/>
    </row>
    <row r="274" spans="1:21" ht="13">
      <c r="A274" s="42" t="s">
        <v>322</v>
      </c>
      <c r="B274" s="49"/>
      <c r="C274" s="49"/>
      <c r="D274" s="49"/>
      <c r="E274" s="47"/>
      <c r="F274" s="49">
        <f>'Volunteer Survey'!B887</f>
        <v>0</v>
      </c>
      <c r="G274" s="42">
        <f>'Volunteer Survey'!H888</f>
        <v>0</v>
      </c>
      <c r="H274" s="49"/>
      <c r="I274" s="49"/>
      <c r="J274" s="49"/>
      <c r="K274" s="49"/>
      <c r="L274" s="49"/>
      <c r="M274" s="49"/>
      <c r="N274" s="49"/>
      <c r="O274" s="49"/>
      <c r="P274" s="49"/>
      <c r="Q274" s="49"/>
      <c r="R274" s="49"/>
      <c r="S274" s="49"/>
      <c r="T274" s="49"/>
      <c r="U274" s="49"/>
    </row>
    <row r="275" spans="1:21" ht="13">
      <c r="A275" s="42" t="s">
        <v>322</v>
      </c>
      <c r="B275" s="49"/>
      <c r="C275" s="49"/>
      <c r="D275" s="49"/>
      <c r="E275" s="47"/>
      <c r="F275" s="49">
        <f>'Volunteer Survey'!B888</f>
        <v>0</v>
      </c>
      <c r="G275" s="42">
        <f>'Volunteer Survey'!H889</f>
        <v>0</v>
      </c>
      <c r="H275" s="49"/>
      <c r="I275" s="49"/>
      <c r="J275" s="49"/>
      <c r="K275" s="49"/>
      <c r="L275" s="49"/>
      <c r="M275" s="49"/>
      <c r="N275" s="49"/>
      <c r="O275" s="49"/>
      <c r="P275" s="49"/>
      <c r="Q275" s="49"/>
      <c r="R275" s="49"/>
      <c r="S275" s="49"/>
      <c r="T275" s="49"/>
      <c r="U275" s="49"/>
    </row>
    <row r="276" spans="1:21" ht="13">
      <c r="A276" s="42" t="s">
        <v>322</v>
      </c>
      <c r="B276" s="49"/>
      <c r="C276" s="49"/>
      <c r="D276" s="49"/>
      <c r="E276" s="47"/>
      <c r="F276" s="49">
        <f>'Volunteer Survey'!B889</f>
        <v>0</v>
      </c>
      <c r="G276" s="42">
        <f>'Volunteer Survey'!H890</f>
        <v>0</v>
      </c>
      <c r="H276" s="49"/>
      <c r="I276" s="49"/>
      <c r="J276" s="49"/>
      <c r="K276" s="49"/>
      <c r="L276" s="49"/>
      <c r="M276" s="49"/>
      <c r="N276" s="49"/>
      <c r="O276" s="49"/>
      <c r="P276" s="49"/>
      <c r="Q276" s="49"/>
      <c r="R276" s="49"/>
      <c r="S276" s="49"/>
      <c r="T276" s="49"/>
      <c r="U276" s="49"/>
    </row>
    <row r="277" spans="1:21" ht="13">
      <c r="A277" s="42" t="s">
        <v>322</v>
      </c>
      <c r="B277" s="49"/>
      <c r="C277" s="49"/>
      <c r="D277" s="49"/>
      <c r="E277" s="47"/>
      <c r="F277" s="49">
        <f>'Volunteer Survey'!B890</f>
        <v>0</v>
      </c>
      <c r="G277" s="42">
        <f>'Volunteer Survey'!H891</f>
        <v>0</v>
      </c>
      <c r="H277" s="49"/>
      <c r="I277" s="49"/>
      <c r="J277" s="49"/>
      <c r="K277" s="49"/>
      <c r="L277" s="49"/>
      <c r="M277" s="49"/>
      <c r="N277" s="49"/>
      <c r="O277" s="49"/>
      <c r="P277" s="49"/>
      <c r="Q277" s="49"/>
      <c r="R277" s="49"/>
      <c r="S277" s="49"/>
      <c r="T277" s="49"/>
      <c r="U277" s="49"/>
    </row>
    <row r="278" spans="1:21" ht="13">
      <c r="A278" s="42" t="s">
        <v>322</v>
      </c>
      <c r="B278" s="49"/>
      <c r="C278" s="49"/>
      <c r="D278" s="49"/>
      <c r="E278" s="47"/>
      <c r="F278" s="49">
        <f>'Volunteer Survey'!B891</f>
        <v>0</v>
      </c>
      <c r="G278" s="42">
        <f>'Volunteer Survey'!H892</f>
        <v>0</v>
      </c>
      <c r="H278" s="49"/>
      <c r="I278" s="49"/>
      <c r="J278" s="49"/>
      <c r="K278" s="49"/>
      <c r="L278" s="49"/>
      <c r="M278" s="49"/>
      <c r="N278" s="49"/>
      <c r="O278" s="49"/>
      <c r="P278" s="49"/>
      <c r="Q278" s="49"/>
      <c r="R278" s="49"/>
      <c r="S278" s="49"/>
      <c r="T278" s="49"/>
      <c r="U278" s="49"/>
    </row>
    <row r="279" spans="1:21" ht="13">
      <c r="A279" s="42" t="s">
        <v>322</v>
      </c>
      <c r="B279" s="49"/>
      <c r="C279" s="49"/>
      <c r="D279" s="49"/>
      <c r="E279" s="47"/>
      <c r="F279" s="49">
        <f>'Volunteer Survey'!B892</f>
        <v>0</v>
      </c>
      <c r="G279" s="42">
        <f>'Volunteer Survey'!H893</f>
        <v>0</v>
      </c>
      <c r="H279" s="49"/>
      <c r="I279" s="49"/>
      <c r="J279" s="49"/>
      <c r="K279" s="49"/>
      <c r="L279" s="49"/>
      <c r="M279" s="49"/>
      <c r="N279" s="49"/>
      <c r="O279" s="49"/>
      <c r="P279" s="49"/>
      <c r="Q279" s="49"/>
      <c r="R279" s="49"/>
      <c r="S279" s="49"/>
      <c r="T279" s="49"/>
      <c r="U279" s="49"/>
    </row>
    <row r="280" spans="1:21" ht="13">
      <c r="A280" s="42" t="s">
        <v>322</v>
      </c>
      <c r="B280" s="49"/>
      <c r="C280" s="49"/>
      <c r="D280" s="49"/>
      <c r="E280" s="47"/>
      <c r="F280" s="49">
        <f>'Volunteer Survey'!B893</f>
        <v>0</v>
      </c>
      <c r="G280" s="42">
        <f>'Volunteer Survey'!H894</f>
        <v>0</v>
      </c>
      <c r="H280" s="49"/>
      <c r="I280" s="49"/>
      <c r="J280" s="49"/>
      <c r="K280" s="49"/>
      <c r="L280" s="49"/>
      <c r="M280" s="49"/>
      <c r="N280" s="49"/>
      <c r="O280" s="49"/>
      <c r="P280" s="49"/>
      <c r="Q280" s="49"/>
      <c r="R280" s="49"/>
      <c r="S280" s="49"/>
      <c r="T280" s="49"/>
      <c r="U280" s="49"/>
    </row>
    <row r="281" spans="1:21" ht="13">
      <c r="A281" s="42" t="s">
        <v>322</v>
      </c>
      <c r="B281" s="49"/>
      <c r="C281" s="49"/>
      <c r="D281" s="49"/>
      <c r="E281" s="47"/>
      <c r="F281" s="49">
        <f>'Volunteer Survey'!B894</f>
        <v>0</v>
      </c>
      <c r="G281" s="42">
        <f>'Volunteer Survey'!H895</f>
        <v>0</v>
      </c>
      <c r="H281" s="49"/>
      <c r="I281" s="49"/>
      <c r="J281" s="49"/>
      <c r="K281" s="49"/>
      <c r="L281" s="49"/>
      <c r="M281" s="49"/>
      <c r="N281" s="49"/>
      <c r="O281" s="49"/>
      <c r="P281" s="49"/>
      <c r="Q281" s="49"/>
      <c r="R281" s="49"/>
      <c r="S281" s="49"/>
      <c r="T281" s="49"/>
      <c r="U281" s="49"/>
    </row>
    <row r="282" spans="1:21" ht="13">
      <c r="A282" s="42" t="s">
        <v>322</v>
      </c>
      <c r="B282" s="49"/>
      <c r="C282" s="49"/>
      <c r="D282" s="49"/>
      <c r="E282" s="47"/>
      <c r="F282" s="49">
        <f>'Volunteer Survey'!B895</f>
        <v>0</v>
      </c>
      <c r="G282" s="42">
        <f>'Volunteer Survey'!H896</f>
        <v>0</v>
      </c>
      <c r="H282" s="49"/>
      <c r="I282" s="49"/>
      <c r="J282" s="49"/>
      <c r="K282" s="49"/>
      <c r="L282" s="49"/>
      <c r="M282" s="49"/>
      <c r="N282" s="49"/>
      <c r="O282" s="49"/>
      <c r="P282" s="49"/>
      <c r="Q282" s="49"/>
      <c r="R282" s="49"/>
      <c r="S282" s="49"/>
      <c r="T282" s="49"/>
      <c r="U282" s="49"/>
    </row>
    <row r="283" spans="1:21" ht="13">
      <c r="A283" s="42" t="s">
        <v>322</v>
      </c>
      <c r="B283" s="49"/>
      <c r="C283" s="49"/>
      <c r="D283" s="49"/>
      <c r="E283" s="47"/>
      <c r="F283" s="49">
        <f>'Volunteer Survey'!B896</f>
        <v>0</v>
      </c>
      <c r="G283" s="42">
        <f>'Volunteer Survey'!H897</f>
        <v>0</v>
      </c>
      <c r="H283" s="49"/>
      <c r="I283" s="49"/>
      <c r="J283" s="49"/>
      <c r="K283" s="49"/>
      <c r="L283" s="49"/>
      <c r="M283" s="49"/>
      <c r="N283" s="49"/>
      <c r="O283" s="49"/>
      <c r="P283" s="49"/>
      <c r="Q283" s="49"/>
      <c r="R283" s="49"/>
      <c r="S283" s="49"/>
      <c r="T283" s="49"/>
      <c r="U283" s="49"/>
    </row>
    <row r="284" spans="1:21" ht="13">
      <c r="A284" s="42" t="s">
        <v>322</v>
      </c>
      <c r="B284" s="49"/>
      <c r="C284" s="49"/>
      <c r="D284" s="49"/>
      <c r="E284" s="47"/>
      <c r="F284" s="49">
        <f>'Volunteer Survey'!B897</f>
        <v>0</v>
      </c>
      <c r="G284" s="42">
        <f>'Volunteer Survey'!H898</f>
        <v>0</v>
      </c>
      <c r="H284" s="49"/>
      <c r="I284" s="49"/>
      <c r="J284" s="49"/>
      <c r="K284" s="49"/>
      <c r="L284" s="49"/>
      <c r="M284" s="49"/>
      <c r="N284" s="49"/>
      <c r="O284" s="49"/>
      <c r="P284" s="49"/>
      <c r="Q284" s="49"/>
      <c r="R284" s="49"/>
      <c r="S284" s="49"/>
      <c r="T284" s="49"/>
      <c r="U284" s="49"/>
    </row>
    <row r="285" spans="1:21" ht="13">
      <c r="A285" s="42" t="s">
        <v>322</v>
      </c>
      <c r="B285" s="49"/>
      <c r="C285" s="49"/>
      <c r="D285" s="49"/>
      <c r="E285" s="47"/>
      <c r="F285" s="49">
        <f>'Volunteer Survey'!B898</f>
        <v>0</v>
      </c>
      <c r="G285" s="42">
        <f>'Volunteer Survey'!H899</f>
        <v>0</v>
      </c>
      <c r="H285" s="49"/>
      <c r="I285" s="49"/>
      <c r="J285" s="49"/>
      <c r="K285" s="49"/>
      <c r="L285" s="49"/>
      <c r="M285" s="49"/>
      <c r="N285" s="49"/>
      <c r="O285" s="49"/>
      <c r="P285" s="49"/>
      <c r="Q285" s="49"/>
      <c r="R285" s="49"/>
      <c r="S285" s="49"/>
      <c r="T285" s="49"/>
      <c r="U285" s="49"/>
    </row>
    <row r="286" spans="1:21" ht="13">
      <c r="A286" s="42" t="s">
        <v>322</v>
      </c>
      <c r="B286" s="49"/>
      <c r="C286" s="49"/>
      <c r="D286" s="49"/>
      <c r="E286" s="47"/>
      <c r="F286" s="49">
        <f>'Volunteer Survey'!B899</f>
        <v>0</v>
      </c>
      <c r="G286" s="42">
        <f>'Volunteer Survey'!H900</f>
        <v>0</v>
      </c>
      <c r="H286" s="49"/>
      <c r="I286" s="49"/>
      <c r="J286" s="49"/>
      <c r="K286" s="49"/>
      <c r="L286" s="49"/>
      <c r="M286" s="49"/>
      <c r="N286" s="49"/>
      <c r="O286" s="49"/>
      <c r="P286" s="49"/>
      <c r="Q286" s="49"/>
      <c r="R286" s="49"/>
      <c r="S286" s="49"/>
      <c r="T286" s="49"/>
      <c r="U286" s="49"/>
    </row>
    <row r="287" spans="1:21" ht="13">
      <c r="A287" s="42" t="s">
        <v>322</v>
      </c>
      <c r="B287" s="49"/>
      <c r="C287" s="49"/>
      <c r="D287" s="49"/>
      <c r="E287" s="47"/>
      <c r="F287" s="49">
        <f>'Volunteer Survey'!B900</f>
        <v>0</v>
      </c>
      <c r="G287" s="42">
        <f>'Volunteer Survey'!H901</f>
        <v>0</v>
      </c>
      <c r="H287" s="49"/>
      <c r="I287" s="49"/>
      <c r="J287" s="49"/>
      <c r="K287" s="49"/>
      <c r="L287" s="49"/>
      <c r="M287" s="49"/>
      <c r="N287" s="49"/>
      <c r="O287" s="49"/>
      <c r="P287" s="49"/>
      <c r="Q287" s="49"/>
      <c r="R287" s="49"/>
      <c r="S287" s="49"/>
      <c r="T287" s="49"/>
      <c r="U287" s="49"/>
    </row>
    <row r="288" spans="1:21" ht="13">
      <c r="A288" s="42" t="s">
        <v>322</v>
      </c>
      <c r="B288" s="49"/>
      <c r="C288" s="49"/>
      <c r="D288" s="49"/>
      <c r="E288" s="47"/>
      <c r="F288" s="49">
        <f>'Volunteer Survey'!B901</f>
        <v>0</v>
      </c>
      <c r="G288" s="42">
        <f>'Volunteer Survey'!H902</f>
        <v>0</v>
      </c>
      <c r="H288" s="49"/>
      <c r="I288" s="49"/>
      <c r="J288" s="49"/>
      <c r="K288" s="49"/>
      <c r="L288" s="49"/>
      <c r="M288" s="49"/>
      <c r="N288" s="49"/>
      <c r="O288" s="49"/>
      <c r="P288" s="49"/>
      <c r="Q288" s="49"/>
      <c r="R288" s="49"/>
      <c r="S288" s="49"/>
      <c r="T288" s="49"/>
      <c r="U288" s="49"/>
    </row>
    <row r="289" spans="1:21" ht="13">
      <c r="A289" s="42" t="s">
        <v>322</v>
      </c>
      <c r="B289" s="49"/>
      <c r="C289" s="49"/>
      <c r="D289" s="49"/>
      <c r="E289" s="47"/>
      <c r="F289" s="49">
        <f>'Volunteer Survey'!B902</f>
        <v>0</v>
      </c>
      <c r="G289" s="42">
        <f>'Volunteer Survey'!H903</f>
        <v>0</v>
      </c>
      <c r="H289" s="49"/>
      <c r="I289" s="49"/>
      <c r="J289" s="49"/>
      <c r="K289" s="49"/>
      <c r="L289" s="49"/>
      <c r="M289" s="49"/>
      <c r="N289" s="49"/>
      <c r="O289" s="49"/>
      <c r="P289" s="49"/>
      <c r="Q289" s="49"/>
      <c r="R289" s="49"/>
      <c r="S289" s="49"/>
      <c r="T289" s="49"/>
      <c r="U289" s="49"/>
    </row>
    <row r="290" spans="1:21" ht="13">
      <c r="A290" s="42" t="s">
        <v>322</v>
      </c>
      <c r="B290" s="49"/>
      <c r="C290" s="49"/>
      <c r="D290" s="49"/>
      <c r="E290" s="47"/>
      <c r="F290" s="49">
        <f>'Volunteer Survey'!B903</f>
        <v>0</v>
      </c>
      <c r="G290" s="42">
        <f>'Volunteer Survey'!H904</f>
        <v>0</v>
      </c>
      <c r="H290" s="49"/>
      <c r="I290" s="49"/>
      <c r="J290" s="49"/>
      <c r="K290" s="49"/>
      <c r="L290" s="49"/>
      <c r="M290" s="49"/>
      <c r="N290" s="49"/>
      <c r="O290" s="49"/>
      <c r="P290" s="49"/>
      <c r="Q290" s="49"/>
      <c r="R290" s="49"/>
      <c r="S290" s="49"/>
      <c r="T290" s="49"/>
      <c r="U290" s="49"/>
    </row>
    <row r="291" spans="1:21" ht="13">
      <c r="A291" s="42" t="s">
        <v>322</v>
      </c>
      <c r="B291" s="49"/>
      <c r="C291" s="49"/>
      <c r="D291" s="49"/>
      <c r="E291" s="47"/>
      <c r="F291" s="49">
        <f>'Volunteer Survey'!B904</f>
        <v>0</v>
      </c>
      <c r="G291" s="42">
        <f>'Volunteer Survey'!H905</f>
        <v>0</v>
      </c>
      <c r="H291" s="49"/>
      <c r="I291" s="49"/>
      <c r="J291" s="49"/>
      <c r="K291" s="49"/>
      <c r="L291" s="49"/>
      <c r="M291" s="49"/>
      <c r="N291" s="49"/>
      <c r="O291" s="49"/>
      <c r="P291" s="49"/>
      <c r="Q291" s="49"/>
      <c r="R291" s="49"/>
      <c r="S291" s="49"/>
      <c r="T291" s="49"/>
      <c r="U291" s="49"/>
    </row>
    <row r="292" spans="1:21" ht="13">
      <c r="A292" s="42" t="s">
        <v>322</v>
      </c>
      <c r="B292" s="49"/>
      <c r="C292" s="49"/>
      <c r="D292" s="49"/>
      <c r="E292" s="47"/>
      <c r="F292" s="49">
        <f>'Volunteer Survey'!B905</f>
        <v>0</v>
      </c>
      <c r="G292" s="42">
        <f>'Volunteer Survey'!H906</f>
        <v>0</v>
      </c>
      <c r="H292" s="49"/>
      <c r="I292" s="49"/>
      <c r="J292" s="49"/>
      <c r="K292" s="49"/>
      <c r="L292" s="49"/>
      <c r="M292" s="49"/>
      <c r="N292" s="49"/>
      <c r="O292" s="49"/>
      <c r="P292" s="49"/>
      <c r="Q292" s="49"/>
      <c r="R292" s="49"/>
      <c r="S292" s="49"/>
      <c r="T292" s="49"/>
      <c r="U292" s="49"/>
    </row>
    <row r="293" spans="1:21" ht="13">
      <c r="A293" s="42" t="s">
        <v>322</v>
      </c>
      <c r="B293" s="49"/>
      <c r="C293" s="49"/>
      <c r="D293" s="49"/>
      <c r="E293" s="47"/>
      <c r="F293" s="49">
        <f>'Volunteer Survey'!B906</f>
        <v>0</v>
      </c>
      <c r="G293" s="42">
        <f>'Volunteer Survey'!H907</f>
        <v>0</v>
      </c>
      <c r="H293" s="49"/>
      <c r="I293" s="49"/>
      <c r="J293" s="49"/>
      <c r="K293" s="49"/>
      <c r="L293" s="49"/>
      <c r="M293" s="49"/>
      <c r="N293" s="49"/>
      <c r="O293" s="49"/>
      <c r="P293" s="49"/>
      <c r="Q293" s="49"/>
      <c r="R293" s="49"/>
      <c r="S293" s="49"/>
      <c r="T293" s="49"/>
      <c r="U293" s="49"/>
    </row>
    <row r="294" spans="1:21" ht="13">
      <c r="A294" s="42" t="s">
        <v>322</v>
      </c>
      <c r="B294" s="49"/>
      <c r="C294" s="49"/>
      <c r="D294" s="49"/>
      <c r="E294" s="47"/>
      <c r="F294" s="49">
        <f>'Volunteer Survey'!B907</f>
        <v>0</v>
      </c>
      <c r="G294" s="42">
        <f>'Volunteer Survey'!H908</f>
        <v>0</v>
      </c>
      <c r="H294" s="49"/>
      <c r="I294" s="49"/>
      <c r="J294" s="49"/>
      <c r="K294" s="49"/>
      <c r="L294" s="49"/>
      <c r="M294" s="49"/>
      <c r="N294" s="49"/>
      <c r="O294" s="49"/>
      <c r="P294" s="49"/>
      <c r="Q294" s="49"/>
      <c r="R294" s="49"/>
      <c r="S294" s="49"/>
      <c r="T294" s="49"/>
      <c r="U294" s="49"/>
    </row>
    <row r="295" spans="1:21" ht="13">
      <c r="A295" s="42" t="s">
        <v>322</v>
      </c>
      <c r="B295" s="49"/>
      <c r="C295" s="49"/>
      <c r="D295" s="49"/>
      <c r="E295" s="47"/>
      <c r="F295" s="49">
        <f>'Volunteer Survey'!B908</f>
        <v>0</v>
      </c>
      <c r="G295" s="42">
        <f>'Volunteer Survey'!H909</f>
        <v>0</v>
      </c>
      <c r="H295" s="49"/>
      <c r="I295" s="49"/>
      <c r="J295" s="49"/>
      <c r="K295" s="49"/>
      <c r="L295" s="49"/>
      <c r="M295" s="49"/>
      <c r="N295" s="49"/>
      <c r="O295" s="49"/>
      <c r="P295" s="49"/>
      <c r="Q295" s="49"/>
      <c r="R295" s="49"/>
      <c r="S295" s="49"/>
      <c r="T295" s="49"/>
      <c r="U295" s="49"/>
    </row>
    <row r="296" spans="1:21" ht="13">
      <c r="A296" s="42" t="s">
        <v>322</v>
      </c>
      <c r="B296" s="49"/>
      <c r="C296" s="49"/>
      <c r="D296" s="49"/>
      <c r="E296" s="47"/>
      <c r="F296" s="49">
        <f>'Volunteer Survey'!B909</f>
        <v>0</v>
      </c>
      <c r="G296" s="42">
        <f>'Volunteer Survey'!H910</f>
        <v>0</v>
      </c>
      <c r="H296" s="49"/>
      <c r="I296" s="49"/>
      <c r="J296" s="49"/>
      <c r="K296" s="49"/>
      <c r="L296" s="49"/>
      <c r="M296" s="49"/>
      <c r="N296" s="49"/>
      <c r="O296" s="49"/>
      <c r="P296" s="49"/>
      <c r="Q296" s="49"/>
      <c r="R296" s="49"/>
      <c r="S296" s="49"/>
      <c r="T296" s="49"/>
      <c r="U296" s="49"/>
    </row>
    <row r="297" spans="1:21" ht="13">
      <c r="A297" s="42" t="s">
        <v>322</v>
      </c>
      <c r="B297" s="49"/>
      <c r="C297" s="49"/>
      <c r="D297" s="49"/>
      <c r="E297" s="47"/>
      <c r="F297" s="49">
        <f>'Volunteer Survey'!B910</f>
        <v>0</v>
      </c>
      <c r="G297" s="42">
        <f>'Volunteer Survey'!H911</f>
        <v>0</v>
      </c>
      <c r="H297" s="49"/>
      <c r="I297" s="49"/>
      <c r="J297" s="49"/>
      <c r="K297" s="49"/>
      <c r="L297" s="49"/>
      <c r="M297" s="49"/>
      <c r="N297" s="49"/>
      <c r="O297" s="49"/>
      <c r="P297" s="49"/>
      <c r="Q297" s="49"/>
      <c r="R297" s="49"/>
      <c r="S297" s="49"/>
      <c r="T297" s="49"/>
      <c r="U297" s="49"/>
    </row>
    <row r="298" spans="1:21" ht="13">
      <c r="A298" s="42" t="s">
        <v>322</v>
      </c>
      <c r="B298" s="49"/>
      <c r="C298" s="49"/>
      <c r="D298" s="49"/>
      <c r="E298" s="47"/>
      <c r="F298" s="49">
        <f>'Volunteer Survey'!B911</f>
        <v>0</v>
      </c>
      <c r="G298" s="42">
        <f>'Volunteer Survey'!H912</f>
        <v>0</v>
      </c>
      <c r="H298" s="49"/>
      <c r="I298" s="49"/>
      <c r="J298" s="49"/>
      <c r="K298" s="49"/>
      <c r="L298" s="49"/>
      <c r="M298" s="49"/>
      <c r="N298" s="49"/>
      <c r="O298" s="49"/>
      <c r="P298" s="49"/>
      <c r="Q298" s="49"/>
      <c r="R298" s="49"/>
      <c r="S298" s="49"/>
      <c r="T298" s="49"/>
      <c r="U298" s="49"/>
    </row>
    <row r="299" spans="1:21" ht="13">
      <c r="A299" s="42" t="s">
        <v>322</v>
      </c>
      <c r="B299" s="49"/>
      <c r="C299" s="49"/>
      <c r="D299" s="49"/>
      <c r="E299" s="47"/>
      <c r="F299" s="49">
        <f>'Volunteer Survey'!B912</f>
        <v>0</v>
      </c>
      <c r="G299" s="42">
        <f>'Volunteer Survey'!H913</f>
        <v>0</v>
      </c>
      <c r="H299" s="49"/>
      <c r="I299" s="49"/>
      <c r="J299" s="49"/>
      <c r="K299" s="49"/>
      <c r="L299" s="49"/>
      <c r="M299" s="49"/>
      <c r="N299" s="49"/>
      <c r="O299" s="49"/>
      <c r="P299" s="49"/>
      <c r="Q299" s="49"/>
      <c r="R299" s="49"/>
      <c r="S299" s="49"/>
      <c r="T299" s="49"/>
      <c r="U299" s="49"/>
    </row>
    <row r="300" spans="1:21" ht="13">
      <c r="A300" s="42" t="s">
        <v>322</v>
      </c>
      <c r="B300" s="49"/>
      <c r="C300" s="49"/>
      <c r="D300" s="49"/>
      <c r="E300" s="47"/>
      <c r="F300" s="49">
        <f>'Volunteer Survey'!B913</f>
        <v>0</v>
      </c>
      <c r="G300" s="42">
        <f>'Volunteer Survey'!H914</f>
        <v>0</v>
      </c>
      <c r="H300" s="49"/>
      <c r="I300" s="49"/>
      <c r="J300" s="49"/>
      <c r="K300" s="49"/>
      <c r="L300" s="49"/>
      <c r="M300" s="49"/>
      <c r="N300" s="49"/>
      <c r="O300" s="49"/>
      <c r="P300" s="49"/>
      <c r="Q300" s="49"/>
      <c r="R300" s="49"/>
      <c r="S300" s="49"/>
      <c r="T300" s="49"/>
      <c r="U300" s="49"/>
    </row>
    <row r="301" spans="1:21" ht="13">
      <c r="A301" s="42" t="s">
        <v>322</v>
      </c>
      <c r="B301" s="49"/>
      <c r="C301" s="49"/>
      <c r="D301" s="49"/>
      <c r="E301" s="47"/>
      <c r="F301" s="49">
        <f>'Volunteer Survey'!B914</f>
        <v>0</v>
      </c>
      <c r="G301" s="42">
        <f>'Volunteer Survey'!H915</f>
        <v>0</v>
      </c>
      <c r="H301" s="49"/>
      <c r="I301" s="49"/>
      <c r="J301" s="49"/>
      <c r="K301" s="49"/>
      <c r="L301" s="49"/>
      <c r="M301" s="49"/>
      <c r="N301" s="49"/>
      <c r="O301" s="49"/>
      <c r="P301" s="49"/>
      <c r="Q301" s="49"/>
      <c r="R301" s="49"/>
      <c r="S301" s="49"/>
      <c r="T301" s="49"/>
      <c r="U301" s="49"/>
    </row>
    <row r="302" spans="1:21" ht="13">
      <c r="A302" s="42" t="s">
        <v>322</v>
      </c>
      <c r="B302" s="49"/>
      <c r="C302" s="49"/>
      <c r="D302" s="49"/>
      <c r="E302" s="47"/>
      <c r="F302" s="49">
        <f>'Volunteer Survey'!B915</f>
        <v>0</v>
      </c>
      <c r="G302" s="42">
        <f>'Volunteer Survey'!H916</f>
        <v>0</v>
      </c>
      <c r="H302" s="49"/>
      <c r="I302" s="49"/>
      <c r="J302" s="49"/>
      <c r="K302" s="49"/>
      <c r="L302" s="49"/>
      <c r="M302" s="49"/>
      <c r="N302" s="49"/>
      <c r="O302" s="49"/>
      <c r="P302" s="49"/>
      <c r="Q302" s="49"/>
      <c r="R302" s="49"/>
      <c r="S302" s="49"/>
      <c r="T302" s="49"/>
      <c r="U302" s="49"/>
    </row>
    <row r="303" spans="1:21" ht="13">
      <c r="A303" s="42" t="s">
        <v>322</v>
      </c>
      <c r="B303" s="49"/>
      <c r="C303" s="49"/>
      <c r="D303" s="49"/>
      <c r="E303" s="47"/>
      <c r="F303" s="49">
        <f>'Volunteer Survey'!B916</f>
        <v>0</v>
      </c>
      <c r="G303" s="42">
        <f>'Volunteer Survey'!H917</f>
        <v>0</v>
      </c>
      <c r="H303" s="49"/>
      <c r="I303" s="49"/>
      <c r="J303" s="49"/>
      <c r="K303" s="49"/>
      <c r="L303" s="49"/>
      <c r="M303" s="49"/>
      <c r="N303" s="49"/>
      <c r="O303" s="49"/>
      <c r="P303" s="49"/>
      <c r="Q303" s="49"/>
      <c r="R303" s="49"/>
      <c r="S303" s="49"/>
      <c r="T303" s="49"/>
      <c r="U303" s="49"/>
    </row>
    <row r="304" spans="1:21" ht="13">
      <c r="A304" s="42" t="s">
        <v>322</v>
      </c>
      <c r="B304" s="49"/>
      <c r="C304" s="49"/>
      <c r="D304" s="49"/>
      <c r="E304" s="47"/>
      <c r="F304" s="49">
        <f>'Volunteer Survey'!B917</f>
        <v>0</v>
      </c>
      <c r="G304" s="42">
        <f>'Volunteer Survey'!H918</f>
        <v>0</v>
      </c>
      <c r="H304" s="49"/>
      <c r="I304" s="49"/>
      <c r="J304" s="49"/>
      <c r="K304" s="49"/>
      <c r="L304" s="49"/>
      <c r="M304" s="49"/>
      <c r="N304" s="49"/>
      <c r="O304" s="49"/>
      <c r="P304" s="49"/>
      <c r="Q304" s="49"/>
      <c r="R304" s="49"/>
      <c r="S304" s="49"/>
      <c r="T304" s="49"/>
      <c r="U304" s="49"/>
    </row>
    <row r="305" spans="1:21" ht="13">
      <c r="A305" s="42" t="s">
        <v>322</v>
      </c>
      <c r="B305" s="49"/>
      <c r="C305" s="49"/>
      <c r="D305" s="49"/>
      <c r="E305" s="47"/>
      <c r="F305" s="49">
        <f>'Volunteer Survey'!B918</f>
        <v>0</v>
      </c>
      <c r="G305" s="42">
        <f>'Volunteer Survey'!H919</f>
        <v>0</v>
      </c>
      <c r="H305" s="49"/>
      <c r="I305" s="49"/>
      <c r="J305" s="49"/>
      <c r="K305" s="49"/>
      <c r="L305" s="49"/>
      <c r="M305" s="49"/>
      <c r="N305" s="49"/>
      <c r="O305" s="49"/>
      <c r="P305" s="49"/>
      <c r="Q305" s="49"/>
      <c r="R305" s="49"/>
      <c r="S305" s="49"/>
      <c r="T305" s="49"/>
      <c r="U305" s="49"/>
    </row>
    <row r="306" spans="1:21" ht="13">
      <c r="A306" s="42" t="s">
        <v>322</v>
      </c>
      <c r="B306" s="49"/>
      <c r="C306" s="49"/>
      <c r="D306" s="49"/>
      <c r="E306" s="47"/>
      <c r="F306" s="49">
        <f>'Volunteer Survey'!B919</f>
        <v>0</v>
      </c>
      <c r="G306" s="42">
        <f>'Volunteer Survey'!H920</f>
        <v>0</v>
      </c>
      <c r="H306" s="49"/>
      <c r="I306" s="49"/>
      <c r="J306" s="49"/>
      <c r="K306" s="49"/>
      <c r="L306" s="49"/>
      <c r="M306" s="49"/>
      <c r="N306" s="49"/>
      <c r="O306" s="49"/>
      <c r="P306" s="49"/>
      <c r="Q306" s="49"/>
      <c r="R306" s="49"/>
      <c r="S306" s="49"/>
      <c r="T306" s="49"/>
      <c r="U306" s="49"/>
    </row>
    <row r="307" spans="1:21" ht="13">
      <c r="A307" s="42" t="s">
        <v>322</v>
      </c>
      <c r="B307" s="49"/>
      <c r="C307" s="49"/>
      <c r="D307" s="49"/>
      <c r="E307" s="47"/>
      <c r="F307" s="49">
        <f>'Volunteer Survey'!B920</f>
        <v>0</v>
      </c>
      <c r="G307" s="42">
        <f>'Volunteer Survey'!H921</f>
        <v>0</v>
      </c>
      <c r="H307" s="49"/>
      <c r="I307" s="49"/>
      <c r="J307" s="49"/>
      <c r="K307" s="49"/>
      <c r="L307" s="49"/>
      <c r="M307" s="49"/>
      <c r="N307" s="49"/>
      <c r="O307" s="49"/>
      <c r="P307" s="49"/>
      <c r="Q307" s="49"/>
      <c r="R307" s="49"/>
      <c r="S307" s="49"/>
      <c r="T307" s="49"/>
      <c r="U307" s="49"/>
    </row>
    <row r="308" spans="1:21" ht="13">
      <c r="A308" s="42" t="s">
        <v>322</v>
      </c>
      <c r="B308" s="49"/>
      <c r="C308" s="49"/>
      <c r="D308" s="49"/>
      <c r="E308" s="47"/>
      <c r="F308" s="49">
        <f>'Volunteer Survey'!B921</f>
        <v>0</v>
      </c>
      <c r="G308" s="42">
        <f>'Volunteer Survey'!H922</f>
        <v>0</v>
      </c>
      <c r="H308" s="49"/>
      <c r="I308" s="49"/>
      <c r="J308" s="49"/>
      <c r="K308" s="49"/>
      <c r="L308" s="49"/>
      <c r="M308" s="49"/>
      <c r="N308" s="49"/>
      <c r="O308" s="49"/>
      <c r="P308" s="49"/>
      <c r="Q308" s="49"/>
      <c r="R308" s="49"/>
      <c r="S308" s="49"/>
      <c r="T308" s="49"/>
      <c r="U308" s="49"/>
    </row>
    <row r="309" spans="1:21" ht="13">
      <c r="A309" s="42" t="s">
        <v>322</v>
      </c>
      <c r="B309" s="49"/>
      <c r="C309" s="49"/>
      <c r="D309" s="49"/>
      <c r="E309" s="47"/>
      <c r="F309" s="49">
        <f>'Volunteer Survey'!B922</f>
        <v>0</v>
      </c>
      <c r="G309" s="42">
        <f>'Volunteer Survey'!H923</f>
        <v>0</v>
      </c>
      <c r="H309" s="49"/>
      <c r="I309" s="49"/>
      <c r="J309" s="49"/>
      <c r="K309" s="49"/>
      <c r="L309" s="49"/>
      <c r="M309" s="49"/>
      <c r="N309" s="49"/>
      <c r="O309" s="49"/>
      <c r="P309" s="49"/>
      <c r="Q309" s="49"/>
      <c r="R309" s="49"/>
      <c r="S309" s="49"/>
      <c r="T309" s="49"/>
      <c r="U309" s="49"/>
    </row>
    <row r="310" spans="1:21" ht="13">
      <c r="A310" s="42" t="s">
        <v>322</v>
      </c>
      <c r="B310" s="49"/>
      <c r="C310" s="49"/>
      <c r="D310" s="49"/>
      <c r="E310" s="47"/>
      <c r="F310" s="49">
        <f>'Volunteer Survey'!B923</f>
        <v>0</v>
      </c>
      <c r="G310" s="42">
        <f>'Volunteer Survey'!H924</f>
        <v>0</v>
      </c>
      <c r="H310" s="49"/>
      <c r="I310" s="49"/>
      <c r="J310" s="49"/>
      <c r="K310" s="49"/>
      <c r="L310" s="49"/>
      <c r="M310" s="49"/>
      <c r="N310" s="49"/>
      <c r="O310" s="49"/>
      <c r="P310" s="49"/>
      <c r="Q310" s="49"/>
      <c r="R310" s="49"/>
      <c r="S310" s="49"/>
      <c r="T310" s="49"/>
      <c r="U310" s="49"/>
    </row>
    <row r="311" spans="1:21" ht="13">
      <c r="A311" s="42" t="s">
        <v>322</v>
      </c>
      <c r="B311" s="49"/>
      <c r="C311" s="49"/>
      <c r="D311" s="49"/>
      <c r="E311" s="47"/>
      <c r="F311" s="49">
        <f>'Volunteer Survey'!B924</f>
        <v>0</v>
      </c>
      <c r="G311" s="42">
        <f>'Volunteer Survey'!H925</f>
        <v>0</v>
      </c>
      <c r="H311" s="49"/>
      <c r="I311" s="49"/>
      <c r="J311" s="49"/>
      <c r="K311" s="49"/>
      <c r="L311" s="49"/>
      <c r="M311" s="49"/>
      <c r="N311" s="49"/>
      <c r="O311" s="49"/>
      <c r="P311" s="49"/>
      <c r="Q311" s="49"/>
      <c r="R311" s="49"/>
      <c r="S311" s="49"/>
      <c r="T311" s="49"/>
      <c r="U311" s="49"/>
    </row>
    <row r="312" spans="1:21" ht="13">
      <c r="A312" s="42" t="s">
        <v>322</v>
      </c>
      <c r="B312" s="49"/>
      <c r="C312" s="49"/>
      <c r="D312" s="49"/>
      <c r="E312" s="47"/>
      <c r="F312" s="49">
        <f>'Volunteer Survey'!B925</f>
        <v>0</v>
      </c>
      <c r="G312" s="42">
        <f>'Volunteer Survey'!H926</f>
        <v>0</v>
      </c>
      <c r="H312" s="49"/>
      <c r="I312" s="49"/>
      <c r="J312" s="49"/>
      <c r="K312" s="49"/>
      <c r="L312" s="49"/>
      <c r="M312" s="49"/>
      <c r="N312" s="49"/>
      <c r="O312" s="49"/>
      <c r="P312" s="49"/>
      <c r="Q312" s="49"/>
      <c r="R312" s="49"/>
      <c r="S312" s="49"/>
      <c r="T312" s="49"/>
      <c r="U312" s="49"/>
    </row>
    <row r="313" spans="1:21" ht="13">
      <c r="A313" s="42" t="s">
        <v>322</v>
      </c>
      <c r="B313" s="49"/>
      <c r="C313" s="49"/>
      <c r="D313" s="49"/>
      <c r="E313" s="47"/>
      <c r="F313" s="49">
        <f>'Volunteer Survey'!B926</f>
        <v>0</v>
      </c>
      <c r="G313" s="42">
        <f>'Volunteer Survey'!H927</f>
        <v>0</v>
      </c>
      <c r="H313" s="49"/>
      <c r="I313" s="49"/>
      <c r="J313" s="49"/>
      <c r="K313" s="49"/>
      <c r="L313" s="49"/>
      <c r="M313" s="49"/>
      <c r="N313" s="49"/>
      <c r="O313" s="49"/>
      <c r="P313" s="49"/>
      <c r="Q313" s="49"/>
      <c r="R313" s="49"/>
      <c r="S313" s="49"/>
      <c r="T313" s="49"/>
      <c r="U313" s="49"/>
    </row>
    <row r="314" spans="1:21" ht="13">
      <c r="A314" s="42" t="s">
        <v>322</v>
      </c>
      <c r="B314" s="49"/>
      <c r="C314" s="49"/>
      <c r="D314" s="49"/>
      <c r="E314" s="47"/>
      <c r="F314" s="49">
        <f>'Volunteer Survey'!B927</f>
        <v>0</v>
      </c>
      <c r="G314" s="42">
        <f>'Volunteer Survey'!H928</f>
        <v>0</v>
      </c>
      <c r="H314" s="49"/>
      <c r="I314" s="49"/>
      <c r="J314" s="49"/>
      <c r="K314" s="49"/>
      <c r="L314" s="49"/>
      <c r="M314" s="49"/>
      <c r="N314" s="49"/>
      <c r="O314" s="49"/>
      <c r="P314" s="49"/>
      <c r="Q314" s="49"/>
      <c r="R314" s="49"/>
      <c r="S314" s="49"/>
      <c r="T314" s="49"/>
      <c r="U314" s="49"/>
    </row>
    <row r="315" spans="1:21" ht="13">
      <c r="A315" s="42" t="s">
        <v>322</v>
      </c>
      <c r="B315" s="49"/>
      <c r="C315" s="49"/>
      <c r="D315" s="49"/>
      <c r="E315" s="47"/>
      <c r="F315" s="49">
        <f>'Volunteer Survey'!B928</f>
        <v>0</v>
      </c>
      <c r="G315" s="42">
        <f>'Volunteer Survey'!H929</f>
        <v>0</v>
      </c>
      <c r="H315" s="49"/>
      <c r="I315" s="49"/>
      <c r="J315" s="49"/>
      <c r="K315" s="49"/>
      <c r="L315" s="49"/>
      <c r="M315" s="49"/>
      <c r="N315" s="49"/>
      <c r="O315" s="49"/>
      <c r="P315" s="49"/>
      <c r="Q315" s="49"/>
      <c r="R315" s="49"/>
      <c r="S315" s="49"/>
      <c r="T315" s="49"/>
      <c r="U315" s="49"/>
    </row>
    <row r="316" spans="1:21" ht="13">
      <c r="A316" s="42" t="s">
        <v>322</v>
      </c>
      <c r="B316" s="49"/>
      <c r="C316" s="49"/>
      <c r="D316" s="49"/>
      <c r="E316" s="47"/>
      <c r="F316" s="49">
        <f>'Volunteer Survey'!B929</f>
        <v>0</v>
      </c>
      <c r="G316" s="42">
        <f>'Volunteer Survey'!H930</f>
        <v>0</v>
      </c>
      <c r="H316" s="49"/>
      <c r="I316" s="49"/>
      <c r="J316" s="49"/>
      <c r="K316" s="49"/>
      <c r="L316" s="49"/>
      <c r="M316" s="49"/>
      <c r="N316" s="49"/>
      <c r="O316" s="49"/>
      <c r="P316" s="49"/>
      <c r="Q316" s="49"/>
      <c r="R316" s="49"/>
      <c r="S316" s="49"/>
      <c r="T316" s="49"/>
      <c r="U316" s="49"/>
    </row>
    <row r="317" spans="1:21" ht="13">
      <c r="A317" s="42" t="s">
        <v>322</v>
      </c>
      <c r="B317" s="49"/>
      <c r="C317" s="49"/>
      <c r="D317" s="49"/>
      <c r="E317" s="47"/>
      <c r="F317" s="49">
        <f>'Volunteer Survey'!B930</f>
        <v>0</v>
      </c>
      <c r="G317" s="42">
        <f>'Volunteer Survey'!H931</f>
        <v>0</v>
      </c>
      <c r="H317" s="49"/>
      <c r="I317" s="49"/>
      <c r="J317" s="49"/>
      <c r="K317" s="49"/>
      <c r="L317" s="49"/>
      <c r="M317" s="49"/>
      <c r="N317" s="49"/>
      <c r="O317" s="49"/>
      <c r="P317" s="49"/>
      <c r="Q317" s="49"/>
      <c r="R317" s="49"/>
      <c r="S317" s="49"/>
      <c r="T317" s="49"/>
      <c r="U317" s="49"/>
    </row>
    <row r="318" spans="1:21" ht="13">
      <c r="A318" s="42" t="s">
        <v>322</v>
      </c>
      <c r="B318" s="49"/>
      <c r="C318" s="49"/>
      <c r="D318" s="49"/>
      <c r="E318" s="47"/>
      <c r="F318" s="49">
        <f>'Volunteer Survey'!B931</f>
        <v>0</v>
      </c>
      <c r="G318" s="42">
        <f>'Volunteer Survey'!H932</f>
        <v>0</v>
      </c>
      <c r="H318" s="49"/>
      <c r="I318" s="49"/>
      <c r="J318" s="49"/>
      <c r="K318" s="49"/>
      <c r="L318" s="49"/>
      <c r="M318" s="49"/>
      <c r="N318" s="49"/>
      <c r="O318" s="49"/>
      <c r="P318" s="49"/>
      <c r="Q318" s="49"/>
      <c r="R318" s="49"/>
      <c r="S318" s="49"/>
      <c r="T318" s="49"/>
      <c r="U318" s="49"/>
    </row>
    <row r="319" spans="1:21" ht="13">
      <c r="A319" s="42" t="s">
        <v>322</v>
      </c>
      <c r="B319" s="49"/>
      <c r="C319" s="49"/>
      <c r="D319" s="49"/>
      <c r="E319" s="47"/>
      <c r="F319" s="49">
        <f>'Volunteer Survey'!B932</f>
        <v>0</v>
      </c>
      <c r="G319" s="42">
        <f>'Volunteer Survey'!H933</f>
        <v>0</v>
      </c>
      <c r="H319" s="49"/>
      <c r="I319" s="49"/>
      <c r="J319" s="49"/>
      <c r="K319" s="49"/>
      <c r="L319" s="49"/>
      <c r="M319" s="49"/>
      <c r="N319" s="49"/>
      <c r="O319" s="49"/>
      <c r="P319" s="49"/>
      <c r="Q319" s="49"/>
      <c r="R319" s="49"/>
      <c r="S319" s="49"/>
      <c r="T319" s="49"/>
      <c r="U319" s="49"/>
    </row>
    <row r="320" spans="1:21" ht="13">
      <c r="A320" s="42" t="s">
        <v>322</v>
      </c>
      <c r="B320" s="49"/>
      <c r="C320" s="49"/>
      <c r="D320" s="49"/>
      <c r="E320" s="47"/>
      <c r="F320" s="49">
        <f>'Volunteer Survey'!B933</f>
        <v>0</v>
      </c>
      <c r="G320" s="42">
        <f>'Volunteer Survey'!H934</f>
        <v>0</v>
      </c>
      <c r="H320" s="49"/>
      <c r="I320" s="49"/>
      <c r="J320" s="49"/>
      <c r="K320" s="49"/>
      <c r="L320" s="49"/>
      <c r="M320" s="49"/>
      <c r="N320" s="49"/>
      <c r="O320" s="49"/>
      <c r="P320" s="49"/>
      <c r="Q320" s="49"/>
      <c r="R320" s="49"/>
      <c r="S320" s="49"/>
      <c r="T320" s="49"/>
      <c r="U320" s="49"/>
    </row>
    <row r="321" spans="1:21" ht="13">
      <c r="A321" s="42" t="s">
        <v>322</v>
      </c>
      <c r="B321" s="49"/>
      <c r="C321" s="49"/>
      <c r="D321" s="49"/>
      <c r="E321" s="47"/>
      <c r="F321" s="49">
        <f>'Volunteer Survey'!B934</f>
        <v>0</v>
      </c>
      <c r="G321" s="42">
        <f>'Volunteer Survey'!H935</f>
        <v>0</v>
      </c>
      <c r="H321" s="49"/>
      <c r="I321" s="49"/>
      <c r="J321" s="49"/>
      <c r="K321" s="49"/>
      <c r="L321" s="49"/>
      <c r="M321" s="49"/>
      <c r="N321" s="49"/>
      <c r="O321" s="49"/>
      <c r="P321" s="49"/>
      <c r="Q321" s="49"/>
      <c r="R321" s="49"/>
      <c r="S321" s="49"/>
      <c r="T321" s="49"/>
      <c r="U321" s="49"/>
    </row>
    <row r="322" spans="1:21" ht="13">
      <c r="A322" s="42" t="s">
        <v>322</v>
      </c>
      <c r="B322" s="49"/>
      <c r="C322" s="49"/>
      <c r="D322" s="49"/>
      <c r="E322" s="47"/>
      <c r="F322" s="49">
        <f>'Volunteer Survey'!B935</f>
        <v>0</v>
      </c>
      <c r="G322" s="42">
        <f>'Volunteer Survey'!H936</f>
        <v>0</v>
      </c>
      <c r="H322" s="49"/>
      <c r="I322" s="49"/>
      <c r="J322" s="49"/>
      <c r="K322" s="49"/>
      <c r="L322" s="49"/>
      <c r="M322" s="49"/>
      <c r="N322" s="49"/>
      <c r="O322" s="49"/>
      <c r="P322" s="49"/>
      <c r="Q322" s="49"/>
      <c r="R322" s="49"/>
      <c r="S322" s="49"/>
      <c r="T322" s="49"/>
      <c r="U322" s="49"/>
    </row>
    <row r="323" spans="1:21" ht="13">
      <c r="A323" s="42" t="s">
        <v>322</v>
      </c>
      <c r="B323" s="49"/>
      <c r="C323" s="49"/>
      <c r="D323" s="49"/>
      <c r="E323" s="47"/>
      <c r="F323" s="49">
        <f>'Volunteer Survey'!B936</f>
        <v>0</v>
      </c>
      <c r="G323" s="42">
        <f>'Volunteer Survey'!H937</f>
        <v>0</v>
      </c>
      <c r="H323" s="49"/>
      <c r="I323" s="49"/>
      <c r="J323" s="49"/>
      <c r="K323" s="49"/>
      <c r="L323" s="49"/>
      <c r="M323" s="49"/>
      <c r="N323" s="49"/>
      <c r="O323" s="49"/>
      <c r="P323" s="49"/>
      <c r="Q323" s="49"/>
      <c r="R323" s="49"/>
      <c r="S323" s="49"/>
      <c r="T323" s="49"/>
      <c r="U323" s="49"/>
    </row>
    <row r="324" spans="1:21" ht="13">
      <c r="A324" s="42" t="s">
        <v>322</v>
      </c>
      <c r="B324" s="49"/>
      <c r="C324" s="49"/>
      <c r="D324" s="49"/>
      <c r="E324" s="47"/>
      <c r="F324" s="49">
        <f>'Volunteer Survey'!B937</f>
        <v>0</v>
      </c>
      <c r="G324" s="42">
        <f>'Volunteer Survey'!H938</f>
        <v>0</v>
      </c>
      <c r="H324" s="49"/>
      <c r="I324" s="49"/>
      <c r="J324" s="49"/>
      <c r="K324" s="49"/>
      <c r="L324" s="49"/>
      <c r="M324" s="49"/>
      <c r="N324" s="49"/>
      <c r="O324" s="49"/>
      <c r="P324" s="49"/>
      <c r="Q324" s="49"/>
      <c r="R324" s="49"/>
      <c r="S324" s="49"/>
      <c r="T324" s="49"/>
      <c r="U324" s="49"/>
    </row>
    <row r="325" spans="1:21" ht="13">
      <c r="A325" s="42" t="s">
        <v>322</v>
      </c>
      <c r="B325" s="49"/>
      <c r="C325" s="49"/>
      <c r="D325" s="49"/>
      <c r="E325" s="47"/>
      <c r="F325" s="49">
        <f>'Volunteer Survey'!B938</f>
        <v>0</v>
      </c>
      <c r="G325" s="42">
        <f>'Volunteer Survey'!H939</f>
        <v>0</v>
      </c>
      <c r="H325" s="49"/>
      <c r="I325" s="49"/>
      <c r="J325" s="49"/>
      <c r="K325" s="49"/>
      <c r="L325" s="49"/>
      <c r="M325" s="49"/>
      <c r="N325" s="49"/>
      <c r="O325" s="49"/>
      <c r="P325" s="49"/>
      <c r="Q325" s="49"/>
      <c r="R325" s="49"/>
      <c r="S325" s="49"/>
      <c r="T325" s="49"/>
      <c r="U325" s="49"/>
    </row>
    <row r="326" spans="1:21" ht="13">
      <c r="A326" s="42" t="s">
        <v>322</v>
      </c>
      <c r="B326" s="49"/>
      <c r="C326" s="49"/>
      <c r="D326" s="49"/>
      <c r="E326" s="47"/>
      <c r="F326" s="49">
        <f>'Volunteer Survey'!B939</f>
        <v>0</v>
      </c>
      <c r="G326" s="42">
        <f>'Volunteer Survey'!H940</f>
        <v>0</v>
      </c>
      <c r="H326" s="49"/>
      <c r="I326" s="49"/>
      <c r="J326" s="49"/>
      <c r="K326" s="49"/>
      <c r="L326" s="49"/>
      <c r="M326" s="49"/>
      <c r="N326" s="49"/>
      <c r="O326" s="49"/>
      <c r="P326" s="49"/>
      <c r="Q326" s="49"/>
      <c r="R326" s="49"/>
      <c r="S326" s="49"/>
      <c r="T326" s="49"/>
      <c r="U326" s="49"/>
    </row>
    <row r="327" spans="1:21" ht="13">
      <c r="A327" s="42" t="s">
        <v>322</v>
      </c>
      <c r="B327" s="49"/>
      <c r="C327" s="49"/>
      <c r="D327" s="49"/>
      <c r="E327" s="47"/>
      <c r="F327" s="49">
        <f>'Volunteer Survey'!B940</f>
        <v>0</v>
      </c>
      <c r="G327" s="42">
        <f>'Volunteer Survey'!H941</f>
        <v>0</v>
      </c>
      <c r="H327" s="49"/>
      <c r="I327" s="49"/>
      <c r="J327" s="49"/>
      <c r="K327" s="49"/>
      <c r="L327" s="49"/>
      <c r="M327" s="49"/>
      <c r="N327" s="49"/>
      <c r="O327" s="49"/>
      <c r="P327" s="49"/>
      <c r="Q327" s="49"/>
      <c r="R327" s="49"/>
      <c r="S327" s="49"/>
      <c r="T327" s="49"/>
      <c r="U327" s="49"/>
    </row>
    <row r="328" spans="1:21" ht="13">
      <c r="A328" s="42" t="s">
        <v>322</v>
      </c>
      <c r="B328" s="49"/>
      <c r="C328" s="49"/>
      <c r="D328" s="49"/>
      <c r="E328" s="47"/>
      <c r="F328" s="49">
        <f>'Volunteer Survey'!B941</f>
        <v>0</v>
      </c>
      <c r="G328" s="42">
        <f>'Volunteer Survey'!H942</f>
        <v>0</v>
      </c>
      <c r="H328" s="49"/>
      <c r="I328" s="49"/>
      <c r="J328" s="49"/>
      <c r="K328" s="49"/>
      <c r="L328" s="49"/>
      <c r="M328" s="49"/>
      <c r="N328" s="49"/>
      <c r="O328" s="49"/>
      <c r="P328" s="49"/>
      <c r="Q328" s="49"/>
      <c r="R328" s="49"/>
      <c r="S328" s="49"/>
      <c r="T328" s="49"/>
      <c r="U328" s="49"/>
    </row>
    <row r="329" spans="1:21" ht="13">
      <c r="A329" s="42" t="s">
        <v>322</v>
      </c>
      <c r="B329" s="49"/>
      <c r="C329" s="49"/>
      <c r="D329" s="49"/>
      <c r="E329" s="47"/>
      <c r="F329" s="49">
        <f>'Volunteer Survey'!B942</f>
        <v>0</v>
      </c>
      <c r="G329" s="42">
        <f>'Volunteer Survey'!H943</f>
        <v>0</v>
      </c>
      <c r="H329" s="49"/>
      <c r="I329" s="49"/>
      <c r="J329" s="49"/>
      <c r="K329" s="49"/>
      <c r="L329" s="49"/>
      <c r="M329" s="49"/>
      <c r="N329" s="49"/>
      <c r="O329" s="49"/>
      <c r="P329" s="49"/>
      <c r="Q329" s="49"/>
      <c r="R329" s="49"/>
      <c r="S329" s="49"/>
      <c r="T329" s="49"/>
      <c r="U329" s="49"/>
    </row>
    <row r="330" spans="1:21" ht="13">
      <c r="A330" s="42" t="s">
        <v>322</v>
      </c>
      <c r="B330" s="49"/>
      <c r="C330" s="49"/>
      <c r="D330" s="49"/>
      <c r="E330" s="47"/>
      <c r="F330" s="49">
        <f>'Volunteer Survey'!B943</f>
        <v>0</v>
      </c>
      <c r="G330" s="42">
        <f>'Volunteer Survey'!H944</f>
        <v>0</v>
      </c>
      <c r="H330" s="49"/>
      <c r="I330" s="49"/>
      <c r="J330" s="49"/>
      <c r="K330" s="49"/>
      <c r="L330" s="49"/>
      <c r="M330" s="49"/>
      <c r="N330" s="49"/>
      <c r="O330" s="49"/>
      <c r="P330" s="49"/>
      <c r="Q330" s="49"/>
      <c r="R330" s="49"/>
      <c r="S330" s="49"/>
      <c r="T330" s="49"/>
      <c r="U330" s="49"/>
    </row>
    <row r="331" spans="1:21" ht="13">
      <c r="A331" s="42" t="s">
        <v>322</v>
      </c>
      <c r="B331" s="49"/>
      <c r="C331" s="49"/>
      <c r="D331" s="49"/>
      <c r="E331" s="47"/>
      <c r="F331" s="49">
        <f>'Volunteer Survey'!B944</f>
        <v>0</v>
      </c>
      <c r="G331" s="42">
        <f>'Volunteer Survey'!H945</f>
        <v>0</v>
      </c>
      <c r="H331" s="49"/>
      <c r="I331" s="49"/>
      <c r="J331" s="49"/>
      <c r="K331" s="49"/>
      <c r="L331" s="49"/>
      <c r="M331" s="49"/>
      <c r="N331" s="49"/>
      <c r="O331" s="49"/>
      <c r="P331" s="49"/>
      <c r="Q331" s="49"/>
      <c r="R331" s="49"/>
      <c r="S331" s="49"/>
      <c r="T331" s="49"/>
      <c r="U331" s="49"/>
    </row>
    <row r="332" spans="1:21" ht="13">
      <c r="A332" s="49"/>
      <c r="B332" s="49"/>
      <c r="C332" s="49"/>
      <c r="D332" s="49"/>
      <c r="E332" s="47"/>
      <c r="F332" s="49">
        <f>'Volunteer Survey'!B945</f>
        <v>0</v>
      </c>
      <c r="G332" s="42">
        <f>'Volunteer Survey'!H946</f>
        <v>0</v>
      </c>
      <c r="H332" s="49"/>
      <c r="I332" s="49"/>
      <c r="J332" s="49"/>
      <c r="K332" s="49"/>
      <c r="L332" s="49"/>
      <c r="M332" s="49"/>
      <c r="N332" s="49"/>
      <c r="O332" s="49"/>
      <c r="P332" s="49"/>
      <c r="Q332" s="49"/>
      <c r="R332" s="49"/>
      <c r="S332" s="49"/>
      <c r="T332" s="49"/>
      <c r="U332" s="49"/>
    </row>
    <row r="333" spans="1:21" ht="13">
      <c r="A333" s="49"/>
      <c r="B333" s="49"/>
      <c r="C333" s="49"/>
      <c r="D333" s="49"/>
      <c r="E333" s="47"/>
      <c r="F333" s="49">
        <f>'Volunteer Survey'!B946</f>
        <v>0</v>
      </c>
      <c r="G333" s="42">
        <f>'Volunteer Survey'!H947</f>
        <v>0</v>
      </c>
      <c r="H333" s="49"/>
      <c r="I333" s="49"/>
      <c r="J333" s="49"/>
      <c r="K333" s="49"/>
      <c r="L333" s="49"/>
      <c r="M333" s="49"/>
      <c r="N333" s="49"/>
      <c r="O333" s="49"/>
      <c r="P333" s="49"/>
      <c r="Q333" s="49"/>
      <c r="R333" s="49"/>
      <c r="S333" s="49"/>
      <c r="T333" s="49"/>
      <c r="U333" s="49"/>
    </row>
    <row r="334" spans="1:21" ht="13">
      <c r="A334" s="49"/>
      <c r="B334" s="49"/>
      <c r="C334" s="49"/>
      <c r="D334" s="49"/>
      <c r="E334" s="47"/>
      <c r="F334" s="49">
        <f>'Volunteer Survey'!B947</f>
        <v>0</v>
      </c>
      <c r="G334" s="42">
        <f>'Volunteer Survey'!H948</f>
        <v>0</v>
      </c>
      <c r="H334" s="49"/>
      <c r="I334" s="49"/>
      <c r="J334" s="49"/>
      <c r="K334" s="49"/>
      <c r="L334" s="49"/>
      <c r="M334" s="49"/>
      <c r="N334" s="49"/>
      <c r="O334" s="49"/>
      <c r="P334" s="49"/>
      <c r="Q334" s="49"/>
      <c r="R334" s="49"/>
      <c r="S334" s="49"/>
      <c r="T334" s="49"/>
      <c r="U334" s="49"/>
    </row>
    <row r="335" spans="1:21" ht="13">
      <c r="A335" s="49"/>
      <c r="B335" s="49"/>
      <c r="C335" s="49"/>
      <c r="D335" s="49"/>
      <c r="E335" s="47"/>
      <c r="F335" s="49">
        <f>'Volunteer Survey'!B948</f>
        <v>0</v>
      </c>
      <c r="G335" s="42">
        <f>'Volunteer Survey'!H949</f>
        <v>0</v>
      </c>
      <c r="H335" s="49"/>
      <c r="I335" s="49"/>
      <c r="J335" s="49"/>
      <c r="K335" s="49"/>
      <c r="L335" s="49"/>
      <c r="M335" s="49"/>
      <c r="N335" s="49"/>
      <c r="O335" s="49"/>
      <c r="P335" s="49"/>
      <c r="Q335" s="49"/>
      <c r="R335" s="49"/>
      <c r="S335" s="49"/>
      <c r="T335" s="49"/>
      <c r="U335" s="49"/>
    </row>
    <row r="336" spans="1:21" ht="13">
      <c r="A336" s="49"/>
      <c r="B336" s="49"/>
      <c r="C336" s="49"/>
      <c r="D336" s="49"/>
      <c r="E336" s="47"/>
      <c r="F336" s="49">
        <f>'Volunteer Survey'!B949</f>
        <v>0</v>
      </c>
      <c r="G336" s="42">
        <f>'Volunteer Survey'!H950</f>
        <v>0</v>
      </c>
      <c r="H336" s="49"/>
      <c r="I336" s="49"/>
      <c r="J336" s="49"/>
      <c r="K336" s="49"/>
      <c r="L336" s="49"/>
      <c r="M336" s="49"/>
      <c r="N336" s="49"/>
      <c r="O336" s="49"/>
      <c r="P336" s="49"/>
      <c r="Q336" s="49"/>
      <c r="R336" s="49"/>
      <c r="S336" s="49"/>
      <c r="T336" s="49"/>
      <c r="U336" s="49"/>
    </row>
    <row r="337" spans="1:21" ht="13">
      <c r="A337" s="49"/>
      <c r="B337" s="49"/>
      <c r="C337" s="49"/>
      <c r="D337" s="49"/>
      <c r="E337" s="47"/>
      <c r="F337" s="49">
        <f>'Volunteer Survey'!B950</f>
        <v>0</v>
      </c>
      <c r="G337" s="42">
        <f>'Volunteer Survey'!H951</f>
        <v>0</v>
      </c>
      <c r="H337" s="49"/>
      <c r="I337" s="49"/>
      <c r="J337" s="49"/>
      <c r="K337" s="49"/>
      <c r="L337" s="49"/>
      <c r="M337" s="49"/>
      <c r="N337" s="49"/>
      <c r="O337" s="49"/>
      <c r="P337" s="49"/>
      <c r="Q337" s="49"/>
      <c r="R337" s="49"/>
      <c r="S337" s="49"/>
      <c r="T337" s="49"/>
      <c r="U337" s="49"/>
    </row>
    <row r="338" spans="1:21" ht="13">
      <c r="A338" s="49"/>
      <c r="B338" s="49"/>
      <c r="C338" s="49"/>
      <c r="D338" s="49"/>
      <c r="E338" s="47"/>
      <c r="F338" s="49">
        <f>'Volunteer Survey'!B951</f>
        <v>0</v>
      </c>
      <c r="G338" s="42">
        <f>'Volunteer Survey'!H952</f>
        <v>0</v>
      </c>
      <c r="H338" s="49"/>
      <c r="I338" s="49"/>
      <c r="J338" s="49"/>
      <c r="K338" s="49"/>
      <c r="L338" s="49"/>
      <c r="M338" s="49"/>
      <c r="N338" s="49"/>
      <c r="O338" s="49"/>
      <c r="P338" s="49"/>
      <c r="Q338" s="49"/>
      <c r="R338" s="49"/>
      <c r="S338" s="49"/>
      <c r="T338" s="49"/>
      <c r="U338" s="49"/>
    </row>
    <row r="339" spans="1:21" ht="13">
      <c r="A339" s="49"/>
      <c r="B339" s="49"/>
      <c r="C339" s="49"/>
      <c r="D339" s="49"/>
      <c r="E339" s="47"/>
      <c r="F339" s="49">
        <f>'Volunteer Survey'!B952</f>
        <v>0</v>
      </c>
      <c r="G339" s="42">
        <f>'Volunteer Survey'!H953</f>
        <v>0</v>
      </c>
      <c r="H339" s="49"/>
      <c r="I339" s="49"/>
      <c r="J339" s="49"/>
      <c r="K339" s="49"/>
      <c r="L339" s="49"/>
      <c r="M339" s="49"/>
      <c r="N339" s="49"/>
      <c r="O339" s="49"/>
      <c r="P339" s="49"/>
      <c r="Q339" s="49"/>
      <c r="R339" s="49"/>
      <c r="S339" s="49"/>
      <c r="T339" s="49"/>
      <c r="U339" s="49"/>
    </row>
    <row r="340" spans="1:21" ht="13">
      <c r="A340" s="49"/>
      <c r="B340" s="49"/>
      <c r="C340" s="49"/>
      <c r="D340" s="49"/>
      <c r="E340" s="47"/>
      <c r="F340" s="49">
        <f>'Volunteer Survey'!B953</f>
        <v>0</v>
      </c>
      <c r="G340" s="42">
        <f>'Volunteer Survey'!H954</f>
        <v>0</v>
      </c>
      <c r="H340" s="49"/>
      <c r="I340" s="49"/>
      <c r="J340" s="49"/>
      <c r="K340" s="49"/>
      <c r="L340" s="49"/>
      <c r="M340" s="49"/>
      <c r="N340" s="49"/>
      <c r="O340" s="49"/>
      <c r="P340" s="49"/>
      <c r="Q340" s="49"/>
      <c r="R340" s="49"/>
      <c r="S340" s="49"/>
      <c r="T340" s="49"/>
      <c r="U340" s="49"/>
    </row>
    <row r="341" spans="1:21" ht="13">
      <c r="A341" s="49"/>
      <c r="B341" s="49"/>
      <c r="C341" s="49"/>
      <c r="D341" s="49"/>
      <c r="E341" s="47"/>
      <c r="F341" s="49">
        <f>'Volunteer Survey'!B954</f>
        <v>0</v>
      </c>
      <c r="G341" s="42">
        <f>'Volunteer Survey'!H955</f>
        <v>0</v>
      </c>
      <c r="H341" s="49"/>
      <c r="I341" s="49"/>
      <c r="J341" s="49"/>
      <c r="K341" s="49"/>
      <c r="L341" s="49"/>
      <c r="M341" s="49"/>
      <c r="N341" s="49"/>
      <c r="O341" s="49"/>
      <c r="P341" s="49"/>
      <c r="Q341" s="49"/>
      <c r="R341" s="49"/>
      <c r="S341" s="49"/>
      <c r="T341" s="49"/>
      <c r="U341" s="49"/>
    </row>
    <row r="342" spans="1:21" ht="13">
      <c r="A342" s="49"/>
      <c r="B342" s="49"/>
      <c r="C342" s="49"/>
      <c r="D342" s="49"/>
      <c r="E342" s="47"/>
      <c r="F342" s="49">
        <f>'Volunteer Survey'!B955</f>
        <v>0</v>
      </c>
      <c r="G342" s="42">
        <f>'Volunteer Survey'!H956</f>
        <v>0</v>
      </c>
      <c r="H342" s="49"/>
      <c r="I342" s="49"/>
      <c r="J342" s="49"/>
      <c r="K342" s="49"/>
      <c r="L342" s="49"/>
      <c r="M342" s="49"/>
      <c r="N342" s="49"/>
      <c r="O342" s="49"/>
      <c r="P342" s="49"/>
      <c r="Q342" s="49"/>
      <c r="R342" s="49"/>
      <c r="S342" s="49"/>
      <c r="T342" s="49"/>
      <c r="U342" s="49"/>
    </row>
    <row r="343" spans="1:21" ht="13">
      <c r="A343" s="49"/>
      <c r="B343" s="49"/>
      <c r="C343" s="49"/>
      <c r="D343" s="49"/>
      <c r="E343" s="47"/>
      <c r="F343" s="49">
        <f>'Volunteer Survey'!B956</f>
        <v>0</v>
      </c>
      <c r="G343" s="42">
        <f>'Volunteer Survey'!H957</f>
        <v>0</v>
      </c>
      <c r="H343" s="49"/>
      <c r="I343" s="49"/>
      <c r="J343" s="49"/>
      <c r="K343" s="49"/>
      <c r="L343" s="49"/>
      <c r="M343" s="49"/>
      <c r="N343" s="49"/>
      <c r="O343" s="49"/>
      <c r="P343" s="49"/>
      <c r="Q343" s="49"/>
      <c r="R343" s="49"/>
      <c r="S343" s="49"/>
      <c r="T343" s="49"/>
      <c r="U343" s="49"/>
    </row>
    <row r="344" spans="1:21" ht="13">
      <c r="A344" s="49"/>
      <c r="B344" s="49"/>
      <c r="C344" s="49"/>
      <c r="D344" s="49"/>
      <c r="E344" s="47"/>
      <c r="F344" s="49">
        <f>'Volunteer Survey'!B957</f>
        <v>0</v>
      </c>
      <c r="G344" s="42">
        <f>'Volunteer Survey'!H958</f>
        <v>0</v>
      </c>
      <c r="H344" s="49"/>
      <c r="I344" s="49"/>
      <c r="J344" s="49"/>
      <c r="K344" s="49"/>
      <c r="L344" s="49"/>
      <c r="M344" s="49"/>
      <c r="N344" s="49"/>
      <c r="O344" s="49"/>
      <c r="P344" s="49"/>
      <c r="Q344" s="49"/>
      <c r="R344" s="49"/>
      <c r="S344" s="49"/>
      <c r="T344" s="49"/>
      <c r="U344" s="49"/>
    </row>
    <row r="345" spans="1:21" ht="13">
      <c r="A345" s="49"/>
      <c r="B345" s="49"/>
      <c r="C345" s="49"/>
      <c r="D345" s="49"/>
      <c r="E345" s="47"/>
      <c r="F345" s="49">
        <f>'Volunteer Survey'!B958</f>
        <v>0</v>
      </c>
      <c r="G345" s="42">
        <f>'Volunteer Survey'!H959</f>
        <v>0</v>
      </c>
      <c r="H345" s="49"/>
      <c r="I345" s="49"/>
      <c r="J345" s="49"/>
      <c r="K345" s="49"/>
      <c r="L345" s="49"/>
      <c r="M345" s="49"/>
      <c r="N345" s="49"/>
      <c r="O345" s="49"/>
      <c r="P345" s="49"/>
      <c r="Q345" s="49"/>
      <c r="R345" s="49"/>
      <c r="S345" s="49"/>
      <c r="T345" s="49"/>
      <c r="U345" s="49"/>
    </row>
    <row r="346" spans="1:21" ht="13">
      <c r="A346" s="49"/>
      <c r="B346" s="49"/>
      <c r="C346" s="49"/>
      <c r="D346" s="49"/>
      <c r="E346" s="47"/>
      <c r="F346" s="49">
        <f>'Volunteer Survey'!B959</f>
        <v>0</v>
      </c>
      <c r="G346" s="42">
        <f>'Volunteer Survey'!H960</f>
        <v>0</v>
      </c>
      <c r="H346" s="49"/>
      <c r="I346" s="49"/>
      <c r="J346" s="49"/>
      <c r="K346" s="49"/>
      <c r="L346" s="49"/>
      <c r="M346" s="49"/>
      <c r="N346" s="49"/>
      <c r="O346" s="49"/>
      <c r="P346" s="49"/>
      <c r="Q346" s="49"/>
      <c r="R346" s="49"/>
      <c r="S346" s="49"/>
      <c r="T346" s="49"/>
      <c r="U346" s="49"/>
    </row>
    <row r="347" spans="1:21" ht="13">
      <c r="A347" s="49"/>
      <c r="B347" s="49"/>
      <c r="C347" s="49"/>
      <c r="D347" s="49"/>
      <c r="E347" s="47"/>
      <c r="F347" s="49">
        <f>'Volunteer Survey'!B960</f>
        <v>0</v>
      </c>
      <c r="G347" s="42">
        <f>'Volunteer Survey'!H961</f>
        <v>0</v>
      </c>
      <c r="H347" s="49"/>
      <c r="I347" s="49"/>
      <c r="J347" s="49"/>
      <c r="K347" s="49"/>
      <c r="L347" s="49"/>
      <c r="M347" s="49"/>
      <c r="N347" s="49"/>
      <c r="O347" s="49"/>
      <c r="P347" s="49"/>
      <c r="Q347" s="49"/>
      <c r="R347" s="49"/>
      <c r="S347" s="49"/>
      <c r="T347" s="49"/>
      <c r="U347" s="49"/>
    </row>
    <row r="348" spans="1:21" ht="13">
      <c r="A348" s="49"/>
      <c r="B348" s="49"/>
      <c r="C348" s="49"/>
      <c r="D348" s="49"/>
      <c r="E348" s="47"/>
      <c r="F348" s="49">
        <f>'Volunteer Survey'!B961</f>
        <v>0</v>
      </c>
      <c r="G348" s="42">
        <f>'Volunteer Survey'!H962</f>
        <v>0</v>
      </c>
      <c r="H348" s="49"/>
      <c r="I348" s="49"/>
      <c r="J348" s="49"/>
      <c r="K348" s="49"/>
      <c r="L348" s="49"/>
      <c r="M348" s="49"/>
      <c r="N348" s="49"/>
      <c r="O348" s="49"/>
      <c r="P348" s="49"/>
      <c r="Q348" s="49"/>
      <c r="R348" s="49"/>
      <c r="S348" s="49"/>
      <c r="T348" s="49"/>
      <c r="U348" s="49"/>
    </row>
    <row r="349" spans="1:21" ht="13">
      <c r="A349" s="49"/>
      <c r="B349" s="49"/>
      <c r="C349" s="49"/>
      <c r="D349" s="49"/>
      <c r="E349" s="47"/>
      <c r="F349" s="49">
        <f>'Volunteer Survey'!B962</f>
        <v>0</v>
      </c>
      <c r="G349" s="42">
        <f>'Volunteer Survey'!H963</f>
        <v>0</v>
      </c>
      <c r="H349" s="49"/>
      <c r="I349" s="49"/>
      <c r="J349" s="49"/>
      <c r="K349" s="49"/>
      <c r="L349" s="49"/>
      <c r="M349" s="49"/>
      <c r="N349" s="49"/>
      <c r="O349" s="49"/>
      <c r="P349" s="49"/>
      <c r="Q349" s="49"/>
      <c r="R349" s="49"/>
      <c r="S349" s="49"/>
      <c r="T349" s="49"/>
      <c r="U349" s="49"/>
    </row>
    <row r="350" spans="1:21" ht="13">
      <c r="A350" s="49"/>
      <c r="B350" s="49"/>
      <c r="C350" s="49"/>
      <c r="D350" s="49"/>
      <c r="E350" s="47"/>
      <c r="F350" s="49">
        <f>'Volunteer Survey'!B963</f>
        <v>0</v>
      </c>
      <c r="G350" s="42">
        <f>'Volunteer Survey'!H964</f>
        <v>0</v>
      </c>
      <c r="H350" s="49"/>
      <c r="I350" s="49"/>
      <c r="J350" s="49"/>
      <c r="K350" s="49"/>
      <c r="L350" s="49"/>
      <c r="M350" s="49"/>
      <c r="N350" s="49"/>
      <c r="O350" s="49"/>
      <c r="P350" s="49"/>
      <c r="Q350" s="49"/>
      <c r="R350" s="49"/>
      <c r="S350" s="49"/>
      <c r="T350" s="49"/>
      <c r="U350" s="49"/>
    </row>
    <row r="351" spans="1:21" ht="13">
      <c r="A351" s="49"/>
      <c r="B351" s="49"/>
      <c r="C351" s="49"/>
      <c r="D351" s="49"/>
      <c r="E351" s="47"/>
      <c r="F351" s="49">
        <f>'Volunteer Survey'!B964</f>
        <v>0</v>
      </c>
      <c r="G351" s="42">
        <f>'Volunteer Survey'!H965</f>
        <v>0</v>
      </c>
      <c r="H351" s="49"/>
      <c r="I351" s="49"/>
      <c r="J351" s="49"/>
      <c r="K351" s="49"/>
      <c r="L351" s="49"/>
      <c r="M351" s="49"/>
      <c r="N351" s="49"/>
      <c r="O351" s="49"/>
      <c r="P351" s="49"/>
      <c r="Q351" s="49"/>
      <c r="R351" s="49"/>
      <c r="S351" s="49"/>
      <c r="T351" s="49"/>
      <c r="U351" s="49"/>
    </row>
    <row r="352" spans="1:21" ht="13">
      <c r="A352" s="49"/>
      <c r="B352" s="49"/>
      <c r="C352" s="49"/>
      <c r="D352" s="49"/>
      <c r="E352" s="47"/>
      <c r="F352" s="49">
        <f>'Volunteer Survey'!B965</f>
        <v>0</v>
      </c>
      <c r="G352" s="42">
        <f>'Volunteer Survey'!H966</f>
        <v>0</v>
      </c>
      <c r="H352" s="49"/>
      <c r="I352" s="49"/>
      <c r="J352" s="49"/>
      <c r="K352" s="49"/>
      <c r="L352" s="49"/>
      <c r="M352" s="49"/>
      <c r="N352" s="49"/>
      <c r="O352" s="49"/>
      <c r="P352" s="49"/>
      <c r="Q352" s="49"/>
      <c r="R352" s="49"/>
      <c r="S352" s="49"/>
      <c r="T352" s="49"/>
      <c r="U352" s="49"/>
    </row>
    <row r="353" spans="1:21" ht="13">
      <c r="A353" s="49"/>
      <c r="B353" s="49"/>
      <c r="C353" s="49"/>
      <c r="D353" s="49"/>
      <c r="E353" s="47"/>
      <c r="F353" s="49">
        <f>'Volunteer Survey'!B966</f>
        <v>0</v>
      </c>
      <c r="G353" s="49" t="b">
        <v>0</v>
      </c>
      <c r="H353" s="49"/>
      <c r="I353" s="49"/>
      <c r="J353" s="49"/>
      <c r="K353" s="49"/>
      <c r="L353" s="49"/>
      <c r="M353" s="49"/>
      <c r="N353" s="49"/>
      <c r="O353" s="49"/>
      <c r="P353" s="49"/>
      <c r="Q353" s="49"/>
      <c r="R353" s="49"/>
      <c r="S353" s="49"/>
      <c r="T353" s="49"/>
      <c r="U353" s="49"/>
    </row>
    <row r="354" spans="1:21" ht="13">
      <c r="A354" s="49"/>
      <c r="B354" s="49"/>
      <c r="C354" s="49"/>
      <c r="D354" s="49"/>
      <c r="E354" s="47"/>
      <c r="F354" s="49">
        <f>'Volunteer Survey'!B967</f>
        <v>0</v>
      </c>
      <c r="G354" s="49" t="b">
        <v>0</v>
      </c>
      <c r="H354" s="49"/>
      <c r="I354" s="49"/>
      <c r="J354" s="49"/>
      <c r="K354" s="49"/>
      <c r="L354" s="49"/>
      <c r="M354" s="49"/>
      <c r="N354" s="49"/>
      <c r="O354" s="49"/>
      <c r="P354" s="49"/>
      <c r="Q354" s="49"/>
      <c r="R354" s="49"/>
      <c r="S354" s="49"/>
      <c r="T354" s="49"/>
      <c r="U354" s="49"/>
    </row>
    <row r="355" spans="1:21" ht="13">
      <c r="A355" s="49"/>
      <c r="B355" s="49"/>
      <c r="C355" s="49"/>
      <c r="D355" s="49"/>
      <c r="E355" s="47"/>
      <c r="F355" s="49">
        <f>'Volunteer Survey'!B968</f>
        <v>0</v>
      </c>
      <c r="G355" s="49" t="b">
        <v>0</v>
      </c>
      <c r="H355" s="49"/>
      <c r="I355" s="49"/>
      <c r="J355" s="49"/>
      <c r="K355" s="49"/>
      <c r="L355" s="49"/>
      <c r="M355" s="49"/>
      <c r="N355" s="49"/>
      <c r="O355" s="49"/>
      <c r="P355" s="49"/>
      <c r="Q355" s="49"/>
      <c r="R355" s="49"/>
      <c r="S355" s="49"/>
      <c r="T355" s="49"/>
      <c r="U355" s="49"/>
    </row>
    <row r="356" spans="1:21" ht="13">
      <c r="A356" s="49"/>
      <c r="B356" s="49"/>
      <c r="C356" s="49"/>
      <c r="D356" s="49"/>
      <c r="E356" s="47"/>
      <c r="F356" s="49">
        <f>'Volunteer Survey'!B969</f>
        <v>0</v>
      </c>
      <c r="G356" s="49" t="b">
        <v>0</v>
      </c>
      <c r="H356" s="49"/>
      <c r="I356" s="49"/>
      <c r="J356" s="49"/>
      <c r="K356" s="49"/>
      <c r="L356" s="49"/>
      <c r="M356" s="49"/>
      <c r="N356" s="49"/>
      <c r="O356" s="49"/>
      <c r="P356" s="49"/>
      <c r="Q356" s="49"/>
      <c r="R356" s="49"/>
      <c r="S356" s="49"/>
      <c r="T356" s="49"/>
      <c r="U356" s="49"/>
    </row>
    <row r="357" spans="1:21" ht="13">
      <c r="A357" s="49"/>
      <c r="B357" s="49"/>
      <c r="C357" s="49"/>
      <c r="D357" s="49"/>
      <c r="E357" s="47"/>
      <c r="F357" s="49">
        <f>'Volunteer Survey'!B970</f>
        <v>0</v>
      </c>
      <c r="G357" s="49" t="b">
        <v>0</v>
      </c>
      <c r="H357" s="49"/>
      <c r="I357" s="49"/>
      <c r="J357" s="49"/>
      <c r="K357" s="49"/>
      <c r="L357" s="49"/>
      <c r="M357" s="49"/>
      <c r="N357" s="49"/>
      <c r="O357" s="49"/>
      <c r="P357" s="49"/>
      <c r="Q357" s="49"/>
      <c r="R357" s="49"/>
      <c r="S357" s="49"/>
      <c r="T357" s="49"/>
      <c r="U357" s="49"/>
    </row>
    <row r="358" spans="1:21" ht="13">
      <c r="A358" s="49"/>
      <c r="B358" s="49"/>
      <c r="C358" s="49"/>
      <c r="D358" s="49"/>
      <c r="E358" s="47"/>
      <c r="F358" s="49">
        <f>'Volunteer Survey'!B971</f>
        <v>0</v>
      </c>
      <c r="G358" s="49" t="b">
        <v>0</v>
      </c>
      <c r="H358" s="49"/>
      <c r="I358" s="49"/>
      <c r="J358" s="49"/>
      <c r="K358" s="49"/>
      <c r="L358" s="49"/>
      <c r="M358" s="49"/>
      <c r="N358" s="49"/>
      <c r="O358" s="49"/>
      <c r="P358" s="49"/>
      <c r="Q358" s="49"/>
      <c r="R358" s="49"/>
      <c r="S358" s="49"/>
      <c r="T358" s="49"/>
      <c r="U358" s="49"/>
    </row>
    <row r="359" spans="1:21" ht="13">
      <c r="A359" s="49"/>
      <c r="B359" s="49"/>
      <c r="C359" s="49"/>
      <c r="D359" s="49"/>
      <c r="E359" s="47"/>
      <c r="F359" s="49">
        <f>'Volunteer Survey'!B972</f>
        <v>0</v>
      </c>
      <c r="G359" s="49" t="b">
        <v>0</v>
      </c>
      <c r="H359" s="49"/>
      <c r="I359" s="49"/>
      <c r="J359" s="49"/>
      <c r="K359" s="49"/>
      <c r="L359" s="49"/>
      <c r="M359" s="49"/>
      <c r="N359" s="49"/>
      <c r="O359" s="49"/>
      <c r="P359" s="49"/>
      <c r="Q359" s="49"/>
      <c r="R359" s="49"/>
      <c r="S359" s="49"/>
      <c r="T359" s="49"/>
      <c r="U359" s="49"/>
    </row>
    <row r="360" spans="1:21" ht="13">
      <c r="A360" s="49"/>
      <c r="B360" s="49"/>
      <c r="C360" s="49"/>
      <c r="D360" s="49"/>
      <c r="E360" s="47"/>
      <c r="F360" s="49">
        <f>'Volunteer Survey'!B973</f>
        <v>0</v>
      </c>
      <c r="G360" s="49" t="b">
        <v>0</v>
      </c>
      <c r="H360" s="49"/>
      <c r="I360" s="49"/>
      <c r="J360" s="49"/>
      <c r="K360" s="49"/>
      <c r="L360" s="49"/>
      <c r="M360" s="49"/>
      <c r="N360" s="49"/>
      <c r="O360" s="49"/>
      <c r="P360" s="49"/>
      <c r="Q360" s="49"/>
      <c r="R360" s="49"/>
      <c r="S360" s="49"/>
      <c r="T360" s="49"/>
      <c r="U360" s="49"/>
    </row>
    <row r="361" spans="1:21" ht="13">
      <c r="A361" s="49"/>
      <c r="B361" s="49"/>
      <c r="C361" s="49"/>
      <c r="D361" s="49"/>
      <c r="E361" s="47"/>
      <c r="F361" s="49">
        <f>'Volunteer Survey'!B974</f>
        <v>0</v>
      </c>
      <c r="G361" s="49" t="b">
        <v>0</v>
      </c>
      <c r="H361" s="49"/>
      <c r="I361" s="49"/>
      <c r="J361" s="49"/>
      <c r="K361" s="49"/>
      <c r="L361" s="49"/>
      <c r="M361" s="49"/>
      <c r="N361" s="49"/>
      <c r="O361" s="49"/>
      <c r="P361" s="49"/>
      <c r="Q361" s="49"/>
      <c r="R361" s="49"/>
      <c r="S361" s="49"/>
      <c r="T361" s="49"/>
      <c r="U361" s="49"/>
    </row>
    <row r="362" spans="1:21" ht="13">
      <c r="A362" s="49"/>
      <c r="B362" s="49"/>
      <c r="C362" s="49"/>
      <c r="D362" s="49"/>
      <c r="E362" s="47"/>
      <c r="F362" s="49">
        <f>'Volunteer Survey'!B975</f>
        <v>0</v>
      </c>
      <c r="G362" s="49" t="b">
        <v>0</v>
      </c>
      <c r="H362" s="49"/>
      <c r="I362" s="49"/>
      <c r="J362" s="49"/>
      <c r="K362" s="49"/>
      <c r="L362" s="49"/>
      <c r="M362" s="49"/>
      <c r="N362" s="49"/>
      <c r="O362" s="49"/>
      <c r="P362" s="49"/>
      <c r="Q362" s="49"/>
      <c r="R362" s="49"/>
      <c r="S362" s="49"/>
      <c r="T362" s="49"/>
      <c r="U362" s="49"/>
    </row>
    <row r="363" spans="1:21" ht="13">
      <c r="A363" s="49"/>
      <c r="B363" s="49"/>
      <c r="C363" s="49"/>
      <c r="D363" s="49"/>
      <c r="E363" s="47"/>
      <c r="F363" s="49">
        <f>'Volunteer Survey'!B976</f>
        <v>0</v>
      </c>
      <c r="G363" s="49" t="b">
        <v>0</v>
      </c>
      <c r="H363" s="49"/>
      <c r="I363" s="49"/>
      <c r="J363" s="49"/>
      <c r="K363" s="49"/>
      <c r="L363" s="49"/>
      <c r="M363" s="49"/>
      <c r="N363" s="49"/>
      <c r="O363" s="49"/>
      <c r="P363" s="49"/>
      <c r="Q363" s="49"/>
      <c r="R363" s="49"/>
      <c r="S363" s="49"/>
      <c r="T363" s="49"/>
      <c r="U363" s="49"/>
    </row>
    <row r="364" spans="1:21" ht="13">
      <c r="A364" s="49"/>
      <c r="B364" s="49"/>
      <c r="C364" s="49"/>
      <c r="D364" s="49"/>
      <c r="E364" s="47"/>
      <c r="F364" s="49">
        <f>'Volunteer Survey'!B977</f>
        <v>0</v>
      </c>
      <c r="G364" s="49" t="b">
        <v>0</v>
      </c>
      <c r="H364" s="49"/>
      <c r="I364" s="49"/>
      <c r="J364" s="49"/>
      <c r="K364" s="49"/>
      <c r="L364" s="49"/>
      <c r="M364" s="49"/>
      <c r="N364" s="49"/>
      <c r="O364" s="49"/>
      <c r="P364" s="49"/>
      <c r="Q364" s="49"/>
      <c r="R364" s="49"/>
      <c r="S364" s="49"/>
      <c r="T364" s="49"/>
      <c r="U364" s="49"/>
    </row>
    <row r="365" spans="1:21" ht="13">
      <c r="A365" s="49"/>
      <c r="B365" s="49"/>
      <c r="C365" s="49"/>
      <c r="D365" s="49"/>
      <c r="E365" s="47"/>
      <c r="F365" s="49">
        <f>'Volunteer Survey'!B978</f>
        <v>0</v>
      </c>
      <c r="G365" s="49" t="b">
        <v>0</v>
      </c>
      <c r="H365" s="49"/>
      <c r="I365" s="49"/>
      <c r="J365" s="49"/>
      <c r="K365" s="49"/>
      <c r="L365" s="49"/>
      <c r="M365" s="49"/>
      <c r="N365" s="49"/>
      <c r="O365" s="49"/>
      <c r="P365" s="49"/>
      <c r="Q365" s="49"/>
      <c r="R365" s="49"/>
      <c r="S365" s="49"/>
      <c r="T365" s="49"/>
      <c r="U365" s="49"/>
    </row>
    <row r="366" spans="1:21" ht="13">
      <c r="A366" s="49"/>
      <c r="B366" s="49"/>
      <c r="C366" s="49"/>
      <c r="D366" s="49"/>
      <c r="E366" s="47"/>
      <c r="F366" s="49">
        <f>'Volunteer Survey'!B979</f>
        <v>0</v>
      </c>
      <c r="G366" s="49" t="b">
        <v>0</v>
      </c>
      <c r="H366" s="49"/>
      <c r="I366" s="49"/>
      <c r="J366" s="49"/>
      <c r="K366" s="49"/>
      <c r="L366" s="49"/>
      <c r="M366" s="49"/>
      <c r="N366" s="49"/>
      <c r="O366" s="49"/>
      <c r="P366" s="49"/>
      <c r="Q366" s="49"/>
      <c r="R366" s="49"/>
      <c r="S366" s="49"/>
      <c r="T366" s="49"/>
      <c r="U366" s="49"/>
    </row>
    <row r="367" spans="1:21" ht="13">
      <c r="A367" s="49"/>
      <c r="B367" s="49"/>
      <c r="C367" s="49"/>
      <c r="D367" s="49"/>
      <c r="E367" s="47"/>
      <c r="F367" s="49">
        <f>'Volunteer Survey'!B980</f>
        <v>0</v>
      </c>
      <c r="G367" s="49" t="b">
        <v>0</v>
      </c>
      <c r="H367" s="49"/>
      <c r="I367" s="49"/>
      <c r="J367" s="49"/>
      <c r="K367" s="49"/>
      <c r="L367" s="49"/>
      <c r="M367" s="49"/>
      <c r="N367" s="49"/>
      <c r="O367" s="49"/>
      <c r="P367" s="49"/>
      <c r="Q367" s="49"/>
      <c r="R367" s="49"/>
      <c r="S367" s="49"/>
      <c r="T367" s="49"/>
      <c r="U367" s="49"/>
    </row>
    <row r="368" spans="1:21" ht="13">
      <c r="A368" s="49"/>
      <c r="B368" s="49"/>
      <c r="C368" s="49"/>
      <c r="D368" s="49"/>
      <c r="E368" s="47"/>
      <c r="F368" s="49">
        <f>'Volunteer Survey'!B981</f>
        <v>0</v>
      </c>
      <c r="G368" s="49" t="b">
        <v>0</v>
      </c>
      <c r="H368" s="49"/>
      <c r="I368" s="49"/>
      <c r="J368" s="49"/>
      <c r="K368" s="49"/>
      <c r="L368" s="49"/>
      <c r="M368" s="49"/>
      <c r="N368" s="49"/>
      <c r="O368" s="49"/>
      <c r="P368" s="49"/>
      <c r="Q368" s="49"/>
      <c r="R368" s="49"/>
      <c r="S368" s="49"/>
      <c r="T368" s="49"/>
      <c r="U368" s="49"/>
    </row>
    <row r="369" spans="1:21" ht="13">
      <c r="A369" s="49"/>
      <c r="B369" s="49"/>
      <c r="C369" s="49"/>
      <c r="D369" s="49"/>
      <c r="E369" s="47"/>
      <c r="F369" s="49">
        <f>'Volunteer Survey'!B982</f>
        <v>0</v>
      </c>
      <c r="G369" s="49" t="b">
        <v>0</v>
      </c>
      <c r="H369" s="49"/>
      <c r="I369" s="49"/>
      <c r="J369" s="49"/>
      <c r="K369" s="49"/>
      <c r="L369" s="49"/>
      <c r="M369" s="49"/>
      <c r="N369" s="49"/>
      <c r="O369" s="49"/>
      <c r="P369" s="49"/>
      <c r="Q369" s="49"/>
      <c r="R369" s="49"/>
      <c r="S369" s="49"/>
      <c r="T369" s="49"/>
      <c r="U369" s="49"/>
    </row>
    <row r="370" spans="1:21" ht="13">
      <c r="A370" s="49"/>
      <c r="B370" s="49"/>
      <c r="C370" s="49"/>
      <c r="D370" s="49"/>
      <c r="E370" s="47"/>
      <c r="F370" s="49">
        <f>'Volunteer Survey'!B983</f>
        <v>0</v>
      </c>
      <c r="G370" s="49" t="b">
        <v>0</v>
      </c>
      <c r="H370" s="49"/>
      <c r="I370" s="49"/>
      <c r="J370" s="49"/>
      <c r="K370" s="49"/>
      <c r="L370" s="49"/>
      <c r="M370" s="49"/>
      <c r="N370" s="49"/>
      <c r="O370" s="49"/>
      <c r="P370" s="49"/>
      <c r="Q370" s="49"/>
      <c r="R370" s="49"/>
      <c r="S370" s="49"/>
      <c r="T370" s="49"/>
      <c r="U370" s="49"/>
    </row>
    <row r="371" spans="1:21" ht="13">
      <c r="A371" s="49"/>
      <c r="B371" s="49"/>
      <c r="C371" s="49"/>
      <c r="D371" s="49"/>
      <c r="E371" s="47"/>
      <c r="F371" s="49">
        <f>'Volunteer Survey'!B984</f>
        <v>0</v>
      </c>
      <c r="G371" s="49" t="b">
        <v>0</v>
      </c>
      <c r="H371" s="49"/>
      <c r="I371" s="49"/>
      <c r="J371" s="49"/>
      <c r="K371" s="49"/>
      <c r="L371" s="49"/>
      <c r="M371" s="49"/>
      <c r="N371" s="49"/>
      <c r="O371" s="49"/>
      <c r="P371" s="49"/>
      <c r="Q371" s="49"/>
      <c r="R371" s="49"/>
      <c r="S371" s="49"/>
      <c r="T371" s="49"/>
      <c r="U371" s="49"/>
    </row>
    <row r="372" spans="1:21" ht="13">
      <c r="A372" s="49"/>
      <c r="B372" s="49"/>
      <c r="C372" s="49"/>
      <c r="D372" s="49"/>
      <c r="E372" s="47"/>
      <c r="F372" s="49">
        <f>'Volunteer Survey'!B985</f>
        <v>0</v>
      </c>
      <c r="G372" s="49" t="b">
        <v>0</v>
      </c>
      <c r="H372" s="49"/>
      <c r="I372" s="49"/>
      <c r="J372" s="49"/>
      <c r="K372" s="49"/>
      <c r="L372" s="49"/>
      <c r="M372" s="49"/>
      <c r="N372" s="49"/>
      <c r="O372" s="49"/>
      <c r="P372" s="49"/>
      <c r="Q372" s="49"/>
      <c r="R372" s="49"/>
      <c r="S372" s="49"/>
      <c r="T372" s="49"/>
      <c r="U372" s="49"/>
    </row>
    <row r="373" spans="1:21" ht="13">
      <c r="A373" s="49"/>
      <c r="B373" s="49"/>
      <c r="C373" s="49"/>
      <c r="D373" s="49"/>
      <c r="E373" s="47"/>
      <c r="F373" s="49">
        <f>'Volunteer Survey'!B986</f>
        <v>0</v>
      </c>
      <c r="G373" s="49" t="b">
        <v>0</v>
      </c>
      <c r="H373" s="49"/>
      <c r="I373" s="49"/>
      <c r="J373" s="49"/>
      <c r="K373" s="49"/>
      <c r="L373" s="49"/>
      <c r="M373" s="49"/>
      <c r="N373" s="49"/>
      <c r="O373" s="49"/>
      <c r="P373" s="49"/>
      <c r="Q373" s="49"/>
      <c r="R373" s="49"/>
      <c r="S373" s="49"/>
      <c r="T373" s="49"/>
      <c r="U373" s="49"/>
    </row>
    <row r="374" spans="1:21" ht="13">
      <c r="A374" s="49"/>
      <c r="B374" s="49"/>
      <c r="C374" s="49"/>
      <c r="D374" s="49"/>
      <c r="E374" s="47"/>
      <c r="F374" s="49">
        <f>'Volunteer Survey'!B987</f>
        <v>0</v>
      </c>
      <c r="G374" s="49" t="b">
        <v>0</v>
      </c>
      <c r="H374" s="49"/>
      <c r="I374" s="49"/>
      <c r="J374" s="49"/>
      <c r="K374" s="49"/>
      <c r="L374" s="49"/>
      <c r="M374" s="49"/>
      <c r="N374" s="49"/>
      <c r="O374" s="49"/>
      <c r="P374" s="49"/>
      <c r="Q374" s="49"/>
      <c r="R374" s="49"/>
      <c r="S374" s="49"/>
      <c r="T374" s="49"/>
      <c r="U374" s="49"/>
    </row>
    <row r="375" spans="1:21" ht="13">
      <c r="A375" s="49"/>
      <c r="B375" s="49"/>
      <c r="C375" s="49"/>
      <c r="D375" s="49"/>
      <c r="E375" s="47"/>
      <c r="F375" s="49">
        <f>'Volunteer Survey'!B988</f>
        <v>0</v>
      </c>
      <c r="G375" s="49" t="b">
        <v>0</v>
      </c>
      <c r="H375" s="49"/>
      <c r="I375" s="49"/>
      <c r="J375" s="49"/>
      <c r="K375" s="49"/>
      <c r="L375" s="49"/>
      <c r="M375" s="49"/>
      <c r="N375" s="49"/>
      <c r="O375" s="49"/>
      <c r="P375" s="49"/>
      <c r="Q375" s="49"/>
      <c r="R375" s="49"/>
      <c r="S375" s="49"/>
      <c r="T375" s="49"/>
      <c r="U375" s="49"/>
    </row>
    <row r="376" spans="1:21" ht="13">
      <c r="A376" s="49"/>
      <c r="B376" s="49"/>
      <c r="C376" s="49"/>
      <c r="D376" s="49"/>
      <c r="E376" s="47"/>
      <c r="F376" s="49">
        <f>'Volunteer Survey'!B989</f>
        <v>0</v>
      </c>
      <c r="G376" s="49" t="b">
        <v>0</v>
      </c>
      <c r="H376" s="49"/>
      <c r="I376" s="49"/>
      <c r="J376" s="49"/>
      <c r="K376" s="49"/>
      <c r="L376" s="49"/>
      <c r="M376" s="49"/>
      <c r="N376" s="49"/>
      <c r="O376" s="49"/>
      <c r="P376" s="49"/>
      <c r="Q376" s="49"/>
      <c r="R376" s="49"/>
      <c r="S376" s="49"/>
      <c r="T376" s="49"/>
      <c r="U376" s="49"/>
    </row>
    <row r="377" spans="1:21" ht="13">
      <c r="A377" s="49"/>
      <c r="B377" s="49"/>
      <c r="C377" s="49"/>
      <c r="D377" s="49"/>
      <c r="E377" s="47"/>
      <c r="F377" s="49">
        <f>'Volunteer Survey'!B990</f>
        <v>0</v>
      </c>
      <c r="G377" s="49" t="b">
        <v>0</v>
      </c>
      <c r="H377" s="49"/>
      <c r="I377" s="49"/>
      <c r="J377" s="49"/>
      <c r="K377" s="49"/>
      <c r="L377" s="49"/>
      <c r="M377" s="49"/>
      <c r="N377" s="49"/>
      <c r="O377" s="49"/>
      <c r="P377" s="49"/>
      <c r="Q377" s="49"/>
      <c r="R377" s="49"/>
      <c r="S377" s="49"/>
      <c r="T377" s="49"/>
      <c r="U377" s="49"/>
    </row>
    <row r="378" spans="1:21" ht="13">
      <c r="A378" s="49"/>
      <c r="B378" s="49"/>
      <c r="C378" s="49"/>
      <c r="D378" s="49"/>
      <c r="E378" s="47"/>
      <c r="F378" s="49">
        <f>'Volunteer Survey'!B991</f>
        <v>0</v>
      </c>
      <c r="G378" s="49" t="b">
        <v>0</v>
      </c>
      <c r="H378" s="49"/>
      <c r="I378" s="49"/>
      <c r="J378" s="49"/>
      <c r="K378" s="49"/>
      <c r="L378" s="49"/>
      <c r="M378" s="49"/>
      <c r="N378" s="49"/>
      <c r="O378" s="49"/>
      <c r="P378" s="49"/>
      <c r="Q378" s="49"/>
      <c r="R378" s="49"/>
      <c r="S378" s="49"/>
      <c r="T378" s="49"/>
      <c r="U378" s="49"/>
    </row>
    <row r="379" spans="1:21" ht="13">
      <c r="A379" s="49"/>
      <c r="B379" s="49"/>
      <c r="C379" s="49"/>
      <c r="D379" s="49"/>
      <c r="E379" s="47"/>
      <c r="F379" s="49">
        <f>'Volunteer Survey'!B992</f>
        <v>0</v>
      </c>
      <c r="G379" s="49" t="b">
        <v>0</v>
      </c>
      <c r="H379" s="49"/>
      <c r="I379" s="49"/>
      <c r="J379" s="49"/>
      <c r="K379" s="49"/>
      <c r="L379" s="49"/>
      <c r="M379" s="49"/>
      <c r="N379" s="49"/>
      <c r="O379" s="49"/>
      <c r="P379" s="49"/>
      <c r="Q379" s="49"/>
      <c r="R379" s="49"/>
      <c r="S379" s="49"/>
      <c r="T379" s="49"/>
      <c r="U379" s="49"/>
    </row>
    <row r="380" spans="1:21" ht="13">
      <c r="A380" s="49"/>
      <c r="B380" s="49"/>
      <c r="C380" s="49"/>
      <c r="D380" s="49"/>
      <c r="E380" s="47"/>
      <c r="F380" s="49">
        <f>'Volunteer Survey'!B993</f>
        <v>0</v>
      </c>
      <c r="G380" s="49" t="b">
        <v>0</v>
      </c>
      <c r="H380" s="49"/>
      <c r="I380" s="49"/>
      <c r="J380" s="49"/>
      <c r="K380" s="49"/>
      <c r="L380" s="49"/>
      <c r="M380" s="49"/>
      <c r="N380" s="49"/>
      <c r="O380" s="49"/>
      <c r="P380" s="49"/>
      <c r="Q380" s="49"/>
      <c r="R380" s="49"/>
      <c r="S380" s="49"/>
      <c r="T380" s="49"/>
      <c r="U380" s="49"/>
    </row>
    <row r="381" spans="1:21" ht="13">
      <c r="A381" s="49"/>
      <c r="B381" s="49"/>
      <c r="C381" s="49"/>
      <c r="D381" s="49"/>
      <c r="E381" s="47"/>
      <c r="F381" s="49">
        <f>'Volunteer Survey'!B994</f>
        <v>0</v>
      </c>
      <c r="G381" s="49" t="b">
        <v>0</v>
      </c>
      <c r="H381" s="49"/>
      <c r="I381" s="49"/>
      <c r="J381" s="49"/>
      <c r="K381" s="49"/>
      <c r="L381" s="49"/>
      <c r="M381" s="49"/>
      <c r="N381" s="49"/>
      <c r="O381" s="49"/>
      <c r="P381" s="49"/>
      <c r="Q381" s="49"/>
      <c r="R381" s="49"/>
      <c r="S381" s="49"/>
      <c r="T381" s="49"/>
      <c r="U381" s="49"/>
    </row>
    <row r="382" spans="1:21" ht="13">
      <c r="A382" s="49"/>
      <c r="B382" s="49"/>
      <c r="C382" s="49"/>
      <c r="D382" s="49"/>
      <c r="E382" s="47"/>
      <c r="F382" s="49">
        <f>'Volunteer Survey'!B995</f>
        <v>0</v>
      </c>
      <c r="G382" s="49" t="b">
        <v>0</v>
      </c>
      <c r="H382" s="49"/>
      <c r="I382" s="49"/>
      <c r="J382" s="49"/>
      <c r="K382" s="49"/>
      <c r="L382" s="49"/>
      <c r="M382" s="49"/>
      <c r="N382" s="49"/>
      <c r="O382" s="49"/>
      <c r="P382" s="49"/>
      <c r="Q382" s="49"/>
      <c r="R382" s="49"/>
      <c r="S382" s="49"/>
      <c r="T382" s="49"/>
      <c r="U382" s="49"/>
    </row>
    <row r="383" spans="1:21" ht="13">
      <c r="A383" s="49"/>
      <c r="B383" s="49"/>
      <c r="C383" s="49"/>
      <c r="D383" s="49"/>
      <c r="E383" s="47"/>
      <c r="F383" s="49">
        <f>'Volunteer Survey'!B996</f>
        <v>0</v>
      </c>
      <c r="G383" s="49" t="b">
        <v>0</v>
      </c>
      <c r="H383" s="49"/>
      <c r="I383" s="49"/>
      <c r="J383" s="49"/>
      <c r="K383" s="49"/>
      <c r="L383" s="49"/>
      <c r="M383" s="49"/>
      <c r="N383" s="49"/>
      <c r="O383" s="49"/>
      <c r="P383" s="49"/>
      <c r="Q383" s="49"/>
      <c r="R383" s="49"/>
      <c r="S383" s="49"/>
      <c r="T383" s="49"/>
      <c r="U383" s="49"/>
    </row>
    <row r="384" spans="1:21" ht="13">
      <c r="A384" s="49"/>
      <c r="B384" s="49"/>
      <c r="C384" s="49"/>
      <c r="D384" s="49"/>
      <c r="E384" s="47"/>
      <c r="F384" s="49">
        <f>'Volunteer Survey'!B997</f>
        <v>0</v>
      </c>
      <c r="G384" s="49" t="b">
        <v>0</v>
      </c>
      <c r="H384" s="49"/>
      <c r="I384" s="49"/>
      <c r="J384" s="49"/>
      <c r="K384" s="49"/>
      <c r="L384" s="49"/>
      <c r="M384" s="49"/>
      <c r="N384" s="49"/>
      <c r="O384" s="49"/>
      <c r="P384" s="49"/>
      <c r="Q384" s="49"/>
      <c r="R384" s="49"/>
      <c r="S384" s="49"/>
      <c r="T384" s="49"/>
      <c r="U384" s="49"/>
    </row>
    <row r="385" spans="1:21" ht="13">
      <c r="A385" s="49"/>
      <c r="B385" s="49"/>
      <c r="C385" s="49"/>
      <c r="D385" s="49"/>
      <c r="E385" s="47"/>
      <c r="F385" s="49">
        <f>'Volunteer Survey'!B998</f>
        <v>0</v>
      </c>
      <c r="G385" s="49" t="b">
        <v>0</v>
      </c>
      <c r="H385" s="49"/>
      <c r="I385" s="49"/>
      <c r="J385" s="49"/>
      <c r="K385" s="49"/>
      <c r="L385" s="49"/>
      <c r="M385" s="49"/>
      <c r="N385" s="49"/>
      <c r="O385" s="49"/>
      <c r="P385" s="49"/>
      <c r="Q385" s="49"/>
      <c r="R385" s="49"/>
      <c r="S385" s="49"/>
      <c r="T385" s="49"/>
      <c r="U385" s="49"/>
    </row>
    <row r="386" spans="1:21" ht="13">
      <c r="A386" s="49"/>
      <c r="B386" s="49"/>
      <c r="C386" s="49"/>
      <c r="D386" s="49"/>
      <c r="E386" s="47"/>
      <c r="F386" s="49">
        <f>'Volunteer Survey'!B999</f>
        <v>0</v>
      </c>
      <c r="G386" s="49" t="b">
        <v>0</v>
      </c>
      <c r="H386" s="49"/>
      <c r="I386" s="49"/>
      <c r="J386" s="49"/>
      <c r="K386" s="49"/>
      <c r="L386" s="49"/>
      <c r="M386" s="49"/>
      <c r="N386" s="49"/>
      <c r="O386" s="49"/>
      <c r="P386" s="49"/>
      <c r="Q386" s="49"/>
      <c r="R386" s="49"/>
      <c r="S386" s="49"/>
      <c r="T386" s="49"/>
      <c r="U386" s="49"/>
    </row>
    <row r="387" spans="1:21" ht="13">
      <c r="A387" s="49"/>
      <c r="B387" s="49"/>
      <c r="C387" s="49"/>
      <c r="D387" s="49"/>
      <c r="E387" s="47"/>
      <c r="F387" s="49">
        <f>'Volunteer Survey'!B1000</f>
        <v>0</v>
      </c>
      <c r="G387" s="49" t="b">
        <v>0</v>
      </c>
      <c r="H387" s="49"/>
      <c r="I387" s="49"/>
      <c r="J387" s="49"/>
      <c r="K387" s="49"/>
      <c r="L387" s="49"/>
      <c r="M387" s="49"/>
      <c r="N387" s="49"/>
      <c r="O387" s="49"/>
      <c r="P387" s="49"/>
      <c r="Q387" s="49"/>
      <c r="R387" s="49"/>
      <c r="S387" s="49"/>
      <c r="T387" s="49"/>
      <c r="U387" s="49"/>
    </row>
    <row r="388" spans="1:21" ht="13">
      <c r="A388" s="49"/>
      <c r="B388" s="49"/>
      <c r="C388" s="49"/>
      <c r="D388" s="49"/>
      <c r="E388" s="47"/>
      <c r="F388" s="49">
        <f>'Volunteer Survey'!B1001</f>
        <v>0</v>
      </c>
      <c r="G388" s="49" t="b">
        <v>0</v>
      </c>
      <c r="H388" s="49"/>
      <c r="I388" s="49"/>
      <c r="J388" s="49"/>
      <c r="K388" s="49"/>
      <c r="L388" s="49"/>
      <c r="M388" s="49"/>
      <c r="N388" s="49"/>
      <c r="O388" s="49"/>
      <c r="P388" s="49"/>
      <c r="Q388" s="49"/>
      <c r="R388" s="49"/>
      <c r="S388" s="49"/>
      <c r="T388" s="49"/>
      <c r="U388" s="49"/>
    </row>
    <row r="389" spans="1:21" ht="13">
      <c r="A389" s="49"/>
      <c r="B389" s="49"/>
      <c r="C389" s="49"/>
      <c r="D389" s="49"/>
      <c r="E389" s="47"/>
      <c r="F389" s="49">
        <f>'Volunteer Survey'!B1002</f>
        <v>0</v>
      </c>
      <c r="G389" s="49" t="b">
        <v>0</v>
      </c>
      <c r="H389" s="49"/>
      <c r="I389" s="49"/>
      <c r="J389" s="49"/>
      <c r="K389" s="49"/>
      <c r="L389" s="49"/>
      <c r="M389" s="49"/>
      <c r="N389" s="49"/>
      <c r="O389" s="49"/>
      <c r="P389" s="49"/>
      <c r="Q389" s="49"/>
      <c r="R389" s="49"/>
      <c r="S389" s="49"/>
      <c r="T389" s="49"/>
      <c r="U389" s="49"/>
    </row>
    <row r="390" spans="1:21" ht="13">
      <c r="A390" s="49"/>
      <c r="B390" s="49"/>
      <c r="C390" s="49"/>
      <c r="D390" s="49"/>
      <c r="E390" s="47"/>
      <c r="F390" s="49"/>
      <c r="G390" s="49" t="b">
        <v>0</v>
      </c>
      <c r="H390" s="49"/>
      <c r="I390" s="49"/>
      <c r="J390" s="49"/>
      <c r="K390" s="49"/>
      <c r="L390" s="49"/>
      <c r="M390" s="49"/>
      <c r="N390" s="49"/>
      <c r="O390" s="49"/>
      <c r="P390" s="49"/>
      <c r="Q390" s="49"/>
      <c r="R390" s="49"/>
      <c r="S390" s="49"/>
      <c r="T390" s="49"/>
      <c r="U390" s="49"/>
    </row>
    <row r="391" spans="1:21" ht="13">
      <c r="A391" s="49"/>
      <c r="B391" s="49"/>
      <c r="C391" s="49"/>
      <c r="D391" s="49"/>
      <c r="E391" s="47"/>
      <c r="F391" s="49"/>
      <c r="G391" s="49" t="b">
        <v>0</v>
      </c>
      <c r="H391" s="49"/>
      <c r="I391" s="49"/>
      <c r="J391" s="49"/>
      <c r="K391" s="49"/>
      <c r="L391" s="49"/>
      <c r="M391" s="49"/>
      <c r="N391" s="49"/>
      <c r="O391" s="49"/>
      <c r="P391" s="49"/>
      <c r="Q391" s="49"/>
      <c r="R391" s="49"/>
      <c r="S391" s="49"/>
      <c r="T391" s="49"/>
      <c r="U391" s="49"/>
    </row>
    <row r="392" spans="1:21" ht="13">
      <c r="A392" s="49"/>
      <c r="B392" s="49"/>
      <c r="C392" s="49"/>
      <c r="D392" s="49"/>
      <c r="E392" s="47"/>
      <c r="F392" s="49"/>
      <c r="G392" s="49" t="b">
        <v>0</v>
      </c>
      <c r="H392" s="49"/>
      <c r="I392" s="49"/>
      <c r="J392" s="49"/>
      <c r="K392" s="49"/>
      <c r="L392" s="49"/>
      <c r="M392" s="49"/>
      <c r="N392" s="49"/>
      <c r="O392" s="49"/>
      <c r="P392" s="49"/>
      <c r="Q392" s="49"/>
      <c r="R392" s="49"/>
      <c r="S392" s="49"/>
      <c r="T392" s="49"/>
      <c r="U392" s="49"/>
    </row>
    <row r="393" spans="1:21" ht="13">
      <c r="A393" s="49"/>
      <c r="B393" s="49"/>
      <c r="C393" s="49"/>
      <c r="D393" s="49"/>
      <c r="E393" s="47"/>
      <c r="F393" s="49"/>
      <c r="G393" s="49" t="b">
        <v>0</v>
      </c>
      <c r="H393" s="49"/>
      <c r="I393" s="49"/>
      <c r="J393" s="49"/>
      <c r="K393" s="49"/>
      <c r="L393" s="49"/>
      <c r="M393" s="49"/>
      <c r="N393" s="49"/>
      <c r="O393" s="49"/>
      <c r="P393" s="49"/>
      <c r="Q393" s="49"/>
      <c r="R393" s="49"/>
      <c r="S393" s="49"/>
      <c r="T393" s="49"/>
      <c r="U393" s="49"/>
    </row>
    <row r="394" spans="1:21" ht="13">
      <c r="A394" s="49"/>
      <c r="B394" s="49"/>
      <c r="C394" s="49"/>
      <c r="D394" s="49"/>
      <c r="E394" s="47"/>
      <c r="F394" s="49"/>
      <c r="G394" s="49" t="b">
        <v>0</v>
      </c>
      <c r="H394" s="49"/>
      <c r="I394" s="49"/>
      <c r="J394" s="49"/>
      <c r="K394" s="49"/>
      <c r="L394" s="49"/>
      <c r="M394" s="49"/>
      <c r="N394" s="49"/>
      <c r="O394" s="49"/>
      <c r="P394" s="49"/>
      <c r="Q394" s="49"/>
      <c r="R394" s="49"/>
      <c r="S394" s="49"/>
      <c r="T394" s="49"/>
      <c r="U394" s="49"/>
    </row>
    <row r="395" spans="1:21" ht="13">
      <c r="A395" s="49"/>
      <c r="B395" s="49"/>
      <c r="C395" s="49"/>
      <c r="D395" s="49"/>
      <c r="E395" s="47"/>
      <c r="F395" s="49"/>
      <c r="G395" s="49" t="b">
        <v>0</v>
      </c>
      <c r="H395" s="49"/>
      <c r="I395" s="49"/>
      <c r="J395" s="49"/>
      <c r="K395" s="49"/>
      <c r="L395" s="49"/>
      <c r="M395" s="49"/>
      <c r="N395" s="49"/>
      <c r="O395" s="49"/>
      <c r="P395" s="49"/>
      <c r="Q395" s="49"/>
      <c r="R395" s="49"/>
      <c r="S395" s="49"/>
      <c r="T395" s="49"/>
      <c r="U395" s="49"/>
    </row>
    <row r="396" spans="1:21" ht="13">
      <c r="A396" s="49"/>
      <c r="B396" s="49"/>
      <c r="C396" s="49"/>
      <c r="D396" s="49"/>
      <c r="E396" s="47"/>
      <c r="F396" s="49"/>
      <c r="G396" s="49" t="b">
        <v>0</v>
      </c>
      <c r="H396" s="49"/>
      <c r="I396" s="49"/>
      <c r="J396" s="49"/>
      <c r="K396" s="49"/>
      <c r="L396" s="49"/>
      <c r="M396" s="49"/>
      <c r="N396" s="49"/>
      <c r="O396" s="49"/>
      <c r="P396" s="49"/>
      <c r="Q396" s="49"/>
      <c r="R396" s="49"/>
      <c r="S396" s="49"/>
      <c r="T396" s="49"/>
      <c r="U396" s="49"/>
    </row>
    <row r="397" spans="1:21" ht="13">
      <c r="A397" s="49"/>
      <c r="B397" s="49"/>
      <c r="C397" s="49"/>
      <c r="D397" s="49"/>
      <c r="E397" s="47"/>
      <c r="F397" s="49"/>
      <c r="G397" s="49" t="b">
        <v>0</v>
      </c>
      <c r="H397" s="49"/>
      <c r="I397" s="49"/>
      <c r="J397" s="49"/>
      <c r="K397" s="49"/>
      <c r="L397" s="49"/>
      <c r="M397" s="49"/>
      <c r="N397" s="49"/>
      <c r="O397" s="49"/>
      <c r="P397" s="49"/>
      <c r="Q397" s="49"/>
      <c r="R397" s="49"/>
      <c r="S397" s="49"/>
      <c r="T397" s="49"/>
      <c r="U397" s="49"/>
    </row>
    <row r="398" spans="1:21" ht="13">
      <c r="A398" s="49"/>
      <c r="B398" s="49"/>
      <c r="C398" s="49"/>
      <c r="D398" s="49"/>
      <c r="E398" s="47"/>
      <c r="F398" s="49"/>
      <c r="G398" s="49" t="b">
        <v>0</v>
      </c>
      <c r="H398" s="49"/>
      <c r="I398" s="49"/>
      <c r="J398" s="49"/>
      <c r="K398" s="49"/>
      <c r="L398" s="49"/>
      <c r="M398" s="49"/>
      <c r="N398" s="49"/>
      <c r="O398" s="49"/>
      <c r="P398" s="49"/>
      <c r="Q398" s="49"/>
      <c r="R398" s="49"/>
      <c r="S398" s="49"/>
      <c r="T398" s="49"/>
      <c r="U398" s="49"/>
    </row>
    <row r="399" spans="1:21" ht="13">
      <c r="A399" s="49"/>
      <c r="B399" s="49"/>
      <c r="C399" s="49"/>
      <c r="D399" s="49"/>
      <c r="E399" s="47"/>
      <c r="F399" s="49"/>
      <c r="G399" s="49" t="b">
        <v>0</v>
      </c>
      <c r="H399" s="49"/>
      <c r="I399" s="49"/>
      <c r="J399" s="49"/>
      <c r="K399" s="49"/>
      <c r="L399" s="49"/>
      <c r="M399" s="49"/>
      <c r="N399" s="49"/>
      <c r="O399" s="49"/>
      <c r="P399" s="49"/>
      <c r="Q399" s="49"/>
      <c r="R399" s="49"/>
      <c r="S399" s="49"/>
      <c r="T399" s="49"/>
      <c r="U399" s="49"/>
    </row>
    <row r="400" spans="1:21" ht="13">
      <c r="A400" s="49"/>
      <c r="B400" s="49"/>
      <c r="C400" s="49"/>
      <c r="D400" s="49"/>
      <c r="E400" s="47"/>
      <c r="F400" s="49"/>
      <c r="G400" s="49" t="b">
        <v>0</v>
      </c>
      <c r="H400" s="49"/>
      <c r="I400" s="49"/>
      <c r="J400" s="49"/>
      <c r="K400" s="49"/>
      <c r="L400" s="49"/>
      <c r="M400" s="49"/>
      <c r="N400" s="49"/>
      <c r="O400" s="49"/>
      <c r="P400" s="49"/>
      <c r="Q400" s="49"/>
      <c r="R400" s="49"/>
      <c r="S400" s="49"/>
      <c r="T400" s="49"/>
      <c r="U400" s="49"/>
    </row>
    <row r="401" spans="1:21" ht="13">
      <c r="A401" s="49"/>
      <c r="B401" s="49"/>
      <c r="C401" s="49"/>
      <c r="D401" s="49"/>
      <c r="E401" s="47"/>
      <c r="F401" s="49"/>
      <c r="G401" s="49" t="b">
        <v>0</v>
      </c>
      <c r="H401" s="49"/>
      <c r="I401" s="49"/>
      <c r="J401" s="49"/>
      <c r="K401" s="49"/>
      <c r="L401" s="49"/>
      <c r="M401" s="49"/>
      <c r="N401" s="49"/>
      <c r="O401" s="49"/>
      <c r="P401" s="49"/>
      <c r="Q401" s="49"/>
      <c r="R401" s="49"/>
      <c r="S401" s="49"/>
      <c r="T401" s="49"/>
      <c r="U401" s="49"/>
    </row>
    <row r="402" spans="1:21" ht="13">
      <c r="A402" s="49"/>
      <c r="B402" s="49"/>
      <c r="C402" s="49"/>
      <c r="D402" s="49"/>
      <c r="E402" s="47"/>
      <c r="F402" s="49"/>
      <c r="G402" s="49" t="b">
        <v>0</v>
      </c>
      <c r="H402" s="49"/>
      <c r="I402" s="49"/>
      <c r="J402" s="49"/>
      <c r="K402" s="49"/>
      <c r="L402" s="49"/>
      <c r="M402" s="49"/>
      <c r="N402" s="49"/>
      <c r="O402" s="49"/>
      <c r="P402" s="49"/>
      <c r="Q402" s="49"/>
      <c r="R402" s="49"/>
      <c r="S402" s="49"/>
      <c r="T402" s="49"/>
      <c r="U402" s="49"/>
    </row>
    <row r="403" spans="1:21" ht="13">
      <c r="A403" s="49"/>
      <c r="B403" s="49"/>
      <c r="C403" s="49"/>
      <c r="D403" s="49"/>
      <c r="E403" s="47"/>
      <c r="F403" s="49"/>
      <c r="G403" s="49" t="b">
        <v>0</v>
      </c>
      <c r="H403" s="49"/>
      <c r="I403" s="49"/>
      <c r="J403" s="49"/>
      <c r="K403" s="49"/>
      <c r="L403" s="49"/>
      <c r="M403" s="49"/>
      <c r="N403" s="49"/>
      <c r="O403" s="49"/>
      <c r="P403" s="49"/>
      <c r="Q403" s="49"/>
      <c r="R403" s="49"/>
      <c r="S403" s="49"/>
      <c r="T403" s="49"/>
      <c r="U403" s="49"/>
    </row>
    <row r="404" spans="1:21" ht="13">
      <c r="A404" s="49"/>
      <c r="B404" s="49"/>
      <c r="C404" s="49"/>
      <c r="D404" s="49"/>
      <c r="E404" s="47"/>
      <c r="F404" s="49"/>
      <c r="G404" s="49" t="b">
        <v>0</v>
      </c>
      <c r="H404" s="49"/>
      <c r="I404" s="49"/>
      <c r="J404" s="49"/>
      <c r="K404" s="49"/>
      <c r="L404" s="49"/>
      <c r="M404" s="49"/>
      <c r="N404" s="49"/>
      <c r="O404" s="49"/>
      <c r="P404" s="49"/>
      <c r="Q404" s="49"/>
      <c r="R404" s="49"/>
      <c r="S404" s="49"/>
      <c r="T404" s="49"/>
      <c r="U404" s="49"/>
    </row>
    <row r="405" spans="1:21" ht="13">
      <c r="A405" s="49"/>
      <c r="B405" s="49"/>
      <c r="C405" s="49"/>
      <c r="D405" s="49"/>
      <c r="E405" s="47"/>
      <c r="F405" s="49"/>
      <c r="G405" s="49" t="b">
        <v>0</v>
      </c>
      <c r="H405" s="49"/>
      <c r="I405" s="49"/>
      <c r="J405" s="49"/>
      <c r="K405" s="49"/>
      <c r="L405" s="49"/>
      <c r="M405" s="49"/>
      <c r="N405" s="49"/>
      <c r="O405" s="49"/>
      <c r="P405" s="49"/>
      <c r="Q405" s="49"/>
      <c r="R405" s="49"/>
      <c r="S405" s="49"/>
      <c r="T405" s="49"/>
      <c r="U405" s="49"/>
    </row>
    <row r="406" spans="1:21" ht="13">
      <c r="A406" s="49"/>
      <c r="B406" s="49"/>
      <c r="C406" s="49"/>
      <c r="D406" s="49"/>
      <c r="E406" s="47"/>
      <c r="F406" s="49"/>
      <c r="G406" s="49" t="b">
        <v>0</v>
      </c>
      <c r="H406" s="49"/>
      <c r="I406" s="49"/>
      <c r="J406" s="49"/>
      <c r="K406" s="49"/>
      <c r="L406" s="49"/>
      <c r="M406" s="49"/>
      <c r="N406" s="49"/>
      <c r="O406" s="49"/>
      <c r="P406" s="49"/>
      <c r="Q406" s="49"/>
      <c r="R406" s="49"/>
      <c r="S406" s="49"/>
      <c r="T406" s="49"/>
      <c r="U406" s="49"/>
    </row>
    <row r="407" spans="1:21" ht="13">
      <c r="A407" s="49"/>
      <c r="B407" s="49"/>
      <c r="C407" s="49"/>
      <c r="D407" s="49"/>
      <c r="E407" s="47"/>
      <c r="F407" s="49"/>
      <c r="G407" s="49" t="b">
        <v>0</v>
      </c>
      <c r="H407" s="49"/>
      <c r="I407" s="49"/>
      <c r="J407" s="49"/>
      <c r="K407" s="49"/>
      <c r="L407" s="49"/>
      <c r="M407" s="49"/>
      <c r="N407" s="49"/>
      <c r="O407" s="49"/>
      <c r="P407" s="49"/>
      <c r="Q407" s="49"/>
      <c r="R407" s="49"/>
      <c r="S407" s="49"/>
      <c r="T407" s="49"/>
      <c r="U407" s="49"/>
    </row>
    <row r="408" spans="1:21" ht="13">
      <c r="A408" s="49"/>
      <c r="B408" s="49"/>
      <c r="C408" s="49"/>
      <c r="D408" s="49"/>
      <c r="E408" s="47"/>
      <c r="F408" s="49"/>
      <c r="G408" s="49" t="b">
        <v>0</v>
      </c>
      <c r="H408" s="49"/>
      <c r="I408" s="49"/>
      <c r="J408" s="49"/>
      <c r="K408" s="49"/>
      <c r="L408" s="49"/>
      <c r="M408" s="49"/>
      <c r="N408" s="49"/>
      <c r="O408" s="49"/>
      <c r="P408" s="49"/>
      <c r="Q408" s="49"/>
      <c r="R408" s="49"/>
      <c r="S408" s="49"/>
      <c r="T408" s="49"/>
      <c r="U408" s="49"/>
    </row>
    <row r="409" spans="1:21" ht="13">
      <c r="A409" s="49"/>
      <c r="B409" s="49"/>
      <c r="C409" s="49"/>
      <c r="D409" s="49"/>
      <c r="E409" s="47"/>
      <c r="F409" s="49"/>
      <c r="G409" s="49" t="b">
        <v>0</v>
      </c>
      <c r="H409" s="49"/>
      <c r="I409" s="49"/>
      <c r="J409" s="49"/>
      <c r="K409" s="49"/>
      <c r="L409" s="49"/>
      <c r="M409" s="49"/>
      <c r="N409" s="49"/>
      <c r="O409" s="49"/>
      <c r="P409" s="49"/>
      <c r="Q409" s="49"/>
      <c r="R409" s="49"/>
      <c r="S409" s="49"/>
      <c r="T409" s="49"/>
      <c r="U409" s="49"/>
    </row>
    <row r="410" spans="1:21" ht="13">
      <c r="A410" s="49"/>
      <c r="B410" s="49"/>
      <c r="C410" s="49"/>
      <c r="D410" s="49"/>
      <c r="E410" s="47"/>
      <c r="F410" s="49"/>
      <c r="G410" s="49" t="b">
        <v>0</v>
      </c>
      <c r="H410" s="49"/>
      <c r="I410" s="49"/>
      <c r="J410" s="49"/>
      <c r="K410" s="49"/>
      <c r="L410" s="49"/>
      <c r="M410" s="49"/>
      <c r="N410" s="49"/>
      <c r="O410" s="49"/>
      <c r="P410" s="49"/>
      <c r="Q410" s="49"/>
      <c r="R410" s="49"/>
      <c r="S410" s="49"/>
      <c r="T410" s="49"/>
      <c r="U410" s="49"/>
    </row>
    <row r="411" spans="1:21" ht="13">
      <c r="A411" s="49"/>
      <c r="B411" s="49"/>
      <c r="C411" s="49"/>
      <c r="D411" s="49"/>
      <c r="E411" s="47"/>
      <c r="F411" s="49"/>
      <c r="G411" s="49" t="b">
        <v>0</v>
      </c>
      <c r="H411" s="49"/>
      <c r="I411" s="49"/>
      <c r="J411" s="49"/>
      <c r="K411" s="49"/>
      <c r="L411" s="49"/>
      <c r="M411" s="49"/>
      <c r="N411" s="49"/>
      <c r="O411" s="49"/>
      <c r="P411" s="49"/>
      <c r="Q411" s="49"/>
      <c r="R411" s="49"/>
      <c r="S411" s="49"/>
      <c r="T411" s="49"/>
      <c r="U411" s="49"/>
    </row>
    <row r="412" spans="1:21" ht="13">
      <c r="A412" s="49"/>
      <c r="B412" s="49"/>
      <c r="C412" s="49"/>
      <c r="D412" s="49"/>
      <c r="E412" s="47"/>
      <c r="F412" s="49"/>
      <c r="G412" s="49" t="b">
        <v>0</v>
      </c>
      <c r="H412" s="49"/>
      <c r="I412" s="49"/>
      <c r="J412" s="49"/>
      <c r="K412" s="49"/>
      <c r="L412" s="49"/>
      <c r="M412" s="49"/>
      <c r="N412" s="49"/>
      <c r="O412" s="49"/>
      <c r="P412" s="49"/>
      <c r="Q412" s="49"/>
      <c r="R412" s="49"/>
      <c r="S412" s="49"/>
      <c r="T412" s="49"/>
      <c r="U412" s="49"/>
    </row>
    <row r="413" spans="1:21" ht="13">
      <c r="A413" s="49"/>
      <c r="B413" s="49"/>
      <c r="C413" s="49"/>
      <c r="D413" s="49"/>
      <c r="E413" s="47"/>
      <c r="F413" s="49"/>
      <c r="G413" s="49" t="b">
        <v>0</v>
      </c>
      <c r="H413" s="49"/>
      <c r="I413" s="49"/>
      <c r="J413" s="49"/>
      <c r="K413" s="49"/>
      <c r="L413" s="49"/>
      <c r="M413" s="49"/>
      <c r="N413" s="49"/>
      <c r="O413" s="49"/>
      <c r="P413" s="49"/>
      <c r="Q413" s="49"/>
      <c r="R413" s="49"/>
      <c r="S413" s="49"/>
      <c r="T413" s="49"/>
      <c r="U413" s="49"/>
    </row>
    <row r="414" spans="1:21" ht="13">
      <c r="A414" s="49"/>
      <c r="B414" s="49"/>
      <c r="C414" s="49"/>
      <c r="D414" s="49"/>
      <c r="E414" s="47"/>
      <c r="F414" s="49"/>
      <c r="G414" s="49" t="b">
        <v>0</v>
      </c>
      <c r="H414" s="49"/>
      <c r="I414" s="49"/>
      <c r="J414" s="49"/>
      <c r="K414" s="49"/>
      <c r="L414" s="49"/>
      <c r="M414" s="49"/>
      <c r="N414" s="49"/>
      <c r="O414" s="49"/>
      <c r="P414" s="49"/>
      <c r="Q414" s="49"/>
      <c r="R414" s="49"/>
      <c r="S414" s="49"/>
      <c r="T414" s="49"/>
      <c r="U414" s="49"/>
    </row>
    <row r="415" spans="1:21" ht="13">
      <c r="A415" s="49"/>
      <c r="B415" s="49"/>
      <c r="C415" s="49"/>
      <c r="D415" s="49"/>
      <c r="E415" s="47"/>
      <c r="F415" s="49"/>
      <c r="G415" s="49" t="b">
        <v>0</v>
      </c>
      <c r="H415" s="49"/>
      <c r="I415" s="49"/>
      <c r="J415" s="49"/>
      <c r="K415" s="49"/>
      <c r="L415" s="49"/>
      <c r="M415" s="49"/>
      <c r="N415" s="49"/>
      <c r="O415" s="49"/>
      <c r="P415" s="49"/>
      <c r="Q415" s="49"/>
      <c r="R415" s="49"/>
      <c r="S415" s="49"/>
      <c r="T415" s="49"/>
      <c r="U415" s="49"/>
    </row>
    <row r="416" spans="1:21" ht="13">
      <c r="A416" s="49"/>
      <c r="B416" s="49"/>
      <c r="C416" s="49"/>
      <c r="D416" s="49"/>
      <c r="E416" s="47"/>
      <c r="F416" s="49"/>
      <c r="G416" s="49" t="b">
        <v>0</v>
      </c>
      <c r="H416" s="49"/>
      <c r="I416" s="49"/>
      <c r="J416" s="49"/>
      <c r="K416" s="49"/>
      <c r="L416" s="49"/>
      <c r="M416" s="49"/>
      <c r="N416" s="49"/>
      <c r="O416" s="49"/>
      <c r="P416" s="49"/>
      <c r="Q416" s="49"/>
      <c r="R416" s="49"/>
      <c r="S416" s="49"/>
      <c r="T416" s="49"/>
      <c r="U416" s="49"/>
    </row>
    <row r="417" spans="1:21" ht="13">
      <c r="A417" s="49"/>
      <c r="B417" s="49"/>
      <c r="C417" s="49"/>
      <c r="D417" s="49"/>
      <c r="E417" s="47"/>
      <c r="F417" s="49"/>
      <c r="G417" s="49" t="b">
        <v>0</v>
      </c>
      <c r="H417" s="49"/>
      <c r="I417" s="49"/>
      <c r="J417" s="49"/>
      <c r="K417" s="49"/>
      <c r="L417" s="49"/>
      <c r="M417" s="49"/>
      <c r="N417" s="49"/>
      <c r="O417" s="49"/>
      <c r="P417" s="49"/>
      <c r="Q417" s="49"/>
      <c r="R417" s="49"/>
      <c r="S417" s="49"/>
      <c r="T417" s="49"/>
      <c r="U417" s="49"/>
    </row>
    <row r="418" spans="1:21" ht="13">
      <c r="A418" s="49"/>
      <c r="B418" s="49"/>
      <c r="C418" s="49"/>
      <c r="D418" s="49"/>
      <c r="E418" s="47"/>
      <c r="F418" s="49"/>
      <c r="G418" s="49" t="b">
        <v>0</v>
      </c>
      <c r="H418" s="49"/>
      <c r="I418" s="49"/>
      <c r="J418" s="49"/>
      <c r="K418" s="49"/>
      <c r="L418" s="49"/>
      <c r="M418" s="49"/>
      <c r="N418" s="49"/>
      <c r="O418" s="49"/>
      <c r="P418" s="49"/>
      <c r="Q418" s="49"/>
      <c r="R418" s="49"/>
      <c r="S418" s="49"/>
      <c r="T418" s="49"/>
      <c r="U418" s="49"/>
    </row>
    <row r="419" spans="1:21" ht="13">
      <c r="A419" s="49"/>
      <c r="B419" s="49"/>
      <c r="C419" s="49"/>
      <c r="D419" s="49"/>
      <c r="E419" s="47"/>
      <c r="F419" s="49"/>
      <c r="G419" s="49" t="b">
        <v>0</v>
      </c>
      <c r="H419" s="49"/>
      <c r="I419" s="49"/>
      <c r="J419" s="49"/>
      <c r="K419" s="49"/>
      <c r="L419" s="49"/>
      <c r="M419" s="49"/>
      <c r="N419" s="49"/>
      <c r="O419" s="49"/>
      <c r="P419" s="49"/>
      <c r="Q419" s="49"/>
      <c r="R419" s="49"/>
      <c r="S419" s="49"/>
      <c r="T419" s="49"/>
      <c r="U419" s="49"/>
    </row>
    <row r="420" spans="1:21" ht="13">
      <c r="A420" s="49"/>
      <c r="B420" s="49"/>
      <c r="C420" s="49"/>
      <c r="D420" s="49"/>
      <c r="E420" s="47"/>
      <c r="F420" s="49"/>
      <c r="G420" s="49" t="b">
        <v>0</v>
      </c>
      <c r="H420" s="49"/>
      <c r="I420" s="49"/>
      <c r="J420" s="49"/>
      <c r="K420" s="49"/>
      <c r="L420" s="49"/>
      <c r="M420" s="49"/>
      <c r="N420" s="49"/>
      <c r="O420" s="49"/>
      <c r="P420" s="49"/>
      <c r="Q420" s="49"/>
      <c r="R420" s="49"/>
      <c r="S420" s="49"/>
      <c r="T420" s="49"/>
      <c r="U420" s="49"/>
    </row>
    <row r="421" spans="1:21" ht="13">
      <c r="A421" s="49"/>
      <c r="B421" s="49"/>
      <c r="C421" s="49"/>
      <c r="D421" s="49"/>
      <c r="E421" s="47"/>
      <c r="F421" s="49"/>
      <c r="G421" s="49" t="b">
        <v>0</v>
      </c>
      <c r="H421" s="49"/>
      <c r="I421" s="49"/>
      <c r="J421" s="49"/>
      <c r="K421" s="49"/>
      <c r="L421" s="49"/>
      <c r="M421" s="49"/>
      <c r="N421" s="49"/>
      <c r="O421" s="49"/>
      <c r="P421" s="49"/>
      <c r="Q421" s="49"/>
      <c r="R421" s="49"/>
      <c r="S421" s="49"/>
      <c r="T421" s="49"/>
      <c r="U421" s="49"/>
    </row>
    <row r="422" spans="1:21" ht="13">
      <c r="A422" s="49"/>
      <c r="B422" s="49"/>
      <c r="C422" s="49"/>
      <c r="D422" s="49"/>
      <c r="E422" s="47"/>
      <c r="F422" s="49"/>
      <c r="G422" s="49" t="b">
        <v>0</v>
      </c>
      <c r="H422" s="49"/>
      <c r="I422" s="49"/>
      <c r="J422" s="49"/>
      <c r="K422" s="49"/>
      <c r="L422" s="49"/>
      <c r="M422" s="49"/>
      <c r="N422" s="49"/>
      <c r="O422" s="49"/>
      <c r="P422" s="49"/>
      <c r="Q422" s="49"/>
      <c r="R422" s="49"/>
      <c r="S422" s="49"/>
      <c r="T422" s="49"/>
      <c r="U422" s="49"/>
    </row>
    <row r="423" spans="1:21" ht="13">
      <c r="A423" s="49"/>
      <c r="B423" s="49"/>
      <c r="C423" s="49"/>
      <c r="D423" s="49"/>
      <c r="E423" s="47"/>
      <c r="F423" s="49"/>
      <c r="G423" s="49" t="b">
        <v>0</v>
      </c>
      <c r="H423" s="49"/>
      <c r="I423" s="49"/>
      <c r="J423" s="49"/>
      <c r="K423" s="49"/>
      <c r="L423" s="49"/>
      <c r="M423" s="49"/>
      <c r="N423" s="49"/>
      <c r="O423" s="49"/>
      <c r="P423" s="49"/>
      <c r="Q423" s="49"/>
      <c r="R423" s="49"/>
      <c r="S423" s="49"/>
      <c r="T423" s="49"/>
      <c r="U423" s="49"/>
    </row>
    <row r="424" spans="1:21" ht="13">
      <c r="A424" s="49"/>
      <c r="B424" s="49"/>
      <c r="C424" s="49"/>
      <c r="D424" s="49"/>
      <c r="E424" s="47"/>
      <c r="F424" s="49"/>
      <c r="G424" s="49" t="b">
        <v>0</v>
      </c>
      <c r="H424" s="49"/>
      <c r="I424" s="49"/>
      <c r="J424" s="49"/>
      <c r="K424" s="49"/>
      <c r="L424" s="49"/>
      <c r="M424" s="49"/>
      <c r="N424" s="49"/>
      <c r="O424" s="49"/>
      <c r="P424" s="49"/>
      <c r="Q424" s="49"/>
      <c r="R424" s="49"/>
      <c r="S424" s="49"/>
      <c r="T424" s="49"/>
      <c r="U424" s="49"/>
    </row>
    <row r="425" spans="1:21" ht="13">
      <c r="A425" s="49"/>
      <c r="B425" s="49"/>
      <c r="C425" s="49"/>
      <c r="D425" s="49"/>
      <c r="E425" s="47"/>
      <c r="F425" s="49"/>
      <c r="G425" s="49" t="b">
        <v>0</v>
      </c>
      <c r="H425" s="49"/>
      <c r="I425" s="49"/>
      <c r="J425" s="49"/>
      <c r="K425" s="49"/>
      <c r="L425" s="49"/>
      <c r="M425" s="49"/>
      <c r="N425" s="49"/>
      <c r="O425" s="49"/>
      <c r="P425" s="49"/>
      <c r="Q425" s="49"/>
      <c r="R425" s="49"/>
      <c r="S425" s="49"/>
      <c r="T425" s="49"/>
      <c r="U425" s="49"/>
    </row>
    <row r="426" spans="1:21" ht="13">
      <c r="A426" s="49"/>
      <c r="B426" s="49"/>
      <c r="C426" s="49"/>
      <c r="D426" s="49"/>
      <c r="E426" s="47"/>
      <c r="F426" s="49"/>
      <c r="G426" s="49" t="b">
        <v>0</v>
      </c>
      <c r="H426" s="49"/>
      <c r="I426" s="49"/>
      <c r="J426" s="49"/>
      <c r="K426" s="49"/>
      <c r="L426" s="49"/>
      <c r="M426" s="49"/>
      <c r="N426" s="49"/>
      <c r="O426" s="49"/>
      <c r="P426" s="49"/>
      <c r="Q426" s="49"/>
      <c r="R426" s="49"/>
      <c r="S426" s="49"/>
      <c r="T426" s="49"/>
      <c r="U426" s="49"/>
    </row>
    <row r="427" spans="1:21" ht="13">
      <c r="A427" s="49"/>
      <c r="B427" s="49"/>
      <c r="C427" s="49"/>
      <c r="D427" s="49"/>
      <c r="E427" s="47"/>
      <c r="F427" s="49"/>
      <c r="G427" s="49" t="b">
        <v>0</v>
      </c>
      <c r="H427" s="49"/>
      <c r="I427" s="49"/>
      <c r="J427" s="49"/>
      <c r="K427" s="49"/>
      <c r="L427" s="49"/>
      <c r="M427" s="49"/>
      <c r="N427" s="49"/>
      <c r="O427" s="49"/>
      <c r="P427" s="49"/>
      <c r="Q427" s="49"/>
      <c r="R427" s="49"/>
      <c r="S427" s="49"/>
      <c r="T427" s="49"/>
      <c r="U427" s="49"/>
    </row>
    <row r="428" spans="1:21" ht="13">
      <c r="A428" s="49"/>
      <c r="B428" s="49"/>
      <c r="C428" s="49"/>
      <c r="D428" s="49"/>
      <c r="E428" s="47"/>
      <c r="F428" s="49"/>
      <c r="G428" s="49" t="b">
        <v>0</v>
      </c>
      <c r="H428" s="49"/>
      <c r="I428" s="49"/>
      <c r="J428" s="49"/>
      <c r="K428" s="49"/>
      <c r="L428" s="49"/>
      <c r="M428" s="49"/>
      <c r="N428" s="49"/>
      <c r="O428" s="49"/>
      <c r="P428" s="49"/>
      <c r="Q428" s="49"/>
      <c r="R428" s="49"/>
      <c r="S428" s="49"/>
      <c r="T428" s="49"/>
      <c r="U428" s="49"/>
    </row>
    <row r="429" spans="1:21" ht="13">
      <c r="A429" s="49"/>
      <c r="B429" s="49"/>
      <c r="C429" s="49"/>
      <c r="D429" s="49"/>
      <c r="E429" s="47"/>
      <c r="F429" s="49"/>
      <c r="G429" s="49" t="b">
        <v>0</v>
      </c>
      <c r="H429" s="49"/>
      <c r="I429" s="49"/>
      <c r="J429" s="49"/>
      <c r="K429" s="49"/>
      <c r="L429" s="49"/>
      <c r="M429" s="49"/>
      <c r="N429" s="49"/>
      <c r="O429" s="49"/>
      <c r="P429" s="49"/>
      <c r="Q429" s="49"/>
      <c r="R429" s="49"/>
      <c r="S429" s="49"/>
      <c r="T429" s="49"/>
      <c r="U429" s="49"/>
    </row>
    <row r="430" spans="1:21" ht="13">
      <c r="A430" s="49"/>
      <c r="B430" s="49"/>
      <c r="C430" s="49"/>
      <c r="D430" s="49"/>
      <c r="E430" s="47"/>
      <c r="F430" s="49"/>
      <c r="G430" s="49" t="b">
        <v>0</v>
      </c>
      <c r="H430" s="49"/>
      <c r="I430" s="49"/>
      <c r="J430" s="49"/>
      <c r="K430" s="49"/>
      <c r="L430" s="49"/>
      <c r="M430" s="49"/>
      <c r="N430" s="49"/>
      <c r="O430" s="49"/>
      <c r="P430" s="49"/>
      <c r="Q430" s="49"/>
      <c r="R430" s="49"/>
      <c r="S430" s="49"/>
      <c r="T430" s="49"/>
      <c r="U430" s="49"/>
    </row>
    <row r="431" spans="1:21" ht="13">
      <c r="A431" s="49"/>
      <c r="B431" s="49"/>
      <c r="C431" s="49"/>
      <c r="D431" s="49"/>
      <c r="E431" s="47"/>
      <c r="F431" s="49"/>
      <c r="G431" s="49" t="b">
        <v>0</v>
      </c>
      <c r="H431" s="49"/>
      <c r="I431" s="49"/>
      <c r="J431" s="49"/>
      <c r="K431" s="49"/>
      <c r="L431" s="49"/>
      <c r="M431" s="49"/>
      <c r="N431" s="49"/>
      <c r="O431" s="49"/>
      <c r="P431" s="49"/>
      <c r="Q431" s="49"/>
      <c r="R431" s="49"/>
      <c r="S431" s="49"/>
      <c r="T431" s="49"/>
      <c r="U431" s="49"/>
    </row>
    <row r="432" spans="1:21" ht="13">
      <c r="A432" s="49"/>
      <c r="B432" s="49"/>
      <c r="C432" s="49"/>
      <c r="D432" s="49"/>
      <c r="E432" s="47"/>
      <c r="F432" s="49"/>
      <c r="G432" s="49" t="b">
        <v>0</v>
      </c>
      <c r="H432" s="49"/>
      <c r="I432" s="49"/>
      <c r="J432" s="49"/>
      <c r="K432" s="49"/>
      <c r="L432" s="49"/>
      <c r="M432" s="49"/>
      <c r="N432" s="49"/>
      <c r="O432" s="49"/>
      <c r="P432" s="49"/>
      <c r="Q432" s="49"/>
      <c r="R432" s="49"/>
      <c r="S432" s="49"/>
      <c r="T432" s="49"/>
      <c r="U432" s="49"/>
    </row>
    <row r="433" spans="1:21" ht="13">
      <c r="A433" s="49"/>
      <c r="B433" s="49"/>
      <c r="C433" s="49"/>
      <c r="D433" s="49"/>
      <c r="E433" s="47"/>
      <c r="F433" s="49"/>
      <c r="G433" s="49" t="b">
        <v>0</v>
      </c>
      <c r="H433" s="49"/>
      <c r="I433" s="49"/>
      <c r="J433" s="49"/>
      <c r="K433" s="49"/>
      <c r="L433" s="49"/>
      <c r="M433" s="49"/>
      <c r="N433" s="49"/>
      <c r="O433" s="49"/>
      <c r="P433" s="49"/>
      <c r="Q433" s="49"/>
      <c r="R433" s="49"/>
      <c r="S433" s="49"/>
      <c r="T433" s="49"/>
      <c r="U433" s="49"/>
    </row>
    <row r="434" spans="1:21" ht="13">
      <c r="A434" s="49"/>
      <c r="B434" s="49"/>
      <c r="C434" s="49"/>
      <c r="D434" s="49"/>
      <c r="E434" s="47"/>
      <c r="F434" s="49"/>
      <c r="G434" s="49" t="b">
        <v>0</v>
      </c>
      <c r="H434" s="49"/>
      <c r="I434" s="49"/>
      <c r="J434" s="49"/>
      <c r="K434" s="49"/>
      <c r="L434" s="49"/>
      <c r="M434" s="49"/>
      <c r="N434" s="49"/>
      <c r="O434" s="49"/>
      <c r="P434" s="49"/>
      <c r="Q434" s="49"/>
      <c r="R434" s="49"/>
      <c r="S434" s="49"/>
      <c r="T434" s="49"/>
      <c r="U434" s="49"/>
    </row>
    <row r="435" spans="1:21" ht="13">
      <c r="A435" s="49"/>
      <c r="B435" s="49"/>
      <c r="C435" s="49"/>
      <c r="D435" s="49"/>
      <c r="E435" s="47"/>
      <c r="F435" s="49"/>
      <c r="G435" s="49" t="b">
        <v>0</v>
      </c>
      <c r="H435" s="49"/>
      <c r="I435" s="49"/>
      <c r="J435" s="49"/>
      <c r="K435" s="49"/>
      <c r="L435" s="49"/>
      <c r="M435" s="49"/>
      <c r="N435" s="49"/>
      <c r="O435" s="49"/>
      <c r="P435" s="49"/>
      <c r="Q435" s="49"/>
      <c r="R435" s="49"/>
      <c r="S435" s="49"/>
      <c r="T435" s="49"/>
      <c r="U435" s="49"/>
    </row>
    <row r="436" spans="1:21" ht="13">
      <c r="A436" s="49"/>
      <c r="B436" s="49"/>
      <c r="C436" s="49"/>
      <c r="D436" s="49"/>
      <c r="E436" s="47"/>
      <c r="F436" s="49"/>
      <c r="G436" s="49" t="b">
        <v>0</v>
      </c>
      <c r="H436" s="49"/>
      <c r="I436" s="49"/>
      <c r="J436" s="49"/>
      <c r="K436" s="49"/>
      <c r="L436" s="49"/>
      <c r="M436" s="49"/>
      <c r="N436" s="49"/>
      <c r="O436" s="49"/>
      <c r="P436" s="49"/>
      <c r="Q436" s="49"/>
      <c r="R436" s="49"/>
      <c r="S436" s="49"/>
      <c r="T436" s="49"/>
      <c r="U436" s="49"/>
    </row>
    <row r="437" spans="1:21" ht="13">
      <c r="A437" s="49"/>
      <c r="B437" s="49"/>
      <c r="C437" s="49"/>
      <c r="D437" s="49"/>
      <c r="E437" s="47"/>
      <c r="F437" s="49"/>
      <c r="G437" s="49" t="b">
        <v>0</v>
      </c>
      <c r="H437" s="49"/>
      <c r="I437" s="49"/>
      <c r="J437" s="49"/>
      <c r="K437" s="49"/>
      <c r="L437" s="49"/>
      <c r="M437" s="49"/>
      <c r="N437" s="49"/>
      <c r="O437" s="49"/>
      <c r="P437" s="49"/>
      <c r="Q437" s="49"/>
      <c r="R437" s="49"/>
      <c r="S437" s="49"/>
      <c r="T437" s="49"/>
      <c r="U437" s="49"/>
    </row>
    <row r="438" spans="1:21" ht="13">
      <c r="A438" s="49"/>
      <c r="B438" s="49"/>
      <c r="C438" s="49"/>
      <c r="D438" s="49"/>
      <c r="E438" s="47"/>
      <c r="F438" s="49"/>
      <c r="G438" s="49" t="b">
        <v>0</v>
      </c>
      <c r="H438" s="49"/>
      <c r="I438" s="49"/>
      <c r="J438" s="49"/>
      <c r="K438" s="49"/>
      <c r="L438" s="49"/>
      <c r="M438" s="49"/>
      <c r="N438" s="49"/>
      <c r="O438" s="49"/>
      <c r="P438" s="49"/>
      <c r="Q438" s="49"/>
      <c r="R438" s="49"/>
      <c r="S438" s="49"/>
      <c r="T438" s="49"/>
      <c r="U438" s="49"/>
    </row>
    <row r="439" spans="1:21" ht="13">
      <c r="A439" s="49"/>
      <c r="B439" s="49"/>
      <c r="C439" s="49"/>
      <c r="D439" s="49"/>
      <c r="E439" s="47"/>
      <c r="F439" s="49"/>
      <c r="G439" s="49" t="b">
        <v>0</v>
      </c>
      <c r="H439" s="49"/>
      <c r="I439" s="49"/>
      <c r="J439" s="49"/>
      <c r="K439" s="49"/>
      <c r="L439" s="49"/>
      <c r="M439" s="49"/>
      <c r="N439" s="49"/>
      <c r="O439" s="49"/>
      <c r="P439" s="49"/>
      <c r="Q439" s="49"/>
      <c r="R439" s="49"/>
      <c r="S439" s="49"/>
      <c r="T439" s="49"/>
      <c r="U439" s="49"/>
    </row>
    <row r="440" spans="1:21" ht="13">
      <c r="A440" s="49"/>
      <c r="B440" s="49"/>
      <c r="C440" s="49"/>
      <c r="D440" s="49"/>
      <c r="E440" s="47"/>
      <c r="F440" s="49"/>
      <c r="G440" s="49" t="b">
        <v>0</v>
      </c>
      <c r="H440" s="49"/>
      <c r="I440" s="49"/>
      <c r="J440" s="49"/>
      <c r="K440" s="49"/>
      <c r="L440" s="49"/>
      <c r="M440" s="49"/>
      <c r="N440" s="49"/>
      <c r="O440" s="49"/>
      <c r="P440" s="49"/>
      <c r="Q440" s="49"/>
      <c r="R440" s="49"/>
      <c r="S440" s="49"/>
      <c r="T440" s="49"/>
      <c r="U440" s="49"/>
    </row>
    <row r="441" spans="1:21" ht="13">
      <c r="A441" s="49"/>
      <c r="B441" s="49"/>
      <c r="C441" s="49"/>
      <c r="D441" s="49"/>
      <c r="E441" s="47"/>
      <c r="F441" s="49"/>
      <c r="G441" s="49" t="b">
        <v>0</v>
      </c>
      <c r="H441" s="49"/>
      <c r="I441" s="49"/>
      <c r="J441" s="49"/>
      <c r="K441" s="49"/>
      <c r="L441" s="49"/>
      <c r="M441" s="49"/>
      <c r="N441" s="49"/>
      <c r="O441" s="49"/>
      <c r="P441" s="49"/>
      <c r="Q441" s="49"/>
      <c r="R441" s="49"/>
      <c r="S441" s="49"/>
      <c r="T441" s="49"/>
      <c r="U441" s="49"/>
    </row>
    <row r="442" spans="1:21" ht="13">
      <c r="A442" s="49"/>
      <c r="B442" s="49"/>
      <c r="C442" s="49"/>
      <c r="D442" s="49"/>
      <c r="E442" s="47"/>
      <c r="F442" s="49"/>
      <c r="G442" s="49" t="b">
        <v>0</v>
      </c>
      <c r="H442" s="49"/>
      <c r="I442" s="49"/>
      <c r="J442" s="49"/>
      <c r="K442" s="49"/>
      <c r="L442" s="49"/>
      <c r="M442" s="49"/>
      <c r="N442" s="49"/>
      <c r="O442" s="49"/>
      <c r="P442" s="49"/>
      <c r="Q442" s="49"/>
      <c r="R442" s="49"/>
      <c r="S442" s="49"/>
      <c r="T442" s="49"/>
      <c r="U442" s="49"/>
    </row>
    <row r="443" spans="1:21" ht="13">
      <c r="A443" s="49"/>
      <c r="B443" s="49"/>
      <c r="C443" s="49"/>
      <c r="D443" s="49"/>
      <c r="E443" s="47"/>
      <c r="F443" s="49"/>
      <c r="G443" s="49" t="b">
        <v>0</v>
      </c>
      <c r="H443" s="49"/>
      <c r="I443" s="49"/>
      <c r="J443" s="49"/>
      <c r="K443" s="49"/>
      <c r="L443" s="49"/>
      <c r="M443" s="49"/>
      <c r="N443" s="49"/>
      <c r="O443" s="49"/>
      <c r="P443" s="49"/>
      <c r="Q443" s="49"/>
      <c r="R443" s="49"/>
      <c r="S443" s="49"/>
      <c r="T443" s="49"/>
      <c r="U443" s="49"/>
    </row>
    <row r="444" spans="1:21" ht="13">
      <c r="A444" s="49"/>
      <c r="B444" s="49"/>
      <c r="C444" s="49"/>
      <c r="D444" s="49"/>
      <c r="E444" s="47"/>
      <c r="F444" s="49"/>
      <c r="G444" s="49" t="b">
        <v>0</v>
      </c>
      <c r="H444" s="49"/>
      <c r="I444" s="49"/>
      <c r="J444" s="49"/>
      <c r="K444" s="49"/>
      <c r="L444" s="49"/>
      <c r="M444" s="49"/>
      <c r="N444" s="49"/>
      <c r="O444" s="49"/>
      <c r="P444" s="49"/>
      <c r="Q444" s="49"/>
      <c r="R444" s="49"/>
      <c r="S444" s="49"/>
      <c r="T444" s="49"/>
      <c r="U444" s="49"/>
    </row>
    <row r="445" spans="1:21" ht="13">
      <c r="A445" s="49"/>
      <c r="B445" s="49"/>
      <c r="C445" s="49"/>
      <c r="D445" s="49"/>
      <c r="E445" s="47"/>
      <c r="F445" s="49"/>
      <c r="G445" s="49" t="b">
        <v>0</v>
      </c>
      <c r="H445" s="49"/>
      <c r="I445" s="49"/>
      <c r="J445" s="49"/>
      <c r="K445" s="49"/>
      <c r="L445" s="49"/>
      <c r="M445" s="49"/>
      <c r="N445" s="49"/>
      <c r="O445" s="49"/>
      <c r="P445" s="49"/>
      <c r="Q445" s="49"/>
      <c r="R445" s="49"/>
      <c r="S445" s="49"/>
      <c r="T445" s="49"/>
      <c r="U445" s="49"/>
    </row>
    <row r="446" spans="1:21" ht="13">
      <c r="A446" s="49"/>
      <c r="B446" s="49"/>
      <c r="C446" s="49"/>
      <c r="D446" s="49"/>
      <c r="E446" s="47"/>
      <c r="F446" s="49"/>
      <c r="G446" s="49" t="b">
        <v>0</v>
      </c>
      <c r="H446" s="49"/>
      <c r="I446" s="49"/>
      <c r="J446" s="49"/>
      <c r="K446" s="49"/>
      <c r="L446" s="49"/>
      <c r="M446" s="49"/>
      <c r="N446" s="49"/>
      <c r="O446" s="49"/>
      <c r="P446" s="49"/>
      <c r="Q446" s="49"/>
      <c r="R446" s="49"/>
      <c r="S446" s="49"/>
      <c r="T446" s="49"/>
      <c r="U446" s="49"/>
    </row>
    <row r="447" spans="1:21" ht="13">
      <c r="A447" s="49"/>
      <c r="B447" s="49"/>
      <c r="C447" s="49"/>
      <c r="D447" s="49"/>
      <c r="E447" s="47"/>
      <c r="F447" s="49"/>
      <c r="G447" s="49" t="b">
        <v>0</v>
      </c>
      <c r="H447" s="49"/>
      <c r="I447" s="49"/>
      <c r="J447" s="49"/>
      <c r="K447" s="49"/>
      <c r="L447" s="49"/>
      <c r="M447" s="49"/>
      <c r="N447" s="49"/>
      <c r="O447" s="49"/>
      <c r="P447" s="49"/>
      <c r="Q447" s="49"/>
      <c r="R447" s="49"/>
      <c r="S447" s="49"/>
      <c r="T447" s="49"/>
      <c r="U447" s="49"/>
    </row>
    <row r="448" spans="1:21" ht="13">
      <c r="A448" s="49"/>
      <c r="B448" s="49"/>
      <c r="C448" s="49"/>
      <c r="D448" s="49"/>
      <c r="E448" s="47"/>
      <c r="F448" s="49"/>
      <c r="G448" s="49" t="b">
        <v>0</v>
      </c>
      <c r="H448" s="49"/>
      <c r="I448" s="49"/>
      <c r="J448" s="49"/>
      <c r="K448" s="49"/>
      <c r="L448" s="49"/>
      <c r="M448" s="49"/>
      <c r="N448" s="49"/>
      <c r="O448" s="49"/>
      <c r="P448" s="49"/>
      <c r="Q448" s="49"/>
      <c r="R448" s="49"/>
      <c r="S448" s="49"/>
      <c r="T448" s="49"/>
      <c r="U448" s="49"/>
    </row>
    <row r="449" spans="1:21" ht="13">
      <c r="A449" s="49"/>
      <c r="B449" s="49"/>
      <c r="C449" s="49"/>
      <c r="D449" s="49"/>
      <c r="E449" s="47"/>
      <c r="F449" s="49"/>
      <c r="G449" s="49" t="b">
        <v>0</v>
      </c>
      <c r="H449" s="49"/>
      <c r="I449" s="49"/>
      <c r="J449" s="49"/>
      <c r="K449" s="49"/>
      <c r="L449" s="49"/>
      <c r="M449" s="49"/>
      <c r="N449" s="49"/>
      <c r="O449" s="49"/>
      <c r="P449" s="49"/>
      <c r="Q449" s="49"/>
      <c r="R449" s="49"/>
      <c r="S449" s="49"/>
      <c r="T449" s="49"/>
      <c r="U449" s="49"/>
    </row>
    <row r="450" spans="1:21" ht="13">
      <c r="A450" s="49"/>
      <c r="B450" s="49"/>
      <c r="C450" s="49"/>
      <c r="D450" s="49"/>
      <c r="E450" s="47"/>
      <c r="F450" s="49"/>
      <c r="G450" s="49" t="b">
        <v>0</v>
      </c>
      <c r="H450" s="49"/>
      <c r="I450" s="49"/>
      <c r="J450" s="49"/>
      <c r="K450" s="49"/>
      <c r="L450" s="49"/>
      <c r="M450" s="49"/>
      <c r="N450" s="49"/>
      <c r="O450" s="49"/>
      <c r="P450" s="49"/>
      <c r="Q450" s="49"/>
      <c r="R450" s="49"/>
      <c r="S450" s="49"/>
      <c r="T450" s="49"/>
      <c r="U450" s="49"/>
    </row>
    <row r="451" spans="1:21" ht="13">
      <c r="A451" s="49"/>
      <c r="B451" s="49"/>
      <c r="C451" s="49"/>
      <c r="D451" s="49"/>
      <c r="E451" s="47"/>
      <c r="F451" s="49"/>
      <c r="G451" s="49" t="b">
        <v>0</v>
      </c>
      <c r="H451" s="49"/>
      <c r="I451" s="49"/>
      <c r="J451" s="49"/>
      <c r="K451" s="49"/>
      <c r="L451" s="49"/>
      <c r="M451" s="49"/>
      <c r="N451" s="49"/>
      <c r="O451" s="49"/>
      <c r="P451" s="49"/>
      <c r="Q451" s="49"/>
      <c r="R451" s="49"/>
      <c r="S451" s="49"/>
      <c r="T451" s="49"/>
      <c r="U451" s="49"/>
    </row>
    <row r="452" spans="1:21" ht="13">
      <c r="A452" s="49"/>
      <c r="B452" s="49"/>
      <c r="C452" s="49"/>
      <c r="D452" s="49"/>
      <c r="E452" s="47"/>
      <c r="F452" s="49"/>
      <c r="G452" s="49" t="b">
        <v>0</v>
      </c>
      <c r="H452" s="49"/>
      <c r="I452" s="49"/>
      <c r="J452" s="49"/>
      <c r="K452" s="49"/>
      <c r="L452" s="49"/>
      <c r="M452" s="49"/>
      <c r="N452" s="49"/>
      <c r="O452" s="49"/>
      <c r="P452" s="49"/>
      <c r="Q452" s="49"/>
      <c r="R452" s="49"/>
      <c r="S452" s="49"/>
      <c r="T452" s="49"/>
      <c r="U452" s="49"/>
    </row>
    <row r="453" spans="1:21" ht="13">
      <c r="A453" s="49"/>
      <c r="B453" s="49"/>
      <c r="C453" s="49"/>
      <c r="D453" s="49"/>
      <c r="E453" s="47"/>
      <c r="F453" s="49"/>
      <c r="G453" s="49" t="b">
        <v>0</v>
      </c>
      <c r="H453" s="49"/>
      <c r="I453" s="49"/>
      <c r="J453" s="49"/>
      <c r="K453" s="49"/>
      <c r="L453" s="49"/>
      <c r="M453" s="49"/>
      <c r="N453" s="49"/>
      <c r="O453" s="49"/>
      <c r="P453" s="49"/>
      <c r="Q453" s="49"/>
      <c r="R453" s="49"/>
      <c r="S453" s="49"/>
      <c r="T453" s="49"/>
      <c r="U453" s="49"/>
    </row>
    <row r="454" spans="1:21" ht="13">
      <c r="A454" s="49"/>
      <c r="B454" s="49"/>
      <c r="C454" s="49"/>
      <c r="D454" s="49"/>
      <c r="E454" s="47"/>
      <c r="F454" s="49"/>
      <c r="G454" s="49" t="b">
        <v>0</v>
      </c>
      <c r="H454" s="49"/>
      <c r="I454" s="49"/>
      <c r="J454" s="49"/>
      <c r="K454" s="49"/>
      <c r="L454" s="49"/>
      <c r="M454" s="49"/>
      <c r="N454" s="49"/>
      <c r="O454" s="49"/>
      <c r="P454" s="49"/>
      <c r="Q454" s="49"/>
      <c r="R454" s="49"/>
      <c r="S454" s="49"/>
      <c r="T454" s="49"/>
      <c r="U454" s="49"/>
    </row>
    <row r="455" spans="1:21" ht="13">
      <c r="A455" s="49"/>
      <c r="B455" s="49"/>
      <c r="C455" s="49"/>
      <c r="D455" s="49"/>
      <c r="E455" s="47"/>
      <c r="F455" s="49"/>
      <c r="G455" s="49" t="b">
        <v>0</v>
      </c>
      <c r="H455" s="49"/>
      <c r="I455" s="49"/>
      <c r="J455" s="49"/>
      <c r="K455" s="49"/>
      <c r="L455" s="49"/>
      <c r="M455" s="49"/>
      <c r="N455" s="49"/>
      <c r="O455" s="49"/>
      <c r="P455" s="49"/>
      <c r="Q455" s="49"/>
      <c r="R455" s="49"/>
      <c r="S455" s="49"/>
      <c r="T455" s="49"/>
      <c r="U455" s="49"/>
    </row>
    <row r="456" spans="1:21" ht="13">
      <c r="A456" s="49"/>
      <c r="B456" s="49"/>
      <c r="C456" s="49"/>
      <c r="D456" s="49"/>
      <c r="E456" s="47"/>
      <c r="F456" s="49"/>
      <c r="G456" s="49" t="b">
        <v>0</v>
      </c>
      <c r="H456" s="49"/>
      <c r="I456" s="49"/>
      <c r="J456" s="49"/>
      <c r="K456" s="49"/>
      <c r="L456" s="49"/>
      <c r="M456" s="49"/>
      <c r="N456" s="49"/>
      <c r="O456" s="49"/>
      <c r="P456" s="49"/>
      <c r="Q456" s="49"/>
      <c r="R456" s="49"/>
      <c r="S456" s="49"/>
      <c r="T456" s="49"/>
      <c r="U456" s="49"/>
    </row>
    <row r="457" spans="1:21" ht="13">
      <c r="A457" s="49"/>
      <c r="B457" s="49"/>
      <c r="C457" s="49"/>
      <c r="D457" s="49"/>
      <c r="E457" s="47"/>
      <c r="F457" s="49"/>
      <c r="G457" s="49" t="b">
        <v>0</v>
      </c>
      <c r="H457" s="49"/>
      <c r="I457" s="49"/>
      <c r="J457" s="49"/>
      <c r="K457" s="49"/>
      <c r="L457" s="49"/>
      <c r="M457" s="49"/>
      <c r="N457" s="49"/>
      <c r="O457" s="49"/>
      <c r="P457" s="49"/>
      <c r="Q457" s="49"/>
      <c r="R457" s="49"/>
      <c r="S457" s="49"/>
      <c r="T457" s="49"/>
      <c r="U457" s="49"/>
    </row>
    <row r="458" spans="1:21" ht="13">
      <c r="A458" s="49"/>
      <c r="B458" s="49"/>
      <c r="C458" s="49"/>
      <c r="D458" s="49"/>
      <c r="E458" s="47"/>
      <c r="F458" s="49"/>
      <c r="G458" s="49" t="b">
        <v>0</v>
      </c>
      <c r="H458" s="49"/>
      <c r="I458" s="49"/>
      <c r="J458" s="49"/>
      <c r="K458" s="49"/>
      <c r="L458" s="49"/>
      <c r="M458" s="49"/>
      <c r="N458" s="49"/>
      <c r="O458" s="49"/>
      <c r="P458" s="49"/>
      <c r="Q458" s="49"/>
      <c r="R458" s="49"/>
      <c r="S458" s="49"/>
      <c r="T458" s="49"/>
      <c r="U458" s="49"/>
    </row>
    <row r="459" spans="1:21" ht="13">
      <c r="A459" s="49"/>
      <c r="B459" s="49"/>
      <c r="C459" s="49"/>
      <c r="D459" s="49"/>
      <c r="E459" s="47"/>
      <c r="F459" s="49"/>
      <c r="G459" s="49" t="b">
        <v>0</v>
      </c>
      <c r="H459" s="49"/>
      <c r="I459" s="49"/>
      <c r="J459" s="49"/>
      <c r="K459" s="49"/>
      <c r="L459" s="49"/>
      <c r="M459" s="49"/>
      <c r="N459" s="49"/>
      <c r="O459" s="49"/>
      <c r="P459" s="49"/>
      <c r="Q459" s="49"/>
      <c r="R459" s="49"/>
      <c r="S459" s="49"/>
      <c r="T459" s="49"/>
      <c r="U459" s="49"/>
    </row>
    <row r="460" spans="1:21" ht="13">
      <c r="A460" s="49"/>
      <c r="B460" s="49"/>
      <c r="C460" s="49"/>
      <c r="D460" s="49"/>
      <c r="E460" s="47"/>
      <c r="F460" s="49"/>
      <c r="G460" s="49" t="b">
        <v>0</v>
      </c>
      <c r="H460" s="49"/>
      <c r="I460" s="49"/>
      <c r="J460" s="49"/>
      <c r="K460" s="49"/>
      <c r="L460" s="49"/>
      <c r="M460" s="49"/>
      <c r="N460" s="49"/>
      <c r="O460" s="49"/>
      <c r="P460" s="49"/>
      <c r="Q460" s="49"/>
      <c r="R460" s="49"/>
      <c r="S460" s="49"/>
      <c r="T460" s="49"/>
      <c r="U460" s="49"/>
    </row>
    <row r="461" spans="1:21" ht="13">
      <c r="A461" s="49"/>
      <c r="B461" s="49"/>
      <c r="C461" s="49"/>
      <c r="D461" s="49"/>
      <c r="E461" s="47"/>
      <c r="F461" s="49"/>
      <c r="G461" s="49" t="b">
        <v>0</v>
      </c>
      <c r="H461" s="49"/>
      <c r="I461" s="49"/>
      <c r="J461" s="49"/>
      <c r="K461" s="49"/>
      <c r="L461" s="49"/>
      <c r="M461" s="49"/>
      <c r="N461" s="49"/>
      <c r="O461" s="49"/>
      <c r="P461" s="49"/>
      <c r="Q461" s="49"/>
      <c r="R461" s="49"/>
      <c r="S461" s="49"/>
      <c r="T461" s="49"/>
      <c r="U461" s="49"/>
    </row>
    <row r="462" spans="1:21" ht="13">
      <c r="A462" s="49"/>
      <c r="B462" s="49"/>
      <c r="C462" s="49"/>
      <c r="D462" s="49"/>
      <c r="E462" s="47"/>
      <c r="F462" s="49"/>
      <c r="G462" s="49" t="b">
        <v>0</v>
      </c>
      <c r="H462" s="49"/>
      <c r="I462" s="49"/>
      <c r="J462" s="49"/>
      <c r="K462" s="49"/>
      <c r="L462" s="49"/>
      <c r="M462" s="49"/>
      <c r="N462" s="49"/>
      <c r="O462" s="49"/>
      <c r="P462" s="49"/>
      <c r="Q462" s="49"/>
      <c r="R462" s="49"/>
      <c r="S462" s="49"/>
      <c r="T462" s="49"/>
      <c r="U462" s="49"/>
    </row>
    <row r="463" spans="1:21" ht="13">
      <c r="A463" s="49"/>
      <c r="B463" s="49"/>
      <c r="C463" s="49"/>
      <c r="D463" s="49"/>
      <c r="E463" s="47"/>
      <c r="F463" s="49"/>
      <c r="G463" s="49" t="b">
        <v>0</v>
      </c>
      <c r="H463" s="49"/>
      <c r="I463" s="49"/>
      <c r="J463" s="49"/>
      <c r="K463" s="49"/>
      <c r="L463" s="49"/>
      <c r="M463" s="49"/>
      <c r="N463" s="49"/>
      <c r="O463" s="49"/>
      <c r="P463" s="49"/>
      <c r="Q463" s="49"/>
      <c r="R463" s="49"/>
      <c r="S463" s="49"/>
      <c r="T463" s="49"/>
      <c r="U463" s="49"/>
    </row>
    <row r="464" spans="1:21" ht="13">
      <c r="A464" s="49"/>
      <c r="B464" s="49"/>
      <c r="C464" s="49"/>
      <c r="D464" s="49"/>
      <c r="E464" s="47"/>
      <c r="F464" s="49"/>
      <c r="G464" s="49" t="b">
        <v>0</v>
      </c>
      <c r="H464" s="49"/>
      <c r="I464" s="49"/>
      <c r="J464" s="49"/>
      <c r="K464" s="49"/>
      <c r="L464" s="49"/>
      <c r="M464" s="49"/>
      <c r="N464" s="49"/>
      <c r="O464" s="49"/>
      <c r="P464" s="49"/>
      <c r="Q464" s="49"/>
      <c r="R464" s="49"/>
      <c r="S464" s="49"/>
      <c r="T464" s="49"/>
      <c r="U464" s="49"/>
    </row>
    <row r="465" spans="1:21" ht="13">
      <c r="A465" s="49"/>
      <c r="B465" s="49"/>
      <c r="C465" s="49"/>
      <c r="D465" s="49"/>
      <c r="E465" s="47"/>
      <c r="F465" s="49"/>
      <c r="G465" s="49" t="b">
        <v>0</v>
      </c>
      <c r="H465" s="49"/>
      <c r="I465" s="49"/>
      <c r="J465" s="49"/>
      <c r="K465" s="49"/>
      <c r="L465" s="49"/>
      <c r="M465" s="49"/>
      <c r="N465" s="49"/>
      <c r="O465" s="49"/>
      <c r="P465" s="49"/>
      <c r="Q465" s="49"/>
      <c r="R465" s="49"/>
      <c r="S465" s="49"/>
      <c r="T465" s="49"/>
      <c r="U465" s="49"/>
    </row>
    <row r="466" spans="1:21" ht="13">
      <c r="A466" s="49"/>
      <c r="B466" s="49"/>
      <c r="C466" s="49"/>
      <c r="D466" s="49"/>
      <c r="E466" s="47"/>
      <c r="F466" s="49"/>
      <c r="G466" s="49" t="b">
        <v>0</v>
      </c>
      <c r="H466" s="49"/>
      <c r="I466" s="49"/>
      <c r="J466" s="49"/>
      <c r="K466" s="49"/>
      <c r="L466" s="49"/>
      <c r="M466" s="49"/>
      <c r="N466" s="49"/>
      <c r="O466" s="49"/>
      <c r="P466" s="49"/>
      <c r="Q466" s="49"/>
      <c r="R466" s="49"/>
      <c r="S466" s="49"/>
      <c r="T466" s="49"/>
      <c r="U466" s="49"/>
    </row>
    <row r="467" spans="1:21" ht="13">
      <c r="A467" s="49"/>
      <c r="B467" s="49"/>
      <c r="C467" s="49"/>
      <c r="D467" s="49"/>
      <c r="E467" s="47"/>
      <c r="F467" s="49"/>
      <c r="G467" s="49" t="b">
        <v>0</v>
      </c>
      <c r="H467" s="49"/>
      <c r="I467" s="49"/>
      <c r="J467" s="49"/>
      <c r="K467" s="49"/>
      <c r="L467" s="49"/>
      <c r="M467" s="49"/>
      <c r="N467" s="49"/>
      <c r="O467" s="49"/>
      <c r="P467" s="49"/>
      <c r="Q467" s="49"/>
      <c r="R467" s="49"/>
      <c r="S467" s="49"/>
      <c r="T467" s="49"/>
      <c r="U467" s="49"/>
    </row>
    <row r="468" spans="1:21" ht="13">
      <c r="A468" s="49"/>
      <c r="B468" s="49"/>
      <c r="C468" s="49"/>
      <c r="D468" s="49"/>
      <c r="E468" s="47"/>
      <c r="F468" s="49"/>
      <c r="G468" s="49" t="b">
        <v>0</v>
      </c>
      <c r="H468" s="49"/>
      <c r="I468" s="49"/>
      <c r="J468" s="49"/>
      <c r="K468" s="49"/>
      <c r="L468" s="49"/>
      <c r="M468" s="49"/>
      <c r="N468" s="49"/>
      <c r="O468" s="49"/>
      <c r="P468" s="49"/>
      <c r="Q468" s="49"/>
      <c r="R468" s="49"/>
      <c r="S468" s="49"/>
      <c r="T468" s="49"/>
      <c r="U468" s="49"/>
    </row>
    <row r="469" spans="1:21" ht="13">
      <c r="A469" s="49"/>
      <c r="B469" s="49"/>
      <c r="C469" s="49"/>
      <c r="D469" s="49"/>
      <c r="E469" s="47"/>
      <c r="F469" s="49"/>
      <c r="G469" s="49" t="b">
        <v>0</v>
      </c>
      <c r="H469" s="49"/>
      <c r="I469" s="49"/>
      <c r="J469" s="49"/>
      <c r="K469" s="49"/>
      <c r="L469" s="49"/>
      <c r="M469" s="49"/>
      <c r="N469" s="49"/>
      <c r="O469" s="49"/>
      <c r="P469" s="49"/>
      <c r="Q469" s="49"/>
      <c r="R469" s="49"/>
      <c r="S469" s="49"/>
      <c r="T469" s="49"/>
      <c r="U469" s="49"/>
    </row>
    <row r="470" spans="1:21" ht="13">
      <c r="A470" s="49"/>
      <c r="B470" s="49"/>
      <c r="C470" s="49"/>
      <c r="D470" s="49"/>
      <c r="E470" s="47"/>
      <c r="F470" s="49"/>
      <c r="G470" s="49" t="b">
        <v>0</v>
      </c>
      <c r="H470" s="49"/>
      <c r="I470" s="49"/>
      <c r="J470" s="49"/>
      <c r="K470" s="49"/>
      <c r="L470" s="49"/>
      <c r="M470" s="49"/>
      <c r="N470" s="49"/>
      <c r="O470" s="49"/>
      <c r="P470" s="49"/>
      <c r="Q470" s="49"/>
      <c r="R470" s="49"/>
      <c r="S470" s="49"/>
      <c r="T470" s="49"/>
      <c r="U470" s="49"/>
    </row>
    <row r="471" spans="1:21" ht="13">
      <c r="A471" s="49"/>
      <c r="B471" s="49"/>
      <c r="C471" s="49"/>
      <c r="D471" s="49"/>
      <c r="E471" s="47"/>
      <c r="F471" s="49"/>
      <c r="G471" s="49" t="b">
        <v>0</v>
      </c>
      <c r="H471" s="49"/>
      <c r="I471" s="49"/>
      <c r="J471" s="49"/>
      <c r="K471" s="49"/>
      <c r="L471" s="49"/>
      <c r="M471" s="49"/>
      <c r="N471" s="49"/>
      <c r="O471" s="49"/>
      <c r="P471" s="49"/>
      <c r="Q471" s="49"/>
      <c r="R471" s="49"/>
      <c r="S471" s="49"/>
      <c r="T471" s="49"/>
      <c r="U471" s="49"/>
    </row>
    <row r="472" spans="1:21" ht="13">
      <c r="A472" s="49"/>
      <c r="B472" s="49"/>
      <c r="C472" s="49"/>
      <c r="D472" s="49"/>
      <c r="E472" s="47"/>
      <c r="F472" s="49"/>
      <c r="G472" s="49" t="b">
        <v>0</v>
      </c>
      <c r="H472" s="49"/>
      <c r="I472" s="49"/>
      <c r="J472" s="49"/>
      <c r="K472" s="49"/>
      <c r="L472" s="49"/>
      <c r="M472" s="49"/>
      <c r="N472" s="49"/>
      <c r="O472" s="49"/>
      <c r="P472" s="49"/>
      <c r="Q472" s="49"/>
      <c r="R472" s="49"/>
      <c r="S472" s="49"/>
      <c r="T472" s="49"/>
      <c r="U472" s="49"/>
    </row>
    <row r="473" spans="1:21" ht="13">
      <c r="A473" s="49"/>
      <c r="B473" s="49"/>
      <c r="C473" s="49"/>
      <c r="D473" s="49"/>
      <c r="E473" s="47"/>
      <c r="F473" s="49"/>
      <c r="G473" s="49" t="b">
        <v>0</v>
      </c>
      <c r="H473" s="49"/>
      <c r="I473" s="49"/>
      <c r="J473" s="49"/>
      <c r="K473" s="49"/>
      <c r="L473" s="49"/>
      <c r="M473" s="49"/>
      <c r="N473" s="49"/>
      <c r="O473" s="49"/>
      <c r="P473" s="49"/>
      <c r="Q473" s="49"/>
      <c r="R473" s="49"/>
      <c r="S473" s="49"/>
      <c r="T473" s="49"/>
      <c r="U473" s="49"/>
    </row>
    <row r="474" spans="1:21" ht="13">
      <c r="A474" s="49"/>
      <c r="B474" s="49"/>
      <c r="C474" s="49"/>
      <c r="D474" s="49"/>
      <c r="E474" s="47"/>
      <c r="F474" s="49"/>
      <c r="G474" s="49" t="b">
        <v>0</v>
      </c>
      <c r="H474" s="49"/>
      <c r="I474" s="49"/>
      <c r="J474" s="49"/>
      <c r="K474" s="49"/>
      <c r="L474" s="49"/>
      <c r="M474" s="49"/>
      <c r="N474" s="49"/>
      <c r="O474" s="49"/>
      <c r="P474" s="49"/>
      <c r="Q474" s="49"/>
      <c r="R474" s="49"/>
      <c r="S474" s="49"/>
      <c r="T474" s="49"/>
      <c r="U474" s="49"/>
    </row>
    <row r="475" spans="1:21" ht="13">
      <c r="A475" s="49"/>
      <c r="B475" s="49"/>
      <c r="C475" s="49"/>
      <c r="D475" s="49"/>
      <c r="E475" s="47"/>
      <c r="F475" s="49"/>
      <c r="G475" s="49" t="b">
        <v>0</v>
      </c>
      <c r="H475" s="49"/>
      <c r="I475" s="49"/>
      <c r="J475" s="49"/>
      <c r="K475" s="49"/>
      <c r="L475" s="49"/>
      <c r="M475" s="49"/>
      <c r="N475" s="49"/>
      <c r="O475" s="49"/>
      <c r="P475" s="49"/>
      <c r="Q475" s="49"/>
      <c r="R475" s="49"/>
      <c r="S475" s="49"/>
      <c r="T475" s="49"/>
      <c r="U475" s="49"/>
    </row>
    <row r="476" spans="1:21" ht="13">
      <c r="A476" s="49"/>
      <c r="B476" s="49"/>
      <c r="C476" s="49"/>
      <c r="D476" s="49"/>
      <c r="E476" s="47"/>
      <c r="F476" s="49"/>
      <c r="G476" s="49" t="b">
        <v>0</v>
      </c>
      <c r="H476" s="49"/>
      <c r="I476" s="49"/>
      <c r="J476" s="49"/>
      <c r="K476" s="49"/>
      <c r="L476" s="49"/>
      <c r="M476" s="49"/>
      <c r="N476" s="49"/>
      <c r="O476" s="49"/>
      <c r="P476" s="49"/>
      <c r="Q476" s="49"/>
      <c r="R476" s="49"/>
      <c r="S476" s="49"/>
      <c r="T476" s="49"/>
      <c r="U476" s="49"/>
    </row>
    <row r="477" spans="1:21" ht="13">
      <c r="A477" s="49"/>
      <c r="B477" s="49"/>
      <c r="C477" s="49"/>
      <c r="D477" s="49"/>
      <c r="E477" s="47"/>
      <c r="F477" s="49"/>
      <c r="G477" s="49" t="b">
        <v>0</v>
      </c>
      <c r="H477" s="49"/>
      <c r="I477" s="49"/>
      <c r="J477" s="49"/>
      <c r="K477" s="49"/>
      <c r="L477" s="49"/>
      <c r="M477" s="49"/>
      <c r="N477" s="49"/>
      <c r="O477" s="49"/>
      <c r="P477" s="49"/>
      <c r="Q477" s="49"/>
      <c r="R477" s="49"/>
      <c r="S477" s="49"/>
      <c r="T477" s="49"/>
      <c r="U477" s="49"/>
    </row>
    <row r="478" spans="1:21" ht="13">
      <c r="A478" s="49"/>
      <c r="B478" s="49"/>
      <c r="C478" s="49"/>
      <c r="D478" s="49"/>
      <c r="E478" s="47"/>
      <c r="F478" s="49"/>
      <c r="G478" s="49" t="b">
        <v>0</v>
      </c>
      <c r="H478" s="49"/>
      <c r="I478" s="49"/>
      <c r="J478" s="49"/>
      <c r="K478" s="49"/>
      <c r="L478" s="49"/>
      <c r="M478" s="49"/>
      <c r="N478" s="49"/>
      <c r="O478" s="49"/>
      <c r="P478" s="49"/>
      <c r="Q478" s="49"/>
      <c r="R478" s="49"/>
      <c r="S478" s="49"/>
      <c r="T478" s="49"/>
      <c r="U478" s="49"/>
    </row>
    <row r="479" spans="1:21" ht="13">
      <c r="A479" s="49"/>
      <c r="B479" s="49"/>
      <c r="C479" s="49"/>
      <c r="D479" s="49"/>
      <c r="E479" s="47"/>
      <c r="F479" s="49"/>
      <c r="G479" s="49" t="b">
        <v>0</v>
      </c>
      <c r="H479" s="49"/>
      <c r="I479" s="49"/>
      <c r="J479" s="49"/>
      <c r="K479" s="49"/>
      <c r="L479" s="49"/>
      <c r="M479" s="49"/>
      <c r="N479" s="49"/>
      <c r="O479" s="49"/>
      <c r="P479" s="49"/>
      <c r="Q479" s="49"/>
      <c r="R479" s="49"/>
      <c r="S479" s="49"/>
      <c r="T479" s="49"/>
      <c r="U479" s="49"/>
    </row>
    <row r="480" spans="1:21" ht="13">
      <c r="A480" s="49"/>
      <c r="B480" s="49"/>
      <c r="C480" s="49"/>
      <c r="D480" s="49"/>
      <c r="E480" s="47"/>
      <c r="F480" s="49"/>
      <c r="G480" s="49" t="b">
        <v>0</v>
      </c>
      <c r="H480" s="49"/>
      <c r="I480" s="49"/>
      <c r="J480" s="49"/>
      <c r="K480" s="49"/>
      <c r="L480" s="49"/>
      <c r="M480" s="49"/>
      <c r="N480" s="49"/>
      <c r="O480" s="49"/>
      <c r="P480" s="49"/>
      <c r="Q480" s="49"/>
      <c r="R480" s="49"/>
      <c r="S480" s="49"/>
      <c r="T480" s="49"/>
      <c r="U480" s="49"/>
    </row>
    <row r="481" spans="1:21" ht="13">
      <c r="A481" s="49"/>
      <c r="B481" s="49"/>
      <c r="C481" s="49"/>
      <c r="D481" s="49"/>
      <c r="E481" s="47"/>
      <c r="F481" s="49"/>
      <c r="G481" s="49" t="b">
        <v>0</v>
      </c>
      <c r="H481" s="49"/>
      <c r="I481" s="49"/>
      <c r="J481" s="49"/>
      <c r="K481" s="49"/>
      <c r="L481" s="49"/>
      <c r="M481" s="49"/>
      <c r="N481" s="49"/>
      <c r="O481" s="49"/>
      <c r="P481" s="49"/>
      <c r="Q481" s="49"/>
      <c r="R481" s="49"/>
      <c r="S481" s="49"/>
      <c r="T481" s="49"/>
      <c r="U481" s="49"/>
    </row>
    <row r="482" spans="1:21" ht="13">
      <c r="A482" s="49"/>
      <c r="B482" s="49"/>
      <c r="C482" s="49"/>
      <c r="D482" s="49"/>
      <c r="E482" s="47"/>
      <c r="F482" s="49"/>
      <c r="G482" s="49" t="b">
        <v>0</v>
      </c>
      <c r="H482" s="49"/>
      <c r="I482" s="49"/>
      <c r="J482" s="49"/>
      <c r="K482" s="49"/>
      <c r="L482" s="49"/>
      <c r="M482" s="49"/>
      <c r="N482" s="49"/>
      <c r="O482" s="49"/>
      <c r="P482" s="49"/>
      <c r="Q482" s="49"/>
      <c r="R482" s="49"/>
      <c r="S482" s="49"/>
      <c r="T482" s="49"/>
      <c r="U482" s="49"/>
    </row>
    <row r="483" spans="1:21" ht="13">
      <c r="A483" s="49"/>
      <c r="B483" s="49"/>
      <c r="C483" s="49"/>
      <c r="D483" s="49"/>
      <c r="E483" s="47"/>
      <c r="F483" s="49"/>
      <c r="G483" s="49" t="b">
        <v>0</v>
      </c>
      <c r="H483" s="49"/>
      <c r="I483" s="49"/>
      <c r="J483" s="49"/>
      <c r="K483" s="49"/>
      <c r="L483" s="49"/>
      <c r="M483" s="49"/>
      <c r="N483" s="49"/>
      <c r="O483" s="49"/>
      <c r="P483" s="49"/>
      <c r="Q483" s="49"/>
      <c r="R483" s="49"/>
      <c r="S483" s="49"/>
      <c r="T483" s="49"/>
      <c r="U483" s="49"/>
    </row>
    <row r="484" spans="1:21" ht="13">
      <c r="A484" s="49"/>
      <c r="B484" s="49"/>
      <c r="C484" s="49"/>
      <c r="D484" s="49"/>
      <c r="E484" s="47"/>
      <c r="F484" s="49"/>
      <c r="G484" s="49" t="b">
        <v>0</v>
      </c>
      <c r="H484" s="49"/>
      <c r="I484" s="49"/>
      <c r="J484" s="49"/>
      <c r="K484" s="49"/>
      <c r="L484" s="49"/>
      <c r="M484" s="49"/>
      <c r="N484" s="49"/>
      <c r="O484" s="49"/>
      <c r="P484" s="49"/>
      <c r="Q484" s="49"/>
      <c r="R484" s="49"/>
      <c r="S484" s="49"/>
      <c r="T484" s="49"/>
      <c r="U484" s="49"/>
    </row>
    <row r="485" spans="1:21" ht="13">
      <c r="A485" s="49"/>
      <c r="B485" s="49"/>
      <c r="C485" s="49"/>
      <c r="D485" s="49"/>
      <c r="E485" s="47"/>
      <c r="F485" s="49"/>
      <c r="G485" s="49" t="b">
        <v>0</v>
      </c>
      <c r="H485" s="49"/>
      <c r="I485" s="49"/>
      <c r="J485" s="49"/>
      <c r="K485" s="49"/>
      <c r="L485" s="49"/>
      <c r="M485" s="49"/>
      <c r="N485" s="49"/>
      <c r="O485" s="49"/>
      <c r="P485" s="49"/>
      <c r="Q485" s="49"/>
      <c r="R485" s="49"/>
      <c r="S485" s="49"/>
      <c r="T485" s="49"/>
      <c r="U485" s="49"/>
    </row>
    <row r="486" spans="1:21" ht="13">
      <c r="A486" s="49"/>
      <c r="B486" s="49"/>
      <c r="C486" s="49"/>
      <c r="D486" s="49"/>
      <c r="E486" s="47"/>
      <c r="F486" s="49"/>
      <c r="G486" s="49" t="b">
        <v>0</v>
      </c>
      <c r="H486" s="49"/>
      <c r="I486" s="49"/>
      <c r="J486" s="49"/>
      <c r="K486" s="49"/>
      <c r="L486" s="49"/>
      <c r="M486" s="49"/>
      <c r="N486" s="49"/>
      <c r="O486" s="49"/>
      <c r="P486" s="49"/>
      <c r="Q486" s="49"/>
      <c r="R486" s="49"/>
      <c r="S486" s="49"/>
      <c r="T486" s="49"/>
      <c r="U486" s="49"/>
    </row>
    <row r="487" spans="1:21" ht="13">
      <c r="A487" s="49"/>
      <c r="B487" s="49"/>
      <c r="C487" s="49"/>
      <c r="D487" s="49"/>
      <c r="E487" s="47"/>
      <c r="F487" s="49"/>
      <c r="G487" s="49" t="b">
        <v>0</v>
      </c>
      <c r="H487" s="49"/>
      <c r="I487" s="49"/>
      <c r="J487" s="49"/>
      <c r="K487" s="49"/>
      <c r="L487" s="49"/>
      <c r="M487" s="49"/>
      <c r="N487" s="49"/>
      <c r="O487" s="49"/>
      <c r="P487" s="49"/>
      <c r="Q487" s="49"/>
      <c r="R487" s="49"/>
      <c r="S487" s="49"/>
      <c r="T487" s="49"/>
      <c r="U487" s="49"/>
    </row>
    <row r="488" spans="1:21" ht="13">
      <c r="A488" s="49"/>
      <c r="B488" s="49"/>
      <c r="C488" s="49"/>
      <c r="D488" s="49"/>
      <c r="E488" s="47"/>
      <c r="F488" s="49"/>
      <c r="G488" s="49" t="b">
        <v>0</v>
      </c>
      <c r="H488" s="49"/>
      <c r="I488" s="49"/>
      <c r="J488" s="49"/>
      <c r="K488" s="49"/>
      <c r="L488" s="49"/>
      <c r="M488" s="49"/>
      <c r="N488" s="49"/>
      <c r="O488" s="49"/>
      <c r="P488" s="49"/>
      <c r="Q488" s="49"/>
      <c r="R488" s="49"/>
      <c r="S488" s="49"/>
      <c r="T488" s="49"/>
      <c r="U488" s="49"/>
    </row>
    <row r="489" spans="1:21" ht="13">
      <c r="A489" s="49"/>
      <c r="B489" s="49"/>
      <c r="C489" s="49"/>
      <c r="D489" s="49"/>
      <c r="E489" s="47"/>
      <c r="F489" s="49"/>
      <c r="G489" s="49" t="b">
        <v>0</v>
      </c>
      <c r="H489" s="49"/>
      <c r="I489" s="49"/>
      <c r="J489" s="49"/>
      <c r="K489" s="49"/>
      <c r="L489" s="49"/>
      <c r="M489" s="49"/>
      <c r="N489" s="49"/>
      <c r="O489" s="49"/>
      <c r="P489" s="49"/>
      <c r="Q489" s="49"/>
      <c r="R489" s="49"/>
      <c r="S489" s="49"/>
      <c r="T489" s="49"/>
      <c r="U489" s="49"/>
    </row>
    <row r="490" spans="1:21" ht="13">
      <c r="A490" s="49"/>
      <c r="B490" s="49"/>
      <c r="C490" s="49"/>
      <c r="D490" s="49"/>
      <c r="E490" s="47"/>
      <c r="F490" s="49"/>
      <c r="G490" s="49" t="b">
        <v>0</v>
      </c>
      <c r="H490" s="49"/>
      <c r="I490" s="49"/>
      <c r="J490" s="49"/>
      <c r="K490" s="49"/>
      <c r="L490" s="49"/>
      <c r="M490" s="49"/>
      <c r="N490" s="49"/>
      <c r="O490" s="49"/>
      <c r="P490" s="49"/>
      <c r="Q490" s="49"/>
      <c r="R490" s="49"/>
      <c r="S490" s="49"/>
      <c r="T490" s="49"/>
      <c r="U490" s="49"/>
    </row>
    <row r="491" spans="1:21" ht="13">
      <c r="A491" s="49"/>
      <c r="B491" s="49"/>
      <c r="C491" s="49"/>
      <c r="D491" s="49"/>
      <c r="E491" s="47"/>
      <c r="F491" s="49"/>
      <c r="G491" s="49" t="b">
        <v>0</v>
      </c>
      <c r="H491" s="49"/>
      <c r="I491" s="49"/>
      <c r="J491" s="49"/>
      <c r="K491" s="49"/>
      <c r="L491" s="49"/>
      <c r="M491" s="49"/>
      <c r="N491" s="49"/>
      <c r="O491" s="49"/>
      <c r="P491" s="49"/>
      <c r="Q491" s="49"/>
      <c r="R491" s="49"/>
      <c r="S491" s="49"/>
      <c r="T491" s="49"/>
      <c r="U491" s="49"/>
    </row>
    <row r="492" spans="1:21" ht="13">
      <c r="A492" s="49"/>
      <c r="B492" s="49"/>
      <c r="C492" s="49"/>
      <c r="D492" s="49"/>
      <c r="E492" s="47"/>
      <c r="F492" s="49"/>
      <c r="G492" s="49" t="b">
        <v>0</v>
      </c>
      <c r="H492" s="49"/>
      <c r="I492" s="49"/>
      <c r="J492" s="49"/>
      <c r="K492" s="49"/>
      <c r="L492" s="49"/>
      <c r="M492" s="49"/>
      <c r="N492" s="49"/>
      <c r="O492" s="49"/>
      <c r="P492" s="49"/>
      <c r="Q492" s="49"/>
      <c r="R492" s="49"/>
      <c r="S492" s="49"/>
      <c r="T492" s="49"/>
      <c r="U492" s="49"/>
    </row>
    <row r="493" spans="1:21" ht="13">
      <c r="A493" s="49"/>
      <c r="B493" s="49"/>
      <c r="C493" s="49"/>
      <c r="D493" s="49"/>
      <c r="E493" s="47"/>
      <c r="F493" s="49"/>
      <c r="G493" s="49" t="b">
        <v>0</v>
      </c>
      <c r="H493" s="49"/>
      <c r="I493" s="49"/>
      <c r="J493" s="49"/>
      <c r="K493" s="49"/>
      <c r="L493" s="49"/>
      <c r="M493" s="49"/>
      <c r="N493" s="49"/>
      <c r="O493" s="49"/>
      <c r="P493" s="49"/>
      <c r="Q493" s="49"/>
      <c r="R493" s="49"/>
      <c r="S493" s="49"/>
      <c r="T493" s="49"/>
      <c r="U493" s="49"/>
    </row>
    <row r="494" spans="1:21" ht="13">
      <c r="A494" s="49"/>
      <c r="B494" s="49"/>
      <c r="C494" s="49"/>
      <c r="D494" s="49"/>
      <c r="E494" s="47"/>
      <c r="F494" s="49"/>
      <c r="G494" s="49" t="b">
        <v>0</v>
      </c>
      <c r="H494" s="49"/>
      <c r="I494" s="49"/>
      <c r="J494" s="49"/>
      <c r="K494" s="49"/>
      <c r="L494" s="49"/>
      <c r="M494" s="49"/>
      <c r="N494" s="49"/>
      <c r="O494" s="49"/>
      <c r="P494" s="49"/>
      <c r="Q494" s="49"/>
      <c r="R494" s="49"/>
      <c r="S494" s="49"/>
      <c r="T494" s="49"/>
      <c r="U494" s="49"/>
    </row>
    <row r="495" spans="1:21" ht="13">
      <c r="A495" s="49"/>
      <c r="B495" s="49"/>
      <c r="C495" s="49"/>
      <c r="D495" s="49"/>
      <c r="E495" s="47"/>
      <c r="F495" s="49"/>
      <c r="G495" s="49" t="b">
        <v>0</v>
      </c>
      <c r="H495" s="49"/>
      <c r="I495" s="49"/>
      <c r="J495" s="49"/>
      <c r="K495" s="49"/>
      <c r="L495" s="49"/>
      <c r="M495" s="49"/>
      <c r="N495" s="49"/>
      <c r="O495" s="49"/>
      <c r="P495" s="49"/>
      <c r="Q495" s="49"/>
      <c r="R495" s="49"/>
      <c r="S495" s="49"/>
      <c r="T495" s="49"/>
      <c r="U495" s="49"/>
    </row>
    <row r="496" spans="1:21" ht="13">
      <c r="A496" s="49"/>
      <c r="B496" s="49"/>
      <c r="C496" s="49"/>
      <c r="D496" s="49"/>
      <c r="E496" s="47"/>
      <c r="F496" s="49"/>
      <c r="G496" s="49" t="b">
        <v>0</v>
      </c>
      <c r="H496" s="49"/>
      <c r="I496" s="49"/>
      <c r="J496" s="49"/>
      <c r="K496" s="49"/>
      <c r="L496" s="49"/>
      <c r="M496" s="49"/>
      <c r="N496" s="49"/>
      <c r="O496" s="49"/>
      <c r="P496" s="49"/>
      <c r="Q496" s="49"/>
      <c r="R496" s="49"/>
      <c r="S496" s="49"/>
      <c r="T496" s="49"/>
      <c r="U496" s="49"/>
    </row>
    <row r="497" spans="1:21" ht="13">
      <c r="A497" s="49"/>
      <c r="B497" s="49"/>
      <c r="C497" s="49"/>
      <c r="D497" s="49"/>
      <c r="E497" s="47"/>
      <c r="F497" s="49"/>
      <c r="G497" s="49" t="b">
        <v>0</v>
      </c>
      <c r="H497" s="49"/>
      <c r="I497" s="49"/>
      <c r="J497" s="49"/>
      <c r="K497" s="49"/>
      <c r="L497" s="49"/>
      <c r="M497" s="49"/>
      <c r="N497" s="49"/>
      <c r="O497" s="49"/>
      <c r="P497" s="49"/>
      <c r="Q497" s="49"/>
      <c r="R497" s="49"/>
      <c r="S497" s="49"/>
      <c r="T497" s="49"/>
      <c r="U497" s="49"/>
    </row>
    <row r="498" spans="1:21" ht="13">
      <c r="A498" s="49"/>
      <c r="B498" s="49"/>
      <c r="C498" s="49"/>
      <c r="D498" s="49"/>
      <c r="E498" s="47"/>
      <c r="F498" s="49"/>
      <c r="G498" s="49" t="b">
        <v>0</v>
      </c>
      <c r="H498" s="49"/>
      <c r="I498" s="49"/>
      <c r="J498" s="49"/>
      <c r="K498" s="49"/>
      <c r="L498" s="49"/>
      <c r="M498" s="49"/>
      <c r="N498" s="49"/>
      <c r="O498" s="49"/>
      <c r="P498" s="49"/>
      <c r="Q498" s="49"/>
      <c r="R498" s="49"/>
      <c r="S498" s="49"/>
      <c r="T498" s="49"/>
      <c r="U498" s="49"/>
    </row>
    <row r="499" spans="1:21" ht="13">
      <c r="A499" s="49"/>
      <c r="B499" s="49"/>
      <c r="C499" s="49"/>
      <c r="D499" s="49"/>
      <c r="E499" s="47"/>
      <c r="F499" s="49"/>
      <c r="G499" s="49" t="b">
        <v>0</v>
      </c>
      <c r="H499" s="49"/>
      <c r="I499" s="49"/>
      <c r="J499" s="49"/>
      <c r="K499" s="49"/>
      <c r="L499" s="49"/>
      <c r="M499" s="49"/>
      <c r="N499" s="49"/>
      <c r="O499" s="49"/>
      <c r="P499" s="49"/>
      <c r="Q499" s="49"/>
      <c r="R499" s="49"/>
      <c r="S499" s="49"/>
      <c r="T499" s="49"/>
      <c r="U499" s="49"/>
    </row>
    <row r="500" spans="1:21" ht="13">
      <c r="A500" s="49"/>
      <c r="B500" s="49"/>
      <c r="C500" s="49"/>
      <c r="D500" s="49"/>
      <c r="E500" s="47"/>
      <c r="F500" s="49"/>
      <c r="G500" s="49" t="b">
        <v>0</v>
      </c>
      <c r="H500" s="49"/>
      <c r="I500" s="49"/>
      <c r="J500" s="49"/>
      <c r="K500" s="49"/>
      <c r="L500" s="49"/>
      <c r="M500" s="49"/>
      <c r="N500" s="49"/>
      <c r="O500" s="49"/>
      <c r="P500" s="49"/>
      <c r="Q500" s="49"/>
      <c r="R500" s="49"/>
      <c r="S500" s="49"/>
      <c r="T500" s="49"/>
      <c r="U500" s="49"/>
    </row>
    <row r="501" spans="1:21" ht="13">
      <c r="A501" s="49"/>
      <c r="B501" s="49"/>
      <c r="C501" s="49"/>
      <c r="D501" s="49"/>
      <c r="E501" s="47"/>
      <c r="F501" s="49"/>
      <c r="G501" s="49" t="b">
        <v>0</v>
      </c>
      <c r="H501" s="49"/>
      <c r="I501" s="49"/>
      <c r="J501" s="49"/>
      <c r="K501" s="49"/>
      <c r="L501" s="49"/>
      <c r="M501" s="49"/>
      <c r="N501" s="49"/>
      <c r="O501" s="49"/>
      <c r="P501" s="49"/>
      <c r="Q501" s="49"/>
      <c r="R501" s="49"/>
      <c r="S501" s="49"/>
      <c r="T501" s="49"/>
      <c r="U501" s="49"/>
    </row>
    <row r="502" spans="1:21" ht="13">
      <c r="A502" s="49"/>
      <c r="B502" s="49"/>
      <c r="C502" s="49"/>
      <c r="D502" s="49"/>
      <c r="E502" s="47"/>
      <c r="F502" s="49"/>
      <c r="G502" s="49" t="b">
        <v>0</v>
      </c>
      <c r="H502" s="49"/>
      <c r="I502" s="49"/>
      <c r="J502" s="49"/>
      <c r="K502" s="49"/>
      <c r="L502" s="49"/>
      <c r="M502" s="49"/>
      <c r="N502" s="49"/>
      <c r="O502" s="49"/>
      <c r="P502" s="49"/>
      <c r="Q502" s="49"/>
      <c r="R502" s="49"/>
      <c r="S502" s="49"/>
      <c r="T502" s="49"/>
      <c r="U502" s="49"/>
    </row>
    <row r="503" spans="1:21" ht="13">
      <c r="A503" s="49"/>
      <c r="B503" s="49"/>
      <c r="C503" s="49"/>
      <c r="D503" s="49"/>
      <c r="E503" s="47"/>
      <c r="F503" s="49"/>
      <c r="G503" s="49" t="b">
        <v>0</v>
      </c>
      <c r="H503" s="49"/>
      <c r="I503" s="49"/>
      <c r="J503" s="49"/>
      <c r="K503" s="49"/>
      <c r="L503" s="49"/>
      <c r="M503" s="49"/>
      <c r="N503" s="49"/>
      <c r="O503" s="49"/>
      <c r="P503" s="49"/>
      <c r="Q503" s="49"/>
      <c r="R503" s="49"/>
      <c r="S503" s="49"/>
      <c r="T503" s="49"/>
      <c r="U503" s="49"/>
    </row>
    <row r="504" spans="1:21" ht="13">
      <c r="A504" s="49"/>
      <c r="B504" s="49"/>
      <c r="C504" s="49"/>
      <c r="D504" s="49"/>
      <c r="E504" s="47"/>
      <c r="F504" s="49"/>
      <c r="G504" s="49" t="b">
        <v>0</v>
      </c>
      <c r="H504" s="49"/>
      <c r="I504" s="49"/>
      <c r="J504" s="49"/>
      <c r="K504" s="49"/>
      <c r="L504" s="49"/>
      <c r="M504" s="49"/>
      <c r="N504" s="49"/>
      <c r="O504" s="49"/>
      <c r="P504" s="49"/>
      <c r="Q504" s="49"/>
      <c r="R504" s="49"/>
      <c r="S504" s="49"/>
      <c r="T504" s="49"/>
      <c r="U504" s="49"/>
    </row>
    <row r="505" spans="1:21" ht="13">
      <c r="A505" s="49"/>
      <c r="B505" s="49"/>
      <c r="C505" s="49"/>
      <c r="D505" s="49"/>
      <c r="E505" s="47"/>
      <c r="F505" s="49"/>
      <c r="G505" s="49" t="b">
        <v>0</v>
      </c>
      <c r="H505" s="49"/>
      <c r="I505" s="49"/>
      <c r="J505" s="49"/>
      <c r="K505" s="49"/>
      <c r="L505" s="49"/>
      <c r="M505" s="49"/>
      <c r="N505" s="49"/>
      <c r="O505" s="49"/>
      <c r="P505" s="49"/>
      <c r="Q505" s="49"/>
      <c r="R505" s="49"/>
      <c r="S505" s="49"/>
      <c r="T505" s="49"/>
      <c r="U505" s="49"/>
    </row>
    <row r="506" spans="1:21" ht="13">
      <c r="A506" s="49"/>
      <c r="B506" s="49"/>
      <c r="C506" s="49"/>
      <c r="D506" s="49"/>
      <c r="E506" s="47"/>
      <c r="F506" s="49"/>
      <c r="G506" s="49" t="b">
        <v>0</v>
      </c>
      <c r="H506" s="49"/>
      <c r="I506" s="49"/>
      <c r="J506" s="49"/>
      <c r="K506" s="49"/>
      <c r="L506" s="49"/>
      <c r="M506" s="49"/>
      <c r="N506" s="49"/>
      <c r="O506" s="49"/>
      <c r="P506" s="49"/>
      <c r="Q506" s="49"/>
      <c r="R506" s="49"/>
      <c r="S506" s="49"/>
      <c r="T506" s="49"/>
      <c r="U506" s="49"/>
    </row>
    <row r="507" spans="1:21" ht="13">
      <c r="A507" s="49"/>
      <c r="B507" s="49"/>
      <c r="C507" s="49"/>
      <c r="D507" s="49"/>
      <c r="E507" s="47"/>
      <c r="F507" s="49"/>
      <c r="G507" s="49" t="b">
        <v>0</v>
      </c>
      <c r="H507" s="49"/>
      <c r="I507" s="49"/>
      <c r="J507" s="49"/>
      <c r="K507" s="49"/>
      <c r="L507" s="49"/>
      <c r="M507" s="49"/>
      <c r="N507" s="49"/>
      <c r="O507" s="49"/>
      <c r="P507" s="49"/>
      <c r="Q507" s="49"/>
      <c r="R507" s="49"/>
      <c r="S507" s="49"/>
      <c r="T507" s="49"/>
      <c r="U507" s="49"/>
    </row>
    <row r="508" spans="1:21" ht="13">
      <c r="A508" s="49"/>
      <c r="B508" s="49"/>
      <c r="C508" s="49"/>
      <c r="D508" s="49"/>
      <c r="E508" s="47"/>
      <c r="F508" s="49"/>
      <c r="G508" s="49" t="b">
        <v>0</v>
      </c>
      <c r="H508" s="49"/>
      <c r="I508" s="49"/>
      <c r="J508" s="49"/>
      <c r="K508" s="49"/>
      <c r="L508" s="49"/>
      <c r="M508" s="49"/>
      <c r="N508" s="49"/>
      <c r="O508" s="49"/>
      <c r="P508" s="49"/>
      <c r="Q508" s="49"/>
      <c r="R508" s="49"/>
      <c r="S508" s="49"/>
      <c r="T508" s="49"/>
      <c r="U508" s="49"/>
    </row>
    <row r="509" spans="1:21" ht="13">
      <c r="A509" s="49"/>
      <c r="B509" s="49"/>
      <c r="C509" s="49"/>
      <c r="D509" s="49"/>
      <c r="E509" s="47"/>
      <c r="F509" s="49"/>
      <c r="G509" s="49" t="b">
        <v>0</v>
      </c>
      <c r="H509" s="49"/>
      <c r="I509" s="49"/>
      <c r="J509" s="49"/>
      <c r="K509" s="49"/>
      <c r="L509" s="49"/>
      <c r="M509" s="49"/>
      <c r="N509" s="49"/>
      <c r="O509" s="49"/>
      <c r="P509" s="49"/>
      <c r="Q509" s="49"/>
      <c r="R509" s="49"/>
      <c r="S509" s="49"/>
      <c r="T509" s="49"/>
      <c r="U509" s="49"/>
    </row>
    <row r="510" spans="1:21" ht="13">
      <c r="A510" s="49"/>
      <c r="B510" s="49"/>
      <c r="C510" s="49"/>
      <c r="D510" s="49"/>
      <c r="E510" s="47"/>
      <c r="F510" s="49"/>
      <c r="G510" s="49" t="b">
        <v>0</v>
      </c>
      <c r="H510" s="49"/>
      <c r="I510" s="49"/>
      <c r="J510" s="49"/>
      <c r="K510" s="49"/>
      <c r="L510" s="49"/>
      <c r="M510" s="49"/>
      <c r="N510" s="49"/>
      <c r="O510" s="49"/>
      <c r="P510" s="49"/>
      <c r="Q510" s="49"/>
      <c r="R510" s="49"/>
      <c r="S510" s="49"/>
      <c r="T510" s="49"/>
      <c r="U510" s="49"/>
    </row>
    <row r="511" spans="1:21" ht="13">
      <c r="A511" s="49"/>
      <c r="B511" s="49"/>
      <c r="C511" s="49"/>
      <c r="D511" s="49"/>
      <c r="E511" s="47"/>
      <c r="F511" s="49"/>
      <c r="G511" s="49" t="b">
        <v>0</v>
      </c>
      <c r="H511" s="49"/>
      <c r="I511" s="49"/>
      <c r="J511" s="49"/>
      <c r="K511" s="49"/>
      <c r="L511" s="49"/>
      <c r="M511" s="49"/>
      <c r="N511" s="49"/>
      <c r="O511" s="49"/>
      <c r="P511" s="49"/>
      <c r="Q511" s="49"/>
      <c r="R511" s="49"/>
      <c r="S511" s="49"/>
      <c r="T511" s="49"/>
      <c r="U511" s="49"/>
    </row>
    <row r="512" spans="1:21" ht="13">
      <c r="A512" s="49"/>
      <c r="B512" s="49"/>
      <c r="C512" s="49"/>
      <c r="D512" s="49"/>
      <c r="E512" s="47"/>
      <c r="F512" s="49"/>
      <c r="G512" s="49" t="b">
        <v>0</v>
      </c>
      <c r="H512" s="49"/>
      <c r="I512" s="49"/>
      <c r="J512" s="49"/>
      <c r="K512" s="49"/>
      <c r="L512" s="49"/>
      <c r="M512" s="49"/>
      <c r="N512" s="49"/>
      <c r="O512" s="49"/>
      <c r="P512" s="49"/>
      <c r="Q512" s="49"/>
      <c r="R512" s="49"/>
      <c r="S512" s="49"/>
      <c r="T512" s="49"/>
      <c r="U512" s="49"/>
    </row>
    <row r="513" spans="1:21" ht="13">
      <c r="A513" s="49"/>
      <c r="B513" s="49"/>
      <c r="C513" s="49"/>
      <c r="D513" s="49"/>
      <c r="E513" s="47"/>
      <c r="F513" s="49"/>
      <c r="G513" s="49" t="b">
        <v>0</v>
      </c>
      <c r="H513" s="49"/>
      <c r="I513" s="49"/>
      <c r="J513" s="49"/>
      <c r="K513" s="49"/>
      <c r="L513" s="49"/>
      <c r="M513" s="49"/>
      <c r="N513" s="49"/>
      <c r="O513" s="49"/>
      <c r="P513" s="49"/>
      <c r="Q513" s="49"/>
      <c r="R513" s="49"/>
      <c r="S513" s="49"/>
      <c r="T513" s="49"/>
      <c r="U513" s="49"/>
    </row>
    <row r="514" spans="1:21" ht="13">
      <c r="A514" s="49"/>
      <c r="B514" s="49"/>
      <c r="C514" s="49"/>
      <c r="D514" s="49"/>
      <c r="E514" s="47"/>
      <c r="F514" s="49"/>
      <c r="G514" s="49" t="b">
        <v>0</v>
      </c>
      <c r="H514" s="49"/>
      <c r="I514" s="49"/>
      <c r="J514" s="49"/>
      <c r="K514" s="49"/>
      <c r="L514" s="49"/>
      <c r="M514" s="49"/>
      <c r="N514" s="49"/>
      <c r="O514" s="49"/>
      <c r="P514" s="49"/>
      <c r="Q514" s="49"/>
      <c r="R514" s="49"/>
      <c r="S514" s="49"/>
      <c r="T514" s="49"/>
      <c r="U514" s="49"/>
    </row>
    <row r="515" spans="1:21" ht="13">
      <c r="A515" s="49"/>
      <c r="B515" s="49"/>
      <c r="C515" s="49"/>
      <c r="D515" s="49"/>
      <c r="E515" s="47"/>
      <c r="F515" s="49"/>
      <c r="G515" s="49" t="b">
        <v>0</v>
      </c>
      <c r="H515" s="49"/>
      <c r="I515" s="49"/>
      <c r="J515" s="49"/>
      <c r="K515" s="49"/>
      <c r="L515" s="49"/>
      <c r="M515" s="49"/>
      <c r="N515" s="49"/>
      <c r="O515" s="49"/>
      <c r="P515" s="49"/>
      <c r="Q515" s="49"/>
      <c r="R515" s="49"/>
      <c r="S515" s="49"/>
      <c r="T515" s="49"/>
      <c r="U515" s="49"/>
    </row>
    <row r="516" spans="1:21" ht="13">
      <c r="A516" s="49"/>
      <c r="B516" s="49"/>
      <c r="C516" s="49"/>
      <c r="D516" s="49"/>
      <c r="E516" s="47"/>
      <c r="F516" s="49"/>
      <c r="G516" s="49" t="b">
        <v>0</v>
      </c>
      <c r="H516" s="49"/>
      <c r="I516" s="49"/>
      <c r="J516" s="49"/>
      <c r="K516" s="49"/>
      <c r="L516" s="49"/>
      <c r="M516" s="49"/>
      <c r="N516" s="49"/>
      <c r="O516" s="49"/>
      <c r="P516" s="49"/>
      <c r="Q516" s="49"/>
      <c r="R516" s="49"/>
      <c r="S516" s="49"/>
      <c r="T516" s="49"/>
      <c r="U516" s="49"/>
    </row>
    <row r="517" spans="1:21" ht="13">
      <c r="A517" s="49"/>
      <c r="B517" s="49"/>
      <c r="C517" s="49"/>
      <c r="D517" s="49"/>
      <c r="E517" s="47"/>
      <c r="F517" s="49"/>
      <c r="G517" s="49" t="b">
        <v>0</v>
      </c>
      <c r="H517" s="49"/>
      <c r="I517" s="49"/>
      <c r="J517" s="49"/>
      <c r="K517" s="49"/>
      <c r="L517" s="49"/>
      <c r="M517" s="49"/>
      <c r="N517" s="49"/>
      <c r="O517" s="49"/>
      <c r="P517" s="49"/>
      <c r="Q517" s="49"/>
      <c r="R517" s="49"/>
      <c r="S517" s="49"/>
      <c r="T517" s="49"/>
      <c r="U517" s="49"/>
    </row>
    <row r="518" spans="1:21" ht="13">
      <c r="A518" s="49"/>
      <c r="B518" s="49"/>
      <c r="C518" s="49"/>
      <c r="D518" s="49"/>
      <c r="E518" s="47"/>
      <c r="F518" s="49"/>
      <c r="G518" s="49" t="b">
        <v>0</v>
      </c>
      <c r="H518" s="49"/>
      <c r="I518" s="49"/>
      <c r="J518" s="49"/>
      <c r="K518" s="49"/>
      <c r="L518" s="49"/>
      <c r="M518" s="49"/>
      <c r="N518" s="49"/>
      <c r="O518" s="49"/>
      <c r="P518" s="49"/>
      <c r="Q518" s="49"/>
      <c r="R518" s="49"/>
      <c r="S518" s="49"/>
      <c r="T518" s="49"/>
      <c r="U518" s="49"/>
    </row>
    <row r="519" spans="1:21" ht="13">
      <c r="A519" s="49"/>
      <c r="B519" s="49"/>
      <c r="C519" s="49"/>
      <c r="D519" s="49"/>
      <c r="E519" s="47"/>
      <c r="F519" s="49"/>
      <c r="G519" s="49" t="b">
        <v>0</v>
      </c>
      <c r="H519" s="49"/>
      <c r="I519" s="49"/>
      <c r="J519" s="49"/>
      <c r="K519" s="49"/>
      <c r="L519" s="49"/>
      <c r="M519" s="49"/>
      <c r="N519" s="49"/>
      <c r="O519" s="49"/>
      <c r="P519" s="49"/>
      <c r="Q519" s="49"/>
      <c r="R519" s="49"/>
      <c r="S519" s="49"/>
      <c r="T519" s="49"/>
      <c r="U519" s="49"/>
    </row>
    <row r="520" spans="1:21" ht="13">
      <c r="A520" s="49"/>
      <c r="B520" s="49"/>
      <c r="C520" s="49"/>
      <c r="D520" s="49"/>
      <c r="E520" s="47"/>
      <c r="F520" s="49"/>
      <c r="G520" s="49" t="b">
        <v>0</v>
      </c>
      <c r="H520" s="49"/>
      <c r="I520" s="49"/>
      <c r="J520" s="49"/>
      <c r="K520" s="49"/>
      <c r="L520" s="49"/>
      <c r="M520" s="49"/>
      <c r="N520" s="49"/>
      <c r="O520" s="49"/>
      <c r="P520" s="49"/>
      <c r="Q520" s="49"/>
      <c r="R520" s="49"/>
      <c r="S520" s="49"/>
      <c r="T520" s="49"/>
      <c r="U520" s="49"/>
    </row>
    <row r="521" spans="1:21" ht="13">
      <c r="A521" s="49"/>
      <c r="B521" s="49"/>
      <c r="C521" s="49"/>
      <c r="D521" s="49"/>
      <c r="E521" s="47"/>
      <c r="F521" s="49"/>
      <c r="G521" s="49" t="b">
        <v>0</v>
      </c>
      <c r="H521" s="49"/>
      <c r="I521" s="49"/>
      <c r="J521" s="49"/>
      <c r="K521" s="49"/>
      <c r="L521" s="49"/>
      <c r="M521" s="49"/>
      <c r="N521" s="49"/>
      <c r="O521" s="49"/>
      <c r="P521" s="49"/>
      <c r="Q521" s="49"/>
      <c r="R521" s="49"/>
      <c r="S521" s="49"/>
      <c r="T521" s="49"/>
      <c r="U521" s="49"/>
    </row>
    <row r="522" spans="1:21" ht="13">
      <c r="A522" s="49"/>
      <c r="B522" s="49"/>
      <c r="C522" s="49"/>
      <c r="D522" s="49"/>
      <c r="E522" s="47"/>
      <c r="F522" s="49"/>
      <c r="G522" s="49" t="b">
        <v>0</v>
      </c>
      <c r="H522" s="49"/>
      <c r="I522" s="49"/>
      <c r="J522" s="49"/>
      <c r="K522" s="49"/>
      <c r="L522" s="49"/>
      <c r="M522" s="49"/>
      <c r="N522" s="49"/>
      <c r="O522" s="49"/>
      <c r="P522" s="49"/>
      <c r="Q522" s="49"/>
      <c r="R522" s="49"/>
      <c r="S522" s="49"/>
      <c r="T522" s="49"/>
      <c r="U522" s="49"/>
    </row>
    <row r="523" spans="1:21" ht="13">
      <c r="A523" s="49"/>
      <c r="B523" s="49"/>
      <c r="C523" s="49"/>
      <c r="D523" s="49"/>
      <c r="E523" s="47"/>
      <c r="F523" s="49"/>
      <c r="G523" s="49" t="b">
        <v>0</v>
      </c>
      <c r="H523" s="49"/>
      <c r="I523" s="49"/>
      <c r="J523" s="49"/>
      <c r="K523" s="49"/>
      <c r="L523" s="49"/>
      <c r="M523" s="49"/>
      <c r="N523" s="49"/>
      <c r="O523" s="49"/>
      <c r="P523" s="49"/>
      <c r="Q523" s="49"/>
      <c r="R523" s="49"/>
      <c r="S523" s="49"/>
      <c r="T523" s="49"/>
      <c r="U523" s="49"/>
    </row>
    <row r="524" spans="1:21" ht="13">
      <c r="A524" s="49"/>
      <c r="B524" s="49"/>
      <c r="C524" s="49"/>
      <c r="D524" s="49"/>
      <c r="E524" s="47"/>
      <c r="F524" s="49"/>
      <c r="G524" s="49" t="b">
        <v>0</v>
      </c>
      <c r="H524" s="49"/>
      <c r="I524" s="49"/>
      <c r="J524" s="49"/>
      <c r="K524" s="49"/>
      <c r="L524" s="49"/>
      <c r="M524" s="49"/>
      <c r="N524" s="49"/>
      <c r="O524" s="49"/>
      <c r="P524" s="49"/>
      <c r="Q524" s="49"/>
      <c r="R524" s="49"/>
      <c r="S524" s="49"/>
      <c r="T524" s="49"/>
      <c r="U524" s="49"/>
    </row>
    <row r="525" spans="1:21" ht="13">
      <c r="A525" s="49"/>
      <c r="B525" s="49"/>
      <c r="C525" s="49"/>
      <c r="D525" s="49"/>
      <c r="E525" s="47"/>
      <c r="F525" s="49"/>
      <c r="G525" s="49" t="b">
        <v>0</v>
      </c>
      <c r="H525" s="49"/>
      <c r="I525" s="49"/>
      <c r="J525" s="49"/>
      <c r="K525" s="49"/>
      <c r="L525" s="49"/>
      <c r="M525" s="49"/>
      <c r="N525" s="49"/>
      <c r="O525" s="49"/>
      <c r="P525" s="49"/>
      <c r="Q525" s="49"/>
      <c r="R525" s="49"/>
      <c r="S525" s="49"/>
      <c r="T525" s="49"/>
      <c r="U525" s="49"/>
    </row>
    <row r="526" spans="1:21" ht="13">
      <c r="A526" s="49"/>
      <c r="B526" s="49"/>
      <c r="C526" s="49"/>
      <c r="D526" s="49"/>
      <c r="E526" s="47"/>
      <c r="F526" s="49"/>
      <c r="G526" s="49" t="b">
        <v>0</v>
      </c>
      <c r="H526" s="49"/>
      <c r="I526" s="49"/>
      <c r="J526" s="49"/>
      <c r="K526" s="49"/>
      <c r="L526" s="49"/>
      <c r="M526" s="49"/>
      <c r="N526" s="49"/>
      <c r="O526" s="49"/>
      <c r="P526" s="49"/>
      <c r="Q526" s="49"/>
      <c r="R526" s="49"/>
      <c r="S526" s="49"/>
      <c r="T526" s="49"/>
      <c r="U526" s="49"/>
    </row>
    <row r="527" spans="1:21" ht="13">
      <c r="A527" s="49"/>
      <c r="B527" s="49"/>
      <c r="C527" s="49"/>
      <c r="D527" s="49"/>
      <c r="E527" s="47"/>
      <c r="F527" s="49"/>
      <c r="G527" s="49" t="b">
        <v>0</v>
      </c>
      <c r="H527" s="49"/>
      <c r="I527" s="49"/>
      <c r="J527" s="49"/>
      <c r="K527" s="49"/>
      <c r="L527" s="49"/>
      <c r="M527" s="49"/>
      <c r="N527" s="49"/>
      <c r="O527" s="49"/>
      <c r="P527" s="49"/>
      <c r="Q527" s="49"/>
      <c r="R527" s="49"/>
      <c r="S527" s="49"/>
      <c r="T527" s="49"/>
      <c r="U527" s="49"/>
    </row>
    <row r="528" spans="1:21" ht="13">
      <c r="A528" s="49"/>
      <c r="B528" s="49"/>
      <c r="C528" s="49"/>
      <c r="D528" s="49"/>
      <c r="E528" s="47"/>
      <c r="F528" s="49"/>
      <c r="G528" s="49" t="b">
        <v>0</v>
      </c>
      <c r="H528" s="49"/>
      <c r="I528" s="49"/>
      <c r="J528" s="49"/>
      <c r="K528" s="49"/>
      <c r="L528" s="49"/>
      <c r="M528" s="49"/>
      <c r="N528" s="49"/>
      <c r="O528" s="49"/>
      <c r="P528" s="49"/>
      <c r="Q528" s="49"/>
      <c r="R528" s="49"/>
      <c r="S528" s="49"/>
      <c r="T528" s="49"/>
      <c r="U528" s="49"/>
    </row>
    <row r="529" spans="1:21" ht="13">
      <c r="A529" s="49"/>
      <c r="B529" s="49"/>
      <c r="C529" s="49"/>
      <c r="D529" s="49"/>
      <c r="E529" s="47"/>
      <c r="F529" s="49"/>
      <c r="G529" s="49" t="b">
        <v>0</v>
      </c>
      <c r="H529" s="49"/>
      <c r="I529" s="49"/>
      <c r="J529" s="49"/>
      <c r="K529" s="49"/>
      <c r="L529" s="49"/>
      <c r="M529" s="49"/>
      <c r="N529" s="49"/>
      <c r="O529" s="49"/>
      <c r="P529" s="49"/>
      <c r="Q529" s="49"/>
      <c r="R529" s="49"/>
      <c r="S529" s="49"/>
      <c r="T529" s="49"/>
      <c r="U529" s="49"/>
    </row>
    <row r="530" spans="1:21" ht="13">
      <c r="A530" s="49"/>
      <c r="B530" s="49"/>
      <c r="C530" s="49"/>
      <c r="D530" s="49"/>
      <c r="E530" s="47"/>
      <c r="F530" s="49"/>
      <c r="G530" s="49" t="b">
        <v>0</v>
      </c>
      <c r="H530" s="49"/>
      <c r="I530" s="49"/>
      <c r="J530" s="49"/>
      <c r="K530" s="49"/>
      <c r="L530" s="49"/>
      <c r="M530" s="49"/>
      <c r="N530" s="49"/>
      <c r="O530" s="49"/>
      <c r="P530" s="49"/>
      <c r="Q530" s="49"/>
      <c r="R530" s="49"/>
      <c r="S530" s="49"/>
      <c r="T530" s="49"/>
      <c r="U530" s="49"/>
    </row>
    <row r="531" spans="1:21" ht="13">
      <c r="A531" s="49"/>
      <c r="B531" s="49"/>
      <c r="C531" s="49"/>
      <c r="D531" s="49"/>
      <c r="E531" s="47"/>
      <c r="F531" s="49"/>
      <c r="G531" s="49" t="b">
        <v>0</v>
      </c>
      <c r="H531" s="49"/>
      <c r="I531" s="49"/>
      <c r="J531" s="49"/>
      <c r="K531" s="49"/>
      <c r="L531" s="49"/>
      <c r="M531" s="49"/>
      <c r="N531" s="49"/>
      <c r="O531" s="49"/>
      <c r="P531" s="49"/>
      <c r="Q531" s="49"/>
      <c r="R531" s="49"/>
      <c r="S531" s="49"/>
      <c r="T531" s="49"/>
      <c r="U531" s="49"/>
    </row>
    <row r="532" spans="1:21" ht="13">
      <c r="A532" s="49"/>
      <c r="B532" s="49"/>
      <c r="C532" s="49"/>
      <c r="D532" s="49"/>
      <c r="E532" s="47"/>
      <c r="F532" s="49"/>
      <c r="G532" s="49" t="b">
        <v>0</v>
      </c>
      <c r="H532" s="49"/>
      <c r="I532" s="49"/>
      <c r="J532" s="49"/>
      <c r="K532" s="49"/>
      <c r="L532" s="49"/>
      <c r="M532" s="49"/>
      <c r="N532" s="49"/>
      <c r="O532" s="49"/>
      <c r="P532" s="49"/>
      <c r="Q532" s="49"/>
      <c r="R532" s="49"/>
      <c r="S532" s="49"/>
      <c r="T532" s="49"/>
      <c r="U532" s="49"/>
    </row>
    <row r="533" spans="1:21" ht="13">
      <c r="A533" s="49"/>
      <c r="B533" s="49"/>
      <c r="C533" s="49"/>
      <c r="D533" s="49"/>
      <c r="E533" s="47"/>
      <c r="F533" s="49"/>
      <c r="G533" s="49" t="b">
        <v>0</v>
      </c>
      <c r="H533" s="49"/>
      <c r="I533" s="49"/>
      <c r="J533" s="49"/>
      <c r="K533" s="49"/>
      <c r="L533" s="49"/>
      <c r="M533" s="49"/>
      <c r="N533" s="49"/>
      <c r="O533" s="49"/>
      <c r="P533" s="49"/>
      <c r="Q533" s="49"/>
      <c r="R533" s="49"/>
      <c r="S533" s="49"/>
      <c r="T533" s="49"/>
      <c r="U533" s="49"/>
    </row>
    <row r="534" spans="1:21" ht="13">
      <c r="A534" s="49"/>
      <c r="B534" s="49"/>
      <c r="C534" s="49"/>
      <c r="D534" s="49"/>
      <c r="E534" s="47"/>
      <c r="F534" s="49"/>
      <c r="G534" s="49" t="b">
        <v>0</v>
      </c>
      <c r="H534" s="49"/>
      <c r="I534" s="49"/>
      <c r="J534" s="49"/>
      <c r="K534" s="49"/>
      <c r="L534" s="49"/>
      <c r="M534" s="49"/>
      <c r="N534" s="49"/>
      <c r="O534" s="49"/>
      <c r="P534" s="49"/>
      <c r="Q534" s="49"/>
      <c r="R534" s="49"/>
      <c r="S534" s="49"/>
      <c r="T534" s="49"/>
      <c r="U534" s="49"/>
    </row>
    <row r="535" spans="1:21" ht="13">
      <c r="A535" s="49"/>
      <c r="B535" s="49"/>
      <c r="C535" s="49"/>
      <c r="D535" s="49"/>
      <c r="E535" s="47"/>
      <c r="F535" s="49"/>
      <c r="G535" s="49" t="b">
        <v>0</v>
      </c>
      <c r="H535" s="49"/>
      <c r="I535" s="49"/>
      <c r="J535" s="49"/>
      <c r="K535" s="49"/>
      <c r="L535" s="49"/>
      <c r="M535" s="49"/>
      <c r="N535" s="49"/>
      <c r="O535" s="49"/>
      <c r="P535" s="49"/>
      <c r="Q535" s="49"/>
      <c r="R535" s="49"/>
      <c r="S535" s="49"/>
      <c r="T535" s="49"/>
      <c r="U535" s="49"/>
    </row>
    <row r="536" spans="1:21" ht="13">
      <c r="A536" s="49"/>
      <c r="B536" s="49"/>
      <c r="C536" s="49"/>
      <c r="D536" s="49"/>
      <c r="E536" s="47"/>
      <c r="F536" s="49"/>
      <c r="G536" s="49" t="b">
        <v>0</v>
      </c>
      <c r="H536" s="49"/>
      <c r="I536" s="49"/>
      <c r="J536" s="49"/>
      <c r="K536" s="49"/>
      <c r="L536" s="49"/>
      <c r="M536" s="49"/>
      <c r="N536" s="49"/>
      <c r="O536" s="49"/>
      <c r="P536" s="49"/>
      <c r="Q536" s="49"/>
      <c r="R536" s="49"/>
      <c r="S536" s="49"/>
      <c r="T536" s="49"/>
      <c r="U536" s="49"/>
    </row>
    <row r="537" spans="1:21" ht="13">
      <c r="A537" s="49"/>
      <c r="B537" s="49"/>
      <c r="C537" s="49"/>
      <c r="D537" s="49"/>
      <c r="E537" s="47"/>
      <c r="F537" s="49"/>
      <c r="G537" s="49" t="b">
        <v>0</v>
      </c>
      <c r="H537" s="49"/>
      <c r="I537" s="49"/>
      <c r="J537" s="49"/>
      <c r="K537" s="49"/>
      <c r="L537" s="49"/>
      <c r="M537" s="49"/>
      <c r="N537" s="49"/>
      <c r="O537" s="49"/>
      <c r="P537" s="49"/>
      <c r="Q537" s="49"/>
      <c r="R537" s="49"/>
      <c r="S537" s="49"/>
      <c r="T537" s="49"/>
      <c r="U537" s="49"/>
    </row>
    <row r="538" spans="1:21" ht="13">
      <c r="A538" s="49"/>
      <c r="B538" s="49"/>
      <c r="C538" s="49"/>
      <c r="D538" s="49"/>
      <c r="E538" s="47"/>
      <c r="F538" s="49"/>
      <c r="G538" s="49" t="b">
        <v>0</v>
      </c>
      <c r="H538" s="49"/>
      <c r="I538" s="49"/>
      <c r="J538" s="49"/>
      <c r="K538" s="49"/>
      <c r="L538" s="49"/>
      <c r="M538" s="49"/>
      <c r="N538" s="49"/>
      <c r="O538" s="49"/>
      <c r="P538" s="49"/>
      <c r="Q538" s="49"/>
      <c r="R538" s="49"/>
      <c r="S538" s="49"/>
      <c r="T538" s="49"/>
      <c r="U538" s="49"/>
    </row>
    <row r="539" spans="1:21" ht="13">
      <c r="A539" s="49"/>
      <c r="B539" s="49"/>
      <c r="C539" s="49"/>
      <c r="D539" s="49"/>
      <c r="E539" s="47"/>
      <c r="F539" s="49"/>
      <c r="G539" s="49" t="b">
        <v>0</v>
      </c>
      <c r="H539" s="49"/>
      <c r="I539" s="49"/>
      <c r="J539" s="49"/>
      <c r="K539" s="49"/>
      <c r="L539" s="49"/>
      <c r="M539" s="49"/>
      <c r="N539" s="49"/>
      <c r="O539" s="49"/>
      <c r="P539" s="49"/>
      <c r="Q539" s="49"/>
      <c r="R539" s="49"/>
      <c r="S539" s="49"/>
      <c r="T539" s="49"/>
      <c r="U539" s="49"/>
    </row>
    <row r="540" spans="1:21" ht="13">
      <c r="A540" s="49"/>
      <c r="B540" s="49"/>
      <c r="C540" s="49"/>
      <c r="D540" s="49"/>
      <c r="E540" s="47"/>
      <c r="F540" s="49"/>
      <c r="G540" s="49" t="b">
        <v>0</v>
      </c>
      <c r="H540" s="49"/>
      <c r="I540" s="49"/>
      <c r="J540" s="49"/>
      <c r="K540" s="49"/>
      <c r="L540" s="49"/>
      <c r="M540" s="49"/>
      <c r="N540" s="49"/>
      <c r="O540" s="49"/>
      <c r="P540" s="49"/>
      <c r="Q540" s="49"/>
      <c r="R540" s="49"/>
      <c r="S540" s="49"/>
      <c r="T540" s="49"/>
      <c r="U540" s="49"/>
    </row>
    <row r="541" spans="1:21" ht="13">
      <c r="A541" s="49"/>
      <c r="B541" s="49"/>
      <c r="C541" s="49"/>
      <c r="D541" s="49"/>
      <c r="E541" s="47"/>
      <c r="F541" s="49"/>
      <c r="G541" s="49" t="b">
        <v>0</v>
      </c>
      <c r="H541" s="49"/>
      <c r="I541" s="49"/>
      <c r="J541" s="49"/>
      <c r="K541" s="49"/>
      <c r="L541" s="49"/>
      <c r="M541" s="49"/>
      <c r="N541" s="49"/>
      <c r="O541" s="49"/>
      <c r="P541" s="49"/>
      <c r="Q541" s="49"/>
      <c r="R541" s="49"/>
      <c r="S541" s="49"/>
      <c r="T541" s="49"/>
      <c r="U541" s="49"/>
    </row>
    <row r="542" spans="1:21" ht="13">
      <c r="A542" s="49"/>
      <c r="B542" s="49"/>
      <c r="C542" s="49"/>
      <c r="D542" s="49"/>
      <c r="E542" s="47"/>
      <c r="F542" s="49"/>
      <c r="G542" s="49" t="b">
        <v>0</v>
      </c>
      <c r="H542" s="49"/>
      <c r="I542" s="49"/>
      <c r="J542" s="49"/>
      <c r="K542" s="49"/>
      <c r="L542" s="49"/>
      <c r="M542" s="49"/>
      <c r="N542" s="49"/>
      <c r="O542" s="49"/>
      <c r="P542" s="49"/>
      <c r="Q542" s="49"/>
      <c r="R542" s="49"/>
      <c r="S542" s="49"/>
      <c r="T542" s="49"/>
      <c r="U542" s="49"/>
    </row>
    <row r="543" spans="1:21" ht="13">
      <c r="A543" s="49"/>
      <c r="B543" s="49"/>
      <c r="C543" s="49"/>
      <c r="D543" s="49"/>
      <c r="E543" s="47"/>
      <c r="F543" s="49"/>
      <c r="G543" s="49" t="b">
        <v>0</v>
      </c>
      <c r="H543" s="49"/>
      <c r="I543" s="49"/>
      <c r="J543" s="49"/>
      <c r="K543" s="49"/>
      <c r="L543" s="49"/>
      <c r="M543" s="49"/>
      <c r="N543" s="49"/>
      <c r="O543" s="49"/>
      <c r="P543" s="49"/>
      <c r="Q543" s="49"/>
      <c r="R543" s="49"/>
      <c r="S543" s="49"/>
      <c r="T543" s="49"/>
      <c r="U543" s="49"/>
    </row>
    <row r="544" spans="1:21" ht="13">
      <c r="A544" s="49"/>
      <c r="B544" s="49"/>
      <c r="C544" s="49"/>
      <c r="D544" s="49"/>
      <c r="E544" s="47"/>
      <c r="F544" s="49"/>
      <c r="G544" s="49" t="b">
        <v>0</v>
      </c>
      <c r="H544" s="49"/>
      <c r="I544" s="49"/>
      <c r="J544" s="49"/>
      <c r="K544" s="49"/>
      <c r="L544" s="49"/>
      <c r="M544" s="49"/>
      <c r="N544" s="49"/>
      <c r="O544" s="49"/>
      <c r="P544" s="49"/>
      <c r="Q544" s="49"/>
      <c r="R544" s="49"/>
      <c r="S544" s="49"/>
      <c r="T544" s="49"/>
      <c r="U544" s="49"/>
    </row>
    <row r="545" spans="1:21" ht="13">
      <c r="A545" s="49"/>
      <c r="B545" s="49"/>
      <c r="C545" s="49"/>
      <c r="D545" s="49"/>
      <c r="E545" s="47"/>
      <c r="F545" s="49"/>
      <c r="G545" s="49" t="b">
        <v>0</v>
      </c>
      <c r="H545" s="49"/>
      <c r="I545" s="49"/>
      <c r="J545" s="49"/>
      <c r="K545" s="49"/>
      <c r="L545" s="49"/>
      <c r="M545" s="49"/>
      <c r="N545" s="49"/>
      <c r="O545" s="49"/>
      <c r="P545" s="49"/>
      <c r="Q545" s="49"/>
      <c r="R545" s="49"/>
      <c r="S545" s="49"/>
      <c r="T545" s="49"/>
      <c r="U545" s="49"/>
    </row>
    <row r="546" spans="1:21" ht="13">
      <c r="A546" s="49"/>
      <c r="B546" s="49"/>
      <c r="C546" s="49"/>
      <c r="D546" s="49"/>
      <c r="E546" s="47"/>
      <c r="F546" s="49"/>
      <c r="G546" s="49" t="b">
        <v>0</v>
      </c>
      <c r="H546" s="49"/>
      <c r="I546" s="49"/>
      <c r="J546" s="49"/>
      <c r="K546" s="49"/>
      <c r="L546" s="49"/>
      <c r="M546" s="49"/>
      <c r="N546" s="49"/>
      <c r="O546" s="49"/>
      <c r="P546" s="49"/>
      <c r="Q546" s="49"/>
      <c r="R546" s="49"/>
      <c r="S546" s="49"/>
      <c r="T546" s="49"/>
      <c r="U546" s="49"/>
    </row>
    <row r="547" spans="1:21" ht="13">
      <c r="A547" s="49"/>
      <c r="B547" s="49"/>
      <c r="C547" s="49"/>
      <c r="D547" s="49"/>
      <c r="E547" s="47"/>
      <c r="F547" s="49"/>
      <c r="G547" s="49" t="b">
        <v>0</v>
      </c>
      <c r="H547" s="49"/>
      <c r="I547" s="49"/>
      <c r="J547" s="49"/>
      <c r="K547" s="49"/>
      <c r="L547" s="49"/>
      <c r="M547" s="49"/>
      <c r="N547" s="49"/>
      <c r="O547" s="49"/>
      <c r="P547" s="49"/>
      <c r="Q547" s="49"/>
      <c r="R547" s="49"/>
      <c r="S547" s="49"/>
      <c r="T547" s="49"/>
      <c r="U547" s="49"/>
    </row>
    <row r="548" spans="1:21" ht="13">
      <c r="A548" s="49"/>
      <c r="B548" s="49"/>
      <c r="C548" s="49"/>
      <c r="D548" s="49"/>
      <c r="E548" s="47"/>
      <c r="F548" s="49"/>
      <c r="G548" s="49" t="b">
        <v>0</v>
      </c>
      <c r="H548" s="49"/>
      <c r="I548" s="49"/>
      <c r="J548" s="49"/>
      <c r="K548" s="49"/>
      <c r="L548" s="49"/>
      <c r="M548" s="49"/>
      <c r="N548" s="49"/>
      <c r="O548" s="49"/>
      <c r="P548" s="49"/>
      <c r="Q548" s="49"/>
      <c r="R548" s="49"/>
      <c r="S548" s="49"/>
      <c r="T548" s="49"/>
      <c r="U548" s="49"/>
    </row>
    <row r="549" spans="1:21" ht="13">
      <c r="A549" s="49"/>
      <c r="B549" s="49"/>
      <c r="C549" s="49"/>
      <c r="D549" s="49"/>
      <c r="E549" s="47"/>
      <c r="F549" s="49"/>
      <c r="G549" s="49" t="b">
        <v>0</v>
      </c>
      <c r="H549" s="49"/>
      <c r="I549" s="49"/>
      <c r="J549" s="49"/>
      <c r="K549" s="49"/>
      <c r="L549" s="49"/>
      <c r="M549" s="49"/>
      <c r="N549" s="49"/>
      <c r="O549" s="49"/>
      <c r="P549" s="49"/>
      <c r="Q549" s="49"/>
      <c r="R549" s="49"/>
      <c r="S549" s="49"/>
      <c r="T549" s="49"/>
      <c r="U549" s="49"/>
    </row>
    <row r="550" spans="1:21" ht="13">
      <c r="A550" s="49"/>
      <c r="B550" s="49"/>
      <c r="C550" s="49"/>
      <c r="D550" s="49"/>
      <c r="E550" s="47"/>
      <c r="F550" s="49"/>
      <c r="G550" s="49" t="b">
        <v>0</v>
      </c>
      <c r="H550" s="49"/>
      <c r="I550" s="49"/>
      <c r="J550" s="49"/>
      <c r="K550" s="49"/>
      <c r="L550" s="49"/>
      <c r="M550" s="49"/>
      <c r="N550" s="49"/>
      <c r="O550" s="49"/>
      <c r="P550" s="49"/>
      <c r="Q550" s="49"/>
      <c r="R550" s="49"/>
      <c r="S550" s="49"/>
      <c r="T550" s="49"/>
      <c r="U550" s="49"/>
    </row>
    <row r="551" spans="1:21" ht="13">
      <c r="A551" s="49"/>
      <c r="B551" s="49"/>
      <c r="C551" s="49"/>
      <c r="D551" s="49"/>
      <c r="E551" s="47"/>
      <c r="F551" s="49"/>
      <c r="G551" s="49" t="b">
        <v>0</v>
      </c>
      <c r="H551" s="49"/>
      <c r="I551" s="49"/>
      <c r="J551" s="49"/>
      <c r="K551" s="49"/>
      <c r="L551" s="49"/>
      <c r="M551" s="49"/>
      <c r="N551" s="49"/>
      <c r="O551" s="49"/>
      <c r="P551" s="49"/>
      <c r="Q551" s="49"/>
      <c r="R551" s="49"/>
      <c r="S551" s="49"/>
      <c r="T551" s="49"/>
      <c r="U551" s="49"/>
    </row>
    <row r="552" spans="1:21" ht="13">
      <c r="A552" s="49"/>
      <c r="B552" s="49"/>
      <c r="C552" s="49"/>
      <c r="D552" s="49"/>
      <c r="E552" s="47"/>
      <c r="F552" s="49"/>
      <c r="G552" s="49" t="b">
        <v>0</v>
      </c>
      <c r="H552" s="49"/>
      <c r="I552" s="49"/>
      <c r="J552" s="49"/>
      <c r="K552" s="49"/>
      <c r="L552" s="49"/>
      <c r="M552" s="49"/>
      <c r="N552" s="49"/>
      <c r="O552" s="49"/>
      <c r="P552" s="49"/>
      <c r="Q552" s="49"/>
      <c r="R552" s="49"/>
      <c r="S552" s="49"/>
      <c r="T552" s="49"/>
      <c r="U552" s="49"/>
    </row>
    <row r="553" spans="1:21" ht="13">
      <c r="A553" s="49"/>
      <c r="B553" s="49"/>
      <c r="C553" s="49"/>
      <c r="D553" s="49"/>
      <c r="E553" s="47"/>
      <c r="F553" s="49"/>
      <c r="G553" s="49" t="b">
        <v>0</v>
      </c>
      <c r="H553" s="49"/>
      <c r="I553" s="49"/>
      <c r="J553" s="49"/>
      <c r="K553" s="49"/>
      <c r="L553" s="49"/>
      <c r="M553" s="49"/>
      <c r="N553" s="49"/>
      <c r="O553" s="49"/>
      <c r="P553" s="49"/>
      <c r="Q553" s="49"/>
      <c r="R553" s="49"/>
      <c r="S553" s="49"/>
      <c r="T553" s="49"/>
      <c r="U553" s="49"/>
    </row>
    <row r="554" spans="1:21" ht="13">
      <c r="A554" s="49"/>
      <c r="B554" s="49"/>
      <c r="C554" s="49"/>
      <c r="D554" s="49"/>
      <c r="E554" s="47"/>
      <c r="F554" s="49"/>
      <c r="G554" s="49" t="b">
        <v>0</v>
      </c>
      <c r="H554" s="49"/>
      <c r="I554" s="49"/>
      <c r="J554" s="49"/>
      <c r="K554" s="49"/>
      <c r="L554" s="49"/>
      <c r="M554" s="49"/>
      <c r="N554" s="49"/>
      <c r="O554" s="49"/>
      <c r="P554" s="49"/>
      <c r="Q554" s="49"/>
      <c r="R554" s="49"/>
      <c r="S554" s="49"/>
      <c r="T554" s="49"/>
      <c r="U554" s="49"/>
    </row>
    <row r="555" spans="1:21" ht="13">
      <c r="A555" s="49"/>
      <c r="B555" s="49"/>
      <c r="C555" s="49"/>
      <c r="D555" s="49"/>
      <c r="E555" s="47"/>
      <c r="F555" s="49"/>
      <c r="G555" s="49" t="b">
        <v>0</v>
      </c>
      <c r="H555" s="49"/>
      <c r="I555" s="49"/>
      <c r="J555" s="49"/>
      <c r="K555" s="49"/>
      <c r="L555" s="49"/>
      <c r="M555" s="49"/>
      <c r="N555" s="49"/>
      <c r="O555" s="49"/>
      <c r="P555" s="49"/>
      <c r="Q555" s="49"/>
      <c r="R555" s="49"/>
      <c r="S555" s="49"/>
      <c r="T555" s="49"/>
      <c r="U555" s="49"/>
    </row>
    <row r="556" spans="1:21" ht="13">
      <c r="A556" s="49"/>
      <c r="B556" s="49"/>
      <c r="C556" s="49"/>
      <c r="D556" s="49"/>
      <c r="E556" s="47"/>
      <c r="F556" s="49"/>
      <c r="G556" s="49" t="b">
        <v>0</v>
      </c>
      <c r="H556" s="49"/>
      <c r="I556" s="49"/>
      <c r="J556" s="49"/>
      <c r="K556" s="49"/>
      <c r="L556" s="49"/>
      <c r="M556" s="49"/>
      <c r="N556" s="49"/>
      <c r="O556" s="49"/>
      <c r="P556" s="49"/>
      <c r="Q556" s="49"/>
      <c r="R556" s="49"/>
      <c r="S556" s="49"/>
      <c r="T556" s="49"/>
      <c r="U556" s="49"/>
    </row>
    <row r="557" spans="1:21" ht="13">
      <c r="A557" s="49"/>
      <c r="B557" s="49"/>
      <c r="C557" s="49"/>
      <c r="D557" s="49"/>
      <c r="E557" s="47"/>
      <c r="F557" s="49"/>
      <c r="G557" s="49" t="b">
        <v>0</v>
      </c>
      <c r="H557" s="49"/>
      <c r="I557" s="49"/>
      <c r="J557" s="49"/>
      <c r="K557" s="49"/>
      <c r="L557" s="49"/>
      <c r="M557" s="49"/>
      <c r="N557" s="49"/>
      <c r="O557" s="49"/>
      <c r="P557" s="49"/>
      <c r="Q557" s="49"/>
      <c r="R557" s="49"/>
      <c r="S557" s="49"/>
      <c r="T557" s="49"/>
      <c r="U557" s="49"/>
    </row>
    <row r="558" spans="1:21" ht="13">
      <c r="A558" s="49"/>
      <c r="B558" s="49"/>
      <c r="C558" s="49"/>
      <c r="D558" s="49"/>
      <c r="E558" s="47"/>
      <c r="F558" s="49"/>
      <c r="G558" s="49" t="b">
        <v>0</v>
      </c>
      <c r="H558" s="49"/>
      <c r="I558" s="49"/>
      <c r="J558" s="49"/>
      <c r="K558" s="49"/>
      <c r="L558" s="49"/>
      <c r="M558" s="49"/>
      <c r="N558" s="49"/>
      <c r="O558" s="49"/>
      <c r="P558" s="49"/>
      <c r="Q558" s="49"/>
      <c r="R558" s="49"/>
      <c r="S558" s="49"/>
      <c r="T558" s="49"/>
      <c r="U558" s="49"/>
    </row>
    <row r="559" spans="1:21" ht="13">
      <c r="A559" s="49"/>
      <c r="B559" s="49"/>
      <c r="C559" s="49"/>
      <c r="D559" s="49"/>
      <c r="E559" s="47"/>
      <c r="F559" s="49"/>
      <c r="G559" s="49" t="b">
        <v>0</v>
      </c>
      <c r="H559" s="49"/>
      <c r="I559" s="49"/>
      <c r="J559" s="49"/>
      <c r="K559" s="49"/>
      <c r="L559" s="49"/>
      <c r="M559" s="49"/>
      <c r="N559" s="49"/>
      <c r="O559" s="49"/>
      <c r="P559" s="49"/>
      <c r="Q559" s="49"/>
      <c r="R559" s="49"/>
      <c r="S559" s="49"/>
      <c r="T559" s="49"/>
      <c r="U559" s="49"/>
    </row>
    <row r="560" spans="1:21" ht="13">
      <c r="A560" s="49"/>
      <c r="B560" s="49"/>
      <c r="C560" s="49"/>
      <c r="D560" s="49"/>
      <c r="E560" s="47"/>
      <c r="F560" s="49"/>
      <c r="G560" s="49" t="b">
        <v>0</v>
      </c>
      <c r="H560" s="49"/>
      <c r="I560" s="49"/>
      <c r="J560" s="49"/>
      <c r="K560" s="49"/>
      <c r="L560" s="49"/>
      <c r="M560" s="49"/>
      <c r="N560" s="49"/>
      <c r="O560" s="49"/>
      <c r="P560" s="49"/>
      <c r="Q560" s="49"/>
      <c r="R560" s="49"/>
      <c r="S560" s="49"/>
      <c r="T560" s="49"/>
      <c r="U560" s="49"/>
    </row>
    <row r="561" spans="1:21" ht="13">
      <c r="A561" s="49"/>
      <c r="B561" s="49"/>
      <c r="C561" s="49"/>
      <c r="D561" s="49"/>
      <c r="E561" s="47"/>
      <c r="F561" s="49"/>
      <c r="G561" s="49" t="b">
        <v>0</v>
      </c>
      <c r="H561" s="49"/>
      <c r="I561" s="49"/>
      <c r="J561" s="49"/>
      <c r="K561" s="49"/>
      <c r="L561" s="49"/>
      <c r="M561" s="49"/>
      <c r="N561" s="49"/>
      <c r="O561" s="49"/>
      <c r="P561" s="49"/>
      <c r="Q561" s="49"/>
      <c r="R561" s="49"/>
      <c r="S561" s="49"/>
      <c r="T561" s="49"/>
      <c r="U561" s="49"/>
    </row>
    <row r="562" spans="1:21" ht="13">
      <c r="A562" s="49"/>
      <c r="B562" s="49"/>
      <c r="C562" s="49"/>
      <c r="D562" s="49"/>
      <c r="E562" s="47"/>
      <c r="F562" s="49"/>
      <c r="G562" s="49" t="b">
        <v>0</v>
      </c>
      <c r="H562" s="49"/>
      <c r="I562" s="49"/>
      <c r="J562" s="49"/>
      <c r="K562" s="49"/>
      <c r="L562" s="49"/>
      <c r="M562" s="49"/>
      <c r="N562" s="49"/>
      <c r="O562" s="49"/>
      <c r="P562" s="49"/>
      <c r="Q562" s="49"/>
      <c r="R562" s="49"/>
      <c r="S562" s="49"/>
      <c r="T562" s="49"/>
      <c r="U562" s="49"/>
    </row>
    <row r="563" spans="1:21" ht="13">
      <c r="A563" s="49"/>
      <c r="B563" s="49"/>
      <c r="C563" s="49"/>
      <c r="D563" s="49"/>
      <c r="E563" s="47"/>
      <c r="F563" s="49"/>
      <c r="G563" s="49" t="b">
        <v>0</v>
      </c>
      <c r="H563" s="49"/>
      <c r="I563" s="49"/>
      <c r="J563" s="49"/>
      <c r="K563" s="49"/>
      <c r="L563" s="49"/>
      <c r="M563" s="49"/>
      <c r="N563" s="49"/>
      <c r="O563" s="49"/>
      <c r="P563" s="49"/>
      <c r="Q563" s="49"/>
      <c r="R563" s="49"/>
      <c r="S563" s="49"/>
      <c r="T563" s="49"/>
      <c r="U563" s="49"/>
    </row>
    <row r="564" spans="1:21" ht="13">
      <c r="A564" s="49"/>
      <c r="B564" s="49"/>
      <c r="C564" s="49"/>
      <c r="D564" s="49"/>
      <c r="E564" s="47"/>
      <c r="F564" s="49"/>
      <c r="G564" s="49" t="b">
        <v>0</v>
      </c>
      <c r="H564" s="49"/>
      <c r="I564" s="49"/>
      <c r="J564" s="49"/>
      <c r="K564" s="49"/>
      <c r="L564" s="49"/>
      <c r="M564" s="49"/>
      <c r="N564" s="49"/>
      <c r="O564" s="49"/>
      <c r="P564" s="49"/>
      <c r="Q564" s="49"/>
      <c r="R564" s="49"/>
      <c r="S564" s="49"/>
      <c r="T564" s="49"/>
      <c r="U564" s="49"/>
    </row>
    <row r="565" spans="1:21" ht="13">
      <c r="A565" s="49"/>
      <c r="B565" s="49"/>
      <c r="C565" s="49"/>
      <c r="D565" s="49"/>
      <c r="E565" s="47"/>
      <c r="F565" s="49"/>
      <c r="G565" s="49" t="b">
        <v>0</v>
      </c>
      <c r="H565" s="49"/>
      <c r="I565" s="49"/>
      <c r="J565" s="49"/>
      <c r="K565" s="49"/>
      <c r="L565" s="49"/>
      <c r="M565" s="49"/>
      <c r="N565" s="49"/>
      <c r="O565" s="49"/>
      <c r="P565" s="49"/>
      <c r="Q565" s="49"/>
      <c r="R565" s="49"/>
      <c r="S565" s="49"/>
      <c r="T565" s="49"/>
      <c r="U565" s="49"/>
    </row>
    <row r="566" spans="1:21" ht="13">
      <c r="A566" s="49"/>
      <c r="B566" s="49"/>
      <c r="C566" s="49"/>
      <c r="D566" s="49"/>
      <c r="E566" s="47"/>
      <c r="F566" s="49"/>
      <c r="G566" s="49" t="b">
        <v>0</v>
      </c>
      <c r="H566" s="49"/>
      <c r="I566" s="49"/>
      <c r="J566" s="49"/>
      <c r="K566" s="49"/>
      <c r="L566" s="49"/>
      <c r="M566" s="49"/>
      <c r="N566" s="49"/>
      <c r="O566" s="49"/>
      <c r="P566" s="49"/>
      <c r="Q566" s="49"/>
      <c r="R566" s="49"/>
      <c r="S566" s="49"/>
      <c r="T566" s="49"/>
      <c r="U566" s="49"/>
    </row>
    <row r="567" spans="1:21" ht="13">
      <c r="A567" s="49"/>
      <c r="B567" s="49"/>
      <c r="C567" s="49"/>
      <c r="D567" s="49"/>
      <c r="E567" s="47"/>
      <c r="F567" s="49"/>
      <c r="G567" s="49" t="b">
        <v>0</v>
      </c>
      <c r="H567" s="49"/>
      <c r="I567" s="49"/>
      <c r="J567" s="49"/>
      <c r="K567" s="49"/>
      <c r="L567" s="49"/>
      <c r="M567" s="49"/>
      <c r="N567" s="49"/>
      <c r="O567" s="49"/>
      <c r="P567" s="49"/>
      <c r="Q567" s="49"/>
      <c r="R567" s="49"/>
      <c r="S567" s="49"/>
      <c r="T567" s="49"/>
      <c r="U567" s="49"/>
    </row>
    <row r="568" spans="1:21" ht="13">
      <c r="A568" s="49"/>
      <c r="B568" s="49"/>
      <c r="C568" s="49"/>
      <c r="D568" s="49"/>
      <c r="E568" s="47"/>
      <c r="F568" s="49"/>
      <c r="G568" s="49" t="b">
        <v>0</v>
      </c>
      <c r="H568" s="49"/>
      <c r="I568" s="49"/>
      <c r="J568" s="49"/>
      <c r="K568" s="49"/>
      <c r="L568" s="49"/>
      <c r="M568" s="49"/>
      <c r="N568" s="49"/>
      <c r="O568" s="49"/>
      <c r="P568" s="49"/>
      <c r="Q568" s="49"/>
      <c r="R568" s="49"/>
      <c r="S568" s="49"/>
      <c r="T568" s="49"/>
      <c r="U568" s="49"/>
    </row>
    <row r="569" spans="1:21" ht="13">
      <c r="A569" s="49"/>
      <c r="B569" s="49"/>
      <c r="C569" s="49"/>
      <c r="D569" s="49"/>
      <c r="E569" s="47"/>
      <c r="F569" s="49"/>
      <c r="G569" s="49" t="b">
        <v>0</v>
      </c>
      <c r="H569" s="49"/>
      <c r="I569" s="49"/>
      <c r="J569" s="49"/>
      <c r="K569" s="49"/>
      <c r="L569" s="49"/>
      <c r="M569" s="49"/>
      <c r="N569" s="49"/>
      <c r="O569" s="49"/>
      <c r="P569" s="49"/>
      <c r="Q569" s="49"/>
      <c r="R569" s="49"/>
      <c r="S569" s="49"/>
      <c r="T569" s="49"/>
      <c r="U569" s="49"/>
    </row>
    <row r="570" spans="1:21" ht="13">
      <c r="A570" s="49"/>
      <c r="B570" s="49"/>
      <c r="C570" s="49"/>
      <c r="D570" s="49"/>
      <c r="E570" s="47"/>
      <c r="F570" s="49"/>
      <c r="G570" s="49" t="b">
        <v>0</v>
      </c>
      <c r="H570" s="49"/>
      <c r="I570" s="49"/>
      <c r="J570" s="49"/>
      <c r="K570" s="49"/>
      <c r="L570" s="49"/>
      <c r="M570" s="49"/>
      <c r="N570" s="49"/>
      <c r="O570" s="49"/>
      <c r="P570" s="49"/>
      <c r="Q570" s="49"/>
      <c r="R570" s="49"/>
      <c r="S570" s="49"/>
      <c r="T570" s="49"/>
      <c r="U570" s="49"/>
    </row>
    <row r="571" spans="1:21" ht="13">
      <c r="A571" s="49"/>
      <c r="B571" s="49"/>
      <c r="C571" s="49"/>
      <c r="D571" s="49"/>
      <c r="E571" s="47"/>
      <c r="F571" s="49"/>
      <c r="G571" s="49" t="b">
        <v>0</v>
      </c>
      <c r="H571" s="49"/>
      <c r="I571" s="49"/>
      <c r="J571" s="49"/>
      <c r="K571" s="49"/>
      <c r="L571" s="49"/>
      <c r="M571" s="49"/>
      <c r="N571" s="49"/>
      <c r="O571" s="49"/>
      <c r="P571" s="49"/>
      <c r="Q571" s="49"/>
      <c r="R571" s="49"/>
      <c r="S571" s="49"/>
      <c r="T571" s="49"/>
      <c r="U571" s="49"/>
    </row>
    <row r="572" spans="1:21" ht="13">
      <c r="A572" s="49"/>
      <c r="B572" s="49"/>
      <c r="C572" s="49"/>
      <c r="D572" s="49"/>
      <c r="E572" s="47"/>
      <c r="F572" s="49"/>
      <c r="G572" s="49" t="b">
        <v>0</v>
      </c>
      <c r="H572" s="49"/>
      <c r="I572" s="49"/>
      <c r="J572" s="49"/>
      <c r="K572" s="49"/>
      <c r="L572" s="49"/>
      <c r="M572" s="49"/>
      <c r="N572" s="49"/>
      <c r="O572" s="49"/>
      <c r="P572" s="49"/>
      <c r="Q572" s="49"/>
      <c r="R572" s="49"/>
      <c r="S572" s="49"/>
      <c r="T572" s="49"/>
      <c r="U572" s="49"/>
    </row>
    <row r="573" spans="1:21" ht="13">
      <c r="A573" s="49"/>
      <c r="B573" s="49"/>
      <c r="C573" s="49"/>
      <c r="D573" s="49"/>
      <c r="E573" s="47"/>
      <c r="F573" s="49"/>
      <c r="G573" s="49" t="b">
        <v>0</v>
      </c>
      <c r="H573" s="49"/>
      <c r="I573" s="49"/>
      <c r="J573" s="49"/>
      <c r="K573" s="49"/>
      <c r="L573" s="49"/>
      <c r="M573" s="49"/>
      <c r="N573" s="49"/>
      <c r="O573" s="49"/>
      <c r="P573" s="49"/>
      <c r="Q573" s="49"/>
      <c r="R573" s="49"/>
      <c r="S573" s="49"/>
      <c r="T573" s="49"/>
      <c r="U573" s="49"/>
    </row>
    <row r="574" spans="1:21" ht="13">
      <c r="A574" s="49"/>
      <c r="B574" s="49"/>
      <c r="C574" s="49"/>
      <c r="D574" s="49"/>
      <c r="E574" s="47"/>
      <c r="F574" s="49"/>
      <c r="G574" s="49" t="b">
        <v>0</v>
      </c>
      <c r="H574" s="49"/>
      <c r="I574" s="49"/>
      <c r="J574" s="49"/>
      <c r="K574" s="49"/>
      <c r="L574" s="49"/>
      <c r="M574" s="49"/>
      <c r="N574" s="49"/>
      <c r="O574" s="49"/>
      <c r="P574" s="49"/>
      <c r="Q574" s="49"/>
      <c r="R574" s="49"/>
      <c r="S574" s="49"/>
      <c r="T574" s="49"/>
      <c r="U574" s="49"/>
    </row>
    <row r="575" spans="1:21" ht="13">
      <c r="A575" s="49"/>
      <c r="B575" s="49"/>
      <c r="C575" s="49"/>
      <c r="D575" s="49"/>
      <c r="E575" s="47"/>
      <c r="F575" s="49"/>
      <c r="G575" s="49" t="b">
        <v>0</v>
      </c>
      <c r="H575" s="49"/>
      <c r="I575" s="49"/>
      <c r="J575" s="49"/>
      <c r="K575" s="49"/>
      <c r="L575" s="49"/>
      <c r="M575" s="49"/>
      <c r="N575" s="49"/>
      <c r="O575" s="49"/>
      <c r="P575" s="49"/>
      <c r="Q575" s="49"/>
      <c r="R575" s="49"/>
      <c r="S575" s="49"/>
      <c r="T575" s="49"/>
      <c r="U575" s="49"/>
    </row>
    <row r="576" spans="1:21" ht="13">
      <c r="A576" s="49"/>
      <c r="B576" s="49"/>
      <c r="C576" s="49"/>
      <c r="D576" s="49"/>
      <c r="E576" s="47"/>
      <c r="F576" s="49"/>
      <c r="G576" s="49" t="b">
        <v>0</v>
      </c>
      <c r="H576" s="49"/>
      <c r="I576" s="49"/>
      <c r="J576" s="49"/>
      <c r="K576" s="49"/>
      <c r="L576" s="49"/>
      <c r="M576" s="49"/>
      <c r="N576" s="49"/>
      <c r="O576" s="49"/>
      <c r="P576" s="49"/>
      <c r="Q576" s="49"/>
      <c r="R576" s="49"/>
      <c r="S576" s="49"/>
      <c r="T576" s="49"/>
      <c r="U576" s="49"/>
    </row>
    <row r="577" spans="1:21" ht="13">
      <c r="A577" s="49"/>
      <c r="B577" s="49"/>
      <c r="C577" s="49"/>
      <c r="D577" s="49"/>
      <c r="E577" s="47"/>
      <c r="F577" s="49"/>
      <c r="G577" s="49" t="b">
        <v>0</v>
      </c>
      <c r="H577" s="49"/>
      <c r="I577" s="49"/>
      <c r="J577" s="49"/>
      <c r="K577" s="49"/>
      <c r="L577" s="49"/>
      <c r="M577" s="49"/>
      <c r="N577" s="49"/>
      <c r="O577" s="49"/>
      <c r="P577" s="49"/>
      <c r="Q577" s="49"/>
      <c r="R577" s="49"/>
      <c r="S577" s="49"/>
      <c r="T577" s="49"/>
      <c r="U577" s="49"/>
    </row>
    <row r="578" spans="1:21" ht="13">
      <c r="A578" s="49"/>
      <c r="B578" s="49"/>
      <c r="C578" s="49"/>
      <c r="D578" s="49"/>
      <c r="E578" s="47"/>
      <c r="F578" s="49"/>
      <c r="G578" s="49" t="b">
        <v>0</v>
      </c>
      <c r="H578" s="49"/>
      <c r="I578" s="49"/>
      <c r="J578" s="49"/>
      <c r="K578" s="49"/>
      <c r="L578" s="49"/>
      <c r="M578" s="49"/>
      <c r="N578" s="49"/>
      <c r="O578" s="49"/>
      <c r="P578" s="49"/>
      <c r="Q578" s="49"/>
      <c r="R578" s="49"/>
      <c r="S578" s="49"/>
      <c r="T578" s="49"/>
      <c r="U578" s="49"/>
    </row>
    <row r="579" spans="1:21" ht="13">
      <c r="A579" s="49"/>
      <c r="B579" s="49"/>
      <c r="C579" s="49"/>
      <c r="D579" s="49"/>
      <c r="E579" s="47"/>
      <c r="F579" s="49"/>
      <c r="G579" s="49" t="b">
        <v>0</v>
      </c>
      <c r="H579" s="49"/>
      <c r="I579" s="49"/>
      <c r="J579" s="49"/>
      <c r="K579" s="49"/>
      <c r="L579" s="49"/>
      <c r="M579" s="49"/>
      <c r="N579" s="49"/>
      <c r="O579" s="49"/>
      <c r="P579" s="49"/>
      <c r="Q579" s="49"/>
      <c r="R579" s="49"/>
      <c r="S579" s="49"/>
      <c r="T579" s="49"/>
      <c r="U579" s="49"/>
    </row>
    <row r="580" spans="1:21" ht="13">
      <c r="A580" s="49"/>
      <c r="B580" s="49"/>
      <c r="C580" s="49"/>
      <c r="D580" s="49"/>
      <c r="E580" s="47"/>
      <c r="F580" s="49"/>
      <c r="G580" s="49" t="b">
        <v>0</v>
      </c>
      <c r="H580" s="49"/>
      <c r="I580" s="49"/>
      <c r="J580" s="49"/>
      <c r="K580" s="49"/>
      <c r="L580" s="49"/>
      <c r="M580" s="49"/>
      <c r="N580" s="49"/>
      <c r="O580" s="49"/>
      <c r="P580" s="49"/>
      <c r="Q580" s="49"/>
      <c r="R580" s="49"/>
      <c r="S580" s="49"/>
      <c r="T580" s="49"/>
      <c r="U580" s="49"/>
    </row>
    <row r="581" spans="1:21" ht="13">
      <c r="A581" s="49"/>
      <c r="B581" s="49"/>
      <c r="C581" s="49"/>
      <c r="D581" s="49"/>
      <c r="E581" s="47"/>
      <c r="F581" s="49"/>
      <c r="G581" s="49" t="b">
        <v>0</v>
      </c>
      <c r="H581" s="49"/>
      <c r="I581" s="49"/>
      <c r="J581" s="49"/>
      <c r="K581" s="49"/>
      <c r="L581" s="49"/>
      <c r="M581" s="49"/>
      <c r="N581" s="49"/>
      <c r="O581" s="49"/>
      <c r="P581" s="49"/>
      <c r="Q581" s="49"/>
      <c r="R581" s="49"/>
      <c r="S581" s="49"/>
      <c r="T581" s="49"/>
      <c r="U581" s="49"/>
    </row>
    <row r="582" spans="1:21" ht="13">
      <c r="A582" s="49"/>
      <c r="B582" s="49"/>
      <c r="C582" s="49"/>
      <c r="D582" s="49"/>
      <c r="E582" s="47"/>
      <c r="F582" s="49"/>
      <c r="G582" s="49" t="b">
        <v>0</v>
      </c>
      <c r="H582" s="49"/>
      <c r="I582" s="49"/>
      <c r="J582" s="49"/>
      <c r="K582" s="49"/>
      <c r="L582" s="49"/>
      <c r="M582" s="49"/>
      <c r="N582" s="49"/>
      <c r="O582" s="49"/>
      <c r="P582" s="49"/>
      <c r="Q582" s="49"/>
      <c r="R582" s="49"/>
      <c r="S582" s="49"/>
      <c r="T582" s="49"/>
      <c r="U582" s="49"/>
    </row>
    <row r="583" spans="1:21" ht="13">
      <c r="A583" s="49"/>
      <c r="B583" s="49"/>
      <c r="C583" s="49"/>
      <c r="D583" s="49"/>
      <c r="E583" s="47"/>
      <c r="F583" s="49"/>
      <c r="G583" s="49" t="b">
        <v>0</v>
      </c>
      <c r="H583" s="49"/>
      <c r="I583" s="49"/>
      <c r="J583" s="49"/>
      <c r="K583" s="49"/>
      <c r="L583" s="49"/>
      <c r="M583" s="49"/>
      <c r="N583" s="49"/>
      <c r="O583" s="49"/>
      <c r="P583" s="49"/>
      <c r="Q583" s="49"/>
      <c r="R583" s="49"/>
      <c r="S583" s="49"/>
      <c r="T583" s="49"/>
      <c r="U583" s="49"/>
    </row>
    <row r="584" spans="1:21" ht="13">
      <c r="A584" s="49"/>
      <c r="B584" s="49"/>
      <c r="C584" s="49"/>
      <c r="D584" s="49"/>
      <c r="E584" s="47"/>
      <c r="F584" s="49"/>
      <c r="G584" s="49" t="b">
        <v>0</v>
      </c>
      <c r="H584" s="49"/>
      <c r="I584" s="49"/>
      <c r="J584" s="49"/>
      <c r="K584" s="49"/>
      <c r="L584" s="49"/>
      <c r="M584" s="49"/>
      <c r="N584" s="49"/>
      <c r="O584" s="49"/>
      <c r="P584" s="49"/>
      <c r="Q584" s="49"/>
      <c r="R584" s="49"/>
      <c r="S584" s="49"/>
      <c r="T584" s="49"/>
      <c r="U584" s="49"/>
    </row>
    <row r="585" spans="1:21" ht="13">
      <c r="A585" s="49"/>
      <c r="B585" s="49"/>
      <c r="C585" s="49"/>
      <c r="D585" s="49"/>
      <c r="E585" s="47"/>
      <c r="F585" s="49"/>
      <c r="G585" s="49" t="b">
        <v>0</v>
      </c>
      <c r="H585" s="49"/>
      <c r="I585" s="49"/>
      <c r="J585" s="49"/>
      <c r="K585" s="49"/>
      <c r="L585" s="49"/>
      <c r="M585" s="49"/>
      <c r="N585" s="49"/>
      <c r="O585" s="49"/>
      <c r="P585" s="49"/>
      <c r="Q585" s="49"/>
      <c r="R585" s="49"/>
      <c r="S585" s="49"/>
      <c r="T585" s="49"/>
      <c r="U585" s="49"/>
    </row>
    <row r="586" spans="1:21" ht="13">
      <c r="A586" s="49"/>
      <c r="B586" s="49"/>
      <c r="C586" s="49"/>
      <c r="D586" s="49"/>
      <c r="E586" s="47"/>
      <c r="F586" s="49"/>
      <c r="G586" s="49" t="b">
        <v>0</v>
      </c>
      <c r="H586" s="49"/>
      <c r="I586" s="49"/>
      <c r="J586" s="49"/>
      <c r="K586" s="49"/>
      <c r="L586" s="49"/>
      <c r="M586" s="49"/>
      <c r="N586" s="49"/>
      <c r="O586" s="49"/>
      <c r="P586" s="49"/>
      <c r="Q586" s="49"/>
      <c r="R586" s="49"/>
      <c r="S586" s="49"/>
      <c r="T586" s="49"/>
      <c r="U586" s="49"/>
    </row>
    <row r="587" spans="1:21" ht="13">
      <c r="A587" s="49"/>
      <c r="B587" s="49"/>
      <c r="C587" s="49"/>
      <c r="D587" s="49"/>
      <c r="E587" s="47"/>
      <c r="F587" s="49"/>
      <c r="G587" s="49" t="b">
        <v>0</v>
      </c>
      <c r="H587" s="49"/>
      <c r="I587" s="49"/>
      <c r="J587" s="49"/>
      <c r="K587" s="49"/>
      <c r="L587" s="49"/>
      <c r="M587" s="49"/>
      <c r="N587" s="49"/>
      <c r="O587" s="49"/>
      <c r="P587" s="49"/>
      <c r="Q587" s="49"/>
      <c r="R587" s="49"/>
      <c r="S587" s="49"/>
      <c r="T587" s="49"/>
      <c r="U587" s="49"/>
    </row>
    <row r="588" spans="1:21" ht="13">
      <c r="A588" s="49"/>
      <c r="B588" s="49"/>
      <c r="C588" s="49"/>
      <c r="D588" s="49"/>
      <c r="E588" s="47"/>
      <c r="F588" s="49"/>
      <c r="G588" s="49" t="b">
        <v>0</v>
      </c>
      <c r="H588" s="49"/>
      <c r="I588" s="49"/>
      <c r="J588" s="49"/>
      <c r="K588" s="49"/>
      <c r="L588" s="49"/>
      <c r="M588" s="49"/>
      <c r="N588" s="49"/>
      <c r="O588" s="49"/>
      <c r="P588" s="49"/>
      <c r="Q588" s="49"/>
      <c r="R588" s="49"/>
      <c r="S588" s="49"/>
      <c r="T588" s="49"/>
      <c r="U588" s="49"/>
    </row>
    <row r="589" spans="1:21" ht="13">
      <c r="A589" s="49"/>
      <c r="B589" s="49"/>
      <c r="C589" s="49"/>
      <c r="D589" s="49"/>
      <c r="E589" s="47"/>
      <c r="F589" s="49"/>
      <c r="G589" s="49" t="b">
        <v>0</v>
      </c>
      <c r="H589" s="49"/>
      <c r="I589" s="49"/>
      <c r="J589" s="49"/>
      <c r="K589" s="49"/>
      <c r="L589" s="49"/>
      <c r="M589" s="49"/>
      <c r="N589" s="49"/>
      <c r="O589" s="49"/>
      <c r="P589" s="49"/>
      <c r="Q589" s="49"/>
      <c r="R589" s="49"/>
      <c r="S589" s="49"/>
      <c r="T589" s="49"/>
      <c r="U589" s="49"/>
    </row>
    <row r="590" spans="1:21" ht="13">
      <c r="A590" s="49"/>
      <c r="B590" s="49"/>
      <c r="C590" s="49"/>
      <c r="D590" s="49"/>
      <c r="E590" s="47"/>
      <c r="F590" s="49"/>
      <c r="G590" s="49" t="b">
        <v>0</v>
      </c>
      <c r="H590" s="49"/>
      <c r="I590" s="49"/>
      <c r="J590" s="49"/>
      <c r="K590" s="49"/>
      <c r="L590" s="49"/>
      <c r="M590" s="49"/>
      <c r="N590" s="49"/>
      <c r="O590" s="49"/>
      <c r="P590" s="49"/>
      <c r="Q590" s="49"/>
      <c r="R590" s="49"/>
      <c r="S590" s="49"/>
      <c r="T590" s="49"/>
      <c r="U590" s="49"/>
    </row>
    <row r="591" spans="1:21" ht="13">
      <c r="A591" s="49"/>
      <c r="B591" s="49"/>
      <c r="C591" s="49"/>
      <c r="D591" s="49"/>
      <c r="E591" s="47"/>
      <c r="F591" s="49"/>
      <c r="G591" s="49" t="b">
        <v>0</v>
      </c>
      <c r="H591" s="49"/>
      <c r="I591" s="49"/>
      <c r="J591" s="49"/>
      <c r="K591" s="49"/>
      <c r="L591" s="49"/>
      <c r="M591" s="49"/>
      <c r="N591" s="49"/>
      <c r="O591" s="49"/>
      <c r="P591" s="49"/>
      <c r="Q591" s="49"/>
      <c r="R591" s="49"/>
      <c r="S591" s="49"/>
      <c r="T591" s="49"/>
      <c r="U591" s="49"/>
    </row>
    <row r="592" spans="1:21" ht="13">
      <c r="A592" s="49"/>
      <c r="B592" s="49"/>
      <c r="C592" s="49"/>
      <c r="D592" s="49"/>
      <c r="E592" s="47"/>
      <c r="F592" s="49"/>
      <c r="G592" s="49" t="b">
        <v>0</v>
      </c>
      <c r="H592" s="49"/>
      <c r="I592" s="49"/>
      <c r="J592" s="49"/>
      <c r="K592" s="49"/>
      <c r="L592" s="49"/>
      <c r="M592" s="49"/>
      <c r="N592" s="49"/>
      <c r="O592" s="49"/>
      <c r="P592" s="49"/>
      <c r="Q592" s="49"/>
      <c r="R592" s="49"/>
      <c r="S592" s="49"/>
      <c r="T592" s="49"/>
      <c r="U592" s="49"/>
    </row>
    <row r="593" spans="1:21" ht="13">
      <c r="A593" s="49"/>
      <c r="B593" s="49"/>
      <c r="C593" s="49"/>
      <c r="D593" s="49"/>
      <c r="E593" s="47"/>
      <c r="F593" s="49"/>
      <c r="G593" s="49" t="b">
        <v>0</v>
      </c>
      <c r="H593" s="49"/>
      <c r="I593" s="49"/>
      <c r="J593" s="49"/>
      <c r="K593" s="49"/>
      <c r="L593" s="49"/>
      <c r="M593" s="49"/>
      <c r="N593" s="49"/>
      <c r="O593" s="49"/>
      <c r="P593" s="49"/>
      <c r="Q593" s="49"/>
      <c r="R593" s="49"/>
      <c r="S593" s="49"/>
      <c r="T593" s="49"/>
      <c r="U593" s="49"/>
    </row>
    <row r="594" spans="1:21" ht="13">
      <c r="A594" s="49"/>
      <c r="B594" s="49"/>
      <c r="C594" s="49"/>
      <c r="D594" s="49"/>
      <c r="E594" s="47"/>
      <c r="F594" s="49"/>
      <c r="G594" s="49" t="b">
        <v>0</v>
      </c>
      <c r="H594" s="49"/>
      <c r="I594" s="49"/>
      <c r="J594" s="49"/>
      <c r="K594" s="49"/>
      <c r="L594" s="49"/>
      <c r="M594" s="49"/>
      <c r="N594" s="49"/>
      <c r="O594" s="49"/>
      <c r="P594" s="49"/>
      <c r="Q594" s="49"/>
      <c r="R594" s="49"/>
      <c r="S594" s="49"/>
      <c r="T594" s="49"/>
      <c r="U594" s="49"/>
    </row>
    <row r="595" spans="1:21" ht="13">
      <c r="A595" s="49"/>
      <c r="B595" s="49"/>
      <c r="C595" s="49"/>
      <c r="D595" s="49"/>
      <c r="E595" s="47"/>
      <c r="F595" s="49"/>
      <c r="G595" s="49" t="b">
        <v>0</v>
      </c>
      <c r="H595" s="49"/>
      <c r="I595" s="49"/>
      <c r="J595" s="49"/>
      <c r="K595" s="49"/>
      <c r="L595" s="49"/>
      <c r="M595" s="49"/>
      <c r="N595" s="49"/>
      <c r="O595" s="49"/>
      <c r="P595" s="49"/>
      <c r="Q595" s="49"/>
      <c r="R595" s="49"/>
      <c r="S595" s="49"/>
      <c r="T595" s="49"/>
      <c r="U595" s="49"/>
    </row>
    <row r="596" spans="1:21" ht="13">
      <c r="A596" s="49"/>
      <c r="B596" s="49"/>
      <c r="C596" s="49"/>
      <c r="D596" s="49"/>
      <c r="E596" s="47"/>
      <c r="F596" s="49"/>
      <c r="G596" s="49" t="b">
        <v>0</v>
      </c>
      <c r="H596" s="49"/>
      <c r="I596" s="49"/>
      <c r="J596" s="49"/>
      <c r="K596" s="49"/>
      <c r="L596" s="49"/>
      <c r="M596" s="49"/>
      <c r="N596" s="49"/>
      <c r="O596" s="49"/>
      <c r="P596" s="49"/>
      <c r="Q596" s="49"/>
      <c r="R596" s="49"/>
      <c r="S596" s="49"/>
      <c r="T596" s="49"/>
      <c r="U596" s="49"/>
    </row>
    <row r="597" spans="1:21" ht="13">
      <c r="A597" s="49"/>
      <c r="B597" s="49"/>
      <c r="C597" s="49"/>
      <c r="D597" s="49"/>
      <c r="E597" s="47"/>
      <c r="F597" s="49"/>
      <c r="G597" s="49" t="b">
        <v>0</v>
      </c>
      <c r="H597" s="49"/>
      <c r="I597" s="49"/>
      <c r="J597" s="49"/>
      <c r="K597" s="49"/>
      <c r="L597" s="49"/>
      <c r="M597" s="49"/>
      <c r="N597" s="49"/>
      <c r="O597" s="49"/>
      <c r="P597" s="49"/>
      <c r="Q597" s="49"/>
      <c r="R597" s="49"/>
      <c r="S597" s="49"/>
      <c r="T597" s="49"/>
      <c r="U597" s="49"/>
    </row>
    <row r="598" spans="1:21" ht="13">
      <c r="A598" s="49"/>
      <c r="B598" s="49"/>
      <c r="C598" s="49"/>
      <c r="D598" s="49"/>
      <c r="E598" s="47"/>
      <c r="F598" s="49"/>
      <c r="G598" s="49" t="b">
        <v>0</v>
      </c>
      <c r="H598" s="49"/>
      <c r="I598" s="49"/>
      <c r="J598" s="49"/>
      <c r="K598" s="49"/>
      <c r="L598" s="49"/>
      <c r="M598" s="49"/>
      <c r="N598" s="49"/>
      <c r="O598" s="49"/>
      <c r="P598" s="49"/>
      <c r="Q598" s="49"/>
      <c r="R598" s="49"/>
      <c r="S598" s="49"/>
      <c r="T598" s="49"/>
      <c r="U598" s="49"/>
    </row>
    <row r="599" spans="1:21" ht="13">
      <c r="A599" s="49"/>
      <c r="B599" s="49"/>
      <c r="C599" s="49"/>
      <c r="D599" s="49"/>
      <c r="E599" s="47"/>
      <c r="F599" s="49"/>
      <c r="G599" s="49" t="b">
        <v>0</v>
      </c>
      <c r="H599" s="49"/>
      <c r="I599" s="49"/>
      <c r="J599" s="49"/>
      <c r="K599" s="49"/>
      <c r="L599" s="49"/>
      <c r="M599" s="49"/>
      <c r="N599" s="49"/>
      <c r="O599" s="49"/>
      <c r="P599" s="49"/>
      <c r="Q599" s="49"/>
      <c r="R599" s="49"/>
      <c r="S599" s="49"/>
      <c r="T599" s="49"/>
      <c r="U599" s="49"/>
    </row>
    <row r="600" spans="1:21" ht="13">
      <c r="A600" s="49"/>
      <c r="B600" s="49"/>
      <c r="C600" s="49"/>
      <c r="D600" s="49"/>
      <c r="E600" s="47"/>
      <c r="F600" s="49"/>
      <c r="G600" s="49" t="b">
        <v>0</v>
      </c>
      <c r="H600" s="49"/>
      <c r="I600" s="49"/>
      <c r="J600" s="49"/>
      <c r="K600" s="49"/>
      <c r="L600" s="49"/>
      <c r="M600" s="49"/>
      <c r="N600" s="49"/>
      <c r="O600" s="49"/>
      <c r="P600" s="49"/>
      <c r="Q600" s="49"/>
      <c r="R600" s="49"/>
      <c r="S600" s="49"/>
      <c r="T600" s="49"/>
      <c r="U600" s="49"/>
    </row>
    <row r="601" spans="1:21" ht="13">
      <c r="A601" s="49"/>
      <c r="B601" s="49"/>
      <c r="C601" s="49"/>
      <c r="D601" s="49"/>
      <c r="E601" s="47"/>
      <c r="F601" s="49"/>
      <c r="G601" s="49" t="b">
        <v>0</v>
      </c>
      <c r="H601" s="49"/>
      <c r="I601" s="49"/>
      <c r="J601" s="49"/>
      <c r="K601" s="49"/>
      <c r="L601" s="49"/>
      <c r="M601" s="49"/>
      <c r="N601" s="49"/>
      <c r="O601" s="49"/>
      <c r="P601" s="49"/>
      <c r="Q601" s="49"/>
      <c r="R601" s="49"/>
      <c r="S601" s="49"/>
      <c r="T601" s="49"/>
      <c r="U601" s="49"/>
    </row>
    <row r="602" spans="1:21" ht="13">
      <c r="A602" s="49"/>
      <c r="B602" s="49"/>
      <c r="C602" s="49"/>
      <c r="D602" s="49"/>
      <c r="E602" s="47"/>
      <c r="F602" s="49"/>
      <c r="G602" s="49" t="b">
        <v>0</v>
      </c>
      <c r="H602" s="49"/>
      <c r="I602" s="49"/>
      <c r="J602" s="49"/>
      <c r="K602" s="49"/>
      <c r="L602" s="49"/>
      <c r="M602" s="49"/>
      <c r="N602" s="49"/>
      <c r="O602" s="49"/>
      <c r="P602" s="49"/>
      <c r="Q602" s="49"/>
      <c r="R602" s="49"/>
      <c r="S602" s="49"/>
      <c r="T602" s="49"/>
      <c r="U602" s="49"/>
    </row>
    <row r="603" spans="1:21" ht="13">
      <c r="A603" s="49"/>
      <c r="B603" s="49"/>
      <c r="C603" s="49"/>
      <c r="D603" s="49"/>
      <c r="E603" s="47"/>
      <c r="F603" s="49"/>
      <c r="G603" s="49" t="b">
        <v>0</v>
      </c>
      <c r="H603" s="49"/>
      <c r="I603" s="49"/>
      <c r="J603" s="49"/>
      <c r="K603" s="49"/>
      <c r="L603" s="49"/>
      <c r="M603" s="49"/>
      <c r="N603" s="49"/>
      <c r="O603" s="49"/>
      <c r="P603" s="49"/>
      <c r="Q603" s="49"/>
      <c r="R603" s="49"/>
      <c r="S603" s="49"/>
      <c r="T603" s="49"/>
      <c r="U603" s="49"/>
    </row>
    <row r="604" spans="1:21" ht="13">
      <c r="A604" s="49"/>
      <c r="B604" s="49"/>
      <c r="C604" s="49"/>
      <c r="D604" s="49"/>
      <c r="E604" s="47"/>
      <c r="F604" s="49"/>
      <c r="G604" s="49" t="b">
        <v>0</v>
      </c>
      <c r="H604" s="49"/>
      <c r="I604" s="49"/>
      <c r="J604" s="49"/>
      <c r="K604" s="49"/>
      <c r="L604" s="49"/>
      <c r="M604" s="49"/>
      <c r="N604" s="49"/>
      <c r="O604" s="49"/>
      <c r="P604" s="49"/>
      <c r="Q604" s="49"/>
      <c r="R604" s="49"/>
      <c r="S604" s="49"/>
      <c r="T604" s="49"/>
      <c r="U604" s="49"/>
    </row>
    <row r="605" spans="1:21" ht="13">
      <c r="A605" s="49"/>
      <c r="B605" s="49"/>
      <c r="C605" s="49"/>
      <c r="D605" s="49"/>
      <c r="E605" s="47"/>
      <c r="F605" s="49"/>
      <c r="G605" s="49" t="b">
        <v>0</v>
      </c>
      <c r="H605" s="49"/>
      <c r="I605" s="49"/>
      <c r="J605" s="49"/>
      <c r="K605" s="49"/>
      <c r="L605" s="49"/>
      <c r="M605" s="49"/>
      <c r="N605" s="49"/>
      <c r="O605" s="49"/>
      <c r="P605" s="49"/>
      <c r="Q605" s="49"/>
      <c r="R605" s="49"/>
      <c r="S605" s="49"/>
      <c r="T605" s="49"/>
      <c r="U605" s="49"/>
    </row>
    <row r="606" spans="1:21" ht="13">
      <c r="A606" s="49"/>
      <c r="B606" s="49"/>
      <c r="C606" s="49"/>
      <c r="D606" s="49"/>
      <c r="E606" s="47"/>
      <c r="F606" s="49"/>
      <c r="G606" s="49" t="b">
        <v>0</v>
      </c>
      <c r="H606" s="49"/>
      <c r="I606" s="49"/>
      <c r="J606" s="49"/>
      <c r="K606" s="49"/>
      <c r="L606" s="49"/>
      <c r="M606" s="49"/>
      <c r="N606" s="49"/>
      <c r="O606" s="49"/>
      <c r="P606" s="49"/>
      <c r="Q606" s="49"/>
      <c r="R606" s="49"/>
      <c r="S606" s="49"/>
      <c r="T606" s="49"/>
      <c r="U606" s="49"/>
    </row>
    <row r="607" spans="1:21" ht="13">
      <c r="A607" s="49"/>
      <c r="B607" s="49"/>
      <c r="C607" s="49"/>
      <c r="D607" s="49"/>
      <c r="E607" s="47"/>
      <c r="F607" s="49"/>
      <c r="G607" s="49" t="b">
        <v>0</v>
      </c>
      <c r="H607" s="49"/>
      <c r="I607" s="49"/>
      <c r="J607" s="49"/>
      <c r="K607" s="49"/>
      <c r="L607" s="49"/>
      <c r="M607" s="49"/>
      <c r="N607" s="49"/>
      <c r="O607" s="49"/>
      <c r="P607" s="49"/>
      <c r="Q607" s="49"/>
      <c r="R607" s="49"/>
      <c r="S607" s="49"/>
      <c r="T607" s="49"/>
      <c r="U607" s="49"/>
    </row>
    <row r="608" spans="1:21" ht="13">
      <c r="A608" s="49"/>
      <c r="B608" s="49"/>
      <c r="C608" s="49"/>
      <c r="D608" s="49"/>
      <c r="E608" s="47"/>
      <c r="F608" s="49"/>
      <c r="G608" s="49" t="b">
        <v>0</v>
      </c>
      <c r="H608" s="49"/>
      <c r="I608" s="49"/>
      <c r="J608" s="49"/>
      <c r="K608" s="49"/>
      <c r="L608" s="49"/>
      <c r="M608" s="49"/>
      <c r="N608" s="49"/>
      <c r="O608" s="49"/>
      <c r="P608" s="49"/>
      <c r="Q608" s="49"/>
      <c r="R608" s="49"/>
      <c r="S608" s="49"/>
      <c r="T608" s="49"/>
      <c r="U608" s="49"/>
    </row>
    <row r="609" spans="1:21" ht="13">
      <c r="A609" s="49"/>
      <c r="B609" s="49"/>
      <c r="C609" s="49"/>
      <c r="D609" s="49"/>
      <c r="E609" s="47"/>
      <c r="F609" s="49"/>
      <c r="G609" s="49" t="b">
        <v>0</v>
      </c>
      <c r="H609" s="49"/>
      <c r="I609" s="49"/>
      <c r="J609" s="49"/>
      <c r="K609" s="49"/>
      <c r="L609" s="49"/>
      <c r="M609" s="49"/>
      <c r="N609" s="49"/>
      <c r="O609" s="49"/>
      <c r="P609" s="49"/>
      <c r="Q609" s="49"/>
      <c r="R609" s="49"/>
      <c r="S609" s="49"/>
      <c r="T609" s="49"/>
      <c r="U609" s="49"/>
    </row>
    <row r="610" spans="1:21" ht="13">
      <c r="A610" s="49"/>
      <c r="B610" s="49"/>
      <c r="C610" s="49"/>
      <c r="D610" s="49"/>
      <c r="E610" s="47"/>
      <c r="F610" s="49"/>
      <c r="G610" s="49" t="b">
        <v>0</v>
      </c>
      <c r="H610" s="49"/>
      <c r="I610" s="49"/>
      <c r="J610" s="49"/>
      <c r="K610" s="49"/>
      <c r="L610" s="49"/>
      <c r="M610" s="49"/>
      <c r="N610" s="49"/>
      <c r="O610" s="49"/>
      <c r="P610" s="49"/>
      <c r="Q610" s="49"/>
      <c r="R610" s="49"/>
      <c r="S610" s="49"/>
      <c r="T610" s="49"/>
      <c r="U610" s="49"/>
    </row>
    <row r="611" spans="1:21" ht="13">
      <c r="A611" s="49"/>
      <c r="B611" s="49"/>
      <c r="C611" s="49"/>
      <c r="D611" s="49"/>
      <c r="E611" s="47"/>
      <c r="F611" s="49"/>
      <c r="G611" s="49" t="b">
        <v>0</v>
      </c>
      <c r="H611" s="49"/>
      <c r="I611" s="49"/>
      <c r="J611" s="49"/>
      <c r="K611" s="49"/>
      <c r="L611" s="49"/>
      <c r="M611" s="49"/>
      <c r="N611" s="49"/>
      <c r="O611" s="49"/>
      <c r="P611" s="49"/>
      <c r="Q611" s="49"/>
      <c r="R611" s="49"/>
      <c r="S611" s="49"/>
      <c r="T611" s="49"/>
      <c r="U611" s="49"/>
    </row>
    <row r="612" spans="1:21" ht="13">
      <c r="A612" s="49"/>
      <c r="B612" s="49"/>
      <c r="C612" s="49"/>
      <c r="D612" s="49"/>
      <c r="E612" s="47"/>
      <c r="F612" s="49"/>
      <c r="G612" s="49" t="b">
        <v>0</v>
      </c>
      <c r="H612" s="49"/>
      <c r="I612" s="49"/>
      <c r="J612" s="49"/>
      <c r="K612" s="49"/>
      <c r="L612" s="49"/>
      <c r="M612" s="49"/>
      <c r="N612" s="49"/>
      <c r="O612" s="49"/>
      <c r="P612" s="49"/>
      <c r="Q612" s="49"/>
      <c r="R612" s="49"/>
      <c r="S612" s="49"/>
      <c r="T612" s="49"/>
      <c r="U612" s="49"/>
    </row>
    <row r="613" spans="1:21" ht="13">
      <c r="A613" s="49"/>
      <c r="B613" s="49"/>
      <c r="C613" s="49"/>
      <c r="D613" s="49"/>
      <c r="E613" s="47"/>
      <c r="F613" s="49"/>
      <c r="G613" s="49" t="b">
        <v>0</v>
      </c>
      <c r="H613" s="49"/>
      <c r="I613" s="49"/>
      <c r="J613" s="49"/>
      <c r="K613" s="49"/>
      <c r="L613" s="49"/>
      <c r="M613" s="49"/>
      <c r="N613" s="49"/>
      <c r="O613" s="49"/>
      <c r="P613" s="49"/>
      <c r="Q613" s="49"/>
      <c r="R613" s="49"/>
      <c r="S613" s="49"/>
      <c r="T613" s="49"/>
      <c r="U613" s="49"/>
    </row>
    <row r="614" spans="1:21" ht="13">
      <c r="A614" s="49"/>
      <c r="B614" s="49"/>
      <c r="C614" s="49"/>
      <c r="D614" s="49"/>
      <c r="E614" s="47"/>
      <c r="F614" s="49"/>
      <c r="G614" s="49" t="b">
        <v>0</v>
      </c>
      <c r="H614" s="49"/>
      <c r="I614" s="49"/>
      <c r="J614" s="49"/>
      <c r="K614" s="49"/>
      <c r="L614" s="49"/>
      <c r="M614" s="49"/>
      <c r="N614" s="49"/>
      <c r="O614" s="49"/>
      <c r="P614" s="49"/>
      <c r="Q614" s="49"/>
      <c r="R614" s="49"/>
      <c r="S614" s="49"/>
      <c r="T614" s="49"/>
      <c r="U614" s="49"/>
    </row>
    <row r="615" spans="1:21" ht="13">
      <c r="A615" s="49"/>
      <c r="B615" s="49"/>
      <c r="C615" s="49"/>
      <c r="D615" s="49"/>
      <c r="E615" s="47"/>
      <c r="F615" s="49"/>
      <c r="G615" s="49" t="b">
        <v>0</v>
      </c>
      <c r="H615" s="49"/>
      <c r="I615" s="49"/>
      <c r="J615" s="49"/>
      <c r="K615" s="49"/>
      <c r="L615" s="49"/>
      <c r="M615" s="49"/>
      <c r="N615" s="49"/>
      <c r="O615" s="49"/>
      <c r="P615" s="49"/>
      <c r="Q615" s="49"/>
      <c r="R615" s="49"/>
      <c r="S615" s="49"/>
      <c r="T615" s="49"/>
      <c r="U615" s="49"/>
    </row>
    <row r="616" spans="1:21" ht="13">
      <c r="A616" s="49"/>
      <c r="B616" s="49"/>
      <c r="C616" s="49"/>
      <c r="D616" s="49"/>
      <c r="E616" s="47"/>
      <c r="F616" s="49"/>
      <c r="G616" s="49" t="b">
        <v>0</v>
      </c>
      <c r="H616" s="49"/>
      <c r="I616" s="49"/>
      <c r="J616" s="49"/>
      <c r="K616" s="49"/>
      <c r="L616" s="49"/>
      <c r="M616" s="49"/>
      <c r="N616" s="49"/>
      <c r="O616" s="49"/>
      <c r="P616" s="49"/>
      <c r="Q616" s="49"/>
      <c r="R616" s="49"/>
      <c r="S616" s="49"/>
      <c r="T616" s="49"/>
      <c r="U616" s="49"/>
    </row>
    <row r="617" spans="1:21" ht="13">
      <c r="A617" s="49"/>
      <c r="B617" s="49"/>
      <c r="C617" s="49"/>
      <c r="D617" s="49"/>
      <c r="E617" s="47"/>
      <c r="F617" s="49"/>
      <c r="G617" s="49" t="b">
        <v>0</v>
      </c>
      <c r="H617" s="49"/>
      <c r="I617" s="49"/>
      <c r="J617" s="49"/>
      <c r="K617" s="49"/>
      <c r="L617" s="49"/>
      <c r="M617" s="49"/>
      <c r="N617" s="49"/>
      <c r="O617" s="49"/>
      <c r="P617" s="49"/>
      <c r="Q617" s="49"/>
      <c r="R617" s="49"/>
      <c r="S617" s="49"/>
      <c r="T617" s="49"/>
      <c r="U617" s="49"/>
    </row>
    <row r="618" spans="1:21" ht="13">
      <c r="A618" s="49"/>
      <c r="B618" s="49"/>
      <c r="C618" s="49"/>
      <c r="D618" s="49"/>
      <c r="E618" s="47"/>
      <c r="F618" s="49"/>
      <c r="G618" s="49" t="b">
        <v>0</v>
      </c>
      <c r="H618" s="49"/>
      <c r="I618" s="49"/>
      <c r="J618" s="49"/>
      <c r="K618" s="49"/>
      <c r="L618" s="49"/>
      <c r="M618" s="49"/>
      <c r="N618" s="49"/>
      <c r="O618" s="49"/>
      <c r="P618" s="49"/>
      <c r="Q618" s="49"/>
      <c r="R618" s="49"/>
      <c r="S618" s="49"/>
      <c r="T618" s="49"/>
      <c r="U618" s="49"/>
    </row>
    <row r="619" spans="1:21" ht="13">
      <c r="A619" s="49"/>
      <c r="B619" s="49"/>
      <c r="C619" s="49"/>
      <c r="D619" s="49"/>
      <c r="E619" s="47"/>
      <c r="F619" s="49"/>
      <c r="G619" s="49" t="b">
        <v>0</v>
      </c>
      <c r="H619" s="49"/>
      <c r="I619" s="49"/>
      <c r="J619" s="49"/>
      <c r="K619" s="49"/>
      <c r="L619" s="49"/>
      <c r="M619" s="49"/>
      <c r="N619" s="49"/>
      <c r="O619" s="49"/>
      <c r="P619" s="49"/>
      <c r="Q619" s="49"/>
      <c r="R619" s="49"/>
      <c r="S619" s="49"/>
      <c r="T619" s="49"/>
      <c r="U619" s="49"/>
    </row>
    <row r="620" spans="1:21" ht="13">
      <c r="A620" s="49"/>
      <c r="B620" s="49"/>
      <c r="C620" s="49"/>
      <c r="D620" s="49"/>
      <c r="E620" s="47"/>
      <c r="F620" s="49"/>
      <c r="G620" s="49" t="b">
        <v>0</v>
      </c>
      <c r="H620" s="49"/>
      <c r="I620" s="49"/>
      <c r="J620" s="49"/>
      <c r="K620" s="49"/>
      <c r="L620" s="49"/>
      <c r="M620" s="49"/>
      <c r="N620" s="49"/>
      <c r="O620" s="49"/>
      <c r="P620" s="49"/>
      <c r="Q620" s="49"/>
      <c r="R620" s="49"/>
      <c r="S620" s="49"/>
      <c r="T620" s="49"/>
      <c r="U620" s="49"/>
    </row>
    <row r="621" spans="1:21" ht="13">
      <c r="A621" s="49"/>
      <c r="B621" s="49"/>
      <c r="C621" s="49"/>
      <c r="D621" s="49"/>
      <c r="E621" s="47"/>
      <c r="F621" s="49"/>
      <c r="G621" s="49" t="b">
        <v>0</v>
      </c>
      <c r="H621" s="49"/>
      <c r="I621" s="49"/>
      <c r="J621" s="49"/>
      <c r="K621" s="49"/>
      <c r="L621" s="49"/>
      <c r="M621" s="49"/>
      <c r="N621" s="49"/>
      <c r="O621" s="49"/>
      <c r="P621" s="49"/>
      <c r="Q621" s="49"/>
      <c r="R621" s="49"/>
      <c r="S621" s="49"/>
      <c r="T621" s="49"/>
      <c r="U621" s="49"/>
    </row>
    <row r="622" spans="1:21" ht="13">
      <c r="A622" s="49"/>
      <c r="B622" s="49"/>
      <c r="C622" s="49"/>
      <c r="D622" s="49"/>
      <c r="E622" s="47"/>
      <c r="F622" s="49"/>
      <c r="G622" s="49" t="b">
        <v>0</v>
      </c>
      <c r="H622" s="49"/>
      <c r="I622" s="49"/>
      <c r="J622" s="49"/>
      <c r="K622" s="49"/>
      <c r="L622" s="49"/>
      <c r="M622" s="49"/>
      <c r="N622" s="49"/>
      <c r="O622" s="49"/>
      <c r="P622" s="49"/>
      <c r="Q622" s="49"/>
      <c r="R622" s="49"/>
      <c r="S622" s="49"/>
      <c r="T622" s="49"/>
      <c r="U622" s="49"/>
    </row>
    <row r="623" spans="1:21" ht="13">
      <c r="A623" s="49"/>
      <c r="B623" s="49"/>
      <c r="C623" s="49"/>
      <c r="D623" s="49"/>
      <c r="E623" s="47"/>
      <c r="F623" s="49"/>
      <c r="G623" s="49" t="b">
        <v>0</v>
      </c>
      <c r="H623" s="49"/>
      <c r="I623" s="49"/>
      <c r="J623" s="49"/>
      <c r="K623" s="49"/>
      <c r="L623" s="49"/>
      <c r="M623" s="49"/>
      <c r="N623" s="49"/>
      <c r="O623" s="49"/>
      <c r="P623" s="49"/>
      <c r="Q623" s="49"/>
      <c r="R623" s="49"/>
      <c r="S623" s="49"/>
      <c r="T623" s="49"/>
      <c r="U623" s="49"/>
    </row>
    <row r="624" spans="1:21" ht="13">
      <c r="A624" s="49"/>
      <c r="B624" s="49"/>
      <c r="C624" s="49"/>
      <c r="D624" s="49"/>
      <c r="E624" s="47"/>
      <c r="F624" s="49"/>
      <c r="G624" s="49" t="b">
        <v>0</v>
      </c>
      <c r="H624" s="49"/>
      <c r="I624" s="49"/>
      <c r="J624" s="49"/>
      <c r="K624" s="49"/>
      <c r="L624" s="49"/>
      <c r="M624" s="49"/>
      <c r="N624" s="49"/>
      <c r="O624" s="49"/>
      <c r="P624" s="49"/>
      <c r="Q624" s="49"/>
      <c r="R624" s="49"/>
      <c r="S624" s="49"/>
      <c r="T624" s="49"/>
      <c r="U624" s="49"/>
    </row>
    <row r="625" spans="1:21" ht="13">
      <c r="A625" s="49"/>
      <c r="B625" s="49"/>
      <c r="C625" s="49"/>
      <c r="D625" s="49"/>
      <c r="E625" s="47"/>
      <c r="F625" s="49"/>
      <c r="G625" s="49" t="b">
        <v>0</v>
      </c>
      <c r="H625" s="49"/>
      <c r="I625" s="49"/>
      <c r="J625" s="49"/>
      <c r="K625" s="49"/>
      <c r="L625" s="49"/>
      <c r="M625" s="49"/>
      <c r="N625" s="49"/>
      <c r="O625" s="49"/>
      <c r="P625" s="49"/>
      <c r="Q625" s="49"/>
      <c r="R625" s="49"/>
      <c r="S625" s="49"/>
      <c r="T625" s="49"/>
      <c r="U625" s="49"/>
    </row>
    <row r="626" spans="1:21" ht="13">
      <c r="A626" s="49"/>
      <c r="B626" s="49"/>
      <c r="C626" s="49"/>
      <c r="D626" s="49"/>
      <c r="E626" s="47"/>
      <c r="F626" s="49"/>
      <c r="G626" s="49" t="b">
        <v>0</v>
      </c>
      <c r="H626" s="49"/>
      <c r="I626" s="49"/>
      <c r="J626" s="49"/>
      <c r="K626" s="49"/>
      <c r="L626" s="49"/>
      <c r="M626" s="49"/>
      <c r="N626" s="49"/>
      <c r="O626" s="49"/>
      <c r="P626" s="49"/>
      <c r="Q626" s="49"/>
      <c r="R626" s="49"/>
      <c r="S626" s="49"/>
      <c r="T626" s="49"/>
      <c r="U626" s="49"/>
    </row>
    <row r="627" spans="1:21" ht="13">
      <c r="A627" s="49"/>
      <c r="B627" s="49"/>
      <c r="C627" s="49"/>
      <c r="D627" s="49"/>
      <c r="E627" s="47"/>
      <c r="F627" s="49"/>
      <c r="G627" s="49" t="b">
        <v>0</v>
      </c>
      <c r="H627" s="49"/>
      <c r="I627" s="49"/>
      <c r="J627" s="49"/>
      <c r="K627" s="49"/>
      <c r="L627" s="49"/>
      <c r="M627" s="49"/>
      <c r="N627" s="49"/>
      <c r="O627" s="49"/>
      <c r="P627" s="49"/>
      <c r="Q627" s="49"/>
      <c r="R627" s="49"/>
      <c r="S627" s="49"/>
      <c r="T627" s="49"/>
      <c r="U627" s="49"/>
    </row>
    <row r="628" spans="1:21" ht="13">
      <c r="A628" s="49"/>
      <c r="B628" s="49"/>
      <c r="C628" s="49"/>
      <c r="D628" s="49"/>
      <c r="E628" s="47"/>
      <c r="F628" s="49"/>
      <c r="G628" s="49" t="b">
        <v>0</v>
      </c>
      <c r="H628" s="49"/>
      <c r="I628" s="49"/>
      <c r="J628" s="49"/>
      <c r="K628" s="49"/>
      <c r="L628" s="49"/>
      <c r="M628" s="49"/>
      <c r="N628" s="49"/>
      <c r="O628" s="49"/>
      <c r="P628" s="49"/>
      <c r="Q628" s="49"/>
      <c r="R628" s="49"/>
      <c r="S628" s="49"/>
      <c r="T628" s="49"/>
      <c r="U628" s="49"/>
    </row>
    <row r="629" spans="1:21" ht="13">
      <c r="A629" s="49"/>
      <c r="B629" s="49"/>
      <c r="C629" s="49"/>
      <c r="D629" s="49"/>
      <c r="E629" s="47"/>
      <c r="F629" s="49"/>
      <c r="G629" s="49" t="b">
        <v>0</v>
      </c>
      <c r="H629" s="49"/>
      <c r="I629" s="49"/>
      <c r="J629" s="49"/>
      <c r="K629" s="49"/>
      <c r="L629" s="49"/>
      <c r="M629" s="49"/>
      <c r="N629" s="49"/>
      <c r="O629" s="49"/>
      <c r="P629" s="49"/>
      <c r="Q629" s="49"/>
      <c r="R629" s="49"/>
      <c r="S629" s="49"/>
      <c r="T629" s="49"/>
      <c r="U629" s="49"/>
    </row>
    <row r="630" spans="1:21" ht="13">
      <c r="A630" s="49"/>
      <c r="B630" s="49"/>
      <c r="C630" s="49"/>
      <c r="D630" s="49"/>
      <c r="E630" s="47"/>
      <c r="F630" s="49"/>
      <c r="G630" s="49" t="b">
        <v>0</v>
      </c>
      <c r="H630" s="49"/>
      <c r="I630" s="49"/>
      <c r="J630" s="49"/>
      <c r="K630" s="49"/>
      <c r="L630" s="49"/>
      <c r="M630" s="49"/>
      <c r="N630" s="49"/>
      <c r="O630" s="49"/>
      <c r="P630" s="49"/>
      <c r="Q630" s="49"/>
      <c r="R630" s="49"/>
      <c r="S630" s="49"/>
      <c r="T630" s="49"/>
      <c r="U630" s="49"/>
    </row>
    <row r="631" spans="1:21" ht="13">
      <c r="A631" s="49"/>
      <c r="B631" s="49"/>
      <c r="C631" s="49"/>
      <c r="D631" s="49"/>
      <c r="E631" s="47"/>
      <c r="F631" s="49"/>
      <c r="G631" s="49" t="b">
        <v>0</v>
      </c>
      <c r="H631" s="49"/>
      <c r="I631" s="49"/>
      <c r="J631" s="49"/>
      <c r="K631" s="49"/>
      <c r="L631" s="49"/>
      <c r="M631" s="49"/>
      <c r="N631" s="49"/>
      <c r="O631" s="49"/>
      <c r="P631" s="49"/>
      <c r="Q631" s="49"/>
      <c r="R631" s="49"/>
      <c r="S631" s="49"/>
      <c r="T631" s="49"/>
      <c r="U631" s="49"/>
    </row>
    <row r="632" spans="1:21" ht="13">
      <c r="A632" s="49"/>
      <c r="B632" s="49"/>
      <c r="C632" s="49"/>
      <c r="D632" s="49"/>
      <c r="E632" s="47"/>
      <c r="F632" s="49"/>
      <c r="G632" s="49" t="b">
        <v>0</v>
      </c>
      <c r="H632" s="49"/>
      <c r="I632" s="49"/>
      <c r="J632" s="49"/>
      <c r="K632" s="49"/>
      <c r="L632" s="49"/>
      <c r="M632" s="49"/>
      <c r="N632" s="49"/>
      <c r="O632" s="49"/>
      <c r="P632" s="49"/>
      <c r="Q632" s="49"/>
      <c r="R632" s="49"/>
      <c r="S632" s="49"/>
      <c r="T632" s="49"/>
      <c r="U632" s="49"/>
    </row>
    <row r="633" spans="1:21" ht="13">
      <c r="A633" s="49"/>
      <c r="B633" s="49"/>
      <c r="C633" s="49"/>
      <c r="D633" s="49"/>
      <c r="E633" s="47"/>
      <c r="F633" s="49"/>
      <c r="G633" s="49" t="b">
        <v>0</v>
      </c>
      <c r="H633" s="49"/>
      <c r="I633" s="49"/>
      <c r="J633" s="49"/>
      <c r="K633" s="49"/>
      <c r="L633" s="49"/>
      <c r="M633" s="49"/>
      <c r="N633" s="49"/>
      <c r="O633" s="49"/>
      <c r="P633" s="49"/>
      <c r="Q633" s="49"/>
      <c r="R633" s="49"/>
      <c r="S633" s="49"/>
      <c r="T633" s="49"/>
      <c r="U633" s="49"/>
    </row>
    <row r="634" spans="1:21" ht="13">
      <c r="A634" s="49"/>
      <c r="B634" s="49"/>
      <c r="C634" s="49"/>
      <c r="D634" s="49"/>
      <c r="E634" s="47"/>
      <c r="F634" s="49"/>
      <c r="G634" s="49" t="b">
        <v>0</v>
      </c>
      <c r="H634" s="49"/>
      <c r="I634" s="49"/>
      <c r="J634" s="49"/>
      <c r="K634" s="49"/>
      <c r="L634" s="49"/>
      <c r="M634" s="49"/>
      <c r="N634" s="49"/>
      <c r="O634" s="49"/>
      <c r="P634" s="49"/>
      <c r="Q634" s="49"/>
      <c r="R634" s="49"/>
      <c r="S634" s="49"/>
      <c r="T634" s="49"/>
      <c r="U634" s="49"/>
    </row>
    <row r="635" spans="1:21" ht="13">
      <c r="A635" s="49"/>
      <c r="B635" s="49"/>
      <c r="C635" s="49"/>
      <c r="D635" s="49"/>
      <c r="E635" s="47"/>
      <c r="F635" s="49"/>
      <c r="G635" s="49" t="b">
        <v>0</v>
      </c>
      <c r="H635" s="49"/>
      <c r="I635" s="49"/>
      <c r="J635" s="49"/>
      <c r="K635" s="49"/>
      <c r="L635" s="49"/>
      <c r="M635" s="49"/>
      <c r="N635" s="49"/>
      <c r="O635" s="49"/>
      <c r="P635" s="49"/>
      <c r="Q635" s="49"/>
      <c r="R635" s="49"/>
      <c r="S635" s="49"/>
      <c r="T635" s="49"/>
      <c r="U635" s="49"/>
    </row>
    <row r="636" spans="1:21" ht="13">
      <c r="A636" s="49"/>
      <c r="B636" s="49"/>
      <c r="C636" s="49"/>
      <c r="D636" s="49"/>
      <c r="E636" s="47"/>
      <c r="F636" s="49"/>
      <c r="G636" s="49" t="b">
        <v>0</v>
      </c>
      <c r="H636" s="49"/>
      <c r="I636" s="49"/>
      <c r="J636" s="49"/>
      <c r="K636" s="49"/>
      <c r="L636" s="49"/>
      <c r="M636" s="49"/>
      <c r="N636" s="49"/>
      <c r="O636" s="49"/>
      <c r="P636" s="49"/>
      <c r="Q636" s="49"/>
      <c r="R636" s="49"/>
      <c r="S636" s="49"/>
      <c r="T636" s="49"/>
      <c r="U636" s="49"/>
    </row>
    <row r="637" spans="1:21" ht="13">
      <c r="A637" s="49"/>
      <c r="B637" s="49"/>
      <c r="C637" s="49"/>
      <c r="D637" s="49"/>
      <c r="E637" s="47"/>
      <c r="F637" s="49"/>
      <c r="G637" s="49" t="b">
        <v>0</v>
      </c>
      <c r="H637" s="49"/>
      <c r="I637" s="49"/>
      <c r="J637" s="49"/>
      <c r="K637" s="49"/>
      <c r="L637" s="49"/>
      <c r="M637" s="49"/>
      <c r="N637" s="49"/>
      <c r="O637" s="49"/>
      <c r="P637" s="49"/>
      <c r="Q637" s="49"/>
      <c r="R637" s="49"/>
      <c r="S637" s="49"/>
      <c r="T637" s="49"/>
      <c r="U637" s="49"/>
    </row>
    <row r="638" spans="1:21" ht="13">
      <c r="A638" s="49"/>
      <c r="B638" s="49"/>
      <c r="C638" s="49"/>
      <c r="D638" s="49"/>
      <c r="E638" s="47"/>
      <c r="F638" s="49"/>
      <c r="G638" s="49" t="b">
        <v>0</v>
      </c>
      <c r="H638" s="49"/>
      <c r="I638" s="49"/>
      <c r="J638" s="49"/>
      <c r="K638" s="49"/>
      <c r="L638" s="49"/>
      <c r="M638" s="49"/>
      <c r="N638" s="49"/>
      <c r="O638" s="49"/>
      <c r="P638" s="49"/>
      <c r="Q638" s="49"/>
      <c r="R638" s="49"/>
      <c r="S638" s="49"/>
      <c r="T638" s="49"/>
      <c r="U638" s="49"/>
    </row>
    <row r="639" spans="1:21" ht="13">
      <c r="A639" s="49"/>
      <c r="B639" s="49"/>
      <c r="C639" s="49"/>
      <c r="D639" s="49"/>
      <c r="E639" s="47"/>
      <c r="F639" s="49"/>
      <c r="G639" s="49" t="b">
        <v>0</v>
      </c>
      <c r="H639" s="49"/>
      <c r="I639" s="49"/>
      <c r="J639" s="49"/>
      <c r="K639" s="49"/>
      <c r="L639" s="49"/>
      <c r="M639" s="49"/>
      <c r="N639" s="49"/>
      <c r="O639" s="49"/>
      <c r="P639" s="49"/>
      <c r="Q639" s="49"/>
      <c r="R639" s="49"/>
      <c r="S639" s="49"/>
      <c r="T639" s="49"/>
      <c r="U639" s="49"/>
    </row>
    <row r="640" spans="1:21" ht="13">
      <c r="A640" s="49"/>
      <c r="B640" s="49"/>
      <c r="C640" s="49"/>
      <c r="D640" s="49"/>
      <c r="E640" s="47"/>
      <c r="F640" s="49"/>
      <c r="G640" s="49" t="b">
        <v>0</v>
      </c>
      <c r="H640" s="49"/>
      <c r="I640" s="49"/>
      <c r="J640" s="49"/>
      <c r="K640" s="49"/>
      <c r="L640" s="49"/>
      <c r="M640" s="49"/>
      <c r="N640" s="49"/>
      <c r="O640" s="49"/>
      <c r="P640" s="49"/>
      <c r="Q640" s="49"/>
      <c r="R640" s="49"/>
      <c r="S640" s="49"/>
      <c r="T640" s="49"/>
      <c r="U640" s="49"/>
    </row>
    <row r="641" spans="1:21" ht="13">
      <c r="A641" s="49"/>
      <c r="B641" s="49"/>
      <c r="C641" s="49"/>
      <c r="D641" s="49"/>
      <c r="E641" s="47"/>
      <c r="F641" s="49"/>
      <c r="G641" s="49" t="b">
        <v>0</v>
      </c>
      <c r="H641" s="49"/>
      <c r="I641" s="49"/>
      <c r="J641" s="49"/>
      <c r="K641" s="49"/>
      <c r="L641" s="49"/>
      <c r="M641" s="49"/>
      <c r="N641" s="49"/>
      <c r="O641" s="49"/>
      <c r="P641" s="49"/>
      <c r="Q641" s="49"/>
      <c r="R641" s="49"/>
      <c r="S641" s="49"/>
      <c r="T641" s="49"/>
      <c r="U641" s="49"/>
    </row>
    <row r="642" spans="1:21" ht="13">
      <c r="A642" s="49"/>
      <c r="B642" s="49"/>
      <c r="C642" s="49"/>
      <c r="D642" s="49"/>
      <c r="E642" s="47"/>
      <c r="F642" s="49"/>
      <c r="G642" s="49" t="b">
        <v>0</v>
      </c>
      <c r="H642" s="49"/>
      <c r="I642" s="49"/>
      <c r="J642" s="49"/>
      <c r="K642" s="49"/>
      <c r="L642" s="49"/>
      <c r="M642" s="49"/>
      <c r="N642" s="49"/>
      <c r="O642" s="49"/>
      <c r="P642" s="49"/>
      <c r="Q642" s="49"/>
      <c r="R642" s="49"/>
      <c r="S642" s="49"/>
      <c r="T642" s="49"/>
      <c r="U642" s="49"/>
    </row>
    <row r="643" spans="1:21" ht="13">
      <c r="A643" s="49"/>
      <c r="B643" s="49"/>
      <c r="C643" s="49"/>
      <c r="D643" s="49"/>
      <c r="E643" s="47"/>
      <c r="F643" s="49"/>
      <c r="G643" s="49" t="b">
        <v>0</v>
      </c>
      <c r="H643" s="49"/>
      <c r="I643" s="49"/>
      <c r="J643" s="49"/>
      <c r="K643" s="49"/>
      <c r="L643" s="49"/>
      <c r="M643" s="49"/>
      <c r="N643" s="49"/>
      <c r="O643" s="49"/>
      <c r="P643" s="49"/>
      <c r="Q643" s="49"/>
      <c r="R643" s="49"/>
      <c r="S643" s="49"/>
      <c r="T643" s="49"/>
      <c r="U643" s="49"/>
    </row>
    <row r="644" spans="1:21" ht="13">
      <c r="A644" s="49"/>
      <c r="B644" s="49"/>
      <c r="C644" s="49"/>
      <c r="D644" s="49"/>
      <c r="E644" s="47"/>
      <c r="F644" s="49"/>
      <c r="G644" s="49" t="b">
        <v>0</v>
      </c>
      <c r="H644" s="49"/>
      <c r="I644" s="49"/>
      <c r="J644" s="49"/>
      <c r="K644" s="49"/>
      <c r="L644" s="49"/>
      <c r="M644" s="49"/>
      <c r="N644" s="49"/>
      <c r="O644" s="49"/>
      <c r="P644" s="49"/>
      <c r="Q644" s="49"/>
      <c r="R644" s="49"/>
      <c r="S644" s="49"/>
      <c r="T644" s="49"/>
      <c r="U644" s="49"/>
    </row>
    <row r="645" spans="1:21" ht="13">
      <c r="A645" s="49"/>
      <c r="B645" s="49"/>
      <c r="C645" s="49"/>
      <c r="D645" s="49"/>
      <c r="E645" s="47"/>
      <c r="F645" s="49"/>
      <c r="G645" s="49" t="b">
        <v>0</v>
      </c>
      <c r="H645" s="49"/>
      <c r="I645" s="49"/>
      <c r="J645" s="49"/>
      <c r="K645" s="49"/>
      <c r="L645" s="49"/>
      <c r="M645" s="49"/>
      <c r="N645" s="49"/>
      <c r="O645" s="49"/>
      <c r="P645" s="49"/>
      <c r="Q645" s="49"/>
      <c r="R645" s="49"/>
      <c r="S645" s="49"/>
      <c r="T645" s="49"/>
      <c r="U645" s="49"/>
    </row>
    <row r="646" spans="1:21" ht="13">
      <c r="A646" s="49"/>
      <c r="B646" s="49"/>
      <c r="C646" s="49"/>
      <c r="D646" s="49"/>
      <c r="E646" s="47"/>
      <c r="F646" s="49"/>
      <c r="G646" s="49" t="b">
        <v>0</v>
      </c>
      <c r="H646" s="49"/>
      <c r="I646" s="49"/>
      <c r="J646" s="49"/>
      <c r="K646" s="49"/>
      <c r="L646" s="49"/>
      <c r="M646" s="49"/>
      <c r="N646" s="49"/>
      <c r="O646" s="49"/>
      <c r="P646" s="49"/>
      <c r="Q646" s="49"/>
      <c r="R646" s="49"/>
      <c r="S646" s="49"/>
      <c r="T646" s="49"/>
      <c r="U646" s="49"/>
    </row>
    <row r="647" spans="1:21" ht="13">
      <c r="A647" s="49"/>
      <c r="B647" s="49"/>
      <c r="C647" s="49"/>
      <c r="D647" s="49"/>
      <c r="E647" s="47"/>
      <c r="F647" s="49"/>
      <c r="G647" s="49" t="b">
        <v>0</v>
      </c>
      <c r="H647" s="49"/>
      <c r="I647" s="49"/>
      <c r="J647" s="49"/>
      <c r="K647" s="49"/>
      <c r="L647" s="49"/>
      <c r="M647" s="49"/>
      <c r="N647" s="49"/>
      <c r="O647" s="49"/>
      <c r="P647" s="49"/>
      <c r="Q647" s="49"/>
      <c r="R647" s="49"/>
      <c r="S647" s="49"/>
      <c r="T647" s="49"/>
      <c r="U647" s="49"/>
    </row>
    <row r="648" spans="1:21" ht="13">
      <c r="A648" s="49"/>
      <c r="B648" s="49"/>
      <c r="C648" s="49"/>
      <c r="D648" s="49"/>
      <c r="E648" s="47"/>
      <c r="F648" s="49"/>
      <c r="G648" s="49" t="b">
        <v>0</v>
      </c>
      <c r="H648" s="49"/>
      <c r="I648" s="49"/>
      <c r="J648" s="49"/>
      <c r="K648" s="49"/>
      <c r="L648" s="49"/>
      <c r="M648" s="49"/>
      <c r="N648" s="49"/>
      <c r="O648" s="49"/>
      <c r="P648" s="49"/>
      <c r="Q648" s="49"/>
      <c r="R648" s="49"/>
      <c r="S648" s="49"/>
      <c r="T648" s="49"/>
      <c r="U648" s="49"/>
    </row>
    <row r="649" spans="1:21" ht="13">
      <c r="A649" s="49"/>
      <c r="B649" s="49"/>
      <c r="C649" s="49"/>
      <c r="D649" s="49"/>
      <c r="E649" s="47"/>
      <c r="F649" s="49"/>
      <c r="G649" s="49" t="b">
        <v>0</v>
      </c>
      <c r="H649" s="49"/>
      <c r="I649" s="49"/>
      <c r="J649" s="49"/>
      <c r="K649" s="49"/>
      <c r="L649" s="49"/>
      <c r="M649" s="49"/>
      <c r="N649" s="49"/>
      <c r="O649" s="49"/>
      <c r="P649" s="49"/>
      <c r="Q649" s="49"/>
      <c r="R649" s="49"/>
      <c r="S649" s="49"/>
      <c r="T649" s="49"/>
      <c r="U649" s="49"/>
    </row>
    <row r="650" spans="1:21" ht="13">
      <c r="A650" s="49"/>
      <c r="B650" s="49"/>
      <c r="C650" s="49"/>
      <c r="D650" s="49"/>
      <c r="E650" s="47"/>
      <c r="F650" s="49"/>
      <c r="G650" s="49" t="b">
        <v>0</v>
      </c>
      <c r="H650" s="49"/>
      <c r="I650" s="49"/>
      <c r="J650" s="49"/>
      <c r="K650" s="49"/>
      <c r="L650" s="49"/>
      <c r="M650" s="49"/>
      <c r="N650" s="49"/>
      <c r="O650" s="49"/>
      <c r="P650" s="49"/>
      <c r="Q650" s="49"/>
      <c r="R650" s="49"/>
      <c r="S650" s="49"/>
      <c r="T650" s="49"/>
      <c r="U650" s="49"/>
    </row>
    <row r="651" spans="1:21" ht="13">
      <c r="A651" s="49"/>
      <c r="B651" s="49"/>
      <c r="C651" s="49"/>
      <c r="D651" s="49"/>
      <c r="E651" s="47"/>
      <c r="F651" s="49"/>
      <c r="G651" s="49" t="b">
        <v>0</v>
      </c>
      <c r="H651" s="49"/>
      <c r="I651" s="49"/>
      <c r="J651" s="49"/>
      <c r="K651" s="49"/>
      <c r="L651" s="49"/>
      <c r="M651" s="49"/>
      <c r="N651" s="49"/>
      <c r="O651" s="49"/>
      <c r="P651" s="49"/>
      <c r="Q651" s="49"/>
      <c r="R651" s="49"/>
      <c r="S651" s="49"/>
      <c r="T651" s="49"/>
      <c r="U651" s="49"/>
    </row>
    <row r="652" spans="1:21" ht="13">
      <c r="A652" s="49"/>
      <c r="B652" s="49"/>
      <c r="C652" s="49"/>
      <c r="D652" s="49"/>
      <c r="E652" s="47"/>
      <c r="F652" s="49"/>
      <c r="G652" s="49" t="b">
        <v>0</v>
      </c>
      <c r="H652" s="49"/>
      <c r="I652" s="49"/>
      <c r="J652" s="49"/>
      <c r="K652" s="49"/>
      <c r="L652" s="49"/>
      <c r="M652" s="49"/>
      <c r="N652" s="49"/>
      <c r="O652" s="49"/>
      <c r="P652" s="49"/>
      <c r="Q652" s="49"/>
      <c r="R652" s="49"/>
      <c r="S652" s="49"/>
      <c r="T652" s="49"/>
      <c r="U652" s="49"/>
    </row>
    <row r="653" spans="1:21" ht="13">
      <c r="A653" s="49"/>
      <c r="B653" s="49"/>
      <c r="C653" s="49"/>
      <c r="D653" s="49"/>
      <c r="E653" s="47"/>
      <c r="F653" s="49"/>
      <c r="G653" s="49" t="b">
        <v>0</v>
      </c>
      <c r="H653" s="49"/>
      <c r="I653" s="49"/>
      <c r="J653" s="49"/>
      <c r="K653" s="49"/>
      <c r="L653" s="49"/>
      <c r="M653" s="49"/>
      <c r="N653" s="49"/>
      <c r="O653" s="49"/>
      <c r="P653" s="49"/>
      <c r="Q653" s="49"/>
      <c r="R653" s="49"/>
      <c r="S653" s="49"/>
      <c r="T653" s="49"/>
      <c r="U653" s="49"/>
    </row>
    <row r="654" spans="1:21" ht="13">
      <c r="A654" s="49"/>
      <c r="B654" s="49"/>
      <c r="C654" s="49"/>
      <c r="D654" s="49"/>
      <c r="E654" s="47"/>
      <c r="F654" s="49"/>
      <c r="G654" s="49" t="b">
        <v>0</v>
      </c>
      <c r="H654" s="49"/>
      <c r="I654" s="49"/>
      <c r="J654" s="49"/>
      <c r="K654" s="49"/>
      <c r="L654" s="49"/>
      <c r="M654" s="49"/>
      <c r="N654" s="49"/>
      <c r="O654" s="49"/>
      <c r="P654" s="49"/>
      <c r="Q654" s="49"/>
      <c r="R654" s="49"/>
      <c r="S654" s="49"/>
      <c r="T654" s="49"/>
      <c r="U654" s="49"/>
    </row>
    <row r="655" spans="1:21" ht="13">
      <c r="A655" s="49"/>
      <c r="B655" s="49"/>
      <c r="C655" s="49"/>
      <c r="D655" s="49"/>
      <c r="E655" s="47"/>
      <c r="F655" s="49"/>
      <c r="G655" s="49" t="b">
        <v>0</v>
      </c>
      <c r="H655" s="49"/>
      <c r="I655" s="49"/>
      <c r="J655" s="49"/>
      <c r="K655" s="49"/>
      <c r="L655" s="49"/>
      <c r="M655" s="49"/>
      <c r="N655" s="49"/>
      <c r="O655" s="49"/>
      <c r="P655" s="49"/>
      <c r="Q655" s="49"/>
      <c r="R655" s="49"/>
      <c r="S655" s="49"/>
      <c r="T655" s="49"/>
      <c r="U655" s="49"/>
    </row>
    <row r="656" spans="1:21" ht="13">
      <c r="A656" s="49"/>
      <c r="B656" s="49"/>
      <c r="C656" s="49"/>
      <c r="D656" s="49"/>
      <c r="E656" s="47"/>
      <c r="F656" s="49"/>
      <c r="G656" s="49" t="b">
        <v>0</v>
      </c>
      <c r="H656" s="49"/>
      <c r="I656" s="49"/>
      <c r="J656" s="49"/>
      <c r="K656" s="49"/>
      <c r="L656" s="49"/>
      <c r="M656" s="49"/>
      <c r="N656" s="49"/>
      <c r="O656" s="49"/>
      <c r="P656" s="49"/>
      <c r="Q656" s="49"/>
      <c r="R656" s="49"/>
      <c r="S656" s="49"/>
      <c r="T656" s="49"/>
      <c r="U656" s="49"/>
    </row>
    <row r="657" spans="1:21" ht="13">
      <c r="A657" s="49"/>
      <c r="B657" s="49"/>
      <c r="C657" s="49"/>
      <c r="D657" s="49"/>
      <c r="E657" s="47"/>
      <c r="F657" s="49"/>
      <c r="G657" s="49" t="b">
        <v>0</v>
      </c>
      <c r="H657" s="49"/>
      <c r="I657" s="49"/>
      <c r="J657" s="49"/>
      <c r="K657" s="49"/>
      <c r="L657" s="49"/>
      <c r="M657" s="49"/>
      <c r="N657" s="49"/>
      <c r="O657" s="49"/>
      <c r="P657" s="49"/>
      <c r="Q657" s="49"/>
      <c r="R657" s="49"/>
      <c r="S657" s="49"/>
      <c r="T657" s="49"/>
      <c r="U657" s="49"/>
    </row>
    <row r="658" spans="1:21" ht="13">
      <c r="A658" s="49"/>
      <c r="B658" s="49"/>
      <c r="C658" s="49"/>
      <c r="D658" s="49"/>
      <c r="E658" s="47"/>
      <c r="F658" s="49"/>
      <c r="G658" s="49" t="b">
        <v>0</v>
      </c>
      <c r="H658" s="49"/>
      <c r="I658" s="49"/>
      <c r="J658" s="49"/>
      <c r="K658" s="49"/>
      <c r="L658" s="49"/>
      <c r="M658" s="49"/>
      <c r="N658" s="49"/>
      <c r="O658" s="49"/>
      <c r="P658" s="49"/>
      <c r="Q658" s="49"/>
      <c r="R658" s="49"/>
      <c r="S658" s="49"/>
      <c r="T658" s="49"/>
      <c r="U658" s="49"/>
    </row>
    <row r="659" spans="1:21" ht="13">
      <c r="A659" s="49"/>
      <c r="B659" s="49"/>
      <c r="C659" s="49"/>
      <c r="D659" s="49"/>
      <c r="E659" s="47"/>
      <c r="F659" s="49"/>
      <c r="G659" s="49" t="b">
        <v>0</v>
      </c>
      <c r="H659" s="49"/>
      <c r="I659" s="49"/>
      <c r="J659" s="49"/>
      <c r="K659" s="49"/>
      <c r="L659" s="49"/>
      <c r="M659" s="49"/>
      <c r="N659" s="49"/>
      <c r="O659" s="49"/>
      <c r="P659" s="49"/>
      <c r="Q659" s="49"/>
      <c r="R659" s="49"/>
      <c r="S659" s="49"/>
      <c r="T659" s="49"/>
      <c r="U659" s="49"/>
    </row>
    <row r="660" spans="1:21" ht="13">
      <c r="A660" s="49"/>
      <c r="B660" s="49"/>
      <c r="C660" s="49"/>
      <c r="D660" s="49"/>
      <c r="E660" s="47"/>
      <c r="F660" s="49"/>
      <c r="G660" s="49" t="b">
        <v>0</v>
      </c>
      <c r="H660" s="49"/>
      <c r="I660" s="49"/>
      <c r="J660" s="49"/>
      <c r="K660" s="49"/>
      <c r="L660" s="49"/>
      <c r="M660" s="49"/>
      <c r="N660" s="49"/>
      <c r="O660" s="49"/>
      <c r="P660" s="49"/>
      <c r="Q660" s="49"/>
      <c r="R660" s="49"/>
      <c r="S660" s="49"/>
      <c r="T660" s="49"/>
      <c r="U660" s="49"/>
    </row>
    <row r="661" spans="1:21" ht="13">
      <c r="A661" s="49"/>
      <c r="B661" s="49"/>
      <c r="C661" s="49"/>
      <c r="D661" s="49"/>
      <c r="E661" s="47"/>
      <c r="F661" s="49"/>
      <c r="G661" s="49" t="b">
        <v>0</v>
      </c>
      <c r="H661" s="49"/>
      <c r="I661" s="49"/>
      <c r="J661" s="49"/>
      <c r="K661" s="49"/>
      <c r="L661" s="49"/>
      <c r="M661" s="49"/>
      <c r="N661" s="49"/>
      <c r="O661" s="49"/>
      <c r="P661" s="49"/>
      <c r="Q661" s="49"/>
      <c r="R661" s="49"/>
      <c r="S661" s="49"/>
      <c r="T661" s="49"/>
      <c r="U661" s="49"/>
    </row>
    <row r="662" spans="1:21" ht="13">
      <c r="A662" s="49"/>
      <c r="B662" s="49"/>
      <c r="C662" s="49"/>
      <c r="D662" s="49"/>
      <c r="E662" s="47"/>
      <c r="F662" s="49"/>
      <c r="G662" s="49" t="b">
        <v>0</v>
      </c>
      <c r="H662" s="49"/>
      <c r="I662" s="49"/>
      <c r="J662" s="49"/>
      <c r="K662" s="49"/>
      <c r="L662" s="49"/>
      <c r="M662" s="49"/>
      <c r="N662" s="49"/>
      <c r="O662" s="49"/>
      <c r="P662" s="49"/>
      <c r="Q662" s="49"/>
      <c r="R662" s="49"/>
      <c r="S662" s="49"/>
      <c r="T662" s="49"/>
      <c r="U662" s="49"/>
    </row>
    <row r="663" spans="1:21" ht="13">
      <c r="A663" s="49"/>
      <c r="B663" s="49"/>
      <c r="C663" s="49"/>
      <c r="D663" s="49"/>
      <c r="E663" s="47"/>
      <c r="F663" s="49"/>
      <c r="G663" s="49" t="b">
        <v>0</v>
      </c>
      <c r="H663" s="49"/>
      <c r="I663" s="49"/>
      <c r="J663" s="49"/>
      <c r="K663" s="49"/>
      <c r="L663" s="49"/>
      <c r="M663" s="49"/>
      <c r="N663" s="49"/>
      <c r="O663" s="49"/>
      <c r="P663" s="49"/>
      <c r="Q663" s="49"/>
      <c r="R663" s="49"/>
      <c r="S663" s="49"/>
      <c r="T663" s="49"/>
      <c r="U663" s="49"/>
    </row>
    <row r="664" spans="1:21" ht="13">
      <c r="A664" s="49"/>
      <c r="B664" s="49"/>
      <c r="C664" s="49"/>
      <c r="D664" s="49"/>
      <c r="E664" s="47"/>
      <c r="F664" s="49"/>
      <c r="G664" s="49" t="b">
        <v>0</v>
      </c>
      <c r="H664" s="49"/>
      <c r="I664" s="49"/>
      <c r="J664" s="49"/>
      <c r="K664" s="49"/>
      <c r="L664" s="49"/>
      <c r="M664" s="49"/>
      <c r="N664" s="49"/>
      <c r="O664" s="49"/>
      <c r="P664" s="49"/>
      <c r="Q664" s="49"/>
      <c r="R664" s="49"/>
      <c r="S664" s="49"/>
      <c r="T664" s="49"/>
      <c r="U664" s="49"/>
    </row>
    <row r="665" spans="1:21" ht="13">
      <c r="A665" s="49"/>
      <c r="B665" s="49"/>
      <c r="C665" s="49"/>
      <c r="D665" s="49"/>
      <c r="E665" s="47"/>
      <c r="F665" s="49"/>
      <c r="G665" s="49" t="b">
        <v>0</v>
      </c>
      <c r="H665" s="49"/>
      <c r="I665" s="49"/>
      <c r="J665" s="49"/>
      <c r="K665" s="49"/>
      <c r="L665" s="49"/>
      <c r="M665" s="49"/>
      <c r="N665" s="49"/>
      <c r="O665" s="49"/>
      <c r="P665" s="49"/>
      <c r="Q665" s="49"/>
      <c r="R665" s="49"/>
      <c r="S665" s="49"/>
      <c r="T665" s="49"/>
      <c r="U665" s="49"/>
    </row>
    <row r="666" spans="1:21" ht="13">
      <c r="A666" s="49"/>
      <c r="B666" s="49"/>
      <c r="C666" s="49"/>
      <c r="D666" s="49"/>
      <c r="E666" s="47"/>
      <c r="F666" s="49"/>
      <c r="G666" s="49" t="b">
        <v>0</v>
      </c>
      <c r="H666" s="49"/>
      <c r="I666" s="49"/>
      <c r="J666" s="49"/>
      <c r="K666" s="49"/>
      <c r="L666" s="49"/>
      <c r="M666" s="49"/>
      <c r="N666" s="49"/>
      <c r="O666" s="49"/>
      <c r="P666" s="49"/>
      <c r="Q666" s="49"/>
      <c r="R666" s="49"/>
      <c r="S666" s="49"/>
      <c r="T666" s="49"/>
      <c r="U666" s="49"/>
    </row>
    <row r="667" spans="1:21" ht="13">
      <c r="A667" s="49"/>
      <c r="B667" s="49"/>
      <c r="C667" s="49"/>
      <c r="D667" s="49"/>
      <c r="E667" s="47"/>
      <c r="F667" s="49"/>
      <c r="G667" s="49" t="b">
        <v>0</v>
      </c>
      <c r="H667" s="49"/>
      <c r="I667" s="49"/>
      <c r="J667" s="49"/>
      <c r="K667" s="49"/>
      <c r="L667" s="49"/>
      <c r="M667" s="49"/>
      <c r="N667" s="49"/>
      <c r="O667" s="49"/>
      <c r="P667" s="49"/>
      <c r="Q667" s="49"/>
      <c r="R667" s="49"/>
      <c r="S667" s="49"/>
      <c r="T667" s="49"/>
      <c r="U667" s="49"/>
    </row>
    <row r="668" spans="1:21" ht="13">
      <c r="A668" s="49"/>
      <c r="B668" s="49"/>
      <c r="C668" s="49"/>
      <c r="D668" s="49"/>
      <c r="E668" s="47"/>
      <c r="F668" s="49"/>
      <c r="G668" s="49" t="b">
        <v>0</v>
      </c>
      <c r="H668" s="49"/>
      <c r="I668" s="49"/>
      <c r="J668" s="49"/>
      <c r="K668" s="49"/>
      <c r="L668" s="49"/>
      <c r="M668" s="49"/>
      <c r="N668" s="49"/>
      <c r="O668" s="49"/>
      <c r="P668" s="49"/>
      <c r="Q668" s="49"/>
      <c r="R668" s="49"/>
      <c r="S668" s="49"/>
      <c r="T668" s="49"/>
      <c r="U668" s="49"/>
    </row>
    <row r="669" spans="1:21" ht="13">
      <c r="A669" s="49"/>
      <c r="B669" s="49"/>
      <c r="C669" s="49"/>
      <c r="D669" s="49"/>
      <c r="E669" s="47"/>
      <c r="F669" s="49"/>
      <c r="G669" s="49" t="b">
        <v>0</v>
      </c>
      <c r="H669" s="49"/>
      <c r="I669" s="49"/>
      <c r="J669" s="49"/>
      <c r="K669" s="49"/>
      <c r="L669" s="49"/>
      <c r="M669" s="49"/>
      <c r="N669" s="49"/>
      <c r="O669" s="49"/>
      <c r="P669" s="49"/>
      <c r="Q669" s="49"/>
      <c r="R669" s="49"/>
      <c r="S669" s="49"/>
      <c r="T669" s="49"/>
      <c r="U669" s="49"/>
    </row>
    <row r="670" spans="1:21" ht="13">
      <c r="A670" s="49"/>
      <c r="B670" s="49"/>
      <c r="C670" s="49"/>
      <c r="D670" s="49"/>
      <c r="E670" s="47"/>
      <c r="F670" s="49"/>
      <c r="G670" s="49" t="b">
        <v>0</v>
      </c>
      <c r="H670" s="49"/>
      <c r="I670" s="49"/>
      <c r="J670" s="49"/>
      <c r="K670" s="49"/>
      <c r="L670" s="49"/>
      <c r="M670" s="49"/>
      <c r="N670" s="49"/>
      <c r="O670" s="49"/>
      <c r="P670" s="49"/>
      <c r="Q670" s="49"/>
      <c r="R670" s="49"/>
      <c r="S670" s="49"/>
      <c r="T670" s="49"/>
      <c r="U670" s="49"/>
    </row>
    <row r="671" spans="1:21" ht="13">
      <c r="A671" s="49"/>
      <c r="B671" s="49"/>
      <c r="C671" s="49"/>
      <c r="D671" s="49"/>
      <c r="E671" s="47"/>
      <c r="F671" s="49"/>
      <c r="G671" s="49" t="b">
        <v>0</v>
      </c>
      <c r="H671" s="49"/>
      <c r="I671" s="49"/>
      <c r="J671" s="49"/>
      <c r="K671" s="49"/>
      <c r="L671" s="49"/>
      <c r="M671" s="49"/>
      <c r="N671" s="49"/>
      <c r="O671" s="49"/>
      <c r="P671" s="49"/>
      <c r="Q671" s="49"/>
      <c r="R671" s="49"/>
      <c r="S671" s="49"/>
      <c r="T671" s="49"/>
      <c r="U671" s="49"/>
    </row>
    <row r="672" spans="1:21" ht="13">
      <c r="A672" s="49"/>
      <c r="B672" s="49"/>
      <c r="C672" s="49"/>
      <c r="D672" s="49"/>
      <c r="E672" s="47"/>
      <c r="F672" s="49"/>
      <c r="G672" s="49" t="b">
        <v>0</v>
      </c>
      <c r="H672" s="49"/>
      <c r="I672" s="49"/>
      <c r="J672" s="49"/>
      <c r="K672" s="49"/>
      <c r="L672" s="49"/>
      <c r="M672" s="49"/>
      <c r="N672" s="49"/>
      <c r="O672" s="49"/>
      <c r="P672" s="49"/>
      <c r="Q672" s="49"/>
      <c r="R672" s="49"/>
      <c r="S672" s="49"/>
      <c r="T672" s="49"/>
      <c r="U672" s="49"/>
    </row>
    <row r="673" spans="1:21" ht="13">
      <c r="A673" s="49"/>
      <c r="B673" s="49"/>
      <c r="C673" s="49"/>
      <c r="D673" s="49"/>
      <c r="E673" s="47"/>
      <c r="F673" s="49"/>
      <c r="G673" s="49" t="b">
        <v>0</v>
      </c>
      <c r="H673" s="49"/>
      <c r="I673" s="49"/>
      <c r="J673" s="49"/>
      <c r="K673" s="49"/>
      <c r="L673" s="49"/>
      <c r="M673" s="49"/>
      <c r="N673" s="49"/>
      <c r="O673" s="49"/>
      <c r="P673" s="49"/>
      <c r="Q673" s="49"/>
      <c r="R673" s="49"/>
      <c r="S673" s="49"/>
      <c r="T673" s="49"/>
      <c r="U673" s="49"/>
    </row>
    <row r="674" spans="1:21" ht="13">
      <c r="A674" s="49"/>
      <c r="B674" s="49"/>
      <c r="C674" s="49"/>
      <c r="D674" s="49"/>
      <c r="E674" s="47"/>
      <c r="F674" s="49"/>
      <c r="G674" s="49" t="b">
        <v>0</v>
      </c>
      <c r="H674" s="49"/>
      <c r="I674" s="49"/>
      <c r="J674" s="49"/>
      <c r="K674" s="49"/>
      <c r="L674" s="49"/>
      <c r="M674" s="49"/>
      <c r="N674" s="49"/>
      <c r="O674" s="49"/>
      <c r="P674" s="49"/>
      <c r="Q674" s="49"/>
      <c r="R674" s="49"/>
      <c r="S674" s="49"/>
      <c r="T674" s="49"/>
      <c r="U674" s="49"/>
    </row>
    <row r="675" spans="1:21" ht="13">
      <c r="A675" s="49"/>
      <c r="B675" s="49"/>
      <c r="C675" s="49"/>
      <c r="D675" s="49"/>
      <c r="E675" s="47"/>
      <c r="F675" s="49"/>
      <c r="G675" s="49" t="b">
        <v>0</v>
      </c>
      <c r="H675" s="49"/>
      <c r="I675" s="49"/>
      <c r="J675" s="49"/>
      <c r="K675" s="49"/>
      <c r="L675" s="49"/>
      <c r="M675" s="49"/>
      <c r="N675" s="49"/>
      <c r="O675" s="49"/>
      <c r="P675" s="49"/>
      <c r="Q675" s="49"/>
      <c r="R675" s="49"/>
      <c r="S675" s="49"/>
      <c r="T675" s="49"/>
      <c r="U675" s="49"/>
    </row>
    <row r="676" spans="1:21" ht="13">
      <c r="A676" s="49"/>
      <c r="B676" s="49"/>
      <c r="C676" s="49"/>
      <c r="D676" s="49"/>
      <c r="E676" s="47"/>
      <c r="F676" s="49"/>
      <c r="G676" s="49" t="b">
        <v>0</v>
      </c>
      <c r="H676" s="49"/>
      <c r="I676" s="49"/>
      <c r="J676" s="49"/>
      <c r="K676" s="49"/>
      <c r="L676" s="49"/>
      <c r="M676" s="49"/>
      <c r="N676" s="49"/>
      <c r="O676" s="49"/>
      <c r="P676" s="49"/>
      <c r="Q676" s="49"/>
      <c r="R676" s="49"/>
      <c r="S676" s="49"/>
      <c r="T676" s="49"/>
      <c r="U676" s="49"/>
    </row>
    <row r="677" spans="1:21" ht="13">
      <c r="A677" s="49"/>
      <c r="B677" s="49"/>
      <c r="C677" s="49"/>
      <c r="D677" s="49"/>
      <c r="E677" s="47"/>
      <c r="F677" s="49"/>
      <c r="G677" s="49" t="b">
        <v>0</v>
      </c>
      <c r="H677" s="49"/>
      <c r="I677" s="49"/>
      <c r="J677" s="49"/>
      <c r="K677" s="49"/>
      <c r="L677" s="49"/>
      <c r="M677" s="49"/>
      <c r="N677" s="49"/>
      <c r="O677" s="49"/>
      <c r="P677" s="49"/>
      <c r="Q677" s="49"/>
      <c r="R677" s="49"/>
      <c r="S677" s="49"/>
      <c r="T677" s="49"/>
      <c r="U677" s="49"/>
    </row>
    <row r="678" spans="1:21" ht="13">
      <c r="A678" s="49"/>
      <c r="B678" s="49"/>
      <c r="C678" s="49"/>
      <c r="D678" s="49"/>
      <c r="E678" s="47"/>
      <c r="F678" s="49"/>
      <c r="G678" s="49" t="b">
        <v>0</v>
      </c>
      <c r="H678" s="49"/>
      <c r="I678" s="49"/>
      <c r="J678" s="49"/>
      <c r="K678" s="49"/>
      <c r="L678" s="49"/>
      <c r="M678" s="49"/>
      <c r="N678" s="49"/>
      <c r="O678" s="49"/>
      <c r="P678" s="49"/>
      <c r="Q678" s="49"/>
      <c r="R678" s="49"/>
      <c r="S678" s="49"/>
      <c r="T678" s="49"/>
      <c r="U678" s="49"/>
    </row>
    <row r="679" spans="1:21" ht="13">
      <c r="A679" s="49"/>
      <c r="B679" s="49"/>
      <c r="C679" s="49"/>
      <c r="D679" s="49"/>
      <c r="E679" s="47"/>
      <c r="F679" s="49"/>
      <c r="G679" s="49" t="b">
        <v>0</v>
      </c>
      <c r="H679" s="49"/>
      <c r="I679" s="49"/>
      <c r="J679" s="49"/>
      <c r="K679" s="49"/>
      <c r="L679" s="49"/>
      <c r="M679" s="49"/>
      <c r="N679" s="49"/>
      <c r="O679" s="49"/>
      <c r="P679" s="49"/>
      <c r="Q679" s="49"/>
      <c r="R679" s="49"/>
      <c r="S679" s="49"/>
      <c r="T679" s="49"/>
      <c r="U679" s="49"/>
    </row>
    <row r="680" spans="1:21" ht="13">
      <c r="A680" s="49"/>
      <c r="B680" s="49"/>
      <c r="C680" s="49"/>
      <c r="D680" s="49"/>
      <c r="E680" s="47"/>
      <c r="F680" s="49"/>
      <c r="G680" s="49" t="b">
        <v>0</v>
      </c>
      <c r="H680" s="49"/>
      <c r="I680" s="49"/>
      <c r="J680" s="49"/>
      <c r="K680" s="49"/>
      <c r="L680" s="49"/>
      <c r="M680" s="49"/>
      <c r="N680" s="49"/>
      <c r="O680" s="49"/>
      <c r="P680" s="49"/>
      <c r="Q680" s="49"/>
      <c r="R680" s="49"/>
      <c r="S680" s="49"/>
      <c r="T680" s="49"/>
      <c r="U680" s="49"/>
    </row>
    <row r="681" spans="1:21" ht="13">
      <c r="A681" s="49"/>
      <c r="B681" s="49"/>
      <c r="C681" s="49"/>
      <c r="D681" s="49"/>
      <c r="E681" s="47"/>
      <c r="F681" s="49"/>
      <c r="G681" s="49" t="b">
        <v>0</v>
      </c>
      <c r="H681" s="49"/>
      <c r="I681" s="49"/>
      <c r="J681" s="49"/>
      <c r="K681" s="49"/>
      <c r="L681" s="49"/>
      <c r="M681" s="49"/>
      <c r="N681" s="49"/>
      <c r="O681" s="49"/>
      <c r="P681" s="49"/>
      <c r="Q681" s="49"/>
      <c r="R681" s="49"/>
      <c r="S681" s="49"/>
      <c r="T681" s="49"/>
      <c r="U681" s="49"/>
    </row>
    <row r="682" spans="1:21" ht="13">
      <c r="A682" s="49"/>
      <c r="B682" s="49"/>
      <c r="C682" s="49"/>
      <c r="D682" s="49"/>
      <c r="E682" s="47"/>
      <c r="F682" s="49"/>
      <c r="G682" s="49" t="b">
        <v>0</v>
      </c>
      <c r="H682" s="49"/>
      <c r="I682" s="49"/>
      <c r="J682" s="49"/>
      <c r="K682" s="49"/>
      <c r="L682" s="49"/>
      <c r="M682" s="49"/>
      <c r="N682" s="49"/>
      <c r="O682" s="49"/>
      <c r="P682" s="49"/>
      <c r="Q682" s="49"/>
      <c r="R682" s="49"/>
      <c r="S682" s="49"/>
      <c r="T682" s="49"/>
      <c r="U682" s="49"/>
    </row>
    <row r="683" spans="1:21" ht="13">
      <c r="A683" s="49"/>
      <c r="B683" s="49"/>
      <c r="C683" s="49"/>
      <c r="D683" s="49"/>
      <c r="E683" s="47"/>
      <c r="F683" s="49"/>
      <c r="G683" s="49" t="b">
        <v>0</v>
      </c>
      <c r="H683" s="49"/>
      <c r="I683" s="49"/>
      <c r="J683" s="49"/>
      <c r="K683" s="49"/>
      <c r="L683" s="49"/>
      <c r="M683" s="49"/>
      <c r="N683" s="49"/>
      <c r="O683" s="49"/>
      <c r="P683" s="49"/>
      <c r="Q683" s="49"/>
      <c r="R683" s="49"/>
      <c r="S683" s="49"/>
      <c r="T683" s="49"/>
      <c r="U683" s="49"/>
    </row>
    <row r="684" spans="1:21" ht="13">
      <c r="A684" s="49"/>
      <c r="B684" s="49"/>
      <c r="C684" s="49"/>
      <c r="D684" s="49"/>
      <c r="E684" s="47"/>
      <c r="F684" s="49"/>
      <c r="G684" s="49" t="b">
        <v>0</v>
      </c>
      <c r="H684" s="49"/>
      <c r="I684" s="49"/>
      <c r="J684" s="49"/>
      <c r="K684" s="49"/>
      <c r="L684" s="49"/>
      <c r="M684" s="49"/>
      <c r="N684" s="49"/>
      <c r="O684" s="49"/>
      <c r="P684" s="49"/>
      <c r="Q684" s="49"/>
      <c r="R684" s="49"/>
      <c r="S684" s="49"/>
      <c r="T684" s="49"/>
      <c r="U684" s="49"/>
    </row>
    <row r="685" spans="1:21" ht="13">
      <c r="A685" s="49"/>
      <c r="B685" s="49"/>
      <c r="C685" s="49"/>
      <c r="D685" s="49"/>
      <c r="E685" s="47"/>
      <c r="F685" s="49"/>
      <c r="G685" s="49" t="b">
        <v>0</v>
      </c>
      <c r="H685" s="49"/>
      <c r="I685" s="49"/>
      <c r="J685" s="49"/>
      <c r="K685" s="49"/>
      <c r="L685" s="49"/>
      <c r="M685" s="49"/>
      <c r="N685" s="49"/>
      <c r="O685" s="49"/>
      <c r="P685" s="49"/>
      <c r="Q685" s="49"/>
      <c r="R685" s="49"/>
      <c r="S685" s="49"/>
      <c r="T685" s="49"/>
      <c r="U685" s="49"/>
    </row>
    <row r="686" spans="1:21" ht="13">
      <c r="A686" s="49"/>
      <c r="B686" s="49"/>
      <c r="C686" s="49"/>
      <c r="D686" s="49"/>
      <c r="E686" s="47"/>
      <c r="F686" s="49"/>
      <c r="G686" s="49" t="b">
        <v>0</v>
      </c>
      <c r="H686" s="49"/>
      <c r="I686" s="49"/>
      <c r="J686" s="49"/>
      <c r="K686" s="49"/>
      <c r="L686" s="49"/>
      <c r="M686" s="49"/>
      <c r="N686" s="49"/>
      <c r="O686" s="49"/>
      <c r="P686" s="49"/>
      <c r="Q686" s="49"/>
      <c r="R686" s="49"/>
      <c r="S686" s="49"/>
      <c r="T686" s="49"/>
      <c r="U686" s="49"/>
    </row>
    <row r="687" spans="1:21" ht="13">
      <c r="A687" s="49"/>
      <c r="B687" s="49"/>
      <c r="C687" s="49"/>
      <c r="D687" s="49"/>
      <c r="E687" s="47"/>
      <c r="F687" s="49"/>
      <c r="G687" s="49" t="b">
        <v>0</v>
      </c>
      <c r="H687" s="49"/>
      <c r="I687" s="49"/>
      <c r="J687" s="49"/>
      <c r="K687" s="49"/>
      <c r="L687" s="49"/>
      <c r="M687" s="49"/>
      <c r="N687" s="49"/>
      <c r="O687" s="49"/>
      <c r="P687" s="49"/>
      <c r="Q687" s="49"/>
      <c r="R687" s="49"/>
      <c r="S687" s="49"/>
      <c r="T687" s="49"/>
      <c r="U687" s="49"/>
    </row>
    <row r="688" spans="1:21" ht="13">
      <c r="A688" s="49"/>
      <c r="B688" s="49"/>
      <c r="C688" s="49"/>
      <c r="D688" s="49"/>
      <c r="E688" s="47"/>
      <c r="F688" s="49"/>
      <c r="G688" s="49" t="b">
        <v>0</v>
      </c>
      <c r="H688" s="49"/>
      <c r="I688" s="49"/>
      <c r="J688" s="49"/>
      <c r="K688" s="49"/>
      <c r="L688" s="49"/>
      <c r="M688" s="49"/>
      <c r="N688" s="49"/>
      <c r="O688" s="49"/>
      <c r="P688" s="49"/>
      <c r="Q688" s="49"/>
      <c r="R688" s="49"/>
      <c r="S688" s="49"/>
      <c r="T688" s="49"/>
      <c r="U688" s="49"/>
    </row>
    <row r="689" spans="1:21" ht="13">
      <c r="A689" s="49"/>
      <c r="B689" s="49"/>
      <c r="C689" s="49"/>
      <c r="D689" s="49"/>
      <c r="E689" s="47"/>
      <c r="F689" s="49"/>
      <c r="G689" s="49" t="b">
        <v>0</v>
      </c>
      <c r="H689" s="49"/>
      <c r="I689" s="49"/>
      <c r="J689" s="49"/>
      <c r="K689" s="49"/>
      <c r="L689" s="49"/>
      <c r="M689" s="49"/>
      <c r="N689" s="49"/>
      <c r="O689" s="49"/>
      <c r="P689" s="49"/>
      <c r="Q689" s="49"/>
      <c r="R689" s="49"/>
      <c r="S689" s="49"/>
      <c r="T689" s="49"/>
      <c r="U689" s="49"/>
    </row>
    <row r="690" spans="1:21" ht="13">
      <c r="A690" s="49"/>
      <c r="B690" s="49"/>
      <c r="C690" s="49"/>
      <c r="D690" s="49"/>
      <c r="E690" s="47"/>
      <c r="F690" s="49"/>
      <c r="G690" s="49" t="b">
        <v>0</v>
      </c>
      <c r="H690" s="49"/>
      <c r="I690" s="49"/>
      <c r="J690" s="49"/>
      <c r="K690" s="49"/>
      <c r="L690" s="49"/>
      <c r="M690" s="49"/>
      <c r="N690" s="49"/>
      <c r="O690" s="49"/>
      <c r="P690" s="49"/>
      <c r="Q690" s="49"/>
      <c r="R690" s="49"/>
      <c r="S690" s="49"/>
      <c r="T690" s="49"/>
      <c r="U690" s="49"/>
    </row>
    <row r="691" spans="1:21" ht="13">
      <c r="A691" s="49"/>
      <c r="B691" s="49"/>
      <c r="C691" s="49"/>
      <c r="D691" s="49"/>
      <c r="E691" s="47"/>
      <c r="F691" s="49"/>
      <c r="G691" s="49" t="b">
        <v>0</v>
      </c>
      <c r="H691" s="49"/>
      <c r="I691" s="49"/>
      <c r="J691" s="49"/>
      <c r="K691" s="49"/>
      <c r="L691" s="49"/>
      <c r="M691" s="49"/>
      <c r="N691" s="49"/>
      <c r="O691" s="49"/>
      <c r="P691" s="49"/>
      <c r="Q691" s="49"/>
      <c r="R691" s="49"/>
      <c r="S691" s="49"/>
      <c r="T691" s="49"/>
      <c r="U691" s="49"/>
    </row>
    <row r="692" spans="1:21" ht="13">
      <c r="A692" s="49"/>
      <c r="B692" s="49"/>
      <c r="C692" s="49"/>
      <c r="D692" s="49"/>
      <c r="E692" s="47"/>
      <c r="F692" s="49"/>
      <c r="G692" s="49" t="b">
        <v>0</v>
      </c>
      <c r="H692" s="49"/>
      <c r="I692" s="49"/>
      <c r="J692" s="49"/>
      <c r="K692" s="49"/>
      <c r="L692" s="49"/>
      <c r="M692" s="49"/>
      <c r="N692" s="49"/>
      <c r="O692" s="49"/>
      <c r="P692" s="49"/>
      <c r="Q692" s="49"/>
      <c r="R692" s="49"/>
      <c r="S692" s="49"/>
      <c r="T692" s="49"/>
      <c r="U692" s="49"/>
    </row>
    <row r="693" spans="1:21" ht="13">
      <c r="A693" s="49"/>
      <c r="B693" s="49"/>
      <c r="C693" s="49"/>
      <c r="D693" s="49"/>
      <c r="E693" s="47"/>
      <c r="F693" s="49"/>
      <c r="G693" s="49" t="b">
        <v>0</v>
      </c>
      <c r="H693" s="49"/>
      <c r="I693" s="49"/>
      <c r="J693" s="49"/>
      <c r="K693" s="49"/>
      <c r="L693" s="49"/>
      <c r="M693" s="49"/>
      <c r="N693" s="49"/>
      <c r="O693" s="49"/>
      <c r="P693" s="49"/>
      <c r="Q693" s="49"/>
      <c r="R693" s="49"/>
      <c r="S693" s="49"/>
      <c r="T693" s="49"/>
      <c r="U693" s="49"/>
    </row>
    <row r="694" spans="1:21" ht="13">
      <c r="A694" s="49"/>
      <c r="B694" s="49"/>
      <c r="C694" s="49"/>
      <c r="D694" s="49"/>
      <c r="E694" s="47"/>
      <c r="F694" s="49"/>
      <c r="G694" s="49" t="b">
        <v>0</v>
      </c>
      <c r="H694" s="49"/>
      <c r="I694" s="49"/>
      <c r="J694" s="49"/>
      <c r="K694" s="49"/>
      <c r="L694" s="49"/>
      <c r="M694" s="49"/>
      <c r="N694" s="49"/>
      <c r="O694" s="49"/>
      <c r="P694" s="49"/>
      <c r="Q694" s="49"/>
      <c r="R694" s="49"/>
      <c r="S694" s="49"/>
      <c r="T694" s="49"/>
      <c r="U694" s="49"/>
    </row>
    <row r="695" spans="1:21" ht="13">
      <c r="A695" s="49"/>
      <c r="B695" s="49"/>
      <c r="C695" s="49"/>
      <c r="D695" s="49"/>
      <c r="E695" s="47"/>
      <c r="F695" s="49"/>
      <c r="G695" s="49" t="b">
        <v>0</v>
      </c>
      <c r="H695" s="49"/>
      <c r="I695" s="49"/>
      <c r="J695" s="49"/>
      <c r="K695" s="49"/>
      <c r="L695" s="49"/>
      <c r="M695" s="49"/>
      <c r="N695" s="49"/>
      <c r="O695" s="49"/>
      <c r="P695" s="49"/>
      <c r="Q695" s="49"/>
      <c r="R695" s="49"/>
      <c r="S695" s="49"/>
      <c r="T695" s="49"/>
      <c r="U695" s="49"/>
    </row>
    <row r="696" spans="1:21" ht="13">
      <c r="A696" s="49"/>
      <c r="B696" s="49"/>
      <c r="C696" s="49"/>
      <c r="D696" s="49"/>
      <c r="E696" s="47"/>
      <c r="F696" s="49"/>
      <c r="G696" s="49" t="b">
        <v>0</v>
      </c>
      <c r="H696" s="49"/>
      <c r="I696" s="49"/>
      <c r="J696" s="49"/>
      <c r="K696" s="49"/>
      <c r="L696" s="49"/>
      <c r="M696" s="49"/>
      <c r="N696" s="49"/>
      <c r="O696" s="49"/>
      <c r="P696" s="49"/>
      <c r="Q696" s="49"/>
      <c r="R696" s="49"/>
      <c r="S696" s="49"/>
      <c r="T696" s="49"/>
      <c r="U696" s="49"/>
    </row>
    <row r="697" spans="1:21" ht="13">
      <c r="A697" s="49"/>
      <c r="B697" s="49"/>
      <c r="C697" s="49"/>
      <c r="D697" s="49"/>
      <c r="E697" s="47"/>
      <c r="F697" s="49"/>
      <c r="G697" s="49" t="b">
        <v>0</v>
      </c>
      <c r="H697" s="49"/>
      <c r="I697" s="49"/>
      <c r="J697" s="49"/>
      <c r="K697" s="49"/>
      <c r="L697" s="49"/>
      <c r="M697" s="49"/>
      <c r="N697" s="49"/>
      <c r="O697" s="49"/>
      <c r="P697" s="49"/>
      <c r="Q697" s="49"/>
      <c r="R697" s="49"/>
      <c r="S697" s="49"/>
      <c r="T697" s="49"/>
      <c r="U697" s="49"/>
    </row>
    <row r="698" spans="1:21" ht="13">
      <c r="A698" s="49"/>
      <c r="B698" s="49"/>
      <c r="C698" s="49"/>
      <c r="D698" s="49"/>
      <c r="E698" s="47"/>
      <c r="F698" s="49"/>
      <c r="G698" s="49" t="b">
        <v>0</v>
      </c>
      <c r="H698" s="49"/>
      <c r="I698" s="49"/>
      <c r="J698" s="49"/>
      <c r="K698" s="49"/>
      <c r="L698" s="49"/>
      <c r="M698" s="49"/>
      <c r="N698" s="49"/>
      <c r="O698" s="49"/>
      <c r="P698" s="49"/>
      <c r="Q698" s="49"/>
      <c r="R698" s="49"/>
      <c r="S698" s="49"/>
      <c r="T698" s="49"/>
      <c r="U698" s="49"/>
    </row>
    <row r="699" spans="1:21" ht="13">
      <c r="A699" s="49"/>
      <c r="B699" s="49"/>
      <c r="C699" s="49"/>
      <c r="D699" s="49"/>
      <c r="E699" s="47"/>
      <c r="F699" s="49"/>
      <c r="G699" s="49" t="b">
        <v>0</v>
      </c>
      <c r="H699" s="49"/>
      <c r="I699" s="49"/>
      <c r="J699" s="49"/>
      <c r="K699" s="49"/>
      <c r="L699" s="49"/>
      <c r="M699" s="49"/>
      <c r="N699" s="49"/>
      <c r="O699" s="49"/>
      <c r="P699" s="49"/>
      <c r="Q699" s="49"/>
      <c r="R699" s="49"/>
      <c r="S699" s="49"/>
      <c r="T699" s="49"/>
      <c r="U699" s="49"/>
    </row>
    <row r="700" spans="1:21" ht="13">
      <c r="A700" s="49"/>
      <c r="B700" s="49"/>
      <c r="C700" s="49"/>
      <c r="D700" s="49"/>
      <c r="E700" s="47"/>
      <c r="F700" s="49"/>
      <c r="G700" s="49" t="b">
        <v>0</v>
      </c>
      <c r="H700" s="49"/>
      <c r="I700" s="49"/>
      <c r="J700" s="49"/>
      <c r="K700" s="49"/>
      <c r="L700" s="49"/>
      <c r="M700" s="49"/>
      <c r="N700" s="49"/>
      <c r="O700" s="49"/>
      <c r="P700" s="49"/>
      <c r="Q700" s="49"/>
      <c r="R700" s="49"/>
      <c r="S700" s="49"/>
      <c r="T700" s="49"/>
      <c r="U700" s="49"/>
    </row>
    <row r="701" spans="1:21" ht="13">
      <c r="A701" s="49"/>
      <c r="B701" s="49"/>
      <c r="C701" s="49"/>
      <c r="D701" s="49"/>
      <c r="E701" s="47"/>
      <c r="F701" s="49"/>
      <c r="G701" s="49" t="b">
        <v>0</v>
      </c>
      <c r="H701" s="49"/>
      <c r="I701" s="49"/>
      <c r="J701" s="49"/>
      <c r="K701" s="49"/>
      <c r="L701" s="49"/>
      <c r="M701" s="49"/>
      <c r="N701" s="49"/>
      <c r="O701" s="49"/>
      <c r="P701" s="49"/>
      <c r="Q701" s="49"/>
      <c r="R701" s="49"/>
      <c r="S701" s="49"/>
      <c r="T701" s="49"/>
      <c r="U701" s="49"/>
    </row>
    <row r="702" spans="1:21" ht="13">
      <c r="A702" s="49"/>
      <c r="B702" s="49"/>
      <c r="C702" s="49"/>
      <c r="D702" s="49"/>
      <c r="E702" s="47"/>
      <c r="F702" s="49"/>
      <c r="G702" s="49" t="b">
        <v>0</v>
      </c>
      <c r="H702" s="49"/>
      <c r="I702" s="49"/>
      <c r="J702" s="49"/>
      <c r="K702" s="49"/>
      <c r="L702" s="49"/>
      <c r="M702" s="49"/>
      <c r="N702" s="49"/>
      <c r="O702" s="49"/>
      <c r="P702" s="49"/>
      <c r="Q702" s="49"/>
      <c r="R702" s="49"/>
      <c r="S702" s="49"/>
      <c r="T702" s="49"/>
      <c r="U702" s="49"/>
    </row>
    <row r="703" spans="1:21" ht="13">
      <c r="A703" s="49"/>
      <c r="B703" s="49"/>
      <c r="C703" s="49"/>
      <c r="D703" s="49"/>
      <c r="E703" s="47"/>
      <c r="F703" s="49"/>
      <c r="G703" s="49" t="b">
        <v>0</v>
      </c>
      <c r="H703" s="49"/>
      <c r="I703" s="49"/>
      <c r="J703" s="49"/>
      <c r="K703" s="49"/>
      <c r="L703" s="49"/>
      <c r="M703" s="49"/>
      <c r="N703" s="49"/>
      <c r="O703" s="49"/>
      <c r="P703" s="49"/>
      <c r="Q703" s="49"/>
      <c r="R703" s="49"/>
      <c r="S703" s="49"/>
      <c r="T703" s="49"/>
      <c r="U703" s="49"/>
    </row>
    <row r="704" spans="1:21" ht="13">
      <c r="A704" s="49"/>
      <c r="B704" s="49"/>
      <c r="C704" s="49"/>
      <c r="D704" s="49"/>
      <c r="E704" s="47"/>
      <c r="F704" s="49"/>
      <c r="G704" s="49" t="b">
        <v>0</v>
      </c>
      <c r="H704" s="49"/>
      <c r="I704" s="49"/>
      <c r="J704" s="49"/>
      <c r="K704" s="49"/>
      <c r="L704" s="49"/>
      <c r="M704" s="49"/>
      <c r="N704" s="49"/>
      <c r="O704" s="49"/>
      <c r="P704" s="49"/>
      <c r="Q704" s="49"/>
      <c r="R704" s="49"/>
      <c r="S704" s="49"/>
      <c r="T704" s="49"/>
      <c r="U704" s="49"/>
    </row>
    <row r="705" spans="1:21" ht="13">
      <c r="A705" s="49"/>
      <c r="B705" s="49"/>
      <c r="C705" s="49"/>
      <c r="D705" s="49"/>
      <c r="E705" s="47"/>
      <c r="F705" s="49"/>
      <c r="G705" s="49" t="b">
        <v>0</v>
      </c>
      <c r="H705" s="49"/>
      <c r="I705" s="49"/>
      <c r="J705" s="49"/>
      <c r="K705" s="49"/>
      <c r="L705" s="49"/>
      <c r="M705" s="49"/>
      <c r="N705" s="49"/>
      <c r="O705" s="49"/>
      <c r="P705" s="49"/>
      <c r="Q705" s="49"/>
      <c r="R705" s="49"/>
      <c r="S705" s="49"/>
      <c r="T705" s="49"/>
      <c r="U705" s="49"/>
    </row>
    <row r="706" spans="1:21" ht="13">
      <c r="A706" s="49"/>
      <c r="B706" s="49"/>
      <c r="C706" s="49"/>
      <c r="D706" s="49"/>
      <c r="E706" s="47"/>
      <c r="F706" s="49"/>
      <c r="G706" s="49" t="b">
        <v>0</v>
      </c>
      <c r="H706" s="49"/>
      <c r="I706" s="49"/>
      <c r="J706" s="49"/>
      <c r="K706" s="49"/>
      <c r="L706" s="49"/>
      <c r="M706" s="49"/>
      <c r="N706" s="49"/>
      <c r="O706" s="49"/>
      <c r="P706" s="49"/>
      <c r="Q706" s="49"/>
      <c r="R706" s="49"/>
      <c r="S706" s="49"/>
      <c r="T706" s="49"/>
      <c r="U706" s="49"/>
    </row>
    <row r="707" spans="1:21" ht="13">
      <c r="A707" s="49"/>
      <c r="B707" s="49"/>
      <c r="C707" s="49"/>
      <c r="D707" s="49"/>
      <c r="E707" s="47"/>
      <c r="F707" s="49"/>
      <c r="G707" s="49" t="b">
        <v>0</v>
      </c>
      <c r="H707" s="49"/>
      <c r="I707" s="49"/>
      <c r="J707" s="49"/>
      <c r="K707" s="49"/>
      <c r="L707" s="49"/>
      <c r="M707" s="49"/>
      <c r="N707" s="49"/>
      <c r="O707" s="49"/>
      <c r="P707" s="49"/>
      <c r="Q707" s="49"/>
      <c r="R707" s="49"/>
      <c r="S707" s="49"/>
      <c r="T707" s="49"/>
      <c r="U707" s="49"/>
    </row>
    <row r="708" spans="1:21" ht="13">
      <c r="A708" s="49"/>
      <c r="B708" s="49"/>
      <c r="C708" s="49"/>
      <c r="D708" s="49"/>
      <c r="E708" s="47"/>
      <c r="F708" s="49"/>
      <c r="G708" s="49" t="b">
        <v>0</v>
      </c>
      <c r="H708" s="49"/>
      <c r="I708" s="49"/>
      <c r="J708" s="49"/>
      <c r="K708" s="49"/>
      <c r="L708" s="49"/>
      <c r="M708" s="49"/>
      <c r="N708" s="49"/>
      <c r="O708" s="49"/>
      <c r="P708" s="49"/>
      <c r="Q708" s="49"/>
      <c r="R708" s="49"/>
      <c r="S708" s="49"/>
      <c r="T708" s="49"/>
      <c r="U708" s="49"/>
    </row>
    <row r="709" spans="1:21" ht="13">
      <c r="A709" s="49"/>
      <c r="B709" s="49"/>
      <c r="C709" s="49"/>
      <c r="D709" s="49"/>
      <c r="E709" s="47"/>
      <c r="F709" s="49"/>
      <c r="G709" s="49" t="b">
        <v>0</v>
      </c>
      <c r="H709" s="49"/>
      <c r="I709" s="49"/>
      <c r="J709" s="49"/>
      <c r="K709" s="49"/>
      <c r="L709" s="49"/>
      <c r="M709" s="49"/>
      <c r="N709" s="49"/>
      <c r="O709" s="49"/>
      <c r="P709" s="49"/>
      <c r="Q709" s="49"/>
      <c r="R709" s="49"/>
      <c r="S709" s="49"/>
      <c r="T709" s="49"/>
      <c r="U709" s="49"/>
    </row>
    <row r="710" spans="1:21" ht="13">
      <c r="A710" s="49"/>
      <c r="B710" s="49"/>
      <c r="C710" s="49"/>
      <c r="D710" s="49"/>
      <c r="E710" s="47"/>
      <c r="F710" s="49"/>
      <c r="G710" s="49" t="b">
        <v>0</v>
      </c>
      <c r="H710" s="49"/>
      <c r="I710" s="49"/>
      <c r="J710" s="49"/>
      <c r="K710" s="49"/>
      <c r="L710" s="49"/>
      <c r="M710" s="49"/>
      <c r="N710" s="49"/>
      <c r="O710" s="49"/>
      <c r="P710" s="49"/>
      <c r="Q710" s="49"/>
      <c r="R710" s="49"/>
      <c r="S710" s="49"/>
      <c r="T710" s="49"/>
      <c r="U710" s="49"/>
    </row>
    <row r="711" spans="1:21" ht="13">
      <c r="A711" s="49"/>
      <c r="B711" s="49"/>
      <c r="C711" s="49"/>
      <c r="D711" s="49"/>
      <c r="E711" s="47"/>
      <c r="F711" s="49"/>
      <c r="G711" s="49" t="b">
        <v>0</v>
      </c>
      <c r="H711" s="49"/>
      <c r="I711" s="49"/>
      <c r="J711" s="49"/>
      <c r="K711" s="49"/>
      <c r="L711" s="49"/>
      <c r="M711" s="49"/>
      <c r="N711" s="49"/>
      <c r="O711" s="49"/>
      <c r="P711" s="49"/>
      <c r="Q711" s="49"/>
      <c r="R711" s="49"/>
      <c r="S711" s="49"/>
      <c r="T711" s="49"/>
      <c r="U711" s="49"/>
    </row>
    <row r="712" spans="1:21" ht="13">
      <c r="A712" s="49"/>
      <c r="B712" s="49"/>
      <c r="C712" s="49"/>
      <c r="D712" s="49"/>
      <c r="E712" s="47"/>
      <c r="F712" s="49"/>
      <c r="G712" s="49" t="b">
        <v>0</v>
      </c>
      <c r="H712" s="49"/>
      <c r="I712" s="49"/>
      <c r="J712" s="49"/>
      <c r="K712" s="49"/>
      <c r="L712" s="49"/>
      <c r="M712" s="49"/>
      <c r="N712" s="49"/>
      <c r="O712" s="49"/>
      <c r="P712" s="49"/>
      <c r="Q712" s="49"/>
      <c r="R712" s="49"/>
      <c r="S712" s="49"/>
      <c r="T712" s="49"/>
      <c r="U712" s="49"/>
    </row>
    <row r="713" spans="1:21" ht="13">
      <c r="A713" s="49"/>
      <c r="B713" s="49"/>
      <c r="C713" s="49"/>
      <c r="D713" s="49"/>
      <c r="E713" s="47"/>
      <c r="F713" s="49"/>
      <c r="G713" s="49" t="b">
        <v>0</v>
      </c>
      <c r="H713" s="49"/>
      <c r="I713" s="49"/>
      <c r="J713" s="49"/>
      <c r="K713" s="49"/>
      <c r="L713" s="49"/>
      <c r="M713" s="49"/>
      <c r="N713" s="49"/>
      <c r="O713" s="49"/>
      <c r="P713" s="49"/>
      <c r="Q713" s="49"/>
      <c r="R713" s="49"/>
      <c r="S713" s="49"/>
      <c r="T713" s="49"/>
      <c r="U713" s="49"/>
    </row>
    <row r="714" spans="1:21" ht="13">
      <c r="A714" s="49"/>
      <c r="B714" s="49"/>
      <c r="C714" s="49"/>
      <c r="D714" s="49"/>
      <c r="E714" s="47"/>
      <c r="F714" s="49"/>
      <c r="G714" s="49" t="b">
        <v>0</v>
      </c>
      <c r="H714" s="49"/>
      <c r="I714" s="49"/>
      <c r="J714" s="49"/>
      <c r="K714" s="49"/>
      <c r="L714" s="49"/>
      <c r="M714" s="49"/>
      <c r="N714" s="49"/>
      <c r="O714" s="49"/>
      <c r="P714" s="49"/>
      <c r="Q714" s="49"/>
      <c r="R714" s="49"/>
      <c r="S714" s="49"/>
      <c r="T714" s="49"/>
      <c r="U714" s="49"/>
    </row>
    <row r="715" spans="1:21" ht="13">
      <c r="A715" s="49"/>
      <c r="B715" s="49"/>
      <c r="C715" s="49"/>
      <c r="D715" s="49"/>
      <c r="E715" s="47"/>
      <c r="F715" s="49"/>
      <c r="G715" s="49" t="b">
        <v>0</v>
      </c>
      <c r="H715" s="49"/>
      <c r="I715" s="49"/>
      <c r="J715" s="49"/>
      <c r="K715" s="49"/>
      <c r="L715" s="49"/>
      <c r="M715" s="49"/>
      <c r="N715" s="49"/>
      <c r="O715" s="49"/>
      <c r="P715" s="49"/>
      <c r="Q715" s="49"/>
      <c r="R715" s="49"/>
      <c r="S715" s="49"/>
      <c r="T715" s="49"/>
      <c r="U715" s="49"/>
    </row>
    <row r="716" spans="1:21" ht="13">
      <c r="A716" s="49"/>
      <c r="B716" s="49"/>
      <c r="C716" s="49"/>
      <c r="D716" s="49"/>
      <c r="E716" s="47"/>
      <c r="F716" s="49"/>
      <c r="G716" s="49" t="b">
        <v>0</v>
      </c>
      <c r="H716" s="49"/>
      <c r="I716" s="49"/>
      <c r="J716" s="49"/>
      <c r="K716" s="49"/>
      <c r="L716" s="49"/>
      <c r="M716" s="49"/>
      <c r="N716" s="49"/>
      <c r="O716" s="49"/>
      <c r="P716" s="49"/>
      <c r="Q716" s="49"/>
      <c r="R716" s="49"/>
      <c r="S716" s="49"/>
      <c r="T716" s="49"/>
      <c r="U716" s="49"/>
    </row>
    <row r="717" spans="1:21" ht="13">
      <c r="A717" s="49"/>
      <c r="B717" s="49"/>
      <c r="C717" s="49"/>
      <c r="D717" s="49"/>
      <c r="E717" s="47"/>
      <c r="F717" s="49"/>
      <c r="G717" s="49" t="b">
        <v>0</v>
      </c>
      <c r="H717" s="49"/>
      <c r="I717" s="49"/>
      <c r="J717" s="49"/>
      <c r="K717" s="49"/>
      <c r="L717" s="49"/>
      <c r="M717" s="49"/>
      <c r="N717" s="49"/>
      <c r="O717" s="49"/>
      <c r="P717" s="49"/>
      <c r="Q717" s="49"/>
      <c r="R717" s="49"/>
      <c r="S717" s="49"/>
      <c r="T717" s="49"/>
      <c r="U717" s="49"/>
    </row>
    <row r="718" spans="1:21" ht="13">
      <c r="A718" s="49"/>
      <c r="B718" s="49"/>
      <c r="C718" s="49"/>
      <c r="D718" s="49"/>
      <c r="E718" s="47"/>
      <c r="F718" s="49"/>
      <c r="G718" s="49" t="b">
        <v>0</v>
      </c>
      <c r="H718" s="49"/>
      <c r="I718" s="49"/>
      <c r="J718" s="49"/>
      <c r="K718" s="49"/>
      <c r="L718" s="49"/>
      <c r="M718" s="49"/>
      <c r="N718" s="49"/>
      <c r="O718" s="49"/>
      <c r="P718" s="49"/>
      <c r="Q718" s="49"/>
      <c r="R718" s="49"/>
      <c r="S718" s="49"/>
      <c r="T718" s="49"/>
      <c r="U718" s="49"/>
    </row>
    <row r="719" spans="1:21" ht="13">
      <c r="A719" s="49"/>
      <c r="B719" s="49"/>
      <c r="C719" s="49"/>
      <c r="D719" s="49"/>
      <c r="E719" s="47"/>
      <c r="F719" s="49"/>
      <c r="G719" s="49" t="b">
        <v>0</v>
      </c>
      <c r="H719" s="49"/>
      <c r="I719" s="49"/>
      <c r="J719" s="49"/>
      <c r="K719" s="49"/>
      <c r="L719" s="49"/>
      <c r="M719" s="49"/>
      <c r="N719" s="49"/>
      <c r="O719" s="49"/>
      <c r="P719" s="49"/>
      <c r="Q719" s="49"/>
      <c r="R719" s="49"/>
      <c r="S719" s="49"/>
      <c r="T719" s="49"/>
      <c r="U719" s="49"/>
    </row>
    <row r="720" spans="1:21" ht="13">
      <c r="A720" s="49"/>
      <c r="B720" s="49"/>
      <c r="C720" s="49"/>
      <c r="D720" s="49"/>
      <c r="E720" s="47"/>
      <c r="F720" s="49"/>
      <c r="G720" s="49" t="b">
        <v>0</v>
      </c>
      <c r="H720" s="49"/>
      <c r="I720" s="49"/>
      <c r="J720" s="49"/>
      <c r="K720" s="49"/>
      <c r="L720" s="49"/>
      <c r="M720" s="49"/>
      <c r="N720" s="49"/>
      <c r="O720" s="49"/>
      <c r="P720" s="49"/>
      <c r="Q720" s="49"/>
      <c r="R720" s="49"/>
      <c r="S720" s="49"/>
      <c r="T720" s="49"/>
      <c r="U720" s="49"/>
    </row>
    <row r="721" spans="1:21" ht="13">
      <c r="A721" s="49"/>
      <c r="B721" s="49"/>
      <c r="C721" s="49"/>
      <c r="D721" s="49"/>
      <c r="E721" s="47"/>
      <c r="F721" s="49"/>
      <c r="G721" s="49" t="b">
        <v>0</v>
      </c>
      <c r="H721" s="49"/>
      <c r="I721" s="49"/>
      <c r="J721" s="49"/>
      <c r="K721" s="49"/>
      <c r="L721" s="49"/>
      <c r="M721" s="49"/>
      <c r="N721" s="49"/>
      <c r="O721" s="49"/>
      <c r="P721" s="49"/>
      <c r="Q721" s="49"/>
      <c r="R721" s="49"/>
      <c r="S721" s="49"/>
      <c r="T721" s="49"/>
      <c r="U721" s="49"/>
    </row>
    <row r="722" spans="1:21" ht="13">
      <c r="A722" s="49"/>
      <c r="B722" s="49"/>
      <c r="C722" s="49"/>
      <c r="D722" s="49"/>
      <c r="E722" s="47"/>
      <c r="F722" s="49"/>
      <c r="G722" s="49" t="b">
        <v>0</v>
      </c>
      <c r="H722" s="49"/>
      <c r="I722" s="49"/>
      <c r="J722" s="49"/>
      <c r="K722" s="49"/>
      <c r="L722" s="49"/>
      <c r="M722" s="49"/>
      <c r="N722" s="49"/>
      <c r="O722" s="49"/>
      <c r="P722" s="49"/>
      <c r="Q722" s="49"/>
      <c r="R722" s="49"/>
      <c r="S722" s="49"/>
      <c r="T722" s="49"/>
      <c r="U722" s="49"/>
    </row>
    <row r="723" spans="1:21" ht="13">
      <c r="A723" s="49"/>
      <c r="B723" s="49"/>
      <c r="C723" s="49"/>
      <c r="D723" s="49"/>
      <c r="E723" s="47"/>
      <c r="F723" s="49"/>
      <c r="G723" s="49" t="b">
        <v>0</v>
      </c>
      <c r="H723" s="49"/>
      <c r="I723" s="49"/>
      <c r="J723" s="49"/>
      <c r="K723" s="49"/>
      <c r="L723" s="49"/>
      <c r="M723" s="49"/>
      <c r="N723" s="49"/>
      <c r="O723" s="49"/>
      <c r="P723" s="49"/>
      <c r="Q723" s="49"/>
      <c r="R723" s="49"/>
      <c r="S723" s="49"/>
      <c r="T723" s="49"/>
      <c r="U723" s="49"/>
    </row>
    <row r="724" spans="1:21" ht="13">
      <c r="A724" s="49"/>
      <c r="B724" s="49"/>
      <c r="C724" s="49"/>
      <c r="D724" s="49"/>
      <c r="E724" s="47"/>
      <c r="F724" s="49"/>
      <c r="G724" s="49" t="b">
        <v>0</v>
      </c>
      <c r="H724" s="49"/>
      <c r="I724" s="49"/>
      <c r="J724" s="49"/>
      <c r="K724" s="49"/>
      <c r="L724" s="49"/>
      <c r="M724" s="49"/>
      <c r="N724" s="49"/>
      <c r="O724" s="49"/>
      <c r="P724" s="49"/>
      <c r="Q724" s="49"/>
      <c r="R724" s="49"/>
      <c r="S724" s="49"/>
      <c r="T724" s="49"/>
      <c r="U724" s="49"/>
    </row>
    <row r="725" spans="1:21" ht="13">
      <c r="A725" s="49"/>
      <c r="B725" s="49"/>
      <c r="C725" s="49"/>
      <c r="D725" s="49"/>
      <c r="E725" s="47"/>
      <c r="F725" s="49"/>
      <c r="G725" s="49" t="b">
        <v>0</v>
      </c>
      <c r="H725" s="49"/>
      <c r="I725" s="49"/>
      <c r="J725" s="49"/>
      <c r="K725" s="49"/>
      <c r="L725" s="49"/>
      <c r="M725" s="49"/>
      <c r="N725" s="49"/>
      <c r="O725" s="49"/>
      <c r="P725" s="49"/>
      <c r="Q725" s="49"/>
      <c r="R725" s="49"/>
      <c r="S725" s="49"/>
      <c r="T725" s="49"/>
      <c r="U725" s="49"/>
    </row>
    <row r="726" spans="1:21" ht="13">
      <c r="A726" s="49"/>
      <c r="B726" s="49"/>
      <c r="C726" s="49"/>
      <c r="D726" s="49"/>
      <c r="E726" s="47"/>
      <c r="F726" s="49"/>
      <c r="G726" s="49" t="b">
        <v>0</v>
      </c>
      <c r="H726" s="49"/>
      <c r="I726" s="49"/>
      <c r="J726" s="49"/>
      <c r="K726" s="49"/>
      <c r="L726" s="49"/>
      <c r="M726" s="49"/>
      <c r="N726" s="49"/>
      <c r="O726" s="49"/>
      <c r="P726" s="49"/>
      <c r="Q726" s="49"/>
      <c r="R726" s="49"/>
      <c r="S726" s="49"/>
      <c r="T726" s="49"/>
      <c r="U726" s="49"/>
    </row>
    <row r="727" spans="1:21" ht="13">
      <c r="A727" s="49"/>
      <c r="B727" s="49"/>
      <c r="C727" s="49"/>
      <c r="D727" s="49"/>
      <c r="E727" s="47"/>
      <c r="F727" s="49"/>
      <c r="G727" s="49" t="b">
        <v>0</v>
      </c>
      <c r="H727" s="49"/>
      <c r="I727" s="49"/>
      <c r="J727" s="49"/>
      <c r="K727" s="49"/>
      <c r="L727" s="49"/>
      <c r="M727" s="49"/>
      <c r="N727" s="49"/>
      <c r="O727" s="49"/>
      <c r="P727" s="49"/>
      <c r="Q727" s="49"/>
      <c r="R727" s="49"/>
      <c r="S727" s="49"/>
      <c r="T727" s="49"/>
      <c r="U727" s="49"/>
    </row>
    <row r="728" spans="1:21" ht="13">
      <c r="A728" s="49"/>
      <c r="B728" s="49"/>
      <c r="C728" s="49"/>
      <c r="D728" s="49"/>
      <c r="E728" s="47"/>
      <c r="F728" s="49"/>
      <c r="G728" s="49" t="b">
        <v>0</v>
      </c>
      <c r="H728" s="49"/>
      <c r="I728" s="49"/>
      <c r="J728" s="49"/>
      <c r="K728" s="49"/>
      <c r="L728" s="49"/>
      <c r="M728" s="49"/>
      <c r="N728" s="49"/>
      <c r="O728" s="49"/>
      <c r="P728" s="49"/>
      <c r="Q728" s="49"/>
      <c r="R728" s="49"/>
      <c r="S728" s="49"/>
      <c r="T728" s="49"/>
      <c r="U728" s="49"/>
    </row>
    <row r="729" spans="1:21" ht="13">
      <c r="A729" s="49"/>
      <c r="B729" s="49"/>
      <c r="C729" s="49"/>
      <c r="D729" s="49"/>
      <c r="E729" s="47"/>
      <c r="F729" s="49"/>
      <c r="G729" s="49" t="b">
        <v>0</v>
      </c>
      <c r="H729" s="49"/>
      <c r="I729" s="49"/>
      <c r="J729" s="49"/>
      <c r="K729" s="49"/>
      <c r="L729" s="49"/>
      <c r="M729" s="49"/>
      <c r="N729" s="49"/>
      <c r="O729" s="49"/>
      <c r="P729" s="49"/>
      <c r="Q729" s="49"/>
      <c r="R729" s="49"/>
      <c r="S729" s="49"/>
      <c r="T729" s="49"/>
      <c r="U729" s="49"/>
    </row>
    <row r="730" spans="1:21" ht="13">
      <c r="A730" s="49"/>
      <c r="B730" s="49"/>
      <c r="C730" s="49"/>
      <c r="D730" s="49"/>
      <c r="E730" s="47"/>
      <c r="F730" s="49"/>
      <c r="G730" s="49" t="b">
        <v>0</v>
      </c>
      <c r="H730" s="49"/>
      <c r="I730" s="49"/>
      <c r="J730" s="49"/>
      <c r="K730" s="49"/>
      <c r="L730" s="49"/>
      <c r="M730" s="49"/>
      <c r="N730" s="49"/>
      <c r="O730" s="49"/>
      <c r="P730" s="49"/>
      <c r="Q730" s="49"/>
      <c r="R730" s="49"/>
      <c r="S730" s="49"/>
      <c r="T730" s="49"/>
      <c r="U730" s="49"/>
    </row>
    <row r="731" spans="1:21" ht="13">
      <c r="A731" s="49"/>
      <c r="B731" s="49"/>
      <c r="C731" s="49"/>
      <c r="D731" s="49"/>
      <c r="E731" s="47"/>
      <c r="F731" s="49"/>
      <c r="G731" s="49" t="b">
        <v>0</v>
      </c>
      <c r="H731" s="49"/>
      <c r="I731" s="49"/>
      <c r="J731" s="49"/>
      <c r="K731" s="49"/>
      <c r="L731" s="49"/>
      <c r="M731" s="49"/>
      <c r="N731" s="49"/>
      <c r="O731" s="49"/>
      <c r="P731" s="49"/>
      <c r="Q731" s="49"/>
      <c r="R731" s="49"/>
      <c r="S731" s="49"/>
      <c r="T731" s="49"/>
      <c r="U731" s="49"/>
    </row>
    <row r="732" spans="1:21" ht="13">
      <c r="A732" s="49"/>
      <c r="B732" s="49"/>
      <c r="C732" s="49"/>
      <c r="D732" s="49"/>
      <c r="E732" s="47"/>
      <c r="F732" s="49"/>
      <c r="G732" s="49" t="b">
        <v>0</v>
      </c>
      <c r="H732" s="49"/>
      <c r="I732" s="49"/>
      <c r="J732" s="49"/>
      <c r="K732" s="49"/>
      <c r="L732" s="49"/>
      <c r="M732" s="49"/>
      <c r="N732" s="49"/>
      <c r="O732" s="49"/>
      <c r="P732" s="49"/>
      <c r="Q732" s="49"/>
      <c r="R732" s="49"/>
      <c r="S732" s="49"/>
      <c r="T732" s="49"/>
      <c r="U732" s="49"/>
    </row>
    <row r="733" spans="1:21" ht="13">
      <c r="A733" s="49"/>
      <c r="B733" s="49"/>
      <c r="C733" s="49"/>
      <c r="D733" s="49"/>
      <c r="E733" s="47"/>
      <c r="F733" s="49"/>
      <c r="G733" s="49" t="b">
        <v>0</v>
      </c>
      <c r="H733" s="49"/>
      <c r="I733" s="49"/>
      <c r="J733" s="49"/>
      <c r="K733" s="49"/>
      <c r="L733" s="49"/>
      <c r="M733" s="49"/>
      <c r="N733" s="49"/>
      <c r="O733" s="49"/>
      <c r="P733" s="49"/>
      <c r="Q733" s="49"/>
      <c r="R733" s="49"/>
      <c r="S733" s="49"/>
      <c r="T733" s="49"/>
      <c r="U733" s="49"/>
    </row>
    <row r="734" spans="1:21" ht="13">
      <c r="A734" s="49"/>
      <c r="B734" s="49"/>
      <c r="C734" s="49"/>
      <c r="D734" s="49"/>
      <c r="E734" s="47"/>
      <c r="F734" s="49"/>
      <c r="G734" s="49" t="b">
        <v>0</v>
      </c>
      <c r="H734" s="49"/>
      <c r="I734" s="49"/>
      <c r="J734" s="49"/>
      <c r="K734" s="49"/>
      <c r="L734" s="49"/>
      <c r="M734" s="49"/>
      <c r="N734" s="49"/>
      <c r="O734" s="49"/>
      <c r="P734" s="49"/>
      <c r="Q734" s="49"/>
      <c r="R734" s="49"/>
      <c r="S734" s="49"/>
      <c r="T734" s="49"/>
      <c r="U734" s="49"/>
    </row>
    <row r="735" spans="1:21" ht="13">
      <c r="A735" s="49"/>
      <c r="B735" s="49"/>
      <c r="C735" s="49"/>
      <c r="D735" s="49"/>
      <c r="E735" s="47"/>
      <c r="F735" s="49"/>
      <c r="G735" s="49" t="b">
        <v>0</v>
      </c>
      <c r="H735" s="49"/>
      <c r="I735" s="49"/>
      <c r="J735" s="49"/>
      <c r="K735" s="49"/>
      <c r="L735" s="49"/>
      <c r="M735" s="49"/>
      <c r="N735" s="49"/>
      <c r="O735" s="49"/>
      <c r="P735" s="49"/>
      <c r="Q735" s="49"/>
      <c r="R735" s="49"/>
      <c r="S735" s="49"/>
      <c r="T735" s="49"/>
      <c r="U735" s="49"/>
    </row>
    <row r="736" spans="1:21" ht="13">
      <c r="A736" s="49"/>
      <c r="B736" s="49"/>
      <c r="C736" s="49"/>
      <c r="D736" s="49"/>
      <c r="E736" s="47"/>
      <c r="F736" s="49"/>
      <c r="G736" s="49" t="b">
        <v>0</v>
      </c>
      <c r="H736" s="49"/>
      <c r="I736" s="49"/>
      <c r="J736" s="49"/>
      <c r="K736" s="49"/>
      <c r="L736" s="49"/>
      <c r="M736" s="49"/>
      <c r="N736" s="49"/>
      <c r="O736" s="49"/>
      <c r="P736" s="49"/>
      <c r="Q736" s="49"/>
      <c r="R736" s="49"/>
      <c r="S736" s="49"/>
      <c r="T736" s="49"/>
      <c r="U736" s="49"/>
    </row>
    <row r="737" spans="1:21" ht="13">
      <c r="A737" s="49"/>
      <c r="B737" s="49"/>
      <c r="C737" s="49"/>
      <c r="D737" s="49"/>
      <c r="E737" s="47"/>
      <c r="F737" s="49"/>
      <c r="G737" s="49" t="b">
        <v>0</v>
      </c>
      <c r="H737" s="49"/>
      <c r="I737" s="49"/>
      <c r="J737" s="49"/>
      <c r="K737" s="49"/>
      <c r="L737" s="49"/>
      <c r="M737" s="49"/>
      <c r="N737" s="49"/>
      <c r="O737" s="49"/>
      <c r="P737" s="49"/>
      <c r="Q737" s="49"/>
      <c r="R737" s="49"/>
      <c r="S737" s="49"/>
      <c r="T737" s="49"/>
      <c r="U737" s="49"/>
    </row>
    <row r="738" spans="1:21" ht="13">
      <c r="A738" s="49"/>
      <c r="B738" s="49"/>
      <c r="C738" s="49"/>
      <c r="D738" s="49"/>
      <c r="E738" s="47"/>
      <c r="F738" s="49"/>
      <c r="G738" s="49" t="b">
        <v>0</v>
      </c>
      <c r="H738" s="49"/>
      <c r="I738" s="49"/>
      <c r="J738" s="49"/>
      <c r="K738" s="49"/>
      <c r="L738" s="49"/>
      <c r="M738" s="49"/>
      <c r="N738" s="49"/>
      <c r="O738" s="49"/>
      <c r="P738" s="49"/>
      <c r="Q738" s="49"/>
      <c r="R738" s="49"/>
      <c r="S738" s="49"/>
      <c r="T738" s="49"/>
      <c r="U738" s="49"/>
    </row>
    <row r="739" spans="1:21" ht="13">
      <c r="A739" s="49"/>
      <c r="B739" s="49"/>
      <c r="C739" s="49"/>
      <c r="D739" s="49"/>
      <c r="E739" s="47"/>
      <c r="F739" s="49"/>
      <c r="G739" s="49" t="b">
        <v>0</v>
      </c>
      <c r="H739" s="49"/>
      <c r="I739" s="49"/>
      <c r="J739" s="49"/>
      <c r="K739" s="49"/>
      <c r="L739" s="49"/>
      <c r="M739" s="49"/>
      <c r="N739" s="49"/>
      <c r="O739" s="49"/>
      <c r="P739" s="49"/>
      <c r="Q739" s="49"/>
      <c r="R739" s="49"/>
      <c r="S739" s="49"/>
      <c r="T739" s="49"/>
      <c r="U739" s="49"/>
    </row>
    <row r="740" spans="1:21" ht="13">
      <c r="A740" s="49"/>
      <c r="B740" s="49"/>
      <c r="C740" s="49"/>
      <c r="D740" s="49"/>
      <c r="E740" s="47"/>
      <c r="F740" s="49"/>
      <c r="G740" s="49" t="b">
        <v>0</v>
      </c>
      <c r="H740" s="49"/>
      <c r="I740" s="49"/>
      <c r="J740" s="49"/>
      <c r="K740" s="49"/>
      <c r="L740" s="49"/>
      <c r="M740" s="49"/>
      <c r="N740" s="49"/>
      <c r="O740" s="49"/>
      <c r="P740" s="49"/>
      <c r="Q740" s="49"/>
      <c r="R740" s="49"/>
      <c r="S740" s="49"/>
      <c r="T740" s="49"/>
      <c r="U740" s="49"/>
    </row>
    <row r="741" spans="1:21" ht="13">
      <c r="A741" s="49"/>
      <c r="B741" s="49"/>
      <c r="C741" s="49"/>
      <c r="D741" s="49"/>
      <c r="E741" s="47"/>
      <c r="F741" s="49"/>
      <c r="G741" s="49" t="b">
        <v>0</v>
      </c>
      <c r="H741" s="49"/>
      <c r="I741" s="49"/>
      <c r="J741" s="49"/>
      <c r="K741" s="49"/>
      <c r="L741" s="49"/>
      <c r="M741" s="49"/>
      <c r="N741" s="49"/>
      <c r="O741" s="49"/>
      <c r="P741" s="49"/>
      <c r="Q741" s="49"/>
      <c r="R741" s="49"/>
      <c r="S741" s="49"/>
      <c r="T741" s="49"/>
      <c r="U741" s="49"/>
    </row>
    <row r="742" spans="1:21" ht="13">
      <c r="A742" s="49"/>
      <c r="B742" s="49"/>
      <c r="C742" s="49"/>
      <c r="D742" s="49"/>
      <c r="E742" s="47"/>
      <c r="F742" s="49"/>
      <c r="G742" s="49" t="b">
        <v>0</v>
      </c>
      <c r="H742" s="49"/>
      <c r="I742" s="49"/>
      <c r="J742" s="49"/>
      <c r="K742" s="49"/>
      <c r="L742" s="49"/>
      <c r="M742" s="49"/>
      <c r="N742" s="49"/>
      <c r="O742" s="49"/>
      <c r="P742" s="49"/>
      <c r="Q742" s="49"/>
      <c r="R742" s="49"/>
      <c r="S742" s="49"/>
      <c r="T742" s="49"/>
      <c r="U742" s="49"/>
    </row>
    <row r="743" spans="1:21" ht="13">
      <c r="A743" s="49"/>
      <c r="B743" s="49"/>
      <c r="C743" s="49"/>
      <c r="D743" s="49"/>
      <c r="E743" s="47"/>
      <c r="F743" s="49"/>
      <c r="G743" s="49" t="b">
        <v>0</v>
      </c>
      <c r="H743" s="49"/>
      <c r="I743" s="49"/>
      <c r="J743" s="49"/>
      <c r="K743" s="49"/>
      <c r="L743" s="49"/>
      <c r="M743" s="49"/>
      <c r="N743" s="49"/>
      <c r="O743" s="49"/>
      <c r="P743" s="49"/>
      <c r="Q743" s="49"/>
      <c r="R743" s="49"/>
      <c r="S743" s="49"/>
      <c r="T743" s="49"/>
      <c r="U743" s="49"/>
    </row>
    <row r="744" spans="1:21" ht="13">
      <c r="A744" s="49"/>
      <c r="B744" s="49"/>
      <c r="C744" s="49"/>
      <c r="D744" s="49"/>
      <c r="E744" s="47"/>
      <c r="F744" s="49"/>
      <c r="G744" s="49" t="b">
        <v>0</v>
      </c>
      <c r="H744" s="49"/>
      <c r="I744" s="49"/>
      <c r="J744" s="49"/>
      <c r="K744" s="49"/>
      <c r="L744" s="49"/>
      <c r="M744" s="49"/>
      <c r="N744" s="49"/>
      <c r="O744" s="49"/>
      <c r="P744" s="49"/>
      <c r="Q744" s="49"/>
      <c r="R744" s="49"/>
      <c r="S744" s="49"/>
      <c r="T744" s="49"/>
      <c r="U744" s="49"/>
    </row>
    <row r="745" spans="1:21" ht="13">
      <c r="A745" s="49"/>
      <c r="B745" s="49"/>
      <c r="C745" s="49"/>
      <c r="D745" s="49"/>
      <c r="E745" s="47"/>
      <c r="F745" s="49"/>
      <c r="G745" s="49" t="b">
        <v>0</v>
      </c>
      <c r="H745" s="49"/>
      <c r="I745" s="49"/>
      <c r="J745" s="49"/>
      <c r="K745" s="49"/>
      <c r="L745" s="49"/>
      <c r="M745" s="49"/>
      <c r="N745" s="49"/>
      <c r="O745" s="49"/>
      <c r="P745" s="49"/>
      <c r="Q745" s="49"/>
      <c r="R745" s="49"/>
      <c r="S745" s="49"/>
      <c r="T745" s="49"/>
      <c r="U745" s="49"/>
    </row>
    <row r="746" spans="1:21" ht="13">
      <c r="A746" s="49"/>
      <c r="B746" s="49"/>
      <c r="C746" s="49"/>
      <c r="D746" s="49"/>
      <c r="E746" s="47"/>
      <c r="F746" s="49"/>
      <c r="G746" s="49" t="b">
        <v>0</v>
      </c>
      <c r="H746" s="49"/>
      <c r="I746" s="49"/>
      <c r="J746" s="49"/>
      <c r="K746" s="49"/>
      <c r="L746" s="49"/>
      <c r="M746" s="49"/>
      <c r="N746" s="49"/>
      <c r="O746" s="49"/>
      <c r="P746" s="49"/>
      <c r="Q746" s="49"/>
      <c r="R746" s="49"/>
      <c r="S746" s="49"/>
      <c r="T746" s="49"/>
      <c r="U746" s="49"/>
    </row>
    <row r="747" spans="1:21" ht="13">
      <c r="A747" s="49"/>
      <c r="B747" s="49"/>
      <c r="C747" s="49"/>
      <c r="D747" s="49"/>
      <c r="E747" s="47"/>
      <c r="F747" s="49"/>
      <c r="G747" s="49" t="b">
        <v>0</v>
      </c>
      <c r="H747" s="49"/>
      <c r="I747" s="49"/>
      <c r="J747" s="49"/>
      <c r="K747" s="49"/>
      <c r="L747" s="49"/>
      <c r="M747" s="49"/>
      <c r="N747" s="49"/>
      <c r="O747" s="49"/>
      <c r="P747" s="49"/>
      <c r="Q747" s="49"/>
      <c r="R747" s="49"/>
      <c r="S747" s="49"/>
      <c r="T747" s="49"/>
      <c r="U747" s="49"/>
    </row>
    <row r="748" spans="1:21" ht="13">
      <c r="A748" s="49"/>
      <c r="B748" s="49"/>
      <c r="C748" s="49"/>
      <c r="D748" s="49"/>
      <c r="E748" s="47"/>
      <c r="F748" s="49"/>
      <c r="G748" s="49" t="b">
        <v>0</v>
      </c>
      <c r="H748" s="49"/>
      <c r="I748" s="49"/>
      <c r="J748" s="49"/>
      <c r="K748" s="49"/>
      <c r="L748" s="49"/>
      <c r="M748" s="49"/>
      <c r="N748" s="49"/>
      <c r="O748" s="49"/>
      <c r="P748" s="49"/>
      <c r="Q748" s="49"/>
      <c r="R748" s="49"/>
      <c r="S748" s="49"/>
      <c r="T748" s="49"/>
      <c r="U748" s="49"/>
    </row>
    <row r="749" spans="1:21" ht="13">
      <c r="A749" s="49"/>
      <c r="B749" s="49"/>
      <c r="C749" s="49"/>
      <c r="D749" s="49"/>
      <c r="E749" s="47"/>
      <c r="F749" s="49"/>
      <c r="G749" s="49" t="b">
        <v>0</v>
      </c>
      <c r="H749" s="49"/>
      <c r="I749" s="49"/>
      <c r="J749" s="49"/>
      <c r="K749" s="49"/>
      <c r="L749" s="49"/>
      <c r="M749" s="49"/>
      <c r="N749" s="49"/>
      <c r="O749" s="49"/>
      <c r="P749" s="49"/>
      <c r="Q749" s="49"/>
      <c r="R749" s="49"/>
      <c r="S749" s="49"/>
      <c r="T749" s="49"/>
      <c r="U749" s="49"/>
    </row>
    <row r="750" spans="1:21" ht="13">
      <c r="A750" s="49"/>
      <c r="B750" s="49"/>
      <c r="C750" s="49"/>
      <c r="D750" s="49"/>
      <c r="E750" s="47"/>
      <c r="F750" s="49"/>
      <c r="G750" s="49" t="b">
        <v>0</v>
      </c>
      <c r="H750" s="49"/>
      <c r="I750" s="49"/>
      <c r="J750" s="49"/>
      <c r="K750" s="49"/>
      <c r="L750" s="49"/>
      <c r="M750" s="49"/>
      <c r="N750" s="49"/>
      <c r="O750" s="49"/>
      <c r="P750" s="49"/>
      <c r="Q750" s="49"/>
      <c r="R750" s="49"/>
      <c r="S750" s="49"/>
      <c r="T750" s="49"/>
      <c r="U750" s="49"/>
    </row>
    <row r="751" spans="1:21" ht="13">
      <c r="A751" s="49"/>
      <c r="B751" s="49"/>
      <c r="C751" s="49"/>
      <c r="D751" s="49"/>
      <c r="E751" s="47"/>
      <c r="F751" s="49"/>
      <c r="G751" s="49" t="b">
        <v>0</v>
      </c>
      <c r="H751" s="49"/>
      <c r="I751" s="49"/>
      <c r="J751" s="49"/>
      <c r="K751" s="49"/>
      <c r="L751" s="49"/>
      <c r="M751" s="49"/>
      <c r="N751" s="49"/>
      <c r="O751" s="49"/>
      <c r="P751" s="49"/>
      <c r="Q751" s="49"/>
      <c r="R751" s="49"/>
      <c r="S751" s="49"/>
      <c r="T751" s="49"/>
      <c r="U751" s="49"/>
    </row>
    <row r="752" spans="1:21" ht="13">
      <c r="A752" s="49"/>
      <c r="B752" s="49"/>
      <c r="C752" s="49"/>
      <c r="D752" s="49"/>
      <c r="E752" s="47"/>
      <c r="F752" s="49"/>
      <c r="G752" s="49" t="b">
        <v>0</v>
      </c>
      <c r="H752" s="49"/>
      <c r="I752" s="49"/>
      <c r="J752" s="49"/>
      <c r="K752" s="49"/>
      <c r="L752" s="49"/>
      <c r="M752" s="49"/>
      <c r="N752" s="49"/>
      <c r="O752" s="49"/>
      <c r="P752" s="49"/>
      <c r="Q752" s="49"/>
      <c r="R752" s="49"/>
      <c r="S752" s="49"/>
      <c r="T752" s="49"/>
      <c r="U752" s="49"/>
    </row>
    <row r="753" spans="1:21" ht="13">
      <c r="A753" s="49"/>
      <c r="B753" s="49"/>
      <c r="C753" s="49"/>
      <c r="D753" s="49"/>
      <c r="E753" s="47"/>
      <c r="F753" s="49"/>
      <c r="G753" s="49" t="b">
        <v>0</v>
      </c>
      <c r="H753" s="49"/>
      <c r="I753" s="49"/>
      <c r="J753" s="49"/>
      <c r="K753" s="49"/>
      <c r="L753" s="49"/>
      <c r="M753" s="49"/>
      <c r="N753" s="49"/>
      <c r="O753" s="49"/>
      <c r="P753" s="49"/>
      <c r="Q753" s="49"/>
      <c r="R753" s="49"/>
      <c r="S753" s="49"/>
      <c r="T753" s="49"/>
      <c r="U753" s="49"/>
    </row>
    <row r="754" spans="1:21" ht="13">
      <c r="A754" s="49"/>
      <c r="B754" s="49"/>
      <c r="C754" s="49"/>
      <c r="D754" s="49"/>
      <c r="E754" s="47"/>
      <c r="F754" s="49"/>
      <c r="G754" s="49" t="b">
        <v>0</v>
      </c>
      <c r="H754" s="49"/>
      <c r="I754" s="49"/>
      <c r="J754" s="49"/>
      <c r="K754" s="49"/>
      <c r="L754" s="49"/>
      <c r="M754" s="49"/>
      <c r="N754" s="49"/>
      <c r="O754" s="49"/>
      <c r="P754" s="49"/>
      <c r="Q754" s="49"/>
      <c r="R754" s="49"/>
      <c r="S754" s="49"/>
      <c r="T754" s="49"/>
      <c r="U754" s="49"/>
    </row>
    <row r="755" spans="1:21" ht="13">
      <c r="A755" s="49"/>
      <c r="B755" s="49"/>
      <c r="C755" s="49"/>
      <c r="D755" s="49"/>
      <c r="E755" s="47"/>
      <c r="F755" s="49"/>
      <c r="G755" s="49" t="b">
        <v>0</v>
      </c>
      <c r="H755" s="49"/>
      <c r="I755" s="49"/>
      <c r="J755" s="49"/>
      <c r="K755" s="49"/>
      <c r="L755" s="49"/>
      <c r="M755" s="49"/>
      <c r="N755" s="49"/>
      <c r="O755" s="49"/>
      <c r="P755" s="49"/>
      <c r="Q755" s="49"/>
      <c r="R755" s="49"/>
      <c r="S755" s="49"/>
      <c r="T755" s="49"/>
      <c r="U755" s="49"/>
    </row>
    <row r="756" spans="1:21" ht="13">
      <c r="A756" s="49"/>
      <c r="B756" s="49"/>
      <c r="C756" s="49"/>
      <c r="D756" s="49"/>
      <c r="E756" s="47"/>
      <c r="F756" s="49"/>
      <c r="G756" s="49" t="b">
        <v>0</v>
      </c>
      <c r="H756" s="49"/>
      <c r="I756" s="49"/>
      <c r="J756" s="49"/>
      <c r="K756" s="49"/>
      <c r="L756" s="49"/>
      <c r="M756" s="49"/>
      <c r="N756" s="49"/>
      <c r="O756" s="49"/>
      <c r="P756" s="49"/>
      <c r="Q756" s="49"/>
      <c r="R756" s="49"/>
      <c r="S756" s="49"/>
      <c r="T756" s="49"/>
      <c r="U756" s="49"/>
    </row>
    <row r="757" spans="1:21" ht="13">
      <c r="A757" s="49"/>
      <c r="B757" s="49"/>
      <c r="C757" s="49"/>
      <c r="D757" s="49"/>
      <c r="E757" s="47"/>
      <c r="F757" s="49"/>
      <c r="G757" s="49" t="b">
        <v>0</v>
      </c>
      <c r="H757" s="49"/>
      <c r="I757" s="49"/>
      <c r="J757" s="49"/>
      <c r="K757" s="49"/>
      <c r="L757" s="49"/>
      <c r="M757" s="49"/>
      <c r="N757" s="49"/>
      <c r="O757" s="49"/>
      <c r="P757" s="49"/>
      <c r="Q757" s="49"/>
      <c r="R757" s="49"/>
      <c r="S757" s="49"/>
      <c r="T757" s="49"/>
      <c r="U757" s="49"/>
    </row>
    <row r="758" spans="1:21" ht="13">
      <c r="A758" s="49"/>
      <c r="B758" s="49"/>
      <c r="C758" s="49"/>
      <c r="D758" s="49"/>
      <c r="E758" s="47"/>
      <c r="F758" s="49"/>
      <c r="G758" s="49" t="b">
        <v>0</v>
      </c>
      <c r="H758" s="49"/>
      <c r="I758" s="49"/>
      <c r="J758" s="49"/>
      <c r="K758" s="49"/>
      <c r="L758" s="49"/>
      <c r="M758" s="49"/>
      <c r="N758" s="49"/>
      <c r="O758" s="49"/>
      <c r="P758" s="49"/>
      <c r="Q758" s="49"/>
      <c r="R758" s="49"/>
      <c r="S758" s="49"/>
      <c r="T758" s="49"/>
      <c r="U758" s="49"/>
    </row>
    <row r="759" spans="1:21" ht="13">
      <c r="A759" s="49"/>
      <c r="B759" s="49"/>
      <c r="C759" s="49"/>
      <c r="D759" s="49"/>
      <c r="E759" s="47"/>
      <c r="F759" s="49"/>
      <c r="G759" s="49" t="b">
        <v>0</v>
      </c>
      <c r="H759" s="49"/>
      <c r="I759" s="49"/>
      <c r="J759" s="49"/>
      <c r="K759" s="49"/>
      <c r="L759" s="49"/>
      <c r="M759" s="49"/>
      <c r="N759" s="49"/>
      <c r="O759" s="49"/>
      <c r="P759" s="49"/>
      <c r="Q759" s="49"/>
      <c r="R759" s="49"/>
      <c r="S759" s="49"/>
      <c r="T759" s="49"/>
      <c r="U759" s="49"/>
    </row>
    <row r="760" spans="1:21" ht="13">
      <c r="A760" s="49"/>
      <c r="B760" s="49"/>
      <c r="C760" s="49"/>
      <c r="D760" s="49"/>
      <c r="E760" s="47"/>
      <c r="F760" s="49"/>
      <c r="G760" s="49" t="b">
        <v>0</v>
      </c>
      <c r="H760" s="49"/>
      <c r="I760" s="49"/>
      <c r="J760" s="49"/>
      <c r="K760" s="49"/>
      <c r="L760" s="49"/>
      <c r="M760" s="49"/>
      <c r="N760" s="49"/>
      <c r="O760" s="49"/>
      <c r="P760" s="49"/>
      <c r="Q760" s="49"/>
      <c r="R760" s="49"/>
      <c r="S760" s="49"/>
      <c r="T760" s="49"/>
      <c r="U760" s="49"/>
    </row>
    <row r="761" spans="1:21" ht="13">
      <c r="A761" s="49"/>
      <c r="B761" s="49"/>
      <c r="C761" s="49"/>
      <c r="D761" s="49"/>
      <c r="E761" s="47"/>
      <c r="F761" s="49"/>
      <c r="G761" s="49" t="b">
        <v>0</v>
      </c>
      <c r="H761" s="49"/>
      <c r="I761" s="49"/>
      <c r="J761" s="49"/>
      <c r="K761" s="49"/>
      <c r="L761" s="49"/>
      <c r="M761" s="49"/>
      <c r="N761" s="49"/>
      <c r="O761" s="49"/>
      <c r="P761" s="49"/>
      <c r="Q761" s="49"/>
      <c r="R761" s="49"/>
      <c r="S761" s="49"/>
      <c r="T761" s="49"/>
      <c r="U761" s="49"/>
    </row>
    <row r="762" spans="1:21" ht="13">
      <c r="A762" s="49"/>
      <c r="B762" s="49"/>
      <c r="C762" s="49"/>
      <c r="D762" s="49"/>
      <c r="E762" s="47"/>
      <c r="F762" s="49"/>
      <c r="G762" s="49" t="b">
        <v>0</v>
      </c>
      <c r="H762" s="49"/>
      <c r="I762" s="49"/>
      <c r="J762" s="49"/>
      <c r="K762" s="49"/>
      <c r="L762" s="49"/>
      <c r="M762" s="49"/>
      <c r="N762" s="49"/>
      <c r="O762" s="49"/>
      <c r="P762" s="49"/>
      <c r="Q762" s="49"/>
      <c r="R762" s="49"/>
      <c r="S762" s="49"/>
      <c r="T762" s="49"/>
      <c r="U762" s="49"/>
    </row>
    <row r="763" spans="1:21" ht="13">
      <c r="A763" s="49"/>
      <c r="B763" s="49"/>
      <c r="C763" s="49"/>
      <c r="D763" s="49"/>
      <c r="E763" s="47"/>
      <c r="F763" s="49"/>
      <c r="G763" s="49" t="b">
        <v>0</v>
      </c>
      <c r="H763" s="49"/>
      <c r="I763" s="49"/>
      <c r="J763" s="49"/>
      <c r="K763" s="49"/>
      <c r="L763" s="49"/>
      <c r="M763" s="49"/>
      <c r="N763" s="49"/>
      <c r="O763" s="49"/>
      <c r="P763" s="49"/>
      <c r="Q763" s="49"/>
      <c r="R763" s="49"/>
      <c r="S763" s="49"/>
      <c r="T763" s="49"/>
      <c r="U763" s="49"/>
    </row>
    <row r="764" spans="1:21" ht="13">
      <c r="A764" s="49"/>
      <c r="B764" s="49"/>
      <c r="C764" s="49"/>
      <c r="D764" s="49"/>
      <c r="E764" s="47"/>
      <c r="F764" s="49"/>
      <c r="G764" s="49" t="b">
        <v>0</v>
      </c>
      <c r="H764" s="49"/>
      <c r="I764" s="49"/>
      <c r="J764" s="49"/>
      <c r="K764" s="49"/>
      <c r="L764" s="49"/>
      <c r="M764" s="49"/>
      <c r="N764" s="49"/>
      <c r="O764" s="49"/>
      <c r="P764" s="49"/>
      <c r="Q764" s="49"/>
      <c r="R764" s="49"/>
      <c r="S764" s="49"/>
      <c r="T764" s="49"/>
      <c r="U764" s="49"/>
    </row>
    <row r="765" spans="1:21" ht="13">
      <c r="A765" s="49"/>
      <c r="B765" s="49"/>
      <c r="C765" s="49"/>
      <c r="D765" s="49"/>
      <c r="E765" s="47"/>
      <c r="F765" s="49"/>
      <c r="G765" s="49" t="b">
        <v>0</v>
      </c>
      <c r="H765" s="49"/>
      <c r="I765" s="49"/>
      <c r="J765" s="49"/>
      <c r="K765" s="49"/>
      <c r="L765" s="49"/>
      <c r="M765" s="49"/>
      <c r="N765" s="49"/>
      <c r="O765" s="49"/>
      <c r="P765" s="49"/>
      <c r="Q765" s="49"/>
      <c r="R765" s="49"/>
      <c r="S765" s="49"/>
      <c r="T765" s="49"/>
      <c r="U765" s="49"/>
    </row>
    <row r="766" spans="1:21" ht="13">
      <c r="A766" s="49"/>
      <c r="B766" s="49"/>
      <c r="C766" s="49"/>
      <c r="D766" s="49"/>
      <c r="E766" s="47"/>
      <c r="F766" s="49"/>
      <c r="G766" s="49" t="b">
        <v>0</v>
      </c>
      <c r="H766" s="49"/>
      <c r="I766" s="49"/>
      <c r="J766" s="49"/>
      <c r="K766" s="49"/>
      <c r="L766" s="49"/>
      <c r="M766" s="49"/>
      <c r="N766" s="49"/>
      <c r="O766" s="49"/>
      <c r="P766" s="49"/>
      <c r="Q766" s="49"/>
      <c r="R766" s="49"/>
      <c r="S766" s="49"/>
      <c r="T766" s="49"/>
      <c r="U766" s="49"/>
    </row>
    <row r="767" spans="1:21" ht="13">
      <c r="A767" s="49"/>
      <c r="B767" s="49"/>
      <c r="C767" s="49"/>
      <c r="D767" s="49"/>
      <c r="E767" s="47"/>
      <c r="F767" s="49"/>
      <c r="G767" s="49" t="b">
        <v>0</v>
      </c>
      <c r="H767" s="49"/>
      <c r="I767" s="49"/>
      <c r="J767" s="49"/>
      <c r="K767" s="49"/>
      <c r="L767" s="49"/>
      <c r="M767" s="49"/>
      <c r="N767" s="49"/>
      <c r="O767" s="49"/>
      <c r="P767" s="49"/>
      <c r="Q767" s="49"/>
      <c r="R767" s="49"/>
      <c r="S767" s="49"/>
      <c r="T767" s="49"/>
      <c r="U767" s="49"/>
    </row>
    <row r="768" spans="1:21" ht="13">
      <c r="A768" s="49"/>
      <c r="B768" s="49"/>
      <c r="C768" s="49"/>
      <c r="D768" s="49"/>
      <c r="E768" s="47"/>
      <c r="F768" s="49"/>
      <c r="G768" s="49" t="b">
        <v>0</v>
      </c>
      <c r="H768" s="49"/>
      <c r="I768" s="49"/>
      <c r="J768" s="49"/>
      <c r="K768" s="49"/>
      <c r="L768" s="49"/>
      <c r="M768" s="49"/>
      <c r="N768" s="49"/>
      <c r="O768" s="49"/>
      <c r="P768" s="49"/>
      <c r="Q768" s="49"/>
      <c r="R768" s="49"/>
      <c r="S768" s="49"/>
      <c r="T768" s="49"/>
      <c r="U768" s="49"/>
    </row>
    <row r="769" spans="1:21" ht="13">
      <c r="A769" s="49"/>
      <c r="B769" s="49"/>
      <c r="C769" s="49"/>
      <c r="D769" s="49"/>
      <c r="E769" s="47"/>
      <c r="F769" s="49"/>
      <c r="G769" s="49" t="b">
        <v>0</v>
      </c>
      <c r="H769" s="49"/>
      <c r="I769" s="49"/>
      <c r="J769" s="49"/>
      <c r="K769" s="49"/>
      <c r="L769" s="49"/>
      <c r="M769" s="49"/>
      <c r="N769" s="49"/>
      <c r="O769" s="49"/>
      <c r="P769" s="49"/>
      <c r="Q769" s="49"/>
      <c r="R769" s="49"/>
      <c r="S769" s="49"/>
      <c r="T769" s="49"/>
      <c r="U769" s="49"/>
    </row>
    <row r="770" spans="1:21" ht="13">
      <c r="A770" s="49"/>
      <c r="B770" s="49"/>
      <c r="C770" s="49"/>
      <c r="D770" s="49"/>
      <c r="E770" s="47"/>
      <c r="F770" s="49"/>
      <c r="G770" s="49" t="b">
        <v>0</v>
      </c>
      <c r="H770" s="49"/>
      <c r="I770" s="49"/>
      <c r="J770" s="49"/>
      <c r="K770" s="49"/>
      <c r="L770" s="49"/>
      <c r="M770" s="49"/>
      <c r="N770" s="49"/>
      <c r="O770" s="49"/>
      <c r="P770" s="49"/>
      <c r="Q770" s="49"/>
      <c r="R770" s="49"/>
      <c r="S770" s="49"/>
      <c r="T770" s="49"/>
      <c r="U770" s="49"/>
    </row>
    <row r="771" spans="1:21" ht="13">
      <c r="A771" s="49"/>
      <c r="B771" s="49"/>
      <c r="C771" s="49"/>
      <c r="D771" s="49"/>
      <c r="E771" s="47"/>
      <c r="F771" s="49"/>
      <c r="G771" s="49" t="b">
        <v>0</v>
      </c>
      <c r="H771" s="49"/>
      <c r="I771" s="49"/>
      <c r="J771" s="49"/>
      <c r="K771" s="49"/>
      <c r="L771" s="49"/>
      <c r="M771" s="49"/>
      <c r="N771" s="49"/>
      <c r="O771" s="49"/>
      <c r="P771" s="49"/>
      <c r="Q771" s="49"/>
      <c r="R771" s="49"/>
      <c r="S771" s="49"/>
      <c r="T771" s="49"/>
      <c r="U771" s="49"/>
    </row>
    <row r="772" spans="1:21" ht="13">
      <c r="A772" s="49"/>
      <c r="B772" s="49"/>
      <c r="C772" s="49"/>
      <c r="D772" s="49"/>
      <c r="E772" s="47"/>
      <c r="F772" s="49"/>
      <c r="G772" s="49" t="b">
        <v>0</v>
      </c>
      <c r="H772" s="49"/>
      <c r="I772" s="49"/>
      <c r="J772" s="49"/>
      <c r="K772" s="49"/>
      <c r="L772" s="49"/>
      <c r="M772" s="49"/>
      <c r="N772" s="49"/>
      <c r="O772" s="49"/>
      <c r="P772" s="49"/>
      <c r="Q772" s="49"/>
      <c r="R772" s="49"/>
      <c r="S772" s="49"/>
      <c r="T772" s="49"/>
      <c r="U772" s="49"/>
    </row>
    <row r="773" spans="1:21" ht="13">
      <c r="A773" s="49"/>
      <c r="B773" s="49"/>
      <c r="C773" s="49"/>
      <c r="D773" s="49"/>
      <c r="E773" s="47"/>
      <c r="F773" s="49"/>
      <c r="G773" s="49" t="b">
        <v>0</v>
      </c>
      <c r="H773" s="49"/>
      <c r="I773" s="49"/>
      <c r="J773" s="49"/>
      <c r="K773" s="49"/>
      <c r="L773" s="49"/>
      <c r="M773" s="49"/>
      <c r="N773" s="49"/>
      <c r="O773" s="49"/>
      <c r="P773" s="49"/>
      <c r="Q773" s="49"/>
      <c r="R773" s="49"/>
      <c r="S773" s="49"/>
      <c r="T773" s="49"/>
      <c r="U773" s="49"/>
    </row>
    <row r="774" spans="1:21" ht="13">
      <c r="A774" s="49"/>
      <c r="B774" s="49"/>
      <c r="C774" s="49"/>
      <c r="D774" s="49"/>
      <c r="E774" s="47"/>
      <c r="F774" s="49"/>
      <c r="G774" s="49" t="b">
        <v>0</v>
      </c>
      <c r="H774" s="49"/>
      <c r="I774" s="49"/>
      <c r="J774" s="49"/>
      <c r="K774" s="49"/>
      <c r="L774" s="49"/>
      <c r="M774" s="49"/>
      <c r="N774" s="49"/>
      <c r="O774" s="49"/>
      <c r="P774" s="49"/>
      <c r="Q774" s="49"/>
      <c r="R774" s="49"/>
      <c r="S774" s="49"/>
      <c r="T774" s="49"/>
      <c r="U774" s="49"/>
    </row>
    <row r="775" spans="1:21" ht="13">
      <c r="A775" s="49"/>
      <c r="B775" s="49"/>
      <c r="C775" s="49"/>
      <c r="D775" s="49"/>
      <c r="E775" s="47"/>
      <c r="F775" s="49"/>
      <c r="G775" s="49" t="b">
        <v>0</v>
      </c>
      <c r="H775" s="49"/>
      <c r="I775" s="49"/>
      <c r="J775" s="49"/>
      <c r="K775" s="49"/>
      <c r="L775" s="49"/>
      <c r="M775" s="49"/>
      <c r="N775" s="49"/>
      <c r="O775" s="49"/>
      <c r="P775" s="49"/>
      <c r="Q775" s="49"/>
      <c r="R775" s="49"/>
      <c r="S775" s="49"/>
      <c r="T775" s="49"/>
      <c r="U775" s="49"/>
    </row>
    <row r="776" spans="1:21" ht="13">
      <c r="A776" s="49"/>
      <c r="B776" s="49"/>
      <c r="C776" s="49"/>
      <c r="D776" s="49"/>
      <c r="E776" s="47"/>
      <c r="F776" s="49"/>
      <c r="G776" s="49" t="b">
        <v>0</v>
      </c>
      <c r="H776" s="49"/>
      <c r="I776" s="49"/>
      <c r="J776" s="49"/>
      <c r="K776" s="49"/>
      <c r="L776" s="49"/>
      <c r="M776" s="49"/>
      <c r="N776" s="49"/>
      <c r="O776" s="49"/>
      <c r="P776" s="49"/>
      <c r="Q776" s="49"/>
      <c r="R776" s="49"/>
      <c r="S776" s="49"/>
      <c r="T776" s="49"/>
      <c r="U776" s="49"/>
    </row>
    <row r="777" spans="1:21" ht="13">
      <c r="A777" s="49"/>
      <c r="B777" s="49"/>
      <c r="C777" s="49"/>
      <c r="D777" s="49"/>
      <c r="E777" s="47"/>
      <c r="F777" s="49"/>
      <c r="G777" s="49" t="b">
        <v>0</v>
      </c>
      <c r="H777" s="49"/>
      <c r="I777" s="49"/>
      <c r="J777" s="49"/>
      <c r="K777" s="49"/>
      <c r="L777" s="49"/>
      <c r="M777" s="49"/>
      <c r="N777" s="49"/>
      <c r="O777" s="49"/>
      <c r="P777" s="49"/>
      <c r="Q777" s="49"/>
      <c r="R777" s="49"/>
      <c r="S777" s="49"/>
      <c r="T777" s="49"/>
      <c r="U777" s="49"/>
    </row>
    <row r="778" spans="1:21" ht="13">
      <c r="A778" s="49"/>
      <c r="B778" s="49"/>
      <c r="C778" s="49"/>
      <c r="D778" s="49"/>
      <c r="E778" s="47"/>
      <c r="F778" s="49"/>
      <c r="G778" s="49" t="b">
        <v>0</v>
      </c>
      <c r="H778" s="49"/>
      <c r="I778" s="49"/>
      <c r="J778" s="49"/>
      <c r="K778" s="49"/>
      <c r="L778" s="49"/>
      <c r="M778" s="49"/>
      <c r="N778" s="49"/>
      <c r="O778" s="49"/>
      <c r="P778" s="49"/>
      <c r="Q778" s="49"/>
      <c r="R778" s="49"/>
      <c r="S778" s="49"/>
      <c r="T778" s="49"/>
      <c r="U778" s="49"/>
    </row>
    <row r="779" spans="1:21" ht="13">
      <c r="A779" s="49"/>
      <c r="B779" s="49"/>
      <c r="C779" s="49"/>
      <c r="D779" s="49"/>
      <c r="E779" s="47"/>
      <c r="F779" s="49"/>
      <c r="G779" s="49" t="b">
        <v>0</v>
      </c>
      <c r="H779" s="49"/>
      <c r="I779" s="49"/>
      <c r="J779" s="49"/>
      <c r="K779" s="49"/>
      <c r="L779" s="49"/>
      <c r="M779" s="49"/>
      <c r="N779" s="49"/>
      <c r="O779" s="49"/>
      <c r="P779" s="49"/>
      <c r="Q779" s="49"/>
      <c r="R779" s="49"/>
      <c r="S779" s="49"/>
      <c r="T779" s="49"/>
      <c r="U779" s="49"/>
    </row>
    <row r="780" spans="1:21" ht="13">
      <c r="A780" s="49"/>
      <c r="B780" s="49"/>
      <c r="C780" s="49"/>
      <c r="D780" s="49"/>
      <c r="E780" s="47"/>
      <c r="F780" s="49"/>
      <c r="G780" s="49" t="b">
        <v>0</v>
      </c>
      <c r="H780" s="49"/>
      <c r="I780" s="49"/>
      <c r="J780" s="49"/>
      <c r="K780" s="49"/>
      <c r="L780" s="49"/>
      <c r="M780" s="49"/>
      <c r="N780" s="49"/>
      <c r="O780" s="49"/>
      <c r="P780" s="49"/>
      <c r="Q780" s="49"/>
      <c r="R780" s="49"/>
      <c r="S780" s="49"/>
      <c r="T780" s="49"/>
      <c r="U780" s="49"/>
    </row>
    <row r="781" spans="1:21" ht="13">
      <c r="A781" s="49"/>
      <c r="B781" s="49"/>
      <c r="C781" s="49"/>
      <c r="D781" s="49"/>
      <c r="E781" s="47"/>
      <c r="F781" s="49"/>
      <c r="G781" s="49" t="b">
        <v>0</v>
      </c>
      <c r="H781" s="49"/>
      <c r="I781" s="49"/>
      <c r="J781" s="49"/>
      <c r="K781" s="49"/>
      <c r="L781" s="49"/>
      <c r="M781" s="49"/>
      <c r="N781" s="49"/>
      <c r="O781" s="49"/>
      <c r="P781" s="49"/>
      <c r="Q781" s="49"/>
      <c r="R781" s="49"/>
      <c r="S781" s="49"/>
      <c r="T781" s="49"/>
      <c r="U781" s="49"/>
    </row>
    <row r="782" spans="1:21" ht="13">
      <c r="A782" s="49"/>
      <c r="B782" s="49"/>
      <c r="C782" s="49"/>
      <c r="D782" s="49"/>
      <c r="E782" s="47"/>
      <c r="F782" s="49"/>
      <c r="G782" s="49" t="b">
        <v>0</v>
      </c>
      <c r="H782" s="49"/>
      <c r="I782" s="49"/>
      <c r="J782" s="49"/>
      <c r="K782" s="49"/>
      <c r="L782" s="49"/>
      <c r="M782" s="49"/>
      <c r="N782" s="49"/>
      <c r="O782" s="49"/>
      <c r="P782" s="49"/>
      <c r="Q782" s="49"/>
      <c r="R782" s="49"/>
      <c r="S782" s="49"/>
      <c r="T782" s="49"/>
      <c r="U782" s="49"/>
    </row>
    <row r="783" spans="1:21" ht="13">
      <c r="A783" s="49"/>
      <c r="B783" s="49"/>
      <c r="C783" s="49"/>
      <c r="D783" s="49"/>
      <c r="E783" s="47"/>
      <c r="F783" s="49"/>
      <c r="G783" s="49" t="b">
        <v>0</v>
      </c>
      <c r="H783" s="49"/>
      <c r="I783" s="49"/>
      <c r="J783" s="49"/>
      <c r="K783" s="49"/>
      <c r="L783" s="49"/>
      <c r="M783" s="49"/>
      <c r="N783" s="49"/>
      <c r="O783" s="49"/>
      <c r="P783" s="49"/>
      <c r="Q783" s="49"/>
      <c r="R783" s="49"/>
      <c r="S783" s="49"/>
      <c r="T783" s="49"/>
      <c r="U783" s="49"/>
    </row>
    <row r="784" spans="1:21" ht="13">
      <c r="A784" s="49"/>
      <c r="B784" s="49"/>
      <c r="C784" s="49"/>
      <c r="D784" s="49"/>
      <c r="E784" s="47"/>
      <c r="F784" s="49"/>
      <c r="G784" s="49" t="b">
        <v>0</v>
      </c>
      <c r="H784" s="49"/>
      <c r="I784" s="49"/>
      <c r="J784" s="49"/>
      <c r="K784" s="49"/>
      <c r="L784" s="49"/>
      <c r="M784" s="49"/>
      <c r="N784" s="49"/>
      <c r="O784" s="49"/>
      <c r="P784" s="49"/>
      <c r="Q784" s="49"/>
      <c r="R784" s="49"/>
      <c r="S784" s="49"/>
      <c r="T784" s="49"/>
      <c r="U784" s="49"/>
    </row>
    <row r="785" spans="1:21" ht="13">
      <c r="A785" s="49"/>
      <c r="B785" s="49"/>
      <c r="C785" s="49"/>
      <c r="D785" s="49"/>
      <c r="E785" s="47"/>
      <c r="F785" s="49"/>
      <c r="G785" s="49" t="b">
        <v>0</v>
      </c>
      <c r="H785" s="49"/>
      <c r="I785" s="49"/>
      <c r="J785" s="49"/>
      <c r="K785" s="49"/>
      <c r="L785" s="49"/>
      <c r="M785" s="49"/>
      <c r="N785" s="49"/>
      <c r="O785" s="49"/>
      <c r="P785" s="49"/>
      <c r="Q785" s="49"/>
      <c r="R785" s="49"/>
      <c r="S785" s="49"/>
      <c r="T785" s="49"/>
      <c r="U785" s="49"/>
    </row>
    <row r="786" spans="1:21" ht="13">
      <c r="A786" s="49"/>
      <c r="B786" s="49"/>
      <c r="C786" s="49"/>
      <c r="D786" s="49"/>
      <c r="E786" s="47"/>
      <c r="F786" s="49"/>
      <c r="G786" s="49" t="b">
        <v>0</v>
      </c>
      <c r="H786" s="49"/>
      <c r="I786" s="49"/>
      <c r="J786" s="49"/>
      <c r="K786" s="49"/>
      <c r="L786" s="49"/>
      <c r="M786" s="49"/>
      <c r="N786" s="49"/>
      <c r="O786" s="49"/>
      <c r="P786" s="49"/>
      <c r="Q786" s="49"/>
      <c r="R786" s="49"/>
      <c r="S786" s="49"/>
      <c r="T786" s="49"/>
      <c r="U786" s="49"/>
    </row>
  </sheetData>
  <mergeCells count="1">
    <mergeCell ref="A1:E1"/>
  </mergeCells>
  <conditionalFormatting sqref="A1:A786">
    <cfRule type="containsText" dxfId="11" priority="1" operator="containsText" text="Unassigned">
      <formula>NOT(ISERROR(SEARCH(("Unassigned"),(A1))))</formula>
    </cfRule>
  </conditionalFormatting>
  <dataValidations count="3">
    <dataValidation type="list" allowBlank="1" sqref="A3:A786" xr:uid="{00000000-0002-0000-0300-000000000000}">
      <formula1>"Assigned,Contacted,Follow up email,Declined,Unassigned,Unresponsive"</formula1>
    </dataValidation>
    <dataValidation type="list" allowBlank="1" sqref="D3:D786" xr:uid="{00000000-0002-0000-0300-000001000000}">
      <formula1>"Actionability,Gene Disease Validity,Variant Pathogenicity,Dosage Sensitivity,Somatic Cancer,Baseline,NA"</formula1>
    </dataValidation>
    <dataValidation type="list" allowBlank="1" sqref="C3:C786" xr:uid="{00000000-0002-0000-0300-000002000000}">
      <formula1>"Yes,No"</formula1>
    </dataValidation>
  </dataValidations>
  <printOptions horizontalCentered="1" gridLines="1"/>
  <pageMargins left="0.7" right="0.7" top="0.75" bottom="0.75" header="0" footer="0"/>
  <pageSetup fitToHeight="0" pageOrder="overThenDown" orientation="landscape" cellComments="atEnd"/>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0"/>
  <sheetViews>
    <sheetView workbookViewId="0"/>
  </sheetViews>
  <sheetFormatPr baseColWidth="10" defaultColWidth="14.5" defaultRowHeight="15.75" customHeight="1"/>
  <cols>
    <col min="1" max="1" width="15.83203125" customWidth="1"/>
    <col min="2" max="2" width="18.5" customWidth="1"/>
    <col min="3" max="3" width="16.83203125" customWidth="1"/>
    <col min="4" max="4" width="19.33203125" customWidth="1"/>
    <col min="5" max="5" width="20.1640625" customWidth="1"/>
    <col min="6" max="6" width="17.83203125" customWidth="1"/>
    <col min="7" max="7" width="24.1640625" customWidth="1"/>
    <col min="8" max="8" width="29.1640625" customWidth="1"/>
    <col min="9" max="9" width="38.5" customWidth="1"/>
  </cols>
  <sheetData>
    <row r="1" spans="1:26" ht="15.75" customHeight="1">
      <c r="A1" s="177" t="s">
        <v>7</v>
      </c>
      <c r="B1" s="178"/>
      <c r="C1" s="178"/>
      <c r="D1" s="178"/>
      <c r="E1" s="178"/>
      <c r="F1" s="179"/>
      <c r="G1" s="177" t="s">
        <v>38</v>
      </c>
      <c r="H1" s="179"/>
      <c r="I1" s="49"/>
      <c r="J1" s="49"/>
      <c r="K1" s="49"/>
      <c r="L1" s="49"/>
      <c r="M1" s="49"/>
      <c r="N1" s="49"/>
      <c r="O1" s="49"/>
      <c r="P1" s="49"/>
      <c r="Q1" s="49"/>
      <c r="R1" s="49"/>
      <c r="S1" s="49"/>
      <c r="T1" s="49"/>
      <c r="U1" s="49"/>
      <c r="V1" s="49"/>
      <c r="W1" s="49"/>
      <c r="X1" s="49"/>
      <c r="Y1" s="49"/>
      <c r="Z1" s="49"/>
    </row>
    <row r="2" spans="1:26" ht="15.75" customHeight="1">
      <c r="A2" s="21" t="s">
        <v>0</v>
      </c>
      <c r="B2" s="21" t="s">
        <v>72</v>
      </c>
      <c r="C2" s="21" t="s">
        <v>73</v>
      </c>
      <c r="D2" s="85" t="s">
        <v>74</v>
      </c>
      <c r="E2" s="21" t="s">
        <v>76</v>
      </c>
      <c r="F2" s="21" t="s">
        <v>327</v>
      </c>
      <c r="G2" s="85" t="s">
        <v>81</v>
      </c>
      <c r="H2" s="21" t="s">
        <v>82</v>
      </c>
      <c r="I2" s="49"/>
      <c r="J2" s="49"/>
      <c r="K2" s="49"/>
      <c r="L2" s="49"/>
      <c r="M2" s="49"/>
      <c r="N2" s="49"/>
      <c r="O2" s="49"/>
      <c r="P2" s="49"/>
      <c r="Q2" s="49"/>
      <c r="R2" s="49"/>
      <c r="S2" s="49"/>
      <c r="T2" s="49"/>
      <c r="U2" s="49"/>
      <c r="V2" s="49"/>
      <c r="W2" s="49"/>
      <c r="X2" s="49"/>
      <c r="Y2" s="49"/>
      <c r="Z2" s="49"/>
    </row>
    <row r="3" spans="1:26" ht="15.75" customHeight="1">
      <c r="A3" s="62" t="str">
        <f ca="1">IFERROR(__xludf.DUMMYFUNCTION("filter(Assignments!B3:B1000,Assignments!O3:O1000=""Baseline"")"),"Contacted")</f>
        <v>Contacted</v>
      </c>
      <c r="B3" s="62" t="str">
        <f ca="1">IFERROR(__xludf.DUMMYFUNCTION("filter(Assignments!C3:C1000,Assignments!O3:O1000=""Baseline"")"),"")</f>
        <v/>
      </c>
      <c r="C3" s="49" t="str">
        <f ca="1">IFERROR(__xludf.DUMMYFUNCTION("filter(Assignments!D3:D1000,Assignments!O3:O1000=""Baseline"")"),"")</f>
        <v/>
      </c>
      <c r="D3" s="62" t="str">
        <f ca="1">IFERROR(__xludf.DUMMYFUNCTION("filter(Assignments!E3:E1000,Assignments!O3:O1000=""Baseline"")"),"No")</f>
        <v>No</v>
      </c>
      <c r="E3" s="62" t="str">
        <f ca="1">IFERROR(__xludf.DUMMYFUNCTION("filter(Assignments!G3:G1000,Assignments!O3:O1000=""Baseline"")"),"Baseline")</f>
        <v>Baseline</v>
      </c>
      <c r="F3" s="49" t="str">
        <f ca="1">IFERROR(__xludf.DUMMYFUNCTION("filter(Assignments!H3:H1000,Assignments!O3:O1000=""Baseline"")"),"")</f>
        <v/>
      </c>
      <c r="G3" s="49" t="str">
        <f ca="1">IFERROR(__xludf.DUMMYFUNCTION("filter(Assignments!L3:L1000,Assignments!O3:O1000=""Baseline"")"),"Julyann Pérez Mayoral")</f>
        <v>Julyann Pérez Mayoral</v>
      </c>
      <c r="H3" s="49" t="str">
        <f ca="1">IFERROR(__xludf.DUMMYFUNCTION("filter(Assignments!M3:M1000,Assignments!O3:O1000=""Baseline"")"),"julyann.perez@upr.edu")</f>
        <v>julyann.perez@upr.edu</v>
      </c>
      <c r="I3" s="62" t="str">
        <f ca="1">IFERROR(__xludf.DUMMYFUNCTION("filter(Assignments!N3:N1000,Assignments!O3:O1000=""Baseline"")"),"Post Doc/Resident/Fellow (MD and/or PhD)")</f>
        <v>Post Doc/Resident/Fellow (MD and/or PhD)</v>
      </c>
      <c r="J3" s="49"/>
      <c r="K3" s="49"/>
      <c r="L3" s="49"/>
      <c r="M3" s="49"/>
      <c r="N3" s="49"/>
      <c r="O3" s="49"/>
      <c r="P3" s="49"/>
      <c r="Q3" s="49"/>
      <c r="R3" s="49"/>
      <c r="S3" s="49"/>
      <c r="T3" s="49"/>
      <c r="U3" s="49"/>
      <c r="V3" s="49"/>
      <c r="W3" s="49"/>
      <c r="X3" s="49"/>
      <c r="Y3" s="49"/>
      <c r="Z3" s="49"/>
    </row>
    <row r="4" spans="1:26" ht="15.75" customHeight="1">
      <c r="A4" s="49" t="str">
        <f ca="1">IFERROR(__xludf.DUMMYFUNCTION("""COMPUTED_VALUE"""),"Contacted")</f>
        <v>Contacted</v>
      </c>
      <c r="B4" s="49" t="str">
        <f ca="1">IFERROR(__xludf.DUMMYFUNCTION("""COMPUTED_VALUE"""),"")</f>
        <v/>
      </c>
      <c r="C4" s="49" t="str">
        <f ca="1">IFERROR(__xludf.DUMMYFUNCTION("""COMPUTED_VALUE"""),"")</f>
        <v/>
      </c>
      <c r="D4" s="49" t="str">
        <f ca="1">IFERROR(__xludf.DUMMYFUNCTION("""COMPUTED_VALUE"""),"No")</f>
        <v>No</v>
      </c>
      <c r="E4" s="49" t="str">
        <f ca="1">IFERROR(__xludf.DUMMYFUNCTION("""COMPUTED_VALUE"""),"Baseline")</f>
        <v>Baseline</v>
      </c>
      <c r="F4" s="49" t="str">
        <f ca="1">IFERROR(__xludf.DUMMYFUNCTION("""COMPUTED_VALUE"""),"")</f>
        <v/>
      </c>
      <c r="G4" s="49" t="str">
        <f ca="1">IFERROR(__xludf.DUMMYFUNCTION("""COMPUTED_VALUE"""),"Jun Shen")</f>
        <v>Jun Shen</v>
      </c>
      <c r="H4" s="49" t="str">
        <f ca="1">IFERROR(__xludf.DUMMYFUNCTION("""COMPUTED_VALUE"""),"jshen5@bwh.harvard.edu")</f>
        <v>jshen5@bwh.harvard.edu</v>
      </c>
      <c r="I4" s="49" t="str">
        <f ca="1">IFERROR(__xludf.DUMMYFUNCTION("""COMPUTED_VALUE"""),"Clinical laboratory geneticist")</f>
        <v>Clinical laboratory geneticist</v>
      </c>
      <c r="J4" s="49"/>
      <c r="K4" s="49"/>
      <c r="L4" s="49"/>
      <c r="M4" s="49"/>
      <c r="N4" s="49"/>
      <c r="O4" s="49"/>
      <c r="P4" s="49"/>
      <c r="Q4" s="49"/>
      <c r="R4" s="49"/>
      <c r="S4" s="49"/>
      <c r="T4" s="49"/>
      <c r="U4" s="49"/>
      <c r="V4" s="49"/>
      <c r="W4" s="49"/>
      <c r="X4" s="49"/>
      <c r="Y4" s="49"/>
      <c r="Z4" s="49"/>
    </row>
    <row r="5" spans="1:26" ht="15.75" customHeight="1">
      <c r="A5" s="49" t="str">
        <f ca="1">IFERROR(__xludf.DUMMYFUNCTION("""COMPUTED_VALUE"""),"Contacted")</f>
        <v>Contacted</v>
      </c>
      <c r="B5" s="49" t="str">
        <f ca="1">IFERROR(__xludf.DUMMYFUNCTION("""COMPUTED_VALUE"""),"")</f>
        <v/>
      </c>
      <c r="C5" s="49" t="str">
        <f ca="1">IFERROR(__xludf.DUMMYFUNCTION("""COMPUTED_VALUE"""),"")</f>
        <v/>
      </c>
      <c r="D5" s="49" t="str">
        <f ca="1">IFERROR(__xludf.DUMMYFUNCTION("""COMPUTED_VALUE"""),"No")</f>
        <v>No</v>
      </c>
      <c r="E5" s="49" t="str">
        <f ca="1">IFERROR(__xludf.DUMMYFUNCTION("""COMPUTED_VALUE"""),"Baseline")</f>
        <v>Baseline</v>
      </c>
      <c r="F5" s="49" t="str">
        <f ca="1">IFERROR(__xludf.DUMMYFUNCTION("""COMPUTED_VALUE"""),"")</f>
        <v/>
      </c>
      <c r="G5" s="49" t="str">
        <f ca="1">IFERROR(__xludf.DUMMYFUNCTION("""COMPUTED_VALUE"""),"Indu Raja")</f>
        <v>Indu Raja</v>
      </c>
      <c r="H5" s="49" t="str">
        <f ca="1">IFERROR(__xludf.DUMMYFUNCTION("""COMPUTED_VALUE"""),"indudraja@gmail.com")</f>
        <v>indudraja@gmail.com</v>
      </c>
      <c r="I5" s="49" t="str">
        <f ca="1">IFERROR(__xludf.DUMMYFUNCTION("""COMPUTED_VALUE"""),"laboratory technologist")</f>
        <v>laboratory technologist</v>
      </c>
      <c r="J5" s="49"/>
      <c r="K5" s="49"/>
      <c r="L5" s="49"/>
      <c r="M5" s="49"/>
      <c r="N5" s="49"/>
      <c r="O5" s="49"/>
      <c r="P5" s="49"/>
      <c r="Q5" s="49"/>
      <c r="R5" s="49"/>
      <c r="S5" s="49"/>
      <c r="T5" s="49"/>
      <c r="U5" s="49"/>
      <c r="V5" s="49"/>
      <c r="W5" s="49"/>
      <c r="X5" s="49"/>
      <c r="Y5" s="49"/>
      <c r="Z5" s="49"/>
    </row>
    <row r="6" spans="1:26" ht="15.75" customHeight="1">
      <c r="A6" s="49" t="str">
        <f ca="1">IFERROR(__xludf.DUMMYFUNCTION("""COMPUTED_VALUE"""),"Contacted")</f>
        <v>Contacted</v>
      </c>
      <c r="B6" s="49" t="str">
        <f ca="1">IFERROR(__xludf.DUMMYFUNCTION("""COMPUTED_VALUE"""),"")</f>
        <v/>
      </c>
      <c r="C6" s="49" t="str">
        <f ca="1">IFERROR(__xludf.DUMMYFUNCTION("""COMPUTED_VALUE"""),"")</f>
        <v/>
      </c>
      <c r="D6" s="49" t="str">
        <f ca="1">IFERROR(__xludf.DUMMYFUNCTION("""COMPUTED_VALUE"""),"No")</f>
        <v>No</v>
      </c>
      <c r="E6" s="49" t="str">
        <f ca="1">IFERROR(__xludf.DUMMYFUNCTION("""COMPUTED_VALUE"""),"Baseline")</f>
        <v>Baseline</v>
      </c>
      <c r="F6" s="49" t="str">
        <f ca="1">IFERROR(__xludf.DUMMYFUNCTION("""COMPUTED_VALUE"""),"")</f>
        <v/>
      </c>
      <c r="G6" s="49" t="str">
        <f ca="1">IFERROR(__xludf.DUMMYFUNCTION("""COMPUTED_VALUE"""),"Casey Brew")</f>
        <v>Casey Brew</v>
      </c>
      <c r="H6" s="49" t="str">
        <f ca="1">IFERROR(__xludf.DUMMYFUNCTION("""COMPUTED_VALUE"""),"cbrew@luriechildrens.org")</f>
        <v>cbrew@luriechildrens.org</v>
      </c>
      <c r="I6" s="49" t="str">
        <f ca="1">IFERROR(__xludf.DUMMYFUNCTION("""COMPUTED_VALUE"""),"Genetic counselor")</f>
        <v>Genetic counselor</v>
      </c>
      <c r="J6" s="49"/>
      <c r="K6" s="49"/>
      <c r="L6" s="49"/>
      <c r="M6" s="49"/>
      <c r="N6" s="49"/>
      <c r="O6" s="49"/>
      <c r="P6" s="49"/>
      <c r="Q6" s="49"/>
      <c r="R6" s="49"/>
      <c r="S6" s="49"/>
      <c r="T6" s="49"/>
      <c r="U6" s="49"/>
      <c r="V6" s="49"/>
      <c r="W6" s="49"/>
      <c r="X6" s="49"/>
      <c r="Y6" s="49"/>
      <c r="Z6" s="49"/>
    </row>
    <row r="7" spans="1:26" ht="15.75" customHeight="1">
      <c r="A7" s="49" t="str">
        <f ca="1">IFERROR(__xludf.DUMMYFUNCTION("""COMPUTED_VALUE"""),"Contacted")</f>
        <v>Contacted</v>
      </c>
      <c r="B7" s="49" t="str">
        <f ca="1">IFERROR(__xludf.DUMMYFUNCTION("""COMPUTED_VALUE"""),"")</f>
        <v/>
      </c>
      <c r="C7" s="49" t="str">
        <f ca="1">IFERROR(__xludf.DUMMYFUNCTION("""COMPUTED_VALUE"""),"")</f>
        <v/>
      </c>
      <c r="D7" s="49" t="str">
        <f ca="1">IFERROR(__xludf.DUMMYFUNCTION("""COMPUTED_VALUE"""),"No")</f>
        <v>No</v>
      </c>
      <c r="E7" s="49" t="str">
        <f ca="1">IFERROR(__xludf.DUMMYFUNCTION("""COMPUTED_VALUE"""),"Baseline")</f>
        <v>Baseline</v>
      </c>
      <c r="F7" s="49" t="str">
        <f ca="1">IFERROR(__xludf.DUMMYFUNCTION("""COMPUTED_VALUE"""),"")</f>
        <v/>
      </c>
      <c r="G7" s="49" t="str">
        <f ca="1">IFERROR(__xludf.DUMMYFUNCTION("""COMPUTED_VALUE"""),"Danielle Croucher")</f>
        <v>Danielle Croucher</v>
      </c>
      <c r="H7" s="49" t="str">
        <f ca="1">IFERROR(__xludf.DUMMYFUNCTION("""COMPUTED_VALUE"""),"d.croucher@mail.utoronto.ca")</f>
        <v>d.croucher@mail.utoronto.ca</v>
      </c>
      <c r="I7" s="49" t="str">
        <f ca="1">IFERROR(__xludf.DUMMYFUNCTION("""COMPUTED_VALUE"""),"Graduate Student")</f>
        <v>Graduate Student</v>
      </c>
      <c r="J7" s="49"/>
      <c r="K7" s="49"/>
      <c r="L7" s="49"/>
      <c r="M7" s="49"/>
      <c r="N7" s="49"/>
      <c r="O7" s="49"/>
      <c r="P7" s="49"/>
      <c r="Q7" s="49"/>
      <c r="R7" s="49"/>
      <c r="S7" s="49"/>
      <c r="T7" s="49"/>
      <c r="U7" s="49"/>
      <c r="V7" s="49"/>
      <c r="W7" s="49"/>
      <c r="X7" s="49"/>
      <c r="Y7" s="49"/>
      <c r="Z7" s="49"/>
    </row>
    <row r="8" spans="1:26" ht="15.75" customHeight="1">
      <c r="A8" s="49" t="str">
        <f ca="1">IFERROR(__xludf.DUMMYFUNCTION("""COMPUTED_VALUE"""),"Contacted")</f>
        <v>Contacted</v>
      </c>
      <c r="B8" s="49" t="str">
        <f ca="1">IFERROR(__xludf.DUMMYFUNCTION("""COMPUTED_VALUE"""),"")</f>
        <v/>
      </c>
      <c r="C8" s="49" t="str">
        <f ca="1">IFERROR(__xludf.DUMMYFUNCTION("""COMPUTED_VALUE"""),"")</f>
        <v/>
      </c>
      <c r="D8" s="49" t="str">
        <f ca="1">IFERROR(__xludf.DUMMYFUNCTION("""COMPUTED_VALUE"""),"No")</f>
        <v>No</v>
      </c>
      <c r="E8" s="49" t="str">
        <f ca="1">IFERROR(__xludf.DUMMYFUNCTION("""COMPUTED_VALUE"""),"Baseline")</f>
        <v>Baseline</v>
      </c>
      <c r="F8" s="49" t="str">
        <f ca="1">IFERROR(__xludf.DUMMYFUNCTION("""COMPUTED_VALUE"""),"")</f>
        <v/>
      </c>
      <c r="G8" s="49" t="str">
        <f ca="1">IFERROR(__xludf.DUMMYFUNCTION("""COMPUTED_VALUE"""),"Fadel Alyaquob")</f>
        <v>Fadel Alyaquob</v>
      </c>
      <c r="H8" s="49" t="str">
        <f ca="1">IFERROR(__xludf.DUMMYFUNCTION("""COMPUTED_VALUE"""),"falyaqoub1@yahoo.com")</f>
        <v>falyaqoub1@yahoo.com</v>
      </c>
      <c r="I8" s="49" t="str">
        <f ca="1">IFERROR(__xludf.DUMMYFUNCTION("""COMPUTED_VALUE"""),"Variant Analyst/Scientist")</f>
        <v>Variant Analyst/Scientist</v>
      </c>
      <c r="J8" s="49"/>
      <c r="K8" s="49"/>
      <c r="L8" s="49"/>
      <c r="M8" s="49"/>
      <c r="N8" s="49"/>
      <c r="O8" s="49"/>
      <c r="P8" s="49"/>
      <c r="Q8" s="49"/>
      <c r="R8" s="49"/>
      <c r="S8" s="49"/>
      <c r="T8" s="49"/>
      <c r="U8" s="49"/>
      <c r="V8" s="49"/>
      <c r="W8" s="49"/>
      <c r="X8" s="49"/>
      <c r="Y8" s="49"/>
      <c r="Z8" s="49"/>
    </row>
    <row r="9" spans="1:26" ht="15.75" customHeight="1">
      <c r="A9" s="49" t="str">
        <f ca="1">IFERROR(__xludf.DUMMYFUNCTION("""COMPUTED_VALUE"""),"Contacted")</f>
        <v>Contacted</v>
      </c>
      <c r="B9" s="49" t="str">
        <f ca="1">IFERROR(__xludf.DUMMYFUNCTION("""COMPUTED_VALUE"""),"")</f>
        <v/>
      </c>
      <c r="C9" s="49" t="str">
        <f ca="1">IFERROR(__xludf.DUMMYFUNCTION("""COMPUTED_VALUE"""),"")</f>
        <v/>
      </c>
      <c r="D9" s="49" t="str">
        <f ca="1">IFERROR(__xludf.DUMMYFUNCTION("""COMPUTED_VALUE"""),"No")</f>
        <v>No</v>
      </c>
      <c r="E9" s="49" t="str">
        <f ca="1">IFERROR(__xludf.DUMMYFUNCTION("""COMPUTED_VALUE"""),"Baseline")</f>
        <v>Baseline</v>
      </c>
      <c r="F9" s="49" t="str">
        <f ca="1">IFERROR(__xludf.DUMMYFUNCTION("""COMPUTED_VALUE"""),"")</f>
        <v/>
      </c>
      <c r="G9" s="49" t="str">
        <f ca="1">IFERROR(__xludf.DUMMYFUNCTION("""COMPUTED_VALUE"""),"Hilary Racher")</f>
        <v>Hilary Racher</v>
      </c>
      <c r="H9" s="49" t="str">
        <f ca="1">IFERROR(__xludf.DUMMYFUNCTION("""COMPUTED_VALUE"""),"racherh@dynacare.ca")</f>
        <v>racherh@dynacare.ca</v>
      </c>
      <c r="I9" s="49" t="str">
        <f ca="1">IFERROR(__xludf.DUMMYFUNCTION("""COMPUTED_VALUE"""),"Clinical laboratory geneticist")</f>
        <v>Clinical laboratory geneticist</v>
      </c>
      <c r="J9" s="49"/>
      <c r="K9" s="49"/>
      <c r="L9" s="49"/>
      <c r="M9" s="49"/>
      <c r="N9" s="49"/>
      <c r="O9" s="49"/>
      <c r="P9" s="49"/>
      <c r="Q9" s="49"/>
      <c r="R9" s="49"/>
      <c r="S9" s="49"/>
      <c r="T9" s="49"/>
      <c r="U9" s="49"/>
      <c r="V9" s="49"/>
      <c r="W9" s="49"/>
      <c r="X9" s="49"/>
      <c r="Y9" s="49"/>
      <c r="Z9" s="49"/>
    </row>
    <row r="10" spans="1:26" ht="15.75" customHeight="1">
      <c r="A10" s="49" t="str">
        <f ca="1">IFERROR(__xludf.DUMMYFUNCTION("""COMPUTED_VALUE"""),"Contacted")</f>
        <v>Contacted</v>
      </c>
      <c r="B10" s="49" t="str">
        <f ca="1">IFERROR(__xludf.DUMMYFUNCTION("""COMPUTED_VALUE"""),"")</f>
        <v/>
      </c>
      <c r="C10" s="49" t="str">
        <f ca="1">IFERROR(__xludf.DUMMYFUNCTION("""COMPUTED_VALUE"""),"")</f>
        <v/>
      </c>
      <c r="D10" s="49" t="str">
        <f ca="1">IFERROR(__xludf.DUMMYFUNCTION("""COMPUTED_VALUE"""),"No")</f>
        <v>No</v>
      </c>
      <c r="E10" s="49" t="str">
        <f ca="1">IFERROR(__xludf.DUMMYFUNCTION("""COMPUTED_VALUE"""),"Baseline")</f>
        <v>Baseline</v>
      </c>
      <c r="F10" s="49" t="str">
        <f ca="1">IFERROR(__xludf.DUMMYFUNCTION("""COMPUTED_VALUE"""),"")</f>
        <v/>
      </c>
      <c r="G10" s="49" t="str">
        <f ca="1">IFERROR(__xludf.DUMMYFUNCTION("""COMPUTED_VALUE"""),"Juan Dong")</f>
        <v>Juan Dong</v>
      </c>
      <c r="H10" s="49" t="str">
        <f ca="1">IFERROR(__xludf.DUMMYFUNCTION("""COMPUTED_VALUE"""),"juan.dong@preventiongenetics.com")</f>
        <v>juan.dong@preventiongenetics.com</v>
      </c>
      <c r="I10" s="49" t="str">
        <f ca="1">IFERROR(__xludf.DUMMYFUNCTION("""COMPUTED_VALUE"""),"Clinical laboratory geneticist")</f>
        <v>Clinical laboratory geneticist</v>
      </c>
      <c r="J10" s="49"/>
      <c r="K10" s="49"/>
      <c r="L10" s="49"/>
      <c r="M10" s="49"/>
      <c r="N10" s="49"/>
      <c r="O10" s="49"/>
      <c r="P10" s="49"/>
      <c r="Q10" s="49"/>
      <c r="R10" s="49"/>
      <c r="S10" s="49"/>
      <c r="T10" s="49"/>
      <c r="U10" s="49"/>
      <c r="V10" s="49"/>
      <c r="W10" s="49"/>
      <c r="X10" s="49"/>
      <c r="Y10" s="49"/>
      <c r="Z10" s="49"/>
    </row>
    <row r="11" spans="1:26" ht="15.75" customHeight="1">
      <c r="A11" s="49" t="str">
        <f ca="1">IFERROR(__xludf.DUMMYFUNCTION("""COMPUTED_VALUE"""),"Contacted")</f>
        <v>Contacted</v>
      </c>
      <c r="B11" s="49" t="str">
        <f ca="1">IFERROR(__xludf.DUMMYFUNCTION("""COMPUTED_VALUE"""),"")</f>
        <v/>
      </c>
      <c r="C11" s="49" t="str">
        <f ca="1">IFERROR(__xludf.DUMMYFUNCTION("""COMPUTED_VALUE"""),"")</f>
        <v/>
      </c>
      <c r="D11" s="49" t="str">
        <f ca="1">IFERROR(__xludf.DUMMYFUNCTION("""COMPUTED_VALUE"""),"No")</f>
        <v>No</v>
      </c>
      <c r="E11" s="49" t="str">
        <f ca="1">IFERROR(__xludf.DUMMYFUNCTION("""COMPUTED_VALUE"""),"Baseline")</f>
        <v>Baseline</v>
      </c>
      <c r="F11" s="49" t="str">
        <f ca="1">IFERROR(__xludf.DUMMYFUNCTION("""COMPUTED_VALUE"""),"")</f>
        <v/>
      </c>
      <c r="G11" s="49" t="str">
        <f ca="1">IFERROR(__xludf.DUMMYFUNCTION("""COMPUTED_VALUE"""),"Julie Kaylor")</f>
        <v>Julie Kaylor</v>
      </c>
      <c r="H11" s="49" t="str">
        <f ca="1">IFERROR(__xludf.DUMMYFUNCTION("""COMPUTED_VALUE"""),"jkaylor@informeddna.com")</f>
        <v>jkaylor@informeddna.com</v>
      </c>
      <c r="I11" s="49" t="str">
        <f ca="1">IFERROR(__xludf.DUMMYFUNCTION("""COMPUTED_VALUE"""),"Genetic counselor")</f>
        <v>Genetic counselor</v>
      </c>
      <c r="J11" s="49"/>
      <c r="K11" s="49"/>
      <c r="L11" s="49"/>
      <c r="M11" s="49"/>
      <c r="N11" s="49"/>
      <c r="O11" s="49"/>
      <c r="P11" s="49"/>
      <c r="Q11" s="49"/>
      <c r="R11" s="49"/>
      <c r="S11" s="49"/>
      <c r="T11" s="49"/>
      <c r="U11" s="49"/>
      <c r="V11" s="49"/>
      <c r="W11" s="49"/>
      <c r="X11" s="49"/>
      <c r="Y11" s="49"/>
      <c r="Z11" s="49"/>
    </row>
    <row r="12" spans="1:26" ht="15.75" customHeight="1">
      <c r="A12" s="49" t="str">
        <f ca="1">IFERROR(__xludf.DUMMYFUNCTION("""COMPUTED_VALUE"""),"Contacted")</f>
        <v>Contacted</v>
      </c>
      <c r="B12" s="49" t="str">
        <f ca="1">IFERROR(__xludf.DUMMYFUNCTION("""COMPUTED_VALUE"""),"")</f>
        <v/>
      </c>
      <c r="C12" s="49" t="str">
        <f ca="1">IFERROR(__xludf.DUMMYFUNCTION("""COMPUTED_VALUE"""),"")</f>
        <v/>
      </c>
      <c r="D12" s="49" t="str">
        <f ca="1">IFERROR(__xludf.DUMMYFUNCTION("""COMPUTED_VALUE"""),"No")</f>
        <v>No</v>
      </c>
      <c r="E12" s="49" t="str">
        <f ca="1">IFERROR(__xludf.DUMMYFUNCTION("""COMPUTED_VALUE"""),"Baseline")</f>
        <v>Baseline</v>
      </c>
      <c r="F12" s="49" t="str">
        <f ca="1">IFERROR(__xludf.DUMMYFUNCTION("""COMPUTED_VALUE"""),"")</f>
        <v/>
      </c>
      <c r="G12" s="49" t="str">
        <f ca="1">IFERROR(__xludf.DUMMYFUNCTION("""COMPUTED_VALUE"""),"David Ng")</f>
        <v>David Ng</v>
      </c>
      <c r="H12" s="49" t="str">
        <f ca="1">IFERROR(__xludf.DUMMYFUNCTION("""COMPUTED_VALUE"""),"davidng@mail.nih.gov")</f>
        <v>davidng@mail.nih.gov</v>
      </c>
      <c r="I12" s="49" t="str">
        <f ca="1">IFERROR(__xludf.DUMMYFUNCTION("""COMPUTED_VALUE"""),"Clinical medical geneticist/Variant Analyst/Scientist")</f>
        <v>Clinical medical geneticist/Variant Analyst/Scientist</v>
      </c>
      <c r="J12" s="49"/>
      <c r="K12" s="49"/>
      <c r="L12" s="49"/>
      <c r="M12" s="49"/>
      <c r="N12" s="49"/>
      <c r="O12" s="49"/>
      <c r="P12" s="49"/>
      <c r="Q12" s="49"/>
      <c r="R12" s="49"/>
      <c r="S12" s="49"/>
      <c r="T12" s="49"/>
      <c r="U12" s="49"/>
      <c r="V12" s="49"/>
      <c r="W12" s="49"/>
      <c r="X12" s="49"/>
      <c r="Y12" s="49"/>
      <c r="Z12" s="49"/>
    </row>
    <row r="13" spans="1:26" ht="15.75" customHeight="1">
      <c r="A13" s="49" t="str">
        <f ca="1">IFERROR(__xludf.DUMMYFUNCTION("""COMPUTED_VALUE"""),"Contacted")</f>
        <v>Contacted</v>
      </c>
      <c r="B13" s="49" t="str">
        <f ca="1">IFERROR(__xludf.DUMMYFUNCTION("""COMPUTED_VALUE"""),"")</f>
        <v/>
      </c>
      <c r="C13" s="49" t="str">
        <f ca="1">IFERROR(__xludf.DUMMYFUNCTION("""COMPUTED_VALUE"""),"")</f>
        <v/>
      </c>
      <c r="D13" s="49" t="str">
        <f ca="1">IFERROR(__xludf.DUMMYFUNCTION("""COMPUTED_VALUE"""),"No")</f>
        <v>No</v>
      </c>
      <c r="E13" s="49" t="str">
        <f ca="1">IFERROR(__xludf.DUMMYFUNCTION("""COMPUTED_VALUE"""),"Baseline")</f>
        <v>Baseline</v>
      </c>
      <c r="F13" s="49" t="str">
        <f ca="1">IFERROR(__xludf.DUMMYFUNCTION("""COMPUTED_VALUE"""),"")</f>
        <v/>
      </c>
      <c r="G13" s="49" t="str">
        <f ca="1">IFERROR(__xludf.DUMMYFUNCTION("""COMPUTED_VALUE"""),"Michelle Green")</f>
        <v>Michelle Green</v>
      </c>
      <c r="H13" s="49" t="str">
        <f ca="1">IFERROR(__xludf.DUMMYFUNCTION("""COMPUTED_VALUE"""),"Michelle.green@n-of-one.com")</f>
        <v>Michelle.green@n-of-one.com</v>
      </c>
      <c r="I13" s="49" t="str">
        <f ca="1">IFERROR(__xludf.DUMMYFUNCTION("""COMPUTED_VALUE"""),"Biocurator, Variant Analyst/Scientist")</f>
        <v>Biocurator, Variant Analyst/Scientist</v>
      </c>
      <c r="J13" s="49"/>
      <c r="K13" s="49"/>
      <c r="L13" s="49"/>
      <c r="M13" s="49"/>
      <c r="N13" s="49"/>
      <c r="O13" s="49"/>
      <c r="P13" s="49"/>
      <c r="Q13" s="49"/>
      <c r="R13" s="49"/>
      <c r="S13" s="49"/>
      <c r="T13" s="49"/>
      <c r="U13" s="49"/>
      <c r="V13" s="49"/>
      <c r="W13" s="49"/>
      <c r="X13" s="49"/>
      <c r="Y13" s="49"/>
      <c r="Z13" s="49"/>
    </row>
    <row r="14" spans="1:26" ht="15.75" customHeight="1">
      <c r="A14" s="49" t="str">
        <f ca="1">IFERROR(__xludf.DUMMYFUNCTION("""COMPUTED_VALUE"""),"Contacted")</f>
        <v>Contacted</v>
      </c>
      <c r="B14" s="49" t="str">
        <f ca="1">IFERROR(__xludf.DUMMYFUNCTION("""COMPUTED_VALUE"""),"")</f>
        <v/>
      </c>
      <c r="C14" s="49" t="str">
        <f ca="1">IFERROR(__xludf.DUMMYFUNCTION("""COMPUTED_VALUE"""),"")</f>
        <v/>
      </c>
      <c r="D14" s="49" t="str">
        <f ca="1">IFERROR(__xludf.DUMMYFUNCTION("""COMPUTED_VALUE"""),"No")</f>
        <v>No</v>
      </c>
      <c r="E14" s="49" t="str">
        <f ca="1">IFERROR(__xludf.DUMMYFUNCTION("""COMPUTED_VALUE"""),"Baseline")</f>
        <v>Baseline</v>
      </c>
      <c r="F14" s="49" t="str">
        <f ca="1">IFERROR(__xludf.DUMMYFUNCTION("""COMPUTED_VALUE"""),"")</f>
        <v/>
      </c>
      <c r="G14" s="49" t="str">
        <f ca="1">IFERROR(__xludf.DUMMYFUNCTION("""COMPUTED_VALUE"""),"Mahsa")</f>
        <v>Mahsa</v>
      </c>
      <c r="H14" s="49" t="str">
        <f ca="1">IFERROR(__xludf.DUMMYFUNCTION("""COMPUTED_VALUE"""),"mahsash@nmsu.edu")</f>
        <v>mahsash@nmsu.edu</v>
      </c>
      <c r="I14" s="49" t="str">
        <f ca="1">IFERROR(__xludf.DUMMYFUNCTION("""COMPUTED_VALUE"""),"Graduate Student")</f>
        <v>Graduate Student</v>
      </c>
      <c r="J14" s="49"/>
      <c r="K14" s="49"/>
      <c r="L14" s="49"/>
      <c r="M14" s="49"/>
      <c r="N14" s="49"/>
      <c r="O14" s="49"/>
      <c r="P14" s="49"/>
      <c r="Q14" s="49"/>
      <c r="R14" s="49"/>
      <c r="S14" s="49"/>
      <c r="T14" s="49"/>
      <c r="U14" s="49"/>
      <c r="V14" s="49"/>
      <c r="W14" s="49"/>
      <c r="X14" s="49"/>
      <c r="Y14" s="49"/>
      <c r="Z14" s="49"/>
    </row>
    <row r="15" spans="1:26" ht="15.75" customHeight="1">
      <c r="A15" s="49" t="str">
        <f ca="1">IFERROR(__xludf.DUMMYFUNCTION("""COMPUTED_VALUE"""),"Contacted")</f>
        <v>Contacted</v>
      </c>
      <c r="B15" s="49" t="str">
        <f ca="1">IFERROR(__xludf.DUMMYFUNCTION("""COMPUTED_VALUE"""),"")</f>
        <v/>
      </c>
      <c r="C15" s="49" t="str">
        <f ca="1">IFERROR(__xludf.DUMMYFUNCTION("""COMPUTED_VALUE"""),"")</f>
        <v/>
      </c>
      <c r="D15" s="49" t="str">
        <f ca="1">IFERROR(__xludf.DUMMYFUNCTION("""COMPUTED_VALUE"""),"No")</f>
        <v>No</v>
      </c>
      <c r="E15" s="49" t="str">
        <f ca="1">IFERROR(__xludf.DUMMYFUNCTION("""COMPUTED_VALUE"""),"Baseline")</f>
        <v>Baseline</v>
      </c>
      <c r="F15" s="49" t="str">
        <f ca="1">IFERROR(__xludf.DUMMYFUNCTION("""COMPUTED_VALUE"""),"")</f>
        <v/>
      </c>
      <c r="G15" s="49" t="str">
        <f ca="1">IFERROR(__xludf.DUMMYFUNCTION("""COMPUTED_VALUE"""),"Michelle Green")</f>
        <v>Michelle Green</v>
      </c>
      <c r="H15" s="49" t="str">
        <f ca="1">IFERROR(__xludf.DUMMYFUNCTION("""COMPUTED_VALUE"""),"mfgreen14@gmail.com")</f>
        <v>mfgreen14@gmail.com</v>
      </c>
      <c r="I15" s="49" t="str">
        <f ca="1">IFERROR(__xludf.DUMMYFUNCTION("""COMPUTED_VALUE"""),"Biocurator, Variant Analyst/Scientist")</f>
        <v>Biocurator, Variant Analyst/Scientist</v>
      </c>
      <c r="J15" s="49"/>
      <c r="K15" s="49"/>
      <c r="L15" s="49"/>
      <c r="M15" s="49"/>
      <c r="N15" s="49"/>
      <c r="O15" s="49"/>
      <c r="P15" s="49"/>
      <c r="Q15" s="49"/>
      <c r="R15" s="49"/>
      <c r="S15" s="49"/>
      <c r="T15" s="49"/>
      <c r="U15" s="49"/>
      <c r="V15" s="49"/>
      <c r="W15" s="49"/>
      <c r="X15" s="49"/>
      <c r="Y15" s="49"/>
      <c r="Z15" s="49"/>
    </row>
    <row r="16" spans="1:26" ht="15.75" customHeight="1">
      <c r="A16" s="49" t="str">
        <f ca="1">IFERROR(__xludf.DUMMYFUNCTION("""COMPUTED_VALUE"""),"Contacted")</f>
        <v>Contacted</v>
      </c>
      <c r="B16" s="49" t="str">
        <f ca="1">IFERROR(__xludf.DUMMYFUNCTION("""COMPUTED_VALUE"""),"")</f>
        <v/>
      </c>
      <c r="C16" s="49" t="str">
        <f ca="1">IFERROR(__xludf.DUMMYFUNCTION("""COMPUTED_VALUE"""),"")</f>
        <v/>
      </c>
      <c r="D16" s="49" t="str">
        <f ca="1">IFERROR(__xludf.DUMMYFUNCTION("""COMPUTED_VALUE"""),"No")</f>
        <v>No</v>
      </c>
      <c r="E16" s="49" t="str">
        <f ca="1">IFERROR(__xludf.DUMMYFUNCTION("""COMPUTED_VALUE"""),"Baseline")</f>
        <v>Baseline</v>
      </c>
      <c r="F16" s="49" t="str">
        <f ca="1">IFERROR(__xludf.DUMMYFUNCTION("""COMPUTED_VALUE"""),"")</f>
        <v/>
      </c>
      <c r="G16" s="49" t="str">
        <f ca="1">IFERROR(__xludf.DUMMYFUNCTION("""COMPUTED_VALUE"""),"Xinkun ""Sequen"" Wang")</f>
        <v>Xinkun "Sequen" Wang</v>
      </c>
      <c r="H16" s="49" t="str">
        <f ca="1">IFERROR(__xludf.DUMMYFUNCTION("""COMPUTED_VALUE"""),"xinkun.wang@northwestern.edu")</f>
        <v>xinkun.wang@northwestern.edu</v>
      </c>
      <c r="I16" s="49" t="str">
        <f ca="1">IFERROR(__xludf.DUMMYFUNCTION("""COMPUTED_VALUE"""),"Scientific Researcher")</f>
        <v>Scientific Researcher</v>
      </c>
      <c r="J16" s="49"/>
      <c r="K16" s="49"/>
      <c r="L16" s="49"/>
      <c r="M16" s="49"/>
      <c r="N16" s="49"/>
      <c r="O16" s="49"/>
      <c r="P16" s="49"/>
      <c r="Q16" s="49"/>
      <c r="R16" s="49"/>
      <c r="S16" s="49"/>
      <c r="T16" s="49"/>
      <c r="U16" s="49"/>
      <c r="V16" s="49"/>
      <c r="W16" s="49"/>
      <c r="X16" s="49"/>
      <c r="Y16" s="49"/>
      <c r="Z16" s="49"/>
    </row>
    <row r="17" spans="1:26" ht="15.75" customHeight="1">
      <c r="A17" s="49" t="str">
        <f ca="1">IFERROR(__xludf.DUMMYFUNCTION("""COMPUTED_VALUE"""),"Contacted")</f>
        <v>Contacted</v>
      </c>
      <c r="B17" s="49" t="str">
        <f ca="1">IFERROR(__xludf.DUMMYFUNCTION("""COMPUTED_VALUE"""),"")</f>
        <v/>
      </c>
      <c r="C17" s="49" t="str">
        <f ca="1">IFERROR(__xludf.DUMMYFUNCTION("""COMPUTED_VALUE"""),"")</f>
        <v/>
      </c>
      <c r="D17" s="49" t="str">
        <f ca="1">IFERROR(__xludf.DUMMYFUNCTION("""COMPUTED_VALUE"""),"No")</f>
        <v>No</v>
      </c>
      <c r="E17" s="49" t="str">
        <f ca="1">IFERROR(__xludf.DUMMYFUNCTION("""COMPUTED_VALUE"""),"Baseline")</f>
        <v>Baseline</v>
      </c>
      <c r="F17" s="49" t="str">
        <f ca="1">IFERROR(__xludf.DUMMYFUNCTION("""COMPUTED_VALUE"""),"")</f>
        <v/>
      </c>
      <c r="G17" s="49" t="str">
        <f ca="1">IFERROR(__xludf.DUMMYFUNCTION("""COMPUTED_VALUE"""),"Siddharth Banka")</f>
        <v>Siddharth Banka</v>
      </c>
      <c r="H17" s="49" t="str">
        <f ca="1">IFERROR(__xludf.DUMMYFUNCTION("""COMPUTED_VALUE"""),"Siddharth.Banka@manchester.ac.uk")</f>
        <v>Siddharth.Banka@manchester.ac.uk</v>
      </c>
      <c r="I17" s="49" t="str">
        <f ca="1">IFERROR(__xludf.DUMMYFUNCTION("""COMPUTED_VALUE"""),"Clinical Medical Geneticist")</f>
        <v>Clinical Medical Geneticist</v>
      </c>
      <c r="J17" s="49"/>
      <c r="K17" s="49"/>
      <c r="L17" s="49"/>
      <c r="M17" s="49"/>
      <c r="N17" s="49"/>
      <c r="O17" s="49"/>
      <c r="P17" s="49"/>
      <c r="Q17" s="49"/>
      <c r="R17" s="49"/>
      <c r="S17" s="49"/>
      <c r="T17" s="49"/>
      <c r="U17" s="49"/>
      <c r="V17" s="49"/>
      <c r="W17" s="49"/>
      <c r="X17" s="49"/>
      <c r="Y17" s="49"/>
      <c r="Z17" s="49"/>
    </row>
    <row r="18" spans="1:26" ht="15.75" customHeight="1">
      <c r="A18" s="49" t="str">
        <f ca="1">IFERROR(__xludf.DUMMYFUNCTION("""COMPUTED_VALUE"""),"Contacted")</f>
        <v>Contacted</v>
      </c>
      <c r="B18" s="49" t="str">
        <f ca="1">IFERROR(__xludf.DUMMYFUNCTION("""COMPUTED_VALUE"""),"")</f>
        <v/>
      </c>
      <c r="C18" s="49" t="str">
        <f ca="1">IFERROR(__xludf.DUMMYFUNCTION("""COMPUTED_VALUE"""),"")</f>
        <v/>
      </c>
      <c r="D18" s="49" t="str">
        <f ca="1">IFERROR(__xludf.DUMMYFUNCTION("""COMPUTED_VALUE"""),"No")</f>
        <v>No</v>
      </c>
      <c r="E18" s="49" t="str">
        <f ca="1">IFERROR(__xludf.DUMMYFUNCTION("""COMPUTED_VALUE"""),"Baseline")</f>
        <v>Baseline</v>
      </c>
      <c r="F18" s="49" t="str">
        <f ca="1">IFERROR(__xludf.DUMMYFUNCTION("""COMPUTED_VALUE"""),"")</f>
        <v/>
      </c>
      <c r="G18" s="49" t="str">
        <f ca="1">IFERROR(__xludf.DUMMYFUNCTION("""COMPUTED_VALUE"""),"Amanda Fortier")</f>
        <v>Amanda Fortier</v>
      </c>
      <c r="H18" s="49" t="str">
        <f ca="1">IFERROR(__xludf.DUMMYFUNCTION("""COMPUTED_VALUE"""),"amanda.fortier@advocatehealth.com")</f>
        <v>amanda.fortier@advocatehealth.com</v>
      </c>
      <c r="I18" s="49" t="str">
        <f ca="1">IFERROR(__xludf.DUMMYFUNCTION("""COMPUTED_VALUE"""),"Clinical laboratory geneticist")</f>
        <v>Clinical laboratory geneticist</v>
      </c>
      <c r="J18" s="49"/>
      <c r="K18" s="49"/>
      <c r="L18" s="49"/>
      <c r="M18" s="49"/>
      <c r="N18" s="49"/>
      <c r="O18" s="49"/>
      <c r="P18" s="49"/>
      <c r="Q18" s="49"/>
      <c r="R18" s="49"/>
      <c r="S18" s="49"/>
      <c r="T18" s="49"/>
      <c r="U18" s="49"/>
      <c r="V18" s="49"/>
      <c r="W18" s="49"/>
      <c r="X18" s="49"/>
      <c r="Y18" s="49"/>
      <c r="Z18" s="49"/>
    </row>
    <row r="19" spans="1:26" ht="15.75" customHeight="1">
      <c r="A19" s="49" t="str">
        <f ca="1">IFERROR(__xludf.DUMMYFUNCTION("""COMPUTED_VALUE"""),"Contacted")</f>
        <v>Contacted</v>
      </c>
      <c r="B19" s="49" t="str">
        <f ca="1">IFERROR(__xludf.DUMMYFUNCTION("""COMPUTED_VALUE"""),"")</f>
        <v/>
      </c>
      <c r="C19" s="49" t="str">
        <f ca="1">IFERROR(__xludf.DUMMYFUNCTION("""COMPUTED_VALUE"""),"")</f>
        <v/>
      </c>
      <c r="D19" s="49" t="str">
        <f ca="1">IFERROR(__xludf.DUMMYFUNCTION("""COMPUTED_VALUE"""),"No")</f>
        <v>No</v>
      </c>
      <c r="E19" s="49" t="str">
        <f ca="1">IFERROR(__xludf.DUMMYFUNCTION("""COMPUTED_VALUE"""),"Baseline")</f>
        <v>Baseline</v>
      </c>
      <c r="F19" s="49" t="str">
        <f ca="1">IFERROR(__xludf.DUMMYFUNCTION("""COMPUTED_VALUE"""),"")</f>
        <v/>
      </c>
      <c r="G19" s="49" t="str">
        <f ca="1">IFERROR(__xludf.DUMMYFUNCTION("""COMPUTED_VALUE"""),"Can Ding")</f>
        <v>Can Ding</v>
      </c>
      <c r="H19" s="49" t="str">
        <f ca="1">IFERROR(__xludf.DUMMYFUNCTION("""COMPUTED_VALUE"""),"can.ding@unimedizin-mainz.de")</f>
        <v>can.ding@unimedizin-mainz.de</v>
      </c>
      <c r="I19" s="49" t="str">
        <f ca="1">IFERROR(__xludf.DUMMYFUNCTION("""COMPUTED_VALUE"""),"Clinical Medical Geneticist")</f>
        <v>Clinical Medical Geneticist</v>
      </c>
      <c r="J19" s="49"/>
      <c r="K19" s="49"/>
      <c r="L19" s="49"/>
      <c r="M19" s="49"/>
      <c r="N19" s="49"/>
      <c r="O19" s="49"/>
      <c r="P19" s="49"/>
      <c r="Q19" s="49"/>
      <c r="R19" s="49"/>
      <c r="S19" s="49"/>
      <c r="T19" s="49"/>
      <c r="U19" s="49"/>
      <c r="V19" s="49"/>
      <c r="W19" s="49"/>
      <c r="X19" s="49"/>
      <c r="Y19" s="49"/>
      <c r="Z19" s="49"/>
    </row>
    <row r="20" spans="1:26" ht="15.75" customHeight="1">
      <c r="A20" s="49" t="str">
        <f ca="1">IFERROR(__xludf.DUMMYFUNCTION("""COMPUTED_VALUE"""),"Contacted")</f>
        <v>Contacted</v>
      </c>
      <c r="B20" s="49" t="str">
        <f ca="1">IFERROR(__xludf.DUMMYFUNCTION("""COMPUTED_VALUE"""),"")</f>
        <v/>
      </c>
      <c r="C20" s="49" t="str">
        <f ca="1">IFERROR(__xludf.DUMMYFUNCTION("""COMPUTED_VALUE"""),"")</f>
        <v/>
      </c>
      <c r="D20" s="49" t="str">
        <f ca="1">IFERROR(__xludf.DUMMYFUNCTION("""COMPUTED_VALUE"""),"No")</f>
        <v>No</v>
      </c>
      <c r="E20" s="49" t="str">
        <f ca="1">IFERROR(__xludf.DUMMYFUNCTION("""COMPUTED_VALUE"""),"Baseline")</f>
        <v>Baseline</v>
      </c>
      <c r="F20" s="49" t="str">
        <f ca="1">IFERROR(__xludf.DUMMYFUNCTION("""COMPUTED_VALUE"""),"")</f>
        <v/>
      </c>
      <c r="G20" s="49" t="str">
        <f ca="1">IFERROR(__xludf.DUMMYFUNCTION("""COMPUTED_VALUE"""),"Rebekah Waikel")</f>
        <v>Rebekah Waikel</v>
      </c>
      <c r="H20" s="49" t="str">
        <f ca="1">IFERROR(__xludf.DUMMYFUNCTION("""COMPUTED_VALUE"""),"rebekah.waikel@uky.edu")</f>
        <v>rebekah.waikel@uky.edu</v>
      </c>
      <c r="I20" s="49" t="str">
        <f ca="1">IFERROR(__xludf.DUMMYFUNCTION("""COMPUTED_VALUE"""),"Clinical laboratory geneticist")</f>
        <v>Clinical laboratory geneticist</v>
      </c>
      <c r="J20" s="49"/>
      <c r="K20" s="49"/>
      <c r="L20" s="49"/>
      <c r="M20" s="49"/>
      <c r="N20" s="49"/>
      <c r="O20" s="49"/>
      <c r="P20" s="49"/>
      <c r="Q20" s="49"/>
      <c r="R20" s="49"/>
      <c r="S20" s="49"/>
      <c r="T20" s="49"/>
      <c r="U20" s="49"/>
      <c r="V20" s="49"/>
      <c r="W20" s="49"/>
      <c r="X20" s="49"/>
      <c r="Y20" s="49"/>
      <c r="Z20" s="49"/>
    </row>
    <row r="21" spans="1:26" ht="15.75" customHeight="1">
      <c r="A21" s="49" t="str">
        <f ca="1">IFERROR(__xludf.DUMMYFUNCTION("""COMPUTED_VALUE"""),"Contacted")</f>
        <v>Contacted</v>
      </c>
      <c r="B21" s="49" t="str">
        <f ca="1">IFERROR(__xludf.DUMMYFUNCTION("""COMPUTED_VALUE"""),"")</f>
        <v/>
      </c>
      <c r="C21" s="49" t="str">
        <f ca="1">IFERROR(__xludf.DUMMYFUNCTION("""COMPUTED_VALUE"""),"")</f>
        <v/>
      </c>
      <c r="D21" s="49" t="str">
        <f ca="1">IFERROR(__xludf.DUMMYFUNCTION("""COMPUTED_VALUE"""),"No")</f>
        <v>No</v>
      </c>
      <c r="E21" s="49" t="str">
        <f ca="1">IFERROR(__xludf.DUMMYFUNCTION("""COMPUTED_VALUE"""),"Baseline")</f>
        <v>Baseline</v>
      </c>
      <c r="F21" s="49" t="str">
        <f ca="1">IFERROR(__xludf.DUMMYFUNCTION("""COMPUTED_VALUE"""),"")</f>
        <v/>
      </c>
      <c r="G21" s="49" t="str">
        <f ca="1">IFERROR(__xludf.DUMMYFUNCTION("""COMPUTED_VALUE"""),"Manya Warrier")</f>
        <v>Manya Warrier</v>
      </c>
      <c r="H21" s="49" t="str">
        <f ca="1">IFERROR(__xludf.DUMMYFUNCTION("""COMPUTED_VALUE"""),"manyawarrier@gmail.com")</f>
        <v>manyawarrier@gmail.com</v>
      </c>
      <c r="I21" s="49" t="str">
        <f ca="1">IFERROR(__xludf.DUMMYFUNCTION("""COMPUTED_VALUE"""),"Variant Analyst/Scientist - Industry")</f>
        <v>Variant Analyst/Scientist - Industry</v>
      </c>
      <c r="J21" s="49"/>
      <c r="K21" s="49"/>
      <c r="L21" s="49"/>
      <c r="M21" s="49"/>
      <c r="N21" s="49"/>
      <c r="O21" s="49"/>
      <c r="P21" s="49"/>
      <c r="Q21" s="49"/>
      <c r="R21" s="49"/>
      <c r="S21" s="49"/>
      <c r="T21" s="49"/>
      <c r="U21" s="49"/>
      <c r="V21" s="49"/>
      <c r="W21" s="49"/>
      <c r="X21" s="49"/>
      <c r="Y21" s="49"/>
      <c r="Z21" s="49"/>
    </row>
    <row r="22" spans="1:26" ht="15.75" customHeight="1">
      <c r="A22" s="49" t="str">
        <f ca="1">IFERROR(__xludf.DUMMYFUNCTION("""COMPUTED_VALUE"""),"Contacted")</f>
        <v>Contacted</v>
      </c>
      <c r="B22" s="49" t="str">
        <f ca="1">IFERROR(__xludf.DUMMYFUNCTION("""COMPUTED_VALUE"""),"")</f>
        <v/>
      </c>
      <c r="C22" s="49" t="str">
        <f ca="1">IFERROR(__xludf.DUMMYFUNCTION("""COMPUTED_VALUE"""),"")</f>
        <v/>
      </c>
      <c r="D22" s="49" t="str">
        <f ca="1">IFERROR(__xludf.DUMMYFUNCTION("""COMPUTED_VALUE"""),"No")</f>
        <v>No</v>
      </c>
      <c r="E22" s="49" t="str">
        <f ca="1">IFERROR(__xludf.DUMMYFUNCTION("""COMPUTED_VALUE"""),"Baseline")</f>
        <v>Baseline</v>
      </c>
      <c r="F22" s="49" t="str">
        <f ca="1">IFERROR(__xludf.DUMMYFUNCTION("""COMPUTED_VALUE"""),"")</f>
        <v/>
      </c>
      <c r="G22" s="49" t="str">
        <f ca="1">IFERROR(__xludf.DUMMYFUNCTION("""COMPUTED_VALUE"""),"Jianli Dong")</f>
        <v>Jianli Dong</v>
      </c>
      <c r="H22" s="49" t="str">
        <f ca="1">IFERROR(__xludf.DUMMYFUNCTION("""COMPUTED_VALUE"""),"jidong@utmb.edu")</f>
        <v>jidong@utmb.edu</v>
      </c>
      <c r="I22" s="49" t="str">
        <f ca="1">IFERROR(__xludf.DUMMYFUNCTION("""COMPUTED_VALUE"""),"Clinical laboratory geneticist")</f>
        <v>Clinical laboratory geneticist</v>
      </c>
      <c r="J22" s="49"/>
      <c r="K22" s="49"/>
      <c r="L22" s="49"/>
      <c r="M22" s="49"/>
      <c r="N22" s="49"/>
      <c r="O22" s="49"/>
      <c r="P22" s="49"/>
      <c r="Q22" s="49"/>
      <c r="R22" s="49"/>
      <c r="S22" s="49"/>
      <c r="T22" s="49"/>
      <c r="U22" s="49"/>
      <c r="V22" s="49"/>
      <c r="W22" s="49"/>
      <c r="X22" s="49"/>
      <c r="Y22" s="49"/>
      <c r="Z22" s="49"/>
    </row>
    <row r="23" spans="1:26" ht="15.75" customHeight="1">
      <c r="A23" s="49" t="str">
        <f ca="1">IFERROR(__xludf.DUMMYFUNCTION("""COMPUTED_VALUE"""),"Contacted")</f>
        <v>Contacted</v>
      </c>
      <c r="B23" s="49" t="str">
        <f ca="1">IFERROR(__xludf.DUMMYFUNCTION("""COMPUTED_VALUE"""),"")</f>
        <v/>
      </c>
      <c r="C23" s="49" t="str">
        <f ca="1">IFERROR(__xludf.DUMMYFUNCTION("""COMPUTED_VALUE"""),"")</f>
        <v/>
      </c>
      <c r="D23" s="49" t="str">
        <f ca="1">IFERROR(__xludf.DUMMYFUNCTION("""COMPUTED_VALUE"""),"No")</f>
        <v>No</v>
      </c>
      <c r="E23" s="49" t="str">
        <f ca="1">IFERROR(__xludf.DUMMYFUNCTION("""COMPUTED_VALUE"""),"Baseline")</f>
        <v>Baseline</v>
      </c>
      <c r="F23" s="49" t="str">
        <f ca="1">IFERROR(__xludf.DUMMYFUNCTION("""COMPUTED_VALUE"""),"")</f>
        <v/>
      </c>
      <c r="G23" s="49" t="str">
        <f ca="1">IFERROR(__xludf.DUMMYFUNCTION("""COMPUTED_VALUE"""),"Tyler Parris")</f>
        <v>Tyler Parris</v>
      </c>
      <c r="H23" s="49" t="str">
        <f ca="1">IFERROR(__xludf.DUMMYFUNCTION("""COMPUTED_VALUE"""),"tylerchristianparrismd@gmail.com")</f>
        <v>tylerchristianparrismd@gmail.com</v>
      </c>
      <c r="I23" s="49" t="str">
        <f ca="1">IFERROR(__xludf.DUMMYFUNCTION("""COMPUTED_VALUE"""),"Post Doc/Resident/Fellow (MD and/or PhD)")</f>
        <v>Post Doc/Resident/Fellow (MD and/or PhD)</v>
      </c>
      <c r="J23" s="49"/>
      <c r="K23" s="49"/>
      <c r="L23" s="49"/>
      <c r="M23" s="49"/>
      <c r="N23" s="49"/>
      <c r="O23" s="49"/>
      <c r="P23" s="49"/>
      <c r="Q23" s="49"/>
      <c r="R23" s="49"/>
      <c r="S23" s="49"/>
      <c r="T23" s="49"/>
      <c r="U23" s="49"/>
      <c r="V23" s="49"/>
      <c r="W23" s="49"/>
      <c r="X23" s="49"/>
      <c r="Y23" s="49"/>
      <c r="Z23" s="49"/>
    </row>
    <row r="24" spans="1:26" ht="15.75" customHeight="1">
      <c r="A24" s="49" t="str">
        <f ca="1">IFERROR(__xludf.DUMMYFUNCTION("""COMPUTED_VALUE"""),"Contacted")</f>
        <v>Contacted</v>
      </c>
      <c r="B24" s="49" t="str">
        <f ca="1">IFERROR(__xludf.DUMMYFUNCTION("""COMPUTED_VALUE"""),"")</f>
        <v/>
      </c>
      <c r="C24" s="49" t="str">
        <f ca="1">IFERROR(__xludf.DUMMYFUNCTION("""COMPUTED_VALUE"""),"")</f>
        <v/>
      </c>
      <c r="D24" s="49" t="str">
        <f ca="1">IFERROR(__xludf.DUMMYFUNCTION("""COMPUTED_VALUE"""),"No")</f>
        <v>No</v>
      </c>
      <c r="E24" s="49" t="str">
        <f ca="1">IFERROR(__xludf.DUMMYFUNCTION("""COMPUTED_VALUE"""),"Baseline")</f>
        <v>Baseline</v>
      </c>
      <c r="F24" s="49" t="str">
        <f ca="1">IFERROR(__xludf.DUMMYFUNCTION("""COMPUTED_VALUE"""),"")</f>
        <v/>
      </c>
      <c r="G24" s="49" t="str">
        <f ca="1">IFERROR(__xludf.DUMMYFUNCTION("""COMPUTED_VALUE"""),"Edward Shadiack")</f>
        <v>Edward Shadiack</v>
      </c>
      <c r="H24" s="49" t="str">
        <f ca="1">IFERROR(__xludf.DUMMYFUNCTION("""COMPUTED_VALUE"""),"shadiaec@gmail.com")</f>
        <v>shadiaec@gmail.com</v>
      </c>
      <c r="I24" s="49" t="str">
        <f ca="1">IFERROR(__xludf.DUMMYFUNCTION("""COMPUTED_VALUE"""),"Physician (Non-geneticist)")</f>
        <v>Physician (Non-geneticist)</v>
      </c>
      <c r="J24" s="49"/>
      <c r="K24" s="49"/>
      <c r="L24" s="49"/>
      <c r="M24" s="49"/>
      <c r="N24" s="49"/>
      <c r="O24" s="49"/>
      <c r="P24" s="49"/>
      <c r="Q24" s="49"/>
      <c r="R24" s="49"/>
      <c r="S24" s="49"/>
      <c r="T24" s="49"/>
      <c r="U24" s="49"/>
      <c r="V24" s="49"/>
      <c r="W24" s="49"/>
      <c r="X24" s="49"/>
      <c r="Y24" s="49"/>
      <c r="Z24" s="49"/>
    </row>
    <row r="25" spans="1:26" ht="15.75" customHeight="1">
      <c r="A25" s="49" t="str">
        <f ca="1">IFERROR(__xludf.DUMMYFUNCTION("""COMPUTED_VALUE"""),"Contacted")</f>
        <v>Contacted</v>
      </c>
      <c r="B25" s="49" t="str">
        <f ca="1">IFERROR(__xludf.DUMMYFUNCTION("""COMPUTED_VALUE"""),"")</f>
        <v/>
      </c>
      <c r="C25" s="87" t="str">
        <f ca="1">IFERROR(__xludf.DUMMYFUNCTION("""COMPUTED_VALUE"""),"")</f>
        <v/>
      </c>
      <c r="D25" s="49" t="str">
        <f ca="1">IFERROR(__xludf.DUMMYFUNCTION("""COMPUTED_VALUE"""),"No")</f>
        <v>No</v>
      </c>
      <c r="E25" s="49" t="str">
        <f ca="1">IFERROR(__xludf.DUMMYFUNCTION("""COMPUTED_VALUE"""),"Baseline")</f>
        <v>Baseline</v>
      </c>
      <c r="F25" s="49" t="str">
        <f ca="1">IFERROR(__xludf.DUMMYFUNCTION("""COMPUTED_VALUE"""),"")</f>
        <v/>
      </c>
      <c r="G25" s="49" t="str">
        <f ca="1">IFERROR(__xludf.DUMMYFUNCTION("""COMPUTED_VALUE"""),"Kristin Maloney")</f>
        <v>Kristin Maloney</v>
      </c>
      <c r="H25" s="49" t="str">
        <f ca="1">IFERROR(__xludf.DUMMYFUNCTION("""COMPUTED_VALUE"""),"kmaloney1@som.umaryland.edu")</f>
        <v>kmaloney1@som.umaryland.edu</v>
      </c>
      <c r="I25" s="49" t="str">
        <f ca="1">IFERROR(__xludf.DUMMYFUNCTION("""COMPUTED_VALUE"""),"Genetic counselor")</f>
        <v>Genetic counselor</v>
      </c>
      <c r="J25" s="49"/>
      <c r="K25" s="49"/>
      <c r="L25" s="49"/>
      <c r="M25" s="49"/>
      <c r="N25" s="49"/>
      <c r="O25" s="49"/>
      <c r="P25" s="49"/>
      <c r="Q25" s="49"/>
      <c r="R25" s="49"/>
      <c r="S25" s="49"/>
      <c r="T25" s="49"/>
      <c r="U25" s="49"/>
      <c r="V25" s="49"/>
      <c r="W25" s="49"/>
      <c r="X25" s="49"/>
      <c r="Y25" s="49"/>
      <c r="Z25" s="49"/>
    </row>
    <row r="26" spans="1:26" ht="15.75" customHeight="1">
      <c r="A26" s="49" t="str">
        <f ca="1">IFERROR(__xludf.DUMMYFUNCTION("""COMPUTED_VALUE"""),"Contacted")</f>
        <v>Contacted</v>
      </c>
      <c r="B26" s="49" t="str">
        <f ca="1">IFERROR(__xludf.DUMMYFUNCTION("""COMPUTED_VALUE"""),"")</f>
        <v/>
      </c>
      <c r="C26" s="49" t="str">
        <f ca="1">IFERROR(__xludf.DUMMYFUNCTION("""COMPUTED_VALUE"""),"")</f>
        <v/>
      </c>
      <c r="D26" s="49" t="str">
        <f ca="1">IFERROR(__xludf.DUMMYFUNCTION("""COMPUTED_VALUE"""),"No")</f>
        <v>No</v>
      </c>
      <c r="E26" s="49" t="str">
        <f ca="1">IFERROR(__xludf.DUMMYFUNCTION("""COMPUTED_VALUE"""),"Baseline")</f>
        <v>Baseline</v>
      </c>
      <c r="F26" s="49" t="str">
        <f ca="1">IFERROR(__xludf.DUMMYFUNCTION("""COMPUTED_VALUE"""),"")</f>
        <v/>
      </c>
      <c r="G26" s="49" t="str">
        <f ca="1">IFERROR(__xludf.DUMMYFUNCTION("""COMPUTED_VALUE"""),"M.I. anwar")</f>
        <v>M.I. anwar</v>
      </c>
      <c r="H26" s="49" t="str">
        <f ca="1">IFERROR(__xludf.DUMMYFUNCTION("""COMPUTED_VALUE"""),"mimtiazanwar@gmail.com")</f>
        <v>mimtiazanwar@gmail.com</v>
      </c>
      <c r="I26" s="49" t="str">
        <f ca="1">IFERROR(__xludf.DUMMYFUNCTION("""COMPUTED_VALUE"""),"Scientific Researcher")</f>
        <v>Scientific Researcher</v>
      </c>
      <c r="J26" s="49"/>
      <c r="K26" s="49"/>
      <c r="L26" s="49"/>
      <c r="M26" s="49"/>
      <c r="N26" s="49"/>
      <c r="O26" s="49"/>
      <c r="P26" s="49"/>
      <c r="Q26" s="49"/>
      <c r="R26" s="49"/>
      <c r="S26" s="49"/>
      <c r="T26" s="49"/>
      <c r="U26" s="49"/>
      <c r="V26" s="49"/>
      <c r="W26" s="49"/>
      <c r="X26" s="49"/>
      <c r="Y26" s="49"/>
      <c r="Z26" s="49"/>
    </row>
    <row r="27" spans="1:26" ht="15.75" customHeight="1">
      <c r="A27" s="49" t="str">
        <f ca="1">IFERROR(__xludf.DUMMYFUNCTION("""COMPUTED_VALUE"""),"Contacted")</f>
        <v>Contacted</v>
      </c>
      <c r="B27" s="49" t="str">
        <f ca="1">IFERROR(__xludf.DUMMYFUNCTION("""COMPUTED_VALUE"""),"")</f>
        <v/>
      </c>
      <c r="C27" s="49" t="str">
        <f ca="1">IFERROR(__xludf.DUMMYFUNCTION("""COMPUTED_VALUE"""),"")</f>
        <v/>
      </c>
      <c r="D27" s="49" t="str">
        <f ca="1">IFERROR(__xludf.DUMMYFUNCTION("""COMPUTED_VALUE"""),"No")</f>
        <v>No</v>
      </c>
      <c r="E27" s="49" t="str">
        <f ca="1">IFERROR(__xludf.DUMMYFUNCTION("""COMPUTED_VALUE"""),"Baseline")</f>
        <v>Baseline</v>
      </c>
      <c r="F27" s="49" t="str">
        <f ca="1">IFERROR(__xludf.DUMMYFUNCTION("""COMPUTED_VALUE"""),"")</f>
        <v/>
      </c>
      <c r="G27" s="49" t="str">
        <f ca="1">IFERROR(__xludf.DUMMYFUNCTION("""COMPUTED_VALUE"""),"Jose Maria Urbano")</f>
        <v>Jose Maria Urbano</v>
      </c>
      <c r="H27" s="49" t="str">
        <f ca="1">IFERROR(__xludf.DUMMYFUNCTION("""COMPUTED_VALUE"""),"jmu22@cam.ac.uk")</f>
        <v>jmu22@cam.ac.uk</v>
      </c>
      <c r="I27" s="49" t="str">
        <f ca="1">IFERROR(__xludf.DUMMYFUNCTION("""COMPUTED_VALUE"""),"Biocurator")</f>
        <v>Biocurator</v>
      </c>
      <c r="J27" s="49"/>
      <c r="K27" s="49"/>
      <c r="L27" s="49"/>
      <c r="M27" s="49"/>
      <c r="N27" s="49"/>
      <c r="O27" s="49"/>
      <c r="P27" s="49"/>
      <c r="Q27" s="49"/>
      <c r="R27" s="49"/>
      <c r="S27" s="49"/>
      <c r="T27" s="49"/>
      <c r="U27" s="49"/>
      <c r="V27" s="49"/>
      <c r="W27" s="49"/>
      <c r="X27" s="49"/>
      <c r="Y27" s="49"/>
      <c r="Z27" s="49"/>
    </row>
    <row r="28" spans="1:26" ht="15.75" customHeight="1">
      <c r="A28" s="49" t="str">
        <f ca="1">IFERROR(__xludf.DUMMYFUNCTION("""COMPUTED_VALUE"""),"Contacted")</f>
        <v>Contacted</v>
      </c>
      <c r="B28" s="49" t="str">
        <f ca="1">IFERROR(__xludf.DUMMYFUNCTION("""COMPUTED_VALUE"""),"")</f>
        <v/>
      </c>
      <c r="C28" s="49" t="str">
        <f ca="1">IFERROR(__xludf.DUMMYFUNCTION("""COMPUTED_VALUE"""),"")</f>
        <v/>
      </c>
      <c r="D28" s="49" t="str">
        <f ca="1">IFERROR(__xludf.DUMMYFUNCTION("""COMPUTED_VALUE"""),"No")</f>
        <v>No</v>
      </c>
      <c r="E28" s="49" t="str">
        <f ca="1">IFERROR(__xludf.DUMMYFUNCTION("""COMPUTED_VALUE"""),"Baseline")</f>
        <v>Baseline</v>
      </c>
      <c r="F28" s="49" t="str">
        <f ca="1">IFERROR(__xludf.DUMMYFUNCTION("""COMPUTED_VALUE"""),"")</f>
        <v/>
      </c>
      <c r="G28" s="49" t="str">
        <f ca="1">IFERROR(__xludf.DUMMYFUNCTION("""COMPUTED_VALUE"""),"Emma Leach")</f>
        <v>Emma Leach</v>
      </c>
      <c r="H28" s="49" t="str">
        <f ca="1">IFERROR(__xludf.DUMMYFUNCTION("""COMPUTED_VALUE"""),"eleach@providencehealth.bc.ca")</f>
        <v>eleach@providencehealth.bc.ca</v>
      </c>
      <c r="I28" s="49" t="str">
        <f ca="1">IFERROR(__xludf.DUMMYFUNCTION("""COMPUTED_VALUE"""),"Genetic counselor")</f>
        <v>Genetic counselor</v>
      </c>
      <c r="J28" s="49"/>
      <c r="K28" s="49"/>
      <c r="L28" s="49"/>
      <c r="M28" s="49"/>
      <c r="N28" s="49"/>
      <c r="O28" s="49"/>
      <c r="P28" s="49"/>
      <c r="Q28" s="49"/>
      <c r="R28" s="49"/>
      <c r="S28" s="49"/>
      <c r="T28" s="49"/>
      <c r="U28" s="49"/>
      <c r="V28" s="49"/>
      <c r="W28" s="49"/>
      <c r="X28" s="49"/>
      <c r="Y28" s="49"/>
      <c r="Z28" s="49"/>
    </row>
    <row r="29" spans="1:26" ht="15.75" customHeight="1">
      <c r="A29" s="49" t="str">
        <f ca="1">IFERROR(__xludf.DUMMYFUNCTION("""COMPUTED_VALUE"""),"Contacted")</f>
        <v>Contacted</v>
      </c>
      <c r="B29" s="49" t="str">
        <f ca="1">IFERROR(__xludf.DUMMYFUNCTION("""COMPUTED_VALUE"""),"")</f>
        <v/>
      </c>
      <c r="C29" s="49" t="str">
        <f ca="1">IFERROR(__xludf.DUMMYFUNCTION("""COMPUTED_VALUE"""),"")</f>
        <v/>
      </c>
      <c r="D29" s="49" t="str">
        <f ca="1">IFERROR(__xludf.DUMMYFUNCTION("""COMPUTED_VALUE"""),"No")</f>
        <v>No</v>
      </c>
      <c r="E29" s="49" t="str">
        <f ca="1">IFERROR(__xludf.DUMMYFUNCTION("""COMPUTED_VALUE"""),"Baseline")</f>
        <v>Baseline</v>
      </c>
      <c r="F29" s="49" t="str">
        <f ca="1">IFERROR(__xludf.DUMMYFUNCTION("""COMPUTED_VALUE"""),"")</f>
        <v/>
      </c>
      <c r="G29" s="49" t="str">
        <f ca="1">IFERROR(__xludf.DUMMYFUNCTION("""COMPUTED_VALUE"""),"Megan Lynch")</f>
        <v>Megan Lynch</v>
      </c>
      <c r="H29" s="49" t="str">
        <f ca="1">IFERROR(__xludf.DUMMYFUNCTION("""COMPUTED_VALUE"""),"megan.lynch@umaryland.edu")</f>
        <v>megan.lynch@umaryland.edu</v>
      </c>
      <c r="I29" s="49" t="str">
        <f ca="1">IFERROR(__xludf.DUMMYFUNCTION("""COMPUTED_VALUE"""),"Graduate Student")</f>
        <v>Graduate Student</v>
      </c>
      <c r="J29" s="49"/>
      <c r="K29" s="49"/>
      <c r="L29" s="49"/>
      <c r="M29" s="49"/>
      <c r="N29" s="49"/>
      <c r="O29" s="49"/>
      <c r="P29" s="49"/>
      <c r="Q29" s="49"/>
      <c r="R29" s="49"/>
      <c r="S29" s="49"/>
      <c r="T29" s="49"/>
      <c r="U29" s="49"/>
      <c r="V29" s="49"/>
      <c r="W29" s="49"/>
      <c r="X29" s="49"/>
      <c r="Y29" s="49"/>
      <c r="Z29" s="49"/>
    </row>
    <row r="30" spans="1:26" ht="15.75" customHeight="1">
      <c r="A30" s="49" t="str">
        <f ca="1">IFERROR(__xludf.DUMMYFUNCTION("""COMPUTED_VALUE"""),"Contacted")</f>
        <v>Contacted</v>
      </c>
      <c r="B30" s="49" t="str">
        <f ca="1">IFERROR(__xludf.DUMMYFUNCTION("""COMPUTED_VALUE"""),"")</f>
        <v/>
      </c>
      <c r="C30" s="49" t="str">
        <f ca="1">IFERROR(__xludf.DUMMYFUNCTION("""COMPUTED_VALUE"""),"")</f>
        <v/>
      </c>
      <c r="D30" s="49" t="str">
        <f ca="1">IFERROR(__xludf.DUMMYFUNCTION("""COMPUTED_VALUE"""),"No")</f>
        <v>No</v>
      </c>
      <c r="E30" s="49" t="str">
        <f ca="1">IFERROR(__xludf.DUMMYFUNCTION("""COMPUTED_VALUE"""),"Baseline")</f>
        <v>Baseline</v>
      </c>
      <c r="F30" s="49" t="str">
        <f ca="1">IFERROR(__xludf.DUMMYFUNCTION("""COMPUTED_VALUE"""),"")</f>
        <v/>
      </c>
      <c r="G30" s="49" t="str">
        <f ca="1">IFERROR(__xludf.DUMMYFUNCTION("""COMPUTED_VALUE"""),"Mi-Ae Jang")</f>
        <v>Mi-Ae Jang</v>
      </c>
      <c r="H30" s="49" t="str">
        <f ca="1">IFERROR(__xludf.DUMMYFUNCTION("""COMPUTED_VALUE"""),"miaeyaho@gmail.com")</f>
        <v>miaeyaho@gmail.com</v>
      </c>
      <c r="I30" s="49" t="str">
        <f ca="1">IFERROR(__xludf.DUMMYFUNCTION("""COMPUTED_VALUE"""),"Clinical laboratory geneticist")</f>
        <v>Clinical laboratory geneticist</v>
      </c>
      <c r="J30" s="49"/>
      <c r="K30" s="49"/>
      <c r="L30" s="49"/>
      <c r="M30" s="49"/>
      <c r="N30" s="49"/>
      <c r="O30" s="49"/>
      <c r="P30" s="49"/>
      <c r="Q30" s="49"/>
      <c r="R30" s="49"/>
      <c r="S30" s="49"/>
      <c r="T30" s="49"/>
      <c r="U30" s="49"/>
      <c r="V30" s="49"/>
      <c r="W30" s="49"/>
      <c r="X30" s="49"/>
      <c r="Y30" s="49"/>
      <c r="Z30" s="49"/>
    </row>
    <row r="31" spans="1:26" ht="15.75" customHeight="1">
      <c r="A31" s="49" t="str">
        <f ca="1">IFERROR(__xludf.DUMMYFUNCTION("""COMPUTED_VALUE"""),"Contacted")</f>
        <v>Contacted</v>
      </c>
      <c r="B31" s="49" t="str">
        <f ca="1">IFERROR(__xludf.DUMMYFUNCTION("""COMPUTED_VALUE"""),"")</f>
        <v/>
      </c>
      <c r="C31" s="49" t="str">
        <f ca="1">IFERROR(__xludf.DUMMYFUNCTION("""COMPUTED_VALUE"""),"")</f>
        <v/>
      </c>
      <c r="D31" s="49" t="str">
        <f ca="1">IFERROR(__xludf.DUMMYFUNCTION("""COMPUTED_VALUE"""),"")</f>
        <v/>
      </c>
      <c r="E31" s="49" t="str">
        <f ca="1">IFERROR(__xludf.DUMMYFUNCTION("""COMPUTED_VALUE"""),"Baseline")</f>
        <v>Baseline</v>
      </c>
      <c r="F31" s="49" t="str">
        <f ca="1">IFERROR(__xludf.DUMMYFUNCTION("""COMPUTED_VALUE"""),"")</f>
        <v/>
      </c>
      <c r="G31" s="49" t="str">
        <f ca="1">IFERROR(__xludf.DUMMYFUNCTION("""COMPUTED_VALUE"""),"Jaclyn Murry")</f>
        <v>Jaclyn Murry</v>
      </c>
      <c r="H31" s="49" t="str">
        <f ca="1">IFERROR(__xludf.DUMMYFUNCTION("""COMPUTED_VALUE"""),"jmurry@mednet.ucla.edu")</f>
        <v>jmurry@mednet.ucla.edu</v>
      </c>
      <c r="I31" s="49" t="str">
        <f ca="1">IFERROR(__xludf.DUMMYFUNCTION("""COMPUTED_VALUE"""),"Clinical laboratory geneticist")</f>
        <v>Clinical laboratory geneticist</v>
      </c>
      <c r="J31" s="49"/>
      <c r="K31" s="49"/>
      <c r="L31" s="49"/>
      <c r="M31" s="49"/>
      <c r="N31" s="49"/>
      <c r="O31" s="49"/>
      <c r="P31" s="49"/>
      <c r="Q31" s="49"/>
      <c r="R31" s="49"/>
      <c r="S31" s="49"/>
      <c r="T31" s="49"/>
      <c r="U31" s="49"/>
      <c r="V31" s="49"/>
      <c r="W31" s="49"/>
      <c r="X31" s="49"/>
      <c r="Y31" s="49"/>
      <c r="Z31" s="49"/>
    </row>
    <row r="32" spans="1:26" ht="15.75" customHeight="1">
      <c r="A32" s="49" t="str">
        <f ca="1">IFERROR(__xludf.DUMMYFUNCTION("""COMPUTED_VALUE"""),"Contacted")</f>
        <v>Contacted</v>
      </c>
      <c r="B32" s="49" t="str">
        <f ca="1">IFERROR(__xludf.DUMMYFUNCTION("""COMPUTED_VALUE"""),"")</f>
        <v/>
      </c>
      <c r="C32" s="49" t="str">
        <f ca="1">IFERROR(__xludf.DUMMYFUNCTION("""COMPUTED_VALUE"""),"")</f>
        <v/>
      </c>
      <c r="D32" s="49" t="str">
        <f ca="1">IFERROR(__xludf.DUMMYFUNCTION("""COMPUTED_VALUE"""),"")</f>
        <v/>
      </c>
      <c r="E32" s="49" t="str">
        <f ca="1">IFERROR(__xludf.DUMMYFUNCTION("""COMPUTED_VALUE"""),"Baseline")</f>
        <v>Baseline</v>
      </c>
      <c r="F32" s="49" t="str">
        <f ca="1">IFERROR(__xludf.DUMMYFUNCTION("""COMPUTED_VALUE"""),"")</f>
        <v/>
      </c>
      <c r="G32" s="49" t="str">
        <f ca="1">IFERROR(__xludf.DUMMYFUNCTION("""COMPUTED_VALUE"""),"Sara King")</f>
        <v>Sara King</v>
      </c>
      <c r="H32" s="49" t="str">
        <f ca="1">IFERROR(__xludf.DUMMYFUNCTION("""COMPUTED_VALUE"""),"sking127@student.umuc.edu")</f>
        <v>sking127@student.umuc.edu</v>
      </c>
      <c r="I32" s="49" t="str">
        <f ca="1">IFERROR(__xludf.DUMMYFUNCTION("""COMPUTED_VALUE"""),"Graduate Student")</f>
        <v>Graduate Student</v>
      </c>
      <c r="J32" s="49"/>
      <c r="K32" s="49"/>
      <c r="L32" s="49"/>
      <c r="M32" s="49"/>
      <c r="N32" s="49"/>
      <c r="O32" s="49"/>
      <c r="P32" s="49"/>
      <c r="Q32" s="49"/>
      <c r="R32" s="49"/>
      <c r="S32" s="49"/>
      <c r="T32" s="49"/>
      <c r="U32" s="49"/>
      <c r="V32" s="49"/>
      <c r="W32" s="49"/>
      <c r="X32" s="49"/>
      <c r="Y32" s="49"/>
      <c r="Z32" s="49"/>
    </row>
    <row r="33" spans="1:26" ht="15.75" customHeight="1">
      <c r="A33" s="49" t="str">
        <f ca="1">IFERROR(__xludf.DUMMYFUNCTION("""COMPUTED_VALUE"""),"Contacted")</f>
        <v>Contacted</v>
      </c>
      <c r="B33" s="49" t="str">
        <f ca="1">IFERROR(__xludf.DUMMYFUNCTION("""COMPUTED_VALUE"""),"")</f>
        <v/>
      </c>
      <c r="C33" s="49" t="str">
        <f ca="1">IFERROR(__xludf.DUMMYFUNCTION("""COMPUTED_VALUE"""),"")</f>
        <v/>
      </c>
      <c r="D33" s="49" t="str">
        <f ca="1">IFERROR(__xludf.DUMMYFUNCTION("""COMPUTED_VALUE"""),"")</f>
        <v/>
      </c>
      <c r="E33" s="49" t="str">
        <f ca="1">IFERROR(__xludf.DUMMYFUNCTION("""COMPUTED_VALUE"""),"Baseline")</f>
        <v>Baseline</v>
      </c>
      <c r="F33" s="49" t="str">
        <f ca="1">IFERROR(__xludf.DUMMYFUNCTION("""COMPUTED_VALUE"""),"")</f>
        <v/>
      </c>
      <c r="G33" s="49" t="str">
        <f ca="1">IFERROR(__xludf.DUMMYFUNCTION("""COMPUTED_VALUE"""),"Jimena Murguia")</f>
        <v>Jimena Murguia</v>
      </c>
      <c r="H33" s="49" t="str">
        <f ca="1">IFERROR(__xludf.DUMMYFUNCTION("""COMPUTED_VALUE"""),"jimena887@yahoo.es")</f>
        <v>jimena887@yahoo.es</v>
      </c>
      <c r="I33" s="49" t="str">
        <f ca="1">IFERROR(__xludf.DUMMYFUNCTION("""COMPUTED_VALUE"""),"Clinical laboratory geneticist")</f>
        <v>Clinical laboratory geneticist</v>
      </c>
      <c r="J33" s="49"/>
      <c r="K33" s="49"/>
      <c r="L33" s="49"/>
      <c r="M33" s="49"/>
      <c r="N33" s="49"/>
      <c r="O33" s="49"/>
      <c r="P33" s="49"/>
      <c r="Q33" s="49"/>
      <c r="R33" s="49"/>
      <c r="S33" s="49"/>
      <c r="T33" s="49"/>
      <c r="U33" s="49"/>
      <c r="V33" s="49"/>
      <c r="W33" s="49"/>
      <c r="X33" s="49"/>
      <c r="Y33" s="49"/>
      <c r="Z33" s="49"/>
    </row>
    <row r="34" spans="1:26" ht="15.75" customHeight="1">
      <c r="A34" s="49" t="str">
        <f ca="1">IFERROR(__xludf.DUMMYFUNCTION("""COMPUTED_VALUE"""),"Contacted")</f>
        <v>Contacted</v>
      </c>
      <c r="B34" s="49" t="str">
        <f ca="1">IFERROR(__xludf.DUMMYFUNCTION("""COMPUTED_VALUE"""),"")</f>
        <v/>
      </c>
      <c r="C34" s="49" t="str">
        <f ca="1">IFERROR(__xludf.DUMMYFUNCTION("""COMPUTED_VALUE"""),"")</f>
        <v/>
      </c>
      <c r="D34" s="49" t="str">
        <f ca="1">IFERROR(__xludf.DUMMYFUNCTION("""COMPUTED_VALUE"""),"")</f>
        <v/>
      </c>
      <c r="E34" s="49" t="str">
        <f ca="1">IFERROR(__xludf.DUMMYFUNCTION("""COMPUTED_VALUE"""),"Baseline")</f>
        <v>Baseline</v>
      </c>
      <c r="F34" s="49" t="str">
        <f ca="1">IFERROR(__xludf.DUMMYFUNCTION("""COMPUTED_VALUE"""),"")</f>
        <v/>
      </c>
      <c r="G34" s="49" t="str">
        <f ca="1">IFERROR(__xludf.DUMMYFUNCTION("""COMPUTED_VALUE"""),"Robert Lewis")</f>
        <v>Robert Lewis</v>
      </c>
      <c r="H34" s="49" t="str">
        <f ca="1">IFERROR(__xludf.DUMMYFUNCTION("""COMPUTED_VALUE"""),"rglewis@uci.edu")</f>
        <v>rglewis@uci.edu</v>
      </c>
      <c r="I34" s="49" t="str">
        <f ca="1">IFERROR(__xludf.DUMMYFUNCTION("""COMPUTED_VALUE"""),"Graduate Student")</f>
        <v>Graduate Student</v>
      </c>
      <c r="J34" s="49"/>
      <c r="K34" s="49"/>
      <c r="L34" s="49"/>
      <c r="M34" s="49"/>
      <c r="N34" s="49"/>
      <c r="O34" s="49"/>
      <c r="P34" s="49"/>
      <c r="Q34" s="49"/>
      <c r="R34" s="49"/>
      <c r="S34" s="49"/>
      <c r="T34" s="49"/>
      <c r="U34" s="49"/>
      <c r="V34" s="49"/>
      <c r="W34" s="49"/>
      <c r="X34" s="49"/>
      <c r="Y34" s="49"/>
      <c r="Z34" s="49"/>
    </row>
    <row r="35" spans="1:26" ht="15.75" customHeight="1">
      <c r="A35" s="49" t="str">
        <f ca="1">IFERROR(__xludf.DUMMYFUNCTION("""COMPUTED_VALUE"""),"Contacted")</f>
        <v>Contacted</v>
      </c>
      <c r="B35" s="49" t="str">
        <f ca="1">IFERROR(__xludf.DUMMYFUNCTION("""COMPUTED_VALUE"""),"")</f>
        <v/>
      </c>
      <c r="C35" s="49" t="str">
        <f ca="1">IFERROR(__xludf.DUMMYFUNCTION("""COMPUTED_VALUE"""),"")</f>
        <v/>
      </c>
      <c r="D35" s="49" t="str">
        <f ca="1">IFERROR(__xludf.DUMMYFUNCTION("""COMPUTED_VALUE"""),"")</f>
        <v/>
      </c>
      <c r="E35" s="49" t="str">
        <f ca="1">IFERROR(__xludf.DUMMYFUNCTION("""COMPUTED_VALUE"""),"Baseline")</f>
        <v>Baseline</v>
      </c>
      <c r="F35" s="49" t="str">
        <f ca="1">IFERROR(__xludf.DUMMYFUNCTION("""COMPUTED_VALUE"""),"")</f>
        <v/>
      </c>
      <c r="G35" s="49" t="str">
        <f ca="1">IFERROR(__xludf.DUMMYFUNCTION("""COMPUTED_VALUE"""),"Vira Lamtieva")</f>
        <v>Vira Lamtieva</v>
      </c>
      <c r="H35" s="49" t="str">
        <f ca="1">IFERROR(__xludf.DUMMYFUNCTION("""COMPUTED_VALUE"""),"lamteva.vera@gmail.com")</f>
        <v>lamteva.vera@gmail.com</v>
      </c>
      <c r="I35" s="49" t="str">
        <f ca="1">IFERROR(__xludf.DUMMYFUNCTION("""COMPUTED_VALUE"""),"Clinical laboratory geneticist")</f>
        <v>Clinical laboratory geneticist</v>
      </c>
      <c r="J35" s="49"/>
      <c r="K35" s="49"/>
      <c r="L35" s="49"/>
      <c r="M35" s="49"/>
      <c r="N35" s="49"/>
      <c r="O35" s="49"/>
      <c r="P35" s="49"/>
      <c r="Q35" s="49"/>
      <c r="R35" s="49"/>
      <c r="S35" s="49"/>
      <c r="T35" s="49"/>
      <c r="U35" s="49"/>
      <c r="V35" s="49"/>
      <c r="W35" s="49"/>
      <c r="X35" s="49"/>
      <c r="Y35" s="49"/>
      <c r="Z35" s="49"/>
    </row>
    <row r="36" spans="1:26" ht="15.75" customHeight="1">
      <c r="A36" s="49" t="str">
        <f ca="1">IFERROR(__xludf.DUMMYFUNCTION("""COMPUTED_VALUE"""),"Contacted")</f>
        <v>Contacted</v>
      </c>
      <c r="B36" s="49" t="str">
        <f ca="1">IFERROR(__xludf.DUMMYFUNCTION("""COMPUTED_VALUE"""),"")</f>
        <v/>
      </c>
      <c r="C36" s="49" t="str">
        <f ca="1">IFERROR(__xludf.DUMMYFUNCTION("""COMPUTED_VALUE"""),"")</f>
        <v/>
      </c>
      <c r="D36" s="49" t="str">
        <f ca="1">IFERROR(__xludf.DUMMYFUNCTION("""COMPUTED_VALUE"""),"")</f>
        <v/>
      </c>
      <c r="E36" s="49" t="str">
        <f ca="1">IFERROR(__xludf.DUMMYFUNCTION("""COMPUTED_VALUE"""),"Baseline")</f>
        <v>Baseline</v>
      </c>
      <c r="F36" s="49" t="str">
        <f ca="1">IFERROR(__xludf.DUMMYFUNCTION("""COMPUTED_VALUE"""),"")</f>
        <v/>
      </c>
      <c r="G36" s="49" t="str">
        <f ca="1">IFERROR(__xludf.DUMMYFUNCTION("""COMPUTED_VALUE"""),"Bianca Tesi")</f>
        <v>Bianca Tesi</v>
      </c>
      <c r="H36" s="49" t="str">
        <f ca="1">IFERROR(__xludf.DUMMYFUNCTION("""COMPUTED_VALUE"""),"bianca.tesi@sll.se")</f>
        <v>bianca.tesi@sll.se</v>
      </c>
      <c r="I36" s="49" t="str">
        <f ca="1">IFERROR(__xludf.DUMMYFUNCTION("""COMPUTED_VALUE"""),"Post Doc/Resident/Fellow (MD and/or PhD)")</f>
        <v>Post Doc/Resident/Fellow (MD and/or PhD)</v>
      </c>
      <c r="J36" s="49"/>
      <c r="K36" s="49"/>
      <c r="L36" s="49"/>
      <c r="M36" s="49"/>
      <c r="N36" s="49"/>
      <c r="O36" s="49"/>
      <c r="P36" s="49"/>
      <c r="Q36" s="49"/>
      <c r="R36" s="49"/>
      <c r="S36" s="49"/>
      <c r="T36" s="49"/>
      <c r="U36" s="49"/>
      <c r="V36" s="49"/>
      <c r="W36" s="49"/>
      <c r="X36" s="49"/>
      <c r="Y36" s="49"/>
      <c r="Z36" s="49"/>
    </row>
    <row r="37" spans="1:26" ht="15.75" customHeight="1">
      <c r="A37" s="49" t="str">
        <f ca="1">IFERROR(__xludf.DUMMYFUNCTION("""COMPUTED_VALUE"""),"Contacted")</f>
        <v>Contacted</v>
      </c>
      <c r="B37" s="49" t="str">
        <f ca="1">IFERROR(__xludf.DUMMYFUNCTION("""COMPUTED_VALUE"""),"")</f>
        <v/>
      </c>
      <c r="C37" s="88" t="str">
        <f ca="1">IFERROR(__xludf.DUMMYFUNCTION("""COMPUTED_VALUE"""),"")</f>
        <v/>
      </c>
      <c r="D37" s="49" t="str">
        <f ca="1">IFERROR(__xludf.DUMMYFUNCTION("""COMPUTED_VALUE"""),"")</f>
        <v/>
      </c>
      <c r="E37" s="49" t="str">
        <f ca="1">IFERROR(__xludf.DUMMYFUNCTION("""COMPUTED_VALUE"""),"Baseline")</f>
        <v>Baseline</v>
      </c>
      <c r="F37" s="49" t="str">
        <f ca="1">IFERROR(__xludf.DUMMYFUNCTION("""COMPUTED_VALUE"""),"")</f>
        <v/>
      </c>
      <c r="G37" s="49" t="str">
        <f ca="1">IFERROR(__xludf.DUMMYFUNCTION("""COMPUTED_VALUE"""),"Danielle Mouhlas")</f>
        <v>Danielle Mouhlas</v>
      </c>
      <c r="H37" s="49" t="str">
        <f ca="1">IFERROR(__xludf.DUMMYFUNCTION("""COMPUTED_VALUE"""),"danielle.mouhlas@nationwidechildrens.org")</f>
        <v>danielle.mouhlas@nationwidechildrens.org</v>
      </c>
      <c r="I37" s="49" t="str">
        <f ca="1">IFERROR(__xludf.DUMMYFUNCTION("""COMPUTED_VALUE"""),"Genetic counselor")</f>
        <v>Genetic counselor</v>
      </c>
      <c r="J37" s="49"/>
      <c r="K37" s="49"/>
      <c r="L37" s="49"/>
      <c r="M37" s="49"/>
      <c r="N37" s="49"/>
      <c r="O37" s="49"/>
      <c r="P37" s="49"/>
      <c r="Q37" s="49"/>
      <c r="R37" s="49"/>
      <c r="S37" s="49"/>
      <c r="T37" s="49"/>
      <c r="U37" s="49"/>
      <c r="V37" s="49"/>
      <c r="W37" s="49"/>
      <c r="X37" s="49"/>
      <c r="Y37" s="49"/>
      <c r="Z37" s="49"/>
    </row>
    <row r="38" spans="1:26" ht="15.75" customHeight="1">
      <c r="A38" s="49" t="str">
        <f ca="1">IFERROR(__xludf.DUMMYFUNCTION("""COMPUTED_VALUE"""),"Contacted")</f>
        <v>Contacted</v>
      </c>
      <c r="B38" s="49" t="str">
        <f ca="1">IFERROR(__xludf.DUMMYFUNCTION("""COMPUTED_VALUE"""),"")</f>
        <v/>
      </c>
      <c r="C38" s="49" t="str">
        <f ca="1">IFERROR(__xludf.DUMMYFUNCTION("""COMPUTED_VALUE"""),"")</f>
        <v/>
      </c>
      <c r="D38" s="49" t="str">
        <f ca="1">IFERROR(__xludf.DUMMYFUNCTION("""COMPUTED_VALUE"""),"")</f>
        <v/>
      </c>
      <c r="E38" s="49" t="str">
        <f ca="1">IFERROR(__xludf.DUMMYFUNCTION("""COMPUTED_VALUE"""),"Baseline")</f>
        <v>Baseline</v>
      </c>
      <c r="F38" s="49" t="str">
        <f ca="1">IFERROR(__xludf.DUMMYFUNCTION("""COMPUTED_VALUE"""),"")</f>
        <v/>
      </c>
      <c r="G38" s="49" t="str">
        <f ca="1">IFERROR(__xludf.DUMMYFUNCTION("""COMPUTED_VALUE"""),"Marcela Dias Hanna")</f>
        <v>Marcela Dias Hanna</v>
      </c>
      <c r="H38" s="49" t="str">
        <f ca="1">IFERROR(__xludf.DUMMYFUNCTION("""COMPUTED_VALUE"""),"marcelahanna8@gmail.com")</f>
        <v>marcelahanna8@gmail.com</v>
      </c>
      <c r="I38" s="49" t="str">
        <f ca="1">IFERROR(__xludf.DUMMYFUNCTION("""COMPUTED_VALUE"""),"Graduate Student")</f>
        <v>Graduate Student</v>
      </c>
      <c r="J38" s="49"/>
      <c r="K38" s="49"/>
      <c r="L38" s="49"/>
      <c r="M38" s="49"/>
      <c r="N38" s="49"/>
      <c r="O38" s="49"/>
      <c r="P38" s="49"/>
      <c r="Q38" s="49"/>
      <c r="R38" s="49"/>
      <c r="S38" s="49"/>
      <c r="T38" s="49"/>
      <c r="U38" s="49"/>
      <c r="V38" s="49"/>
      <c r="W38" s="49"/>
      <c r="X38" s="49"/>
      <c r="Y38" s="49"/>
      <c r="Z38" s="49"/>
    </row>
    <row r="39" spans="1:26" ht="15.75" customHeight="1">
      <c r="A39" s="49" t="str">
        <f ca="1">IFERROR(__xludf.DUMMYFUNCTION("""COMPUTED_VALUE"""),"Contacted")</f>
        <v>Contacted</v>
      </c>
      <c r="B39" s="49" t="str">
        <f ca="1">IFERROR(__xludf.DUMMYFUNCTION("""COMPUTED_VALUE"""),"")</f>
        <v/>
      </c>
      <c r="C39" s="49" t="str">
        <f ca="1">IFERROR(__xludf.DUMMYFUNCTION("""COMPUTED_VALUE"""),"")</f>
        <v/>
      </c>
      <c r="D39" s="49" t="str">
        <f ca="1">IFERROR(__xludf.DUMMYFUNCTION("""COMPUTED_VALUE"""),"")</f>
        <v/>
      </c>
      <c r="E39" s="49" t="str">
        <f ca="1">IFERROR(__xludf.DUMMYFUNCTION("""COMPUTED_VALUE"""),"Baseline")</f>
        <v>Baseline</v>
      </c>
      <c r="F39" s="49" t="str">
        <f ca="1">IFERROR(__xludf.DUMMYFUNCTION("""COMPUTED_VALUE"""),"")</f>
        <v/>
      </c>
      <c r="G39" s="49" t="str">
        <f ca="1">IFERROR(__xludf.DUMMYFUNCTION("""COMPUTED_VALUE"""),"Natalie Hollister")</f>
        <v>Natalie Hollister</v>
      </c>
      <c r="H39" s="49" t="str">
        <f ca="1">IFERROR(__xludf.DUMMYFUNCTION("""COMPUTED_VALUE"""),"nsh10@alumni.duke.edu")</f>
        <v>nsh10@alumni.duke.edu</v>
      </c>
      <c r="I39" s="49" t="str">
        <f ca="1">IFERROR(__xludf.DUMMYFUNCTION("""COMPUTED_VALUE"""),"Graduate Student")</f>
        <v>Graduate Student</v>
      </c>
      <c r="J39" s="49"/>
      <c r="K39" s="49"/>
      <c r="L39" s="49"/>
      <c r="M39" s="49"/>
      <c r="N39" s="49"/>
      <c r="O39" s="49"/>
      <c r="P39" s="49"/>
      <c r="Q39" s="49"/>
      <c r="R39" s="49"/>
      <c r="S39" s="49"/>
      <c r="T39" s="49"/>
      <c r="U39" s="49"/>
      <c r="V39" s="49"/>
      <c r="W39" s="49"/>
      <c r="X39" s="49"/>
      <c r="Y39" s="49"/>
      <c r="Z39" s="49"/>
    </row>
    <row r="40" spans="1:26" ht="15.75" customHeight="1">
      <c r="A40" s="49" t="str">
        <f ca="1">IFERROR(__xludf.DUMMYFUNCTION("""COMPUTED_VALUE"""),"Unassigned")</f>
        <v>Unassigned</v>
      </c>
      <c r="B40" s="49" t="str">
        <f ca="1">IFERROR(__xludf.DUMMYFUNCTION("""COMPUTED_VALUE"""),"")</f>
        <v/>
      </c>
      <c r="C40" s="49" t="str">
        <f ca="1">IFERROR(__xludf.DUMMYFUNCTION("""COMPUTED_VALUE"""),"")</f>
        <v/>
      </c>
      <c r="D40" s="49" t="str">
        <f ca="1">IFERROR(__xludf.DUMMYFUNCTION("""COMPUTED_VALUE"""),"")</f>
        <v/>
      </c>
      <c r="E40" s="49" t="str">
        <f ca="1">IFERROR(__xludf.DUMMYFUNCTION("""COMPUTED_VALUE"""),"Gene Disease Validity")</f>
        <v>Gene Disease Validity</v>
      </c>
      <c r="F40" s="49" t="str">
        <f ca="1">IFERROR(__xludf.DUMMYFUNCTION("""COMPUTED_VALUE"""),"")</f>
        <v/>
      </c>
      <c r="G40" s="49" t="str">
        <f ca="1">IFERROR(__xludf.DUMMYFUNCTION("""COMPUTED_VALUE"""),"Konstantinos Varvagiannis")</f>
        <v>Konstantinos Varvagiannis</v>
      </c>
      <c r="H40" s="49" t="str">
        <f ca="1">IFERROR(__xludf.DUMMYFUNCTION("""COMPUTED_VALUE"""),"knsvarv@ath.forthnet.gr")</f>
        <v>knsvarv@ath.forthnet.gr</v>
      </c>
      <c r="I40" s="49" t="str">
        <f ca="1">IFERROR(__xludf.DUMMYFUNCTION("""COMPUTED_VALUE"""),"Clinical Medical Geneticist")</f>
        <v>Clinical Medical Geneticist</v>
      </c>
      <c r="J40" s="49"/>
      <c r="K40" s="49"/>
      <c r="L40" s="49"/>
      <c r="M40" s="49"/>
      <c r="N40" s="49"/>
      <c r="O40" s="49"/>
      <c r="P40" s="49"/>
      <c r="Q40" s="49"/>
      <c r="R40" s="49"/>
      <c r="S40" s="49"/>
      <c r="T40" s="49"/>
      <c r="U40" s="49"/>
      <c r="V40" s="49"/>
      <c r="W40" s="49"/>
      <c r="X40" s="49"/>
      <c r="Y40" s="49"/>
      <c r="Z40" s="49"/>
    </row>
    <row r="41" spans="1:26" ht="15.75" customHeight="1">
      <c r="A41" s="49" t="str">
        <f ca="1">IFERROR(__xludf.DUMMYFUNCTION("""COMPUTED_VALUE"""),"Assigned")</f>
        <v>Assigned</v>
      </c>
      <c r="B41" s="49" t="str">
        <f ca="1">IFERROR(__xludf.DUMMYFUNCTION("""COMPUTED_VALUE"""),"")</f>
        <v/>
      </c>
      <c r="C41" s="49" t="str">
        <f ca="1">IFERROR(__xludf.DUMMYFUNCTION("""COMPUTED_VALUE"""),"")</f>
        <v/>
      </c>
      <c r="D41" s="49" t="str">
        <f ca="1">IFERROR(__xludf.DUMMYFUNCTION("""COMPUTED_VALUE"""),"")</f>
        <v/>
      </c>
      <c r="E41" s="49" t="str">
        <f ca="1">IFERROR(__xludf.DUMMYFUNCTION("""COMPUTED_VALUE"""),"Baseline")</f>
        <v>Baseline</v>
      </c>
      <c r="F41" s="49" t="str">
        <f ca="1">IFERROR(__xludf.DUMMYFUNCTION("""COMPUTED_VALUE"""),"")</f>
        <v/>
      </c>
      <c r="G41" s="49" t="str">
        <f ca="1">IFERROR(__xludf.DUMMYFUNCTION("""COMPUTED_VALUE"""),"Ernie Hobbs")</f>
        <v>Ernie Hobbs</v>
      </c>
      <c r="H41" s="49" t="str">
        <f ca="1">IFERROR(__xludf.DUMMYFUNCTION("""COMPUTED_VALUE"""),"ernie.hobbs@congenica.com")</f>
        <v>ernie.hobbs@congenica.com</v>
      </c>
      <c r="I41" s="49" t="str">
        <f ca="1">IFERROR(__xludf.DUMMYFUNCTION("""COMPUTED_VALUE"""),"Citizen Scientist/Patient Advocate")</f>
        <v>Citizen Scientist/Patient Advocate</v>
      </c>
      <c r="J41" s="49"/>
      <c r="K41" s="49"/>
      <c r="L41" s="49"/>
      <c r="M41" s="49"/>
      <c r="N41" s="49"/>
      <c r="O41" s="49"/>
      <c r="P41" s="49"/>
      <c r="Q41" s="49"/>
      <c r="R41" s="49"/>
      <c r="S41" s="49"/>
      <c r="T41" s="49"/>
      <c r="U41" s="49"/>
      <c r="V41" s="49"/>
      <c r="W41" s="49"/>
      <c r="X41" s="49"/>
      <c r="Y41" s="49"/>
      <c r="Z41" s="49"/>
    </row>
    <row r="42" spans="1:26" ht="15.75" customHeight="1">
      <c r="A42" s="49" t="str">
        <f ca="1">IFERROR(__xludf.DUMMYFUNCTION("""COMPUTED_VALUE"""),"Contacted")</f>
        <v>Contacted</v>
      </c>
      <c r="B42" s="49" t="str">
        <f ca="1">IFERROR(__xludf.DUMMYFUNCTION("""COMPUTED_VALUE"""),"")</f>
        <v/>
      </c>
      <c r="C42" s="49" t="str">
        <f ca="1">IFERROR(__xludf.DUMMYFUNCTION("""COMPUTED_VALUE"""),"")</f>
        <v/>
      </c>
      <c r="D42" s="49" t="str">
        <f ca="1">IFERROR(__xludf.DUMMYFUNCTION("""COMPUTED_VALUE"""),"")</f>
        <v/>
      </c>
      <c r="E42" s="49" t="str">
        <f ca="1">IFERROR(__xludf.DUMMYFUNCTION("""COMPUTED_VALUE"""),"Baseline")</f>
        <v>Baseline</v>
      </c>
      <c r="F42" s="49" t="str">
        <f ca="1">IFERROR(__xludf.DUMMYFUNCTION("""COMPUTED_VALUE"""),"")</f>
        <v/>
      </c>
      <c r="G42" s="49" t="str">
        <f ca="1">IFERROR(__xludf.DUMMYFUNCTION("""COMPUTED_VALUE"""),"Sandy Au")</f>
        <v>Sandy Au</v>
      </c>
      <c r="H42" s="49" t="str">
        <f ca="1">IFERROR(__xludf.DUMMYFUNCTION("""COMPUTED_VALUE"""),"alkuen@hku.hk")</f>
        <v>alkuen@hku.hk</v>
      </c>
      <c r="I42" s="49" t="str">
        <f ca="1">IFERROR(__xludf.DUMMYFUNCTION("""COMPUTED_VALUE"""),"Scientific Researcher")</f>
        <v>Scientific Researcher</v>
      </c>
      <c r="J42" s="49"/>
      <c r="K42" s="49"/>
      <c r="L42" s="49"/>
      <c r="M42" s="49"/>
      <c r="N42" s="49"/>
      <c r="O42" s="49"/>
      <c r="P42" s="49"/>
      <c r="Q42" s="49"/>
      <c r="R42" s="49"/>
      <c r="S42" s="49"/>
      <c r="T42" s="49"/>
      <c r="U42" s="49"/>
      <c r="V42" s="49"/>
      <c r="W42" s="49"/>
      <c r="X42" s="49"/>
      <c r="Y42" s="49"/>
      <c r="Z42" s="49"/>
    </row>
    <row r="43" spans="1:26" ht="15.75" customHeight="1">
      <c r="A43" s="49" t="str">
        <f ca="1">IFERROR(__xludf.DUMMYFUNCTION("""COMPUTED_VALUE"""),"Contacted")</f>
        <v>Contacted</v>
      </c>
      <c r="B43" s="88" t="str">
        <f ca="1">IFERROR(__xludf.DUMMYFUNCTION("""COMPUTED_VALUE"""),"")</f>
        <v/>
      </c>
      <c r="C43" s="87" t="str">
        <f ca="1">IFERROR(__xludf.DUMMYFUNCTION("""COMPUTED_VALUE"""),"")</f>
        <v/>
      </c>
      <c r="D43" s="49" t="str">
        <f ca="1">IFERROR(__xludf.DUMMYFUNCTION("""COMPUTED_VALUE"""),"No")</f>
        <v>No</v>
      </c>
      <c r="E43" s="49" t="str">
        <f ca="1">IFERROR(__xludf.DUMMYFUNCTION("""COMPUTED_VALUE"""),"Baseline")</f>
        <v>Baseline</v>
      </c>
      <c r="F43" s="49" t="str">
        <f ca="1">IFERROR(__xludf.DUMMYFUNCTION("""COMPUTED_VALUE"""),"")</f>
        <v/>
      </c>
      <c r="G43" s="49" t="str">
        <f ca="1">IFERROR(__xludf.DUMMYFUNCTION("""COMPUTED_VALUE"""),"Malak Ashraf")</f>
        <v>Malak Ashraf</v>
      </c>
      <c r="H43" s="49" t="str">
        <f ca="1">IFERROR(__xludf.DUMMYFUNCTION("""COMPUTED_VALUE"""),"malak.2118144@stemkalubya.moe.edu.eg")</f>
        <v>malak.2118144@stemkalubya.moe.edu.eg</v>
      </c>
      <c r="I43" s="49" t="str">
        <f ca="1">IFERROR(__xludf.DUMMYFUNCTION("""COMPUTED_VALUE"""),"High School Student")</f>
        <v>High School Student</v>
      </c>
      <c r="J43" s="49"/>
      <c r="K43" s="49"/>
      <c r="L43" s="49"/>
      <c r="M43" s="49"/>
      <c r="N43" s="49"/>
      <c r="O43" s="49"/>
      <c r="P43" s="49"/>
      <c r="Q43" s="49"/>
      <c r="R43" s="49"/>
      <c r="S43" s="49"/>
      <c r="T43" s="49"/>
      <c r="U43" s="49"/>
      <c r="V43" s="49"/>
      <c r="W43" s="49"/>
      <c r="X43" s="49"/>
      <c r="Y43" s="49"/>
      <c r="Z43" s="49"/>
    </row>
    <row r="44" spans="1:26" ht="15.75" customHeight="1">
      <c r="A44" s="49" t="str">
        <f ca="1">IFERROR(__xludf.DUMMYFUNCTION("""COMPUTED_VALUE"""),"Contacted")</f>
        <v>Contacted</v>
      </c>
      <c r="B44" s="49" t="str">
        <f ca="1">IFERROR(__xludf.DUMMYFUNCTION("""COMPUTED_VALUE"""),"")</f>
        <v/>
      </c>
      <c r="C44" s="49" t="str">
        <f ca="1">IFERROR(__xludf.DUMMYFUNCTION("""COMPUTED_VALUE"""),"")</f>
        <v/>
      </c>
      <c r="D44" s="49" t="str">
        <f ca="1">IFERROR(__xludf.DUMMYFUNCTION("""COMPUTED_VALUE"""),"")</f>
        <v/>
      </c>
      <c r="E44" s="49" t="str">
        <f ca="1">IFERROR(__xludf.DUMMYFUNCTION("""COMPUTED_VALUE"""),"Baseline")</f>
        <v>Baseline</v>
      </c>
      <c r="F44" s="49" t="str">
        <f ca="1">IFERROR(__xludf.DUMMYFUNCTION("""COMPUTED_VALUE"""),"")</f>
        <v/>
      </c>
      <c r="G44" s="49" t="str">
        <f ca="1">IFERROR(__xludf.DUMMYFUNCTION("""COMPUTED_VALUE"""),"Helen O'Shea")</f>
        <v>Helen O'Shea</v>
      </c>
      <c r="H44" s="49" t="str">
        <f ca="1">IFERROR(__xludf.DUMMYFUNCTION("""COMPUTED_VALUE"""),"helen.oshea@olchc.ie")</f>
        <v>helen.oshea@olchc.ie</v>
      </c>
      <c r="I44" s="49" t="str">
        <f ca="1">IFERROR(__xludf.DUMMYFUNCTION("""COMPUTED_VALUE"""),"Clinical laboratory geneticist")</f>
        <v>Clinical laboratory geneticist</v>
      </c>
      <c r="J44" s="49"/>
      <c r="K44" s="49"/>
      <c r="L44" s="49"/>
      <c r="M44" s="49"/>
      <c r="N44" s="49"/>
      <c r="O44" s="49"/>
      <c r="P44" s="49"/>
      <c r="Q44" s="49"/>
      <c r="R44" s="49"/>
      <c r="S44" s="49"/>
      <c r="T44" s="49"/>
      <c r="U44" s="49"/>
      <c r="V44" s="49"/>
      <c r="W44" s="49"/>
      <c r="X44" s="49"/>
      <c r="Y44" s="49"/>
      <c r="Z44" s="49"/>
    </row>
    <row r="45" spans="1:26" ht="15.75" customHeight="1">
      <c r="A45" s="49" t="str">
        <f ca="1">IFERROR(__xludf.DUMMYFUNCTION("""COMPUTED_VALUE"""),"Contacted")</f>
        <v>Contacted</v>
      </c>
      <c r="B45" s="49" t="str">
        <f ca="1">IFERROR(__xludf.DUMMYFUNCTION("""COMPUTED_VALUE"""),"")</f>
        <v/>
      </c>
      <c r="C45" s="49" t="str">
        <f ca="1">IFERROR(__xludf.DUMMYFUNCTION("""COMPUTED_VALUE"""),"")</f>
        <v/>
      </c>
      <c r="D45" s="49" t="str">
        <f ca="1">IFERROR(__xludf.DUMMYFUNCTION("""COMPUTED_VALUE"""),"")</f>
        <v/>
      </c>
      <c r="E45" s="49" t="str">
        <f ca="1">IFERROR(__xludf.DUMMYFUNCTION("""COMPUTED_VALUE"""),"Baseline")</f>
        <v>Baseline</v>
      </c>
      <c r="F45" s="49" t="str">
        <f ca="1">IFERROR(__xludf.DUMMYFUNCTION("""COMPUTED_VALUE"""),"")</f>
        <v/>
      </c>
      <c r="G45" s="49" t="str">
        <f ca="1">IFERROR(__xludf.DUMMYFUNCTION("""COMPUTED_VALUE"""),"Panos Sergouniotis")</f>
        <v>Panos Sergouniotis</v>
      </c>
      <c r="H45" s="49" t="str">
        <f ca="1">IFERROR(__xludf.DUMMYFUNCTION("""COMPUTED_VALUE"""),"panagiotis.sergouniotis@manchester.ac.uk")</f>
        <v>panagiotis.sergouniotis@manchester.ac.uk</v>
      </c>
      <c r="I45" s="49" t="str">
        <f ca="1">IFERROR(__xludf.DUMMYFUNCTION("""COMPUTED_VALUE"""),"I am a qualified Ophthalmologist (FEBO, FRCOphth) with an interest in Ophtalmic Genetics")</f>
        <v>I am a qualified Ophthalmologist (FEBO, FRCOphth) with an interest in Ophtalmic Genetics</v>
      </c>
      <c r="J45" s="49"/>
      <c r="K45" s="49"/>
      <c r="L45" s="49"/>
      <c r="M45" s="49"/>
      <c r="N45" s="49"/>
      <c r="O45" s="49"/>
      <c r="P45" s="49"/>
      <c r="Q45" s="49"/>
      <c r="R45" s="49"/>
      <c r="S45" s="49"/>
      <c r="T45" s="49"/>
      <c r="U45" s="49"/>
      <c r="V45" s="49"/>
      <c r="W45" s="49"/>
      <c r="X45" s="49"/>
      <c r="Y45" s="49"/>
      <c r="Z45" s="49"/>
    </row>
    <row r="46" spans="1:26" ht="15.75" customHeight="1">
      <c r="A46" s="49" t="str">
        <f ca="1">IFERROR(__xludf.DUMMYFUNCTION("""COMPUTED_VALUE"""),"Contacted")</f>
        <v>Contacted</v>
      </c>
      <c r="B46" s="49" t="str">
        <f ca="1">IFERROR(__xludf.DUMMYFUNCTION("""COMPUTED_VALUE"""),"")</f>
        <v/>
      </c>
      <c r="C46" s="49" t="str">
        <f ca="1">IFERROR(__xludf.DUMMYFUNCTION("""COMPUTED_VALUE"""),"")</f>
        <v/>
      </c>
      <c r="D46" s="49" t="str">
        <f ca="1">IFERROR(__xludf.DUMMYFUNCTION("""COMPUTED_VALUE"""),"")</f>
        <v/>
      </c>
      <c r="E46" s="49" t="str">
        <f ca="1">IFERROR(__xludf.DUMMYFUNCTION("""COMPUTED_VALUE"""),"Baseline")</f>
        <v>Baseline</v>
      </c>
      <c r="F46" s="49" t="str">
        <f ca="1">IFERROR(__xludf.DUMMYFUNCTION("""COMPUTED_VALUE"""),"")</f>
        <v/>
      </c>
      <c r="G46" s="49" t="str">
        <f ca="1">IFERROR(__xludf.DUMMYFUNCTION("""COMPUTED_VALUE"""),"Sarah Payne ")</f>
        <v xml:space="preserve">Sarah Payne </v>
      </c>
      <c r="H46" s="49" t="str">
        <f ca="1">IFERROR(__xludf.DUMMYFUNCTION("""COMPUTED_VALUE"""),"sarahhale79@gmail.com")</f>
        <v>sarahhale79@gmail.com</v>
      </c>
      <c r="I46" s="49" t="str">
        <f ca="1">IFERROR(__xludf.DUMMYFUNCTION("""COMPUTED_VALUE"""),"Female family with unknown genetic disorder ")</f>
        <v xml:space="preserve">Female family with unknown genetic disorder </v>
      </c>
      <c r="J46" s="49"/>
      <c r="K46" s="49"/>
      <c r="L46" s="49"/>
      <c r="M46" s="49"/>
      <c r="N46" s="49"/>
      <c r="O46" s="49"/>
      <c r="P46" s="49"/>
      <c r="Q46" s="49"/>
      <c r="R46" s="49"/>
      <c r="S46" s="49"/>
      <c r="T46" s="49"/>
      <c r="U46" s="49"/>
      <c r="V46" s="49"/>
      <c r="W46" s="49"/>
      <c r="X46" s="49"/>
      <c r="Y46" s="49"/>
      <c r="Z46" s="49"/>
    </row>
    <row r="47" spans="1:26" ht="15.75" customHeight="1">
      <c r="A47" s="49" t="str">
        <f ca="1">IFERROR(__xludf.DUMMYFUNCTION("""COMPUTED_VALUE"""),"Contacted")</f>
        <v>Contacted</v>
      </c>
      <c r="B47" s="49" t="str">
        <f ca="1">IFERROR(__xludf.DUMMYFUNCTION("""COMPUTED_VALUE"""),"")</f>
        <v/>
      </c>
      <c r="C47" s="49" t="str">
        <f ca="1">IFERROR(__xludf.DUMMYFUNCTION("""COMPUTED_VALUE"""),"")</f>
        <v/>
      </c>
      <c r="D47" s="49" t="str">
        <f ca="1">IFERROR(__xludf.DUMMYFUNCTION("""COMPUTED_VALUE"""),"")</f>
        <v/>
      </c>
      <c r="E47" s="49" t="str">
        <f ca="1">IFERROR(__xludf.DUMMYFUNCTION("""COMPUTED_VALUE"""),"Baseline")</f>
        <v>Baseline</v>
      </c>
      <c r="F47" s="49" t="str">
        <f ca="1">IFERROR(__xludf.DUMMYFUNCTION("""COMPUTED_VALUE"""),"")</f>
        <v/>
      </c>
      <c r="G47" s="49" t="str">
        <f ca="1">IFERROR(__xludf.DUMMYFUNCTION("""COMPUTED_VALUE"""),"Pradeep Varathan")</f>
        <v>Pradeep Varathan</v>
      </c>
      <c r="H47" s="49" t="str">
        <f ca="1">IFERROR(__xludf.DUMMYFUNCTION("""COMPUTED_VALUE"""),"pradluzog@gmail.com")</f>
        <v>pradluzog@gmail.com</v>
      </c>
      <c r="I47" s="49" t="str">
        <f ca="1">IFERROR(__xludf.DUMMYFUNCTION("""COMPUTED_VALUE"""),"Graduate Student")</f>
        <v>Graduate Student</v>
      </c>
      <c r="J47" s="49"/>
      <c r="K47" s="49"/>
      <c r="L47" s="49"/>
      <c r="M47" s="49"/>
      <c r="N47" s="49"/>
      <c r="O47" s="49"/>
      <c r="P47" s="49"/>
      <c r="Q47" s="49"/>
      <c r="R47" s="49"/>
      <c r="S47" s="49"/>
      <c r="T47" s="49"/>
      <c r="U47" s="49"/>
      <c r="V47" s="49"/>
      <c r="W47" s="49"/>
      <c r="X47" s="49"/>
      <c r="Y47" s="49"/>
      <c r="Z47" s="49"/>
    </row>
    <row r="48" spans="1:26" ht="15.75" customHeight="1">
      <c r="A48" s="49" t="str">
        <f ca="1">IFERROR(__xludf.DUMMYFUNCTION("""COMPUTED_VALUE"""),"Contacted")</f>
        <v>Contacted</v>
      </c>
      <c r="B48" s="49" t="str">
        <f ca="1">IFERROR(__xludf.DUMMYFUNCTION("""COMPUTED_VALUE"""),"")</f>
        <v/>
      </c>
      <c r="C48" s="49" t="str">
        <f ca="1">IFERROR(__xludf.DUMMYFUNCTION("""COMPUTED_VALUE"""),"")</f>
        <v/>
      </c>
      <c r="D48" s="49" t="str">
        <f ca="1">IFERROR(__xludf.DUMMYFUNCTION("""COMPUTED_VALUE"""),"")</f>
        <v/>
      </c>
      <c r="E48" s="49" t="str">
        <f ca="1">IFERROR(__xludf.DUMMYFUNCTION("""COMPUTED_VALUE"""),"Baseline")</f>
        <v>Baseline</v>
      </c>
      <c r="F48" s="49" t="str">
        <f ca="1">IFERROR(__xludf.DUMMYFUNCTION("""COMPUTED_VALUE"""),"")</f>
        <v/>
      </c>
      <c r="G48" s="49" t="str">
        <f ca="1">IFERROR(__xludf.DUMMYFUNCTION("""COMPUTED_VALUE"""),"John Beilby")</f>
        <v>John Beilby</v>
      </c>
      <c r="H48" s="49" t="str">
        <f ca="1">IFERROR(__xludf.DUMMYFUNCTION("""COMPUTED_VALUE"""),"John.Beilby@health.wa.gov.au")</f>
        <v>John.Beilby@health.wa.gov.au</v>
      </c>
      <c r="I48" s="49" t="str">
        <f ca="1">IFERROR(__xludf.DUMMYFUNCTION("""COMPUTED_VALUE"""),"Clinical laboratory geneticist")</f>
        <v>Clinical laboratory geneticist</v>
      </c>
      <c r="J48" s="49"/>
      <c r="K48" s="49"/>
      <c r="L48" s="49"/>
      <c r="M48" s="49"/>
      <c r="N48" s="49"/>
      <c r="O48" s="49"/>
      <c r="P48" s="49"/>
      <c r="Q48" s="49"/>
      <c r="R48" s="49"/>
      <c r="S48" s="49"/>
      <c r="T48" s="49"/>
      <c r="U48" s="49"/>
      <c r="V48" s="49"/>
      <c r="W48" s="49"/>
      <c r="X48" s="49"/>
      <c r="Y48" s="49"/>
      <c r="Z48" s="49"/>
    </row>
    <row r="49" spans="1:26" ht="15.75" customHeight="1">
      <c r="A49" s="49" t="str">
        <f ca="1">IFERROR(__xludf.DUMMYFUNCTION("""COMPUTED_VALUE"""),"Contacted")</f>
        <v>Contacted</v>
      </c>
      <c r="B49" s="49" t="str">
        <f ca="1">IFERROR(__xludf.DUMMYFUNCTION("""COMPUTED_VALUE"""),"")</f>
        <v/>
      </c>
      <c r="C49" s="49" t="str">
        <f ca="1">IFERROR(__xludf.DUMMYFUNCTION("""COMPUTED_VALUE"""),"")</f>
        <v/>
      </c>
      <c r="D49" s="49" t="str">
        <f ca="1">IFERROR(__xludf.DUMMYFUNCTION("""COMPUTED_VALUE"""),"")</f>
        <v/>
      </c>
      <c r="E49" s="49" t="str">
        <f ca="1">IFERROR(__xludf.DUMMYFUNCTION("""COMPUTED_VALUE"""),"Baseline")</f>
        <v>Baseline</v>
      </c>
      <c r="F49" s="49" t="str">
        <f ca="1">IFERROR(__xludf.DUMMYFUNCTION("""COMPUTED_VALUE"""),"")</f>
        <v/>
      </c>
      <c r="G49" s="49" t="str">
        <f ca="1">IFERROR(__xludf.DUMMYFUNCTION("""COMPUTED_VALUE"""),"Hari Subramanian")</f>
        <v>Hari Subramanian</v>
      </c>
      <c r="H49" s="49" t="str">
        <f ca="1">IFERROR(__xludf.DUMMYFUNCTION("""COMPUTED_VALUE"""),"hsubramanian@bsd.uchicago.edu")</f>
        <v>hsubramanian@bsd.uchicago.edu</v>
      </c>
      <c r="I49" s="49" t="str">
        <f ca="1">IFERROR(__xludf.DUMMYFUNCTION("""COMPUTED_VALUE"""),"Bioinformatician, Clinical Diagnostics Lab")</f>
        <v>Bioinformatician, Clinical Diagnostics Lab</v>
      </c>
      <c r="J49" s="49"/>
      <c r="K49" s="49"/>
      <c r="L49" s="49"/>
      <c r="M49" s="49"/>
      <c r="N49" s="49"/>
      <c r="O49" s="49"/>
      <c r="P49" s="49"/>
      <c r="Q49" s="49"/>
      <c r="R49" s="49"/>
      <c r="S49" s="49"/>
      <c r="T49" s="49"/>
      <c r="U49" s="49"/>
      <c r="V49" s="49"/>
      <c r="W49" s="49"/>
      <c r="X49" s="49"/>
      <c r="Y49" s="49"/>
      <c r="Z49" s="49"/>
    </row>
    <row r="50" spans="1:26" ht="15.75" customHeight="1">
      <c r="A50" s="49" t="str">
        <f ca="1">IFERROR(__xludf.DUMMYFUNCTION("""COMPUTED_VALUE"""),"Contacted")</f>
        <v>Contacted</v>
      </c>
      <c r="B50" s="49" t="str">
        <f ca="1">IFERROR(__xludf.DUMMYFUNCTION("""COMPUTED_VALUE"""),"")</f>
        <v/>
      </c>
      <c r="C50" s="49" t="str">
        <f ca="1">IFERROR(__xludf.DUMMYFUNCTION("""COMPUTED_VALUE"""),"")</f>
        <v/>
      </c>
      <c r="D50" s="49" t="str">
        <f ca="1">IFERROR(__xludf.DUMMYFUNCTION("""COMPUTED_VALUE"""),"")</f>
        <v/>
      </c>
      <c r="E50" s="49" t="str">
        <f ca="1">IFERROR(__xludf.DUMMYFUNCTION("""COMPUTED_VALUE"""),"Baseline")</f>
        <v>Baseline</v>
      </c>
      <c r="F50" s="49" t="str">
        <f ca="1">IFERROR(__xludf.DUMMYFUNCTION("""COMPUTED_VALUE"""),"")</f>
        <v/>
      </c>
      <c r="G50" s="49" t="str">
        <f ca="1">IFERROR(__xludf.DUMMYFUNCTION("""COMPUTED_VALUE"""),"Nathaniel Jue")</f>
        <v>Nathaniel Jue</v>
      </c>
      <c r="H50" s="49" t="str">
        <f ca="1">IFERROR(__xludf.DUMMYFUNCTION("""COMPUTED_VALUE"""),"njue@csumb.edu")</f>
        <v>njue@csumb.edu</v>
      </c>
      <c r="I50" s="49" t="str">
        <f ca="1">IFERROR(__xludf.DUMMYFUNCTION("""COMPUTED_VALUE"""),"Scientific Researcher")</f>
        <v>Scientific Researcher</v>
      </c>
      <c r="J50" s="49"/>
      <c r="K50" s="49"/>
      <c r="L50" s="49"/>
      <c r="M50" s="49"/>
      <c r="N50" s="49"/>
      <c r="O50" s="49"/>
      <c r="P50" s="49"/>
      <c r="Q50" s="49"/>
      <c r="R50" s="49"/>
      <c r="S50" s="49"/>
      <c r="T50" s="49"/>
      <c r="U50" s="49"/>
      <c r="V50" s="49"/>
      <c r="W50" s="49"/>
      <c r="X50" s="49"/>
      <c r="Y50" s="49"/>
      <c r="Z50" s="49"/>
    </row>
    <row r="51" spans="1:26" ht="15.75" customHeight="1">
      <c r="A51" s="49" t="str">
        <f ca="1">IFERROR(__xludf.DUMMYFUNCTION("""COMPUTED_VALUE"""),"Contacted")</f>
        <v>Contacted</v>
      </c>
      <c r="B51" s="49" t="str">
        <f ca="1">IFERROR(__xludf.DUMMYFUNCTION("""COMPUTED_VALUE"""),"")</f>
        <v/>
      </c>
      <c r="C51" s="49" t="str">
        <f ca="1">IFERROR(__xludf.DUMMYFUNCTION("""COMPUTED_VALUE"""),"")</f>
        <v/>
      </c>
      <c r="D51" s="49" t="str">
        <f ca="1">IFERROR(__xludf.DUMMYFUNCTION("""COMPUTED_VALUE"""),"")</f>
        <v/>
      </c>
      <c r="E51" s="49" t="str">
        <f ca="1">IFERROR(__xludf.DUMMYFUNCTION("""COMPUTED_VALUE"""),"Baseline")</f>
        <v>Baseline</v>
      </c>
      <c r="F51" s="49" t="str">
        <f ca="1">IFERROR(__xludf.DUMMYFUNCTION("""COMPUTED_VALUE"""),"")</f>
        <v/>
      </c>
      <c r="G51" s="49" t="str">
        <f ca="1">IFERROR(__xludf.DUMMYFUNCTION("""COMPUTED_VALUE"""),"Chris Darnell")</f>
        <v>Chris Darnell</v>
      </c>
      <c r="H51" s="49" t="str">
        <f ca="1">IFERROR(__xludf.DUMMYFUNCTION("""COMPUTED_VALUE"""),"chris.darnell@bluewaterdxlab.com")</f>
        <v>chris.darnell@bluewaterdxlab.com</v>
      </c>
      <c r="I51" s="49" t="str">
        <f ca="1">IFERROR(__xludf.DUMMYFUNCTION("""COMPUTED_VALUE"""),"Laboratory Technical Supervisor")</f>
        <v>Laboratory Technical Supervisor</v>
      </c>
      <c r="J51" s="49"/>
      <c r="K51" s="49"/>
      <c r="L51" s="49"/>
      <c r="M51" s="49"/>
      <c r="N51" s="49"/>
      <c r="O51" s="49"/>
      <c r="P51" s="49"/>
      <c r="Q51" s="49"/>
      <c r="R51" s="49"/>
      <c r="S51" s="49"/>
      <c r="T51" s="49"/>
      <c r="U51" s="49"/>
      <c r="V51" s="49"/>
      <c r="W51" s="49"/>
      <c r="X51" s="49"/>
      <c r="Y51" s="49"/>
      <c r="Z51" s="49"/>
    </row>
    <row r="52" spans="1:26" ht="15.75" customHeight="1">
      <c r="A52" s="49" t="str">
        <f ca="1">IFERROR(__xludf.DUMMYFUNCTION("""COMPUTED_VALUE"""),"Contacted")</f>
        <v>Contacted</v>
      </c>
      <c r="B52" s="49" t="str">
        <f ca="1">IFERROR(__xludf.DUMMYFUNCTION("""COMPUTED_VALUE"""),"")</f>
        <v/>
      </c>
      <c r="C52" s="49" t="str">
        <f ca="1">IFERROR(__xludf.DUMMYFUNCTION("""COMPUTED_VALUE"""),"")</f>
        <v/>
      </c>
      <c r="D52" s="49" t="str">
        <f ca="1">IFERROR(__xludf.DUMMYFUNCTION("""COMPUTED_VALUE"""),"")</f>
        <v/>
      </c>
      <c r="E52" s="49" t="str">
        <f ca="1">IFERROR(__xludf.DUMMYFUNCTION("""COMPUTED_VALUE"""),"Baseline")</f>
        <v>Baseline</v>
      </c>
      <c r="F52" s="49" t="str">
        <f ca="1">IFERROR(__xludf.DUMMYFUNCTION("""COMPUTED_VALUE"""),"")</f>
        <v/>
      </c>
      <c r="G52" s="49" t="str">
        <f ca="1">IFERROR(__xludf.DUMMYFUNCTION("""COMPUTED_VALUE"""),"Alexandra Miller")</f>
        <v>Alexandra Miller</v>
      </c>
      <c r="H52" s="49" t="str">
        <f ca="1">IFERROR(__xludf.DUMMYFUNCTION("""COMPUTED_VALUE"""),"miller.alexandra@mayo.edu")</f>
        <v>miller.alexandra@mayo.edu</v>
      </c>
      <c r="I52" s="49" t="str">
        <f ca="1">IFERROR(__xludf.DUMMYFUNCTION("""COMPUTED_VALUE"""),"Scientific Researcher")</f>
        <v>Scientific Researcher</v>
      </c>
      <c r="J52" s="49"/>
      <c r="K52" s="49"/>
      <c r="L52" s="49"/>
      <c r="M52" s="49"/>
      <c r="N52" s="49"/>
      <c r="O52" s="49"/>
      <c r="P52" s="49"/>
      <c r="Q52" s="49"/>
      <c r="R52" s="49"/>
      <c r="S52" s="49"/>
      <c r="T52" s="49"/>
      <c r="U52" s="49"/>
      <c r="V52" s="49"/>
      <c r="W52" s="49"/>
      <c r="X52" s="49"/>
      <c r="Y52" s="49"/>
      <c r="Z52" s="49"/>
    </row>
    <row r="53" spans="1:26" ht="15.75" customHeight="1">
      <c r="A53" s="49" t="str">
        <f ca="1">IFERROR(__xludf.DUMMYFUNCTION("""COMPUTED_VALUE"""),"Contacted")</f>
        <v>Contacted</v>
      </c>
      <c r="B53" s="49" t="str">
        <f ca="1">IFERROR(__xludf.DUMMYFUNCTION("""COMPUTED_VALUE"""),"")</f>
        <v/>
      </c>
      <c r="C53" s="49" t="str">
        <f ca="1">IFERROR(__xludf.DUMMYFUNCTION("""COMPUTED_VALUE"""),"")</f>
        <v/>
      </c>
      <c r="D53" s="49" t="str">
        <f ca="1">IFERROR(__xludf.DUMMYFUNCTION("""COMPUTED_VALUE"""),"")</f>
        <v/>
      </c>
      <c r="E53" s="49" t="str">
        <f ca="1">IFERROR(__xludf.DUMMYFUNCTION("""COMPUTED_VALUE"""),"Baseline")</f>
        <v>Baseline</v>
      </c>
      <c r="F53" s="49" t="str">
        <f ca="1">IFERROR(__xludf.DUMMYFUNCTION("""COMPUTED_VALUE"""),"")</f>
        <v/>
      </c>
      <c r="G53" s="49" t="str">
        <f ca="1">IFERROR(__xludf.DUMMYFUNCTION("""COMPUTED_VALUE"""),"Carolina Bustamante")</f>
        <v>Carolina Bustamante</v>
      </c>
      <c r="H53" s="49" t="str">
        <f ca="1">IFERROR(__xludf.DUMMYFUNCTION("""COMPUTED_VALUE"""),"carolina.bustamante@gmail.com")</f>
        <v>carolina.bustamante@gmail.com</v>
      </c>
      <c r="I53" s="49" t="str">
        <f ca="1">IFERROR(__xludf.DUMMYFUNCTION("""COMPUTED_VALUE"""),"Clinical laboratory geneticist")</f>
        <v>Clinical laboratory geneticist</v>
      </c>
      <c r="J53" s="49"/>
      <c r="K53" s="49"/>
      <c r="L53" s="49"/>
      <c r="M53" s="49"/>
      <c r="N53" s="49"/>
      <c r="O53" s="49"/>
      <c r="P53" s="49"/>
      <c r="Q53" s="49"/>
      <c r="R53" s="49"/>
      <c r="S53" s="49"/>
      <c r="T53" s="49"/>
      <c r="U53" s="49"/>
      <c r="V53" s="49"/>
      <c r="W53" s="49"/>
      <c r="X53" s="49"/>
      <c r="Y53" s="49"/>
      <c r="Z53" s="49"/>
    </row>
    <row r="54" spans="1:26" ht="15.75" customHeight="1">
      <c r="A54" s="49" t="str">
        <f ca="1">IFERROR(__xludf.DUMMYFUNCTION("""COMPUTED_VALUE"""),"Contacted")</f>
        <v>Contacted</v>
      </c>
      <c r="B54" s="49" t="str">
        <f ca="1">IFERROR(__xludf.DUMMYFUNCTION("""COMPUTED_VALUE"""),"")</f>
        <v/>
      </c>
      <c r="C54" s="49" t="str">
        <f ca="1">IFERROR(__xludf.DUMMYFUNCTION("""COMPUTED_VALUE"""),"")</f>
        <v/>
      </c>
      <c r="D54" s="49" t="str">
        <f ca="1">IFERROR(__xludf.DUMMYFUNCTION("""COMPUTED_VALUE"""),"")</f>
        <v/>
      </c>
      <c r="E54" s="49" t="str">
        <f ca="1">IFERROR(__xludf.DUMMYFUNCTION("""COMPUTED_VALUE"""),"Baseline")</f>
        <v>Baseline</v>
      </c>
      <c r="F54" s="49" t="str">
        <f ca="1">IFERROR(__xludf.DUMMYFUNCTION("""COMPUTED_VALUE"""),"")</f>
        <v/>
      </c>
      <c r="G54" s="49" t="str">
        <f ca="1">IFERROR(__xludf.DUMMYFUNCTION("""COMPUTED_VALUE"""),"Alex Gout")</f>
        <v>Alex Gout</v>
      </c>
      <c r="H54" s="49" t="str">
        <f ca="1">IFERROR(__xludf.DUMMYFUNCTION("""COMPUTED_VALUE"""),"alex.gout@stjude.org")</f>
        <v>alex.gout@stjude.org</v>
      </c>
      <c r="I54" s="49" t="str">
        <f ca="1">IFERROR(__xludf.DUMMYFUNCTION("""COMPUTED_VALUE"""),"Scientific Researcher")</f>
        <v>Scientific Researcher</v>
      </c>
      <c r="J54" s="49"/>
      <c r="K54" s="49"/>
      <c r="L54" s="49"/>
      <c r="M54" s="49"/>
      <c r="N54" s="49"/>
      <c r="O54" s="49"/>
      <c r="P54" s="49"/>
      <c r="Q54" s="49"/>
      <c r="R54" s="49"/>
      <c r="S54" s="49"/>
      <c r="T54" s="49"/>
      <c r="U54" s="49"/>
      <c r="V54" s="49"/>
      <c r="W54" s="49"/>
      <c r="X54" s="49"/>
      <c r="Y54" s="49"/>
      <c r="Z54" s="49"/>
    </row>
    <row r="55" spans="1:26" ht="15.75" customHeight="1">
      <c r="A55" s="49" t="str">
        <f ca="1">IFERROR(__xludf.DUMMYFUNCTION("""COMPUTED_VALUE"""),"Contacted")</f>
        <v>Contacted</v>
      </c>
      <c r="B55" s="49" t="str">
        <f ca="1">IFERROR(__xludf.DUMMYFUNCTION("""COMPUTED_VALUE"""),"")</f>
        <v/>
      </c>
      <c r="C55" s="49" t="str">
        <f ca="1">IFERROR(__xludf.DUMMYFUNCTION("""COMPUTED_VALUE"""),"")</f>
        <v/>
      </c>
      <c r="D55" s="49" t="str">
        <f ca="1">IFERROR(__xludf.DUMMYFUNCTION("""COMPUTED_VALUE"""),"")</f>
        <v/>
      </c>
      <c r="E55" s="49" t="str">
        <f ca="1">IFERROR(__xludf.DUMMYFUNCTION("""COMPUTED_VALUE"""),"Baseline")</f>
        <v>Baseline</v>
      </c>
      <c r="F55" s="49" t="str">
        <f ca="1">IFERROR(__xludf.DUMMYFUNCTION("""COMPUTED_VALUE"""),"")</f>
        <v/>
      </c>
      <c r="G55" s="49" t="str">
        <f ca="1">IFERROR(__xludf.DUMMYFUNCTION("""COMPUTED_VALUE"""),"Kim Phuong Tong")</f>
        <v>Kim Phuong Tong</v>
      </c>
      <c r="H55" s="49" t="str">
        <f ca="1">IFERROR(__xludf.DUMMYFUNCTION("""COMPUTED_VALUE"""),"ktongpotter@yahoo.com")</f>
        <v>ktongpotter@yahoo.com</v>
      </c>
      <c r="I55" s="49" t="str">
        <f ca="1">IFERROR(__xludf.DUMMYFUNCTION("""COMPUTED_VALUE"""),"Citizen Scientist/Patient Advocate")</f>
        <v>Citizen Scientist/Patient Advocate</v>
      </c>
      <c r="J55" s="49"/>
      <c r="K55" s="49"/>
      <c r="L55" s="49"/>
      <c r="M55" s="49"/>
      <c r="N55" s="49"/>
      <c r="O55" s="49"/>
      <c r="P55" s="49"/>
      <c r="Q55" s="49"/>
      <c r="R55" s="49"/>
      <c r="S55" s="49"/>
      <c r="T55" s="49"/>
      <c r="U55" s="49"/>
      <c r="V55" s="49"/>
      <c r="W55" s="49"/>
      <c r="X55" s="49"/>
      <c r="Y55" s="49"/>
      <c r="Z55" s="49"/>
    </row>
    <row r="56" spans="1:26" ht="15.75" customHeight="1">
      <c r="A56" s="49" t="str">
        <f ca="1">IFERROR(__xludf.DUMMYFUNCTION("""COMPUTED_VALUE"""),"Contacted")</f>
        <v>Contacted</v>
      </c>
      <c r="B56" s="49" t="str">
        <f ca="1">IFERROR(__xludf.DUMMYFUNCTION("""COMPUTED_VALUE"""),"")</f>
        <v/>
      </c>
      <c r="C56" s="49" t="str">
        <f ca="1">IFERROR(__xludf.DUMMYFUNCTION("""COMPUTED_VALUE"""),"")</f>
        <v/>
      </c>
      <c r="D56" s="49" t="str">
        <f ca="1">IFERROR(__xludf.DUMMYFUNCTION("""COMPUTED_VALUE"""),"")</f>
        <v/>
      </c>
      <c r="E56" s="49" t="str">
        <f ca="1">IFERROR(__xludf.DUMMYFUNCTION("""COMPUTED_VALUE"""),"Baseline")</f>
        <v>Baseline</v>
      </c>
      <c r="F56" s="49" t="str">
        <f ca="1">IFERROR(__xludf.DUMMYFUNCTION("""COMPUTED_VALUE"""),"")</f>
        <v/>
      </c>
      <c r="G56" s="49" t="str">
        <f ca="1">IFERROR(__xludf.DUMMYFUNCTION("""COMPUTED_VALUE"""),"C. Anwar A. Chahal")</f>
        <v>C. Anwar A. Chahal</v>
      </c>
      <c r="H56" s="49" t="str">
        <f ca="1">IFERROR(__xludf.DUMMYFUNCTION("""COMPUTED_VALUE"""),"anwar.chahal@uphs.upenn.edu")</f>
        <v>anwar.chahal@uphs.upenn.edu</v>
      </c>
      <c r="I56" s="49" t="str">
        <f ca="1">IFERROR(__xludf.DUMMYFUNCTION("""COMPUTED_VALUE"""),"Clinician Scientist, EP and Inherited CV Diseases, in final year clinical EP Fellowship")</f>
        <v>Clinician Scientist, EP and Inherited CV Diseases, in final year clinical EP Fellowship</v>
      </c>
      <c r="J56" s="49"/>
      <c r="K56" s="49"/>
      <c r="L56" s="49"/>
      <c r="M56" s="49"/>
      <c r="N56" s="49"/>
      <c r="O56" s="49"/>
      <c r="P56" s="49"/>
      <c r="Q56" s="49"/>
      <c r="R56" s="49"/>
      <c r="S56" s="49"/>
      <c r="T56" s="49"/>
      <c r="U56" s="49"/>
      <c r="V56" s="49"/>
      <c r="W56" s="49"/>
      <c r="X56" s="49"/>
      <c r="Y56" s="49"/>
      <c r="Z56" s="49"/>
    </row>
    <row r="57" spans="1:26" ht="15.75" customHeight="1">
      <c r="A57" s="49" t="str">
        <f ca="1">IFERROR(__xludf.DUMMYFUNCTION("""COMPUTED_VALUE"""),"Unassigned")</f>
        <v>Unassigned</v>
      </c>
      <c r="B57" s="49" t="str">
        <f ca="1">IFERROR(__xludf.DUMMYFUNCTION("""COMPUTED_VALUE"""),"")</f>
        <v/>
      </c>
      <c r="C57" s="49" t="str">
        <f ca="1">IFERROR(__xludf.DUMMYFUNCTION("""COMPUTED_VALUE"""),"")</f>
        <v/>
      </c>
      <c r="D57" s="49" t="str">
        <f ca="1">IFERROR(__xludf.DUMMYFUNCTION("""COMPUTED_VALUE"""),"")</f>
        <v/>
      </c>
      <c r="E57" s="49" t="str">
        <f ca="1">IFERROR(__xludf.DUMMYFUNCTION("""COMPUTED_VALUE"""),"NA")</f>
        <v>NA</v>
      </c>
      <c r="F57" s="49" t="str">
        <f ca="1">IFERROR(__xludf.DUMMYFUNCTION("""COMPUTED_VALUE"""),"")</f>
        <v/>
      </c>
      <c r="G57" s="49" t="str">
        <f ca="1">IFERROR(__xludf.DUMMYFUNCTION("""COMPUTED_VALUE"""),"Brigette Brown-Kipphut")</f>
        <v>Brigette Brown-Kipphut</v>
      </c>
      <c r="H57" s="49" t="str">
        <f ca="1">IFERROR(__xludf.DUMMYFUNCTION("""COMPUTED_VALUE"""),"brigette.kipphut@agilent.com")</f>
        <v>brigette.kipphut@agilent.com</v>
      </c>
      <c r="I57" s="49" t="str">
        <f ca="1">IFERROR(__xludf.DUMMYFUNCTION("""COMPUTED_VALUE"""),"Variant Analyst/Scientist - Industry")</f>
        <v>Variant Analyst/Scientist - Industry</v>
      </c>
      <c r="J57" s="49"/>
      <c r="K57" s="49"/>
      <c r="L57" s="49"/>
      <c r="M57" s="49"/>
      <c r="N57" s="49"/>
      <c r="O57" s="49"/>
      <c r="P57" s="49"/>
      <c r="Q57" s="49"/>
      <c r="R57" s="49"/>
      <c r="S57" s="49"/>
      <c r="T57" s="49"/>
      <c r="U57" s="49"/>
      <c r="V57" s="49"/>
      <c r="W57" s="49"/>
      <c r="X57" s="49"/>
      <c r="Y57" s="49"/>
      <c r="Z57" s="49"/>
    </row>
    <row r="58" spans="1:26" ht="15.75" customHeight="1">
      <c r="A58" s="49" t="str">
        <f ca="1">IFERROR(__xludf.DUMMYFUNCTION("""COMPUTED_VALUE"""),"Unassigned")</f>
        <v>Unassigned</v>
      </c>
      <c r="B58" s="49" t="str">
        <f ca="1">IFERROR(__xludf.DUMMYFUNCTION("""COMPUTED_VALUE"""),"")</f>
        <v/>
      </c>
      <c r="C58" s="49" t="str">
        <f ca="1">IFERROR(__xludf.DUMMYFUNCTION("""COMPUTED_VALUE"""),"")</f>
        <v/>
      </c>
      <c r="D58" s="49" t="str">
        <f ca="1">IFERROR(__xludf.DUMMYFUNCTION("""COMPUTED_VALUE"""),"")</f>
        <v/>
      </c>
      <c r="E58" s="49" t="str">
        <f ca="1">IFERROR(__xludf.DUMMYFUNCTION("""COMPUTED_VALUE"""),"NA")</f>
        <v>NA</v>
      </c>
      <c r="F58" s="49" t="str">
        <f ca="1">IFERROR(__xludf.DUMMYFUNCTION("""COMPUTED_VALUE"""),"")</f>
        <v/>
      </c>
      <c r="G58" s="49" t="str">
        <f ca="1">IFERROR(__xludf.DUMMYFUNCTION("""COMPUTED_VALUE"""),"Chisato Yamasaki")</f>
        <v>Chisato Yamasaki</v>
      </c>
      <c r="H58" s="49" t="str">
        <f ca="1">IFERROR(__xludf.DUMMYFUNCTION("""COMPUTED_VALUE"""),"cyamasak@eth.med.osaka-u.ac.jp")</f>
        <v>cyamasak@eth.med.osaka-u.ac.jp</v>
      </c>
      <c r="I58" s="49" t="str">
        <f ca="1">IFERROR(__xludf.DUMMYFUNCTION("""COMPUTED_VALUE"""),"Post Doc/Resident/Fellow (MD and/or PhD)")</f>
        <v>Post Doc/Resident/Fellow (MD and/or PhD)</v>
      </c>
      <c r="J58" s="49"/>
      <c r="K58" s="49"/>
      <c r="L58" s="49"/>
      <c r="M58" s="49"/>
      <c r="N58" s="49"/>
      <c r="O58" s="49"/>
      <c r="P58" s="49"/>
      <c r="Q58" s="49"/>
      <c r="R58" s="49"/>
      <c r="S58" s="49"/>
      <c r="T58" s="49"/>
      <c r="U58" s="49"/>
      <c r="V58" s="49"/>
      <c r="W58" s="49"/>
      <c r="X58" s="49"/>
      <c r="Y58" s="49"/>
      <c r="Z58" s="49"/>
    </row>
    <row r="59" spans="1:26" ht="15.75" customHeight="1">
      <c r="A59" s="49" t="str">
        <f ca="1">IFERROR(__xludf.DUMMYFUNCTION("""COMPUTED_VALUE"""),"Unassigned")</f>
        <v>Unassigned</v>
      </c>
      <c r="B59" s="49" t="str">
        <f ca="1">IFERROR(__xludf.DUMMYFUNCTION("""COMPUTED_VALUE"""),"")</f>
        <v/>
      </c>
      <c r="C59" s="49" t="str">
        <f ca="1">IFERROR(__xludf.DUMMYFUNCTION("""COMPUTED_VALUE"""),"")</f>
        <v/>
      </c>
      <c r="D59" s="49" t="str">
        <f ca="1">IFERROR(__xludf.DUMMYFUNCTION("""COMPUTED_VALUE"""),"")</f>
        <v/>
      </c>
      <c r="E59" s="49" t="str">
        <f ca="1">IFERROR(__xludf.DUMMYFUNCTION("""COMPUTED_VALUE"""),"NA")</f>
        <v>NA</v>
      </c>
      <c r="F59" s="49" t="str">
        <f ca="1">IFERROR(__xludf.DUMMYFUNCTION("""COMPUTED_VALUE"""),"")</f>
        <v/>
      </c>
      <c r="G59" s="49" t="str">
        <f ca="1">IFERROR(__xludf.DUMMYFUNCTION("""COMPUTED_VALUE"""),"Patrick Forny")</f>
        <v>Patrick Forny</v>
      </c>
      <c r="H59" s="49" t="str">
        <f ca="1">IFERROR(__xludf.DUMMYFUNCTION("""COMPUTED_VALUE"""),"patrick.forny@kispi.uzh.ch")</f>
        <v>patrick.forny@kispi.uzh.ch</v>
      </c>
      <c r="I59" s="49" t="str">
        <f ca="1">IFERROR(__xludf.DUMMYFUNCTION("""COMPUTED_VALUE"""),"Post Doc/Resident/Fellow (MD and/or PhD)")</f>
        <v>Post Doc/Resident/Fellow (MD and/or PhD)</v>
      </c>
      <c r="J59" s="49"/>
      <c r="K59" s="49"/>
      <c r="L59" s="49"/>
      <c r="M59" s="49"/>
      <c r="N59" s="49"/>
      <c r="O59" s="49"/>
      <c r="P59" s="49"/>
      <c r="Q59" s="49"/>
      <c r="R59" s="49"/>
      <c r="S59" s="49"/>
      <c r="T59" s="49"/>
      <c r="U59" s="49"/>
      <c r="V59" s="49"/>
      <c r="W59" s="49"/>
      <c r="X59" s="49"/>
      <c r="Y59" s="49"/>
      <c r="Z59" s="49"/>
    </row>
    <row r="60" spans="1:26" ht="15.75" customHeight="1">
      <c r="A60" s="49" t="str">
        <f ca="1">IFERROR(__xludf.DUMMYFUNCTION("""COMPUTED_VALUE"""),"Unassigned")</f>
        <v>Unassigned</v>
      </c>
      <c r="B60" s="49" t="str">
        <f ca="1">IFERROR(__xludf.DUMMYFUNCTION("""COMPUTED_VALUE"""),"")</f>
        <v/>
      </c>
      <c r="C60" s="49" t="str">
        <f ca="1">IFERROR(__xludf.DUMMYFUNCTION("""COMPUTED_VALUE"""),"")</f>
        <v/>
      </c>
      <c r="D60" s="49" t="str">
        <f ca="1">IFERROR(__xludf.DUMMYFUNCTION("""COMPUTED_VALUE"""),"")</f>
        <v/>
      </c>
      <c r="E60" s="49" t="str">
        <f ca="1">IFERROR(__xludf.DUMMYFUNCTION("""COMPUTED_VALUE"""),"NA")</f>
        <v>NA</v>
      </c>
      <c r="F60" s="49" t="str">
        <f ca="1">IFERROR(__xludf.DUMMYFUNCTION("""COMPUTED_VALUE"""),"")</f>
        <v/>
      </c>
      <c r="G60" s="49" t="str">
        <f ca="1">IFERROR(__xludf.DUMMYFUNCTION("""COMPUTED_VALUE"""),"Ximena Bonilla")</f>
        <v>Ximena Bonilla</v>
      </c>
      <c r="H60" s="49" t="str">
        <f ca="1">IFERROR(__xludf.DUMMYFUNCTION("""COMPUTED_VALUE"""),"ximena.bonilla@inf.ethz.ch")</f>
        <v>ximena.bonilla@inf.ethz.ch</v>
      </c>
      <c r="I60" s="49" t="str">
        <f ca="1">IFERROR(__xludf.DUMMYFUNCTION("""COMPUTED_VALUE"""),"Post Doc/Resident/Fellow (MD and/or PhD)")</f>
        <v>Post Doc/Resident/Fellow (MD and/or PhD)</v>
      </c>
      <c r="J60" s="49"/>
      <c r="K60" s="49"/>
      <c r="L60" s="49"/>
      <c r="M60" s="49"/>
      <c r="N60" s="49"/>
      <c r="O60" s="49"/>
      <c r="P60" s="49"/>
      <c r="Q60" s="49"/>
      <c r="R60" s="49"/>
      <c r="S60" s="49"/>
      <c r="T60" s="49"/>
      <c r="U60" s="49"/>
      <c r="V60" s="49"/>
      <c r="W60" s="49"/>
      <c r="X60" s="49"/>
      <c r="Y60" s="49"/>
      <c r="Z60" s="49"/>
    </row>
    <row r="61" spans="1:26" ht="15.75" customHeight="1">
      <c r="A61" s="49" t="str">
        <f ca="1">IFERROR(__xludf.DUMMYFUNCTION("""COMPUTED_VALUE"""),"Unassigned")</f>
        <v>Unassigned</v>
      </c>
      <c r="B61" s="49" t="str">
        <f ca="1">IFERROR(__xludf.DUMMYFUNCTION("""COMPUTED_VALUE"""),"")</f>
        <v/>
      </c>
      <c r="C61" s="49" t="str">
        <f ca="1">IFERROR(__xludf.DUMMYFUNCTION("""COMPUTED_VALUE"""),"")</f>
        <v/>
      </c>
      <c r="D61" s="49" t="str">
        <f ca="1">IFERROR(__xludf.DUMMYFUNCTION("""COMPUTED_VALUE"""),"")</f>
        <v/>
      </c>
      <c r="E61" s="49" t="str">
        <f ca="1">IFERROR(__xludf.DUMMYFUNCTION("""COMPUTED_VALUE"""),"NA")</f>
        <v>NA</v>
      </c>
      <c r="F61" s="49" t="str">
        <f ca="1">IFERROR(__xludf.DUMMYFUNCTION("""COMPUTED_VALUE"""),"")</f>
        <v/>
      </c>
      <c r="G61" s="49" t="str">
        <f ca="1">IFERROR(__xludf.DUMMYFUNCTION("""COMPUTED_VALUE"""),"Lise Graversen")</f>
        <v>Lise Graversen</v>
      </c>
      <c r="H61" s="49" t="str">
        <f ca="1">IFERROR(__xludf.DUMMYFUNCTION("""COMPUTED_VALUE"""),"lisega@rm.dk")</f>
        <v>lisega@rm.dk</v>
      </c>
      <c r="I61" s="49" t="str">
        <f ca="1">IFERROR(__xludf.DUMMYFUNCTION("""COMPUTED_VALUE"""),"Clinical Medical Geneticist")</f>
        <v>Clinical Medical Geneticist</v>
      </c>
      <c r="J61" s="49"/>
      <c r="K61" s="49"/>
      <c r="L61" s="49"/>
      <c r="M61" s="49"/>
      <c r="N61" s="49"/>
      <c r="O61" s="49"/>
      <c r="P61" s="49"/>
      <c r="Q61" s="49"/>
      <c r="R61" s="49"/>
      <c r="S61" s="49"/>
      <c r="T61" s="49"/>
      <c r="U61" s="49"/>
      <c r="V61" s="49"/>
      <c r="W61" s="49"/>
      <c r="X61" s="49"/>
      <c r="Y61" s="49"/>
      <c r="Z61" s="49"/>
    </row>
    <row r="62" spans="1:26" ht="15.75" customHeight="1">
      <c r="A62" s="49" t="str">
        <f ca="1">IFERROR(__xludf.DUMMYFUNCTION("""COMPUTED_VALUE"""),"Unassigned")</f>
        <v>Unassigned</v>
      </c>
      <c r="B62" s="49" t="str">
        <f ca="1">IFERROR(__xludf.DUMMYFUNCTION("""COMPUTED_VALUE"""),"")</f>
        <v/>
      </c>
      <c r="C62" s="49" t="str">
        <f ca="1">IFERROR(__xludf.DUMMYFUNCTION("""COMPUTED_VALUE"""),"")</f>
        <v/>
      </c>
      <c r="D62" s="49" t="str">
        <f ca="1">IFERROR(__xludf.DUMMYFUNCTION("""COMPUTED_VALUE"""),"")</f>
        <v/>
      </c>
      <c r="E62" s="49" t="str">
        <f ca="1">IFERROR(__xludf.DUMMYFUNCTION("""COMPUTED_VALUE"""),"NA")</f>
        <v>NA</v>
      </c>
      <c r="F62" s="49" t="str">
        <f ca="1">IFERROR(__xludf.DUMMYFUNCTION("""COMPUTED_VALUE"""),"")</f>
        <v/>
      </c>
      <c r="G62" s="49" t="str">
        <f ca="1">IFERROR(__xludf.DUMMYFUNCTION("""COMPUTED_VALUE"""),"Ke Yu")</f>
        <v>Ke Yu</v>
      </c>
      <c r="H62" s="49" t="str">
        <f ca="1">IFERROR(__xludf.DUMMYFUNCTION("""COMPUTED_VALUE"""),"yukefg@163.com")</f>
        <v>yukefg@163.com</v>
      </c>
      <c r="I62" s="49" t="str">
        <f ca="1">IFERROR(__xludf.DUMMYFUNCTION("""COMPUTED_VALUE"""),"Clinical laboratory geneticist")</f>
        <v>Clinical laboratory geneticist</v>
      </c>
      <c r="J62" s="49"/>
      <c r="K62" s="49"/>
      <c r="L62" s="49"/>
      <c r="M62" s="49"/>
      <c r="N62" s="49"/>
      <c r="O62" s="49"/>
      <c r="P62" s="49"/>
      <c r="Q62" s="49"/>
      <c r="R62" s="49"/>
      <c r="S62" s="49"/>
      <c r="T62" s="49"/>
      <c r="U62" s="49"/>
      <c r="V62" s="49"/>
      <c r="W62" s="49"/>
      <c r="X62" s="49"/>
      <c r="Y62" s="49"/>
      <c r="Z62" s="49"/>
    </row>
    <row r="63" spans="1:26" ht="15.75" customHeight="1">
      <c r="A63" s="49" t="str">
        <f ca="1">IFERROR(__xludf.DUMMYFUNCTION("""COMPUTED_VALUE"""),"Unassigned")</f>
        <v>Unassigned</v>
      </c>
      <c r="B63" s="49" t="str">
        <f ca="1">IFERROR(__xludf.DUMMYFUNCTION("""COMPUTED_VALUE"""),"")</f>
        <v/>
      </c>
      <c r="C63" s="49" t="str">
        <f ca="1">IFERROR(__xludf.DUMMYFUNCTION("""COMPUTED_VALUE"""),"")</f>
        <v/>
      </c>
      <c r="D63" s="49" t="str">
        <f ca="1">IFERROR(__xludf.DUMMYFUNCTION("""COMPUTED_VALUE"""),"")</f>
        <v/>
      </c>
      <c r="E63" s="49" t="str">
        <f ca="1">IFERROR(__xludf.DUMMYFUNCTION("""COMPUTED_VALUE"""),"NA")</f>
        <v>NA</v>
      </c>
      <c r="F63" s="49" t="str">
        <f ca="1">IFERROR(__xludf.DUMMYFUNCTION("""COMPUTED_VALUE"""),"")</f>
        <v/>
      </c>
      <c r="G63" s="49" t="str">
        <f ca="1">IFERROR(__xludf.DUMMYFUNCTION("""COMPUTED_VALUE"""),"JELENA BREZO")</f>
        <v>JELENA BREZO</v>
      </c>
      <c r="H63" s="49" t="str">
        <f ca="1">IFERROR(__xludf.DUMMYFUNCTION("""COMPUTED_VALUE"""),"dnalphabet@gmail.com")</f>
        <v>dnalphabet@gmail.com</v>
      </c>
      <c r="I63" s="49" t="str">
        <f ca="1">IFERROR(__xludf.DUMMYFUNCTION("""COMPUTED_VALUE"""),"Clinical laboratory geneticist")</f>
        <v>Clinical laboratory geneticist</v>
      </c>
      <c r="J63" s="49"/>
      <c r="K63" s="49"/>
      <c r="L63" s="49"/>
      <c r="M63" s="49"/>
      <c r="N63" s="49"/>
      <c r="O63" s="49"/>
      <c r="P63" s="49"/>
      <c r="Q63" s="49"/>
      <c r="R63" s="49"/>
      <c r="S63" s="49"/>
      <c r="T63" s="49"/>
      <c r="U63" s="49"/>
      <c r="V63" s="49"/>
      <c r="W63" s="49"/>
      <c r="X63" s="49"/>
      <c r="Y63" s="49"/>
      <c r="Z63" s="49"/>
    </row>
    <row r="64" spans="1:26" ht="15.75" customHeight="1">
      <c r="A64" s="49" t="str">
        <f ca="1">IFERROR(__xludf.DUMMYFUNCTION("""COMPUTED_VALUE"""),"Unassigned")</f>
        <v>Unassigned</v>
      </c>
      <c r="B64" s="49" t="str">
        <f ca="1">IFERROR(__xludf.DUMMYFUNCTION("""COMPUTED_VALUE"""),"")</f>
        <v/>
      </c>
      <c r="C64" s="49" t="str">
        <f ca="1">IFERROR(__xludf.DUMMYFUNCTION("""COMPUTED_VALUE"""),"")</f>
        <v/>
      </c>
      <c r="D64" s="49" t="str">
        <f ca="1">IFERROR(__xludf.DUMMYFUNCTION("""COMPUTED_VALUE"""),"")</f>
        <v/>
      </c>
      <c r="E64" s="49" t="str">
        <f ca="1">IFERROR(__xludf.DUMMYFUNCTION("""COMPUTED_VALUE"""),"NA")</f>
        <v>NA</v>
      </c>
      <c r="F64" s="49" t="str">
        <f ca="1">IFERROR(__xludf.DUMMYFUNCTION("""COMPUTED_VALUE"""),"")</f>
        <v/>
      </c>
      <c r="G64" s="49" t="str">
        <f ca="1">IFERROR(__xludf.DUMMYFUNCTION("""COMPUTED_VALUE"""),"Punithavathi Sundaramurthy")</f>
        <v>Punithavathi Sundaramurthy</v>
      </c>
      <c r="H64" s="49" t="str">
        <f ca="1">IFERROR(__xludf.DUMMYFUNCTION("""COMPUTED_VALUE"""),"PunitSundar95@gmail.com")</f>
        <v>PunitSundar95@gmail.com</v>
      </c>
      <c r="I64" s="49" t="str">
        <f ca="1">IFERROR(__xludf.DUMMYFUNCTION("""COMPUTED_VALUE"""),"Graduate Student")</f>
        <v>Graduate Student</v>
      </c>
      <c r="J64" s="49"/>
      <c r="K64" s="49"/>
      <c r="L64" s="49"/>
      <c r="M64" s="49"/>
      <c r="N64" s="49"/>
      <c r="O64" s="49"/>
      <c r="P64" s="49"/>
      <c r="Q64" s="49"/>
      <c r="R64" s="49"/>
      <c r="S64" s="49"/>
      <c r="T64" s="49"/>
      <c r="U64" s="49"/>
      <c r="V64" s="49"/>
      <c r="W64" s="49"/>
      <c r="X64" s="49"/>
      <c r="Y64" s="49"/>
      <c r="Z64" s="49"/>
    </row>
    <row r="65" spans="1:26" ht="15.75" customHeight="1">
      <c r="A65" s="49" t="str">
        <f ca="1">IFERROR(__xludf.DUMMYFUNCTION("""COMPUTED_VALUE"""),"Unassigned")</f>
        <v>Unassigned</v>
      </c>
      <c r="B65" s="49" t="str">
        <f ca="1">IFERROR(__xludf.DUMMYFUNCTION("""COMPUTED_VALUE"""),"")</f>
        <v/>
      </c>
      <c r="C65" s="49" t="str">
        <f ca="1">IFERROR(__xludf.DUMMYFUNCTION("""COMPUTED_VALUE"""),"")</f>
        <v/>
      </c>
      <c r="D65" s="49" t="str">
        <f ca="1">IFERROR(__xludf.DUMMYFUNCTION("""COMPUTED_VALUE"""),"")</f>
        <v/>
      </c>
      <c r="E65" s="49" t="str">
        <f ca="1">IFERROR(__xludf.DUMMYFUNCTION("""COMPUTED_VALUE"""),"NA")</f>
        <v>NA</v>
      </c>
      <c r="F65" s="49" t="str">
        <f ca="1">IFERROR(__xludf.DUMMYFUNCTION("""COMPUTED_VALUE"""),"")</f>
        <v/>
      </c>
      <c r="G65" s="49" t="str">
        <f ca="1">IFERROR(__xludf.DUMMYFUNCTION("""COMPUTED_VALUE"""),"Madhulatha Pantrangi")</f>
        <v>Madhulatha Pantrangi</v>
      </c>
      <c r="H65" s="49" t="str">
        <f ca="1">IFERROR(__xludf.DUMMYFUNCTION("""COMPUTED_VALUE"""),"madhu.pantrangi@preventiongenetics.com")</f>
        <v>madhu.pantrangi@preventiongenetics.com</v>
      </c>
      <c r="I65" s="49" t="str">
        <f ca="1">IFERROR(__xludf.DUMMYFUNCTION("""COMPUTED_VALUE"""),"Clinical laboratory geneticist")</f>
        <v>Clinical laboratory geneticist</v>
      </c>
      <c r="J65" s="49"/>
      <c r="K65" s="49"/>
      <c r="L65" s="49"/>
      <c r="M65" s="49"/>
      <c r="N65" s="49"/>
      <c r="O65" s="49"/>
      <c r="P65" s="49"/>
      <c r="Q65" s="49"/>
      <c r="R65" s="49"/>
      <c r="S65" s="49"/>
      <c r="T65" s="49"/>
      <c r="U65" s="49"/>
      <c r="V65" s="49"/>
      <c r="W65" s="49"/>
      <c r="X65" s="49"/>
      <c r="Y65" s="49"/>
      <c r="Z65" s="49"/>
    </row>
    <row r="66" spans="1:26" ht="13">
      <c r="A66" s="49" t="str">
        <f ca="1">IFERROR(__xludf.DUMMYFUNCTION("""COMPUTED_VALUE"""),"Unassigned")</f>
        <v>Unassigned</v>
      </c>
      <c r="B66" s="49" t="str">
        <f ca="1">IFERROR(__xludf.DUMMYFUNCTION("""COMPUTED_VALUE"""),"")</f>
        <v/>
      </c>
      <c r="C66" s="49" t="str">
        <f ca="1">IFERROR(__xludf.DUMMYFUNCTION("""COMPUTED_VALUE"""),"")</f>
        <v/>
      </c>
      <c r="D66" s="49" t="str">
        <f ca="1">IFERROR(__xludf.DUMMYFUNCTION("""COMPUTED_VALUE"""),"")</f>
        <v/>
      </c>
      <c r="E66" s="49" t="str">
        <f ca="1">IFERROR(__xludf.DUMMYFUNCTION("""COMPUTED_VALUE"""),"NA")</f>
        <v>NA</v>
      </c>
      <c r="F66" s="49" t="str">
        <f ca="1">IFERROR(__xludf.DUMMYFUNCTION("""COMPUTED_VALUE"""),"")</f>
        <v/>
      </c>
      <c r="G66" s="49" t="str">
        <f ca="1">IFERROR(__xludf.DUMMYFUNCTION("""COMPUTED_VALUE"""),"rekha aaron")</f>
        <v>rekha aaron</v>
      </c>
      <c r="H66" s="49" t="str">
        <f ca="1">IFERROR(__xludf.DUMMYFUNCTION("""COMPUTED_VALUE"""),"rekha.a@cmcvellore.ac.in")</f>
        <v>rekha.a@cmcvellore.ac.in</v>
      </c>
      <c r="I66" s="49" t="str">
        <f ca="1">IFERROR(__xludf.DUMMYFUNCTION("""COMPUTED_VALUE"""),"Clinical laboratory geneticist")</f>
        <v>Clinical laboratory geneticist</v>
      </c>
      <c r="J66" s="49"/>
      <c r="K66" s="49"/>
      <c r="L66" s="49"/>
      <c r="M66" s="49"/>
      <c r="N66" s="49"/>
      <c r="O66" s="49"/>
      <c r="P66" s="49"/>
      <c r="Q66" s="49"/>
      <c r="R66" s="49"/>
      <c r="S66" s="49"/>
      <c r="T66" s="49"/>
      <c r="U66" s="49"/>
      <c r="V66" s="49"/>
      <c r="W66" s="49"/>
      <c r="X66" s="49"/>
      <c r="Y66" s="49"/>
      <c r="Z66" s="49"/>
    </row>
    <row r="67" spans="1:26" ht="13">
      <c r="A67" s="49" t="str">
        <f ca="1">IFERROR(__xludf.DUMMYFUNCTION("""COMPUTED_VALUE"""),"Unassigned")</f>
        <v>Unassigned</v>
      </c>
      <c r="B67" s="49" t="str">
        <f ca="1">IFERROR(__xludf.DUMMYFUNCTION("""COMPUTED_VALUE"""),"")</f>
        <v/>
      </c>
      <c r="C67" s="49" t="str">
        <f ca="1">IFERROR(__xludf.DUMMYFUNCTION("""COMPUTED_VALUE"""),"")</f>
        <v/>
      </c>
      <c r="D67" s="49" t="str">
        <f ca="1">IFERROR(__xludf.DUMMYFUNCTION("""COMPUTED_VALUE"""),"")</f>
        <v/>
      </c>
      <c r="E67" s="49" t="str">
        <f ca="1">IFERROR(__xludf.DUMMYFUNCTION("""COMPUTED_VALUE"""),"NA")</f>
        <v>NA</v>
      </c>
      <c r="F67" s="49" t="str">
        <f ca="1">IFERROR(__xludf.DUMMYFUNCTION("""COMPUTED_VALUE"""),"")</f>
        <v/>
      </c>
      <c r="G67" s="49" t="str">
        <f ca="1">IFERROR(__xludf.DUMMYFUNCTION("""COMPUTED_VALUE"""),"Jian Zhao")</f>
        <v>Jian Zhao</v>
      </c>
      <c r="H67" s="49" t="str">
        <f ca="1">IFERROR(__xludf.DUMMYFUNCTION("""COMPUTED_VALUE"""),"jian.zhao@aruplab.com")</f>
        <v>jian.zhao@aruplab.com</v>
      </c>
      <c r="I67" s="49" t="str">
        <f ca="1">IFERROR(__xludf.DUMMYFUNCTION("""COMPUTED_VALUE"""),"Post Doc/Resident/Fellow (MD and/or PhD)")</f>
        <v>Post Doc/Resident/Fellow (MD and/or PhD)</v>
      </c>
      <c r="J67" s="49"/>
      <c r="K67" s="49"/>
      <c r="L67" s="49"/>
      <c r="M67" s="49"/>
      <c r="N67" s="49"/>
      <c r="O67" s="49"/>
      <c r="P67" s="49"/>
      <c r="Q67" s="49"/>
      <c r="R67" s="49"/>
      <c r="S67" s="49"/>
      <c r="T67" s="49"/>
      <c r="U67" s="49"/>
      <c r="V67" s="49"/>
      <c r="W67" s="49"/>
      <c r="X67" s="49"/>
      <c r="Y67" s="49"/>
      <c r="Z67" s="49"/>
    </row>
    <row r="68" spans="1:26" ht="13">
      <c r="A68" s="49" t="str">
        <f ca="1">IFERROR(__xludf.DUMMYFUNCTION("""COMPUTED_VALUE"""),"Unassigned")</f>
        <v>Unassigned</v>
      </c>
      <c r="B68" s="49" t="str">
        <f ca="1">IFERROR(__xludf.DUMMYFUNCTION("""COMPUTED_VALUE"""),"")</f>
        <v/>
      </c>
      <c r="C68" s="49" t="str">
        <f ca="1">IFERROR(__xludf.DUMMYFUNCTION("""COMPUTED_VALUE"""),"")</f>
        <v/>
      </c>
      <c r="D68" s="49" t="str">
        <f ca="1">IFERROR(__xludf.DUMMYFUNCTION("""COMPUTED_VALUE"""),"")</f>
        <v/>
      </c>
      <c r="E68" s="49" t="str">
        <f ca="1">IFERROR(__xludf.DUMMYFUNCTION("""COMPUTED_VALUE"""),"NA")</f>
        <v>NA</v>
      </c>
      <c r="F68" s="49" t="str">
        <f ca="1">IFERROR(__xludf.DUMMYFUNCTION("""COMPUTED_VALUE"""),"")</f>
        <v/>
      </c>
      <c r="G68" s="49" t="str">
        <f ca="1">IFERROR(__xludf.DUMMYFUNCTION("""COMPUTED_VALUE"""),"Alaa Koleilat")</f>
        <v>Alaa Koleilat</v>
      </c>
      <c r="H68" s="49" t="str">
        <f ca="1">IFERROR(__xludf.DUMMYFUNCTION("""COMPUTED_VALUE"""),"koleilat.alaa@mayo.edu")</f>
        <v>koleilat.alaa@mayo.edu</v>
      </c>
      <c r="I68" s="49" t="str">
        <f ca="1">IFERROR(__xludf.DUMMYFUNCTION("""COMPUTED_VALUE"""),"Graduate Student")</f>
        <v>Graduate Student</v>
      </c>
      <c r="J68" s="49"/>
      <c r="K68" s="49"/>
      <c r="L68" s="49"/>
      <c r="M68" s="49"/>
      <c r="N68" s="49"/>
      <c r="O68" s="49"/>
      <c r="P68" s="49"/>
      <c r="Q68" s="49"/>
      <c r="R68" s="49"/>
      <c r="S68" s="49"/>
      <c r="T68" s="49"/>
      <c r="U68" s="49"/>
      <c r="V68" s="49"/>
      <c r="W68" s="49"/>
      <c r="X68" s="49"/>
      <c r="Y68" s="49"/>
      <c r="Z68" s="49"/>
    </row>
    <row r="69" spans="1:26" ht="13">
      <c r="A69" s="49" t="str">
        <f ca="1">IFERROR(__xludf.DUMMYFUNCTION("""COMPUTED_VALUE"""),"Unassigned")</f>
        <v>Unassigned</v>
      </c>
      <c r="B69" s="49" t="str">
        <f ca="1">IFERROR(__xludf.DUMMYFUNCTION("""COMPUTED_VALUE"""),"")</f>
        <v/>
      </c>
      <c r="C69" s="49" t="str">
        <f ca="1">IFERROR(__xludf.DUMMYFUNCTION("""COMPUTED_VALUE"""),"")</f>
        <v/>
      </c>
      <c r="D69" s="49" t="str">
        <f ca="1">IFERROR(__xludf.DUMMYFUNCTION("""COMPUTED_VALUE"""),"")</f>
        <v/>
      </c>
      <c r="E69" s="49" t="str">
        <f ca="1">IFERROR(__xludf.DUMMYFUNCTION("""COMPUTED_VALUE"""),"NA")</f>
        <v>NA</v>
      </c>
      <c r="F69" s="49" t="str">
        <f ca="1">IFERROR(__xludf.DUMMYFUNCTION("""COMPUTED_VALUE"""),"")</f>
        <v/>
      </c>
      <c r="G69" s="49" t="str">
        <f ca="1">IFERROR(__xludf.DUMMYFUNCTION("""COMPUTED_VALUE"""),"Erika Meaddough")</f>
        <v>Erika Meaddough</v>
      </c>
      <c r="H69" s="49" t="str">
        <f ca="1">IFERROR(__xludf.DUMMYFUNCTION("""COMPUTED_VALUE"""),"meaddough@yahoo.com")</f>
        <v>meaddough@yahoo.com</v>
      </c>
      <c r="I69" s="49" t="str">
        <f ca="1">IFERROR(__xludf.DUMMYFUNCTION("""COMPUTED_VALUE"""),"Graduate Student")</f>
        <v>Graduate Student</v>
      </c>
      <c r="J69" s="49"/>
      <c r="K69" s="49"/>
      <c r="L69" s="49"/>
      <c r="M69" s="49"/>
      <c r="N69" s="49"/>
      <c r="O69" s="49"/>
      <c r="P69" s="49"/>
      <c r="Q69" s="49"/>
      <c r="R69" s="49"/>
      <c r="S69" s="49"/>
      <c r="T69" s="49"/>
      <c r="U69" s="49"/>
      <c r="V69" s="49"/>
      <c r="W69" s="49"/>
      <c r="X69" s="49"/>
      <c r="Y69" s="49"/>
      <c r="Z69" s="49"/>
    </row>
    <row r="70" spans="1:26" ht="13">
      <c r="A70" s="49" t="str">
        <f ca="1">IFERROR(__xludf.DUMMYFUNCTION("""COMPUTED_VALUE"""),"Unassigned")</f>
        <v>Unassigned</v>
      </c>
      <c r="B70" s="49" t="str">
        <f ca="1">IFERROR(__xludf.DUMMYFUNCTION("""COMPUTED_VALUE"""),"")</f>
        <v/>
      </c>
      <c r="C70" s="49" t="str">
        <f ca="1">IFERROR(__xludf.DUMMYFUNCTION("""COMPUTED_VALUE"""),"")</f>
        <v/>
      </c>
      <c r="D70" s="49" t="str">
        <f ca="1">IFERROR(__xludf.DUMMYFUNCTION("""COMPUTED_VALUE"""),"")</f>
        <v/>
      </c>
      <c r="E70" s="49" t="str">
        <f ca="1">IFERROR(__xludf.DUMMYFUNCTION("""COMPUTED_VALUE"""),"NA")</f>
        <v>NA</v>
      </c>
      <c r="F70" s="49" t="str">
        <f ca="1">IFERROR(__xludf.DUMMYFUNCTION("""COMPUTED_VALUE"""),"")</f>
        <v/>
      </c>
      <c r="G70" s="49" t="str">
        <f ca="1">IFERROR(__xludf.DUMMYFUNCTION("""COMPUTED_VALUE"""),"Vijay Ganesh")</f>
        <v>Vijay Ganesh</v>
      </c>
      <c r="H70" s="49" t="str">
        <f ca="1">IFERROR(__xludf.DUMMYFUNCTION("""COMPUTED_VALUE"""),"vganesh@bwh.harvard.edu")</f>
        <v>vganesh@bwh.harvard.edu</v>
      </c>
      <c r="I70" s="49" t="str">
        <f ca="1">IFERROR(__xludf.DUMMYFUNCTION("""COMPUTED_VALUE"""),"Post Doc/Resident/Fellow (MD and/or PhD)")</f>
        <v>Post Doc/Resident/Fellow (MD and/or PhD)</v>
      </c>
      <c r="J70" s="49"/>
      <c r="K70" s="49"/>
      <c r="L70" s="49"/>
      <c r="M70" s="49"/>
      <c r="N70" s="49"/>
      <c r="O70" s="49"/>
      <c r="P70" s="49"/>
      <c r="Q70" s="49"/>
      <c r="R70" s="49"/>
      <c r="S70" s="49"/>
      <c r="T70" s="49"/>
      <c r="U70" s="49"/>
      <c r="V70" s="49"/>
      <c r="W70" s="49"/>
      <c r="X70" s="49"/>
      <c r="Y70" s="49"/>
      <c r="Z70" s="49"/>
    </row>
    <row r="71" spans="1:26" ht="13">
      <c r="A71" s="49" t="str">
        <f ca="1">IFERROR(__xludf.DUMMYFUNCTION("""COMPUTED_VALUE"""),"Assigned")</f>
        <v>Assigned</v>
      </c>
      <c r="B71" s="87">
        <f ca="1">IFERROR(__xludf.DUMMYFUNCTION("""COMPUTED_VALUE"""),43860)</f>
        <v>43860</v>
      </c>
      <c r="C71" s="49" t="str">
        <f ca="1">IFERROR(__xludf.DUMMYFUNCTION("""COMPUTED_VALUE"""),"")</f>
        <v/>
      </c>
      <c r="D71" s="49" t="str">
        <f ca="1">IFERROR(__xludf.DUMMYFUNCTION("""COMPUTED_VALUE"""),"")</f>
        <v/>
      </c>
      <c r="E71" s="49" t="str">
        <f ca="1">IFERROR(__xludf.DUMMYFUNCTION("""COMPUTED_VALUE"""),"NA")</f>
        <v>NA</v>
      </c>
      <c r="F71" s="49" t="str">
        <f ca="1">IFERROR(__xludf.DUMMYFUNCTION("""COMPUTED_VALUE"""),"")</f>
        <v/>
      </c>
      <c r="G71" s="49" t="str">
        <f ca="1">IFERROR(__xludf.DUMMYFUNCTION("""COMPUTED_VALUE"""),"George Jour")</f>
        <v>George Jour</v>
      </c>
      <c r="H71" s="49" t="str">
        <f ca="1">IFERROR(__xludf.DUMMYFUNCTION("""COMPUTED_VALUE"""),"george.jour@nyulangone.org")</f>
        <v>george.jour@nyulangone.org</v>
      </c>
      <c r="I71" s="49" t="str">
        <f ca="1">IFERROR(__xludf.DUMMYFUNCTION("""COMPUTED_VALUE"""),"Physician (Non-geneticist)")</f>
        <v>Physician (Non-geneticist)</v>
      </c>
      <c r="J71" s="49"/>
      <c r="K71" s="49"/>
      <c r="L71" s="49"/>
      <c r="M71" s="49"/>
      <c r="N71" s="49"/>
      <c r="O71" s="49"/>
      <c r="P71" s="49"/>
      <c r="Q71" s="49"/>
      <c r="R71" s="49"/>
      <c r="S71" s="49"/>
      <c r="T71" s="49"/>
      <c r="U71" s="49"/>
      <c r="V71" s="49"/>
      <c r="W71" s="49"/>
      <c r="X71" s="49"/>
      <c r="Y71" s="49"/>
      <c r="Z71" s="49"/>
    </row>
    <row r="72" spans="1:26" ht="13">
      <c r="A72" s="49" t="str">
        <f ca="1">IFERROR(__xludf.DUMMYFUNCTION("""COMPUTED_VALUE"""),"Unassigned")</f>
        <v>Unassigned</v>
      </c>
      <c r="B72" s="49" t="str">
        <f ca="1">IFERROR(__xludf.DUMMYFUNCTION("""COMPUTED_VALUE"""),"duplicate record")</f>
        <v>duplicate record</v>
      </c>
      <c r="C72" s="49" t="str">
        <f ca="1">IFERROR(__xludf.DUMMYFUNCTION("""COMPUTED_VALUE"""),"")</f>
        <v/>
      </c>
      <c r="D72" s="49" t="str">
        <f ca="1">IFERROR(__xludf.DUMMYFUNCTION("""COMPUTED_VALUE"""),"")</f>
        <v/>
      </c>
      <c r="E72" s="49" t="str">
        <f ca="1">IFERROR(__xludf.DUMMYFUNCTION("""COMPUTED_VALUE"""),"NA")</f>
        <v>NA</v>
      </c>
      <c r="F72" s="49" t="str">
        <f ca="1">IFERROR(__xludf.DUMMYFUNCTION("""COMPUTED_VALUE"""),"")</f>
        <v/>
      </c>
      <c r="G72" s="49" t="str">
        <f ca="1">IFERROR(__xludf.DUMMYFUNCTION("""COMPUTED_VALUE"""),"George Jour")</f>
        <v>George Jour</v>
      </c>
      <c r="H72" s="49" t="str">
        <f ca="1">IFERROR(__xludf.DUMMYFUNCTION("""COMPUTED_VALUE"""),"george.jour@nyulangone.org")</f>
        <v>george.jour@nyulangone.org</v>
      </c>
      <c r="I72" s="49" t="str">
        <f ca="1">IFERROR(__xludf.DUMMYFUNCTION("""COMPUTED_VALUE"""),"Physician (Non-geneticist)")</f>
        <v>Physician (Non-geneticist)</v>
      </c>
      <c r="J72" s="49"/>
      <c r="K72" s="49"/>
      <c r="L72" s="49"/>
      <c r="M72" s="49"/>
      <c r="N72" s="49"/>
      <c r="O72" s="49"/>
      <c r="P72" s="49"/>
      <c r="Q72" s="49"/>
      <c r="R72" s="49"/>
      <c r="S72" s="49"/>
      <c r="T72" s="49"/>
      <c r="U72" s="49"/>
      <c r="V72" s="49"/>
      <c r="W72" s="49"/>
      <c r="X72" s="49"/>
      <c r="Y72" s="49"/>
      <c r="Z72" s="49"/>
    </row>
    <row r="73" spans="1:26" ht="13">
      <c r="A73" s="49"/>
      <c r="B73" s="49"/>
      <c r="C73" s="49"/>
      <c r="D73" s="49"/>
      <c r="E73" s="49"/>
      <c r="F73" s="49"/>
      <c r="G73" s="49"/>
      <c r="H73" s="49"/>
      <c r="I73" s="49"/>
      <c r="J73" s="49"/>
      <c r="K73" s="49"/>
      <c r="L73" s="49"/>
      <c r="M73" s="49"/>
      <c r="N73" s="49"/>
      <c r="O73" s="49"/>
      <c r="P73" s="49"/>
      <c r="Q73" s="49"/>
      <c r="R73" s="49"/>
      <c r="S73" s="49"/>
      <c r="T73" s="49"/>
      <c r="U73" s="49"/>
      <c r="V73" s="49"/>
      <c r="W73" s="49"/>
      <c r="X73" s="49"/>
      <c r="Y73" s="49"/>
      <c r="Z73" s="49"/>
    </row>
    <row r="74" spans="1:26" ht="13">
      <c r="A74" s="49"/>
      <c r="B74" s="49"/>
      <c r="C74" s="49"/>
      <c r="D74" s="49"/>
      <c r="E74" s="49"/>
      <c r="F74" s="49"/>
      <c r="G74" s="49"/>
      <c r="H74" s="49"/>
      <c r="I74" s="49"/>
      <c r="J74" s="49"/>
      <c r="K74" s="49"/>
      <c r="L74" s="49"/>
      <c r="M74" s="49"/>
      <c r="N74" s="49"/>
      <c r="O74" s="49"/>
      <c r="P74" s="49"/>
      <c r="Q74" s="49"/>
      <c r="R74" s="49"/>
      <c r="S74" s="49"/>
      <c r="T74" s="49"/>
      <c r="U74" s="49"/>
      <c r="V74" s="49"/>
      <c r="W74" s="49"/>
      <c r="X74" s="49"/>
      <c r="Y74" s="49"/>
      <c r="Z74" s="49"/>
    </row>
    <row r="75" spans="1:26" ht="13">
      <c r="A75" s="49"/>
      <c r="B75" s="49"/>
      <c r="C75" s="49"/>
      <c r="D75" s="49"/>
      <c r="E75" s="49"/>
      <c r="F75" s="49"/>
      <c r="G75" s="49"/>
      <c r="H75" s="49"/>
      <c r="I75" s="49"/>
      <c r="J75" s="49"/>
      <c r="K75" s="49"/>
      <c r="L75" s="49"/>
      <c r="M75" s="49"/>
      <c r="N75" s="49"/>
      <c r="O75" s="49"/>
      <c r="P75" s="49"/>
      <c r="Q75" s="49"/>
      <c r="R75" s="49"/>
      <c r="S75" s="49"/>
      <c r="T75" s="49"/>
      <c r="U75" s="49"/>
      <c r="V75" s="49"/>
      <c r="W75" s="49"/>
      <c r="X75" s="49"/>
      <c r="Y75" s="49"/>
      <c r="Z75" s="49"/>
    </row>
    <row r="76" spans="1:26" ht="13">
      <c r="A76" s="49"/>
      <c r="B76" s="49"/>
      <c r="C76" s="49"/>
      <c r="D76" s="49"/>
      <c r="E76" s="49"/>
      <c r="F76" s="49"/>
      <c r="G76" s="49"/>
      <c r="H76" s="49"/>
      <c r="I76" s="49"/>
      <c r="J76" s="49"/>
      <c r="K76" s="49"/>
      <c r="L76" s="49"/>
      <c r="M76" s="49"/>
      <c r="N76" s="49"/>
      <c r="O76" s="49"/>
      <c r="P76" s="49"/>
      <c r="Q76" s="49"/>
      <c r="R76" s="49"/>
      <c r="S76" s="49"/>
      <c r="T76" s="49"/>
      <c r="U76" s="49"/>
      <c r="V76" s="49"/>
      <c r="W76" s="49"/>
      <c r="X76" s="49"/>
      <c r="Y76" s="49"/>
      <c r="Z76" s="49"/>
    </row>
    <row r="77" spans="1:26" ht="13">
      <c r="A77" s="49"/>
      <c r="B77" s="49"/>
      <c r="C77" s="49"/>
      <c r="D77" s="49"/>
      <c r="E77" s="49"/>
      <c r="F77" s="49"/>
      <c r="G77" s="49"/>
      <c r="H77" s="49"/>
      <c r="I77" s="49"/>
      <c r="J77" s="49"/>
      <c r="K77" s="49"/>
      <c r="L77" s="49"/>
      <c r="M77" s="49"/>
      <c r="N77" s="49"/>
      <c r="O77" s="49"/>
      <c r="P77" s="49"/>
      <c r="Q77" s="49"/>
      <c r="R77" s="49"/>
      <c r="S77" s="49"/>
      <c r="T77" s="49"/>
      <c r="U77" s="49"/>
      <c r="V77" s="49"/>
      <c r="W77" s="49"/>
      <c r="X77" s="49"/>
      <c r="Y77" s="49"/>
      <c r="Z77" s="49"/>
    </row>
    <row r="78" spans="1:26" ht="13">
      <c r="A78" s="49"/>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spans="1:26" ht="13">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spans="1:26" ht="13">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spans="1:26" ht="13">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spans="1:26" ht="13">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spans="1:26" ht="13">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spans="1:26" ht="13">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spans="1:26" ht="13">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spans="1:26" ht="13">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spans="1:26" ht="13">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spans="1:26" ht="13">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spans="1:26" ht="13">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spans="1:26" ht="13">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spans="1:26" ht="13">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spans="1:26" ht="13">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ht="13">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ht="13">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ht="13">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spans="1:26" ht="13">
      <c r="A96" s="49"/>
      <c r="B96" s="49"/>
      <c r="C96" s="49"/>
      <c r="D96" s="49"/>
      <c r="E96" s="49"/>
      <c r="F96" s="49"/>
      <c r="G96" s="49"/>
      <c r="H96" s="49"/>
      <c r="I96" s="49"/>
      <c r="J96" s="49"/>
      <c r="K96" s="49"/>
      <c r="L96" s="49"/>
      <c r="M96" s="49"/>
      <c r="N96" s="49"/>
      <c r="O96" s="49"/>
      <c r="P96" s="49"/>
      <c r="Q96" s="49"/>
      <c r="R96" s="49"/>
      <c r="S96" s="49"/>
      <c r="T96" s="49"/>
      <c r="U96" s="49"/>
      <c r="V96" s="49"/>
      <c r="W96" s="49"/>
      <c r="X96" s="49"/>
      <c r="Y96" s="49"/>
      <c r="Z96" s="49"/>
    </row>
    <row r="97" spans="1:26" ht="13">
      <c r="A97" s="49"/>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spans="1:26" ht="13">
      <c r="A98" s="49"/>
      <c r="B98" s="49"/>
      <c r="C98" s="49"/>
      <c r="D98" s="49"/>
      <c r="E98" s="49"/>
      <c r="F98" s="49"/>
      <c r="G98" s="49"/>
      <c r="H98" s="49"/>
      <c r="I98" s="49"/>
      <c r="J98" s="49"/>
      <c r="K98" s="49"/>
      <c r="L98" s="49"/>
      <c r="M98" s="49"/>
      <c r="N98" s="49"/>
      <c r="O98" s="49"/>
      <c r="P98" s="49"/>
      <c r="Q98" s="49"/>
      <c r="R98" s="49"/>
      <c r="S98" s="49"/>
      <c r="T98" s="49"/>
      <c r="U98" s="49"/>
      <c r="V98" s="49"/>
      <c r="W98" s="49"/>
      <c r="X98" s="49"/>
      <c r="Y98" s="49"/>
      <c r="Z98" s="49"/>
    </row>
    <row r="99" spans="1:26" ht="13">
      <c r="A99" s="49"/>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spans="1:26" ht="13">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spans="1:26" ht="13">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spans="1:26" ht="13">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ht="13">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ht="13">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ht="13">
      <c r="A105" s="49"/>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row>
    <row r="106" spans="1:26" ht="13">
      <c r="A106" s="49"/>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row>
    <row r="107" spans="1:26" ht="13">
      <c r="A107" s="49"/>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row>
    <row r="108" spans="1:26" ht="13">
      <c r="A108" s="49"/>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row>
    <row r="109" spans="1:26" ht="13">
      <c r="A109" s="49"/>
      <c r="B109" s="49"/>
      <c r="C109" s="49"/>
      <c r="D109" s="49"/>
      <c r="E109" s="49"/>
      <c r="F109" s="49"/>
      <c r="G109" s="49"/>
      <c r="H109" s="49"/>
      <c r="I109" s="49"/>
      <c r="J109" s="49"/>
      <c r="K109" s="49"/>
      <c r="L109" s="49"/>
      <c r="M109" s="49"/>
      <c r="N109" s="49"/>
      <c r="O109" s="49"/>
      <c r="P109" s="49"/>
      <c r="Q109" s="49"/>
      <c r="R109" s="49"/>
      <c r="S109" s="49"/>
      <c r="T109" s="49"/>
      <c r="U109" s="49"/>
      <c r="V109" s="49"/>
      <c r="W109" s="49"/>
      <c r="X109" s="49"/>
      <c r="Y109" s="49"/>
      <c r="Z109" s="49"/>
    </row>
    <row r="110" spans="1:26" ht="13">
      <c r="A110" s="49"/>
      <c r="B110" s="49"/>
      <c r="C110" s="49"/>
      <c r="D110" s="49"/>
      <c r="E110" s="49"/>
      <c r="F110" s="49"/>
      <c r="G110" s="49"/>
      <c r="H110" s="49"/>
      <c r="I110" s="49"/>
      <c r="J110" s="49"/>
      <c r="K110" s="49"/>
      <c r="L110" s="49"/>
      <c r="M110" s="49"/>
      <c r="N110" s="49"/>
      <c r="O110" s="49"/>
      <c r="P110" s="49"/>
      <c r="Q110" s="49"/>
      <c r="R110" s="49"/>
      <c r="S110" s="49"/>
      <c r="T110" s="49"/>
      <c r="U110" s="49"/>
      <c r="V110" s="49"/>
      <c r="W110" s="49"/>
      <c r="X110" s="49"/>
      <c r="Y110" s="49"/>
      <c r="Z110" s="49"/>
    </row>
    <row r="111" spans="1:26" ht="13">
      <c r="A111" s="49"/>
      <c r="B111" s="49"/>
      <c r="C111" s="49"/>
      <c r="D111" s="49"/>
      <c r="E111" s="49"/>
      <c r="F111" s="49"/>
      <c r="G111" s="49"/>
      <c r="H111" s="49"/>
      <c r="I111" s="49"/>
      <c r="J111" s="49"/>
      <c r="K111" s="49"/>
      <c r="L111" s="49"/>
      <c r="M111" s="49"/>
      <c r="N111" s="49"/>
      <c r="O111" s="49"/>
      <c r="P111" s="49"/>
      <c r="Q111" s="49"/>
      <c r="R111" s="49"/>
      <c r="S111" s="49"/>
      <c r="T111" s="49"/>
      <c r="U111" s="49"/>
      <c r="V111" s="49"/>
      <c r="W111" s="49"/>
      <c r="X111" s="49"/>
      <c r="Y111" s="49"/>
      <c r="Z111" s="49"/>
    </row>
    <row r="112" spans="1:26" ht="13">
      <c r="A112" s="49"/>
      <c r="B112" s="49"/>
      <c r="C112" s="49"/>
      <c r="D112" s="49"/>
      <c r="E112" s="49"/>
      <c r="F112" s="49"/>
      <c r="G112" s="49"/>
      <c r="H112" s="49"/>
      <c r="I112" s="49"/>
      <c r="J112" s="49"/>
      <c r="K112" s="49"/>
      <c r="L112" s="49"/>
      <c r="M112" s="49"/>
      <c r="N112" s="49"/>
      <c r="O112" s="49"/>
      <c r="P112" s="49"/>
      <c r="Q112" s="49"/>
      <c r="R112" s="49"/>
      <c r="S112" s="49"/>
      <c r="T112" s="49"/>
      <c r="U112" s="49"/>
      <c r="V112" s="49"/>
      <c r="W112" s="49"/>
      <c r="X112" s="49"/>
      <c r="Y112" s="49"/>
      <c r="Z112" s="49"/>
    </row>
    <row r="113" spans="1:26" ht="13">
      <c r="A113" s="49"/>
      <c r="B113" s="49"/>
      <c r="C113" s="49"/>
      <c r="D113" s="49"/>
      <c r="E113" s="49"/>
      <c r="F113" s="49"/>
      <c r="G113" s="49"/>
      <c r="H113" s="49"/>
      <c r="I113" s="49"/>
      <c r="J113" s="49"/>
      <c r="K113" s="49"/>
      <c r="L113" s="49"/>
      <c r="M113" s="49"/>
      <c r="N113" s="49"/>
      <c r="O113" s="49"/>
      <c r="P113" s="49"/>
      <c r="Q113" s="49"/>
      <c r="R113" s="49"/>
      <c r="S113" s="49"/>
      <c r="T113" s="49"/>
      <c r="U113" s="49"/>
      <c r="V113" s="49"/>
      <c r="W113" s="49"/>
      <c r="X113" s="49"/>
      <c r="Y113" s="49"/>
      <c r="Z113" s="49"/>
    </row>
    <row r="114" spans="1:26" ht="13">
      <c r="A114" s="49"/>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row>
    <row r="115" spans="1:26" ht="13">
      <c r="A115" s="49"/>
      <c r="B115" s="49"/>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row>
    <row r="116" spans="1:26" ht="13">
      <c r="A116" s="49"/>
      <c r="B116" s="49"/>
      <c r="C116" s="49"/>
      <c r="D116" s="49"/>
      <c r="E116" s="49"/>
      <c r="F116" s="49"/>
      <c r="G116" s="49"/>
      <c r="H116" s="49"/>
      <c r="I116" s="49"/>
      <c r="J116" s="49"/>
      <c r="K116" s="49"/>
      <c r="L116" s="49"/>
      <c r="M116" s="49"/>
      <c r="N116" s="49"/>
      <c r="O116" s="49"/>
      <c r="P116" s="49"/>
      <c r="Q116" s="49"/>
      <c r="R116" s="49"/>
      <c r="S116" s="49"/>
      <c r="T116" s="49"/>
      <c r="U116" s="49"/>
      <c r="V116" s="49"/>
      <c r="W116" s="49"/>
      <c r="X116" s="49"/>
      <c r="Y116" s="49"/>
      <c r="Z116" s="49"/>
    </row>
    <row r="117" spans="1:26" ht="13">
      <c r="A117" s="49"/>
      <c r="B117" s="49"/>
      <c r="C117" s="49"/>
      <c r="D117" s="49"/>
      <c r="E117" s="49"/>
      <c r="F117" s="49"/>
      <c r="G117" s="49"/>
      <c r="H117" s="49"/>
      <c r="I117" s="49"/>
      <c r="J117" s="49"/>
      <c r="K117" s="49"/>
      <c r="L117" s="49"/>
      <c r="M117" s="49"/>
      <c r="N117" s="49"/>
      <c r="O117" s="49"/>
      <c r="P117" s="49"/>
      <c r="Q117" s="49"/>
      <c r="R117" s="49"/>
      <c r="S117" s="49"/>
      <c r="T117" s="49"/>
      <c r="U117" s="49"/>
      <c r="V117" s="49"/>
      <c r="W117" s="49"/>
      <c r="X117" s="49"/>
      <c r="Y117" s="49"/>
      <c r="Z117" s="49"/>
    </row>
    <row r="118" spans="1:26" ht="13">
      <c r="A118" s="49"/>
      <c r="B118" s="49"/>
      <c r="C118" s="49"/>
      <c r="D118" s="49"/>
      <c r="E118" s="49"/>
      <c r="F118" s="49"/>
      <c r="G118" s="49"/>
      <c r="H118" s="49"/>
      <c r="I118" s="49"/>
      <c r="J118" s="49"/>
      <c r="K118" s="49"/>
      <c r="L118" s="49"/>
      <c r="M118" s="49"/>
      <c r="N118" s="49"/>
      <c r="O118" s="49"/>
      <c r="P118" s="49"/>
      <c r="Q118" s="49"/>
      <c r="R118" s="49"/>
      <c r="S118" s="49"/>
      <c r="T118" s="49"/>
      <c r="U118" s="49"/>
      <c r="V118" s="49"/>
      <c r="W118" s="49"/>
      <c r="X118" s="49"/>
      <c r="Y118" s="49"/>
      <c r="Z118" s="49"/>
    </row>
    <row r="119" spans="1:26" ht="13">
      <c r="A119" s="49"/>
      <c r="B119" s="49"/>
      <c r="C119" s="49"/>
      <c r="D119" s="49"/>
      <c r="E119" s="49"/>
      <c r="F119" s="49"/>
      <c r="G119" s="49"/>
      <c r="H119" s="49"/>
      <c r="I119" s="49"/>
      <c r="J119" s="49"/>
      <c r="K119" s="49"/>
      <c r="L119" s="49"/>
      <c r="M119" s="49"/>
      <c r="N119" s="49"/>
      <c r="O119" s="49"/>
      <c r="P119" s="49"/>
      <c r="Q119" s="49"/>
      <c r="R119" s="49"/>
      <c r="S119" s="49"/>
      <c r="T119" s="49"/>
      <c r="U119" s="49"/>
      <c r="V119" s="49"/>
      <c r="W119" s="49"/>
      <c r="X119" s="49"/>
      <c r="Y119" s="49"/>
      <c r="Z119" s="49"/>
    </row>
    <row r="120" spans="1:26" ht="13">
      <c r="A120" s="49"/>
      <c r="B120" s="49"/>
      <c r="C120" s="49"/>
      <c r="D120" s="49"/>
      <c r="E120" s="49"/>
      <c r="F120" s="49"/>
      <c r="G120" s="49"/>
      <c r="H120" s="49"/>
      <c r="I120" s="49"/>
      <c r="J120" s="49"/>
      <c r="K120" s="49"/>
      <c r="L120" s="49"/>
      <c r="M120" s="49"/>
      <c r="N120" s="49"/>
      <c r="O120" s="49"/>
      <c r="P120" s="49"/>
      <c r="Q120" s="49"/>
      <c r="R120" s="49"/>
      <c r="S120" s="49"/>
      <c r="T120" s="49"/>
      <c r="U120" s="49"/>
      <c r="V120" s="49"/>
      <c r="W120" s="49"/>
      <c r="X120" s="49"/>
      <c r="Y120" s="49"/>
      <c r="Z120" s="49"/>
    </row>
    <row r="121" spans="1:26" ht="13">
      <c r="A121" s="49"/>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row>
    <row r="122" spans="1:26" ht="13">
      <c r="A122" s="49"/>
      <c r="B122" s="49"/>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row>
    <row r="123" spans="1:26" ht="13">
      <c r="A123" s="49"/>
      <c r="B123" s="49"/>
      <c r="C123" s="49"/>
      <c r="D123" s="49"/>
      <c r="E123" s="49"/>
      <c r="F123" s="49"/>
      <c r="G123" s="49"/>
      <c r="H123" s="49"/>
      <c r="I123" s="49"/>
      <c r="J123" s="49"/>
      <c r="K123" s="49"/>
      <c r="L123" s="49"/>
      <c r="M123" s="49"/>
      <c r="N123" s="49"/>
      <c r="O123" s="49"/>
      <c r="P123" s="49"/>
      <c r="Q123" s="49"/>
      <c r="R123" s="49"/>
      <c r="S123" s="49"/>
      <c r="T123" s="49"/>
      <c r="U123" s="49"/>
      <c r="V123" s="49"/>
      <c r="W123" s="49"/>
      <c r="X123" s="49"/>
      <c r="Y123" s="49"/>
      <c r="Z123" s="49"/>
    </row>
    <row r="124" spans="1:26" ht="13">
      <c r="A124" s="49"/>
      <c r="B124" s="49"/>
      <c r="C124" s="49"/>
      <c r="D124" s="49"/>
      <c r="E124" s="49"/>
      <c r="F124" s="49"/>
      <c r="G124" s="49"/>
      <c r="H124" s="49"/>
      <c r="I124" s="49"/>
      <c r="J124" s="49"/>
      <c r="K124" s="49"/>
      <c r="L124" s="49"/>
      <c r="M124" s="49"/>
      <c r="N124" s="49"/>
      <c r="O124" s="49"/>
      <c r="P124" s="49"/>
      <c r="Q124" s="49"/>
      <c r="R124" s="49"/>
      <c r="S124" s="49"/>
      <c r="T124" s="49"/>
      <c r="U124" s="49"/>
      <c r="V124" s="49"/>
      <c r="W124" s="49"/>
      <c r="X124" s="49"/>
      <c r="Y124" s="49"/>
      <c r="Z124" s="49"/>
    </row>
    <row r="125" spans="1:26" ht="13">
      <c r="A125" s="49"/>
      <c r="B125" s="49"/>
      <c r="C125" s="49"/>
      <c r="D125" s="49"/>
      <c r="E125" s="49"/>
      <c r="F125" s="49"/>
      <c r="G125" s="49"/>
      <c r="H125" s="49"/>
      <c r="I125" s="49"/>
      <c r="J125" s="49"/>
      <c r="K125" s="49"/>
      <c r="L125" s="49"/>
      <c r="M125" s="49"/>
      <c r="N125" s="49"/>
      <c r="O125" s="49"/>
      <c r="P125" s="49"/>
      <c r="Q125" s="49"/>
      <c r="R125" s="49"/>
      <c r="S125" s="49"/>
      <c r="T125" s="49"/>
      <c r="U125" s="49"/>
      <c r="V125" s="49"/>
      <c r="W125" s="49"/>
      <c r="X125" s="49"/>
      <c r="Y125" s="49"/>
      <c r="Z125" s="49"/>
    </row>
    <row r="126" spans="1:26" ht="13">
      <c r="A126" s="49"/>
      <c r="B126" s="49"/>
      <c r="C126" s="49"/>
      <c r="D126" s="49"/>
      <c r="E126" s="49"/>
      <c r="F126" s="49"/>
      <c r="G126" s="49"/>
      <c r="H126" s="49"/>
      <c r="I126" s="49"/>
      <c r="J126" s="49"/>
      <c r="K126" s="49"/>
      <c r="L126" s="49"/>
      <c r="M126" s="49"/>
      <c r="N126" s="49"/>
      <c r="O126" s="49"/>
      <c r="P126" s="49"/>
      <c r="Q126" s="49"/>
      <c r="R126" s="49"/>
      <c r="S126" s="49"/>
      <c r="T126" s="49"/>
      <c r="U126" s="49"/>
      <c r="V126" s="49"/>
      <c r="W126" s="49"/>
      <c r="X126" s="49"/>
      <c r="Y126" s="49"/>
      <c r="Z126" s="49"/>
    </row>
    <row r="127" spans="1:26" ht="13">
      <c r="A127" s="49"/>
      <c r="B127" s="49"/>
      <c r="C127" s="49"/>
      <c r="D127" s="49"/>
      <c r="E127" s="49"/>
      <c r="F127" s="49"/>
      <c r="G127" s="49"/>
      <c r="H127" s="49"/>
      <c r="I127" s="49"/>
      <c r="J127" s="49"/>
      <c r="K127" s="49"/>
      <c r="L127" s="49"/>
      <c r="M127" s="49"/>
      <c r="N127" s="49"/>
      <c r="O127" s="49"/>
      <c r="P127" s="49"/>
      <c r="Q127" s="49"/>
      <c r="R127" s="49"/>
      <c r="S127" s="49"/>
      <c r="T127" s="49"/>
      <c r="U127" s="49"/>
      <c r="V127" s="49"/>
      <c r="W127" s="49"/>
      <c r="X127" s="49"/>
      <c r="Y127" s="49"/>
      <c r="Z127" s="49"/>
    </row>
    <row r="128" spans="1:26" ht="13">
      <c r="A128" s="49"/>
      <c r="B128" s="49"/>
      <c r="C128" s="49"/>
      <c r="D128" s="49"/>
      <c r="E128" s="49"/>
      <c r="F128" s="49"/>
      <c r="G128" s="49"/>
      <c r="H128" s="49"/>
      <c r="I128" s="49"/>
      <c r="J128" s="49"/>
      <c r="K128" s="49"/>
      <c r="L128" s="49"/>
      <c r="M128" s="49"/>
      <c r="N128" s="49"/>
      <c r="O128" s="49"/>
      <c r="P128" s="49"/>
      <c r="Q128" s="49"/>
      <c r="R128" s="49"/>
      <c r="S128" s="49"/>
      <c r="T128" s="49"/>
      <c r="U128" s="49"/>
      <c r="V128" s="49"/>
      <c r="W128" s="49"/>
      <c r="X128" s="49"/>
      <c r="Y128" s="49"/>
      <c r="Z128" s="49"/>
    </row>
    <row r="129" spans="1:26" ht="13">
      <c r="A129" s="49"/>
      <c r="B129" s="49"/>
      <c r="C129" s="49"/>
      <c r="D129" s="49"/>
      <c r="E129" s="49"/>
      <c r="F129" s="49"/>
      <c r="G129" s="49"/>
      <c r="H129" s="49"/>
      <c r="I129" s="49"/>
      <c r="J129" s="49"/>
      <c r="K129" s="49"/>
      <c r="L129" s="49"/>
      <c r="M129" s="49"/>
      <c r="N129" s="49"/>
      <c r="O129" s="49"/>
      <c r="P129" s="49"/>
      <c r="Q129" s="49"/>
      <c r="R129" s="49"/>
      <c r="S129" s="49"/>
      <c r="T129" s="49"/>
      <c r="U129" s="49"/>
      <c r="V129" s="49"/>
      <c r="W129" s="49"/>
      <c r="X129" s="49"/>
      <c r="Y129" s="49"/>
      <c r="Z129" s="49"/>
    </row>
    <row r="130" spans="1:26" ht="13">
      <c r="A130" s="49"/>
      <c r="B130" s="49"/>
      <c r="C130" s="49"/>
      <c r="D130" s="49"/>
      <c r="E130" s="49"/>
      <c r="F130" s="49"/>
      <c r="G130" s="49"/>
      <c r="H130" s="49"/>
      <c r="I130" s="49"/>
      <c r="J130" s="49"/>
      <c r="K130" s="49"/>
      <c r="L130" s="49"/>
      <c r="M130" s="49"/>
      <c r="N130" s="49"/>
      <c r="O130" s="49"/>
      <c r="P130" s="49"/>
      <c r="Q130" s="49"/>
      <c r="R130" s="49"/>
      <c r="S130" s="49"/>
      <c r="T130" s="49"/>
      <c r="U130" s="49"/>
      <c r="V130" s="49"/>
      <c r="W130" s="49"/>
      <c r="X130" s="49"/>
      <c r="Y130" s="49"/>
      <c r="Z130" s="49"/>
    </row>
    <row r="131" spans="1:26" ht="13">
      <c r="A131" s="49"/>
      <c r="B131" s="49"/>
      <c r="C131" s="49"/>
      <c r="D131" s="49"/>
      <c r="E131" s="49"/>
      <c r="F131" s="49"/>
      <c r="G131" s="49"/>
      <c r="H131" s="49"/>
      <c r="I131" s="49"/>
      <c r="J131" s="49"/>
      <c r="K131" s="49"/>
      <c r="L131" s="49"/>
      <c r="M131" s="49"/>
      <c r="N131" s="49"/>
      <c r="O131" s="49"/>
      <c r="P131" s="49"/>
      <c r="Q131" s="49"/>
      <c r="R131" s="49"/>
      <c r="S131" s="49"/>
      <c r="T131" s="49"/>
      <c r="U131" s="49"/>
      <c r="V131" s="49"/>
      <c r="W131" s="49"/>
      <c r="X131" s="49"/>
      <c r="Y131" s="49"/>
      <c r="Z131" s="49"/>
    </row>
    <row r="132" spans="1:26" ht="13">
      <c r="A132" s="49"/>
      <c r="B132" s="49"/>
      <c r="C132" s="49"/>
      <c r="D132" s="49"/>
      <c r="E132" s="49"/>
      <c r="F132" s="49"/>
      <c r="G132" s="49"/>
      <c r="H132" s="49"/>
      <c r="I132" s="49"/>
      <c r="J132" s="49"/>
      <c r="K132" s="49"/>
      <c r="L132" s="49"/>
      <c r="M132" s="49"/>
      <c r="N132" s="49"/>
      <c r="O132" s="49"/>
      <c r="P132" s="49"/>
      <c r="Q132" s="49"/>
      <c r="R132" s="49"/>
      <c r="S132" s="49"/>
      <c r="T132" s="49"/>
      <c r="U132" s="49"/>
      <c r="V132" s="49"/>
      <c r="W132" s="49"/>
      <c r="X132" s="49"/>
      <c r="Y132" s="49"/>
      <c r="Z132" s="49"/>
    </row>
    <row r="133" spans="1:26" ht="13">
      <c r="A133" s="49"/>
      <c r="B133" s="49"/>
      <c r="C133" s="49"/>
      <c r="D133" s="49"/>
      <c r="E133" s="49"/>
      <c r="F133" s="49"/>
      <c r="G133" s="49"/>
      <c r="H133" s="49"/>
      <c r="I133" s="49"/>
      <c r="J133" s="49"/>
      <c r="K133" s="49"/>
      <c r="L133" s="49"/>
      <c r="M133" s="49"/>
      <c r="N133" s="49"/>
      <c r="O133" s="49"/>
      <c r="P133" s="49"/>
      <c r="Q133" s="49"/>
      <c r="R133" s="49"/>
      <c r="S133" s="49"/>
      <c r="T133" s="49"/>
      <c r="U133" s="49"/>
      <c r="V133" s="49"/>
      <c r="W133" s="49"/>
      <c r="X133" s="49"/>
      <c r="Y133" s="49"/>
      <c r="Z133" s="49"/>
    </row>
    <row r="134" spans="1:26" ht="13">
      <c r="A134" s="49"/>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row>
    <row r="135" spans="1:26" ht="13">
      <c r="A135" s="49"/>
      <c r="B135" s="49"/>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row>
    <row r="136" spans="1:26" ht="13">
      <c r="A136" s="49"/>
      <c r="B136" s="49"/>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row>
    <row r="137" spans="1:26" ht="13">
      <c r="A137" s="49"/>
      <c r="B137" s="49"/>
      <c r="C137" s="49"/>
      <c r="D137" s="49"/>
      <c r="E137" s="49"/>
      <c r="F137" s="49"/>
      <c r="G137" s="49"/>
      <c r="H137" s="49"/>
      <c r="I137" s="49"/>
      <c r="J137" s="49"/>
      <c r="K137" s="49"/>
      <c r="L137" s="49"/>
      <c r="M137" s="49"/>
      <c r="N137" s="49"/>
      <c r="O137" s="49"/>
      <c r="P137" s="49"/>
      <c r="Q137" s="49"/>
      <c r="R137" s="49"/>
      <c r="S137" s="49"/>
      <c r="T137" s="49"/>
      <c r="U137" s="49"/>
      <c r="V137" s="49"/>
      <c r="W137" s="49"/>
      <c r="X137" s="49"/>
      <c r="Y137" s="49"/>
      <c r="Z137" s="49"/>
    </row>
    <row r="138" spans="1:26" ht="13">
      <c r="A138" s="49"/>
      <c r="B138" s="49"/>
      <c r="C138" s="49"/>
      <c r="D138" s="49"/>
      <c r="E138" s="49"/>
      <c r="F138" s="49"/>
      <c r="G138" s="49"/>
      <c r="H138" s="49"/>
      <c r="I138" s="49"/>
      <c r="J138" s="49"/>
      <c r="K138" s="49"/>
      <c r="L138" s="49"/>
      <c r="M138" s="49"/>
      <c r="N138" s="49"/>
      <c r="O138" s="49"/>
      <c r="P138" s="49"/>
      <c r="Q138" s="49"/>
      <c r="R138" s="49"/>
      <c r="S138" s="49"/>
      <c r="T138" s="49"/>
      <c r="U138" s="49"/>
      <c r="V138" s="49"/>
      <c r="W138" s="49"/>
      <c r="X138" s="49"/>
      <c r="Y138" s="49"/>
      <c r="Z138" s="49"/>
    </row>
    <row r="139" spans="1:26" ht="13">
      <c r="A139" s="49"/>
      <c r="B139" s="49"/>
      <c r="C139" s="49"/>
      <c r="D139" s="49"/>
      <c r="E139" s="49"/>
      <c r="F139" s="49"/>
      <c r="G139" s="49"/>
      <c r="H139" s="49"/>
      <c r="I139" s="49"/>
      <c r="J139" s="49"/>
      <c r="K139" s="49"/>
      <c r="L139" s="49"/>
      <c r="M139" s="49"/>
      <c r="N139" s="49"/>
      <c r="O139" s="49"/>
      <c r="P139" s="49"/>
      <c r="Q139" s="49"/>
      <c r="R139" s="49"/>
      <c r="S139" s="49"/>
      <c r="T139" s="49"/>
      <c r="U139" s="49"/>
      <c r="V139" s="49"/>
      <c r="W139" s="49"/>
      <c r="X139" s="49"/>
      <c r="Y139" s="49"/>
      <c r="Z139" s="49"/>
    </row>
    <row r="140" spans="1:26" ht="13">
      <c r="A140" s="49"/>
      <c r="B140" s="49"/>
      <c r="C140" s="49"/>
      <c r="D140" s="49"/>
      <c r="E140" s="49"/>
      <c r="F140" s="49"/>
      <c r="G140" s="49"/>
      <c r="H140" s="49"/>
      <c r="I140" s="49"/>
      <c r="J140" s="49"/>
      <c r="K140" s="49"/>
      <c r="L140" s="49"/>
      <c r="M140" s="49"/>
      <c r="N140" s="49"/>
      <c r="O140" s="49"/>
      <c r="P140" s="49"/>
      <c r="Q140" s="49"/>
      <c r="R140" s="49"/>
      <c r="S140" s="49"/>
      <c r="T140" s="49"/>
      <c r="U140" s="49"/>
      <c r="V140" s="49"/>
      <c r="W140" s="49"/>
      <c r="X140" s="49"/>
      <c r="Y140" s="49"/>
      <c r="Z140" s="49"/>
    </row>
    <row r="141" spans="1:26" ht="13">
      <c r="A141" s="49"/>
      <c r="B141" s="49"/>
      <c r="C141" s="49"/>
      <c r="D141" s="49"/>
      <c r="E141" s="49"/>
      <c r="F141" s="49"/>
      <c r="G141" s="49"/>
      <c r="H141" s="49"/>
      <c r="I141" s="49"/>
      <c r="J141" s="49"/>
      <c r="K141" s="49"/>
      <c r="L141" s="49"/>
      <c r="M141" s="49"/>
      <c r="N141" s="49"/>
      <c r="O141" s="49"/>
      <c r="P141" s="49"/>
      <c r="Q141" s="49"/>
      <c r="R141" s="49"/>
      <c r="S141" s="49"/>
      <c r="T141" s="49"/>
      <c r="U141" s="49"/>
      <c r="V141" s="49"/>
      <c r="W141" s="49"/>
      <c r="X141" s="49"/>
      <c r="Y141" s="49"/>
      <c r="Z141" s="49"/>
    </row>
    <row r="142" spans="1:26" ht="13">
      <c r="A142" s="49"/>
      <c r="B142" s="49"/>
      <c r="C142" s="49"/>
      <c r="D142" s="49"/>
      <c r="E142" s="49"/>
      <c r="F142" s="49"/>
      <c r="G142" s="49"/>
      <c r="H142" s="49"/>
      <c r="I142" s="49"/>
      <c r="J142" s="49"/>
      <c r="K142" s="49"/>
      <c r="L142" s="49"/>
      <c r="M142" s="49"/>
      <c r="N142" s="49"/>
      <c r="O142" s="49"/>
      <c r="P142" s="49"/>
      <c r="Q142" s="49"/>
      <c r="R142" s="49"/>
      <c r="S142" s="49"/>
      <c r="T142" s="49"/>
      <c r="U142" s="49"/>
      <c r="V142" s="49"/>
      <c r="W142" s="49"/>
      <c r="X142" s="49"/>
      <c r="Y142" s="49"/>
      <c r="Z142" s="49"/>
    </row>
    <row r="143" spans="1:26" ht="13">
      <c r="A143" s="49"/>
      <c r="B143" s="49"/>
      <c r="C143" s="49"/>
      <c r="D143" s="49"/>
      <c r="E143" s="49"/>
      <c r="F143" s="49"/>
      <c r="G143" s="49"/>
      <c r="H143" s="49"/>
      <c r="I143" s="49"/>
      <c r="J143" s="49"/>
      <c r="K143" s="49"/>
      <c r="L143" s="49"/>
      <c r="M143" s="49"/>
      <c r="N143" s="49"/>
      <c r="O143" s="49"/>
      <c r="P143" s="49"/>
      <c r="Q143" s="49"/>
      <c r="R143" s="49"/>
      <c r="S143" s="49"/>
      <c r="T143" s="49"/>
      <c r="U143" s="49"/>
      <c r="V143" s="49"/>
      <c r="W143" s="49"/>
      <c r="X143" s="49"/>
      <c r="Y143" s="49"/>
      <c r="Z143" s="49"/>
    </row>
    <row r="144" spans="1:26" ht="13">
      <c r="A144" s="49"/>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row>
    <row r="145" spans="1:26" ht="13">
      <c r="A145" s="49"/>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row>
    <row r="146" spans="1:26" ht="13">
      <c r="A146" s="49"/>
      <c r="B146" s="49"/>
      <c r="C146" s="49"/>
      <c r="D146" s="49"/>
      <c r="E146" s="49"/>
      <c r="F146" s="49"/>
      <c r="G146" s="49"/>
      <c r="H146" s="49"/>
      <c r="I146" s="49"/>
      <c r="J146" s="49"/>
      <c r="K146" s="49"/>
      <c r="L146" s="49"/>
      <c r="M146" s="49"/>
      <c r="N146" s="49"/>
      <c r="O146" s="49"/>
      <c r="P146" s="49"/>
      <c r="Q146" s="49"/>
      <c r="R146" s="49"/>
      <c r="S146" s="49"/>
      <c r="T146" s="49"/>
      <c r="U146" s="49"/>
      <c r="V146" s="49"/>
      <c r="W146" s="49"/>
      <c r="X146" s="49"/>
      <c r="Y146" s="49"/>
      <c r="Z146" s="49"/>
    </row>
    <row r="147" spans="1:26" ht="13">
      <c r="A147" s="49"/>
      <c r="B147" s="49"/>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row>
    <row r="148" spans="1:26" ht="13">
      <c r="A148" s="49"/>
      <c r="B148" s="49"/>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row>
    <row r="149" spans="1:26" ht="13">
      <c r="A149" s="49"/>
      <c r="B149" s="49"/>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row>
    <row r="150" spans="1:26" ht="13">
      <c r="A150" s="49"/>
      <c r="B150" s="49"/>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row>
    <row r="151" spans="1:26" ht="13">
      <c r="A151" s="49"/>
      <c r="B151" s="49"/>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row>
    <row r="152" spans="1:26" ht="13">
      <c r="A152" s="49"/>
      <c r="B152" s="49"/>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row>
    <row r="153" spans="1:26" ht="13">
      <c r="A153" s="49"/>
      <c r="B153" s="49"/>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row>
    <row r="154" spans="1:26" ht="13">
      <c r="A154" s="49"/>
      <c r="B154" s="49"/>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row>
    <row r="155" spans="1:26" ht="13">
      <c r="A155" s="49"/>
      <c r="B155" s="49"/>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row>
    <row r="156" spans="1:26" ht="13">
      <c r="A156" s="49"/>
      <c r="B156" s="49"/>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row>
    <row r="157" spans="1:26" ht="13">
      <c r="A157" s="49"/>
      <c r="B157" s="49"/>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row>
    <row r="158" spans="1:26" ht="13">
      <c r="A158" s="49"/>
      <c r="B158" s="49"/>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row>
    <row r="159" spans="1:26" ht="13">
      <c r="A159" s="49"/>
      <c r="B159" s="49"/>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row>
    <row r="160" spans="1:26" ht="13">
      <c r="A160" s="49"/>
      <c r="B160" s="49"/>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row>
    <row r="161" spans="1:26" ht="13">
      <c r="A161" s="49"/>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row>
    <row r="162" spans="1:26" ht="13">
      <c r="A162" s="49"/>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row>
    <row r="163" spans="1:26" ht="13">
      <c r="A163" s="49"/>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row>
    <row r="164" spans="1:26" ht="13">
      <c r="A164" s="49"/>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row>
    <row r="165" spans="1:26" ht="13">
      <c r="A165" s="49"/>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row>
    <row r="166" spans="1:26" ht="13">
      <c r="A166" s="49"/>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row>
    <row r="167" spans="1:26" ht="13">
      <c r="A167" s="49"/>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row>
    <row r="168" spans="1:26" ht="13">
      <c r="A168" s="49"/>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row>
    <row r="169" spans="1:26" ht="13">
      <c r="A169" s="49"/>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row>
    <row r="170" spans="1:26" ht="13">
      <c r="A170" s="49"/>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row>
    <row r="171" spans="1:26" ht="13">
      <c r="A171" s="49"/>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row>
    <row r="172" spans="1:26" ht="13">
      <c r="A172" s="49"/>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row>
    <row r="173" spans="1:26" ht="13">
      <c r="A173" s="49"/>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row>
    <row r="174" spans="1:26" ht="13">
      <c r="A174" s="49"/>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row>
    <row r="175" spans="1:26" ht="13">
      <c r="A175" s="49"/>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row>
    <row r="176" spans="1:26" ht="13">
      <c r="A176" s="49"/>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row>
    <row r="177" spans="1:26" ht="13">
      <c r="A177" s="49"/>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row>
    <row r="178" spans="1:26" ht="13">
      <c r="A178" s="49"/>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row>
    <row r="179" spans="1:26" ht="13">
      <c r="A179" s="49"/>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row>
    <row r="180" spans="1:26" ht="13">
      <c r="A180" s="49"/>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row>
    <row r="181" spans="1:26" ht="13">
      <c r="A181" s="49"/>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row>
    <row r="182" spans="1:26" ht="13">
      <c r="A182" s="49"/>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row>
    <row r="183" spans="1:26" ht="13">
      <c r="A183" s="49"/>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row>
    <row r="184" spans="1:26" ht="13">
      <c r="A184" s="49"/>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row>
    <row r="185" spans="1:26" ht="13">
      <c r="A185" s="49"/>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row>
    <row r="186" spans="1:26" ht="13">
      <c r="A186" s="49"/>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row>
    <row r="187" spans="1:26" ht="13">
      <c r="A187" s="49"/>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row>
    <row r="188" spans="1:26" ht="13">
      <c r="A188" s="49"/>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row>
    <row r="189" spans="1:26" ht="13">
      <c r="A189" s="49"/>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row>
    <row r="190" spans="1:26" ht="13">
      <c r="A190" s="49"/>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row>
    <row r="191" spans="1:26" ht="13">
      <c r="A191" s="49"/>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row>
    <row r="192" spans="1:26" ht="13">
      <c r="A192" s="49"/>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row>
    <row r="193" spans="1:26" ht="13">
      <c r="A193" s="49"/>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row>
    <row r="194" spans="1:26" ht="13">
      <c r="A194" s="49"/>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row>
    <row r="195" spans="1:26" ht="13">
      <c r="A195" s="49"/>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row>
    <row r="196" spans="1:26" ht="13">
      <c r="A196" s="49"/>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row>
    <row r="197" spans="1:26" ht="13">
      <c r="A197" s="49"/>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row>
    <row r="198" spans="1:26" ht="13">
      <c r="A198" s="49"/>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row>
    <row r="199" spans="1:26" ht="13">
      <c r="A199" s="49"/>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row>
    <row r="200" spans="1:26" ht="13">
      <c r="A200" s="49"/>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row>
    <row r="201" spans="1:26" ht="13">
      <c r="A201" s="49"/>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row>
    <row r="202" spans="1:26" ht="13">
      <c r="A202" s="49"/>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row>
    <row r="203" spans="1:26" ht="13">
      <c r="A203" s="49"/>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row>
    <row r="204" spans="1:26" ht="13">
      <c r="A204" s="49"/>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row>
    <row r="205" spans="1:26" ht="13">
      <c r="A205" s="49"/>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row>
    <row r="206" spans="1:26" ht="13">
      <c r="A206" s="49"/>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row>
    <row r="207" spans="1:26" ht="13">
      <c r="A207" s="49"/>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row>
    <row r="208" spans="1:26" ht="13">
      <c r="A208" s="49"/>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row>
    <row r="209" spans="1:26" ht="13">
      <c r="A209" s="49"/>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row>
    <row r="210" spans="1:26" ht="13">
      <c r="A210" s="49"/>
      <c r="B210" s="49"/>
      <c r="C210" s="49"/>
      <c r="D210" s="49"/>
      <c r="E210" s="49"/>
      <c r="F210" s="49"/>
      <c r="G210" s="49"/>
      <c r="H210" s="49"/>
      <c r="I210" s="49"/>
      <c r="J210" s="49"/>
      <c r="K210" s="49"/>
      <c r="L210" s="49"/>
      <c r="M210" s="49"/>
      <c r="N210" s="49"/>
      <c r="O210" s="49"/>
      <c r="P210" s="49"/>
      <c r="Q210" s="49"/>
      <c r="R210" s="49"/>
      <c r="S210" s="49"/>
      <c r="T210" s="49"/>
      <c r="U210" s="49"/>
      <c r="V210" s="49"/>
      <c r="W210" s="49"/>
      <c r="X210" s="49"/>
      <c r="Y210" s="49"/>
      <c r="Z210" s="49"/>
    </row>
    <row r="211" spans="1:26" ht="13">
      <c r="A211" s="49"/>
      <c r="B211" s="49"/>
      <c r="C211" s="49"/>
      <c r="D211" s="49"/>
      <c r="E211" s="49"/>
      <c r="F211" s="49"/>
      <c r="G211" s="49"/>
      <c r="H211" s="49"/>
      <c r="I211" s="49"/>
      <c r="J211" s="49"/>
      <c r="K211" s="49"/>
      <c r="L211" s="49"/>
      <c r="M211" s="49"/>
      <c r="N211" s="49"/>
      <c r="O211" s="49"/>
      <c r="P211" s="49"/>
      <c r="Q211" s="49"/>
      <c r="R211" s="49"/>
      <c r="S211" s="49"/>
      <c r="T211" s="49"/>
      <c r="U211" s="49"/>
      <c r="V211" s="49"/>
      <c r="W211" s="49"/>
      <c r="X211" s="49"/>
      <c r="Y211" s="49"/>
      <c r="Z211" s="49"/>
    </row>
    <row r="212" spans="1:26" ht="13">
      <c r="A212" s="49"/>
      <c r="B212" s="49"/>
      <c r="C212" s="49"/>
      <c r="D212" s="49"/>
      <c r="E212" s="49"/>
      <c r="F212" s="49"/>
      <c r="G212" s="49"/>
      <c r="H212" s="49"/>
      <c r="I212" s="49"/>
      <c r="J212" s="49"/>
      <c r="K212" s="49"/>
      <c r="L212" s="49"/>
      <c r="M212" s="49"/>
      <c r="N212" s="49"/>
      <c r="O212" s="49"/>
      <c r="P212" s="49"/>
      <c r="Q212" s="49"/>
      <c r="R212" s="49"/>
      <c r="S212" s="49"/>
      <c r="T212" s="49"/>
      <c r="U212" s="49"/>
      <c r="V212" s="49"/>
      <c r="W212" s="49"/>
      <c r="X212" s="49"/>
      <c r="Y212" s="49"/>
      <c r="Z212" s="49"/>
    </row>
    <row r="213" spans="1:26" ht="13">
      <c r="A213" s="49"/>
      <c r="B213" s="49"/>
      <c r="C213" s="49"/>
      <c r="D213" s="49"/>
      <c r="E213" s="49"/>
      <c r="F213" s="49"/>
      <c r="G213" s="49"/>
      <c r="H213" s="49"/>
      <c r="I213" s="49"/>
      <c r="J213" s="49"/>
      <c r="K213" s="49"/>
      <c r="L213" s="49"/>
      <c r="M213" s="49"/>
      <c r="N213" s="49"/>
      <c r="O213" s="49"/>
      <c r="P213" s="49"/>
      <c r="Q213" s="49"/>
      <c r="R213" s="49"/>
      <c r="S213" s="49"/>
      <c r="T213" s="49"/>
      <c r="U213" s="49"/>
      <c r="V213" s="49"/>
      <c r="W213" s="49"/>
      <c r="X213" s="49"/>
      <c r="Y213" s="49"/>
      <c r="Z213" s="49"/>
    </row>
    <row r="214" spans="1:26" ht="13">
      <c r="A214" s="49"/>
      <c r="B214" s="49"/>
      <c r="C214" s="49"/>
      <c r="D214" s="49"/>
      <c r="E214" s="49"/>
      <c r="F214" s="49"/>
      <c r="G214" s="49"/>
      <c r="H214" s="49"/>
      <c r="I214" s="49"/>
      <c r="J214" s="49"/>
      <c r="K214" s="49"/>
      <c r="L214" s="49"/>
      <c r="M214" s="49"/>
      <c r="N214" s="49"/>
      <c r="O214" s="49"/>
      <c r="P214" s="49"/>
      <c r="Q214" s="49"/>
      <c r="R214" s="49"/>
      <c r="S214" s="49"/>
      <c r="T214" s="49"/>
      <c r="U214" s="49"/>
      <c r="V214" s="49"/>
      <c r="W214" s="49"/>
      <c r="X214" s="49"/>
      <c r="Y214" s="49"/>
      <c r="Z214" s="49"/>
    </row>
    <row r="215" spans="1:26" ht="13">
      <c r="A215" s="49"/>
      <c r="B215" s="49"/>
      <c r="C215" s="49"/>
      <c r="D215" s="49"/>
      <c r="E215" s="49"/>
      <c r="F215" s="49"/>
      <c r="G215" s="49"/>
      <c r="H215" s="49"/>
      <c r="I215" s="49"/>
      <c r="J215" s="49"/>
      <c r="K215" s="49"/>
      <c r="L215" s="49"/>
      <c r="M215" s="49"/>
      <c r="N215" s="49"/>
      <c r="O215" s="49"/>
      <c r="P215" s="49"/>
      <c r="Q215" s="49"/>
      <c r="R215" s="49"/>
      <c r="S215" s="49"/>
      <c r="T215" s="49"/>
      <c r="U215" s="49"/>
      <c r="V215" s="49"/>
      <c r="W215" s="49"/>
      <c r="X215" s="49"/>
      <c r="Y215" s="49"/>
      <c r="Z215" s="49"/>
    </row>
    <row r="216" spans="1:26" ht="13">
      <c r="A216" s="49"/>
      <c r="B216" s="49"/>
      <c r="C216" s="49"/>
      <c r="D216" s="49"/>
      <c r="E216" s="49"/>
      <c r="F216" s="49"/>
      <c r="G216" s="49"/>
      <c r="H216" s="49"/>
      <c r="I216" s="49"/>
      <c r="J216" s="49"/>
      <c r="K216" s="49"/>
      <c r="L216" s="49"/>
      <c r="M216" s="49"/>
      <c r="N216" s="49"/>
      <c r="O216" s="49"/>
      <c r="P216" s="49"/>
      <c r="Q216" s="49"/>
      <c r="R216" s="49"/>
      <c r="S216" s="49"/>
      <c r="T216" s="49"/>
      <c r="U216" s="49"/>
      <c r="V216" s="49"/>
      <c r="W216" s="49"/>
      <c r="X216" s="49"/>
      <c r="Y216" s="49"/>
      <c r="Z216" s="49"/>
    </row>
    <row r="217" spans="1:26" ht="13">
      <c r="A217" s="49"/>
      <c r="B217" s="49"/>
      <c r="C217" s="49"/>
      <c r="D217" s="49"/>
      <c r="E217" s="49"/>
      <c r="F217" s="49"/>
      <c r="G217" s="49"/>
      <c r="H217" s="49"/>
      <c r="I217" s="49"/>
      <c r="J217" s="49"/>
      <c r="K217" s="49"/>
      <c r="L217" s="49"/>
      <c r="M217" s="49"/>
      <c r="N217" s="49"/>
      <c r="O217" s="49"/>
      <c r="P217" s="49"/>
      <c r="Q217" s="49"/>
      <c r="R217" s="49"/>
      <c r="S217" s="49"/>
      <c r="T217" s="49"/>
      <c r="U217" s="49"/>
      <c r="V217" s="49"/>
      <c r="W217" s="49"/>
      <c r="X217" s="49"/>
      <c r="Y217" s="49"/>
      <c r="Z217" s="49"/>
    </row>
    <row r="218" spans="1:26" ht="13">
      <c r="A218" s="49"/>
      <c r="B218" s="49"/>
      <c r="C218" s="49"/>
      <c r="D218" s="49"/>
      <c r="E218" s="49"/>
      <c r="F218" s="49"/>
      <c r="G218" s="49"/>
      <c r="H218" s="49"/>
      <c r="I218" s="49"/>
      <c r="J218" s="49"/>
      <c r="K218" s="49"/>
      <c r="L218" s="49"/>
      <c r="M218" s="49"/>
      <c r="N218" s="49"/>
      <c r="O218" s="49"/>
      <c r="P218" s="49"/>
      <c r="Q218" s="49"/>
      <c r="R218" s="49"/>
      <c r="S218" s="49"/>
      <c r="T218" s="49"/>
      <c r="U218" s="49"/>
      <c r="V218" s="49"/>
      <c r="W218" s="49"/>
      <c r="X218" s="49"/>
      <c r="Y218" s="49"/>
      <c r="Z218" s="49"/>
    </row>
    <row r="219" spans="1:26" ht="13">
      <c r="A219" s="49"/>
      <c r="B219" s="49"/>
      <c r="C219" s="49"/>
      <c r="D219" s="49"/>
      <c r="E219" s="49"/>
      <c r="F219" s="49"/>
      <c r="G219" s="49"/>
      <c r="H219" s="49"/>
      <c r="I219" s="49"/>
      <c r="J219" s="49"/>
      <c r="K219" s="49"/>
      <c r="L219" s="49"/>
      <c r="M219" s="49"/>
      <c r="N219" s="49"/>
      <c r="O219" s="49"/>
      <c r="P219" s="49"/>
      <c r="Q219" s="49"/>
      <c r="R219" s="49"/>
      <c r="S219" s="49"/>
      <c r="T219" s="49"/>
      <c r="U219" s="49"/>
      <c r="V219" s="49"/>
      <c r="W219" s="49"/>
      <c r="X219" s="49"/>
      <c r="Y219" s="49"/>
      <c r="Z219" s="49"/>
    </row>
    <row r="220" spans="1:26" ht="13">
      <c r="A220" s="49"/>
      <c r="B220" s="49"/>
      <c r="C220" s="49"/>
      <c r="D220" s="49"/>
      <c r="E220" s="49"/>
      <c r="F220" s="49"/>
      <c r="G220" s="49"/>
      <c r="H220" s="49"/>
      <c r="I220" s="49"/>
      <c r="J220" s="49"/>
      <c r="K220" s="49"/>
      <c r="L220" s="49"/>
      <c r="M220" s="49"/>
      <c r="N220" s="49"/>
      <c r="O220" s="49"/>
      <c r="P220" s="49"/>
      <c r="Q220" s="49"/>
      <c r="R220" s="49"/>
      <c r="S220" s="49"/>
      <c r="T220" s="49"/>
      <c r="U220" s="49"/>
      <c r="V220" s="49"/>
      <c r="W220" s="49"/>
      <c r="X220" s="49"/>
      <c r="Y220" s="49"/>
      <c r="Z220" s="49"/>
    </row>
    <row r="221" spans="1:26" ht="13">
      <c r="A221" s="49"/>
      <c r="B221" s="49"/>
      <c r="C221" s="49"/>
      <c r="D221" s="49"/>
      <c r="E221" s="49"/>
      <c r="F221" s="49"/>
      <c r="G221" s="49"/>
      <c r="H221" s="49"/>
      <c r="I221" s="49"/>
      <c r="J221" s="49"/>
      <c r="K221" s="49"/>
      <c r="L221" s="49"/>
      <c r="M221" s="49"/>
      <c r="N221" s="49"/>
      <c r="O221" s="49"/>
      <c r="P221" s="49"/>
      <c r="Q221" s="49"/>
      <c r="R221" s="49"/>
      <c r="S221" s="49"/>
      <c r="T221" s="49"/>
      <c r="U221" s="49"/>
      <c r="V221" s="49"/>
      <c r="W221" s="49"/>
      <c r="X221" s="49"/>
      <c r="Y221" s="49"/>
      <c r="Z221" s="49"/>
    </row>
    <row r="222" spans="1:26" ht="13">
      <c r="A222" s="49"/>
      <c r="B222" s="49"/>
      <c r="C222" s="49"/>
      <c r="D222" s="49"/>
      <c r="E222" s="49"/>
      <c r="F222" s="49"/>
      <c r="G222" s="49"/>
      <c r="H222" s="49"/>
      <c r="I222" s="49"/>
      <c r="J222" s="49"/>
      <c r="K222" s="49"/>
      <c r="L222" s="49"/>
      <c r="M222" s="49"/>
      <c r="N222" s="49"/>
      <c r="O222" s="49"/>
      <c r="P222" s="49"/>
      <c r="Q222" s="49"/>
      <c r="R222" s="49"/>
      <c r="S222" s="49"/>
      <c r="T222" s="49"/>
      <c r="U222" s="49"/>
      <c r="V222" s="49"/>
      <c r="W222" s="49"/>
      <c r="X222" s="49"/>
      <c r="Y222" s="49"/>
      <c r="Z222" s="49"/>
    </row>
    <row r="223" spans="1:26" ht="13">
      <c r="A223" s="49"/>
      <c r="B223" s="49"/>
      <c r="C223" s="49"/>
      <c r="D223" s="49"/>
      <c r="E223" s="49"/>
      <c r="F223" s="49"/>
      <c r="G223" s="49"/>
      <c r="H223" s="49"/>
      <c r="I223" s="49"/>
      <c r="J223" s="49"/>
      <c r="K223" s="49"/>
      <c r="L223" s="49"/>
      <c r="M223" s="49"/>
      <c r="N223" s="49"/>
      <c r="O223" s="49"/>
      <c r="P223" s="49"/>
      <c r="Q223" s="49"/>
      <c r="R223" s="49"/>
      <c r="S223" s="49"/>
      <c r="T223" s="49"/>
      <c r="U223" s="49"/>
      <c r="V223" s="49"/>
      <c r="W223" s="49"/>
      <c r="X223" s="49"/>
      <c r="Y223" s="49"/>
      <c r="Z223" s="49"/>
    </row>
    <row r="224" spans="1:26" ht="13">
      <c r="A224" s="49"/>
      <c r="B224" s="49"/>
      <c r="C224" s="49"/>
      <c r="D224" s="49"/>
      <c r="E224" s="49"/>
      <c r="F224" s="49"/>
      <c r="G224" s="49"/>
      <c r="H224" s="49"/>
      <c r="I224" s="49"/>
      <c r="J224" s="49"/>
      <c r="K224" s="49"/>
      <c r="L224" s="49"/>
      <c r="M224" s="49"/>
      <c r="N224" s="49"/>
      <c r="O224" s="49"/>
      <c r="P224" s="49"/>
      <c r="Q224" s="49"/>
      <c r="R224" s="49"/>
      <c r="S224" s="49"/>
      <c r="T224" s="49"/>
      <c r="U224" s="49"/>
      <c r="V224" s="49"/>
      <c r="W224" s="49"/>
      <c r="X224" s="49"/>
      <c r="Y224" s="49"/>
      <c r="Z224" s="49"/>
    </row>
    <row r="225" spans="1:26" ht="13">
      <c r="A225" s="49"/>
      <c r="B225" s="49"/>
      <c r="C225" s="49"/>
      <c r="D225" s="49"/>
      <c r="E225" s="49"/>
      <c r="F225" s="49"/>
      <c r="G225" s="49"/>
      <c r="H225" s="49"/>
      <c r="I225" s="49"/>
      <c r="J225" s="49"/>
      <c r="K225" s="49"/>
      <c r="L225" s="49"/>
      <c r="M225" s="49"/>
      <c r="N225" s="49"/>
      <c r="O225" s="49"/>
      <c r="P225" s="49"/>
      <c r="Q225" s="49"/>
      <c r="R225" s="49"/>
      <c r="S225" s="49"/>
      <c r="T225" s="49"/>
      <c r="U225" s="49"/>
      <c r="V225" s="49"/>
      <c r="W225" s="49"/>
      <c r="X225" s="49"/>
      <c r="Y225" s="49"/>
      <c r="Z225" s="49"/>
    </row>
    <row r="226" spans="1:26" ht="13">
      <c r="A226" s="49"/>
      <c r="B226" s="49"/>
      <c r="C226" s="49"/>
      <c r="D226" s="49"/>
      <c r="E226" s="49"/>
      <c r="F226" s="49"/>
      <c r="G226" s="49"/>
      <c r="H226" s="49"/>
      <c r="I226" s="49"/>
      <c r="J226" s="49"/>
      <c r="K226" s="49"/>
      <c r="L226" s="49"/>
      <c r="M226" s="49"/>
      <c r="N226" s="49"/>
      <c r="O226" s="49"/>
      <c r="P226" s="49"/>
      <c r="Q226" s="49"/>
      <c r="R226" s="49"/>
      <c r="S226" s="49"/>
      <c r="T226" s="49"/>
      <c r="U226" s="49"/>
      <c r="V226" s="49"/>
      <c r="W226" s="49"/>
      <c r="X226" s="49"/>
      <c r="Y226" s="49"/>
      <c r="Z226" s="49"/>
    </row>
    <row r="227" spans="1:26" ht="13">
      <c r="A227" s="49"/>
      <c r="B227" s="49"/>
      <c r="C227" s="49"/>
      <c r="D227" s="49"/>
      <c r="E227" s="49"/>
      <c r="F227" s="49"/>
      <c r="G227" s="49"/>
      <c r="H227" s="49"/>
      <c r="I227" s="49"/>
      <c r="J227" s="49"/>
      <c r="K227" s="49"/>
      <c r="L227" s="49"/>
      <c r="M227" s="49"/>
      <c r="N227" s="49"/>
      <c r="O227" s="49"/>
      <c r="P227" s="49"/>
      <c r="Q227" s="49"/>
      <c r="R227" s="49"/>
      <c r="S227" s="49"/>
      <c r="T227" s="49"/>
      <c r="U227" s="49"/>
      <c r="V227" s="49"/>
      <c r="W227" s="49"/>
      <c r="X227" s="49"/>
      <c r="Y227" s="49"/>
      <c r="Z227" s="49"/>
    </row>
    <row r="228" spans="1:26" ht="13">
      <c r="A228" s="49"/>
      <c r="B228" s="49"/>
      <c r="C228" s="49"/>
      <c r="D228" s="49"/>
      <c r="E228" s="49"/>
      <c r="F228" s="49"/>
      <c r="G228" s="49"/>
      <c r="H228" s="49"/>
      <c r="I228" s="49"/>
      <c r="J228" s="49"/>
      <c r="K228" s="49"/>
      <c r="L228" s="49"/>
      <c r="M228" s="49"/>
      <c r="N228" s="49"/>
      <c r="O228" s="49"/>
      <c r="P228" s="49"/>
      <c r="Q228" s="49"/>
      <c r="R228" s="49"/>
      <c r="S228" s="49"/>
      <c r="T228" s="49"/>
      <c r="U228" s="49"/>
      <c r="V228" s="49"/>
      <c r="W228" s="49"/>
      <c r="X228" s="49"/>
      <c r="Y228" s="49"/>
      <c r="Z228" s="49"/>
    </row>
    <row r="229" spans="1:26" ht="13">
      <c r="A229" s="49"/>
      <c r="B229" s="49"/>
      <c r="C229" s="49"/>
      <c r="D229" s="49"/>
      <c r="E229" s="49"/>
      <c r="F229" s="49"/>
      <c r="G229" s="49"/>
      <c r="H229" s="49"/>
      <c r="I229" s="49"/>
      <c r="J229" s="49"/>
      <c r="K229" s="49"/>
      <c r="L229" s="49"/>
      <c r="M229" s="49"/>
      <c r="N229" s="49"/>
      <c r="O229" s="49"/>
      <c r="P229" s="49"/>
      <c r="Q229" s="49"/>
      <c r="R229" s="49"/>
      <c r="S229" s="49"/>
      <c r="T229" s="49"/>
      <c r="U229" s="49"/>
      <c r="V229" s="49"/>
      <c r="W229" s="49"/>
      <c r="X229" s="49"/>
      <c r="Y229" s="49"/>
      <c r="Z229" s="49"/>
    </row>
    <row r="230" spans="1:26" ht="13">
      <c r="A230" s="49"/>
      <c r="B230" s="49"/>
      <c r="C230" s="49"/>
      <c r="D230" s="49"/>
      <c r="E230" s="49"/>
      <c r="F230" s="49"/>
      <c r="G230" s="49"/>
      <c r="H230" s="49"/>
      <c r="I230" s="49"/>
      <c r="J230" s="49"/>
      <c r="K230" s="49"/>
      <c r="L230" s="49"/>
      <c r="M230" s="49"/>
      <c r="N230" s="49"/>
      <c r="O230" s="49"/>
      <c r="P230" s="49"/>
      <c r="Q230" s="49"/>
      <c r="R230" s="49"/>
      <c r="S230" s="49"/>
      <c r="T230" s="49"/>
      <c r="U230" s="49"/>
      <c r="V230" s="49"/>
      <c r="W230" s="49"/>
      <c r="X230" s="49"/>
      <c r="Y230" s="49"/>
      <c r="Z230" s="49"/>
    </row>
    <row r="231" spans="1:26" ht="13">
      <c r="A231" s="49"/>
      <c r="B231" s="49"/>
      <c r="C231" s="49"/>
      <c r="D231" s="49"/>
      <c r="E231" s="49"/>
      <c r="F231" s="49"/>
      <c r="G231" s="49"/>
      <c r="H231" s="49"/>
      <c r="I231" s="49"/>
      <c r="J231" s="49"/>
      <c r="K231" s="49"/>
      <c r="L231" s="49"/>
      <c r="M231" s="49"/>
      <c r="N231" s="49"/>
      <c r="O231" s="49"/>
      <c r="P231" s="49"/>
      <c r="Q231" s="49"/>
      <c r="R231" s="49"/>
      <c r="S231" s="49"/>
      <c r="T231" s="49"/>
      <c r="U231" s="49"/>
      <c r="V231" s="49"/>
      <c r="W231" s="49"/>
      <c r="X231" s="49"/>
      <c r="Y231" s="49"/>
      <c r="Z231" s="49"/>
    </row>
    <row r="232" spans="1:26" ht="13">
      <c r="A232" s="49"/>
      <c r="B232" s="49"/>
      <c r="C232" s="49"/>
      <c r="D232" s="49"/>
      <c r="E232" s="49"/>
      <c r="F232" s="49"/>
      <c r="G232" s="49"/>
      <c r="H232" s="49"/>
      <c r="I232" s="49"/>
      <c r="J232" s="49"/>
      <c r="K232" s="49"/>
      <c r="L232" s="49"/>
      <c r="M232" s="49"/>
      <c r="N232" s="49"/>
      <c r="O232" s="49"/>
      <c r="P232" s="49"/>
      <c r="Q232" s="49"/>
      <c r="R232" s="49"/>
      <c r="S232" s="49"/>
      <c r="T232" s="49"/>
      <c r="U232" s="49"/>
      <c r="V232" s="49"/>
      <c r="W232" s="49"/>
      <c r="X232" s="49"/>
      <c r="Y232" s="49"/>
      <c r="Z232" s="49"/>
    </row>
    <row r="233" spans="1:26" ht="13">
      <c r="A233" s="49"/>
      <c r="B233" s="49"/>
      <c r="C233" s="49"/>
      <c r="D233" s="49"/>
      <c r="E233" s="49"/>
      <c r="F233" s="49"/>
      <c r="G233" s="49"/>
      <c r="H233" s="49"/>
      <c r="I233" s="49"/>
      <c r="J233" s="49"/>
      <c r="K233" s="49"/>
      <c r="L233" s="49"/>
      <c r="M233" s="49"/>
      <c r="N233" s="49"/>
      <c r="O233" s="49"/>
      <c r="P233" s="49"/>
      <c r="Q233" s="49"/>
      <c r="R233" s="49"/>
      <c r="S233" s="49"/>
      <c r="T233" s="49"/>
      <c r="U233" s="49"/>
      <c r="V233" s="49"/>
      <c r="W233" s="49"/>
      <c r="X233" s="49"/>
      <c r="Y233" s="49"/>
      <c r="Z233" s="49"/>
    </row>
    <row r="234" spans="1:26" ht="13">
      <c r="A234" s="49"/>
      <c r="B234" s="49"/>
      <c r="C234" s="49"/>
      <c r="D234" s="49"/>
      <c r="E234" s="49"/>
      <c r="F234" s="49"/>
      <c r="G234" s="49"/>
      <c r="H234" s="49"/>
      <c r="I234" s="49"/>
      <c r="J234" s="49"/>
      <c r="K234" s="49"/>
      <c r="L234" s="49"/>
      <c r="M234" s="49"/>
      <c r="N234" s="49"/>
      <c r="O234" s="49"/>
      <c r="P234" s="49"/>
      <c r="Q234" s="49"/>
      <c r="R234" s="49"/>
      <c r="S234" s="49"/>
      <c r="T234" s="49"/>
      <c r="U234" s="49"/>
      <c r="V234" s="49"/>
      <c r="W234" s="49"/>
      <c r="X234" s="49"/>
      <c r="Y234" s="49"/>
      <c r="Z234" s="49"/>
    </row>
    <row r="235" spans="1:26" ht="13">
      <c r="A235" s="49"/>
      <c r="B235" s="49"/>
      <c r="C235" s="49"/>
      <c r="D235" s="49"/>
      <c r="E235" s="49"/>
      <c r="F235" s="49"/>
      <c r="G235" s="49"/>
      <c r="H235" s="49"/>
      <c r="I235" s="49"/>
      <c r="J235" s="49"/>
      <c r="K235" s="49"/>
      <c r="L235" s="49"/>
      <c r="M235" s="49"/>
      <c r="N235" s="49"/>
      <c r="O235" s="49"/>
      <c r="P235" s="49"/>
      <c r="Q235" s="49"/>
      <c r="R235" s="49"/>
      <c r="S235" s="49"/>
      <c r="T235" s="49"/>
      <c r="U235" s="49"/>
      <c r="V235" s="49"/>
      <c r="W235" s="49"/>
      <c r="X235" s="49"/>
      <c r="Y235" s="49"/>
      <c r="Z235" s="49"/>
    </row>
    <row r="236" spans="1:26" ht="13">
      <c r="A236" s="49"/>
      <c r="B236" s="49"/>
      <c r="C236" s="49"/>
      <c r="D236" s="49"/>
      <c r="E236" s="49"/>
      <c r="F236" s="49"/>
      <c r="G236" s="49"/>
      <c r="H236" s="49"/>
      <c r="I236" s="49"/>
      <c r="J236" s="49"/>
      <c r="K236" s="49"/>
      <c r="L236" s="49"/>
      <c r="M236" s="49"/>
      <c r="N236" s="49"/>
      <c r="O236" s="49"/>
      <c r="P236" s="49"/>
      <c r="Q236" s="49"/>
      <c r="R236" s="49"/>
      <c r="S236" s="49"/>
      <c r="T236" s="49"/>
      <c r="U236" s="49"/>
      <c r="V236" s="49"/>
      <c r="W236" s="49"/>
      <c r="X236" s="49"/>
      <c r="Y236" s="49"/>
      <c r="Z236" s="49"/>
    </row>
    <row r="237" spans="1:26" ht="13">
      <c r="A237" s="49"/>
      <c r="B237" s="49"/>
      <c r="C237" s="49"/>
      <c r="D237" s="49"/>
      <c r="E237" s="49"/>
      <c r="F237" s="49"/>
      <c r="G237" s="49"/>
      <c r="H237" s="49"/>
      <c r="I237" s="49"/>
      <c r="J237" s="49"/>
      <c r="K237" s="49"/>
      <c r="L237" s="49"/>
      <c r="M237" s="49"/>
      <c r="N237" s="49"/>
      <c r="O237" s="49"/>
      <c r="P237" s="49"/>
      <c r="Q237" s="49"/>
      <c r="R237" s="49"/>
      <c r="S237" s="49"/>
      <c r="T237" s="49"/>
      <c r="U237" s="49"/>
      <c r="V237" s="49"/>
      <c r="W237" s="49"/>
      <c r="X237" s="49"/>
      <c r="Y237" s="49"/>
      <c r="Z237" s="49"/>
    </row>
    <row r="238" spans="1:26" ht="13">
      <c r="A238" s="49"/>
      <c r="B238" s="49"/>
      <c r="C238" s="49"/>
      <c r="D238" s="49"/>
      <c r="E238" s="49"/>
      <c r="F238" s="49"/>
      <c r="G238" s="49"/>
      <c r="H238" s="49"/>
      <c r="I238" s="49"/>
      <c r="J238" s="49"/>
      <c r="K238" s="49"/>
      <c r="L238" s="49"/>
      <c r="M238" s="49"/>
      <c r="N238" s="49"/>
      <c r="O238" s="49"/>
      <c r="P238" s="49"/>
      <c r="Q238" s="49"/>
      <c r="R238" s="49"/>
      <c r="S238" s="49"/>
      <c r="T238" s="49"/>
      <c r="U238" s="49"/>
      <c r="V238" s="49"/>
      <c r="W238" s="49"/>
      <c r="X238" s="49"/>
      <c r="Y238" s="49"/>
      <c r="Z238" s="49"/>
    </row>
    <row r="239" spans="1:26" ht="13">
      <c r="A239" s="49"/>
      <c r="B239" s="49"/>
      <c r="C239" s="49"/>
      <c r="D239" s="49"/>
      <c r="E239" s="49"/>
      <c r="F239" s="49"/>
      <c r="G239" s="49"/>
      <c r="H239" s="49"/>
      <c r="I239" s="49"/>
      <c r="J239" s="49"/>
      <c r="K239" s="49"/>
      <c r="L239" s="49"/>
      <c r="M239" s="49"/>
      <c r="N239" s="49"/>
      <c r="O239" s="49"/>
      <c r="P239" s="49"/>
      <c r="Q239" s="49"/>
      <c r="R239" s="49"/>
      <c r="S239" s="49"/>
      <c r="T239" s="49"/>
      <c r="U239" s="49"/>
      <c r="V239" s="49"/>
      <c r="W239" s="49"/>
      <c r="X239" s="49"/>
      <c r="Y239" s="49"/>
      <c r="Z239" s="49"/>
    </row>
    <row r="240" spans="1:26" ht="13">
      <c r="A240" s="49"/>
      <c r="B240" s="49"/>
      <c r="C240" s="49"/>
      <c r="D240" s="49"/>
      <c r="E240" s="49"/>
      <c r="F240" s="49"/>
      <c r="G240" s="49"/>
      <c r="H240" s="49"/>
      <c r="I240" s="49"/>
      <c r="J240" s="49"/>
      <c r="K240" s="49"/>
      <c r="L240" s="49"/>
      <c r="M240" s="49"/>
      <c r="N240" s="49"/>
      <c r="O240" s="49"/>
      <c r="P240" s="49"/>
      <c r="Q240" s="49"/>
      <c r="R240" s="49"/>
      <c r="S240" s="49"/>
      <c r="T240" s="49"/>
      <c r="U240" s="49"/>
      <c r="V240" s="49"/>
      <c r="W240" s="49"/>
      <c r="X240" s="49"/>
      <c r="Y240" s="49"/>
      <c r="Z240" s="49"/>
    </row>
    <row r="241" spans="1:26" ht="13">
      <c r="A241" s="49"/>
      <c r="B241" s="49"/>
      <c r="C241" s="49"/>
      <c r="D241" s="49"/>
      <c r="E241" s="49"/>
      <c r="F241" s="49"/>
      <c r="G241" s="49"/>
      <c r="H241" s="49"/>
      <c r="I241" s="49"/>
      <c r="J241" s="49"/>
      <c r="K241" s="49"/>
      <c r="L241" s="49"/>
      <c r="M241" s="49"/>
      <c r="N241" s="49"/>
      <c r="O241" s="49"/>
      <c r="P241" s="49"/>
      <c r="Q241" s="49"/>
      <c r="R241" s="49"/>
      <c r="S241" s="49"/>
      <c r="T241" s="49"/>
      <c r="U241" s="49"/>
      <c r="V241" s="49"/>
      <c r="W241" s="49"/>
      <c r="X241" s="49"/>
      <c r="Y241" s="49"/>
      <c r="Z241" s="49"/>
    </row>
    <row r="242" spans="1:26" ht="13">
      <c r="A242" s="49"/>
      <c r="B242" s="49"/>
      <c r="C242" s="49"/>
      <c r="D242" s="49"/>
      <c r="E242" s="49"/>
      <c r="F242" s="49"/>
      <c r="G242" s="49"/>
      <c r="H242" s="49"/>
      <c r="I242" s="49"/>
      <c r="J242" s="49"/>
      <c r="K242" s="49"/>
      <c r="L242" s="49"/>
      <c r="M242" s="49"/>
      <c r="N242" s="49"/>
      <c r="O242" s="49"/>
      <c r="P242" s="49"/>
      <c r="Q242" s="49"/>
      <c r="R242" s="49"/>
      <c r="S242" s="49"/>
      <c r="T242" s="49"/>
      <c r="U242" s="49"/>
      <c r="V242" s="49"/>
      <c r="W242" s="49"/>
      <c r="X242" s="49"/>
      <c r="Y242" s="49"/>
      <c r="Z242" s="49"/>
    </row>
    <row r="243" spans="1:26" ht="13">
      <c r="A243" s="49"/>
      <c r="B243" s="49"/>
      <c r="C243" s="49"/>
      <c r="D243" s="49"/>
      <c r="E243" s="49"/>
      <c r="F243" s="49"/>
      <c r="G243" s="49"/>
      <c r="H243" s="49"/>
      <c r="I243" s="49"/>
      <c r="J243" s="49"/>
      <c r="K243" s="49"/>
      <c r="L243" s="49"/>
      <c r="M243" s="49"/>
      <c r="N243" s="49"/>
      <c r="O243" s="49"/>
      <c r="P243" s="49"/>
      <c r="Q243" s="49"/>
      <c r="R243" s="49"/>
      <c r="S243" s="49"/>
      <c r="T243" s="49"/>
      <c r="U243" s="49"/>
      <c r="V243" s="49"/>
      <c r="W243" s="49"/>
      <c r="X243" s="49"/>
      <c r="Y243" s="49"/>
      <c r="Z243" s="49"/>
    </row>
    <row r="244" spans="1:26" ht="13">
      <c r="A244" s="49"/>
      <c r="B244" s="49"/>
      <c r="C244" s="49"/>
      <c r="D244" s="49"/>
      <c r="E244" s="49"/>
      <c r="F244" s="49"/>
      <c r="G244" s="49"/>
      <c r="H244" s="49"/>
      <c r="I244" s="49"/>
      <c r="J244" s="49"/>
      <c r="K244" s="49"/>
      <c r="L244" s="49"/>
      <c r="M244" s="49"/>
      <c r="N244" s="49"/>
      <c r="O244" s="49"/>
      <c r="P244" s="49"/>
      <c r="Q244" s="49"/>
      <c r="R244" s="49"/>
      <c r="S244" s="49"/>
      <c r="T244" s="49"/>
      <c r="U244" s="49"/>
      <c r="V244" s="49"/>
      <c r="W244" s="49"/>
      <c r="X244" s="49"/>
      <c r="Y244" s="49"/>
      <c r="Z244" s="49"/>
    </row>
    <row r="245" spans="1:26" ht="13">
      <c r="A245" s="49"/>
      <c r="B245" s="49"/>
      <c r="C245" s="49"/>
      <c r="D245" s="49"/>
      <c r="E245" s="49"/>
      <c r="F245" s="49"/>
      <c r="G245" s="49"/>
      <c r="H245" s="49"/>
      <c r="I245" s="49"/>
      <c r="J245" s="49"/>
      <c r="K245" s="49"/>
      <c r="L245" s="49"/>
      <c r="M245" s="49"/>
      <c r="N245" s="49"/>
      <c r="O245" s="49"/>
      <c r="P245" s="49"/>
      <c r="Q245" s="49"/>
      <c r="R245" s="49"/>
      <c r="S245" s="49"/>
      <c r="T245" s="49"/>
      <c r="U245" s="49"/>
      <c r="V245" s="49"/>
      <c r="W245" s="49"/>
      <c r="X245" s="49"/>
      <c r="Y245" s="49"/>
      <c r="Z245" s="49"/>
    </row>
    <row r="246" spans="1:26" ht="13">
      <c r="A246" s="49"/>
      <c r="B246" s="49"/>
      <c r="C246" s="49"/>
      <c r="D246" s="49"/>
      <c r="E246" s="49"/>
      <c r="F246" s="49"/>
      <c r="G246" s="49"/>
      <c r="H246" s="49"/>
      <c r="I246" s="49"/>
      <c r="J246" s="49"/>
      <c r="K246" s="49"/>
      <c r="L246" s="49"/>
      <c r="M246" s="49"/>
      <c r="N246" s="49"/>
      <c r="O246" s="49"/>
      <c r="P246" s="49"/>
      <c r="Q246" s="49"/>
      <c r="R246" s="49"/>
      <c r="S246" s="49"/>
      <c r="T246" s="49"/>
      <c r="U246" s="49"/>
      <c r="V246" s="49"/>
      <c r="W246" s="49"/>
      <c r="X246" s="49"/>
      <c r="Y246" s="49"/>
      <c r="Z246" s="49"/>
    </row>
    <row r="247" spans="1:26" ht="13">
      <c r="A247" s="49"/>
      <c r="B247" s="49"/>
      <c r="C247" s="49"/>
      <c r="D247" s="49"/>
      <c r="E247" s="49"/>
      <c r="F247" s="49"/>
      <c r="G247" s="49"/>
      <c r="H247" s="49"/>
      <c r="I247" s="49"/>
      <c r="J247" s="49"/>
      <c r="K247" s="49"/>
      <c r="L247" s="49"/>
      <c r="M247" s="49"/>
      <c r="N247" s="49"/>
      <c r="O247" s="49"/>
      <c r="P247" s="49"/>
      <c r="Q247" s="49"/>
      <c r="R247" s="49"/>
      <c r="S247" s="49"/>
      <c r="T247" s="49"/>
      <c r="U247" s="49"/>
      <c r="V247" s="49"/>
      <c r="W247" s="49"/>
      <c r="X247" s="49"/>
      <c r="Y247" s="49"/>
      <c r="Z247" s="49"/>
    </row>
    <row r="248" spans="1:26" ht="13">
      <c r="A248" s="49"/>
      <c r="B248" s="49"/>
      <c r="C248" s="49"/>
      <c r="D248" s="49"/>
      <c r="E248" s="49"/>
      <c r="F248" s="49"/>
      <c r="G248" s="49"/>
      <c r="H248" s="49"/>
      <c r="I248" s="49"/>
      <c r="J248" s="49"/>
      <c r="K248" s="49"/>
      <c r="L248" s="49"/>
      <c r="M248" s="49"/>
      <c r="N248" s="49"/>
      <c r="O248" s="49"/>
      <c r="P248" s="49"/>
      <c r="Q248" s="49"/>
      <c r="R248" s="49"/>
      <c r="S248" s="49"/>
      <c r="T248" s="49"/>
      <c r="U248" s="49"/>
      <c r="V248" s="49"/>
      <c r="W248" s="49"/>
      <c r="X248" s="49"/>
      <c r="Y248" s="49"/>
      <c r="Z248" s="49"/>
    </row>
    <row r="249" spans="1:26" ht="13">
      <c r="A249" s="49"/>
      <c r="B249" s="49"/>
      <c r="C249" s="49"/>
      <c r="D249" s="49"/>
      <c r="E249" s="49"/>
      <c r="F249" s="49"/>
      <c r="G249" s="49"/>
      <c r="H249" s="49"/>
      <c r="I249" s="49"/>
      <c r="J249" s="49"/>
      <c r="K249" s="49"/>
      <c r="L249" s="49"/>
      <c r="M249" s="49"/>
      <c r="N249" s="49"/>
      <c r="O249" s="49"/>
      <c r="P249" s="49"/>
      <c r="Q249" s="49"/>
      <c r="R249" s="49"/>
      <c r="S249" s="49"/>
      <c r="T249" s="49"/>
      <c r="U249" s="49"/>
      <c r="V249" s="49"/>
      <c r="W249" s="49"/>
      <c r="X249" s="49"/>
      <c r="Y249" s="49"/>
      <c r="Z249" s="49"/>
    </row>
    <row r="250" spans="1:26" ht="13">
      <c r="A250" s="49"/>
      <c r="B250" s="49"/>
      <c r="C250" s="49"/>
      <c r="D250" s="49"/>
      <c r="E250" s="49"/>
      <c r="F250" s="49"/>
      <c r="G250" s="49"/>
      <c r="H250" s="49"/>
      <c r="I250" s="49"/>
      <c r="J250" s="49"/>
      <c r="K250" s="49"/>
      <c r="L250" s="49"/>
      <c r="M250" s="49"/>
      <c r="N250" s="49"/>
      <c r="O250" s="49"/>
      <c r="P250" s="49"/>
      <c r="Q250" s="49"/>
      <c r="R250" s="49"/>
      <c r="S250" s="49"/>
      <c r="T250" s="49"/>
      <c r="U250" s="49"/>
      <c r="V250" s="49"/>
      <c r="W250" s="49"/>
      <c r="X250" s="49"/>
      <c r="Y250" s="49"/>
      <c r="Z250" s="49"/>
    </row>
    <row r="251" spans="1:26" ht="13">
      <c r="A251" s="49"/>
      <c r="B251" s="49"/>
      <c r="C251" s="49"/>
      <c r="D251" s="49"/>
      <c r="E251" s="49"/>
      <c r="F251" s="49"/>
      <c r="G251" s="49"/>
      <c r="H251" s="49"/>
      <c r="I251" s="49"/>
      <c r="J251" s="49"/>
      <c r="K251" s="49"/>
      <c r="L251" s="49"/>
      <c r="M251" s="49"/>
      <c r="N251" s="49"/>
      <c r="O251" s="49"/>
      <c r="P251" s="49"/>
      <c r="Q251" s="49"/>
      <c r="R251" s="49"/>
      <c r="S251" s="49"/>
      <c r="T251" s="49"/>
      <c r="U251" s="49"/>
      <c r="V251" s="49"/>
      <c r="W251" s="49"/>
      <c r="X251" s="49"/>
      <c r="Y251" s="49"/>
      <c r="Z251" s="49"/>
    </row>
    <row r="252" spans="1:26" ht="13">
      <c r="A252" s="49"/>
      <c r="B252" s="49"/>
      <c r="C252" s="49"/>
      <c r="D252" s="49"/>
      <c r="E252" s="49"/>
      <c r="F252" s="49"/>
      <c r="G252" s="49"/>
      <c r="H252" s="49"/>
      <c r="I252" s="49"/>
      <c r="J252" s="49"/>
      <c r="K252" s="49"/>
      <c r="L252" s="49"/>
      <c r="M252" s="49"/>
      <c r="N252" s="49"/>
      <c r="O252" s="49"/>
      <c r="P252" s="49"/>
      <c r="Q252" s="49"/>
      <c r="R252" s="49"/>
      <c r="S252" s="49"/>
      <c r="T252" s="49"/>
      <c r="U252" s="49"/>
      <c r="V252" s="49"/>
      <c r="W252" s="49"/>
      <c r="X252" s="49"/>
      <c r="Y252" s="49"/>
      <c r="Z252" s="49"/>
    </row>
    <row r="253" spans="1:26" ht="13">
      <c r="A253" s="49"/>
      <c r="B253" s="49"/>
      <c r="C253" s="49"/>
      <c r="D253" s="49"/>
      <c r="E253" s="49"/>
      <c r="F253" s="49"/>
      <c r="G253" s="49"/>
      <c r="H253" s="49"/>
      <c r="I253" s="49"/>
      <c r="J253" s="49"/>
      <c r="K253" s="49"/>
      <c r="L253" s="49"/>
      <c r="M253" s="49"/>
      <c r="N253" s="49"/>
      <c r="O253" s="49"/>
      <c r="P253" s="49"/>
      <c r="Q253" s="49"/>
      <c r="R253" s="49"/>
      <c r="S253" s="49"/>
      <c r="T253" s="49"/>
      <c r="U253" s="49"/>
      <c r="V253" s="49"/>
      <c r="W253" s="49"/>
      <c r="X253" s="49"/>
      <c r="Y253" s="49"/>
      <c r="Z253" s="49"/>
    </row>
    <row r="254" spans="1:26" ht="13">
      <c r="A254" s="49"/>
      <c r="B254" s="49"/>
      <c r="C254" s="49"/>
      <c r="D254" s="49"/>
      <c r="E254" s="49"/>
      <c r="F254" s="49"/>
      <c r="G254" s="49"/>
      <c r="H254" s="49"/>
      <c r="I254" s="49"/>
      <c r="J254" s="49"/>
      <c r="K254" s="49"/>
      <c r="L254" s="49"/>
      <c r="M254" s="49"/>
      <c r="N254" s="49"/>
      <c r="O254" s="49"/>
      <c r="P254" s="49"/>
      <c r="Q254" s="49"/>
      <c r="R254" s="49"/>
      <c r="S254" s="49"/>
      <c r="T254" s="49"/>
      <c r="U254" s="49"/>
      <c r="V254" s="49"/>
      <c r="W254" s="49"/>
      <c r="X254" s="49"/>
      <c r="Y254" s="49"/>
      <c r="Z254" s="49"/>
    </row>
    <row r="255" spans="1:26" ht="13">
      <c r="A255" s="49"/>
      <c r="B255" s="49"/>
      <c r="C255" s="49"/>
      <c r="D255" s="49"/>
      <c r="E255" s="49"/>
      <c r="F255" s="49"/>
      <c r="G255" s="49"/>
      <c r="H255" s="49"/>
      <c r="I255" s="49"/>
      <c r="J255" s="49"/>
      <c r="K255" s="49"/>
      <c r="L255" s="49"/>
      <c r="M255" s="49"/>
      <c r="N255" s="49"/>
      <c r="O255" s="49"/>
      <c r="P255" s="49"/>
      <c r="Q255" s="49"/>
      <c r="R255" s="49"/>
      <c r="S255" s="49"/>
      <c r="T255" s="49"/>
      <c r="U255" s="49"/>
      <c r="V255" s="49"/>
      <c r="W255" s="49"/>
      <c r="X255" s="49"/>
      <c r="Y255" s="49"/>
      <c r="Z255" s="49"/>
    </row>
    <row r="256" spans="1:26" ht="13">
      <c r="A256" s="49"/>
      <c r="B256" s="49"/>
      <c r="C256" s="49"/>
      <c r="D256" s="49"/>
      <c r="E256" s="49"/>
      <c r="F256" s="49"/>
      <c r="G256" s="49"/>
      <c r="H256" s="49"/>
      <c r="I256" s="49"/>
      <c r="J256" s="49"/>
      <c r="K256" s="49"/>
      <c r="L256" s="49"/>
      <c r="M256" s="49"/>
      <c r="N256" s="49"/>
      <c r="O256" s="49"/>
      <c r="P256" s="49"/>
      <c r="Q256" s="49"/>
      <c r="R256" s="49"/>
      <c r="S256" s="49"/>
      <c r="T256" s="49"/>
      <c r="U256" s="49"/>
      <c r="V256" s="49"/>
      <c r="W256" s="49"/>
      <c r="X256" s="49"/>
      <c r="Y256" s="49"/>
      <c r="Z256" s="49"/>
    </row>
    <row r="257" spans="1:26" ht="13">
      <c r="A257" s="49"/>
      <c r="B257" s="49"/>
      <c r="C257" s="49"/>
      <c r="D257" s="49"/>
      <c r="E257" s="49"/>
      <c r="F257" s="49"/>
      <c r="G257" s="49"/>
      <c r="H257" s="49"/>
      <c r="I257" s="49"/>
      <c r="J257" s="49"/>
      <c r="K257" s="49"/>
      <c r="L257" s="49"/>
      <c r="M257" s="49"/>
      <c r="N257" s="49"/>
      <c r="O257" s="49"/>
      <c r="P257" s="49"/>
      <c r="Q257" s="49"/>
      <c r="R257" s="49"/>
      <c r="S257" s="49"/>
      <c r="T257" s="49"/>
      <c r="U257" s="49"/>
      <c r="V257" s="49"/>
      <c r="W257" s="49"/>
      <c r="X257" s="49"/>
      <c r="Y257" s="49"/>
      <c r="Z257" s="49"/>
    </row>
    <row r="258" spans="1:26" ht="13">
      <c r="A258" s="49"/>
      <c r="B258" s="49"/>
      <c r="C258" s="49"/>
      <c r="D258" s="49"/>
      <c r="E258" s="49"/>
      <c r="F258" s="49"/>
      <c r="G258" s="49"/>
      <c r="H258" s="49"/>
      <c r="I258" s="49"/>
      <c r="J258" s="49"/>
      <c r="K258" s="49"/>
      <c r="L258" s="49"/>
      <c r="M258" s="49"/>
      <c r="N258" s="49"/>
      <c r="O258" s="49"/>
      <c r="P258" s="49"/>
      <c r="Q258" s="49"/>
      <c r="R258" s="49"/>
      <c r="S258" s="49"/>
      <c r="T258" s="49"/>
      <c r="U258" s="49"/>
      <c r="V258" s="49"/>
      <c r="W258" s="49"/>
      <c r="X258" s="49"/>
      <c r="Y258" s="49"/>
      <c r="Z258" s="49"/>
    </row>
    <row r="259" spans="1:26" ht="13">
      <c r="A259" s="49"/>
      <c r="B259" s="49"/>
      <c r="C259" s="49"/>
      <c r="D259" s="49"/>
      <c r="E259" s="49"/>
      <c r="F259" s="49"/>
      <c r="G259" s="49"/>
      <c r="H259" s="49"/>
      <c r="I259" s="49"/>
      <c r="J259" s="49"/>
      <c r="K259" s="49"/>
      <c r="L259" s="49"/>
      <c r="M259" s="49"/>
      <c r="N259" s="49"/>
      <c r="O259" s="49"/>
      <c r="P259" s="49"/>
      <c r="Q259" s="49"/>
      <c r="R259" s="49"/>
      <c r="S259" s="49"/>
      <c r="T259" s="49"/>
      <c r="U259" s="49"/>
      <c r="V259" s="49"/>
      <c r="W259" s="49"/>
      <c r="X259" s="49"/>
      <c r="Y259" s="49"/>
      <c r="Z259" s="49"/>
    </row>
    <row r="260" spans="1:26" ht="13">
      <c r="A260" s="49"/>
      <c r="B260" s="49"/>
      <c r="C260" s="49"/>
      <c r="D260" s="49"/>
      <c r="E260" s="49"/>
      <c r="F260" s="49"/>
      <c r="G260" s="49"/>
      <c r="H260" s="49"/>
      <c r="I260" s="49"/>
      <c r="J260" s="49"/>
      <c r="K260" s="49"/>
      <c r="L260" s="49"/>
      <c r="M260" s="49"/>
      <c r="N260" s="49"/>
      <c r="O260" s="49"/>
      <c r="P260" s="49"/>
      <c r="Q260" s="49"/>
      <c r="R260" s="49"/>
      <c r="S260" s="49"/>
      <c r="T260" s="49"/>
      <c r="U260" s="49"/>
      <c r="V260" s="49"/>
      <c r="W260" s="49"/>
      <c r="X260" s="49"/>
      <c r="Y260" s="49"/>
      <c r="Z260" s="49"/>
    </row>
    <row r="261" spans="1:26" ht="13">
      <c r="A261" s="49"/>
      <c r="B261" s="49"/>
      <c r="C261" s="49"/>
      <c r="D261" s="49"/>
      <c r="E261" s="49"/>
      <c r="F261" s="49"/>
      <c r="G261" s="49"/>
      <c r="H261" s="49"/>
      <c r="I261" s="49"/>
      <c r="J261" s="49"/>
      <c r="K261" s="49"/>
      <c r="L261" s="49"/>
      <c r="M261" s="49"/>
      <c r="N261" s="49"/>
      <c r="O261" s="49"/>
      <c r="P261" s="49"/>
      <c r="Q261" s="49"/>
      <c r="R261" s="49"/>
      <c r="S261" s="49"/>
      <c r="T261" s="49"/>
      <c r="U261" s="49"/>
      <c r="V261" s="49"/>
      <c r="W261" s="49"/>
      <c r="X261" s="49"/>
      <c r="Y261" s="49"/>
      <c r="Z261" s="49"/>
    </row>
    <row r="262" spans="1:26" ht="13">
      <c r="A262" s="49"/>
      <c r="B262" s="49"/>
      <c r="C262" s="49"/>
      <c r="D262" s="49"/>
      <c r="E262" s="49"/>
      <c r="F262" s="49"/>
      <c r="G262" s="49"/>
      <c r="H262" s="49"/>
      <c r="I262" s="49"/>
      <c r="J262" s="49"/>
      <c r="K262" s="49"/>
      <c r="L262" s="49"/>
      <c r="M262" s="49"/>
      <c r="N262" s="49"/>
      <c r="O262" s="49"/>
      <c r="P262" s="49"/>
      <c r="Q262" s="49"/>
      <c r="R262" s="49"/>
      <c r="S262" s="49"/>
      <c r="T262" s="49"/>
      <c r="U262" s="49"/>
      <c r="V262" s="49"/>
      <c r="W262" s="49"/>
      <c r="X262" s="49"/>
      <c r="Y262" s="49"/>
      <c r="Z262" s="49"/>
    </row>
    <row r="263" spans="1:26" ht="13">
      <c r="A263" s="49"/>
      <c r="B263" s="49"/>
      <c r="C263" s="49"/>
      <c r="D263" s="49"/>
      <c r="E263" s="49"/>
      <c r="F263" s="49"/>
      <c r="G263" s="49"/>
      <c r="H263" s="49"/>
      <c r="I263" s="49"/>
      <c r="J263" s="49"/>
      <c r="K263" s="49"/>
      <c r="L263" s="49"/>
      <c r="M263" s="49"/>
      <c r="N263" s="49"/>
      <c r="O263" s="49"/>
      <c r="P263" s="49"/>
      <c r="Q263" s="49"/>
      <c r="R263" s="49"/>
      <c r="S263" s="49"/>
      <c r="T263" s="49"/>
      <c r="U263" s="49"/>
      <c r="V263" s="49"/>
      <c r="W263" s="49"/>
      <c r="X263" s="49"/>
      <c r="Y263" s="49"/>
      <c r="Z263" s="49"/>
    </row>
    <row r="264" spans="1:26" ht="13">
      <c r="A264" s="49"/>
      <c r="B264" s="49"/>
      <c r="C264" s="49"/>
      <c r="D264" s="49"/>
      <c r="E264" s="49"/>
      <c r="F264" s="49"/>
      <c r="G264" s="49"/>
      <c r="H264" s="49"/>
      <c r="I264" s="49"/>
      <c r="J264" s="49"/>
      <c r="K264" s="49"/>
      <c r="L264" s="49"/>
      <c r="M264" s="49"/>
      <c r="N264" s="49"/>
      <c r="O264" s="49"/>
      <c r="P264" s="49"/>
      <c r="Q264" s="49"/>
      <c r="R264" s="49"/>
      <c r="S264" s="49"/>
      <c r="T264" s="49"/>
      <c r="U264" s="49"/>
      <c r="V264" s="49"/>
      <c r="W264" s="49"/>
      <c r="X264" s="49"/>
      <c r="Y264" s="49"/>
      <c r="Z264" s="49"/>
    </row>
    <row r="265" spans="1:26" ht="13">
      <c r="A265" s="49"/>
      <c r="B265" s="49"/>
      <c r="C265" s="49"/>
      <c r="D265" s="49"/>
      <c r="E265" s="49"/>
      <c r="F265" s="49"/>
      <c r="G265" s="49"/>
      <c r="H265" s="49"/>
      <c r="I265" s="49"/>
      <c r="J265" s="49"/>
      <c r="K265" s="49"/>
      <c r="L265" s="49"/>
      <c r="M265" s="49"/>
      <c r="N265" s="49"/>
      <c r="O265" s="49"/>
      <c r="P265" s="49"/>
      <c r="Q265" s="49"/>
      <c r="R265" s="49"/>
      <c r="S265" s="49"/>
      <c r="T265" s="49"/>
      <c r="U265" s="49"/>
      <c r="V265" s="49"/>
      <c r="W265" s="49"/>
      <c r="X265" s="49"/>
      <c r="Y265" s="49"/>
      <c r="Z265" s="49"/>
    </row>
    <row r="266" spans="1:26" ht="13">
      <c r="A266" s="49"/>
      <c r="B266" s="49"/>
      <c r="C266" s="49"/>
      <c r="D266" s="49"/>
      <c r="E266" s="49"/>
      <c r="F266" s="49"/>
      <c r="G266" s="49"/>
      <c r="H266" s="49"/>
      <c r="I266" s="49"/>
      <c r="J266" s="49"/>
      <c r="K266" s="49"/>
      <c r="L266" s="49"/>
      <c r="M266" s="49"/>
      <c r="N266" s="49"/>
      <c r="O266" s="49"/>
      <c r="P266" s="49"/>
      <c r="Q266" s="49"/>
      <c r="R266" s="49"/>
      <c r="S266" s="49"/>
      <c r="T266" s="49"/>
      <c r="U266" s="49"/>
      <c r="V266" s="49"/>
      <c r="W266" s="49"/>
      <c r="X266" s="49"/>
      <c r="Y266" s="49"/>
      <c r="Z266" s="49"/>
    </row>
    <row r="267" spans="1:26" ht="13">
      <c r="A267" s="49"/>
      <c r="B267" s="49"/>
      <c r="C267" s="49"/>
      <c r="D267" s="49"/>
      <c r="E267" s="49"/>
      <c r="F267" s="49"/>
      <c r="G267" s="49"/>
      <c r="H267" s="49"/>
      <c r="I267" s="49"/>
      <c r="J267" s="49"/>
      <c r="K267" s="49"/>
      <c r="L267" s="49"/>
      <c r="M267" s="49"/>
      <c r="N267" s="49"/>
      <c r="O267" s="49"/>
      <c r="P267" s="49"/>
      <c r="Q267" s="49"/>
      <c r="R267" s="49"/>
      <c r="S267" s="49"/>
      <c r="T267" s="49"/>
      <c r="U267" s="49"/>
      <c r="V267" s="49"/>
      <c r="W267" s="49"/>
      <c r="X267" s="49"/>
      <c r="Y267" s="49"/>
      <c r="Z267" s="49"/>
    </row>
    <row r="268" spans="1:26" ht="13">
      <c r="A268" s="49"/>
      <c r="B268" s="49"/>
      <c r="C268" s="49"/>
      <c r="D268" s="49"/>
      <c r="E268" s="49"/>
      <c r="F268" s="49"/>
      <c r="G268" s="49"/>
      <c r="H268" s="49"/>
      <c r="I268" s="49"/>
      <c r="J268" s="49"/>
      <c r="K268" s="49"/>
      <c r="L268" s="49"/>
      <c r="M268" s="49"/>
      <c r="N268" s="49"/>
      <c r="O268" s="49"/>
      <c r="P268" s="49"/>
      <c r="Q268" s="49"/>
      <c r="R268" s="49"/>
      <c r="S268" s="49"/>
      <c r="T268" s="49"/>
      <c r="U268" s="49"/>
      <c r="V268" s="49"/>
      <c r="W268" s="49"/>
      <c r="X268" s="49"/>
      <c r="Y268" s="49"/>
      <c r="Z268" s="49"/>
    </row>
    <row r="269" spans="1:26" ht="13">
      <c r="A269" s="49"/>
      <c r="B269" s="49"/>
      <c r="C269" s="49"/>
      <c r="D269" s="49"/>
      <c r="E269" s="49"/>
      <c r="F269" s="49"/>
      <c r="G269" s="49"/>
      <c r="H269" s="49"/>
      <c r="I269" s="49"/>
      <c r="J269" s="49"/>
      <c r="K269" s="49"/>
      <c r="L269" s="49"/>
      <c r="M269" s="49"/>
      <c r="N269" s="49"/>
      <c r="O269" s="49"/>
      <c r="P269" s="49"/>
      <c r="Q269" s="49"/>
      <c r="R269" s="49"/>
      <c r="S269" s="49"/>
      <c r="T269" s="49"/>
      <c r="U269" s="49"/>
      <c r="V269" s="49"/>
      <c r="W269" s="49"/>
      <c r="X269" s="49"/>
      <c r="Y269" s="49"/>
      <c r="Z269" s="49"/>
    </row>
    <row r="270" spans="1:26" ht="13">
      <c r="A270" s="49"/>
      <c r="B270" s="49"/>
      <c r="C270" s="49"/>
      <c r="D270" s="49"/>
      <c r="E270" s="49"/>
      <c r="F270" s="49"/>
      <c r="G270" s="49"/>
      <c r="H270" s="49"/>
      <c r="I270" s="49"/>
      <c r="J270" s="49"/>
      <c r="K270" s="49"/>
      <c r="L270" s="49"/>
      <c r="M270" s="49"/>
      <c r="N270" s="49"/>
      <c r="O270" s="49"/>
      <c r="P270" s="49"/>
      <c r="Q270" s="49"/>
      <c r="R270" s="49"/>
      <c r="S270" s="49"/>
      <c r="T270" s="49"/>
      <c r="U270" s="49"/>
      <c r="V270" s="49"/>
      <c r="W270" s="49"/>
      <c r="X270" s="49"/>
      <c r="Y270" s="49"/>
      <c r="Z270" s="49"/>
    </row>
    <row r="271" spans="1:26" ht="13">
      <c r="A271" s="49"/>
      <c r="B271" s="49"/>
      <c r="C271" s="49"/>
      <c r="D271" s="49"/>
      <c r="E271" s="49"/>
      <c r="F271" s="49"/>
      <c r="G271" s="49"/>
      <c r="H271" s="49"/>
      <c r="I271" s="49"/>
      <c r="J271" s="49"/>
      <c r="K271" s="49"/>
      <c r="L271" s="49"/>
      <c r="M271" s="49"/>
      <c r="N271" s="49"/>
      <c r="O271" s="49"/>
      <c r="P271" s="49"/>
      <c r="Q271" s="49"/>
      <c r="R271" s="49"/>
      <c r="S271" s="49"/>
      <c r="T271" s="49"/>
      <c r="U271" s="49"/>
      <c r="V271" s="49"/>
      <c r="W271" s="49"/>
      <c r="X271" s="49"/>
      <c r="Y271" s="49"/>
      <c r="Z271" s="49"/>
    </row>
    <row r="272" spans="1:26" ht="13">
      <c r="A272" s="49"/>
      <c r="B272" s="49"/>
      <c r="C272" s="49"/>
      <c r="D272" s="49"/>
      <c r="E272" s="49"/>
      <c r="F272" s="49"/>
      <c r="G272" s="49"/>
      <c r="H272" s="49"/>
      <c r="I272" s="49"/>
      <c r="J272" s="49"/>
      <c r="K272" s="49"/>
      <c r="L272" s="49"/>
      <c r="M272" s="49"/>
      <c r="N272" s="49"/>
      <c r="O272" s="49"/>
      <c r="P272" s="49"/>
      <c r="Q272" s="49"/>
      <c r="R272" s="49"/>
      <c r="S272" s="49"/>
      <c r="T272" s="49"/>
      <c r="U272" s="49"/>
      <c r="V272" s="49"/>
      <c r="W272" s="49"/>
      <c r="X272" s="49"/>
      <c r="Y272" s="49"/>
      <c r="Z272" s="49"/>
    </row>
    <row r="273" spans="1:26" ht="13">
      <c r="A273" s="49"/>
      <c r="B273" s="49"/>
      <c r="C273" s="49"/>
      <c r="D273" s="49"/>
      <c r="E273" s="49"/>
      <c r="F273" s="49"/>
      <c r="G273" s="49"/>
      <c r="H273" s="49"/>
      <c r="I273" s="49"/>
      <c r="J273" s="49"/>
      <c r="K273" s="49"/>
      <c r="L273" s="49"/>
      <c r="M273" s="49"/>
      <c r="N273" s="49"/>
      <c r="O273" s="49"/>
      <c r="P273" s="49"/>
      <c r="Q273" s="49"/>
      <c r="R273" s="49"/>
      <c r="S273" s="49"/>
      <c r="T273" s="49"/>
      <c r="U273" s="49"/>
      <c r="V273" s="49"/>
      <c r="W273" s="49"/>
      <c r="X273" s="49"/>
      <c r="Y273" s="49"/>
      <c r="Z273" s="49"/>
    </row>
    <row r="274" spans="1:26" ht="13">
      <c r="A274" s="49"/>
      <c r="B274" s="49"/>
      <c r="C274" s="49"/>
      <c r="D274" s="49"/>
      <c r="E274" s="49"/>
      <c r="F274" s="49"/>
      <c r="G274" s="49"/>
      <c r="H274" s="49"/>
      <c r="I274" s="49"/>
      <c r="J274" s="49"/>
      <c r="K274" s="49"/>
      <c r="L274" s="49"/>
      <c r="M274" s="49"/>
      <c r="N274" s="49"/>
      <c r="O274" s="49"/>
      <c r="P274" s="49"/>
      <c r="Q274" s="49"/>
      <c r="R274" s="49"/>
      <c r="S274" s="49"/>
      <c r="T274" s="49"/>
      <c r="U274" s="49"/>
      <c r="V274" s="49"/>
      <c r="W274" s="49"/>
      <c r="X274" s="49"/>
      <c r="Y274" s="49"/>
      <c r="Z274" s="49"/>
    </row>
    <row r="275" spans="1:26" ht="13">
      <c r="A275" s="49"/>
      <c r="B275" s="49"/>
      <c r="C275" s="49"/>
      <c r="D275" s="49"/>
      <c r="E275" s="49"/>
      <c r="F275" s="49"/>
      <c r="G275" s="49"/>
      <c r="H275" s="49"/>
      <c r="I275" s="49"/>
      <c r="J275" s="49"/>
      <c r="K275" s="49"/>
      <c r="L275" s="49"/>
      <c r="M275" s="49"/>
      <c r="N275" s="49"/>
      <c r="O275" s="49"/>
      <c r="P275" s="49"/>
      <c r="Q275" s="49"/>
      <c r="R275" s="49"/>
      <c r="S275" s="49"/>
      <c r="T275" s="49"/>
      <c r="U275" s="49"/>
      <c r="V275" s="49"/>
      <c r="W275" s="49"/>
      <c r="X275" s="49"/>
      <c r="Y275" s="49"/>
      <c r="Z275" s="49"/>
    </row>
    <row r="276" spans="1:26" ht="13">
      <c r="A276" s="49"/>
      <c r="B276" s="49"/>
      <c r="C276" s="49"/>
      <c r="D276" s="49"/>
      <c r="E276" s="49"/>
      <c r="F276" s="49"/>
      <c r="G276" s="49"/>
      <c r="H276" s="49"/>
      <c r="I276" s="49"/>
      <c r="J276" s="49"/>
      <c r="K276" s="49"/>
      <c r="L276" s="49"/>
      <c r="M276" s="49"/>
      <c r="N276" s="49"/>
      <c r="O276" s="49"/>
      <c r="P276" s="49"/>
      <c r="Q276" s="49"/>
      <c r="R276" s="49"/>
      <c r="S276" s="49"/>
      <c r="T276" s="49"/>
      <c r="U276" s="49"/>
      <c r="V276" s="49"/>
      <c r="W276" s="49"/>
      <c r="X276" s="49"/>
      <c r="Y276" s="49"/>
      <c r="Z276" s="49"/>
    </row>
    <row r="277" spans="1:26" ht="13">
      <c r="A277" s="49"/>
      <c r="B277" s="49"/>
      <c r="C277" s="49"/>
      <c r="D277" s="49"/>
      <c r="E277" s="49"/>
      <c r="F277" s="49"/>
      <c r="G277" s="49"/>
      <c r="H277" s="49"/>
      <c r="I277" s="49"/>
      <c r="J277" s="49"/>
      <c r="K277" s="49"/>
      <c r="L277" s="49"/>
      <c r="M277" s="49"/>
      <c r="N277" s="49"/>
      <c r="O277" s="49"/>
      <c r="P277" s="49"/>
      <c r="Q277" s="49"/>
      <c r="R277" s="49"/>
      <c r="S277" s="49"/>
      <c r="T277" s="49"/>
      <c r="U277" s="49"/>
      <c r="V277" s="49"/>
      <c r="W277" s="49"/>
      <c r="X277" s="49"/>
      <c r="Y277" s="49"/>
      <c r="Z277" s="49"/>
    </row>
    <row r="278" spans="1:26" ht="13">
      <c r="A278" s="49"/>
      <c r="B278" s="49"/>
      <c r="C278" s="49"/>
      <c r="D278" s="49"/>
      <c r="E278" s="49"/>
      <c r="F278" s="49"/>
      <c r="G278" s="49"/>
      <c r="H278" s="49"/>
      <c r="I278" s="49"/>
      <c r="J278" s="49"/>
      <c r="K278" s="49"/>
      <c r="L278" s="49"/>
      <c r="M278" s="49"/>
      <c r="N278" s="49"/>
      <c r="O278" s="49"/>
      <c r="P278" s="49"/>
      <c r="Q278" s="49"/>
      <c r="R278" s="49"/>
      <c r="S278" s="49"/>
      <c r="T278" s="49"/>
      <c r="U278" s="49"/>
      <c r="V278" s="49"/>
      <c r="W278" s="49"/>
      <c r="X278" s="49"/>
      <c r="Y278" s="49"/>
      <c r="Z278" s="49"/>
    </row>
    <row r="279" spans="1:26" ht="13">
      <c r="A279" s="49"/>
      <c r="B279" s="49"/>
      <c r="C279" s="49"/>
      <c r="D279" s="49"/>
      <c r="E279" s="49"/>
      <c r="F279" s="49"/>
      <c r="G279" s="49"/>
      <c r="H279" s="49"/>
      <c r="I279" s="49"/>
      <c r="J279" s="49"/>
      <c r="K279" s="49"/>
      <c r="L279" s="49"/>
      <c r="M279" s="49"/>
      <c r="N279" s="49"/>
      <c r="O279" s="49"/>
      <c r="P279" s="49"/>
      <c r="Q279" s="49"/>
      <c r="R279" s="49"/>
      <c r="S279" s="49"/>
      <c r="T279" s="49"/>
      <c r="U279" s="49"/>
      <c r="V279" s="49"/>
      <c r="W279" s="49"/>
      <c r="X279" s="49"/>
      <c r="Y279" s="49"/>
      <c r="Z279" s="49"/>
    </row>
    <row r="280" spans="1:26" ht="13">
      <c r="A280" s="49"/>
      <c r="B280" s="49"/>
      <c r="C280" s="49"/>
      <c r="D280" s="49"/>
      <c r="E280" s="49"/>
      <c r="F280" s="49"/>
      <c r="G280" s="49"/>
      <c r="H280" s="49"/>
      <c r="I280" s="49"/>
      <c r="J280" s="49"/>
      <c r="K280" s="49"/>
      <c r="L280" s="49"/>
      <c r="M280" s="49"/>
      <c r="N280" s="49"/>
      <c r="O280" s="49"/>
      <c r="P280" s="49"/>
      <c r="Q280" s="49"/>
      <c r="R280" s="49"/>
      <c r="S280" s="49"/>
      <c r="T280" s="49"/>
      <c r="U280" s="49"/>
      <c r="V280" s="49"/>
      <c r="W280" s="49"/>
      <c r="X280" s="49"/>
      <c r="Y280" s="49"/>
      <c r="Z280" s="49"/>
    </row>
    <row r="281" spans="1:26" ht="13">
      <c r="A281" s="49"/>
      <c r="B281" s="49"/>
      <c r="C281" s="49"/>
      <c r="D281" s="49"/>
      <c r="E281" s="49"/>
      <c r="F281" s="49"/>
      <c r="G281" s="49"/>
      <c r="H281" s="49"/>
      <c r="I281" s="49"/>
      <c r="J281" s="49"/>
      <c r="K281" s="49"/>
      <c r="L281" s="49"/>
      <c r="M281" s="49"/>
      <c r="N281" s="49"/>
      <c r="O281" s="49"/>
      <c r="P281" s="49"/>
      <c r="Q281" s="49"/>
      <c r="R281" s="49"/>
      <c r="S281" s="49"/>
      <c r="T281" s="49"/>
      <c r="U281" s="49"/>
      <c r="V281" s="49"/>
      <c r="W281" s="49"/>
      <c r="X281" s="49"/>
      <c r="Y281" s="49"/>
      <c r="Z281" s="49"/>
    </row>
    <row r="282" spans="1:26" ht="13">
      <c r="A282" s="49"/>
      <c r="B282" s="49"/>
      <c r="C282" s="49"/>
      <c r="D282" s="49"/>
      <c r="E282" s="49"/>
      <c r="F282" s="49"/>
      <c r="G282" s="49"/>
      <c r="H282" s="49"/>
      <c r="I282" s="49"/>
      <c r="J282" s="49"/>
      <c r="K282" s="49"/>
      <c r="L282" s="49"/>
      <c r="M282" s="49"/>
      <c r="N282" s="49"/>
      <c r="O282" s="49"/>
      <c r="P282" s="49"/>
      <c r="Q282" s="49"/>
      <c r="R282" s="49"/>
      <c r="S282" s="49"/>
      <c r="T282" s="49"/>
      <c r="U282" s="49"/>
      <c r="V282" s="49"/>
      <c r="W282" s="49"/>
      <c r="X282" s="49"/>
      <c r="Y282" s="49"/>
      <c r="Z282" s="49"/>
    </row>
    <row r="283" spans="1:26" ht="13">
      <c r="A283" s="49"/>
      <c r="B283" s="49"/>
      <c r="C283" s="49"/>
      <c r="D283" s="49"/>
      <c r="E283" s="49"/>
      <c r="F283" s="49"/>
      <c r="G283" s="49"/>
      <c r="H283" s="49"/>
      <c r="I283" s="49"/>
      <c r="J283" s="49"/>
      <c r="K283" s="49"/>
      <c r="L283" s="49"/>
      <c r="M283" s="49"/>
      <c r="N283" s="49"/>
      <c r="O283" s="49"/>
      <c r="P283" s="49"/>
      <c r="Q283" s="49"/>
      <c r="R283" s="49"/>
      <c r="S283" s="49"/>
      <c r="T283" s="49"/>
      <c r="U283" s="49"/>
      <c r="V283" s="49"/>
      <c r="W283" s="49"/>
      <c r="X283" s="49"/>
      <c r="Y283" s="49"/>
      <c r="Z283" s="49"/>
    </row>
    <row r="284" spans="1:26" ht="13">
      <c r="A284" s="49"/>
      <c r="B284" s="49"/>
      <c r="C284" s="49"/>
      <c r="D284" s="49"/>
      <c r="E284" s="49"/>
      <c r="F284" s="49"/>
      <c r="G284" s="49"/>
      <c r="H284" s="49"/>
      <c r="I284" s="49"/>
      <c r="J284" s="49"/>
      <c r="K284" s="49"/>
      <c r="L284" s="49"/>
      <c r="M284" s="49"/>
      <c r="N284" s="49"/>
      <c r="O284" s="49"/>
      <c r="P284" s="49"/>
      <c r="Q284" s="49"/>
      <c r="R284" s="49"/>
      <c r="S284" s="49"/>
      <c r="T284" s="49"/>
      <c r="U284" s="49"/>
      <c r="V284" s="49"/>
      <c r="W284" s="49"/>
      <c r="X284" s="49"/>
      <c r="Y284" s="49"/>
      <c r="Z284" s="49"/>
    </row>
    <row r="285" spans="1:26" ht="13">
      <c r="A285" s="49"/>
      <c r="B285" s="49"/>
      <c r="C285" s="49"/>
      <c r="D285" s="49"/>
      <c r="E285" s="49"/>
      <c r="F285" s="49"/>
      <c r="G285" s="49"/>
      <c r="H285" s="49"/>
      <c r="I285" s="49"/>
      <c r="J285" s="49"/>
      <c r="K285" s="49"/>
      <c r="L285" s="49"/>
      <c r="M285" s="49"/>
      <c r="N285" s="49"/>
      <c r="O285" s="49"/>
      <c r="P285" s="49"/>
      <c r="Q285" s="49"/>
      <c r="R285" s="49"/>
      <c r="S285" s="49"/>
      <c r="T285" s="49"/>
      <c r="U285" s="49"/>
      <c r="V285" s="49"/>
      <c r="W285" s="49"/>
      <c r="X285" s="49"/>
      <c r="Y285" s="49"/>
      <c r="Z285" s="49"/>
    </row>
    <row r="286" spans="1:26" ht="13">
      <c r="A286" s="49"/>
      <c r="B286" s="49"/>
      <c r="C286" s="49"/>
      <c r="D286" s="49"/>
      <c r="E286" s="49"/>
      <c r="F286" s="49"/>
      <c r="G286" s="49"/>
      <c r="H286" s="49"/>
      <c r="I286" s="49"/>
      <c r="J286" s="49"/>
      <c r="K286" s="49"/>
      <c r="L286" s="49"/>
      <c r="M286" s="49"/>
      <c r="N286" s="49"/>
      <c r="O286" s="49"/>
      <c r="P286" s="49"/>
      <c r="Q286" s="49"/>
      <c r="R286" s="49"/>
      <c r="S286" s="49"/>
      <c r="T286" s="49"/>
      <c r="U286" s="49"/>
      <c r="V286" s="49"/>
      <c r="W286" s="49"/>
      <c r="X286" s="49"/>
      <c r="Y286" s="49"/>
      <c r="Z286" s="49"/>
    </row>
    <row r="287" spans="1:26" ht="13">
      <c r="A287" s="49"/>
      <c r="B287" s="49"/>
      <c r="C287" s="49"/>
      <c r="D287" s="49"/>
      <c r="E287" s="49"/>
      <c r="F287" s="49"/>
      <c r="G287" s="49"/>
      <c r="H287" s="49"/>
      <c r="I287" s="49"/>
      <c r="J287" s="49"/>
      <c r="K287" s="49"/>
      <c r="L287" s="49"/>
      <c r="M287" s="49"/>
      <c r="N287" s="49"/>
      <c r="O287" s="49"/>
      <c r="P287" s="49"/>
      <c r="Q287" s="49"/>
      <c r="R287" s="49"/>
      <c r="S287" s="49"/>
      <c r="T287" s="49"/>
      <c r="U287" s="49"/>
      <c r="V287" s="49"/>
      <c r="W287" s="49"/>
      <c r="X287" s="49"/>
      <c r="Y287" s="49"/>
      <c r="Z287" s="49"/>
    </row>
    <row r="288" spans="1:26" ht="13">
      <c r="A288" s="49"/>
      <c r="B288" s="49"/>
      <c r="C288" s="49"/>
      <c r="D288" s="49"/>
      <c r="E288" s="49"/>
      <c r="F288" s="49"/>
      <c r="G288" s="49"/>
      <c r="H288" s="49"/>
      <c r="I288" s="49"/>
      <c r="J288" s="49"/>
      <c r="K288" s="49"/>
      <c r="L288" s="49"/>
      <c r="M288" s="49"/>
      <c r="N288" s="49"/>
      <c r="O288" s="49"/>
      <c r="P288" s="49"/>
      <c r="Q288" s="49"/>
      <c r="R288" s="49"/>
      <c r="S288" s="49"/>
      <c r="T288" s="49"/>
      <c r="U288" s="49"/>
      <c r="V288" s="49"/>
      <c r="W288" s="49"/>
      <c r="X288" s="49"/>
      <c r="Y288" s="49"/>
      <c r="Z288" s="49"/>
    </row>
    <row r="289" spans="1:26" ht="13">
      <c r="A289" s="49"/>
      <c r="B289" s="49"/>
      <c r="C289" s="49"/>
      <c r="D289" s="49"/>
      <c r="E289" s="49"/>
      <c r="F289" s="49"/>
      <c r="G289" s="49"/>
      <c r="H289" s="49"/>
      <c r="I289" s="49"/>
      <c r="J289" s="49"/>
      <c r="K289" s="49"/>
      <c r="L289" s="49"/>
      <c r="M289" s="49"/>
      <c r="N289" s="49"/>
      <c r="O289" s="49"/>
      <c r="P289" s="49"/>
      <c r="Q289" s="49"/>
      <c r="R289" s="49"/>
      <c r="S289" s="49"/>
      <c r="T289" s="49"/>
      <c r="U289" s="49"/>
      <c r="V289" s="49"/>
      <c r="W289" s="49"/>
      <c r="X289" s="49"/>
      <c r="Y289" s="49"/>
      <c r="Z289" s="49"/>
    </row>
    <row r="290" spans="1:26" ht="13">
      <c r="A290" s="49"/>
      <c r="B290" s="49"/>
      <c r="C290" s="49"/>
      <c r="D290" s="49"/>
      <c r="E290" s="49"/>
      <c r="F290" s="49"/>
      <c r="G290" s="49"/>
      <c r="H290" s="49"/>
      <c r="I290" s="49"/>
      <c r="J290" s="49"/>
      <c r="K290" s="49"/>
      <c r="L290" s="49"/>
      <c r="M290" s="49"/>
      <c r="N290" s="49"/>
      <c r="O290" s="49"/>
      <c r="P290" s="49"/>
      <c r="Q290" s="49"/>
      <c r="R290" s="49"/>
      <c r="S290" s="49"/>
      <c r="T290" s="49"/>
      <c r="U290" s="49"/>
      <c r="V290" s="49"/>
      <c r="W290" s="49"/>
      <c r="X290" s="49"/>
      <c r="Y290" s="49"/>
      <c r="Z290" s="49"/>
    </row>
    <row r="291" spans="1:26" ht="13">
      <c r="A291" s="49"/>
      <c r="B291" s="49"/>
      <c r="C291" s="49"/>
      <c r="D291" s="49"/>
      <c r="E291" s="49"/>
      <c r="F291" s="49"/>
      <c r="G291" s="49"/>
      <c r="H291" s="49"/>
      <c r="I291" s="49"/>
      <c r="J291" s="49"/>
      <c r="K291" s="49"/>
      <c r="L291" s="49"/>
      <c r="M291" s="49"/>
      <c r="N291" s="49"/>
      <c r="O291" s="49"/>
      <c r="P291" s="49"/>
      <c r="Q291" s="49"/>
      <c r="R291" s="49"/>
      <c r="S291" s="49"/>
      <c r="T291" s="49"/>
      <c r="U291" s="49"/>
      <c r="V291" s="49"/>
      <c r="W291" s="49"/>
      <c r="X291" s="49"/>
      <c r="Y291" s="49"/>
      <c r="Z291" s="49"/>
    </row>
    <row r="292" spans="1:26" ht="13">
      <c r="A292" s="49"/>
      <c r="B292" s="49"/>
      <c r="C292" s="49"/>
      <c r="D292" s="49"/>
      <c r="E292" s="49"/>
      <c r="F292" s="49"/>
      <c r="G292" s="49"/>
      <c r="H292" s="49"/>
      <c r="I292" s="49"/>
      <c r="J292" s="49"/>
      <c r="K292" s="49"/>
      <c r="L292" s="49"/>
      <c r="M292" s="49"/>
      <c r="N292" s="49"/>
      <c r="O292" s="49"/>
      <c r="P292" s="49"/>
      <c r="Q292" s="49"/>
      <c r="R292" s="49"/>
      <c r="S292" s="49"/>
      <c r="T292" s="49"/>
      <c r="U292" s="49"/>
      <c r="V292" s="49"/>
      <c r="W292" s="49"/>
      <c r="X292" s="49"/>
      <c r="Y292" s="49"/>
      <c r="Z292" s="49"/>
    </row>
    <row r="293" spans="1:26" ht="13">
      <c r="A293" s="49"/>
      <c r="B293" s="49"/>
      <c r="C293" s="49"/>
      <c r="D293" s="49"/>
      <c r="E293" s="49"/>
      <c r="F293" s="49"/>
      <c r="G293" s="49"/>
      <c r="H293" s="49"/>
      <c r="I293" s="49"/>
      <c r="J293" s="49"/>
      <c r="K293" s="49"/>
      <c r="L293" s="49"/>
      <c r="M293" s="49"/>
      <c r="N293" s="49"/>
      <c r="O293" s="49"/>
      <c r="P293" s="49"/>
      <c r="Q293" s="49"/>
      <c r="R293" s="49"/>
      <c r="S293" s="49"/>
      <c r="T293" s="49"/>
      <c r="U293" s="49"/>
      <c r="V293" s="49"/>
      <c r="W293" s="49"/>
      <c r="X293" s="49"/>
      <c r="Y293" s="49"/>
      <c r="Z293" s="49"/>
    </row>
    <row r="294" spans="1:26" ht="13">
      <c r="A294" s="49"/>
      <c r="B294" s="49"/>
      <c r="C294" s="49"/>
      <c r="D294" s="49"/>
      <c r="E294" s="49"/>
      <c r="F294" s="49"/>
      <c r="G294" s="49"/>
      <c r="H294" s="49"/>
      <c r="I294" s="49"/>
      <c r="J294" s="49"/>
      <c r="K294" s="49"/>
      <c r="L294" s="49"/>
      <c r="M294" s="49"/>
      <c r="N294" s="49"/>
      <c r="O294" s="49"/>
      <c r="P294" s="49"/>
      <c r="Q294" s="49"/>
      <c r="R294" s="49"/>
      <c r="S294" s="49"/>
      <c r="T294" s="49"/>
      <c r="U294" s="49"/>
      <c r="V294" s="49"/>
      <c r="W294" s="49"/>
      <c r="X294" s="49"/>
      <c r="Y294" s="49"/>
      <c r="Z294" s="49"/>
    </row>
    <row r="295" spans="1:26" ht="13">
      <c r="A295" s="49"/>
      <c r="B295" s="49"/>
      <c r="C295" s="49"/>
      <c r="D295" s="49"/>
      <c r="E295" s="49"/>
      <c r="F295" s="49"/>
      <c r="G295" s="49"/>
      <c r="H295" s="49"/>
      <c r="I295" s="49"/>
      <c r="J295" s="49"/>
      <c r="K295" s="49"/>
      <c r="L295" s="49"/>
      <c r="M295" s="49"/>
      <c r="N295" s="49"/>
      <c r="O295" s="49"/>
      <c r="P295" s="49"/>
      <c r="Q295" s="49"/>
      <c r="R295" s="49"/>
      <c r="S295" s="49"/>
      <c r="T295" s="49"/>
      <c r="U295" s="49"/>
      <c r="V295" s="49"/>
      <c r="W295" s="49"/>
      <c r="X295" s="49"/>
      <c r="Y295" s="49"/>
      <c r="Z295" s="49"/>
    </row>
    <row r="296" spans="1:26" ht="13">
      <c r="A296" s="49"/>
      <c r="B296" s="49"/>
      <c r="C296" s="49"/>
      <c r="D296" s="49"/>
      <c r="E296" s="49"/>
      <c r="F296" s="49"/>
      <c r="G296" s="49"/>
      <c r="H296" s="49"/>
      <c r="I296" s="49"/>
      <c r="J296" s="49"/>
      <c r="K296" s="49"/>
      <c r="L296" s="49"/>
      <c r="M296" s="49"/>
      <c r="N296" s="49"/>
      <c r="O296" s="49"/>
      <c r="P296" s="49"/>
      <c r="Q296" s="49"/>
      <c r="R296" s="49"/>
      <c r="S296" s="49"/>
      <c r="T296" s="49"/>
      <c r="U296" s="49"/>
      <c r="V296" s="49"/>
      <c r="W296" s="49"/>
      <c r="X296" s="49"/>
      <c r="Y296" s="49"/>
      <c r="Z296" s="49"/>
    </row>
    <row r="297" spans="1:26" ht="13">
      <c r="A297" s="49"/>
      <c r="B297" s="49"/>
      <c r="C297" s="49"/>
      <c r="D297" s="49"/>
      <c r="E297" s="49"/>
      <c r="F297" s="49"/>
      <c r="G297" s="49"/>
      <c r="H297" s="49"/>
      <c r="I297" s="49"/>
      <c r="J297" s="49"/>
      <c r="K297" s="49"/>
      <c r="L297" s="49"/>
      <c r="M297" s="49"/>
      <c r="N297" s="49"/>
      <c r="O297" s="49"/>
      <c r="P297" s="49"/>
      <c r="Q297" s="49"/>
      <c r="R297" s="49"/>
      <c r="S297" s="49"/>
      <c r="T297" s="49"/>
      <c r="U297" s="49"/>
      <c r="V297" s="49"/>
      <c r="W297" s="49"/>
      <c r="X297" s="49"/>
      <c r="Y297" s="49"/>
      <c r="Z297" s="49"/>
    </row>
    <row r="298" spans="1:26" ht="13">
      <c r="A298" s="49"/>
      <c r="B298" s="49"/>
      <c r="C298" s="49"/>
      <c r="D298" s="49"/>
      <c r="E298" s="49"/>
      <c r="F298" s="49"/>
      <c r="G298" s="49"/>
      <c r="H298" s="49"/>
      <c r="I298" s="49"/>
      <c r="J298" s="49"/>
      <c r="K298" s="49"/>
      <c r="L298" s="49"/>
      <c r="M298" s="49"/>
      <c r="N298" s="49"/>
      <c r="O298" s="49"/>
      <c r="P298" s="49"/>
      <c r="Q298" s="49"/>
      <c r="R298" s="49"/>
      <c r="S298" s="49"/>
      <c r="T298" s="49"/>
      <c r="U298" s="49"/>
      <c r="V298" s="49"/>
      <c r="W298" s="49"/>
      <c r="X298" s="49"/>
      <c r="Y298" s="49"/>
      <c r="Z298" s="49"/>
    </row>
    <row r="299" spans="1:26" ht="13">
      <c r="A299" s="49"/>
      <c r="B299" s="49"/>
      <c r="C299" s="49"/>
      <c r="D299" s="49"/>
      <c r="E299" s="49"/>
      <c r="F299" s="49"/>
      <c r="G299" s="49"/>
      <c r="H299" s="49"/>
      <c r="I299" s="49"/>
      <c r="J299" s="49"/>
      <c r="K299" s="49"/>
      <c r="L299" s="49"/>
      <c r="M299" s="49"/>
      <c r="N299" s="49"/>
      <c r="O299" s="49"/>
      <c r="P299" s="49"/>
      <c r="Q299" s="49"/>
      <c r="R299" s="49"/>
      <c r="S299" s="49"/>
      <c r="T299" s="49"/>
      <c r="U299" s="49"/>
      <c r="V299" s="49"/>
      <c r="W299" s="49"/>
      <c r="X299" s="49"/>
      <c r="Y299" s="49"/>
      <c r="Z299" s="49"/>
    </row>
    <row r="300" spans="1:26" ht="13">
      <c r="A300" s="49"/>
      <c r="B300" s="49"/>
      <c r="C300" s="49"/>
      <c r="D300" s="49"/>
      <c r="E300" s="49"/>
      <c r="F300" s="49"/>
      <c r="G300" s="49"/>
      <c r="H300" s="49"/>
      <c r="I300" s="49"/>
      <c r="J300" s="49"/>
      <c r="K300" s="49"/>
      <c r="L300" s="49"/>
      <c r="M300" s="49"/>
      <c r="N300" s="49"/>
      <c r="O300" s="49"/>
      <c r="P300" s="49"/>
      <c r="Q300" s="49"/>
      <c r="R300" s="49"/>
      <c r="S300" s="49"/>
      <c r="T300" s="49"/>
      <c r="U300" s="49"/>
      <c r="V300" s="49"/>
      <c r="W300" s="49"/>
      <c r="X300" s="49"/>
      <c r="Y300" s="49"/>
      <c r="Z300" s="49"/>
    </row>
    <row r="301" spans="1:26" ht="13">
      <c r="A301" s="49"/>
      <c r="B301" s="49"/>
      <c r="C301" s="49"/>
      <c r="D301" s="49"/>
      <c r="E301" s="49"/>
      <c r="F301" s="49"/>
      <c r="G301" s="49"/>
      <c r="H301" s="49"/>
      <c r="I301" s="49"/>
      <c r="J301" s="49"/>
      <c r="K301" s="49"/>
      <c r="L301" s="49"/>
      <c r="M301" s="49"/>
      <c r="N301" s="49"/>
      <c r="O301" s="49"/>
      <c r="P301" s="49"/>
      <c r="Q301" s="49"/>
      <c r="R301" s="49"/>
      <c r="S301" s="49"/>
      <c r="T301" s="49"/>
      <c r="U301" s="49"/>
      <c r="V301" s="49"/>
      <c r="W301" s="49"/>
      <c r="X301" s="49"/>
      <c r="Y301" s="49"/>
      <c r="Z301" s="49"/>
    </row>
    <row r="302" spans="1:26" ht="13">
      <c r="A302" s="49"/>
      <c r="B302" s="49"/>
      <c r="C302" s="49"/>
      <c r="D302" s="49"/>
      <c r="E302" s="49"/>
      <c r="F302" s="49"/>
      <c r="G302" s="49"/>
      <c r="H302" s="49"/>
      <c r="I302" s="49"/>
      <c r="J302" s="49"/>
      <c r="K302" s="49"/>
      <c r="L302" s="49"/>
      <c r="M302" s="49"/>
      <c r="N302" s="49"/>
      <c r="O302" s="49"/>
      <c r="P302" s="49"/>
      <c r="Q302" s="49"/>
      <c r="R302" s="49"/>
      <c r="S302" s="49"/>
      <c r="T302" s="49"/>
      <c r="U302" s="49"/>
      <c r="V302" s="49"/>
      <c r="W302" s="49"/>
      <c r="X302" s="49"/>
      <c r="Y302" s="49"/>
      <c r="Z302" s="49"/>
    </row>
    <row r="303" spans="1:26" ht="13">
      <c r="A303" s="49"/>
      <c r="B303" s="49"/>
      <c r="C303" s="49"/>
      <c r="D303" s="49"/>
      <c r="E303" s="49"/>
      <c r="F303" s="49"/>
      <c r="G303" s="49"/>
      <c r="H303" s="49"/>
      <c r="I303" s="49"/>
      <c r="J303" s="49"/>
      <c r="K303" s="49"/>
      <c r="L303" s="49"/>
      <c r="M303" s="49"/>
      <c r="N303" s="49"/>
      <c r="O303" s="49"/>
      <c r="P303" s="49"/>
      <c r="Q303" s="49"/>
      <c r="R303" s="49"/>
      <c r="S303" s="49"/>
      <c r="T303" s="49"/>
      <c r="U303" s="49"/>
      <c r="V303" s="49"/>
      <c r="W303" s="49"/>
      <c r="X303" s="49"/>
      <c r="Y303" s="49"/>
      <c r="Z303" s="49"/>
    </row>
    <row r="304" spans="1:26" ht="13">
      <c r="A304" s="49"/>
      <c r="B304" s="49"/>
      <c r="C304" s="49"/>
      <c r="D304" s="49"/>
      <c r="E304" s="49"/>
      <c r="F304" s="49"/>
      <c r="G304" s="49"/>
      <c r="H304" s="49"/>
      <c r="I304" s="49"/>
      <c r="J304" s="49"/>
      <c r="K304" s="49"/>
      <c r="L304" s="49"/>
      <c r="M304" s="49"/>
      <c r="N304" s="49"/>
      <c r="O304" s="49"/>
      <c r="P304" s="49"/>
      <c r="Q304" s="49"/>
      <c r="R304" s="49"/>
      <c r="S304" s="49"/>
      <c r="T304" s="49"/>
      <c r="U304" s="49"/>
      <c r="V304" s="49"/>
      <c r="W304" s="49"/>
      <c r="X304" s="49"/>
      <c r="Y304" s="49"/>
      <c r="Z304" s="49"/>
    </row>
    <row r="305" spans="1:26" ht="13">
      <c r="A305" s="49"/>
      <c r="B305" s="49"/>
      <c r="C305" s="49"/>
      <c r="D305" s="49"/>
      <c r="E305" s="49"/>
      <c r="F305" s="49"/>
      <c r="G305" s="49"/>
      <c r="H305" s="49"/>
      <c r="I305" s="49"/>
      <c r="J305" s="49"/>
      <c r="K305" s="49"/>
      <c r="L305" s="49"/>
      <c r="M305" s="49"/>
      <c r="N305" s="49"/>
      <c r="O305" s="49"/>
      <c r="P305" s="49"/>
      <c r="Q305" s="49"/>
      <c r="R305" s="49"/>
      <c r="S305" s="49"/>
      <c r="T305" s="49"/>
      <c r="U305" s="49"/>
      <c r="V305" s="49"/>
      <c r="W305" s="49"/>
      <c r="X305" s="49"/>
      <c r="Y305" s="49"/>
      <c r="Z305" s="49"/>
    </row>
    <row r="306" spans="1:26" ht="13">
      <c r="A306" s="49"/>
      <c r="B306" s="49"/>
      <c r="C306" s="49"/>
      <c r="D306" s="49"/>
      <c r="E306" s="49"/>
      <c r="F306" s="49"/>
      <c r="G306" s="49"/>
      <c r="H306" s="49"/>
      <c r="I306" s="49"/>
      <c r="J306" s="49"/>
      <c r="K306" s="49"/>
      <c r="L306" s="49"/>
      <c r="M306" s="49"/>
      <c r="N306" s="49"/>
      <c r="O306" s="49"/>
      <c r="P306" s="49"/>
      <c r="Q306" s="49"/>
      <c r="R306" s="49"/>
      <c r="S306" s="49"/>
      <c r="T306" s="49"/>
      <c r="U306" s="49"/>
      <c r="V306" s="49"/>
      <c r="W306" s="49"/>
      <c r="X306" s="49"/>
      <c r="Y306" s="49"/>
      <c r="Z306" s="49"/>
    </row>
    <row r="307" spans="1:26" ht="13">
      <c r="A307" s="49"/>
      <c r="B307" s="49"/>
      <c r="C307" s="49"/>
      <c r="D307" s="49"/>
      <c r="E307" s="49"/>
      <c r="F307" s="49"/>
      <c r="G307" s="49"/>
      <c r="H307" s="49"/>
      <c r="I307" s="49"/>
      <c r="J307" s="49"/>
      <c r="K307" s="49"/>
      <c r="L307" s="49"/>
      <c r="M307" s="49"/>
      <c r="N307" s="49"/>
      <c r="O307" s="49"/>
      <c r="P307" s="49"/>
      <c r="Q307" s="49"/>
      <c r="R307" s="49"/>
      <c r="S307" s="49"/>
      <c r="T307" s="49"/>
      <c r="U307" s="49"/>
      <c r="V307" s="49"/>
      <c r="W307" s="49"/>
      <c r="X307" s="49"/>
      <c r="Y307" s="49"/>
      <c r="Z307" s="49"/>
    </row>
    <row r="308" spans="1:26" ht="13">
      <c r="A308" s="49"/>
      <c r="B308" s="49"/>
      <c r="C308" s="49"/>
      <c r="D308" s="49"/>
      <c r="E308" s="49"/>
      <c r="F308" s="49"/>
      <c r="G308" s="49"/>
      <c r="H308" s="49"/>
      <c r="I308" s="49"/>
      <c r="J308" s="49"/>
      <c r="K308" s="49"/>
      <c r="L308" s="49"/>
      <c r="M308" s="49"/>
      <c r="N308" s="49"/>
      <c r="O308" s="49"/>
      <c r="P308" s="49"/>
      <c r="Q308" s="49"/>
      <c r="R308" s="49"/>
      <c r="S308" s="49"/>
      <c r="T308" s="49"/>
      <c r="U308" s="49"/>
      <c r="V308" s="49"/>
      <c r="W308" s="49"/>
      <c r="X308" s="49"/>
      <c r="Y308" s="49"/>
      <c r="Z308" s="49"/>
    </row>
    <row r="309" spans="1:26" ht="13">
      <c r="A309" s="49"/>
      <c r="B309" s="49"/>
      <c r="C309" s="49"/>
      <c r="D309" s="49"/>
      <c r="E309" s="49"/>
      <c r="F309" s="49"/>
      <c r="G309" s="49"/>
      <c r="H309" s="49"/>
      <c r="I309" s="49"/>
      <c r="J309" s="49"/>
      <c r="K309" s="49"/>
      <c r="L309" s="49"/>
      <c r="M309" s="49"/>
      <c r="N309" s="49"/>
      <c r="O309" s="49"/>
      <c r="P309" s="49"/>
      <c r="Q309" s="49"/>
      <c r="R309" s="49"/>
      <c r="S309" s="49"/>
      <c r="T309" s="49"/>
      <c r="U309" s="49"/>
      <c r="V309" s="49"/>
      <c r="W309" s="49"/>
      <c r="X309" s="49"/>
      <c r="Y309" s="49"/>
      <c r="Z309" s="49"/>
    </row>
    <row r="310" spans="1:26" ht="13">
      <c r="A310" s="49"/>
      <c r="B310" s="49"/>
      <c r="C310" s="49"/>
      <c r="D310" s="49"/>
      <c r="E310" s="49"/>
      <c r="F310" s="49"/>
      <c r="G310" s="49"/>
      <c r="H310" s="49"/>
      <c r="I310" s="49"/>
      <c r="J310" s="49"/>
      <c r="K310" s="49"/>
      <c r="L310" s="49"/>
      <c r="M310" s="49"/>
      <c r="N310" s="49"/>
      <c r="O310" s="49"/>
      <c r="P310" s="49"/>
      <c r="Q310" s="49"/>
      <c r="R310" s="49"/>
      <c r="S310" s="49"/>
      <c r="T310" s="49"/>
      <c r="U310" s="49"/>
      <c r="V310" s="49"/>
      <c r="W310" s="49"/>
      <c r="X310" s="49"/>
      <c r="Y310" s="49"/>
      <c r="Z310" s="49"/>
    </row>
    <row r="311" spans="1:26" ht="13">
      <c r="A311" s="49"/>
      <c r="B311" s="49"/>
      <c r="C311" s="49"/>
      <c r="D311" s="49"/>
      <c r="E311" s="49"/>
      <c r="F311" s="49"/>
      <c r="G311" s="49"/>
      <c r="H311" s="49"/>
      <c r="I311" s="49"/>
      <c r="J311" s="49"/>
      <c r="K311" s="49"/>
      <c r="L311" s="49"/>
      <c r="M311" s="49"/>
      <c r="N311" s="49"/>
      <c r="O311" s="49"/>
      <c r="P311" s="49"/>
      <c r="Q311" s="49"/>
      <c r="R311" s="49"/>
      <c r="S311" s="49"/>
      <c r="T311" s="49"/>
      <c r="U311" s="49"/>
      <c r="V311" s="49"/>
      <c r="W311" s="49"/>
      <c r="X311" s="49"/>
      <c r="Y311" s="49"/>
      <c r="Z311" s="49"/>
    </row>
    <row r="312" spans="1:26" ht="13">
      <c r="A312" s="49"/>
      <c r="B312" s="49"/>
      <c r="C312" s="49"/>
      <c r="D312" s="49"/>
      <c r="E312" s="49"/>
      <c r="F312" s="49"/>
      <c r="G312" s="49"/>
      <c r="H312" s="49"/>
      <c r="I312" s="49"/>
      <c r="J312" s="49"/>
      <c r="K312" s="49"/>
      <c r="L312" s="49"/>
      <c r="M312" s="49"/>
      <c r="N312" s="49"/>
      <c r="O312" s="49"/>
      <c r="P312" s="49"/>
      <c r="Q312" s="49"/>
      <c r="R312" s="49"/>
      <c r="S312" s="49"/>
      <c r="T312" s="49"/>
      <c r="U312" s="49"/>
      <c r="V312" s="49"/>
      <c r="W312" s="49"/>
      <c r="X312" s="49"/>
      <c r="Y312" s="49"/>
      <c r="Z312" s="49"/>
    </row>
    <row r="313" spans="1:26" ht="13">
      <c r="A313" s="49"/>
      <c r="B313" s="49"/>
      <c r="C313" s="49"/>
      <c r="D313" s="49"/>
      <c r="E313" s="49"/>
      <c r="F313" s="49"/>
      <c r="G313" s="49"/>
      <c r="H313" s="49"/>
      <c r="I313" s="49"/>
      <c r="J313" s="49"/>
      <c r="K313" s="49"/>
      <c r="L313" s="49"/>
      <c r="M313" s="49"/>
      <c r="N313" s="49"/>
      <c r="O313" s="49"/>
      <c r="P313" s="49"/>
      <c r="Q313" s="49"/>
      <c r="R313" s="49"/>
      <c r="S313" s="49"/>
      <c r="T313" s="49"/>
      <c r="U313" s="49"/>
      <c r="V313" s="49"/>
      <c r="W313" s="49"/>
      <c r="X313" s="49"/>
      <c r="Y313" s="49"/>
      <c r="Z313" s="49"/>
    </row>
    <row r="314" spans="1:26" ht="13">
      <c r="A314" s="49"/>
      <c r="B314" s="49"/>
      <c r="C314" s="49"/>
      <c r="D314" s="49"/>
      <c r="E314" s="49"/>
      <c r="F314" s="49"/>
      <c r="G314" s="49"/>
      <c r="H314" s="49"/>
      <c r="I314" s="49"/>
      <c r="J314" s="49"/>
      <c r="K314" s="49"/>
      <c r="L314" s="49"/>
      <c r="M314" s="49"/>
      <c r="N314" s="49"/>
      <c r="O314" s="49"/>
      <c r="P314" s="49"/>
      <c r="Q314" s="49"/>
      <c r="R314" s="49"/>
      <c r="S314" s="49"/>
      <c r="T314" s="49"/>
      <c r="U314" s="49"/>
      <c r="V314" s="49"/>
      <c r="W314" s="49"/>
      <c r="X314" s="49"/>
      <c r="Y314" s="49"/>
      <c r="Z314" s="49"/>
    </row>
    <row r="315" spans="1:26" ht="13">
      <c r="A315" s="49"/>
      <c r="B315" s="49"/>
      <c r="C315" s="49"/>
      <c r="D315" s="49"/>
      <c r="E315" s="49"/>
      <c r="F315" s="49"/>
      <c r="G315" s="49"/>
      <c r="H315" s="49"/>
      <c r="I315" s="49"/>
      <c r="J315" s="49"/>
      <c r="K315" s="49"/>
      <c r="L315" s="49"/>
      <c r="M315" s="49"/>
      <c r="N315" s="49"/>
      <c r="O315" s="49"/>
      <c r="P315" s="49"/>
      <c r="Q315" s="49"/>
      <c r="R315" s="49"/>
      <c r="S315" s="49"/>
      <c r="T315" s="49"/>
      <c r="U315" s="49"/>
      <c r="V315" s="49"/>
      <c r="W315" s="49"/>
      <c r="X315" s="49"/>
      <c r="Y315" s="49"/>
      <c r="Z315" s="49"/>
    </row>
    <row r="316" spans="1:26" ht="13">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ht="13">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ht="13">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ht="13">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ht="13">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ht="13">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ht="13">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ht="1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ht="13">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ht="13">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ht="13">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ht="13">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ht="13">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ht="13">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ht="13">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ht="13">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ht="13">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ht="1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ht="13">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ht="13">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ht="13">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ht="13">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ht="13">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ht="13">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ht="13">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ht="13">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ht="13">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ht="1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ht="13">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ht="13">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ht="13">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ht="13">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ht="13">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ht="13">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ht="13">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ht="13">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ht="13">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ht="1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ht="13">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ht="13">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ht="13">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ht="13">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ht="13">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ht="13">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ht="13">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ht="13">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ht="13">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ht="1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ht="13">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ht="13">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ht="13">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ht="13">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ht="13">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ht="13">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ht="13">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ht="13">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ht="13">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ht="1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ht="13">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ht="13">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ht="13">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ht="13">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ht="13">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ht="13">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ht="13">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ht="13">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ht="13">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ht="1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ht="13">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ht="13">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ht="13">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ht="13">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ht="13">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ht="13">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ht="13">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ht="13">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ht="13">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ht="1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ht="13">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ht="13">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ht="13">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ht="13">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ht="13">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ht="13">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ht="13">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ht="13">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ht="13">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ht="1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ht="13">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ht="13">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ht="13">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ht="13">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ht="13">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ht="13">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ht="13">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ht="13">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ht="13">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ht="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ht="13">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ht="13">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ht="13">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ht="13">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ht="13">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ht="13">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ht="13">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ht="13">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ht="13">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ht="1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ht="13">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ht="13">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ht="13">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ht="13">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ht="13">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ht="13">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ht="13">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ht="13">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ht="13">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ht="1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ht="13">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ht="13">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ht="13">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ht="13">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ht="13">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ht="13">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ht="13">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ht="13">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ht="13">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ht="1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ht="13">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ht="13">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ht="13">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ht="13">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ht="13">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ht="13">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ht="13">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ht="13">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ht="13">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ht="1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ht="13">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ht="13">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ht="13">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ht="13">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ht="13">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ht="13">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ht="13">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ht="13">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ht="13">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ht="1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ht="13">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ht="13">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ht="13">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ht="13">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ht="13">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ht="13">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ht="13">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ht="13">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ht="13">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ht="1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ht="13">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ht="13">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ht="13">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ht="13">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ht="13">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ht="13">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ht="13">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ht="13">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ht="13">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ht="1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ht="13">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ht="13">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ht="13">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ht="13">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ht="13">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ht="13">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ht="13">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ht="13">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ht="13">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ht="1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ht="13">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ht="13">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ht="13">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ht="13">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ht="13">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ht="13">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ht="13">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ht="13">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ht="13">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ht="1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ht="13">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ht="13">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ht="13">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ht="13">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ht="13">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ht="13">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ht="13">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ht="13">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ht="13">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ht="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ht="13">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ht="13">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ht="13">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ht="13">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ht="13">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ht="13">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ht="13">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ht="13">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ht="13">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ht="1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ht="13">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ht="13">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ht="13">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ht="13">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ht="13">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ht="13">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ht="13">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ht="13">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ht="13">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ht="1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ht="13">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ht="13">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ht="13">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ht="13">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ht="13">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ht="13">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ht="13">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ht="13">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ht="13">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ht="1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ht="13">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ht="13">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ht="13">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ht="13">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ht="13">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ht="13">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ht="13">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ht="13">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ht="13">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ht="1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ht="13">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ht="13">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ht="13">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ht="13">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ht="13">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ht="13">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ht="13">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ht="13">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ht="13">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ht="1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ht="13">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ht="13">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ht="13">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ht="13">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ht="13">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ht="13">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ht="13">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ht="13">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ht="13">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ht="1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ht="13">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ht="13">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ht="13">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ht="13">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ht="13">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ht="13">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ht="13">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ht="13">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ht="13">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ht="1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ht="13">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ht="13">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ht="13">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ht="13">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ht="13">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ht="13">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ht="13">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ht="13">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ht="13">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ht="1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ht="13">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ht="13">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ht="13">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ht="13">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ht="13">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ht="13">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ht="13">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ht="13">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ht="13">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ht="1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ht="13">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ht="13">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ht="13">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ht="13">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ht="13">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ht="13">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ht="13">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ht="13">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ht="13">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ht="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ht="13">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ht="13">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ht="13">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ht="13">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ht="13">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ht="13">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ht="13">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ht="13">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ht="13">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ht="1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ht="13">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ht="13">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ht="13">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ht="13">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ht="13">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ht="13">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ht="13">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ht="13">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ht="13">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ht="1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ht="13">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ht="13">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ht="13">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ht="13">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ht="13">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ht="13">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ht="13">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ht="13">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ht="13">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ht="1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ht="13">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ht="13">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ht="13">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ht="13">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ht="13">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ht="13">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ht="13">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ht="13">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ht="13">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ht="1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ht="13">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ht="13">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ht="13">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ht="13">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ht="13">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ht="13">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ht="13">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ht="13">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ht="13">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ht="1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ht="13">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ht="13">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ht="13">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ht="13">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ht="13">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ht="13">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ht="13">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ht="13">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ht="13">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ht="1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ht="13">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ht="13">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ht="13">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ht="13">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ht="13">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ht="13">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ht="13">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ht="13">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ht="13">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ht="1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ht="13">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ht="13">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ht="13">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ht="13">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ht="13">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ht="13">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ht="13">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ht="13">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ht="13">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ht="1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ht="13">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ht="13">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ht="13">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ht="13">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ht="13">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ht="13">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ht="13">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ht="13">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ht="13">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ht="1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ht="13">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ht="13">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ht="13">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ht="13">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ht="13">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ht="13">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ht="13">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ht="13">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ht="13">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ht="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ht="13">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ht="13">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ht="13">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ht="13">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ht="13">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ht="13">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ht="13">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ht="13">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ht="13">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ht="1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ht="13">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ht="13">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ht="13">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ht="13">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ht="13">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ht="13">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ht="13">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ht="13">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ht="13">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ht="1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ht="13">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ht="13">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ht="13">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ht="13">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ht="13">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ht="13">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ht="13">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ht="13">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ht="13">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ht="1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ht="13">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ht="13">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ht="13">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ht="13">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ht="13">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ht="13">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ht="13">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ht="13">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ht="13">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ht="1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ht="13">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ht="13">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ht="13">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ht="13">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ht="13">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ht="13">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ht="13">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ht="13">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ht="13">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ht="1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ht="13">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ht="13">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ht="13">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ht="13">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ht="13">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ht="13">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ht="13">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ht="13">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ht="13">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ht="1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ht="13">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ht="13">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ht="13">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ht="13">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ht="13">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ht="13">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ht="13">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ht="13">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ht="13">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ht="1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ht="13">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ht="13">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ht="13">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ht="13">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ht="13">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ht="13">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ht="13">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ht="13">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ht="13">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ht="1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ht="13">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ht="13">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ht="13">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ht="13">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ht="13">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ht="13">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ht="13">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ht="13">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ht="13">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ht="1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ht="13">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ht="13">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ht="13">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ht="13">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ht="13">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ht="13">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ht="13">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ht="13">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ht="13">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ht="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ht="13">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ht="13">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ht="13">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ht="13">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ht="13">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ht="13">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ht="13">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ht="13">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ht="13">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ht="1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ht="13">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ht="13">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ht="13">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ht="13">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ht="13">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ht="13">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ht="13">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ht="13">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ht="13">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ht="1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ht="13">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ht="13">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ht="13">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ht="13">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ht="13">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ht="13">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ht="13">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ht="13">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ht="13">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ht="1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ht="13">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ht="13">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ht="13">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ht="13">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ht="13">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ht="13">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ht="13">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ht="13">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ht="13">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ht="1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ht="13">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ht="13">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ht="13">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ht="13">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ht="13">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ht="13">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ht="13">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ht="13">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ht="13">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ht="1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ht="13">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ht="13">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ht="13">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ht="13">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ht="13">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ht="13">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ht="13">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ht="13">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ht="13">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ht="1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ht="13">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ht="13">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ht="13">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ht="13">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ht="13">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ht="13">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ht="13">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ht="13">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ht="13">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ht="1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ht="13">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ht="13">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ht="13">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ht="13">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ht="13">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ht="13">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ht="13">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ht="13">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ht="13">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ht="1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ht="13">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ht="13">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ht="13">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ht="13">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ht="13">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ht="13">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ht="13">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ht="13">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ht="13">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ht="1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ht="13">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ht="13">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ht="13">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ht="13">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ht="13">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ht="13">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ht="13">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ht="13">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ht="13">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ht="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ht="13">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ht="13">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ht="13">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ht="13">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ht="13">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ht="13">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ht="13">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ht="13">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ht="13">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ht="1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ht="13">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ht="13">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ht="13">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ht="13">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ht="13">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ht="13">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ht="13">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ht="13">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ht="13">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ht="1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ht="13">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ht="13">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ht="13">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ht="13">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ht="13">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ht="13">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ht="13">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ht="13">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ht="13">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ht="1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ht="13">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ht="13">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ht="13">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ht="13">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ht="13">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ht="13">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ht="13">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ht="13">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ht="13">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ht="1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ht="13">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ht="13">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ht="13">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ht="13">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ht="13">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ht="13">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ht="13">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ht="13">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ht="13">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ht="1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ht="13">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ht="13">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ht="13">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ht="13">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ht="13">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ht="13">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ht="13">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ht="13">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ht="13">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ht="1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ht="13">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ht="13">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ht="13">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ht="13">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ht="13">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ht="13">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ht="13">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ht="13">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ht="13">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ht="1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ht="13">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ht="13">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ht="13">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ht="13">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ht="13">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ht="13">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ht="13">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ht="13">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ht="13">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ht="1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ht="13">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ht="13">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ht="13">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ht="13">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ht="13">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ht="13">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ht="13">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2">
    <mergeCell ref="A1:F1"/>
    <mergeCell ref="G1:H1"/>
  </mergeCells>
  <conditionalFormatting sqref="A1:A1000">
    <cfRule type="containsText" dxfId="10" priority="1" operator="containsText" text="Unassigned">
      <formula>NOT(ISERROR(SEARCH(("Unassigned"),(A1))))</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0"/>
  <sheetViews>
    <sheetView workbookViewId="0"/>
  </sheetViews>
  <sheetFormatPr baseColWidth="10" defaultColWidth="14.5" defaultRowHeight="15.75" customHeight="1"/>
  <cols>
    <col min="1" max="1" width="13.1640625" customWidth="1"/>
    <col min="2" max="2" width="15.83203125" customWidth="1"/>
    <col min="3" max="3" width="14.83203125" customWidth="1"/>
    <col min="4" max="4" width="20.1640625" customWidth="1"/>
    <col min="5" max="5" width="20.5" customWidth="1"/>
    <col min="6" max="6" width="19.5" customWidth="1"/>
    <col min="7" max="7" width="23.5" customWidth="1"/>
    <col min="8" max="8" width="33.5" customWidth="1"/>
    <col min="11" max="11" width="43.83203125" customWidth="1"/>
  </cols>
  <sheetData>
    <row r="1" spans="1:26" ht="15.75" customHeight="1">
      <c r="A1" s="177" t="s">
        <v>7</v>
      </c>
      <c r="B1" s="178"/>
      <c r="C1" s="178"/>
      <c r="D1" s="178"/>
      <c r="E1" s="178"/>
      <c r="F1" s="179"/>
      <c r="G1" s="177" t="s">
        <v>38</v>
      </c>
      <c r="H1" s="179"/>
      <c r="I1" s="49"/>
      <c r="J1" s="49"/>
      <c r="K1" s="49"/>
      <c r="L1" s="49"/>
      <c r="M1" s="49"/>
      <c r="N1" s="49"/>
      <c r="O1" s="49"/>
      <c r="P1" s="49"/>
      <c r="Q1" s="49"/>
      <c r="R1" s="49"/>
      <c r="S1" s="49"/>
      <c r="T1" s="49"/>
      <c r="U1" s="49"/>
      <c r="V1" s="49"/>
      <c r="W1" s="49"/>
      <c r="X1" s="49"/>
      <c r="Y1" s="49"/>
      <c r="Z1" s="49"/>
    </row>
    <row r="2" spans="1:26" ht="15.75" customHeight="1">
      <c r="A2" s="21" t="s">
        <v>0</v>
      </c>
      <c r="B2" s="21" t="s">
        <v>72</v>
      </c>
      <c r="C2" s="21" t="s">
        <v>73</v>
      </c>
      <c r="D2" s="85" t="s">
        <v>74</v>
      </c>
      <c r="E2" s="21" t="s">
        <v>76</v>
      </c>
      <c r="F2" s="21" t="s">
        <v>327</v>
      </c>
      <c r="G2" s="85" t="s">
        <v>81</v>
      </c>
      <c r="H2" s="21" t="s">
        <v>82</v>
      </c>
      <c r="I2" s="49"/>
      <c r="J2" s="49"/>
      <c r="K2" s="49"/>
      <c r="L2" s="49"/>
      <c r="M2" s="49"/>
      <c r="N2" s="49"/>
      <c r="O2" s="49"/>
      <c r="P2" s="49"/>
      <c r="Q2" s="49"/>
      <c r="R2" s="49"/>
      <c r="S2" s="49"/>
      <c r="T2" s="49"/>
      <c r="U2" s="49"/>
      <c r="V2" s="49"/>
      <c r="W2" s="49"/>
      <c r="X2" s="49"/>
      <c r="Y2" s="49"/>
      <c r="Z2" s="49"/>
    </row>
    <row r="3" spans="1:26" ht="15.75" customHeight="1">
      <c r="A3" s="62" t="str">
        <f ca="1">IFERROR(__xludf.DUMMYFUNCTION("filter(Assignments!B3:B1000,Assignments!O3:O1000=""Comprehensive"")"),"Declined")</f>
        <v>Declined</v>
      </c>
      <c r="B3" s="62" t="str">
        <f ca="1">IFERROR(__xludf.DUMMYFUNCTION("filter(Assignments!C3:C1000,Assignments!O3:O1000=""Comprehensive"")"),"")</f>
        <v/>
      </c>
      <c r="C3" s="49" t="str">
        <f ca="1">IFERROR(__xludf.DUMMYFUNCTION("filter(Assignments!D3:D1000,Assignments!O3:O1000=""Comprehensive"")"),"")</f>
        <v/>
      </c>
      <c r="D3" s="49" t="str">
        <f ca="1">IFERROR(__xludf.DUMMYFUNCTION("filter(Assignments!E3:E1000,Assignments!O3:O1000=""Comprehensive"")"),"No")</f>
        <v>No</v>
      </c>
      <c r="E3" s="49" t="str">
        <f ca="1">IFERROR(__xludf.DUMMYFUNCTION("filter(Assignments!G3:G1000,Assignments!O3:O1000=""Comprehensive"")"),"Somatic Cancer")</f>
        <v>Somatic Cancer</v>
      </c>
      <c r="F3" s="49" t="str">
        <f ca="1">IFERROR(__xludf.DUMMYFUNCTION("filter(Assignments!H3:H1000,Assignments!O3:O1000=""Comprehensive"")"),"Pediatric cancer")</f>
        <v>Pediatric cancer</v>
      </c>
      <c r="G3" s="49" t="str">
        <f ca="1">IFERROR(__xludf.DUMMYFUNCTION("filter(Assignments!L3:L1000,Assignments!O3:O1000=""Comprehensive"")"),"Suneeta Mandava")</f>
        <v>Suneeta Mandava</v>
      </c>
      <c r="H3" s="49" t="str">
        <f ca="1">IFERROR(__xludf.DUMMYFUNCTION("filter(Assignments!M3:M1000,Assignments!O3:O1000=""Comprehensive"")"),"suneeta.mandava@gmail.com")</f>
        <v>suneeta.mandava@gmail.com</v>
      </c>
      <c r="I3" s="62" t="str">
        <f ca="1">IFERROR(__xludf.DUMMYFUNCTION("filter(Assignments!N3:N1000,Assignments!O3:O1000=""Comprehensive"")"),"Variant Analyst/Scientist")</f>
        <v>Variant Analyst/Scientist</v>
      </c>
      <c r="J3" s="49"/>
      <c r="K3" s="62" t="str">
        <f ca="1">IFERROR(__xludf.DUMMYFUNCTION("filter(Assignments!P3:P1000,Assignments!O3:O1000=""Comprehensive"")"),"Somatic Cancer")</f>
        <v>Somatic Cancer</v>
      </c>
      <c r="L3" s="62"/>
      <c r="M3" s="62"/>
      <c r="N3" s="62"/>
      <c r="O3" s="62"/>
      <c r="P3" s="49"/>
      <c r="Q3" s="49"/>
      <c r="R3" s="49"/>
      <c r="S3" s="49"/>
      <c r="T3" s="49"/>
      <c r="U3" s="49"/>
      <c r="V3" s="49"/>
      <c r="W3" s="49"/>
      <c r="X3" s="49"/>
      <c r="Y3" s="49"/>
      <c r="Z3" s="49"/>
    </row>
    <row r="4" spans="1:26" ht="15.75" customHeight="1">
      <c r="A4" s="49" t="str">
        <f ca="1">IFERROR(__xludf.DUMMYFUNCTION("""COMPUTED_VALUE"""),"Unresponsive")</f>
        <v>Unresponsive</v>
      </c>
      <c r="B4" s="49" t="str">
        <f ca="1">IFERROR(__xludf.DUMMYFUNCTION("""COMPUTED_VALUE"""),"")</f>
        <v/>
      </c>
      <c r="C4" s="49" t="str">
        <f ca="1">IFERROR(__xludf.DUMMYFUNCTION("""COMPUTED_VALUE"""),"")</f>
        <v/>
      </c>
      <c r="D4" s="49" t="str">
        <f ca="1">IFERROR(__xludf.DUMMYFUNCTION("""COMPUTED_VALUE"""),"No")</f>
        <v>No</v>
      </c>
      <c r="E4" s="49" t="str">
        <f ca="1">IFERROR(__xludf.DUMMYFUNCTION("""COMPUTED_VALUE"""),"Actionability")</f>
        <v>Actionability</v>
      </c>
      <c r="F4" s="49" t="str">
        <f ca="1">IFERROR(__xludf.DUMMYFUNCTION("""COMPUTED_VALUE"""),"")</f>
        <v/>
      </c>
      <c r="G4" s="49" t="str">
        <f ca="1">IFERROR(__xludf.DUMMYFUNCTION("""COMPUTED_VALUE"""),"Edwin Kim")</f>
        <v>Edwin Kim</v>
      </c>
      <c r="H4" s="49" t="str">
        <f ca="1">IFERROR(__xludf.DUMMYFUNCTION("""COMPUTED_VALUE"""),"Edwinkimmd@gmail.com")</f>
        <v>Edwinkimmd@gmail.com</v>
      </c>
      <c r="I4" s="49" t="str">
        <f ca="1">IFERROR(__xludf.DUMMYFUNCTION("""COMPUTED_VALUE"""),"Physician (Non-geneticist)")</f>
        <v>Physician (Non-geneticist)</v>
      </c>
      <c r="J4" s="49"/>
      <c r="K4" s="49" t="str">
        <f ca="1">IFERROR(__xludf.DUMMYFUNCTION("""COMPUTED_VALUE"""),"Clinical Actionability")</f>
        <v>Clinical Actionability</v>
      </c>
      <c r="L4" s="49"/>
      <c r="M4" s="49"/>
      <c r="N4" s="49"/>
      <c r="O4" s="49"/>
      <c r="P4" s="49"/>
      <c r="Q4" s="49"/>
      <c r="R4" s="49"/>
      <c r="S4" s="49"/>
      <c r="T4" s="49"/>
      <c r="U4" s="49"/>
      <c r="V4" s="49"/>
      <c r="W4" s="49"/>
      <c r="X4" s="49"/>
      <c r="Y4" s="49"/>
      <c r="Z4" s="49"/>
    </row>
    <row r="5" spans="1:26" ht="15.75" customHeight="1">
      <c r="A5" s="49" t="str">
        <f ca="1">IFERROR(__xludf.DUMMYFUNCTION("""COMPUTED_VALUE"""),"Contacted")</f>
        <v>Contacted</v>
      </c>
      <c r="B5" s="49" t="str">
        <f ca="1">IFERROR(__xludf.DUMMYFUNCTION("""COMPUTED_VALUE"""),"")</f>
        <v/>
      </c>
      <c r="C5" s="98">
        <f ca="1">IFERROR(__xludf.DUMMYFUNCTION("""COMPUTED_VALUE"""),43570)</f>
        <v>43570</v>
      </c>
      <c r="D5" s="49" t="str">
        <f ca="1">IFERROR(__xludf.DUMMYFUNCTION("""COMPUTED_VALUE"""),"Yes")</f>
        <v>Yes</v>
      </c>
      <c r="E5" s="49" t="str">
        <f ca="1">IFERROR(__xludf.DUMMYFUNCTION("""COMPUTED_VALUE"""),"Gene Disease Validity")</f>
        <v>Gene Disease Validity</v>
      </c>
      <c r="F5" s="49" t="str">
        <f ca="1">IFERROR(__xludf.DUMMYFUNCTION("""COMPUTED_VALUE"""),"Epilepsy")</f>
        <v>Epilepsy</v>
      </c>
      <c r="G5" s="49" t="str">
        <f ca="1">IFERROR(__xludf.DUMMYFUNCTION("""COMPUTED_VALUE"""),"Xiaodong Wang")</f>
        <v>Xiaodong Wang</v>
      </c>
      <c r="H5" s="49" t="str">
        <f ca="1">IFERROR(__xludf.DUMMYFUNCTION("""COMPUTED_VALUE"""),"xdwang@ciphergene.com")</f>
        <v>xdwang@ciphergene.com</v>
      </c>
      <c r="I5" s="49" t="str">
        <f ca="1">IFERROR(__xludf.DUMMYFUNCTION("""COMPUTED_VALUE"""),"Variant Analyst/Scientist")</f>
        <v>Variant Analyst/Scientist</v>
      </c>
      <c r="J5" s="49"/>
      <c r="K5" s="49" t="str">
        <f ca="1">IFERROR(__xludf.DUMMYFUNCTION("""COMPUTED_VALUE"""),"Gene-Disease Validity")</f>
        <v>Gene-Disease Validity</v>
      </c>
      <c r="L5" s="49"/>
      <c r="M5" s="49"/>
      <c r="N5" s="49"/>
      <c r="O5" s="49"/>
      <c r="P5" s="49"/>
      <c r="Q5" s="49"/>
      <c r="R5" s="49"/>
      <c r="S5" s="49"/>
      <c r="T5" s="49"/>
      <c r="U5" s="49"/>
      <c r="V5" s="49"/>
      <c r="W5" s="49"/>
      <c r="X5" s="49"/>
      <c r="Y5" s="49"/>
      <c r="Z5" s="49"/>
    </row>
    <row r="6" spans="1:26" ht="15.75" customHeight="1">
      <c r="A6" s="49" t="str">
        <f ca="1">IFERROR(__xludf.DUMMYFUNCTION("""COMPUTED_VALUE"""),"Declined")</f>
        <v>Declined</v>
      </c>
      <c r="B6" s="88">
        <f ca="1">IFERROR(__xludf.DUMMYFUNCTION("""COMPUTED_VALUE"""),43437)</f>
        <v>43437</v>
      </c>
      <c r="C6" s="88">
        <f ca="1">IFERROR(__xludf.DUMMYFUNCTION("""COMPUTED_VALUE"""),43446)</f>
        <v>43446</v>
      </c>
      <c r="D6" s="49" t="str">
        <f ca="1">IFERROR(__xludf.DUMMYFUNCTION("""COMPUTED_VALUE"""),"Yes")</f>
        <v>Yes</v>
      </c>
      <c r="E6" s="49" t="str">
        <f ca="1">IFERROR(__xludf.DUMMYFUNCTION("""COMPUTED_VALUE"""),"Gene Disease Validity")</f>
        <v>Gene Disease Validity</v>
      </c>
      <c r="F6" s="49" t="str">
        <f ca="1">IFERROR(__xludf.DUMMYFUNCTION("""COMPUTED_VALUE"""),"ID Autism")</f>
        <v>ID Autism</v>
      </c>
      <c r="G6" s="49" t="str">
        <f ca="1">IFERROR(__xludf.DUMMYFUNCTION("""COMPUTED_VALUE"""),"Jennifer Howe")</f>
        <v>Jennifer Howe</v>
      </c>
      <c r="H6" s="49" t="str">
        <f ca="1">IFERROR(__xludf.DUMMYFUNCTION("""COMPUTED_VALUE"""),"jhowe@sickkids.ca")</f>
        <v>jhowe@sickkids.ca</v>
      </c>
      <c r="I6" s="49" t="str">
        <f ca="1">IFERROR(__xludf.DUMMYFUNCTION("""COMPUTED_VALUE"""),"Senior Project Manager")</f>
        <v>Senior Project Manager</v>
      </c>
      <c r="J6" s="49"/>
      <c r="K6" s="49" t="str">
        <f ca="1">IFERROR(__xludf.DUMMYFUNCTION("""COMPUTED_VALUE"""),"Gene-Disease Validity")</f>
        <v>Gene-Disease Validity</v>
      </c>
      <c r="L6" s="49"/>
      <c r="M6" s="49"/>
      <c r="N6" s="49"/>
      <c r="O6" s="49"/>
      <c r="P6" s="49"/>
      <c r="Q6" s="49"/>
      <c r="R6" s="49"/>
      <c r="S6" s="49"/>
      <c r="T6" s="49"/>
      <c r="U6" s="49"/>
      <c r="V6" s="49"/>
      <c r="W6" s="49"/>
      <c r="X6" s="49"/>
      <c r="Y6" s="49"/>
      <c r="Z6" s="49"/>
    </row>
    <row r="7" spans="1:26" ht="15.75" customHeight="1">
      <c r="A7" s="49" t="str">
        <f ca="1">IFERROR(__xludf.DUMMYFUNCTION("""COMPUTED_VALUE"""),"Declined")</f>
        <v>Declined</v>
      </c>
      <c r="B7" s="88">
        <f ca="1">IFERROR(__xludf.DUMMYFUNCTION("""COMPUTED_VALUE"""),43411)</f>
        <v>43411</v>
      </c>
      <c r="C7" s="88">
        <f ca="1">IFERROR(__xludf.DUMMYFUNCTION("""COMPUTED_VALUE"""),43446)</f>
        <v>43446</v>
      </c>
      <c r="D7" s="49" t="str">
        <f ca="1">IFERROR(__xludf.DUMMYFUNCTION("""COMPUTED_VALUE"""),"Yes")</f>
        <v>Yes</v>
      </c>
      <c r="E7" s="49" t="str">
        <f ca="1">IFERROR(__xludf.DUMMYFUNCTION("""COMPUTED_VALUE"""),"Gene Disease Validity")</f>
        <v>Gene Disease Validity</v>
      </c>
      <c r="F7" s="49" t="str">
        <f ca="1">IFERROR(__xludf.DUMMYFUNCTION("""COMPUTED_VALUE"""),"Hereditary Cancer")</f>
        <v>Hereditary Cancer</v>
      </c>
      <c r="G7" s="49" t="str">
        <f ca="1">IFERROR(__xludf.DUMMYFUNCTION("""COMPUTED_VALUE"""),"Kalpana Panneerselvam")</f>
        <v>Kalpana Panneerselvam</v>
      </c>
      <c r="H7" s="49" t="str">
        <f ca="1">IFERROR(__xludf.DUMMYFUNCTION("""COMPUTED_VALUE"""),"kalpanarpanneerselvam@gmail.com")</f>
        <v>kalpanarpanneerselvam@gmail.com</v>
      </c>
      <c r="I7" s="49" t="str">
        <f ca="1">IFERROR(__xludf.DUMMYFUNCTION("""COMPUTED_VALUE"""),"Biocurator")</f>
        <v>Biocurator</v>
      </c>
      <c r="J7" s="49"/>
      <c r="K7" s="49" t="str">
        <f ca="1">IFERROR(__xludf.DUMMYFUNCTION("""COMPUTED_VALUE"""),"Gene-Disease Validity")</f>
        <v>Gene-Disease Validity</v>
      </c>
      <c r="L7" s="49"/>
      <c r="M7" s="49"/>
      <c r="N7" s="49"/>
      <c r="O7" s="49"/>
      <c r="P7" s="49"/>
      <c r="Q7" s="49"/>
      <c r="R7" s="49"/>
      <c r="S7" s="49"/>
      <c r="T7" s="49"/>
      <c r="U7" s="49"/>
      <c r="V7" s="49"/>
      <c r="W7" s="49"/>
      <c r="X7" s="49"/>
      <c r="Y7" s="49"/>
      <c r="Z7" s="49"/>
    </row>
    <row r="8" spans="1:26" ht="15.75" customHeight="1">
      <c r="A8" s="49" t="str">
        <f ca="1">IFERROR(__xludf.DUMMYFUNCTION("""COMPUTED_VALUE"""),"Assigned")</f>
        <v>Assigned</v>
      </c>
      <c r="B8" s="49" t="str">
        <f ca="1">IFERROR(__xludf.DUMMYFUNCTION("""COMPUTED_VALUE"""),"")</f>
        <v/>
      </c>
      <c r="C8" s="87">
        <f ca="1">IFERROR(__xludf.DUMMYFUNCTION("""COMPUTED_VALUE"""),43580)</f>
        <v>43580</v>
      </c>
      <c r="D8" s="49" t="str">
        <f ca="1">IFERROR(__xludf.DUMMYFUNCTION("""COMPUTED_VALUE"""),"Yes")</f>
        <v>Yes</v>
      </c>
      <c r="E8" s="49" t="str">
        <f ca="1">IFERROR(__xludf.DUMMYFUNCTION("""COMPUTED_VALUE"""),"Dosage Sensitivity")</f>
        <v>Dosage Sensitivity</v>
      </c>
      <c r="F8" s="49" t="str">
        <f ca="1">IFERROR(__xludf.DUMMYFUNCTION("""COMPUTED_VALUE"""),"Recurrent CNVs")</f>
        <v>Recurrent CNVs</v>
      </c>
      <c r="G8" s="49" t="str">
        <f ca="1">IFERROR(__xludf.DUMMYFUNCTION("""COMPUTED_VALUE"""),"Justin Schleede Phd")</f>
        <v>Justin Schleede Phd</v>
      </c>
      <c r="H8" s="49" t="str">
        <f ca="1">IFERROR(__xludf.DUMMYFUNCTION("""COMPUTED_VALUE"""),"schleej@labcorp.com")</f>
        <v>schleej@labcorp.com</v>
      </c>
      <c r="I8" s="49" t="str">
        <f ca="1">IFERROR(__xludf.DUMMYFUNCTION("""COMPUTED_VALUE"""),"Clinical laboratory geneticist")</f>
        <v>Clinical laboratory geneticist</v>
      </c>
      <c r="J8" s="49"/>
      <c r="K8" s="49" t="str">
        <f ca="1">IFERROR(__xludf.DUMMYFUNCTION("""COMPUTED_VALUE"""),"Dosage Sensitivity")</f>
        <v>Dosage Sensitivity</v>
      </c>
      <c r="L8" s="49"/>
      <c r="M8" s="49"/>
      <c r="N8" s="49"/>
      <c r="O8" s="49"/>
      <c r="P8" s="49"/>
      <c r="Q8" s="49"/>
      <c r="R8" s="49"/>
      <c r="S8" s="49"/>
      <c r="T8" s="49"/>
      <c r="U8" s="49"/>
      <c r="V8" s="49"/>
      <c r="W8" s="49"/>
      <c r="X8" s="49"/>
      <c r="Y8" s="49"/>
      <c r="Z8" s="49"/>
    </row>
    <row r="9" spans="1:26" ht="15.75" customHeight="1">
      <c r="A9" s="49" t="str">
        <f ca="1">IFERROR(__xludf.DUMMYFUNCTION("""COMPUTED_VALUE"""),"Contacted")</f>
        <v>Contacted</v>
      </c>
      <c r="B9" s="49" t="str">
        <f ca="1">IFERROR(__xludf.DUMMYFUNCTION("""COMPUTED_VALUE"""),"")</f>
        <v/>
      </c>
      <c r="C9" s="87">
        <f ca="1">IFERROR(__xludf.DUMMYFUNCTION("""COMPUTED_VALUE"""),43678)</f>
        <v>43678</v>
      </c>
      <c r="D9" s="49" t="str">
        <f ca="1">IFERROR(__xludf.DUMMYFUNCTION("""COMPUTED_VALUE"""),"Yes")</f>
        <v>Yes</v>
      </c>
      <c r="E9" s="49" t="str">
        <f ca="1">IFERROR(__xludf.DUMMYFUNCTION("""COMPUTED_VALUE"""),"Actionability")</f>
        <v>Actionability</v>
      </c>
      <c r="F9" s="49" t="str">
        <f ca="1">IFERROR(__xludf.DUMMYFUNCTION("""COMPUTED_VALUE"""),"")</f>
        <v/>
      </c>
      <c r="G9" s="49" t="str">
        <f ca="1">IFERROR(__xludf.DUMMYFUNCTION("""COMPUTED_VALUE"""),"Juan Carlos Diaz ")</f>
        <v xml:space="preserve">Juan Carlos Diaz </v>
      </c>
      <c r="H9" s="49" t="str">
        <f ca="1">IFERROR(__xludf.DUMMYFUNCTION("""COMPUTED_VALUE"""),"cuallijuan@hotmail.com ")</f>
        <v xml:space="preserve">cuallijuan@hotmail.com </v>
      </c>
      <c r="I9" s="49" t="str">
        <f ca="1">IFERROR(__xludf.DUMMYFUNCTION("""COMPUTED_VALUE"""),"Scientific Researcher")</f>
        <v>Scientific Researcher</v>
      </c>
      <c r="J9" s="49"/>
      <c r="K9" s="49" t="str">
        <f ca="1">IFERROR(__xludf.DUMMYFUNCTION("""COMPUTED_VALUE"""),"Clinical Actionability")</f>
        <v>Clinical Actionability</v>
      </c>
      <c r="L9" s="49"/>
      <c r="M9" s="49"/>
      <c r="N9" s="49"/>
      <c r="O9" s="49"/>
      <c r="P9" s="49"/>
      <c r="Q9" s="49"/>
      <c r="R9" s="49"/>
      <c r="S9" s="49"/>
      <c r="T9" s="49"/>
      <c r="U9" s="49"/>
      <c r="V9" s="49"/>
      <c r="W9" s="49"/>
      <c r="X9" s="49"/>
      <c r="Y9" s="49"/>
      <c r="Z9" s="49"/>
    </row>
    <row r="10" spans="1:26" ht="15.75" customHeight="1">
      <c r="A10" s="49" t="str">
        <f ca="1">IFERROR(__xludf.DUMMYFUNCTION("""COMPUTED_VALUE"""),"Contacted")</f>
        <v>Contacted</v>
      </c>
      <c r="B10" s="49" t="str">
        <f ca="1">IFERROR(__xludf.DUMMYFUNCTION("""COMPUTED_VALUE"""),"")</f>
        <v/>
      </c>
      <c r="C10" s="87">
        <f ca="1">IFERROR(__xludf.DUMMYFUNCTION("""COMPUTED_VALUE"""),43570)</f>
        <v>43570</v>
      </c>
      <c r="D10" s="49" t="str">
        <f ca="1">IFERROR(__xludf.DUMMYFUNCTION("""COMPUTED_VALUE"""),"Yes")</f>
        <v>Yes</v>
      </c>
      <c r="E10" s="49" t="str">
        <f ca="1">IFERROR(__xludf.DUMMYFUNCTION("""COMPUTED_VALUE"""),"Gene Disease Validity")</f>
        <v>Gene Disease Validity</v>
      </c>
      <c r="F10" s="49" t="str">
        <f ca="1">IFERROR(__xludf.DUMMYFUNCTION("""COMPUTED_VALUE"""),"Dilated Cardiomyopathy")</f>
        <v>Dilated Cardiomyopathy</v>
      </c>
      <c r="G10" s="49" t="str">
        <f ca="1">IFERROR(__xludf.DUMMYFUNCTION("""COMPUTED_VALUE"""),"Tomohiko Ai")</f>
        <v>Tomohiko Ai</v>
      </c>
      <c r="H10" s="49" t="str">
        <f ca="1">IFERROR(__xludf.DUMMYFUNCTION("""COMPUTED_VALUE"""),"Tomohiko.Ai@osumc.edu")</f>
        <v>Tomohiko.Ai@osumc.edu</v>
      </c>
      <c r="I10" s="49" t="str">
        <f ca="1">IFERROR(__xludf.DUMMYFUNCTION("""COMPUTED_VALUE"""),"Scientific Researcher")</f>
        <v>Scientific Researcher</v>
      </c>
      <c r="J10" s="49"/>
      <c r="K10" s="49" t="str">
        <f ca="1">IFERROR(__xludf.DUMMYFUNCTION("""COMPUTED_VALUE"""),"Gene-Disease Validity")</f>
        <v>Gene-Disease Validity</v>
      </c>
      <c r="L10" s="49"/>
      <c r="M10" s="49"/>
      <c r="N10" s="49"/>
      <c r="O10" s="49"/>
      <c r="P10" s="49"/>
      <c r="Q10" s="49"/>
      <c r="R10" s="49"/>
      <c r="S10" s="49"/>
      <c r="T10" s="49"/>
      <c r="U10" s="49"/>
      <c r="V10" s="49"/>
      <c r="W10" s="49"/>
      <c r="X10" s="49"/>
      <c r="Y10" s="49"/>
      <c r="Z10" s="49"/>
    </row>
    <row r="11" spans="1:26" ht="15.75" customHeight="1">
      <c r="A11" s="49" t="str">
        <f ca="1">IFERROR(__xludf.DUMMYFUNCTION("""COMPUTED_VALUE"""),"Unresponsive")</f>
        <v>Unresponsive</v>
      </c>
      <c r="B11" s="88">
        <f ca="1">IFERROR(__xludf.DUMMYFUNCTION("""COMPUTED_VALUE"""),43474)</f>
        <v>43474</v>
      </c>
      <c r="C11" s="98">
        <f ca="1">IFERROR(__xludf.DUMMYFUNCTION("""COMPUTED_VALUE"""),43476)</f>
        <v>43476</v>
      </c>
      <c r="D11" s="49" t="str">
        <f ca="1">IFERROR(__xludf.DUMMYFUNCTION("""COMPUTED_VALUE"""),"Yes")</f>
        <v>Yes</v>
      </c>
      <c r="E11" s="49" t="str">
        <f ca="1">IFERROR(__xludf.DUMMYFUNCTION("""COMPUTED_VALUE"""),"Somatic Cancer")</f>
        <v>Somatic Cancer</v>
      </c>
      <c r="F11" s="49" t="str">
        <f ca="1">IFERROR(__xludf.DUMMYFUNCTION("""COMPUTED_VALUE"""),"Somatic WG")</f>
        <v>Somatic WG</v>
      </c>
      <c r="G11" s="49" t="str">
        <f ca="1">IFERROR(__xludf.DUMMYFUNCTION("""COMPUTED_VALUE"""),"Rajavarman Kittu")</f>
        <v>Rajavarman Kittu</v>
      </c>
      <c r="H11" s="49" t="str">
        <f ca="1">IFERROR(__xludf.DUMMYFUNCTION("""COMPUTED_VALUE"""),"rajavarman21@gmail.com")</f>
        <v>rajavarman21@gmail.com</v>
      </c>
      <c r="I11" s="49" t="str">
        <f ca="1">IFERROR(__xludf.DUMMYFUNCTION("""COMPUTED_VALUE"""),"Variant Analyst/Scientist")</f>
        <v>Variant Analyst/Scientist</v>
      </c>
      <c r="J11" s="49"/>
      <c r="K11" s="49" t="str">
        <f ca="1">IFERROR(__xludf.DUMMYFUNCTION("""COMPUTED_VALUE"""),"Somatic Cancer")</f>
        <v>Somatic Cancer</v>
      </c>
      <c r="L11" s="49"/>
      <c r="M11" s="49"/>
      <c r="N11" s="49"/>
      <c r="O11" s="49"/>
      <c r="P11" s="49"/>
      <c r="Q11" s="49"/>
      <c r="R11" s="49"/>
      <c r="S11" s="49"/>
      <c r="T11" s="49"/>
      <c r="U11" s="49"/>
      <c r="V11" s="49"/>
      <c r="W11" s="49"/>
      <c r="X11" s="49"/>
      <c r="Y11" s="49"/>
      <c r="Z11" s="49"/>
    </row>
    <row r="12" spans="1:26" ht="15.75" customHeight="1">
      <c r="A12" s="49" t="str">
        <f ca="1">IFERROR(__xludf.DUMMYFUNCTION("""COMPUTED_VALUE"""),"Contacted")</f>
        <v>Contacted</v>
      </c>
      <c r="B12" s="49" t="str">
        <f ca="1">IFERROR(__xludf.DUMMYFUNCTION("""COMPUTED_VALUE"""),"")</f>
        <v/>
      </c>
      <c r="C12" s="87">
        <f ca="1">IFERROR(__xludf.DUMMYFUNCTION("""COMPUTED_VALUE"""),43678)</f>
        <v>43678</v>
      </c>
      <c r="D12" s="49" t="str">
        <f ca="1">IFERROR(__xludf.DUMMYFUNCTION("""COMPUTED_VALUE"""),"Yes")</f>
        <v>Yes</v>
      </c>
      <c r="E12" s="49" t="str">
        <f ca="1">IFERROR(__xludf.DUMMYFUNCTION("""COMPUTED_VALUE"""),"Actionability")</f>
        <v>Actionability</v>
      </c>
      <c r="F12" s="49" t="str">
        <f ca="1">IFERROR(__xludf.DUMMYFUNCTION("""COMPUTED_VALUE"""),"")</f>
        <v/>
      </c>
      <c r="G12" s="49" t="str">
        <f ca="1">IFERROR(__xludf.DUMMYFUNCTION("""COMPUTED_VALUE"""),"Rhea Vallente")</f>
        <v>Rhea Vallente</v>
      </c>
      <c r="H12" s="49" t="str">
        <f ca="1">IFERROR(__xludf.DUMMYFUNCTION("""COMPUTED_VALUE"""),"rvallente@fulgentgenetics.com")</f>
        <v>rvallente@fulgentgenetics.com</v>
      </c>
      <c r="I12" s="49" t="str">
        <f ca="1">IFERROR(__xludf.DUMMYFUNCTION("""COMPUTED_VALUE"""),"Variant Analyst/Scientist")</f>
        <v>Variant Analyst/Scientist</v>
      </c>
      <c r="J12" s="49"/>
      <c r="K12" s="49" t="str">
        <f ca="1">IFERROR(__xludf.DUMMYFUNCTION("""COMPUTED_VALUE"""),"Clinical Actionability")</f>
        <v>Clinical Actionability</v>
      </c>
      <c r="L12" s="49"/>
      <c r="M12" s="49"/>
      <c r="N12" s="49"/>
      <c r="O12" s="49"/>
      <c r="P12" s="49"/>
      <c r="Q12" s="49"/>
      <c r="R12" s="49"/>
      <c r="S12" s="49"/>
      <c r="T12" s="49"/>
      <c r="U12" s="49"/>
      <c r="V12" s="49"/>
      <c r="W12" s="49"/>
      <c r="X12" s="49"/>
      <c r="Y12" s="49"/>
      <c r="Z12" s="49"/>
    </row>
    <row r="13" spans="1:26" ht="15.75" customHeight="1">
      <c r="A13" s="49" t="str">
        <f ca="1">IFERROR(__xludf.DUMMYFUNCTION("""COMPUTED_VALUE"""),"Declined")</f>
        <v>Declined</v>
      </c>
      <c r="B13" s="49" t="str">
        <f ca="1">IFERROR(__xludf.DUMMYFUNCTION("""COMPUTED_VALUE"""),"")</f>
        <v/>
      </c>
      <c r="C13" s="88">
        <f ca="1">IFERROR(__xludf.DUMMYFUNCTION("""COMPUTED_VALUE"""),43585)</f>
        <v>43585</v>
      </c>
      <c r="D13" s="49" t="str">
        <f ca="1">IFERROR(__xludf.DUMMYFUNCTION("""COMPUTED_VALUE"""),"Yes")</f>
        <v>Yes</v>
      </c>
      <c r="E13" s="49" t="str">
        <f ca="1">IFERROR(__xludf.DUMMYFUNCTION("""COMPUTED_VALUE"""),"Gene Disease Validity")</f>
        <v>Gene Disease Validity</v>
      </c>
      <c r="F13" s="49" t="str">
        <f ca="1">IFERROR(__xludf.DUMMYFUNCTION("""COMPUTED_VALUE"""),"ID/Autism")</f>
        <v>ID/Autism</v>
      </c>
      <c r="G13" s="49" t="str">
        <f ca="1">IFERROR(__xludf.DUMMYFUNCTION("""COMPUTED_VALUE"""),"Caitlin Hale")</f>
        <v>Caitlin Hale</v>
      </c>
      <c r="H13" s="49" t="str">
        <f ca="1">IFERROR(__xludf.DUMMYFUNCTION("""COMPUTED_VALUE"""),"CHale@stanfordchildrens.org")</f>
        <v>CHale@stanfordchildrens.org</v>
      </c>
      <c r="I13" s="49" t="str">
        <f ca="1">IFERROR(__xludf.DUMMYFUNCTION("""COMPUTED_VALUE"""),"Genetic counselor")</f>
        <v>Genetic counselor</v>
      </c>
      <c r="J13" s="49"/>
      <c r="K13" s="49" t="str">
        <f ca="1">IFERROR(__xludf.DUMMYFUNCTION("""COMPUTED_VALUE"""),"Gene-Disease Validity")</f>
        <v>Gene-Disease Validity</v>
      </c>
      <c r="L13" s="49"/>
      <c r="M13" s="49"/>
      <c r="N13" s="49"/>
      <c r="O13" s="49"/>
      <c r="P13" s="49"/>
      <c r="Q13" s="49"/>
      <c r="R13" s="49"/>
      <c r="S13" s="49"/>
      <c r="T13" s="49"/>
      <c r="U13" s="49"/>
      <c r="V13" s="49"/>
      <c r="W13" s="49"/>
      <c r="X13" s="49"/>
      <c r="Y13" s="49"/>
      <c r="Z13" s="49"/>
    </row>
    <row r="14" spans="1:26" ht="15.75" customHeight="1">
      <c r="A14" s="49" t="str">
        <f ca="1">IFERROR(__xludf.DUMMYFUNCTION("""COMPUTED_VALUE"""),"Contacted")</f>
        <v>Contacted</v>
      </c>
      <c r="B14" s="49" t="str">
        <f ca="1">IFERROR(__xludf.DUMMYFUNCTION("""COMPUTED_VALUE"""),"")</f>
        <v/>
      </c>
      <c r="C14" s="99">
        <f ca="1">IFERROR(__xludf.DUMMYFUNCTION("""COMPUTED_VALUE"""),43567)</f>
        <v>43567</v>
      </c>
      <c r="D14" s="49" t="str">
        <f ca="1">IFERROR(__xludf.DUMMYFUNCTION("""COMPUTED_VALUE"""),"Yes")</f>
        <v>Yes</v>
      </c>
      <c r="E14" s="49" t="str">
        <f ca="1">IFERROR(__xludf.DUMMYFUNCTION("""COMPUTED_VALUE"""),"Actionability")</f>
        <v>Actionability</v>
      </c>
      <c r="F14" s="49" t="str">
        <f ca="1">IFERROR(__xludf.DUMMYFUNCTION("""COMPUTED_VALUE"""),"Actionability")</f>
        <v>Actionability</v>
      </c>
      <c r="G14" s="49" t="str">
        <f ca="1">IFERROR(__xludf.DUMMYFUNCTION("""COMPUTED_VALUE"""),"Melissa Murfin")</f>
        <v>Melissa Murfin</v>
      </c>
      <c r="H14" s="49" t="str">
        <f ca="1">IFERROR(__xludf.DUMMYFUNCTION("""COMPUTED_VALUE"""),"mmurfin@elon.edu")</f>
        <v>mmurfin@elon.edu</v>
      </c>
      <c r="I14" s="49" t="str">
        <f ca="1">IFERROR(__xludf.DUMMYFUNCTION("""COMPUTED_VALUE"""),"Pharmacist/PA-C, PA program director")</f>
        <v>Pharmacist/PA-C, PA program director</v>
      </c>
      <c r="J14" s="49"/>
      <c r="K14" s="49" t="str">
        <f ca="1">IFERROR(__xludf.DUMMYFUNCTION("""COMPUTED_VALUE"""),"Clinical Actionability")</f>
        <v>Clinical Actionability</v>
      </c>
      <c r="L14" s="49"/>
      <c r="M14" s="49"/>
      <c r="N14" s="49"/>
      <c r="O14" s="49"/>
      <c r="P14" s="49"/>
      <c r="Q14" s="49"/>
      <c r="R14" s="49"/>
      <c r="S14" s="49"/>
      <c r="T14" s="49"/>
      <c r="U14" s="49"/>
      <c r="V14" s="49"/>
      <c r="W14" s="49"/>
      <c r="X14" s="49"/>
      <c r="Y14" s="49"/>
      <c r="Z14" s="49"/>
    </row>
    <row r="15" spans="1:26" ht="15.75" customHeight="1">
      <c r="A15" s="49" t="str">
        <f ca="1">IFERROR(__xludf.DUMMYFUNCTION("""COMPUTED_VALUE"""),"Contacted")</f>
        <v>Contacted</v>
      </c>
      <c r="B15" s="49" t="str">
        <f ca="1">IFERROR(__xludf.DUMMYFUNCTION("""COMPUTED_VALUE"""),"")</f>
        <v/>
      </c>
      <c r="C15" s="87">
        <f ca="1">IFERROR(__xludf.DUMMYFUNCTION("""COMPUTED_VALUE"""),43585)</f>
        <v>43585</v>
      </c>
      <c r="D15" s="49" t="str">
        <f ca="1">IFERROR(__xludf.DUMMYFUNCTION("""COMPUTED_VALUE"""),"Yes")</f>
        <v>Yes</v>
      </c>
      <c r="E15" s="49" t="str">
        <f ca="1">IFERROR(__xludf.DUMMYFUNCTION("""COMPUTED_VALUE"""),"Gene Disease Validity")</f>
        <v>Gene Disease Validity</v>
      </c>
      <c r="F15" s="49" t="str">
        <f ca="1">IFERROR(__xludf.DUMMYFUNCTION("""COMPUTED_VALUE"""),"Hemo/Thrombo")</f>
        <v>Hemo/Thrombo</v>
      </c>
      <c r="G15" s="49" t="str">
        <f ca="1">IFERROR(__xludf.DUMMYFUNCTION("""COMPUTED_VALUE"""),"Ana León")</f>
        <v>Ana León</v>
      </c>
      <c r="H15" s="49" t="str">
        <f ca="1">IFERROR(__xludf.DUMMYFUNCTION("""COMPUTED_VALUE"""),"aleon@pros.upv.es")</f>
        <v>aleon@pros.upv.es</v>
      </c>
      <c r="I15" s="49" t="str">
        <f ca="1">IFERROR(__xludf.DUMMYFUNCTION("""COMPUTED_VALUE"""),"PhD Student")</f>
        <v>PhD Student</v>
      </c>
      <c r="J15" s="49"/>
      <c r="K15" s="49" t="str">
        <f ca="1">IFERROR(__xludf.DUMMYFUNCTION("""COMPUTED_VALUE"""),"Gene-Disease Validity")</f>
        <v>Gene-Disease Validity</v>
      </c>
      <c r="L15" s="49"/>
      <c r="M15" s="49"/>
      <c r="N15" s="49"/>
      <c r="O15" s="49"/>
      <c r="P15" s="49"/>
      <c r="Q15" s="49"/>
      <c r="R15" s="49"/>
      <c r="S15" s="49"/>
      <c r="T15" s="49"/>
      <c r="U15" s="49"/>
      <c r="V15" s="49"/>
      <c r="W15" s="49"/>
      <c r="X15" s="49"/>
      <c r="Y15" s="49"/>
      <c r="Z15" s="49"/>
    </row>
    <row r="16" spans="1:26" ht="15.75" customHeight="1">
      <c r="A16" s="49" t="str">
        <f ca="1">IFERROR(__xludf.DUMMYFUNCTION("""COMPUTED_VALUE"""),"Assigned")</f>
        <v>Assigned</v>
      </c>
      <c r="B16" s="88">
        <f ca="1">IFERROR(__xludf.DUMMYFUNCTION("""COMPUTED_VALUE"""),43437)</f>
        <v>43437</v>
      </c>
      <c r="C16" s="88">
        <f ca="1">IFERROR(__xludf.DUMMYFUNCTION("""COMPUTED_VALUE"""),43446)</f>
        <v>43446</v>
      </c>
      <c r="D16" s="49" t="str">
        <f ca="1">IFERROR(__xludf.DUMMYFUNCTION("""COMPUTED_VALUE"""),"Yes")</f>
        <v>Yes</v>
      </c>
      <c r="E16" s="49" t="str">
        <f ca="1">IFERROR(__xludf.DUMMYFUNCTION("""COMPUTED_VALUE"""),"Gene Disease Validity")</f>
        <v>Gene Disease Validity</v>
      </c>
      <c r="F16" s="49" t="str">
        <f ca="1">IFERROR(__xludf.DUMMYFUNCTION("""COMPUTED_VALUE"""),"ID Autism")</f>
        <v>ID Autism</v>
      </c>
      <c r="G16" s="49" t="str">
        <f ca="1">IFERROR(__xludf.DUMMYFUNCTION("""COMPUTED_VALUE"""),"Catalina Betancur")</f>
        <v>Catalina Betancur</v>
      </c>
      <c r="H16" s="49" t="str">
        <f ca="1">IFERROR(__xludf.DUMMYFUNCTION("""COMPUTED_VALUE"""),"Catalina.Betancur@inserm.fr")</f>
        <v>Catalina.Betancur@inserm.fr</v>
      </c>
      <c r="I16" s="49" t="str">
        <f ca="1">IFERROR(__xludf.DUMMYFUNCTION("""COMPUTED_VALUE"""),"NA")</f>
        <v>NA</v>
      </c>
      <c r="J16" s="49"/>
      <c r="K16" s="49" t="str">
        <f ca="1">IFERROR(__xludf.DUMMYFUNCTION("""COMPUTED_VALUE"""),"Gene-Disease Validity")</f>
        <v>Gene-Disease Validity</v>
      </c>
      <c r="L16" s="49"/>
      <c r="M16" s="49"/>
      <c r="N16" s="49"/>
      <c r="O16" s="49"/>
      <c r="P16" s="49"/>
      <c r="Q16" s="49"/>
      <c r="R16" s="49"/>
      <c r="S16" s="49"/>
      <c r="T16" s="49"/>
      <c r="U16" s="49"/>
      <c r="V16" s="49"/>
      <c r="W16" s="49"/>
      <c r="X16" s="49"/>
      <c r="Y16" s="49"/>
      <c r="Z16" s="49"/>
    </row>
    <row r="17" spans="1:26" ht="15.75" customHeight="1">
      <c r="A17" s="49" t="str">
        <f ca="1">IFERROR(__xludf.DUMMYFUNCTION("""COMPUTED_VALUE"""),"Contacted")</f>
        <v>Contacted</v>
      </c>
      <c r="B17" s="49" t="str">
        <f ca="1">IFERROR(__xludf.DUMMYFUNCTION("""COMPUTED_VALUE"""),"")</f>
        <v/>
      </c>
      <c r="C17" s="87">
        <f ca="1">IFERROR(__xludf.DUMMYFUNCTION("""COMPUTED_VALUE"""),43580)</f>
        <v>43580</v>
      </c>
      <c r="D17" s="49" t="str">
        <f ca="1">IFERROR(__xludf.DUMMYFUNCTION("""COMPUTED_VALUE"""),"Yes")</f>
        <v>Yes</v>
      </c>
      <c r="E17" s="49" t="str">
        <f ca="1">IFERROR(__xludf.DUMMYFUNCTION("""COMPUTED_VALUE"""),"Dosage Sensitivity")</f>
        <v>Dosage Sensitivity</v>
      </c>
      <c r="F17" s="49" t="str">
        <f ca="1">IFERROR(__xludf.DUMMYFUNCTION("""COMPUTED_VALUE"""),"")</f>
        <v/>
      </c>
      <c r="G17" s="49" t="str">
        <f ca="1">IFERROR(__xludf.DUMMYFUNCTION("""COMPUTED_VALUE"""),"Shulin Zhang")</f>
        <v>Shulin Zhang</v>
      </c>
      <c r="H17" s="49" t="str">
        <f ca="1">IFERROR(__xludf.DUMMYFUNCTION("""COMPUTED_VALUE"""),"shulin.zhang@uky.edu")</f>
        <v>shulin.zhang@uky.edu</v>
      </c>
      <c r="I17" s="49" t="str">
        <f ca="1">IFERROR(__xludf.DUMMYFUNCTION("""COMPUTED_VALUE"""),"Clinical laboratory geneticist")</f>
        <v>Clinical laboratory geneticist</v>
      </c>
      <c r="J17" s="49"/>
      <c r="K17" s="49" t="str">
        <f ca="1">IFERROR(__xludf.DUMMYFUNCTION("""COMPUTED_VALUE"""),"Dosage Sensitivity")</f>
        <v>Dosage Sensitivity</v>
      </c>
      <c r="L17" s="49"/>
      <c r="M17" s="49"/>
      <c r="N17" s="49"/>
      <c r="O17" s="49"/>
      <c r="P17" s="49"/>
      <c r="Q17" s="49"/>
      <c r="R17" s="49"/>
      <c r="S17" s="49"/>
      <c r="T17" s="49"/>
      <c r="U17" s="49"/>
      <c r="V17" s="49"/>
      <c r="W17" s="49"/>
      <c r="X17" s="49"/>
      <c r="Y17" s="49"/>
      <c r="Z17" s="49"/>
    </row>
    <row r="18" spans="1:26" ht="15.75" customHeight="1">
      <c r="A18" s="49" t="str">
        <f ca="1">IFERROR(__xludf.DUMMYFUNCTION("""COMPUTED_VALUE"""),"Contacted")</f>
        <v>Contacted</v>
      </c>
      <c r="B18" s="49" t="str">
        <f ca="1">IFERROR(__xludf.DUMMYFUNCTION("""COMPUTED_VALUE"""),"")</f>
        <v/>
      </c>
      <c r="C18" s="99">
        <f ca="1">IFERROR(__xludf.DUMMYFUNCTION("""COMPUTED_VALUE"""),43567)</f>
        <v>43567</v>
      </c>
      <c r="D18" s="49" t="str">
        <f ca="1">IFERROR(__xludf.DUMMYFUNCTION("""COMPUTED_VALUE"""),"Yes")</f>
        <v>Yes</v>
      </c>
      <c r="E18" s="49" t="str">
        <f ca="1">IFERROR(__xludf.DUMMYFUNCTION("""COMPUTED_VALUE"""),"Actionability")</f>
        <v>Actionability</v>
      </c>
      <c r="F18" s="49" t="str">
        <f ca="1">IFERROR(__xludf.DUMMYFUNCTION("""COMPUTED_VALUE"""),"")</f>
        <v/>
      </c>
      <c r="G18" s="49" t="str">
        <f ca="1">IFERROR(__xludf.DUMMYFUNCTION("""COMPUTED_VALUE"""),"Marwan Shinawi")</f>
        <v>Marwan Shinawi</v>
      </c>
      <c r="H18" s="49" t="str">
        <f ca="1">IFERROR(__xludf.DUMMYFUNCTION("""COMPUTED_VALUE"""),"mshinawi@wustl.edu")</f>
        <v>mshinawi@wustl.edu</v>
      </c>
      <c r="I18" s="49" t="str">
        <f ca="1">IFERROR(__xludf.DUMMYFUNCTION("""COMPUTED_VALUE"""),"Clinical Medical Geneticist")</f>
        <v>Clinical Medical Geneticist</v>
      </c>
      <c r="J18" s="49"/>
      <c r="K18" s="49" t="str">
        <f ca="1">IFERROR(__xludf.DUMMYFUNCTION("""COMPUTED_VALUE"""),"Clinical Actionability")</f>
        <v>Clinical Actionability</v>
      </c>
      <c r="L18" s="49"/>
      <c r="M18" s="49"/>
      <c r="N18" s="49"/>
      <c r="O18" s="49"/>
      <c r="P18" s="49"/>
      <c r="Q18" s="49"/>
      <c r="R18" s="49"/>
      <c r="S18" s="49"/>
      <c r="T18" s="49"/>
      <c r="U18" s="49"/>
      <c r="V18" s="49"/>
      <c r="W18" s="49"/>
      <c r="X18" s="49"/>
      <c r="Y18" s="49"/>
      <c r="Z18" s="49"/>
    </row>
    <row r="19" spans="1:26" ht="15.75" customHeight="1">
      <c r="A19" s="49" t="str">
        <f ca="1">IFERROR(__xludf.DUMMYFUNCTION("""COMPUTED_VALUE"""),"Contacted")</f>
        <v>Contacted</v>
      </c>
      <c r="B19" s="49" t="str">
        <f ca="1">IFERROR(__xludf.DUMMYFUNCTION("""COMPUTED_VALUE"""),"")</f>
        <v/>
      </c>
      <c r="C19" s="87">
        <f ca="1">IFERROR(__xludf.DUMMYFUNCTION("""COMPUTED_VALUE"""),43605)</f>
        <v>43605</v>
      </c>
      <c r="D19" s="49" t="str">
        <f ca="1">IFERROR(__xludf.DUMMYFUNCTION("""COMPUTED_VALUE"""),"Yes")</f>
        <v>Yes</v>
      </c>
      <c r="E19" s="49" t="str">
        <f ca="1">IFERROR(__xludf.DUMMYFUNCTION("""COMPUTED_VALUE"""),"Variant Pathogenicity")</f>
        <v>Variant Pathogenicity</v>
      </c>
      <c r="F19" s="49" t="str">
        <f ca="1">IFERROR(__xludf.DUMMYFUNCTION("""COMPUTED_VALUE"""),"Hearing Loss")</f>
        <v>Hearing Loss</v>
      </c>
      <c r="G19" s="49" t="str">
        <f ca="1">IFERROR(__xludf.DUMMYFUNCTION("""COMPUTED_VALUE"""),"Adam Coovadia")</f>
        <v>Adam Coovadia</v>
      </c>
      <c r="H19" s="49" t="str">
        <f ca="1">IFERROR(__xludf.DUMMYFUNCTION("""COMPUTED_VALUE"""),"coovadiaa@gmail.com")</f>
        <v>coovadiaa@gmail.com</v>
      </c>
      <c r="I19" s="49" t="str">
        <f ca="1">IFERROR(__xludf.DUMMYFUNCTION("""COMPUTED_VALUE"""),"Former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J19" s="49"/>
      <c r="K19" s="49" t="str">
        <f ca="1">IFERROR(__xludf.DUMMYFUNCTION("""COMPUTED_VALUE"""),"Variant Pathogenicity")</f>
        <v>Variant Pathogenicity</v>
      </c>
      <c r="L19" s="49"/>
      <c r="M19" s="49"/>
      <c r="N19" s="49"/>
      <c r="O19" s="49"/>
      <c r="P19" s="49"/>
      <c r="Q19" s="49"/>
      <c r="R19" s="49"/>
      <c r="S19" s="49"/>
      <c r="T19" s="49"/>
      <c r="U19" s="49"/>
      <c r="V19" s="49"/>
      <c r="W19" s="49"/>
      <c r="X19" s="49"/>
      <c r="Y19" s="49"/>
      <c r="Z19" s="49"/>
    </row>
    <row r="20" spans="1:26" ht="15.75" customHeight="1">
      <c r="A20" s="49" t="str">
        <f ca="1">IFERROR(__xludf.DUMMYFUNCTION("""COMPUTED_VALUE"""),"Assigned")</f>
        <v>Assigned</v>
      </c>
      <c r="B20" s="88">
        <f ca="1">IFERROR(__xludf.DUMMYFUNCTION("""COMPUTED_VALUE"""),43446)</f>
        <v>43446</v>
      </c>
      <c r="C20" s="88">
        <f ca="1">IFERROR(__xludf.DUMMYFUNCTION("""COMPUTED_VALUE"""),43446)</f>
        <v>43446</v>
      </c>
      <c r="D20" s="49" t="str">
        <f ca="1">IFERROR(__xludf.DUMMYFUNCTION("""COMPUTED_VALUE"""),"Yes")</f>
        <v>Yes</v>
      </c>
      <c r="E20" s="49" t="str">
        <f ca="1">IFERROR(__xludf.DUMMYFUNCTION("""COMPUTED_VALUE"""),"Gene Disease Validity")</f>
        <v>Gene Disease Validity</v>
      </c>
      <c r="F20" s="49" t="str">
        <f ca="1">IFERROR(__xludf.DUMMYFUNCTION("""COMPUTED_VALUE"""),"Hereditary Cancer")</f>
        <v>Hereditary Cancer</v>
      </c>
      <c r="G20" s="49" t="str">
        <f ca="1">IFERROR(__xludf.DUMMYFUNCTION("""COMPUTED_VALUE"""),"Volkan Okur")</f>
        <v>Volkan Okur</v>
      </c>
      <c r="H20" s="49" t="str">
        <f ca="1">IFERROR(__xludf.DUMMYFUNCTION("""COMPUTED_VALUE"""),"vokur@bcm.edu")</f>
        <v>vokur@bcm.edu</v>
      </c>
      <c r="I20" s="49" t="str">
        <f ca="1">IFERROR(__xludf.DUMMYFUNCTION("""COMPUTED_VALUE"""),"Clinical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J20" s="49"/>
      <c r="K20" s="49" t="str">
        <f ca="1">IFERROR(__xludf.DUMMYFUNCTION("""COMPUTED_VALUE"""),"Gene-Disease Validity")</f>
        <v>Gene-Disease Validity</v>
      </c>
      <c r="L20" s="49"/>
      <c r="M20" s="49"/>
      <c r="N20" s="49"/>
      <c r="O20" s="49"/>
      <c r="P20" s="49"/>
      <c r="Q20" s="49"/>
      <c r="R20" s="49"/>
      <c r="S20" s="49"/>
      <c r="T20" s="49"/>
      <c r="U20" s="49"/>
      <c r="V20" s="49"/>
      <c r="W20" s="49"/>
      <c r="X20" s="49"/>
      <c r="Y20" s="49"/>
      <c r="Z20" s="49"/>
    </row>
    <row r="21" spans="1:26" ht="15.75" customHeight="1">
      <c r="A21" s="49" t="str">
        <f ca="1">IFERROR(__xludf.DUMMYFUNCTION("""COMPUTED_VALUE"""),"Assigned")</f>
        <v>Assigned</v>
      </c>
      <c r="B21" s="88">
        <f ca="1">IFERROR(__xludf.DUMMYFUNCTION("""COMPUTED_VALUE"""),43411)</f>
        <v>43411</v>
      </c>
      <c r="C21" s="88">
        <f ca="1">IFERROR(__xludf.DUMMYFUNCTION("""COMPUTED_VALUE"""),43446)</f>
        <v>43446</v>
      </c>
      <c r="D21" s="49" t="str">
        <f ca="1">IFERROR(__xludf.DUMMYFUNCTION("""COMPUTED_VALUE"""),"Yes")</f>
        <v>Yes</v>
      </c>
      <c r="E21" s="49" t="str">
        <f ca="1">IFERROR(__xludf.DUMMYFUNCTION("""COMPUTED_VALUE"""),"Gene Disease Validity")</f>
        <v>Gene Disease Validity</v>
      </c>
      <c r="F21" s="49" t="str">
        <f ca="1">IFERROR(__xludf.DUMMYFUNCTION("""COMPUTED_VALUE"""),"ID/Autism")</f>
        <v>ID/Autism</v>
      </c>
      <c r="G21" s="49" t="str">
        <f ca="1">IFERROR(__xludf.DUMMYFUNCTION("""COMPUTED_VALUE"""),"Mythily Ganapathi")</f>
        <v>Mythily Ganapathi</v>
      </c>
      <c r="H21" s="49" t="str">
        <f ca="1">IFERROR(__xludf.DUMMYFUNCTION("""COMPUTED_VALUE"""),"mg3560@cumc.columbia.edu")</f>
        <v>mg3560@cumc.columbia.edu</v>
      </c>
      <c r="I21" s="49" t="str">
        <f ca="1">IFERROR(__xludf.DUMMYFUNCTION("""COMPUTED_VALUE"""),"Clinical laboratory geneticist")</f>
        <v>Clinical laboratory geneticist</v>
      </c>
      <c r="J21" s="49"/>
      <c r="K21" s="49" t="str">
        <f ca="1">IFERROR(__xludf.DUMMYFUNCTION("""COMPUTED_VALUE"""),"Gene-Disease Validity")</f>
        <v>Gene-Disease Validity</v>
      </c>
      <c r="L21" s="49"/>
      <c r="M21" s="49"/>
      <c r="N21" s="49"/>
      <c r="O21" s="49"/>
      <c r="P21" s="49"/>
      <c r="Q21" s="49"/>
      <c r="R21" s="49"/>
      <c r="S21" s="49"/>
      <c r="T21" s="49"/>
      <c r="U21" s="49"/>
      <c r="V21" s="49"/>
      <c r="W21" s="49"/>
      <c r="X21" s="49"/>
      <c r="Y21" s="49"/>
      <c r="Z21" s="49"/>
    </row>
    <row r="22" spans="1:26" ht="15.75" customHeight="1">
      <c r="A22" s="49" t="str">
        <f ca="1">IFERROR(__xludf.DUMMYFUNCTION("""COMPUTED_VALUE"""),"Unresponsive")</f>
        <v>Unresponsive</v>
      </c>
      <c r="B22" s="99" t="str">
        <f ca="1">IFERROR(__xludf.DUMMYFUNCTION("""COMPUTED_VALUE"""),"")</f>
        <v/>
      </c>
      <c r="C22" s="87">
        <f ca="1">IFERROR(__xludf.DUMMYFUNCTION("""COMPUTED_VALUE"""),43585)</f>
        <v>43585</v>
      </c>
      <c r="D22" s="49" t="str">
        <f ca="1">IFERROR(__xludf.DUMMYFUNCTION("""COMPUTED_VALUE"""),"Yes")</f>
        <v>Yes</v>
      </c>
      <c r="E22" s="49" t="str">
        <f ca="1">IFERROR(__xludf.DUMMYFUNCTION("""COMPUTED_VALUE"""),"Gene Disease Validity")</f>
        <v>Gene Disease Validity</v>
      </c>
      <c r="F22" s="49" t="str">
        <f ca="1">IFERROR(__xludf.DUMMYFUNCTION("""COMPUTED_VALUE"""),"")</f>
        <v/>
      </c>
      <c r="G22" s="49" t="str">
        <f ca="1">IFERROR(__xludf.DUMMYFUNCTION("""COMPUTED_VALUE"""),"Leslie Oldfield")</f>
        <v>Leslie Oldfield</v>
      </c>
      <c r="H22" s="49" t="str">
        <f ca="1">IFERROR(__xludf.DUMMYFUNCTION("""COMPUTED_VALUE"""),"leslie.oldfield@gmail.com")</f>
        <v>leslie.oldfield@gmail.com</v>
      </c>
      <c r="I22" s="49" t="str">
        <f ca="1">IFERROR(__xludf.DUMMYFUNCTION("""COMPUTED_VALUE"""),"Research Associate")</f>
        <v>Research Associate</v>
      </c>
      <c r="J22" s="49"/>
      <c r="K22" s="49" t="str">
        <f ca="1">IFERROR(__xludf.DUMMYFUNCTION("""COMPUTED_VALUE"""),"Gene-Disease Validity")</f>
        <v>Gene-Disease Validity</v>
      </c>
      <c r="L22" s="49"/>
      <c r="M22" s="49"/>
      <c r="N22" s="49"/>
      <c r="O22" s="49"/>
      <c r="P22" s="49"/>
      <c r="Q22" s="49"/>
      <c r="R22" s="49"/>
      <c r="S22" s="49"/>
      <c r="T22" s="49"/>
      <c r="U22" s="49"/>
      <c r="V22" s="49"/>
      <c r="W22" s="49"/>
      <c r="X22" s="49"/>
      <c r="Y22" s="49"/>
      <c r="Z22" s="49"/>
    </row>
    <row r="23" spans="1:26" ht="15.75" customHeight="1">
      <c r="A23" s="49" t="str">
        <f ca="1">IFERROR(__xludf.DUMMYFUNCTION("""COMPUTED_VALUE"""),"Assigned")</f>
        <v>Assigned</v>
      </c>
      <c r="B23" s="99">
        <f ca="1">IFERROR(__xludf.DUMMYFUNCTION("""COMPUTED_VALUE"""),43411)</f>
        <v>43411</v>
      </c>
      <c r="C23" s="88">
        <f ca="1">IFERROR(__xludf.DUMMYFUNCTION("""COMPUTED_VALUE"""),43446)</f>
        <v>43446</v>
      </c>
      <c r="D23" s="49" t="str">
        <f ca="1">IFERROR(__xludf.DUMMYFUNCTION("""COMPUTED_VALUE"""),"Yes")</f>
        <v>Yes</v>
      </c>
      <c r="E23" s="49" t="str">
        <f ca="1">IFERROR(__xludf.DUMMYFUNCTION("""COMPUTED_VALUE"""),"Gene Disease Validity")</f>
        <v>Gene Disease Validity</v>
      </c>
      <c r="F23" s="49" t="str">
        <f ca="1">IFERROR(__xludf.DUMMYFUNCTION("""COMPUTED_VALUE"""),"Mitochondrial GCEP")</f>
        <v>Mitochondrial GCEP</v>
      </c>
      <c r="G23" s="49" t="str">
        <f ca="1">IFERROR(__xludf.DUMMYFUNCTION("""COMPUTED_VALUE"""),"John Shoffner")</f>
        <v>John Shoffner</v>
      </c>
      <c r="H23" s="49" t="str">
        <f ca="1">IFERROR(__xludf.DUMMYFUNCTION("""COMPUTED_VALUE"""),"jmsiv9903@icloud.com")</f>
        <v>jmsiv9903@icloud.com</v>
      </c>
      <c r="I23" s="49" t="str">
        <f ca="1">IFERROR(__xludf.DUMMYFUNCTION("""COMPUTED_VALUE"""),"Clinical medical geneticist/Clinical laboratory geneticist and Neurology, Biochemical and Molecular Genetics")</f>
        <v>Clinical medical geneticist/Clinical laboratory geneticist and Neurology, Biochemical and Molecular Genetics</v>
      </c>
      <c r="J23" s="49"/>
      <c r="K23" s="49" t="str">
        <f ca="1">IFERROR(__xludf.DUMMYFUNCTION("""COMPUTED_VALUE"""),"Gene-Disease Validity")</f>
        <v>Gene-Disease Validity</v>
      </c>
      <c r="L23" s="49"/>
      <c r="M23" s="49"/>
      <c r="N23" s="49"/>
      <c r="O23" s="49"/>
      <c r="P23" s="49"/>
      <c r="Q23" s="49"/>
      <c r="R23" s="49"/>
      <c r="S23" s="49"/>
      <c r="T23" s="49"/>
      <c r="U23" s="49"/>
      <c r="V23" s="49"/>
      <c r="W23" s="49"/>
      <c r="X23" s="49"/>
      <c r="Y23" s="49"/>
      <c r="Z23" s="49"/>
    </row>
    <row r="24" spans="1:26" ht="15.75" customHeight="1">
      <c r="A24" s="49" t="str">
        <f ca="1">IFERROR(__xludf.DUMMYFUNCTION("""COMPUTED_VALUE"""),"Assigned")</f>
        <v>Assigned</v>
      </c>
      <c r="B24" s="99">
        <f ca="1">IFERROR(__xludf.DUMMYFUNCTION("""COMPUTED_VALUE"""),43411)</f>
        <v>43411</v>
      </c>
      <c r="C24" s="88">
        <f ca="1">IFERROR(__xludf.DUMMYFUNCTION("""COMPUTED_VALUE"""),43446)</f>
        <v>43446</v>
      </c>
      <c r="D24" s="49" t="str">
        <f ca="1">IFERROR(__xludf.DUMMYFUNCTION("""COMPUTED_VALUE"""),"Yes")</f>
        <v>Yes</v>
      </c>
      <c r="E24" s="49" t="str">
        <f ca="1">IFERROR(__xludf.DUMMYFUNCTION("""COMPUTED_VALUE"""),"Gene Disease Validity")</f>
        <v>Gene Disease Validity</v>
      </c>
      <c r="F24" s="49" t="str">
        <f ca="1">IFERROR(__xludf.DUMMYFUNCTION("""COMPUTED_VALUE"""),"Mitochondrial GCEP")</f>
        <v>Mitochondrial GCEP</v>
      </c>
      <c r="G24" s="49" t="str">
        <f ca="1">IFERROR(__xludf.DUMMYFUNCTION("""COMPUTED_VALUE"""),"Isabelle Thiffault")</f>
        <v>Isabelle Thiffault</v>
      </c>
      <c r="H24" s="49" t="str">
        <f ca="1">IFERROR(__xludf.DUMMYFUNCTION("""COMPUTED_VALUE"""),"ithiffault@cmh.edu")</f>
        <v>ithiffault@cmh.edu</v>
      </c>
      <c r="I24" s="49" t="str">
        <f ca="1">IFERROR(__xludf.DUMMYFUNCTION("""COMPUTED_VALUE"""),"Undergraduate")</f>
        <v>Undergraduate</v>
      </c>
      <c r="J24" s="49"/>
      <c r="K24" s="49" t="str">
        <f ca="1">IFERROR(__xludf.DUMMYFUNCTION("""COMPUTED_VALUE"""),"Gene-Disease Validity")</f>
        <v>Gene-Disease Validity</v>
      </c>
      <c r="L24" s="49"/>
      <c r="M24" s="49"/>
      <c r="N24" s="49"/>
      <c r="O24" s="49"/>
      <c r="P24" s="49"/>
      <c r="Q24" s="49"/>
      <c r="R24" s="49"/>
      <c r="S24" s="49"/>
      <c r="T24" s="49"/>
      <c r="U24" s="49"/>
      <c r="V24" s="49"/>
      <c r="W24" s="49"/>
      <c r="X24" s="49"/>
      <c r="Y24" s="49"/>
      <c r="Z24" s="49"/>
    </row>
    <row r="25" spans="1:26" ht="15.75" customHeight="1">
      <c r="A25" s="49" t="str">
        <f ca="1">IFERROR(__xludf.DUMMYFUNCTION("""COMPUTED_VALUE"""),"Assigned")</f>
        <v>Assigned</v>
      </c>
      <c r="B25" s="49" t="str">
        <f ca="1">IFERROR(__xludf.DUMMYFUNCTION("""COMPUTED_VALUE"""),"unknown")</f>
        <v>unknown</v>
      </c>
      <c r="C25" s="49" t="str">
        <f ca="1">IFERROR(__xludf.DUMMYFUNCTION("""COMPUTED_VALUE"""),"Trained before C3")</f>
        <v>Trained before C3</v>
      </c>
      <c r="D25" s="49" t="str">
        <f ca="1">IFERROR(__xludf.DUMMYFUNCTION("""COMPUTED_VALUE"""),"No")</f>
        <v>No</v>
      </c>
      <c r="E25" s="49" t="str">
        <f ca="1">IFERROR(__xludf.DUMMYFUNCTION("""COMPUTED_VALUE"""),"Gene Disease Validity")</f>
        <v>Gene Disease Validity</v>
      </c>
      <c r="F25" s="49" t="str">
        <f ca="1">IFERROR(__xludf.DUMMYFUNCTION("""COMPUTED_VALUE"""),"Hereditary Cancer")</f>
        <v>Hereditary Cancer</v>
      </c>
      <c r="G25" s="49" t="str">
        <f ca="1">IFERROR(__xludf.DUMMYFUNCTION("""COMPUTED_VALUE"""),"Ye Cao")</f>
        <v>Ye Cao</v>
      </c>
      <c r="H25" s="49" t="str">
        <f ca="1">IFERROR(__xludf.DUMMYFUNCTION("""COMPUTED_VALUE"""),"ye.cao@bcm.edu")</f>
        <v>ye.cao@bcm.edu</v>
      </c>
      <c r="I25" s="49" t="str">
        <f ca="1">IFERROR(__xludf.DUMMYFUNCTION("""COMPUTED_VALUE"""),"Clinical laboratory geneticist and Post Doc/Resident/Fellow (MD and/or PhD)")</f>
        <v>Clinical laboratory geneticist and Post Doc/Resident/Fellow (MD and/or PhD)</v>
      </c>
      <c r="J25" s="49"/>
      <c r="K25" s="49" t="str">
        <f ca="1">IFERROR(__xludf.DUMMYFUNCTION("""COMPUTED_VALUE"""),"Gene-Disease Validity")</f>
        <v>Gene-Disease Validity</v>
      </c>
      <c r="L25" s="49"/>
      <c r="M25" s="49"/>
      <c r="N25" s="49"/>
      <c r="O25" s="49"/>
      <c r="P25" s="49"/>
      <c r="Q25" s="49"/>
      <c r="R25" s="49"/>
      <c r="S25" s="49"/>
      <c r="T25" s="49"/>
      <c r="U25" s="49"/>
      <c r="V25" s="49"/>
      <c r="W25" s="49"/>
      <c r="X25" s="49"/>
      <c r="Y25" s="49"/>
      <c r="Z25" s="49"/>
    </row>
    <row r="26" spans="1:26" ht="15.75" customHeight="1">
      <c r="A26" s="49" t="str">
        <f ca="1">IFERROR(__xludf.DUMMYFUNCTION("""COMPUTED_VALUE"""),"Unresponsive")</f>
        <v>Unresponsive</v>
      </c>
      <c r="B26" s="99">
        <f ca="1">IFERROR(__xludf.DUMMYFUNCTION("""COMPUTED_VALUE"""),43411)</f>
        <v>43411</v>
      </c>
      <c r="C26" s="88">
        <f ca="1">IFERROR(__xludf.DUMMYFUNCTION("""COMPUTED_VALUE"""),43446)</f>
        <v>43446</v>
      </c>
      <c r="D26" s="49" t="str">
        <f ca="1">IFERROR(__xludf.DUMMYFUNCTION("""COMPUTED_VALUE"""),"No")</f>
        <v>No</v>
      </c>
      <c r="E26" s="49" t="str">
        <f ca="1">IFERROR(__xludf.DUMMYFUNCTION("""COMPUTED_VALUE"""),"Gene Disease Validity")</f>
        <v>Gene Disease Validity</v>
      </c>
      <c r="F26" s="49" t="str">
        <f ca="1">IFERROR(__xludf.DUMMYFUNCTION("""COMPUTED_VALUE"""),"")</f>
        <v/>
      </c>
      <c r="G26" s="49" t="str">
        <f ca="1">IFERROR(__xludf.DUMMYFUNCTION("""COMPUTED_VALUE"""),"Samar Khalefa")</f>
        <v>Samar Khalefa</v>
      </c>
      <c r="H26" s="49" t="str">
        <f ca="1">IFERROR(__xludf.DUMMYFUNCTION("""COMPUTED_VALUE"""),"samarkhalifa@hotmail.com")</f>
        <v>samarkhalifa@hotmail.com</v>
      </c>
      <c r="I26" s="49" t="str">
        <f ca="1">IFERROR(__xludf.DUMMYFUNCTION("""COMPUTED_VALUE"""),"High School Student")</f>
        <v>High School Student</v>
      </c>
      <c r="J26" s="49"/>
      <c r="K26" s="49" t="str">
        <f ca="1">IFERROR(__xludf.DUMMYFUNCTION("""COMPUTED_VALUE"""),"Gene-Disease Validity")</f>
        <v>Gene-Disease Validity</v>
      </c>
      <c r="L26" s="49"/>
      <c r="M26" s="49"/>
      <c r="N26" s="49"/>
      <c r="O26" s="49"/>
      <c r="P26" s="49"/>
      <c r="Q26" s="49"/>
      <c r="R26" s="49"/>
      <c r="S26" s="49"/>
      <c r="T26" s="49"/>
      <c r="U26" s="49"/>
      <c r="V26" s="49"/>
      <c r="W26" s="49"/>
      <c r="X26" s="49"/>
      <c r="Y26" s="49"/>
      <c r="Z26" s="49"/>
    </row>
    <row r="27" spans="1:26" ht="15.75" customHeight="1">
      <c r="A27" s="49" t="str">
        <f ca="1">IFERROR(__xludf.DUMMYFUNCTION("""COMPUTED_VALUE"""),"Assigned")</f>
        <v>Assigned</v>
      </c>
      <c r="B27" s="99">
        <f ca="1">IFERROR(__xludf.DUMMYFUNCTION("""COMPUTED_VALUE"""),43350)</f>
        <v>43350</v>
      </c>
      <c r="C27" s="88">
        <f ca="1">IFERROR(__xludf.DUMMYFUNCTION("""COMPUTED_VALUE"""),43446)</f>
        <v>43446</v>
      </c>
      <c r="D27" s="49" t="str">
        <f ca="1">IFERROR(__xludf.DUMMYFUNCTION("""COMPUTED_VALUE"""),"Yes")</f>
        <v>Yes</v>
      </c>
      <c r="E27" s="49" t="str">
        <f ca="1">IFERROR(__xludf.DUMMYFUNCTION("""COMPUTED_VALUE"""),"Gene Disease Validity")</f>
        <v>Gene Disease Validity</v>
      </c>
      <c r="F27" s="49" t="str">
        <f ca="1">IFERROR(__xludf.DUMMYFUNCTION("""COMPUTED_VALUE"""),"Epilepsy GCEP")</f>
        <v>Epilepsy GCEP</v>
      </c>
      <c r="G27" s="49" t="str">
        <f ca="1">IFERROR(__xludf.DUMMYFUNCTION("""COMPUTED_VALUE"""),"Colin Ellis")</f>
        <v>Colin Ellis</v>
      </c>
      <c r="H27" s="49" t="str">
        <f ca="1">IFERROR(__xludf.DUMMYFUNCTION("""COMPUTED_VALUE"""),"colin.ellis@uphs.upenn.edu")</f>
        <v>colin.ellis@uphs.upenn.edu</v>
      </c>
      <c r="I27" s="49" t="str">
        <f ca="1">IFERROR(__xludf.DUMMYFUNCTION("""COMPUTED_VALUE"""),"Physician (Non-geneticist)")</f>
        <v>Physician (Non-geneticist)</v>
      </c>
      <c r="J27" s="49"/>
      <c r="K27" s="49" t="str">
        <f ca="1">IFERROR(__xludf.DUMMYFUNCTION("""COMPUTED_VALUE"""),"Gene-Disease Validity")</f>
        <v>Gene-Disease Validity</v>
      </c>
      <c r="L27" s="49"/>
      <c r="M27" s="49"/>
      <c r="N27" s="49"/>
      <c r="O27" s="49"/>
      <c r="P27" s="49"/>
      <c r="Q27" s="49"/>
      <c r="R27" s="49"/>
      <c r="S27" s="49"/>
      <c r="T27" s="49"/>
      <c r="U27" s="49"/>
      <c r="V27" s="49"/>
      <c r="W27" s="49"/>
      <c r="X27" s="49"/>
      <c r="Y27" s="49"/>
      <c r="Z27" s="49"/>
    </row>
    <row r="28" spans="1:26" ht="15.75" customHeight="1">
      <c r="A28" s="49" t="str">
        <f ca="1">IFERROR(__xludf.DUMMYFUNCTION("""COMPUTED_VALUE"""),"Declined")</f>
        <v>Declined</v>
      </c>
      <c r="B28" s="99">
        <f ca="1">IFERROR(__xludf.DUMMYFUNCTION("""COMPUTED_VALUE"""),43411)</f>
        <v>43411</v>
      </c>
      <c r="C28" s="88">
        <f ca="1">IFERROR(__xludf.DUMMYFUNCTION("""COMPUTED_VALUE"""),43446)</f>
        <v>43446</v>
      </c>
      <c r="D28" s="49" t="str">
        <f ca="1">IFERROR(__xludf.DUMMYFUNCTION("""COMPUTED_VALUE"""),"Yes")</f>
        <v>Yes</v>
      </c>
      <c r="E28" s="49" t="str">
        <f ca="1">IFERROR(__xludf.DUMMYFUNCTION("""COMPUTED_VALUE"""),"Gene Disease Validity")</f>
        <v>Gene Disease Validity</v>
      </c>
      <c r="F28" s="49" t="str">
        <f ca="1">IFERROR(__xludf.DUMMYFUNCTION("""COMPUTED_VALUE"""),"Hereditary Cancer")</f>
        <v>Hereditary Cancer</v>
      </c>
      <c r="G28" s="49" t="str">
        <f ca="1">IFERROR(__xludf.DUMMYFUNCTION("""COMPUTED_VALUE"""),"Mansour Zamanpoor")</f>
        <v>Mansour Zamanpoor</v>
      </c>
      <c r="H28" s="49" t="str">
        <f ca="1">IFERROR(__xludf.DUMMYFUNCTION("""COMPUTED_VALUE"""),"mansour.zamanpoor@ccdhb.org.nz")</f>
        <v>mansour.zamanpoor@ccdhb.org.nz</v>
      </c>
      <c r="I28" s="49" t="str">
        <f ca="1">IFERROR(__xludf.DUMMYFUNCTION("""COMPUTED_VALUE"""),"Clinical laboratory genetist, PhD candidate")</f>
        <v>Clinical laboratory genetist, PhD candidate</v>
      </c>
      <c r="J28" s="49"/>
      <c r="K28" s="49" t="str">
        <f ca="1">IFERROR(__xludf.DUMMYFUNCTION("""COMPUTED_VALUE"""),"Gene-Disease Validity")</f>
        <v>Gene-Disease Validity</v>
      </c>
      <c r="L28" s="49"/>
      <c r="M28" s="49"/>
      <c r="N28" s="49"/>
      <c r="O28" s="49"/>
      <c r="P28" s="49"/>
      <c r="Q28" s="49"/>
      <c r="R28" s="49"/>
      <c r="S28" s="49"/>
      <c r="T28" s="49"/>
      <c r="U28" s="49"/>
      <c r="V28" s="49"/>
      <c r="W28" s="49"/>
      <c r="X28" s="49"/>
      <c r="Y28" s="49"/>
      <c r="Z28" s="49"/>
    </row>
    <row r="29" spans="1:26" ht="15.75" customHeight="1">
      <c r="A29" s="49" t="str">
        <f ca="1">IFERROR(__xludf.DUMMYFUNCTION("""COMPUTED_VALUE"""),"Assigned")</f>
        <v>Assigned</v>
      </c>
      <c r="B29" s="99">
        <f ca="1">IFERROR(__xludf.DUMMYFUNCTION("""COMPUTED_VALUE"""),43411)</f>
        <v>43411</v>
      </c>
      <c r="C29" s="88">
        <f ca="1">IFERROR(__xludf.DUMMYFUNCTION("""COMPUTED_VALUE"""),43446)</f>
        <v>43446</v>
      </c>
      <c r="D29" s="49" t="str">
        <f ca="1">IFERROR(__xludf.DUMMYFUNCTION("""COMPUTED_VALUE"""),"Yes")</f>
        <v>Yes</v>
      </c>
      <c r="E29" s="49" t="str">
        <f ca="1">IFERROR(__xludf.DUMMYFUNCTION("""COMPUTED_VALUE"""),"Gene Disease Validity")</f>
        <v>Gene Disease Validity</v>
      </c>
      <c r="F29" s="49" t="str">
        <f ca="1">IFERROR(__xludf.DUMMYFUNCTION("""COMPUTED_VALUE"""),"Epilepsy ")</f>
        <v xml:space="preserve">Epilepsy </v>
      </c>
      <c r="G29" s="49" t="str">
        <f ca="1">IFERROR(__xludf.DUMMYFUNCTION("""COMPUTED_VALUE"""),"Benjamin Kang")</f>
        <v>Benjamin Kang</v>
      </c>
      <c r="H29" s="49" t="str">
        <f ca="1">IFERROR(__xludf.DUMMYFUNCTION("""COMPUTED_VALUE"""),"bekang@emory.edu")</f>
        <v>bekang@emory.edu</v>
      </c>
      <c r="I29" s="49" t="str">
        <f ca="1">IFERROR(__xludf.DUMMYFUNCTION("""COMPUTED_VALUE"""),"Post Doc/Resident/Fellow (MD and/or PhD)")</f>
        <v>Post Doc/Resident/Fellow (MD and/or PhD)</v>
      </c>
      <c r="J29" s="49"/>
      <c r="K29" s="49" t="str">
        <f ca="1">IFERROR(__xludf.DUMMYFUNCTION("""COMPUTED_VALUE"""),"Gene-Disease Validity")</f>
        <v>Gene-Disease Validity</v>
      </c>
      <c r="L29" s="49"/>
      <c r="M29" s="49"/>
      <c r="N29" s="49"/>
      <c r="O29" s="49"/>
      <c r="P29" s="49"/>
      <c r="Q29" s="49"/>
      <c r="R29" s="49"/>
      <c r="S29" s="49"/>
      <c r="T29" s="49"/>
      <c r="U29" s="49"/>
      <c r="V29" s="49"/>
      <c r="W29" s="49"/>
      <c r="X29" s="49"/>
      <c r="Y29" s="49"/>
      <c r="Z29" s="49"/>
    </row>
    <row r="30" spans="1:26" ht="15.75" customHeight="1">
      <c r="A30" s="49" t="str">
        <f ca="1">IFERROR(__xludf.DUMMYFUNCTION("""COMPUTED_VALUE"""),"Contacted")</f>
        <v>Contacted</v>
      </c>
      <c r="B30" s="49" t="str">
        <f ca="1">IFERROR(__xludf.DUMMYFUNCTION("""COMPUTED_VALUE"""),"")</f>
        <v/>
      </c>
      <c r="C30" s="88">
        <f ca="1">IFERROR(__xludf.DUMMYFUNCTION("""COMPUTED_VALUE"""),43585)</f>
        <v>43585</v>
      </c>
      <c r="D30" s="49" t="str">
        <f ca="1">IFERROR(__xludf.DUMMYFUNCTION("""COMPUTED_VALUE"""),"Yes")</f>
        <v>Yes</v>
      </c>
      <c r="E30" s="49" t="str">
        <f ca="1">IFERROR(__xludf.DUMMYFUNCTION("""COMPUTED_VALUE"""),"Gene Disease Validity")</f>
        <v>Gene Disease Validity</v>
      </c>
      <c r="F30" s="49" t="str">
        <f ca="1">IFERROR(__xludf.DUMMYFUNCTION("""COMPUTED_VALUE"""),"Aminoacidopathy")</f>
        <v>Aminoacidopathy</v>
      </c>
      <c r="G30" s="49" t="str">
        <f ca="1">IFERROR(__xludf.DUMMYFUNCTION("""COMPUTED_VALUE"""),"Ljubica Caldovic")</f>
        <v>Ljubica Caldovic</v>
      </c>
      <c r="H30" s="49" t="str">
        <f ca="1">IFERROR(__xludf.DUMMYFUNCTION("""COMPUTED_VALUE"""),"lcaldovic@childrensnational.org")</f>
        <v>lcaldovic@childrensnational.org</v>
      </c>
      <c r="I30" s="49" t="str">
        <f ca="1">IFERROR(__xludf.DUMMYFUNCTION("""COMPUTED_VALUE"""),"Scientific Researcher, Variant Analyst/Scientist")</f>
        <v>Scientific Researcher, Variant Analyst/Scientist</v>
      </c>
      <c r="J30" s="49"/>
      <c r="K30" s="49" t="str">
        <f ca="1">IFERROR(__xludf.DUMMYFUNCTION("""COMPUTED_VALUE"""),"Gene-Disease Validity")</f>
        <v>Gene-Disease Validity</v>
      </c>
      <c r="L30" s="49"/>
      <c r="M30" s="49"/>
      <c r="N30" s="49"/>
      <c r="O30" s="49"/>
      <c r="P30" s="49"/>
      <c r="Q30" s="49"/>
      <c r="R30" s="49"/>
      <c r="S30" s="49"/>
      <c r="T30" s="49"/>
      <c r="U30" s="49"/>
      <c r="V30" s="49"/>
      <c r="W30" s="49"/>
      <c r="X30" s="49"/>
      <c r="Y30" s="49"/>
      <c r="Z30" s="49"/>
    </row>
    <row r="31" spans="1:26" ht="15.75" customHeight="1">
      <c r="A31" s="49" t="str">
        <f ca="1">IFERROR(__xludf.DUMMYFUNCTION("""COMPUTED_VALUE"""),"Assigned")</f>
        <v>Assigned</v>
      </c>
      <c r="B31" s="99">
        <f ca="1">IFERROR(__xludf.DUMMYFUNCTION("""COMPUTED_VALUE"""),43347)</f>
        <v>43347</v>
      </c>
      <c r="C31" s="88">
        <f ca="1">IFERROR(__xludf.DUMMYFUNCTION("""COMPUTED_VALUE"""),43446)</f>
        <v>43446</v>
      </c>
      <c r="D31" s="49" t="str">
        <f ca="1">IFERROR(__xludf.DUMMYFUNCTION("""COMPUTED_VALUE"""),"No")</f>
        <v>No</v>
      </c>
      <c r="E31" s="49" t="str">
        <f ca="1">IFERROR(__xludf.DUMMYFUNCTION("""COMPUTED_VALUE"""),"Gene Disease Validity")</f>
        <v>Gene Disease Validity</v>
      </c>
      <c r="F31" s="49" t="str">
        <f ca="1">IFERROR(__xludf.DUMMYFUNCTION("""COMPUTED_VALUE"""),"Epilepsy ")</f>
        <v xml:space="preserve">Epilepsy </v>
      </c>
      <c r="G31" s="49" t="str">
        <f ca="1">IFERROR(__xludf.DUMMYFUNCTION("""COMPUTED_VALUE"""),"John Millichap")</f>
        <v>John Millichap</v>
      </c>
      <c r="H31" s="49" t="str">
        <f ca="1">IFERROR(__xludf.DUMMYFUNCTION("""COMPUTED_VALUE"""),"jmillichap@luriechildrens.org")</f>
        <v>jmillichap@luriechildrens.org</v>
      </c>
      <c r="I31" s="49" t="str">
        <f ca="1">IFERROR(__xludf.DUMMYFUNCTION("""COMPUTED_VALUE"""),"Physician (Non-geneticist)")</f>
        <v>Physician (Non-geneticist)</v>
      </c>
      <c r="J31" s="49"/>
      <c r="K31" s="49" t="str">
        <f ca="1">IFERROR(__xludf.DUMMYFUNCTION("""COMPUTED_VALUE"""),"Gene-Disease Validity")</f>
        <v>Gene-Disease Validity</v>
      </c>
      <c r="L31" s="49"/>
      <c r="M31" s="49"/>
      <c r="N31" s="49"/>
      <c r="O31" s="49"/>
      <c r="P31" s="49"/>
      <c r="Q31" s="49"/>
      <c r="R31" s="49"/>
      <c r="S31" s="49"/>
      <c r="T31" s="49"/>
      <c r="U31" s="49"/>
      <c r="V31" s="49"/>
      <c r="W31" s="49"/>
      <c r="X31" s="49"/>
      <c r="Y31" s="49"/>
      <c r="Z31" s="49"/>
    </row>
    <row r="32" spans="1:26" ht="15.75" customHeight="1">
      <c r="A32" s="49" t="str">
        <f ca="1">IFERROR(__xludf.DUMMYFUNCTION("""COMPUTED_VALUE"""),"Contacted")</f>
        <v>Contacted</v>
      </c>
      <c r="B32" s="99">
        <f ca="1">IFERROR(__xludf.DUMMYFUNCTION("""COMPUTED_VALUE"""),43411)</f>
        <v>43411</v>
      </c>
      <c r="C32" s="88">
        <f ca="1">IFERROR(__xludf.DUMMYFUNCTION("""COMPUTED_VALUE"""),43446)</f>
        <v>43446</v>
      </c>
      <c r="D32" s="49" t="str">
        <f ca="1">IFERROR(__xludf.DUMMYFUNCTION("""COMPUTED_VALUE"""),"No")</f>
        <v>No</v>
      </c>
      <c r="E32" s="49" t="str">
        <f ca="1">IFERROR(__xludf.DUMMYFUNCTION("""COMPUTED_VALUE"""),"NA")</f>
        <v>NA</v>
      </c>
      <c r="F32" s="49" t="str">
        <f ca="1">IFERROR(__xludf.DUMMYFUNCTION("""COMPUTED_VALUE"""),"")</f>
        <v/>
      </c>
      <c r="G32" s="49" t="str">
        <f ca="1">IFERROR(__xludf.DUMMYFUNCTION("""COMPUTED_VALUE"""),"Vladimir Lialine")</f>
        <v>Vladimir Lialine</v>
      </c>
      <c r="H32" s="49" t="str">
        <f ca="1">IFERROR(__xludf.DUMMYFUNCTION("""COMPUTED_VALUE"""),"vlad@twixsoft.com")</f>
        <v>vlad@twixsoft.com</v>
      </c>
      <c r="I32" s="49" t="str">
        <f ca="1">IFERROR(__xludf.DUMMYFUNCTION("""COMPUTED_VALUE"""),"Scientific Researcher, Graduate Student, Citizen Scientist/Patient Advocate")</f>
        <v>Scientific Researcher, Graduate Student, Citizen Scientist/Patient Advocate</v>
      </c>
      <c r="J32" s="49"/>
      <c r="K32" s="49" t="str">
        <f ca="1">IFERROR(__xludf.DUMMYFUNCTION("""COMPUTED_VALUE"""),"Gene-Disease Validity")</f>
        <v>Gene-Disease Validity</v>
      </c>
      <c r="L32" s="49"/>
      <c r="M32" s="49"/>
      <c r="N32" s="49"/>
      <c r="O32" s="49"/>
      <c r="P32" s="49"/>
      <c r="Q32" s="49"/>
      <c r="R32" s="49"/>
      <c r="S32" s="49"/>
      <c r="T32" s="49"/>
      <c r="U32" s="49"/>
      <c r="V32" s="49"/>
      <c r="W32" s="49"/>
      <c r="X32" s="49"/>
      <c r="Y32" s="49"/>
      <c r="Z32" s="49"/>
    </row>
    <row r="33" spans="1:26" ht="15.75" customHeight="1">
      <c r="A33" s="49" t="str">
        <f ca="1">IFERROR(__xludf.DUMMYFUNCTION("""COMPUTED_VALUE"""),"Contacted")</f>
        <v>Contacted</v>
      </c>
      <c r="B33" s="88">
        <f ca="1">IFERROR(__xludf.DUMMYFUNCTION("""COMPUTED_VALUE"""),43430)</f>
        <v>43430</v>
      </c>
      <c r="C33" s="88">
        <f ca="1">IFERROR(__xludf.DUMMYFUNCTION("""COMPUTED_VALUE"""),43446)</f>
        <v>43446</v>
      </c>
      <c r="D33" s="49" t="str">
        <f ca="1">IFERROR(__xludf.DUMMYFUNCTION("""COMPUTED_VALUE"""),"Yes")</f>
        <v>Yes</v>
      </c>
      <c r="E33" s="49" t="str">
        <f ca="1">IFERROR(__xludf.DUMMYFUNCTION("""COMPUTED_VALUE"""),"Gene Disease Validity")</f>
        <v>Gene Disease Validity</v>
      </c>
      <c r="F33" s="49" t="str">
        <f ca="1">IFERROR(__xludf.DUMMYFUNCTION("""COMPUTED_VALUE"""),"")</f>
        <v/>
      </c>
      <c r="G33" s="49" t="str">
        <f ca="1">IFERROR(__xludf.DUMMYFUNCTION("""COMPUTED_VALUE"""),"Vaidehi Jobanputra")</f>
        <v>Vaidehi Jobanputra</v>
      </c>
      <c r="H33" s="49" t="str">
        <f ca="1">IFERROR(__xludf.DUMMYFUNCTION("""COMPUTED_VALUE"""),"vjobanputra@nygenome.org")</f>
        <v>vjobanputra@nygenome.org</v>
      </c>
      <c r="I33" s="49" t="str">
        <f ca="1">IFERROR(__xludf.DUMMYFUNCTION("""COMPUTED_VALUE"""),"Clinical laboratory geneticist")</f>
        <v>Clinical laboratory geneticist</v>
      </c>
      <c r="J33" s="49"/>
      <c r="K33" s="49" t="str">
        <f ca="1">IFERROR(__xludf.DUMMYFUNCTION("""COMPUTED_VALUE"""),"Gene-Disease Validity")</f>
        <v>Gene-Disease Validity</v>
      </c>
      <c r="L33" s="49"/>
      <c r="M33" s="49"/>
      <c r="N33" s="49"/>
      <c r="O33" s="49"/>
      <c r="P33" s="49"/>
      <c r="Q33" s="49"/>
      <c r="R33" s="49"/>
      <c r="S33" s="49"/>
      <c r="T33" s="49"/>
      <c r="U33" s="49"/>
      <c r="V33" s="49"/>
      <c r="W33" s="49"/>
      <c r="X33" s="49"/>
      <c r="Y33" s="49"/>
      <c r="Z33" s="49"/>
    </row>
    <row r="34" spans="1:26" ht="15.75" customHeight="1">
      <c r="A34" s="49" t="str">
        <f ca="1">IFERROR(__xludf.DUMMYFUNCTION("""COMPUTED_VALUE"""),"Contacted")</f>
        <v>Contacted</v>
      </c>
      <c r="B34" s="49" t="str">
        <f ca="1">IFERROR(__xludf.DUMMYFUNCTION("""COMPUTED_VALUE"""),"11/07/18
REcontacted June 2019 and responsive, changed status")</f>
        <v>11/07/18
REcontacted June 2019 and responsive, changed status</v>
      </c>
      <c r="C34" s="88">
        <f ca="1">IFERROR(__xludf.DUMMYFUNCTION("""COMPUTED_VALUE"""),43446)</f>
        <v>43446</v>
      </c>
      <c r="D34" s="49" t="str">
        <f ca="1">IFERROR(__xludf.DUMMYFUNCTION("""COMPUTED_VALUE"""),"No")</f>
        <v>No</v>
      </c>
      <c r="E34" s="49" t="str">
        <f ca="1">IFERROR(__xludf.DUMMYFUNCTION("""COMPUTED_VALUE"""),"Gene Disease Validity")</f>
        <v>Gene Disease Validity</v>
      </c>
      <c r="F34" s="49" t="str">
        <f ca="1">IFERROR(__xludf.DUMMYFUNCTION("""COMPUTED_VALUE"""),"")</f>
        <v/>
      </c>
      <c r="G34" s="49" t="str">
        <f ca="1">IFERROR(__xludf.DUMMYFUNCTION("""COMPUTED_VALUE"""),"Khushnooda Ramzan")</f>
        <v>Khushnooda Ramzan</v>
      </c>
      <c r="H34" s="49" t="str">
        <f ca="1">IFERROR(__xludf.DUMMYFUNCTION("""COMPUTED_VALUE"""),"khushnooda@gmail.com")</f>
        <v>khushnooda@gmail.com</v>
      </c>
      <c r="I34" s="49" t="str">
        <f ca="1">IFERROR(__xludf.DUMMYFUNCTION("""COMPUTED_VALUE"""),"Scientific Research/ Variant Analyst")</f>
        <v>Scientific Research/ Variant Analyst</v>
      </c>
      <c r="J34" s="49"/>
      <c r="K34" s="49" t="str">
        <f ca="1">IFERROR(__xludf.DUMMYFUNCTION("""COMPUTED_VALUE"""),"Gene-Disease Validity")</f>
        <v>Gene-Disease Validity</v>
      </c>
      <c r="L34" s="49"/>
      <c r="M34" s="49"/>
      <c r="N34" s="49"/>
      <c r="O34" s="49"/>
      <c r="P34" s="49"/>
      <c r="Q34" s="49"/>
      <c r="R34" s="49"/>
      <c r="S34" s="49"/>
      <c r="T34" s="49"/>
      <c r="U34" s="49"/>
      <c r="V34" s="49"/>
      <c r="W34" s="49"/>
      <c r="X34" s="49"/>
      <c r="Y34" s="49"/>
      <c r="Z34" s="49"/>
    </row>
    <row r="35" spans="1:26" ht="15.75" customHeight="1">
      <c r="A35" s="49" t="str">
        <f ca="1">IFERROR(__xludf.DUMMYFUNCTION("""COMPUTED_VALUE"""),"Contacted")</f>
        <v>Contacted</v>
      </c>
      <c r="B35" s="88" t="str">
        <f ca="1">IFERROR(__xludf.DUMMYFUNCTION("""COMPUTED_VALUE"""),"")</f>
        <v/>
      </c>
      <c r="C35" s="87">
        <f ca="1">IFERROR(__xludf.DUMMYFUNCTION("""COMPUTED_VALUE"""),43585)</f>
        <v>43585</v>
      </c>
      <c r="D35" s="49" t="str">
        <f ca="1">IFERROR(__xludf.DUMMYFUNCTION("""COMPUTED_VALUE"""),"Yes")</f>
        <v>Yes</v>
      </c>
      <c r="E35" s="49" t="str">
        <f ca="1">IFERROR(__xludf.DUMMYFUNCTION("""COMPUTED_VALUE"""),"Gene Disease Validity")</f>
        <v>Gene Disease Validity</v>
      </c>
      <c r="F35" s="49" t="str">
        <f ca="1">IFERROR(__xludf.DUMMYFUNCTION("""COMPUTED_VALUE"""),"Epilepsy")</f>
        <v>Epilepsy</v>
      </c>
      <c r="G35" s="49" t="str">
        <f ca="1">IFERROR(__xludf.DUMMYFUNCTION("""COMPUTED_VALUE"""),"Erik Thorland")</f>
        <v>Erik Thorland</v>
      </c>
      <c r="H35" s="49" t="str">
        <f ca="1">IFERROR(__xludf.DUMMYFUNCTION("""COMPUTED_VALUE"""),"thorland.erik@mayo.edu")</f>
        <v>thorland.erik@mayo.edu</v>
      </c>
      <c r="I35" s="49" t="str">
        <f ca="1">IFERROR(__xludf.DUMMYFUNCTION("""COMPUTED_VALUE"""),"Clinical laboratory geneticist")</f>
        <v>Clinical laboratory geneticist</v>
      </c>
      <c r="J35" s="49"/>
      <c r="K35" s="49" t="str">
        <f ca="1">IFERROR(__xludf.DUMMYFUNCTION("""COMPUTED_VALUE"""),"Gene-Disease Validity")</f>
        <v>Gene-Disease Validity</v>
      </c>
      <c r="L35" s="49"/>
      <c r="M35" s="49"/>
      <c r="N35" s="49"/>
      <c r="O35" s="49"/>
      <c r="P35" s="49"/>
      <c r="Q35" s="49"/>
      <c r="R35" s="49"/>
      <c r="S35" s="49"/>
      <c r="T35" s="49"/>
      <c r="U35" s="49"/>
      <c r="V35" s="49"/>
      <c r="W35" s="49"/>
      <c r="X35" s="49"/>
      <c r="Y35" s="49"/>
      <c r="Z35" s="49"/>
    </row>
    <row r="36" spans="1:26" ht="15.75" customHeight="1">
      <c r="A36" s="49" t="str">
        <f ca="1">IFERROR(__xludf.DUMMYFUNCTION("""COMPUTED_VALUE"""),"Assigned")</f>
        <v>Assigned</v>
      </c>
      <c r="B36" s="99">
        <f ca="1">IFERROR(__xludf.DUMMYFUNCTION("""COMPUTED_VALUE"""),43437)</f>
        <v>43437</v>
      </c>
      <c r="C36" s="88">
        <f ca="1">IFERROR(__xludf.DUMMYFUNCTION("""COMPUTED_VALUE"""),43446)</f>
        <v>43446</v>
      </c>
      <c r="D36" s="49" t="str">
        <f ca="1">IFERROR(__xludf.DUMMYFUNCTION("""COMPUTED_VALUE"""),"Yes")</f>
        <v>Yes</v>
      </c>
      <c r="E36" s="49" t="str">
        <f ca="1">IFERROR(__xludf.DUMMYFUNCTION("""COMPUTED_VALUE"""),"Gene Disease Validity")</f>
        <v>Gene Disease Validity</v>
      </c>
      <c r="F36" s="49" t="str">
        <f ca="1">IFERROR(__xludf.DUMMYFUNCTION("""COMPUTED_VALUE"""),"ID Autism")</f>
        <v>ID Autism</v>
      </c>
      <c r="G36" s="49" t="str">
        <f ca="1">IFERROR(__xludf.DUMMYFUNCTION("""COMPUTED_VALUE"""),"Olivia Rennie")</f>
        <v>Olivia Rennie</v>
      </c>
      <c r="H36" s="49" t="str">
        <f ca="1">IFERROR(__xludf.DUMMYFUNCTION("""COMPUTED_VALUE"""),"olivia.rennie@sickkids.ca")</f>
        <v>olivia.rennie@sickkids.ca</v>
      </c>
      <c r="I36" s="49" t="str">
        <f ca="1">IFERROR(__xludf.DUMMYFUNCTION("""COMPUTED_VALUE"""),"Variant Analyst/Scientist")</f>
        <v>Variant Analyst/Scientist</v>
      </c>
      <c r="J36" s="49"/>
      <c r="K36" s="49" t="str">
        <f ca="1">IFERROR(__xludf.DUMMYFUNCTION("""COMPUTED_VALUE"""),"Gene-Disease Validity")</f>
        <v>Gene-Disease Validity</v>
      </c>
      <c r="L36" s="49"/>
      <c r="M36" s="49"/>
      <c r="N36" s="49"/>
      <c r="O36" s="49"/>
      <c r="P36" s="49"/>
      <c r="Q36" s="49"/>
      <c r="R36" s="49"/>
      <c r="S36" s="49"/>
      <c r="T36" s="49"/>
      <c r="U36" s="49"/>
      <c r="V36" s="49"/>
      <c r="W36" s="49"/>
      <c r="X36" s="49"/>
      <c r="Y36" s="49"/>
      <c r="Z36" s="49"/>
    </row>
    <row r="37" spans="1:26" ht="15.75" customHeight="1">
      <c r="A37" s="49" t="str">
        <f ca="1">IFERROR(__xludf.DUMMYFUNCTION("""COMPUTED_VALUE"""),"Declined")</f>
        <v>Declined</v>
      </c>
      <c r="B37" s="99">
        <f ca="1">IFERROR(__xludf.DUMMYFUNCTION("""COMPUTED_VALUE"""),43437)</f>
        <v>43437</v>
      </c>
      <c r="C37" s="88">
        <f ca="1">IFERROR(__xludf.DUMMYFUNCTION("""COMPUTED_VALUE"""),43446)</f>
        <v>43446</v>
      </c>
      <c r="D37" s="49" t="str">
        <f ca="1">IFERROR(__xludf.DUMMYFUNCTION("""COMPUTED_VALUE"""),"Yes")</f>
        <v>Yes</v>
      </c>
      <c r="E37" s="49" t="str">
        <f ca="1">IFERROR(__xludf.DUMMYFUNCTION("""COMPUTED_VALUE"""),"Gene Disease Validity")</f>
        <v>Gene Disease Validity</v>
      </c>
      <c r="F37" s="49" t="str">
        <f ca="1">IFERROR(__xludf.DUMMYFUNCTION("""COMPUTED_VALUE"""),"ID Autism")</f>
        <v>ID Autism</v>
      </c>
      <c r="G37" s="49" t="str">
        <f ca="1">IFERROR(__xludf.DUMMYFUNCTION("""COMPUTED_VALUE"""),"Kira Dies")</f>
        <v>Kira Dies</v>
      </c>
      <c r="H37" s="49" t="str">
        <f ca="1">IFERROR(__xludf.DUMMYFUNCTION("""COMPUTED_VALUE"""),"Kira.Dies@childrens.harvard.edu")</f>
        <v>Kira.Dies@childrens.harvard.edu</v>
      </c>
      <c r="I37" s="49" t="str">
        <f ca="1">IFERROR(__xludf.DUMMYFUNCTION("""COMPUTED_VALUE"""),"Genetic counselor")</f>
        <v>Genetic counselor</v>
      </c>
      <c r="J37" s="49"/>
      <c r="K37" s="49" t="str">
        <f ca="1">IFERROR(__xludf.DUMMYFUNCTION("""COMPUTED_VALUE"""),"Gene-Disease Validity")</f>
        <v>Gene-Disease Validity</v>
      </c>
      <c r="L37" s="49"/>
      <c r="M37" s="49"/>
      <c r="N37" s="49"/>
      <c r="O37" s="49"/>
      <c r="P37" s="49"/>
      <c r="Q37" s="49"/>
      <c r="R37" s="49"/>
      <c r="S37" s="49"/>
      <c r="T37" s="49"/>
      <c r="U37" s="49"/>
      <c r="V37" s="49"/>
      <c r="W37" s="49"/>
      <c r="X37" s="49"/>
      <c r="Y37" s="49"/>
      <c r="Z37" s="49"/>
    </row>
    <row r="38" spans="1:26" ht="15.75" customHeight="1">
      <c r="A38" s="49" t="str">
        <f ca="1">IFERROR(__xludf.DUMMYFUNCTION("""COMPUTED_VALUE"""),"Assigned")</f>
        <v>Assigned</v>
      </c>
      <c r="B38" s="99">
        <f ca="1">IFERROR(__xludf.DUMMYFUNCTION("""COMPUTED_VALUE"""),43341)</f>
        <v>43341</v>
      </c>
      <c r="C38" s="99">
        <f ca="1">IFERROR(__xludf.DUMMYFUNCTION("""COMPUTED_VALUE"""),43341)</f>
        <v>43341</v>
      </c>
      <c r="D38" s="49" t="str">
        <f ca="1">IFERROR(__xludf.DUMMYFUNCTION("""COMPUTED_VALUE"""),"Yes")</f>
        <v>Yes</v>
      </c>
      <c r="E38" s="49" t="str">
        <f ca="1">IFERROR(__xludf.DUMMYFUNCTION("""COMPUTED_VALUE"""),"Gene Disease Validity")</f>
        <v>Gene Disease Validity</v>
      </c>
      <c r="F38" s="49" t="str">
        <f ca="1">IFERROR(__xludf.DUMMYFUNCTION("""COMPUTED_VALUE"""),"Hereditary Cancer")</f>
        <v>Hereditary Cancer</v>
      </c>
      <c r="G38" s="49" t="str">
        <f ca="1">IFERROR(__xludf.DUMMYFUNCTION("""COMPUTED_VALUE"""),"Sainan Wei")</f>
        <v>Sainan Wei</v>
      </c>
      <c r="H38" s="49" t="str">
        <f ca="1">IFERROR(__xludf.DUMMYFUNCTION("""COMPUTED_VALUE"""),"sainan.wei@uky.edu ")</f>
        <v xml:space="preserve">sainan.wei@uky.edu </v>
      </c>
      <c r="I38" s="49" t="str">
        <f ca="1">IFERROR(__xludf.DUMMYFUNCTION("""COMPUTED_VALUE"""),"Clinical laboratory geneticist")</f>
        <v>Clinical laboratory geneticist</v>
      </c>
      <c r="J38" s="49"/>
      <c r="K38" s="49" t="str">
        <f ca="1">IFERROR(__xludf.DUMMYFUNCTION("""COMPUTED_VALUE"""),"Gene-Disease Validity")</f>
        <v>Gene-Disease Validity</v>
      </c>
      <c r="L38" s="49"/>
      <c r="M38" s="49"/>
      <c r="N38" s="49"/>
      <c r="O38" s="49"/>
      <c r="P38" s="49"/>
      <c r="Q38" s="49"/>
      <c r="R38" s="49"/>
      <c r="S38" s="49"/>
      <c r="T38" s="49"/>
      <c r="U38" s="49"/>
      <c r="V38" s="49"/>
      <c r="W38" s="49"/>
      <c r="X38" s="49"/>
      <c r="Y38" s="49"/>
      <c r="Z38" s="49"/>
    </row>
    <row r="39" spans="1:26" ht="15.75" customHeight="1">
      <c r="A39" s="49" t="str">
        <f ca="1">IFERROR(__xludf.DUMMYFUNCTION("""COMPUTED_VALUE"""),"Assigned")</f>
        <v>Assigned</v>
      </c>
      <c r="B39" s="99">
        <f ca="1">IFERROR(__xludf.DUMMYFUNCTION("""COMPUTED_VALUE"""),43411)</f>
        <v>43411</v>
      </c>
      <c r="C39" s="88">
        <f ca="1">IFERROR(__xludf.DUMMYFUNCTION("""COMPUTED_VALUE"""),43453)</f>
        <v>43453</v>
      </c>
      <c r="D39" s="49" t="str">
        <f ca="1">IFERROR(__xludf.DUMMYFUNCTION("""COMPUTED_VALUE"""),"Yes")</f>
        <v>Yes</v>
      </c>
      <c r="E39" s="49" t="str">
        <f ca="1">IFERROR(__xludf.DUMMYFUNCTION("""COMPUTED_VALUE"""),"Dosage Sensitivity")</f>
        <v>Dosage Sensitivity</v>
      </c>
      <c r="F39" s="49" t="str">
        <f ca="1">IFERROR(__xludf.DUMMYFUNCTION("""COMPUTED_VALUE"""),"")</f>
        <v/>
      </c>
      <c r="G39" s="49" t="str">
        <f ca="1">IFERROR(__xludf.DUMMYFUNCTION("""COMPUTED_VALUE"""),"Preti Jain")</f>
        <v>Preti Jain</v>
      </c>
      <c r="H39" s="49" t="str">
        <f ca="1">IFERROR(__xludf.DUMMYFUNCTION("""COMPUTED_VALUE"""),"preti.jain@yale.edu")</f>
        <v>preti.jain@yale.edu</v>
      </c>
      <c r="I39" s="49" t="str">
        <f ca="1">IFERROR(__xludf.DUMMYFUNCTION("""COMPUTED_VALUE"""),"Clinical laboratory geneticist")</f>
        <v>Clinical laboratory geneticist</v>
      </c>
      <c r="J39" s="49"/>
      <c r="K39" s="49" t="str">
        <f ca="1">IFERROR(__xludf.DUMMYFUNCTION("""COMPUTED_VALUE"""),"Dosage Sensitivity")</f>
        <v>Dosage Sensitivity</v>
      </c>
      <c r="L39" s="49"/>
      <c r="M39" s="49"/>
      <c r="N39" s="49"/>
      <c r="O39" s="49"/>
      <c r="P39" s="49"/>
      <c r="Q39" s="49"/>
      <c r="R39" s="49"/>
      <c r="S39" s="49"/>
      <c r="T39" s="49"/>
      <c r="U39" s="49"/>
      <c r="V39" s="49"/>
      <c r="W39" s="49"/>
      <c r="X39" s="49"/>
      <c r="Y39" s="49"/>
      <c r="Z39" s="49"/>
    </row>
    <row r="40" spans="1:26" ht="15.75" customHeight="1">
      <c r="A40" s="49" t="str">
        <f ca="1">IFERROR(__xludf.DUMMYFUNCTION("""COMPUTED_VALUE"""),"Assigned")</f>
        <v>Assigned</v>
      </c>
      <c r="B40" s="99">
        <f ca="1">IFERROR(__xludf.DUMMYFUNCTION("""COMPUTED_VALUE"""),43356)</f>
        <v>43356</v>
      </c>
      <c r="C40" s="99">
        <f ca="1">IFERROR(__xludf.DUMMYFUNCTION("""COMPUTED_VALUE"""),43341)</f>
        <v>43341</v>
      </c>
      <c r="D40" s="49" t="str">
        <f ca="1">IFERROR(__xludf.DUMMYFUNCTION("""COMPUTED_VALUE"""),"Yes")</f>
        <v>Yes</v>
      </c>
      <c r="E40" s="49" t="str">
        <f ca="1">IFERROR(__xludf.DUMMYFUNCTION("""COMPUTED_VALUE"""),"Dosage Sensitivity")</f>
        <v>Dosage Sensitivity</v>
      </c>
      <c r="F40" s="49" t="str">
        <f ca="1">IFERROR(__xludf.DUMMYFUNCTION("""COMPUTED_VALUE"""),"")</f>
        <v/>
      </c>
      <c r="G40" s="49" t="str">
        <f ca="1">IFERROR(__xludf.DUMMYFUNCTION("""COMPUTED_VALUE"""),"Andrea Vaags")</f>
        <v>Andrea Vaags</v>
      </c>
      <c r="H40" s="49" t="str">
        <f ca="1">IFERROR(__xludf.DUMMYFUNCTION("""COMPUTED_VALUE"""),"andrea.vaags@thp.ca")</f>
        <v>andrea.vaags@thp.ca</v>
      </c>
      <c r="I40" s="49" t="str">
        <f ca="1">IFERROR(__xludf.DUMMYFUNCTION("""COMPUTED_VALUE"""),"Clinical laboratory geneticist")</f>
        <v>Clinical laboratory geneticist</v>
      </c>
      <c r="J40" s="49"/>
      <c r="K40" s="49" t="str">
        <f ca="1">IFERROR(__xludf.DUMMYFUNCTION("""COMPUTED_VALUE"""),"Dosage Sensitivity")</f>
        <v>Dosage Sensitivity</v>
      </c>
      <c r="L40" s="49"/>
      <c r="M40" s="49"/>
      <c r="N40" s="49"/>
      <c r="O40" s="49"/>
      <c r="P40" s="49"/>
      <c r="Q40" s="49"/>
      <c r="R40" s="49"/>
      <c r="S40" s="49"/>
      <c r="T40" s="49"/>
      <c r="U40" s="49"/>
      <c r="V40" s="49"/>
      <c r="W40" s="49"/>
      <c r="X40" s="49"/>
      <c r="Y40" s="49"/>
      <c r="Z40" s="49"/>
    </row>
    <row r="41" spans="1:26" ht="15.75" customHeight="1">
      <c r="A41" s="49" t="str">
        <f ca="1">IFERROR(__xludf.DUMMYFUNCTION("""COMPUTED_VALUE"""),"Assigned")</f>
        <v>Assigned</v>
      </c>
      <c r="B41" s="99">
        <f ca="1">IFERROR(__xludf.DUMMYFUNCTION("""COMPUTED_VALUE"""),43411)</f>
        <v>43411</v>
      </c>
      <c r="C41" s="88">
        <f ca="1">IFERROR(__xludf.DUMMYFUNCTION("""COMPUTED_VALUE"""),43453)</f>
        <v>43453</v>
      </c>
      <c r="D41" s="49" t="str">
        <f ca="1">IFERROR(__xludf.DUMMYFUNCTION("""COMPUTED_VALUE"""),"Yes")</f>
        <v>Yes</v>
      </c>
      <c r="E41" s="49" t="str">
        <f ca="1">IFERROR(__xludf.DUMMYFUNCTION("""COMPUTED_VALUE"""),"Dosage Sensitivity")</f>
        <v>Dosage Sensitivity</v>
      </c>
      <c r="F41" s="49" t="str">
        <f ca="1">IFERROR(__xludf.DUMMYFUNCTION("""COMPUTED_VALUE"""),"")</f>
        <v/>
      </c>
      <c r="G41" s="49" t="str">
        <f ca="1">IFERROR(__xludf.DUMMYFUNCTION("""COMPUTED_VALUE"""),"George Burghel")</f>
        <v>George Burghel</v>
      </c>
      <c r="H41" s="49" t="str">
        <f ca="1">IFERROR(__xludf.DUMMYFUNCTION("""COMPUTED_VALUE"""),"george.burghel@mft.nhs.uk")</f>
        <v>george.burghel@mft.nhs.uk</v>
      </c>
      <c r="I41" s="49" t="str">
        <f ca="1">IFERROR(__xludf.DUMMYFUNCTION("""COMPUTED_VALUE"""),"Clinical laboratory geneticist")</f>
        <v>Clinical laboratory geneticist</v>
      </c>
      <c r="J41" s="49"/>
      <c r="K41" s="49" t="str">
        <f ca="1">IFERROR(__xludf.DUMMYFUNCTION("""COMPUTED_VALUE"""),"Dosage Sensitivity")</f>
        <v>Dosage Sensitivity</v>
      </c>
      <c r="L41" s="49"/>
      <c r="M41" s="49"/>
      <c r="N41" s="49"/>
      <c r="O41" s="49"/>
      <c r="P41" s="49"/>
      <c r="Q41" s="49"/>
      <c r="R41" s="49"/>
      <c r="S41" s="49"/>
      <c r="T41" s="49"/>
      <c r="U41" s="49"/>
      <c r="V41" s="49"/>
      <c r="W41" s="49"/>
      <c r="X41" s="49"/>
      <c r="Y41" s="49"/>
      <c r="Z41" s="49"/>
    </row>
    <row r="42" spans="1:26" ht="15.75" customHeight="1">
      <c r="A42" s="49" t="str">
        <f ca="1">IFERROR(__xludf.DUMMYFUNCTION("""COMPUTED_VALUE"""),"Assigned")</f>
        <v>Assigned</v>
      </c>
      <c r="B42" s="88">
        <f ca="1">IFERROR(__xludf.DUMMYFUNCTION("""COMPUTED_VALUE"""),43430)</f>
        <v>43430</v>
      </c>
      <c r="C42" s="88">
        <f ca="1">IFERROR(__xludf.DUMMYFUNCTION("""COMPUTED_VALUE"""),43453)</f>
        <v>43453</v>
      </c>
      <c r="D42" s="49" t="str">
        <f ca="1">IFERROR(__xludf.DUMMYFUNCTION("""COMPUTED_VALUE"""),"Yes")</f>
        <v>Yes</v>
      </c>
      <c r="E42" s="49" t="str">
        <f ca="1">IFERROR(__xludf.DUMMYFUNCTION("""COMPUTED_VALUE"""),"Dosage Sensitivity")</f>
        <v>Dosage Sensitivity</v>
      </c>
      <c r="F42" s="49" t="str">
        <f ca="1">IFERROR(__xludf.DUMMYFUNCTION("""COMPUTED_VALUE"""),"")</f>
        <v/>
      </c>
      <c r="G42" s="49" t="str">
        <f ca="1">IFERROR(__xludf.DUMMYFUNCTION("""COMPUTED_VALUE"""),"Coumarane Mani")</f>
        <v>Coumarane Mani</v>
      </c>
      <c r="H42" s="49" t="str">
        <f ca="1">IFERROR(__xludf.DUMMYFUNCTION("""COMPUTED_VALUE"""),"coumarane.mani@aruplab.com")</f>
        <v>coumarane.mani@aruplab.com</v>
      </c>
      <c r="I42" s="49" t="str">
        <f ca="1">IFERROR(__xludf.DUMMYFUNCTION("""COMPUTED_VALUE"""),"Variant Analyst/Scientist")</f>
        <v>Variant Analyst/Scientist</v>
      </c>
      <c r="J42" s="49"/>
      <c r="K42" s="49" t="str">
        <f ca="1">IFERROR(__xludf.DUMMYFUNCTION("""COMPUTED_VALUE"""),"Dosage Sensitivity")</f>
        <v>Dosage Sensitivity</v>
      </c>
      <c r="L42" s="49"/>
      <c r="M42" s="49"/>
      <c r="N42" s="49"/>
      <c r="O42" s="49"/>
      <c r="P42" s="49"/>
      <c r="Q42" s="49"/>
      <c r="R42" s="49"/>
      <c r="S42" s="49"/>
      <c r="T42" s="49"/>
      <c r="U42" s="49"/>
      <c r="V42" s="49"/>
      <c r="W42" s="49"/>
      <c r="X42" s="49"/>
      <c r="Y42" s="49"/>
      <c r="Z42" s="49"/>
    </row>
    <row r="43" spans="1:26" ht="15.75" customHeight="1">
      <c r="A43" s="49" t="str">
        <f ca="1">IFERROR(__xludf.DUMMYFUNCTION("""COMPUTED_VALUE"""),"Assigned")</f>
        <v>Assigned</v>
      </c>
      <c r="B43" s="49" t="str">
        <f ca="1">IFERROR(__xludf.DUMMYFUNCTION("""COMPUTED_VALUE"""),"")</f>
        <v/>
      </c>
      <c r="C43" s="88">
        <f ca="1">IFERROR(__xludf.DUMMYFUNCTION("""COMPUTED_VALUE"""),43453)</f>
        <v>43453</v>
      </c>
      <c r="D43" s="49" t="str">
        <f ca="1">IFERROR(__xludf.DUMMYFUNCTION("""COMPUTED_VALUE"""),"Yes")</f>
        <v>Yes</v>
      </c>
      <c r="E43" s="49" t="str">
        <f ca="1">IFERROR(__xludf.DUMMYFUNCTION("""COMPUTED_VALUE"""),"Dosage Sensitivity")</f>
        <v>Dosage Sensitivity</v>
      </c>
      <c r="F43" s="49" t="str">
        <f ca="1">IFERROR(__xludf.DUMMYFUNCTION("""COMPUTED_VALUE"""),"")</f>
        <v/>
      </c>
      <c r="G43" s="49" t="str">
        <f ca="1">IFERROR(__xludf.DUMMYFUNCTION("""COMPUTED_VALUE"""),"Mahesh Iddawela")</f>
        <v>Mahesh Iddawela</v>
      </c>
      <c r="H43" s="49" t="str">
        <f ca="1">IFERROR(__xludf.DUMMYFUNCTION("""COMPUTED_VALUE"""),"mahesh.iddawela@monash.edu")</f>
        <v>mahesh.iddawela@monash.edu</v>
      </c>
      <c r="I43" s="49" t="str">
        <f ca="1">IFERROR(__xludf.DUMMYFUNCTION("""COMPUTED_VALUE"""),"Clinician Scientist Medical Oncology")</f>
        <v>Clinician Scientist Medical Oncology</v>
      </c>
      <c r="J43" s="49"/>
      <c r="K43" s="49" t="str">
        <f ca="1">IFERROR(__xludf.DUMMYFUNCTION("""COMPUTED_VALUE"""),"Dosage Sensitivity")</f>
        <v>Dosage Sensitivity</v>
      </c>
      <c r="L43" s="49"/>
      <c r="M43" s="49"/>
      <c r="N43" s="49"/>
      <c r="O43" s="49"/>
      <c r="P43" s="49"/>
      <c r="Q43" s="49"/>
      <c r="R43" s="49"/>
      <c r="S43" s="49"/>
      <c r="T43" s="49"/>
      <c r="U43" s="49"/>
      <c r="V43" s="49"/>
      <c r="W43" s="49"/>
      <c r="X43" s="49"/>
      <c r="Y43" s="49"/>
      <c r="Z43" s="49"/>
    </row>
    <row r="44" spans="1:26" ht="15.75" customHeight="1">
      <c r="A44" s="49" t="str">
        <f ca="1">IFERROR(__xludf.DUMMYFUNCTION("""COMPUTED_VALUE"""),"Assigned")</f>
        <v>Assigned</v>
      </c>
      <c r="B44" s="49" t="str">
        <f ca="1">IFERROR(__xludf.DUMMYFUNCTION("""COMPUTED_VALUE"""),"")</f>
        <v/>
      </c>
      <c r="C44" s="88">
        <f ca="1">IFERROR(__xludf.DUMMYFUNCTION("""COMPUTED_VALUE"""),43453)</f>
        <v>43453</v>
      </c>
      <c r="D44" s="49" t="str">
        <f ca="1">IFERROR(__xludf.DUMMYFUNCTION("""COMPUTED_VALUE"""),"Yes")</f>
        <v>Yes</v>
      </c>
      <c r="E44" s="49" t="str">
        <f ca="1">IFERROR(__xludf.DUMMYFUNCTION("""COMPUTED_VALUE"""),"Dosage Sensitivity")</f>
        <v>Dosage Sensitivity</v>
      </c>
      <c r="F44" s="49" t="str">
        <f ca="1">IFERROR(__xludf.DUMMYFUNCTION("""COMPUTED_VALUE"""),"")</f>
        <v/>
      </c>
      <c r="G44" s="49" t="str">
        <f ca="1">IFERROR(__xludf.DUMMYFUNCTION("""COMPUTED_VALUE"""),"Diogo Ventura Lovato")</f>
        <v>Diogo Ventura Lovato</v>
      </c>
      <c r="H44" s="49" t="str">
        <f ca="1">IFERROR(__xludf.DUMMYFUNCTION("""COMPUTED_VALUE"""),"diogo.v.lovato@gmail.com")</f>
        <v>diogo.v.lovato@gmail.com</v>
      </c>
      <c r="I44" s="49" t="str">
        <f ca="1">IFERROR(__xludf.DUMMYFUNCTION("""COMPUTED_VALUE"""),"Clinical laboratory geneticist, Scientific Researcher, Biocurator, Variant Analyst/Scientist")</f>
        <v>Clinical laboratory geneticist, Scientific Researcher, Biocurator, Variant Analyst/Scientist</v>
      </c>
      <c r="J44" s="49"/>
      <c r="K44" s="49" t="str">
        <f ca="1">IFERROR(__xludf.DUMMYFUNCTION("""COMPUTED_VALUE"""),"Dosage Sensitivity")</f>
        <v>Dosage Sensitivity</v>
      </c>
      <c r="L44" s="49"/>
      <c r="M44" s="49"/>
      <c r="N44" s="49"/>
      <c r="O44" s="49"/>
      <c r="P44" s="49"/>
      <c r="Q44" s="49"/>
      <c r="R44" s="49"/>
      <c r="S44" s="49"/>
      <c r="T44" s="49"/>
      <c r="U44" s="49"/>
      <c r="V44" s="49"/>
      <c r="W44" s="49"/>
      <c r="X44" s="49"/>
      <c r="Y44" s="49"/>
      <c r="Z44" s="49"/>
    </row>
    <row r="45" spans="1:26" ht="15.75" customHeight="1">
      <c r="A45" s="49" t="str">
        <f ca="1">IFERROR(__xludf.DUMMYFUNCTION("""COMPUTED_VALUE"""),"Unresponsive")</f>
        <v>Unresponsive</v>
      </c>
      <c r="B45" s="87">
        <f ca="1">IFERROR(__xludf.DUMMYFUNCTION("""COMPUTED_VALUE"""),43476)</f>
        <v>43476</v>
      </c>
      <c r="C45" s="98">
        <f ca="1">IFERROR(__xludf.DUMMYFUNCTION("""COMPUTED_VALUE"""),43476)</f>
        <v>43476</v>
      </c>
      <c r="D45" s="49" t="str">
        <f ca="1">IFERROR(__xludf.DUMMYFUNCTION("""COMPUTED_VALUE"""),"Yes")</f>
        <v>Yes</v>
      </c>
      <c r="E45" s="49" t="str">
        <f ca="1">IFERROR(__xludf.DUMMYFUNCTION("""COMPUTED_VALUE"""),"Somatic Cancer")</f>
        <v>Somatic Cancer</v>
      </c>
      <c r="F45" s="49" t="str">
        <f ca="1">IFERROR(__xludf.DUMMYFUNCTION("""COMPUTED_VALUE"""),"pancreatic cancer taskforce")</f>
        <v>pancreatic cancer taskforce</v>
      </c>
      <c r="G45" s="49" t="str">
        <f ca="1">IFERROR(__xludf.DUMMYFUNCTION("""COMPUTED_VALUE"""),"Sameeha Shirwadkar")</f>
        <v>Sameeha Shirwadkar</v>
      </c>
      <c r="H45" s="49" t="str">
        <f ca="1">IFERROR(__xludf.DUMMYFUNCTION("""COMPUTED_VALUE"""),"sameeha9@gmail.com")</f>
        <v>sameeha9@gmail.com</v>
      </c>
      <c r="I45" s="49" t="str">
        <f ca="1">IFERROR(__xludf.DUMMYFUNCTION("""COMPUTED_VALUE"""),"Biocurator and Variant Analyst Scientist")</f>
        <v>Biocurator and Variant Analyst Scientist</v>
      </c>
      <c r="J45" s="49"/>
      <c r="K45" s="49" t="str">
        <f ca="1">IFERROR(__xludf.DUMMYFUNCTION("""COMPUTED_VALUE"""),"Somatic Cancer")</f>
        <v>Somatic Cancer</v>
      </c>
      <c r="L45" s="49"/>
      <c r="M45" s="49"/>
      <c r="N45" s="49"/>
      <c r="O45" s="49"/>
      <c r="P45" s="49"/>
      <c r="Q45" s="49"/>
      <c r="R45" s="49"/>
      <c r="S45" s="49"/>
      <c r="T45" s="49"/>
      <c r="U45" s="49"/>
      <c r="V45" s="49"/>
      <c r="W45" s="49"/>
      <c r="X45" s="49"/>
      <c r="Y45" s="49"/>
      <c r="Z45" s="49"/>
    </row>
    <row r="46" spans="1:26" ht="15.75" customHeight="1">
      <c r="A46" s="49" t="str">
        <f ca="1">IFERROR(__xludf.DUMMYFUNCTION("""COMPUTED_VALUE"""),"Unresponsive")</f>
        <v>Unresponsive</v>
      </c>
      <c r="B46" s="49" t="str">
        <f ca="1">IFERROR(__xludf.DUMMYFUNCTION("""COMPUTED_VALUE"""),"")</f>
        <v/>
      </c>
      <c r="C46" s="98" t="str">
        <f ca="1">IFERROR(__xludf.DUMMYFUNCTION("""COMPUTED_VALUE"""),"")</f>
        <v/>
      </c>
      <c r="D46" s="49" t="str">
        <f ca="1">IFERROR(__xludf.DUMMYFUNCTION("""COMPUTED_VALUE"""),"No")</f>
        <v>No</v>
      </c>
      <c r="E46" s="49" t="str">
        <f ca="1">IFERROR(__xludf.DUMMYFUNCTION("""COMPUTED_VALUE"""),"Somatic Cancer")</f>
        <v>Somatic Cancer</v>
      </c>
      <c r="F46" s="49" t="str">
        <f ca="1">IFERROR(__xludf.DUMMYFUNCTION("""COMPUTED_VALUE"""),"pediatric cancer taskforce")</f>
        <v>pediatric cancer taskforce</v>
      </c>
      <c r="G46" s="49" t="str">
        <f ca="1">IFERROR(__xludf.DUMMYFUNCTION("""COMPUTED_VALUE"""),"Heather Williams")</f>
        <v>Heather Williams</v>
      </c>
      <c r="H46" s="49" t="str">
        <f ca="1">IFERROR(__xludf.DUMMYFUNCTION("""COMPUTED_VALUE"""),"heather.williams30@nhs.net")</f>
        <v>heather.williams30@nhs.net</v>
      </c>
      <c r="I46" s="49" t="str">
        <f ca="1">IFERROR(__xludf.DUMMYFUNCTION("""COMPUTED_VALUE"""),"Clinical laboratory geneticist")</f>
        <v>Clinical laboratory geneticist</v>
      </c>
      <c r="J46" s="49"/>
      <c r="K46" s="49" t="str">
        <f ca="1">IFERROR(__xludf.DUMMYFUNCTION("""COMPUTED_VALUE"""),"Somatic Cancer")</f>
        <v>Somatic Cancer</v>
      </c>
      <c r="L46" s="49"/>
      <c r="M46" s="49"/>
      <c r="N46" s="49"/>
      <c r="O46" s="49"/>
      <c r="P46" s="49"/>
      <c r="Q46" s="49"/>
      <c r="R46" s="49"/>
      <c r="S46" s="49"/>
      <c r="T46" s="49"/>
      <c r="U46" s="49"/>
      <c r="V46" s="49"/>
      <c r="W46" s="49"/>
      <c r="X46" s="49"/>
      <c r="Y46" s="49"/>
      <c r="Z46" s="49"/>
    </row>
    <row r="47" spans="1:26" ht="15.75" customHeight="1">
      <c r="A47" s="49" t="str">
        <f ca="1">IFERROR(__xludf.DUMMYFUNCTION("""COMPUTED_VALUE"""),"Unresponsive")</f>
        <v>Unresponsive</v>
      </c>
      <c r="B47" s="99">
        <f ca="1">IFERROR(__xludf.DUMMYFUNCTION("""COMPUTED_VALUE"""),43411)</f>
        <v>43411</v>
      </c>
      <c r="C47" s="98">
        <f ca="1">IFERROR(__xludf.DUMMYFUNCTION("""COMPUTED_VALUE"""),43476)</f>
        <v>43476</v>
      </c>
      <c r="D47" s="49" t="str">
        <f ca="1">IFERROR(__xludf.DUMMYFUNCTION("""COMPUTED_VALUE"""),"Yes")</f>
        <v>Yes</v>
      </c>
      <c r="E47" s="49" t="str">
        <f ca="1">IFERROR(__xludf.DUMMYFUNCTION("""COMPUTED_VALUE"""),"Somatic Cancer")</f>
        <v>Somatic Cancer</v>
      </c>
      <c r="F47" s="49" t="str">
        <f ca="1">IFERROR(__xludf.DUMMYFUNCTION("""COMPUTED_VALUE"""),"pediatric cancer taskforce")</f>
        <v>pediatric cancer taskforce</v>
      </c>
      <c r="G47" s="49" t="str">
        <f ca="1">IFERROR(__xludf.DUMMYFUNCTION("""COMPUTED_VALUE"""),"Laura Richards")</f>
        <v>Laura Richards</v>
      </c>
      <c r="H47" s="49" t="str">
        <f ca="1">IFERROR(__xludf.DUMMYFUNCTION("""COMPUTED_VALUE"""),"lauram.richards@mail.utoronto.ca")</f>
        <v>lauram.richards@mail.utoronto.ca</v>
      </c>
      <c r="I47" s="49" t="str">
        <f ca="1">IFERROR(__xludf.DUMMYFUNCTION("""COMPUTED_VALUE"""),"Graduate Student")</f>
        <v>Graduate Student</v>
      </c>
      <c r="J47" s="49"/>
      <c r="K47" s="49" t="str">
        <f ca="1">IFERROR(__xludf.DUMMYFUNCTION("""COMPUTED_VALUE"""),"Somatic Cancer")</f>
        <v>Somatic Cancer</v>
      </c>
      <c r="L47" s="49"/>
      <c r="M47" s="49"/>
      <c r="N47" s="49"/>
      <c r="O47" s="49"/>
      <c r="P47" s="49"/>
      <c r="Q47" s="49"/>
      <c r="R47" s="49"/>
      <c r="S47" s="49"/>
      <c r="T47" s="49"/>
      <c r="U47" s="49"/>
      <c r="V47" s="49"/>
      <c r="W47" s="49"/>
      <c r="X47" s="49"/>
      <c r="Y47" s="49"/>
      <c r="Z47" s="49"/>
    </row>
    <row r="48" spans="1:26" ht="15.75" customHeight="1">
      <c r="A48" s="49" t="str">
        <f ca="1">IFERROR(__xludf.DUMMYFUNCTION("""COMPUTED_VALUE"""),"Unresponsive")</f>
        <v>Unresponsive</v>
      </c>
      <c r="B48" s="99">
        <f ca="1">IFERROR(__xludf.DUMMYFUNCTION("""COMPUTED_VALUE"""),43411)</f>
        <v>43411</v>
      </c>
      <c r="C48" s="98" t="str">
        <f ca="1">IFERROR(__xludf.DUMMYFUNCTION("""COMPUTED_VALUE"""),"")</f>
        <v/>
      </c>
      <c r="D48" s="49" t="str">
        <f ca="1">IFERROR(__xludf.DUMMYFUNCTION("""COMPUTED_VALUE"""),"No")</f>
        <v>No</v>
      </c>
      <c r="E48" s="49" t="str">
        <f ca="1">IFERROR(__xludf.DUMMYFUNCTION("""COMPUTED_VALUE"""),"Somatic Cancer")</f>
        <v>Somatic Cancer</v>
      </c>
      <c r="F48" s="49" t="str">
        <f ca="1">IFERROR(__xludf.DUMMYFUNCTION("""COMPUTED_VALUE"""),"")</f>
        <v/>
      </c>
      <c r="G48" s="49" t="str">
        <f ca="1">IFERROR(__xludf.DUMMYFUNCTION("""COMPUTED_VALUE"""),"Aysegul Ozanturk")</f>
        <v>Aysegul Ozanturk</v>
      </c>
      <c r="H48" s="49" t="str">
        <f ca="1">IFERROR(__xludf.DUMMYFUNCTION("""COMPUTED_VALUE"""),"aozanturk@gmail.com")</f>
        <v>aozanturk@gmail.com</v>
      </c>
      <c r="I48" s="49" t="str">
        <f ca="1">IFERROR(__xludf.DUMMYFUNCTION("""COMPUTED_VALUE"""),"Scientific Researcher, Variant Analyst/Scientist")</f>
        <v>Scientific Researcher, Variant Analyst/Scientist</v>
      </c>
      <c r="J48" s="49"/>
      <c r="K48" s="49" t="str">
        <f ca="1">IFERROR(__xludf.DUMMYFUNCTION("""COMPUTED_VALUE"""),"Somatic Cancer")</f>
        <v>Somatic Cancer</v>
      </c>
      <c r="L48" s="49"/>
      <c r="M48" s="49"/>
      <c r="N48" s="49"/>
      <c r="O48" s="49"/>
      <c r="P48" s="49"/>
      <c r="Q48" s="49"/>
      <c r="R48" s="49"/>
      <c r="S48" s="49"/>
      <c r="T48" s="49"/>
      <c r="U48" s="49"/>
      <c r="V48" s="49"/>
      <c r="W48" s="49"/>
      <c r="X48" s="49"/>
      <c r="Y48" s="49"/>
      <c r="Z48" s="49"/>
    </row>
    <row r="49" spans="1:26" ht="15.75" customHeight="1">
      <c r="A49" s="49" t="str">
        <f ca="1">IFERROR(__xludf.DUMMYFUNCTION("""COMPUTED_VALUE"""),"Declined")</f>
        <v>Declined</v>
      </c>
      <c r="B49" s="99">
        <f ca="1">IFERROR(__xludf.DUMMYFUNCTION("""COMPUTED_VALUE"""),43411)</f>
        <v>43411</v>
      </c>
      <c r="C49" s="98">
        <f ca="1">IFERROR(__xludf.DUMMYFUNCTION("""COMPUTED_VALUE"""),43476)</f>
        <v>43476</v>
      </c>
      <c r="D49" s="49" t="str">
        <f ca="1">IFERROR(__xludf.DUMMYFUNCTION("""COMPUTED_VALUE"""),"Yes")</f>
        <v>Yes</v>
      </c>
      <c r="E49" s="49" t="str">
        <f ca="1">IFERROR(__xludf.DUMMYFUNCTION("""COMPUTED_VALUE"""),"Somatic Cancer")</f>
        <v>Somatic Cancer</v>
      </c>
      <c r="F49" s="49" t="str">
        <f ca="1">IFERROR(__xludf.DUMMYFUNCTION("""COMPUTED_VALUE"""),"pancreatic cancer taskforce")</f>
        <v>pancreatic cancer taskforce</v>
      </c>
      <c r="G49" s="49" t="str">
        <f ca="1">IFERROR(__xludf.DUMMYFUNCTION("""COMPUTED_VALUE"""),"Kaylee Barber")</f>
        <v>Kaylee Barber</v>
      </c>
      <c r="H49" s="49" t="str">
        <f ca="1">IFERROR(__xludf.DUMMYFUNCTION("""COMPUTED_VALUE"""),"kbarber@bioreference.com")</f>
        <v>kbarber@bioreference.com</v>
      </c>
      <c r="I49" s="49" t="str">
        <f ca="1">IFERROR(__xludf.DUMMYFUNCTION("""COMPUTED_VALUE"""),"Genetic counselor")</f>
        <v>Genetic counselor</v>
      </c>
      <c r="J49" s="49"/>
      <c r="K49" s="49" t="str">
        <f ca="1">IFERROR(__xludf.DUMMYFUNCTION("""COMPUTED_VALUE"""),"Somatic Cancer")</f>
        <v>Somatic Cancer</v>
      </c>
      <c r="L49" s="49"/>
      <c r="M49" s="49"/>
      <c r="N49" s="49"/>
      <c r="O49" s="49"/>
      <c r="P49" s="49"/>
      <c r="Q49" s="49"/>
      <c r="R49" s="49"/>
      <c r="S49" s="49"/>
      <c r="T49" s="49"/>
      <c r="U49" s="49"/>
      <c r="V49" s="49"/>
      <c r="W49" s="49"/>
      <c r="X49" s="49"/>
      <c r="Y49" s="49"/>
      <c r="Z49" s="49"/>
    </row>
    <row r="50" spans="1:26" ht="15.75" customHeight="1">
      <c r="A50" s="49" t="str">
        <f ca="1">IFERROR(__xludf.DUMMYFUNCTION("""COMPUTED_VALUE"""),"Assigned")</f>
        <v>Assigned</v>
      </c>
      <c r="B50" s="99">
        <f ca="1">IFERROR(__xludf.DUMMYFUNCTION("""COMPUTED_VALUE"""),43411)</f>
        <v>43411</v>
      </c>
      <c r="C50" s="98">
        <f ca="1">IFERROR(__xludf.DUMMYFUNCTION("""COMPUTED_VALUE"""),43476)</f>
        <v>43476</v>
      </c>
      <c r="D50" s="49" t="str">
        <f ca="1">IFERROR(__xludf.DUMMYFUNCTION("""COMPUTED_VALUE"""),"Yes")</f>
        <v>Yes</v>
      </c>
      <c r="E50" s="49" t="str">
        <f ca="1">IFERROR(__xludf.DUMMYFUNCTION("""COMPUTED_VALUE"""),"Somatic Cancer")</f>
        <v>Somatic Cancer</v>
      </c>
      <c r="F50" s="49" t="str">
        <f ca="1">IFERROR(__xludf.DUMMYFUNCTION("""COMPUTED_VALUE"""),"pediatric and pancreatic cancer taskforces")</f>
        <v>pediatric and pancreatic cancer taskforces</v>
      </c>
      <c r="G50" s="49" t="str">
        <f ca="1">IFERROR(__xludf.DUMMYFUNCTION("""COMPUTED_VALUE"""),"Wan-Hsin Lin")</f>
        <v>Wan-Hsin Lin</v>
      </c>
      <c r="H50" s="49" t="str">
        <f ca="1">IFERROR(__xludf.DUMMYFUNCTION("""COMPUTED_VALUE"""),"lin.wanhsin@mayo.edu")</f>
        <v>lin.wanhsin@mayo.edu</v>
      </c>
      <c r="I50" s="49" t="str">
        <f ca="1">IFERROR(__xludf.DUMMYFUNCTION("""COMPUTED_VALUE"""),"Post Doc/Resident/Fellow (MD and/or PhD)")</f>
        <v>Post Doc/Resident/Fellow (MD and/or PhD)</v>
      </c>
      <c r="J50" s="49"/>
      <c r="K50" s="49" t="str">
        <f ca="1">IFERROR(__xludf.DUMMYFUNCTION("""COMPUTED_VALUE"""),"Somatic Cancer")</f>
        <v>Somatic Cancer</v>
      </c>
      <c r="L50" s="49"/>
      <c r="M50" s="49"/>
      <c r="N50" s="49"/>
      <c r="O50" s="49"/>
      <c r="P50" s="49"/>
      <c r="Q50" s="49"/>
      <c r="R50" s="49"/>
      <c r="S50" s="49"/>
      <c r="T50" s="49"/>
      <c r="U50" s="49"/>
      <c r="V50" s="49"/>
      <c r="W50" s="49"/>
      <c r="X50" s="49"/>
      <c r="Y50" s="49"/>
      <c r="Z50" s="49"/>
    </row>
    <row r="51" spans="1:26" ht="15.75" customHeight="1">
      <c r="A51" s="49" t="str">
        <f ca="1">IFERROR(__xludf.DUMMYFUNCTION("""COMPUTED_VALUE"""),"Unresponsive")</f>
        <v>Unresponsive</v>
      </c>
      <c r="B51" s="99">
        <f ca="1">IFERROR(__xludf.DUMMYFUNCTION("""COMPUTED_VALUE"""),43411)</f>
        <v>43411</v>
      </c>
      <c r="C51" s="98">
        <f ca="1">IFERROR(__xludf.DUMMYFUNCTION("""COMPUTED_VALUE"""),43476)</f>
        <v>43476</v>
      </c>
      <c r="D51" s="49" t="str">
        <f ca="1">IFERROR(__xludf.DUMMYFUNCTION("""COMPUTED_VALUE"""),"Yes")</f>
        <v>Yes</v>
      </c>
      <c r="E51" s="49" t="str">
        <f ca="1">IFERROR(__xludf.DUMMYFUNCTION("""COMPUTED_VALUE"""),"Somatic Cancer")</f>
        <v>Somatic Cancer</v>
      </c>
      <c r="F51" s="49" t="str">
        <f ca="1">IFERROR(__xludf.DUMMYFUNCTION("""COMPUTED_VALUE"""),"pediatric cancer taskforce")</f>
        <v>pediatric cancer taskforce</v>
      </c>
      <c r="G51" s="49" t="str">
        <f ca="1">IFERROR(__xludf.DUMMYFUNCTION("""COMPUTED_VALUE"""),"Stefan Rentas")</f>
        <v>Stefan Rentas</v>
      </c>
      <c r="H51" s="49" t="str">
        <f ca="1">IFERROR(__xludf.DUMMYFUNCTION("""COMPUTED_VALUE"""),"rentass@email.chop.edu")</f>
        <v>rentass@email.chop.edu</v>
      </c>
      <c r="I51" s="49" t="str">
        <f ca="1">IFERROR(__xludf.DUMMYFUNCTION("""COMPUTED_VALUE"""),"Post Doc/Resident/Fellow (MD and/or PhD)")</f>
        <v>Post Doc/Resident/Fellow (MD and/or PhD)</v>
      </c>
      <c r="J51" s="49"/>
      <c r="K51" s="49" t="str">
        <f ca="1">IFERROR(__xludf.DUMMYFUNCTION("""COMPUTED_VALUE"""),"Somatic Cancer")</f>
        <v>Somatic Cancer</v>
      </c>
      <c r="L51" s="49"/>
      <c r="M51" s="49"/>
      <c r="N51" s="49"/>
      <c r="O51" s="49"/>
      <c r="P51" s="49"/>
      <c r="Q51" s="49"/>
      <c r="R51" s="49"/>
      <c r="S51" s="49"/>
      <c r="T51" s="49"/>
      <c r="U51" s="49"/>
      <c r="V51" s="49"/>
      <c r="W51" s="49"/>
      <c r="X51" s="49"/>
      <c r="Y51" s="49"/>
      <c r="Z51" s="49"/>
    </row>
    <row r="52" spans="1:26" ht="15.75" customHeight="1">
      <c r="A52" s="49" t="str">
        <f ca="1">IFERROR(__xludf.DUMMYFUNCTION("""COMPUTED_VALUE"""),"Unresponsive")</f>
        <v>Unresponsive</v>
      </c>
      <c r="B52" s="88">
        <f ca="1">IFERROR(__xludf.DUMMYFUNCTION("""COMPUTED_VALUE"""),43434)</f>
        <v>43434</v>
      </c>
      <c r="C52" s="98" t="str">
        <f ca="1">IFERROR(__xludf.DUMMYFUNCTION("""COMPUTED_VALUE"""),"")</f>
        <v/>
      </c>
      <c r="D52" s="49" t="str">
        <f ca="1">IFERROR(__xludf.DUMMYFUNCTION("""COMPUTED_VALUE"""),"No")</f>
        <v>No</v>
      </c>
      <c r="E52" s="49" t="str">
        <f ca="1">IFERROR(__xludf.DUMMYFUNCTION("""COMPUTED_VALUE"""),"Somatic Cancer")</f>
        <v>Somatic Cancer</v>
      </c>
      <c r="F52" s="49" t="str">
        <f ca="1">IFERROR(__xludf.DUMMYFUNCTION("""COMPUTED_VALUE"""),"")</f>
        <v/>
      </c>
      <c r="G52" s="49" t="str">
        <f ca="1">IFERROR(__xludf.DUMMYFUNCTION("""COMPUTED_VALUE"""),"Willonie Mendonca")</f>
        <v>Willonie Mendonca</v>
      </c>
      <c r="H52" s="49" t="str">
        <f ca="1">IFERROR(__xludf.DUMMYFUNCTION("""COMPUTED_VALUE"""),"willonie@gmail.com")</f>
        <v>willonie@gmail.com</v>
      </c>
      <c r="I52" s="49" t="str">
        <f ca="1">IFERROR(__xludf.DUMMYFUNCTION("""COMPUTED_VALUE"""),"Genetic counselor")</f>
        <v>Genetic counselor</v>
      </c>
      <c r="J52" s="49"/>
      <c r="K52" s="49" t="str">
        <f ca="1">IFERROR(__xludf.DUMMYFUNCTION("""COMPUTED_VALUE"""),"Somatic Cancer")</f>
        <v>Somatic Cancer</v>
      </c>
      <c r="L52" s="49"/>
      <c r="M52" s="49"/>
      <c r="N52" s="49"/>
      <c r="O52" s="49"/>
      <c r="P52" s="49"/>
      <c r="Q52" s="49"/>
      <c r="R52" s="49"/>
      <c r="S52" s="49"/>
      <c r="T52" s="49"/>
      <c r="U52" s="49"/>
      <c r="V52" s="49"/>
      <c r="W52" s="49"/>
      <c r="X52" s="49"/>
      <c r="Y52" s="49"/>
      <c r="Z52" s="49"/>
    </row>
    <row r="53" spans="1:26" ht="15.75" customHeight="1">
      <c r="A53" s="49" t="str">
        <f ca="1">IFERROR(__xludf.DUMMYFUNCTION("""COMPUTED_VALUE"""),"Unresponsive")</f>
        <v>Unresponsive</v>
      </c>
      <c r="B53" s="88">
        <f ca="1">IFERROR(__xludf.DUMMYFUNCTION("""COMPUTED_VALUE"""),43434)</f>
        <v>43434</v>
      </c>
      <c r="C53" s="98">
        <f ca="1">IFERROR(__xludf.DUMMYFUNCTION("""COMPUTED_VALUE"""),43476)</f>
        <v>43476</v>
      </c>
      <c r="D53" s="49" t="str">
        <f ca="1">IFERROR(__xludf.DUMMYFUNCTION("""COMPUTED_VALUE"""),"Yes")</f>
        <v>Yes</v>
      </c>
      <c r="E53" s="49" t="str">
        <f ca="1">IFERROR(__xludf.DUMMYFUNCTION("""COMPUTED_VALUE"""),"Somatic Cancer")</f>
        <v>Somatic Cancer</v>
      </c>
      <c r="F53" s="49" t="str">
        <f ca="1">IFERROR(__xludf.DUMMYFUNCTION("""COMPUTED_VALUE"""),"pancreatic cancer taskforce")</f>
        <v>pancreatic cancer taskforce</v>
      </c>
      <c r="G53" s="49" t="str">
        <f ca="1">IFERROR(__xludf.DUMMYFUNCTION("""COMPUTED_VALUE"""),"Iman Haroun")</f>
        <v>Iman Haroun</v>
      </c>
      <c r="H53" s="49" t="str">
        <f ca="1">IFERROR(__xludf.DUMMYFUNCTION("""COMPUTED_VALUE"""),"iman.haroun@readinghealth.org")</f>
        <v>iman.haroun@readinghealth.org</v>
      </c>
      <c r="I53" s="49" t="str">
        <f ca="1">IFERROR(__xludf.DUMMYFUNCTION("""COMPUTED_VALUE"""),"Genetic counselor")</f>
        <v>Genetic counselor</v>
      </c>
      <c r="J53" s="49"/>
      <c r="K53" s="49" t="str">
        <f ca="1">IFERROR(__xludf.DUMMYFUNCTION("""COMPUTED_VALUE"""),"Somatic Cancer")</f>
        <v>Somatic Cancer</v>
      </c>
      <c r="L53" s="49"/>
      <c r="M53" s="49"/>
      <c r="N53" s="49"/>
      <c r="O53" s="49"/>
      <c r="P53" s="49"/>
      <c r="Q53" s="49"/>
      <c r="R53" s="49"/>
      <c r="S53" s="49"/>
      <c r="T53" s="49"/>
      <c r="U53" s="49"/>
      <c r="V53" s="49"/>
      <c r="W53" s="49"/>
      <c r="X53" s="49"/>
      <c r="Y53" s="49"/>
      <c r="Z53" s="49"/>
    </row>
    <row r="54" spans="1:26" ht="15.75" customHeight="1">
      <c r="A54" s="49" t="str">
        <f ca="1">IFERROR(__xludf.DUMMYFUNCTION("""COMPUTED_VALUE"""),"Unresponsive")</f>
        <v>Unresponsive</v>
      </c>
      <c r="B54" s="99">
        <f ca="1">IFERROR(__xludf.DUMMYFUNCTION("""COMPUTED_VALUE"""),43439)</f>
        <v>43439</v>
      </c>
      <c r="C54" s="49" t="str">
        <f ca="1">IFERROR(__xludf.DUMMYFUNCTION("""COMPUTED_VALUE"""),"")</f>
        <v/>
      </c>
      <c r="D54" s="49" t="str">
        <f ca="1">IFERROR(__xludf.DUMMYFUNCTION("""COMPUTED_VALUE"""),"No")</f>
        <v>No</v>
      </c>
      <c r="E54" s="49" t="str">
        <f ca="1">IFERROR(__xludf.DUMMYFUNCTION("""COMPUTED_VALUE"""),"Variant Pathogenicity")</f>
        <v>Variant Pathogenicity</v>
      </c>
      <c r="F54" s="49" t="str">
        <f ca="1">IFERROR(__xludf.DUMMYFUNCTION("""COMPUTED_VALUE"""),"")</f>
        <v/>
      </c>
      <c r="G54" s="49" t="str">
        <f ca="1">IFERROR(__xludf.DUMMYFUNCTION("""COMPUTED_VALUE"""),"Daniel Bellissimo")</f>
        <v>Daniel Bellissimo</v>
      </c>
      <c r="H54" s="49" t="str">
        <f ca="1">IFERROR(__xludf.DUMMYFUNCTION("""COMPUTED_VALUE"""),"BELLISSIMOD@MAIL.MAGEE.EDU")</f>
        <v>BELLISSIMOD@MAIL.MAGEE.EDU</v>
      </c>
      <c r="I54" s="49" t="str">
        <f ca="1">IFERROR(__xludf.DUMMYFUNCTION("""COMPUTED_VALUE"""),"Clinical laboratory geneticist")</f>
        <v>Clinical laboratory geneticist</v>
      </c>
      <c r="J54" s="49"/>
      <c r="K54" s="49" t="str">
        <f ca="1">IFERROR(__xludf.DUMMYFUNCTION("""COMPUTED_VALUE"""),"Variant Pathogenicity")</f>
        <v>Variant Pathogenicity</v>
      </c>
      <c r="L54" s="49"/>
      <c r="M54" s="49"/>
      <c r="N54" s="49"/>
      <c r="O54" s="49"/>
      <c r="P54" s="49"/>
      <c r="Q54" s="49"/>
      <c r="R54" s="49"/>
      <c r="S54" s="49"/>
      <c r="T54" s="49"/>
      <c r="U54" s="49"/>
      <c r="V54" s="49"/>
      <c r="W54" s="49"/>
      <c r="X54" s="49"/>
      <c r="Y54" s="49"/>
      <c r="Z54" s="49"/>
    </row>
    <row r="55" spans="1:26" ht="15.75" customHeight="1">
      <c r="A55" s="49" t="str">
        <f ca="1">IFERROR(__xludf.DUMMYFUNCTION("""COMPUTED_VALUE"""),"Contacted")</f>
        <v>Contacted</v>
      </c>
      <c r="B55" s="99">
        <f ca="1">IFERROR(__xludf.DUMMYFUNCTION("""COMPUTED_VALUE"""),43439)</f>
        <v>43439</v>
      </c>
      <c r="C55" s="49" t="str">
        <f ca="1">IFERROR(__xludf.DUMMYFUNCTION("""COMPUTED_VALUE"""),"")</f>
        <v/>
      </c>
      <c r="D55" s="49" t="str">
        <f ca="1">IFERROR(__xludf.DUMMYFUNCTION("""COMPUTED_VALUE"""),"No")</f>
        <v>No</v>
      </c>
      <c r="E55" s="49" t="str">
        <f ca="1">IFERROR(__xludf.DUMMYFUNCTION("""COMPUTED_VALUE"""),"Variant Pathogenicity")</f>
        <v>Variant Pathogenicity</v>
      </c>
      <c r="F55" s="49" t="str">
        <f ca="1">IFERROR(__xludf.DUMMYFUNCTION("""COMPUTED_VALUE"""),"")</f>
        <v/>
      </c>
      <c r="G55" s="49" t="str">
        <f ca="1">IFERROR(__xludf.DUMMYFUNCTION("""COMPUTED_VALUE"""),"Alexa Dickson ")</f>
        <v xml:space="preserve">Alexa Dickson </v>
      </c>
      <c r="H55" s="49" t="str">
        <f ca="1">IFERROR(__xludf.DUMMYFUNCTION("""COMPUTED_VALUE"""),"alexa.dickson@aruplab.com")</f>
        <v>alexa.dickson@aruplab.com</v>
      </c>
      <c r="I55" s="49" t="str">
        <f ca="1">IFERROR(__xludf.DUMMYFUNCTION("""COMPUTED_VALUE"""),"Clinical laboratory geneticist")</f>
        <v>Clinical laboratory geneticist</v>
      </c>
      <c r="J55" s="49"/>
      <c r="K55" s="49" t="str">
        <f ca="1">IFERROR(__xludf.DUMMYFUNCTION("""COMPUTED_VALUE"""),"Variant Pathogenicity")</f>
        <v>Variant Pathogenicity</v>
      </c>
      <c r="L55" s="49"/>
      <c r="M55" s="49"/>
      <c r="N55" s="49"/>
      <c r="O55" s="49"/>
      <c r="P55" s="49"/>
      <c r="Q55" s="49"/>
      <c r="R55" s="49"/>
      <c r="S55" s="49"/>
      <c r="T55" s="49"/>
      <c r="U55" s="49"/>
      <c r="V55" s="49"/>
      <c r="W55" s="49"/>
      <c r="X55" s="49"/>
      <c r="Y55" s="49"/>
      <c r="Z55" s="49"/>
    </row>
    <row r="56" spans="1:26" ht="15.75" customHeight="1">
      <c r="A56" s="49" t="str">
        <f ca="1">IFERROR(__xludf.DUMMYFUNCTION("""COMPUTED_VALUE"""),"Unresponsive")</f>
        <v>Unresponsive</v>
      </c>
      <c r="B56" s="99">
        <f ca="1">IFERROR(__xludf.DUMMYFUNCTION("""COMPUTED_VALUE"""),43439)</f>
        <v>43439</v>
      </c>
      <c r="C56" s="87">
        <f ca="1">IFERROR(__xludf.DUMMYFUNCTION("""COMPUTED_VALUE"""),43605)</f>
        <v>43605</v>
      </c>
      <c r="D56" s="49" t="str">
        <f ca="1">IFERROR(__xludf.DUMMYFUNCTION("""COMPUTED_VALUE"""),"Yes")</f>
        <v>Yes</v>
      </c>
      <c r="E56" s="49" t="str">
        <f ca="1">IFERROR(__xludf.DUMMYFUNCTION("""COMPUTED_VALUE"""),"Variant Pathogenicity")</f>
        <v>Variant Pathogenicity</v>
      </c>
      <c r="F56" s="49" t="str">
        <f ca="1">IFERROR(__xludf.DUMMYFUNCTION("""COMPUTED_VALUE"""),"")</f>
        <v/>
      </c>
      <c r="G56" s="49" t="str">
        <f ca="1">IFERROR(__xludf.DUMMYFUNCTION("""COMPUTED_VALUE"""),"Luke Drury")</f>
        <v>Luke Drury</v>
      </c>
      <c r="H56" s="49" t="str">
        <f ca="1">IFERROR(__xludf.DUMMYFUNCTION("""COMPUTED_VALUE"""),"luke.drury@preventiongenetics.com")</f>
        <v>luke.drury@preventiongenetics.com</v>
      </c>
      <c r="I56" s="49" t="str">
        <f ca="1">IFERROR(__xludf.DUMMYFUNCTION("""COMPUTED_VALUE"""),"Variant Analyst/Scientist")</f>
        <v>Variant Analyst/Scientist</v>
      </c>
      <c r="J56" s="49"/>
      <c r="K56" s="49" t="str">
        <f ca="1">IFERROR(__xludf.DUMMYFUNCTION("""COMPUTED_VALUE"""),"Variant Pathogenicity")</f>
        <v>Variant Pathogenicity</v>
      </c>
      <c r="L56" s="49"/>
      <c r="M56" s="49"/>
      <c r="N56" s="49"/>
      <c r="O56" s="49"/>
      <c r="P56" s="49"/>
      <c r="Q56" s="49"/>
      <c r="R56" s="49"/>
      <c r="S56" s="49"/>
      <c r="T56" s="49"/>
      <c r="U56" s="49"/>
      <c r="V56" s="49"/>
      <c r="W56" s="49"/>
      <c r="X56" s="49"/>
      <c r="Y56" s="49"/>
      <c r="Z56" s="49"/>
    </row>
    <row r="57" spans="1:26" ht="15.75" customHeight="1">
      <c r="A57" s="49" t="str">
        <f ca="1">IFERROR(__xludf.DUMMYFUNCTION("""COMPUTED_VALUE"""),"Assigned")</f>
        <v>Assigned</v>
      </c>
      <c r="B57" s="99">
        <f ca="1">IFERROR(__xludf.DUMMYFUNCTION("""COMPUTED_VALUE"""),43439)</f>
        <v>43439</v>
      </c>
      <c r="C57" s="87">
        <f ca="1">IFERROR(__xludf.DUMMYFUNCTION("""COMPUTED_VALUE"""),43605)</f>
        <v>43605</v>
      </c>
      <c r="D57" s="49" t="str">
        <f ca="1">IFERROR(__xludf.DUMMYFUNCTION("""COMPUTED_VALUE"""),"Yes")</f>
        <v>Yes</v>
      </c>
      <c r="E57" s="49" t="str">
        <f ca="1">IFERROR(__xludf.DUMMYFUNCTION("""COMPUTED_VALUE"""),"Variant Pathogenicity")</f>
        <v>Variant Pathogenicity</v>
      </c>
      <c r="F57" s="49" t="str">
        <f ca="1">IFERROR(__xludf.DUMMYFUNCTION("""COMPUTED_VALUE"""),"Storage Disease")</f>
        <v>Storage Disease</v>
      </c>
      <c r="G57" s="49" t="str">
        <f ca="1">IFERROR(__xludf.DUMMYFUNCTION("""COMPUTED_VALUE"""),"Lynne Rosenblum")</f>
        <v>Lynne Rosenblum</v>
      </c>
      <c r="H57" s="49" t="str">
        <f ca="1">IFERROR(__xludf.DUMMYFUNCTION("""COMPUTED_VALUE"""),"lynne.rosenblum@integratedgenetics.com")</f>
        <v>lynne.rosenblum@integratedgenetics.com</v>
      </c>
      <c r="I57" s="49" t="str">
        <f ca="1">IFERROR(__xludf.DUMMYFUNCTION("""COMPUTED_VALUE"""),"Clinical laboratory geneticist")</f>
        <v>Clinical laboratory geneticist</v>
      </c>
      <c r="J57" s="49"/>
      <c r="K57" s="49" t="str">
        <f ca="1">IFERROR(__xludf.DUMMYFUNCTION("""COMPUTED_VALUE"""),"Variant Pathogenicity")</f>
        <v>Variant Pathogenicity</v>
      </c>
      <c r="L57" s="49"/>
      <c r="M57" s="49"/>
      <c r="N57" s="49"/>
      <c r="O57" s="49"/>
      <c r="P57" s="49"/>
      <c r="Q57" s="49"/>
      <c r="R57" s="49"/>
      <c r="S57" s="49"/>
      <c r="T57" s="49"/>
      <c r="U57" s="49"/>
      <c r="V57" s="49"/>
      <c r="W57" s="49"/>
      <c r="X57" s="49"/>
      <c r="Y57" s="49"/>
      <c r="Z57" s="49"/>
    </row>
    <row r="58" spans="1:26" ht="15.75" customHeight="1">
      <c r="A58" s="49" t="str">
        <f ca="1">IFERROR(__xludf.DUMMYFUNCTION("""COMPUTED_VALUE"""),"Assigned")</f>
        <v>Assigned</v>
      </c>
      <c r="B58" s="99">
        <f ca="1">IFERROR(__xludf.DUMMYFUNCTION("""COMPUTED_VALUE"""),43439)</f>
        <v>43439</v>
      </c>
      <c r="C58" s="87">
        <f ca="1">IFERROR(__xludf.DUMMYFUNCTION("""COMPUTED_VALUE"""),43605)</f>
        <v>43605</v>
      </c>
      <c r="D58" s="49" t="str">
        <f ca="1">IFERROR(__xludf.DUMMYFUNCTION("""COMPUTED_VALUE"""),"Yes")</f>
        <v>Yes</v>
      </c>
      <c r="E58" s="49" t="str">
        <f ca="1">IFERROR(__xludf.DUMMYFUNCTION("""COMPUTED_VALUE"""),"Variant Pathogenicity")</f>
        <v>Variant Pathogenicity</v>
      </c>
      <c r="F58" s="49" t="str">
        <f ca="1">IFERROR(__xludf.DUMMYFUNCTION("""COMPUTED_VALUE"""),"ACADVL")</f>
        <v>ACADVL</v>
      </c>
      <c r="G58" s="49" t="str">
        <f ca="1">IFERROR(__xludf.DUMMYFUNCTION("""COMPUTED_VALUE"""),"Yang Wang")</f>
        <v>Yang Wang</v>
      </c>
      <c r="H58" s="49" t="str">
        <f ca="1">IFERROR(__xludf.DUMMYFUNCTION("""COMPUTED_VALUE"""),"yangwangcmg@gmail.com")</f>
        <v>yangwangcmg@gmail.com</v>
      </c>
      <c r="I58" s="49" t="str">
        <f ca="1">IFERROR(__xludf.DUMMYFUNCTION("""COMPUTED_VALUE"""),"Clinical laboratory geneticist")</f>
        <v>Clinical laboratory geneticist</v>
      </c>
      <c r="J58" s="49"/>
      <c r="K58" s="49" t="str">
        <f ca="1">IFERROR(__xludf.DUMMYFUNCTION("""COMPUTED_VALUE"""),"Variant Pathogenicity")</f>
        <v>Variant Pathogenicity</v>
      </c>
      <c r="L58" s="49"/>
      <c r="M58" s="49"/>
      <c r="N58" s="49"/>
      <c r="O58" s="49"/>
      <c r="P58" s="49"/>
      <c r="Q58" s="49"/>
      <c r="R58" s="49"/>
      <c r="S58" s="49"/>
      <c r="T58" s="49"/>
      <c r="U58" s="49"/>
      <c r="V58" s="49"/>
      <c r="W58" s="49"/>
      <c r="X58" s="49"/>
      <c r="Y58" s="49"/>
      <c r="Z58" s="49"/>
    </row>
    <row r="59" spans="1:26" ht="15.75" customHeight="1">
      <c r="A59" s="49" t="str">
        <f ca="1">IFERROR(__xludf.DUMMYFUNCTION("""COMPUTED_VALUE"""),"Contacted")</f>
        <v>Contacted</v>
      </c>
      <c r="B59" s="99">
        <f ca="1">IFERROR(__xludf.DUMMYFUNCTION("""COMPUTED_VALUE"""),43439)</f>
        <v>43439</v>
      </c>
      <c r="C59" s="88">
        <f ca="1">IFERROR(__xludf.DUMMYFUNCTION("""COMPUTED_VALUE"""),43446)</f>
        <v>43446</v>
      </c>
      <c r="D59" s="49" t="str">
        <f ca="1">IFERROR(__xludf.DUMMYFUNCTION("""COMPUTED_VALUE"""),"Yes")</f>
        <v>Yes</v>
      </c>
      <c r="E59" s="49" t="str">
        <f ca="1">IFERROR(__xludf.DUMMYFUNCTION("""COMPUTED_VALUE"""),"Gene Disease Validity")</f>
        <v>Gene Disease Validity</v>
      </c>
      <c r="F59" s="49" t="str">
        <f ca="1">IFERROR(__xludf.DUMMYFUNCTION("""COMPUTED_VALUE"""),"")</f>
        <v/>
      </c>
      <c r="G59" s="49" t="str">
        <f ca="1">IFERROR(__xludf.DUMMYFUNCTION("""COMPUTED_VALUE"""),"Elaine Spector ")</f>
        <v xml:space="preserve">Elaine Spector </v>
      </c>
      <c r="H59" s="49" t="str">
        <f ca="1">IFERROR(__xludf.DUMMYFUNCTION("""COMPUTED_VALUE"""),"elaine.spector@childrenscolorado.org")</f>
        <v>elaine.spector@childrenscolorado.org</v>
      </c>
      <c r="I59" s="49" t="str">
        <f ca="1">IFERROR(__xludf.DUMMYFUNCTION("""COMPUTED_VALUE"""),"Clinical laboratory geneticist")</f>
        <v>Clinical laboratory geneticist</v>
      </c>
      <c r="J59" s="49"/>
      <c r="K59" s="49" t="str">
        <f ca="1">IFERROR(__xludf.DUMMYFUNCTION("""COMPUTED_VALUE"""),"Gene-Disease Validity")</f>
        <v>Gene-Disease Validity</v>
      </c>
      <c r="L59" s="49"/>
      <c r="M59" s="49"/>
      <c r="N59" s="49"/>
      <c r="O59" s="49"/>
      <c r="P59" s="49"/>
      <c r="Q59" s="49"/>
      <c r="R59" s="49"/>
      <c r="S59" s="49"/>
      <c r="T59" s="49"/>
      <c r="U59" s="49"/>
      <c r="V59" s="49"/>
      <c r="W59" s="49"/>
      <c r="X59" s="49"/>
      <c r="Y59" s="49"/>
      <c r="Z59" s="49"/>
    </row>
    <row r="60" spans="1:26" ht="15.75" customHeight="1">
      <c r="A60" s="49" t="str">
        <f ca="1">IFERROR(__xludf.DUMMYFUNCTION("""COMPUTED_VALUE"""),"Unresponsive")</f>
        <v>Unresponsive</v>
      </c>
      <c r="B60" s="99">
        <f ca="1">IFERROR(__xludf.DUMMYFUNCTION("""COMPUTED_VALUE"""),43439)</f>
        <v>43439</v>
      </c>
      <c r="C60" s="49" t="str">
        <f ca="1">IFERROR(__xludf.DUMMYFUNCTION("""COMPUTED_VALUE"""),"")</f>
        <v/>
      </c>
      <c r="D60" s="49" t="str">
        <f ca="1">IFERROR(__xludf.DUMMYFUNCTION("""COMPUTED_VALUE"""),"No")</f>
        <v>No</v>
      </c>
      <c r="E60" s="49" t="str">
        <f ca="1">IFERROR(__xludf.DUMMYFUNCTION("""COMPUTED_VALUE"""),"Variant Pathogenicity")</f>
        <v>Variant Pathogenicity</v>
      </c>
      <c r="F60" s="49" t="str">
        <f ca="1">IFERROR(__xludf.DUMMYFUNCTION("""COMPUTED_VALUE"""),"")</f>
        <v/>
      </c>
      <c r="G60" s="49" t="str">
        <f ca="1">IFERROR(__xludf.DUMMYFUNCTION("""COMPUTED_VALUE"""),"Samya Chakravorty")</f>
        <v>Samya Chakravorty</v>
      </c>
      <c r="H60" s="49" t="str">
        <f ca="1">IFERROR(__xludf.DUMMYFUNCTION("""COMPUTED_VALUE"""),"samya.chakravorty@emory.edu")</f>
        <v>samya.chakravorty@emory.edu</v>
      </c>
      <c r="I60" s="49" t="str">
        <f ca="1">IFERROR(__xludf.DUMMYFUNCTION("""COMPUTED_VALUE"""),"Post Doc/Resident/Fellow (MD and/or PhD)")</f>
        <v>Post Doc/Resident/Fellow (MD and/or PhD)</v>
      </c>
      <c r="J60" s="49"/>
      <c r="K60" s="49" t="str">
        <f ca="1">IFERROR(__xludf.DUMMYFUNCTION("""COMPUTED_VALUE"""),"Variant Pathogenicity")</f>
        <v>Variant Pathogenicity</v>
      </c>
      <c r="L60" s="49"/>
      <c r="M60" s="49"/>
      <c r="N60" s="49"/>
      <c r="O60" s="49"/>
      <c r="P60" s="49"/>
      <c r="Q60" s="49"/>
      <c r="R60" s="49"/>
      <c r="S60" s="49"/>
      <c r="T60" s="49"/>
      <c r="U60" s="49"/>
      <c r="V60" s="49"/>
      <c r="W60" s="49"/>
      <c r="X60" s="49"/>
      <c r="Y60" s="49"/>
      <c r="Z60" s="49"/>
    </row>
    <row r="61" spans="1:26" ht="15.75" customHeight="1">
      <c r="A61" s="49" t="str">
        <f ca="1">IFERROR(__xludf.DUMMYFUNCTION("""COMPUTED_VALUE"""),"Unresponsive")</f>
        <v>Unresponsive</v>
      </c>
      <c r="B61" s="99">
        <f ca="1">IFERROR(__xludf.DUMMYFUNCTION("""COMPUTED_VALUE"""),43439)</f>
        <v>43439</v>
      </c>
      <c r="C61" s="49" t="str">
        <f ca="1">IFERROR(__xludf.DUMMYFUNCTION("""COMPUTED_VALUE"""),"")</f>
        <v/>
      </c>
      <c r="D61" s="49" t="str">
        <f ca="1">IFERROR(__xludf.DUMMYFUNCTION("""COMPUTED_VALUE"""),"No")</f>
        <v>No</v>
      </c>
      <c r="E61" s="49" t="str">
        <f ca="1">IFERROR(__xludf.DUMMYFUNCTION("""COMPUTED_VALUE"""),"Variant Pathogenicity")</f>
        <v>Variant Pathogenicity</v>
      </c>
      <c r="F61" s="49" t="str">
        <f ca="1">IFERROR(__xludf.DUMMYFUNCTION("""COMPUTED_VALUE"""),"")</f>
        <v/>
      </c>
      <c r="G61" s="49" t="str">
        <f ca="1">IFERROR(__xludf.DUMMYFUNCTION("""COMPUTED_VALUE"""),"Marco Leung")</f>
        <v>Marco Leung</v>
      </c>
      <c r="H61" s="49" t="str">
        <f ca="1">IFERROR(__xludf.DUMMYFUNCTION("""COMPUTED_VALUE"""),"leungm@email.chop.edu")</f>
        <v>leungm@email.chop.edu</v>
      </c>
      <c r="I61" s="49" t="str">
        <f ca="1">IFERROR(__xludf.DUMMYFUNCTION("""COMPUTED_VALUE"""),"Clinical laboratory geneticist")</f>
        <v>Clinical laboratory geneticist</v>
      </c>
      <c r="J61" s="49"/>
      <c r="K61" s="49" t="str">
        <f ca="1">IFERROR(__xludf.DUMMYFUNCTION("""COMPUTED_VALUE"""),"Variant Pathogenicity")</f>
        <v>Variant Pathogenicity</v>
      </c>
      <c r="L61" s="49"/>
      <c r="M61" s="49"/>
      <c r="N61" s="49"/>
      <c r="O61" s="49"/>
      <c r="P61" s="49"/>
      <c r="Q61" s="49"/>
      <c r="R61" s="49"/>
      <c r="S61" s="49"/>
      <c r="T61" s="49"/>
      <c r="U61" s="49"/>
      <c r="V61" s="49"/>
      <c r="W61" s="49"/>
      <c r="X61" s="49"/>
      <c r="Y61" s="49"/>
      <c r="Z61" s="49"/>
    </row>
    <row r="62" spans="1:26" ht="15.75" customHeight="1">
      <c r="A62" s="49" t="str">
        <f ca="1">IFERROR(__xludf.DUMMYFUNCTION("""COMPUTED_VALUE"""),"Unresponsive")</f>
        <v>Unresponsive</v>
      </c>
      <c r="B62" s="99">
        <f ca="1">IFERROR(__xludf.DUMMYFUNCTION("""COMPUTED_VALUE"""),43439)</f>
        <v>43439</v>
      </c>
      <c r="C62" s="49" t="str">
        <f ca="1">IFERROR(__xludf.DUMMYFUNCTION("""COMPUTED_VALUE"""),"")</f>
        <v/>
      </c>
      <c r="D62" s="49" t="str">
        <f ca="1">IFERROR(__xludf.DUMMYFUNCTION("""COMPUTED_VALUE"""),"No")</f>
        <v>No</v>
      </c>
      <c r="E62" s="49" t="str">
        <f ca="1">IFERROR(__xludf.DUMMYFUNCTION("""COMPUTED_VALUE"""),"Variant Pathogenicity")</f>
        <v>Variant Pathogenicity</v>
      </c>
      <c r="F62" s="49" t="str">
        <f ca="1">IFERROR(__xludf.DUMMYFUNCTION("""COMPUTED_VALUE"""),"")</f>
        <v/>
      </c>
      <c r="G62" s="49" t="str">
        <f ca="1">IFERROR(__xludf.DUMMYFUNCTION("""COMPUTED_VALUE"""),"Emily Groopman")</f>
        <v>Emily Groopman</v>
      </c>
      <c r="H62" s="49" t="str">
        <f ca="1">IFERROR(__xludf.DUMMYFUNCTION("""COMPUTED_VALUE"""),"ee.groopman@gmail.com")</f>
        <v>ee.groopman@gmail.com</v>
      </c>
      <c r="I62" s="49" t="str">
        <f ca="1">IFERROR(__xludf.DUMMYFUNCTION("""COMPUTED_VALUE"""),"Post Doc/Resident/Fellow (MD and/or PhD)")</f>
        <v>Post Doc/Resident/Fellow (MD and/or PhD)</v>
      </c>
      <c r="J62" s="49"/>
      <c r="K62" s="49" t="str">
        <f ca="1">IFERROR(__xludf.DUMMYFUNCTION("""COMPUTED_VALUE"""),"Variant Pathogenicity")</f>
        <v>Variant Pathogenicity</v>
      </c>
      <c r="L62" s="49"/>
      <c r="M62" s="49"/>
      <c r="N62" s="49"/>
      <c r="O62" s="49"/>
      <c r="P62" s="49"/>
      <c r="Q62" s="49"/>
      <c r="R62" s="49"/>
      <c r="S62" s="49"/>
      <c r="T62" s="49"/>
      <c r="U62" s="49"/>
      <c r="V62" s="49"/>
      <c r="W62" s="49"/>
      <c r="X62" s="49"/>
      <c r="Y62" s="49"/>
      <c r="Z62" s="49"/>
    </row>
    <row r="63" spans="1:26" ht="15.75" customHeight="1">
      <c r="A63" s="49" t="str">
        <f ca="1">IFERROR(__xludf.DUMMYFUNCTION("""COMPUTED_VALUE"""),"Assigned")</f>
        <v>Assigned</v>
      </c>
      <c r="B63" s="99">
        <f ca="1">IFERROR(__xludf.DUMMYFUNCTION("""COMPUTED_VALUE"""),43439)</f>
        <v>43439</v>
      </c>
      <c r="C63" s="87">
        <f ca="1">IFERROR(__xludf.DUMMYFUNCTION("""COMPUTED_VALUE"""),43608)</f>
        <v>43608</v>
      </c>
      <c r="D63" s="49" t="str">
        <f ca="1">IFERROR(__xludf.DUMMYFUNCTION("""COMPUTED_VALUE"""),"Yes")</f>
        <v>Yes</v>
      </c>
      <c r="E63" s="49" t="str">
        <f ca="1">IFERROR(__xludf.DUMMYFUNCTION("""COMPUTED_VALUE"""),"Variant Pathogenicity")</f>
        <v>Variant Pathogenicity</v>
      </c>
      <c r="F63" s="49" t="str">
        <f ca="1">IFERROR(__xludf.DUMMYFUNCTION("""COMPUTED_VALUE"""),"Brain Malformations")</f>
        <v>Brain Malformations</v>
      </c>
      <c r="G63" s="49" t="str">
        <f ca="1">IFERROR(__xludf.DUMMYFUNCTION("""COMPUTED_VALUE"""),"Rhonda Lassiter ")</f>
        <v xml:space="preserve">Rhonda Lassiter </v>
      </c>
      <c r="H63" s="49" t="str">
        <f ca="1">IFERROR(__xludf.DUMMYFUNCTION("""COMPUTED_VALUE"""),"rlassiter@ambrygen.com")</f>
        <v>rlassiter@ambrygen.com</v>
      </c>
      <c r="I63" s="49" t="str">
        <f ca="1">IFERROR(__xludf.DUMMYFUNCTION("""COMPUTED_VALUE"""),"Variant Analyst/Scientist")</f>
        <v>Variant Analyst/Scientist</v>
      </c>
      <c r="J63" s="49"/>
      <c r="K63" s="49" t="str">
        <f ca="1">IFERROR(__xludf.DUMMYFUNCTION("""COMPUTED_VALUE"""),"Variant Pathogenicity")</f>
        <v>Variant Pathogenicity</v>
      </c>
      <c r="L63" s="49"/>
      <c r="M63" s="49"/>
      <c r="N63" s="49"/>
      <c r="O63" s="49"/>
      <c r="P63" s="49"/>
      <c r="Q63" s="49"/>
      <c r="R63" s="49"/>
      <c r="S63" s="49"/>
      <c r="T63" s="49"/>
      <c r="U63" s="49"/>
      <c r="V63" s="49"/>
      <c r="W63" s="49"/>
      <c r="X63" s="49"/>
      <c r="Y63" s="49"/>
      <c r="Z63" s="49"/>
    </row>
    <row r="64" spans="1:26" ht="15.75" customHeight="1">
      <c r="A64" s="49" t="str">
        <f ca="1">IFERROR(__xludf.DUMMYFUNCTION("""COMPUTED_VALUE"""),"Contacted")</f>
        <v>Contacted</v>
      </c>
      <c r="B64" s="99">
        <f ca="1">IFERROR(__xludf.DUMMYFUNCTION("""COMPUTED_VALUE"""),43439)</f>
        <v>43439</v>
      </c>
      <c r="C64" s="87">
        <f ca="1">IFERROR(__xludf.DUMMYFUNCTION("""COMPUTED_VALUE"""),43608)</f>
        <v>43608</v>
      </c>
      <c r="D64" s="49" t="str">
        <f ca="1">IFERROR(__xludf.DUMMYFUNCTION("""COMPUTED_VALUE"""),"Yes")</f>
        <v>Yes</v>
      </c>
      <c r="E64" s="49" t="str">
        <f ca="1">IFERROR(__xludf.DUMMYFUNCTION("""COMPUTED_VALUE"""),"Variant Pathogenicity")</f>
        <v>Variant Pathogenicity</v>
      </c>
      <c r="F64" s="49" t="str">
        <f ca="1">IFERROR(__xludf.DUMMYFUNCTION("""COMPUTED_VALUE"""),"Mito")</f>
        <v>Mito</v>
      </c>
      <c r="G64" s="49" t="str">
        <f ca="1">IFERROR(__xludf.DUMMYFUNCTION("""COMPUTED_VALUE"""),"Emma Reble ")</f>
        <v xml:space="preserve">Emma Reble </v>
      </c>
      <c r="H64" s="49" t="str">
        <f ca="1">IFERROR(__xludf.DUMMYFUNCTION("""COMPUTED_VALUE"""),"reblee@smh.ca")</f>
        <v>reblee@smh.ca</v>
      </c>
      <c r="I64" s="49" t="str">
        <f ca="1">IFERROR(__xludf.DUMMYFUNCTION("""COMPUTED_VALUE"""),"Variant Analyst/Scientist")</f>
        <v>Variant Analyst/Scientist</v>
      </c>
      <c r="J64" s="49"/>
      <c r="K64" s="49" t="str">
        <f ca="1">IFERROR(__xludf.DUMMYFUNCTION("""COMPUTED_VALUE"""),"Variant Pathogenicity")</f>
        <v>Variant Pathogenicity</v>
      </c>
      <c r="L64" s="49"/>
      <c r="M64" s="49"/>
      <c r="N64" s="49"/>
      <c r="O64" s="49"/>
      <c r="P64" s="49"/>
      <c r="Q64" s="49"/>
      <c r="R64" s="49"/>
      <c r="S64" s="49"/>
      <c r="T64" s="49"/>
      <c r="U64" s="49"/>
      <c r="V64" s="49"/>
      <c r="W64" s="49"/>
      <c r="X64" s="49"/>
      <c r="Y64" s="49"/>
      <c r="Z64" s="49"/>
    </row>
    <row r="65" spans="1:26" ht="15.75" customHeight="1">
      <c r="A65" s="49" t="str">
        <f ca="1">IFERROR(__xludf.DUMMYFUNCTION("""COMPUTED_VALUE"""),"Unresponsive")</f>
        <v>Unresponsive</v>
      </c>
      <c r="B65" s="99">
        <f ca="1">IFERROR(__xludf.DUMMYFUNCTION("""COMPUTED_VALUE"""),43439)</f>
        <v>43439</v>
      </c>
      <c r="C65" s="87" t="str">
        <f ca="1">IFERROR(__xludf.DUMMYFUNCTION("""COMPUTED_VALUE"""),"")</f>
        <v/>
      </c>
      <c r="D65" s="49" t="str">
        <f ca="1">IFERROR(__xludf.DUMMYFUNCTION("""COMPUTED_VALUE"""),"No")</f>
        <v>No</v>
      </c>
      <c r="E65" s="49" t="str">
        <f ca="1">IFERROR(__xludf.DUMMYFUNCTION("""COMPUTED_VALUE"""),"Variant Pathogenicity")</f>
        <v>Variant Pathogenicity</v>
      </c>
      <c r="F65" s="49" t="str">
        <f ca="1">IFERROR(__xludf.DUMMYFUNCTION("""COMPUTED_VALUE"""),"")</f>
        <v/>
      </c>
      <c r="G65" s="49" t="str">
        <f ca="1">IFERROR(__xludf.DUMMYFUNCTION("""COMPUTED_VALUE"""),"Bryony Thompson")</f>
        <v>Bryony Thompson</v>
      </c>
      <c r="H65" s="49" t="str">
        <f ca="1">IFERROR(__xludf.DUMMYFUNCTION("""COMPUTED_VALUE"""),"Bryony.Thompson@mh.org.au")</f>
        <v>Bryony.Thompson@mh.org.au</v>
      </c>
      <c r="I65" s="49" t="str">
        <f ca="1">IFERROR(__xludf.DUMMYFUNCTION("""COMPUTED_VALUE"""),"Post Doc/Resident/Fellow (MD and/or PhD)")</f>
        <v>Post Doc/Resident/Fellow (MD and/or PhD)</v>
      </c>
      <c r="J65" s="49"/>
      <c r="K65" s="49" t="str">
        <f ca="1">IFERROR(__xludf.DUMMYFUNCTION("""COMPUTED_VALUE"""),"Variant Pathogenicity")</f>
        <v>Variant Pathogenicity</v>
      </c>
      <c r="L65" s="49"/>
      <c r="M65" s="49"/>
      <c r="N65" s="49"/>
      <c r="O65" s="49"/>
      <c r="P65" s="49"/>
      <c r="Q65" s="49"/>
      <c r="R65" s="49"/>
      <c r="S65" s="49"/>
      <c r="T65" s="49"/>
      <c r="U65" s="49"/>
      <c r="V65" s="49"/>
      <c r="W65" s="49"/>
      <c r="X65" s="49"/>
      <c r="Y65" s="49"/>
      <c r="Z65" s="49"/>
    </row>
    <row r="66" spans="1:26" ht="13">
      <c r="A66" s="49" t="str">
        <f ca="1">IFERROR(__xludf.DUMMYFUNCTION("""COMPUTED_VALUE"""),"Assigned")</f>
        <v>Assigned</v>
      </c>
      <c r="B66" s="99">
        <f ca="1">IFERROR(__xludf.DUMMYFUNCTION("""COMPUTED_VALUE"""),43439)</f>
        <v>43439</v>
      </c>
      <c r="C66" s="87">
        <f ca="1">IFERROR(__xludf.DUMMYFUNCTION("""COMPUTED_VALUE"""),43608)</f>
        <v>43608</v>
      </c>
      <c r="D66" s="49" t="str">
        <f ca="1">IFERROR(__xludf.DUMMYFUNCTION("""COMPUTED_VALUE"""),"Yes")</f>
        <v>Yes</v>
      </c>
      <c r="E66" s="49" t="str">
        <f ca="1">IFERROR(__xludf.DUMMYFUNCTION("""COMPUTED_VALUE"""),"Variant Pathogenicity")</f>
        <v>Variant Pathogenicity</v>
      </c>
      <c r="F66" s="49" t="str">
        <f ca="1">IFERROR(__xludf.DUMMYFUNCTION("""COMPUTED_VALUE"""),"Coagulation Factor Deficiency")</f>
        <v>Coagulation Factor Deficiency</v>
      </c>
      <c r="G66" s="49" t="str">
        <f ca="1">IFERROR(__xludf.DUMMYFUNCTION("""COMPUTED_VALUE"""),"Qiliang Ding")</f>
        <v>Qiliang Ding</v>
      </c>
      <c r="H66" s="49" t="str">
        <f ca="1">IFERROR(__xludf.DUMMYFUNCTION("""COMPUTED_VALUE"""),"qd29@cornell.edu")</f>
        <v>qd29@cornell.edu</v>
      </c>
      <c r="I66" s="49" t="str">
        <f ca="1">IFERROR(__xludf.DUMMYFUNCTION("""COMPUTED_VALUE"""),"Graduate Student")</f>
        <v>Graduate Student</v>
      </c>
      <c r="J66" s="49"/>
      <c r="K66" s="49" t="str">
        <f ca="1">IFERROR(__xludf.DUMMYFUNCTION("""COMPUTED_VALUE"""),"Variant Pathogenicity")</f>
        <v>Variant Pathogenicity</v>
      </c>
      <c r="L66" s="49"/>
      <c r="M66" s="49"/>
      <c r="N66" s="49"/>
      <c r="O66" s="49"/>
      <c r="P66" s="49"/>
      <c r="Q66" s="49"/>
      <c r="R66" s="49"/>
      <c r="S66" s="49"/>
      <c r="T66" s="49"/>
      <c r="U66" s="49"/>
      <c r="V66" s="49"/>
      <c r="W66" s="49"/>
      <c r="X66" s="49"/>
      <c r="Y66" s="49"/>
      <c r="Z66" s="49"/>
    </row>
    <row r="67" spans="1:26" ht="13">
      <c r="A67" s="49" t="str">
        <f ca="1">IFERROR(__xludf.DUMMYFUNCTION("""COMPUTED_VALUE"""),"Contacted")</f>
        <v>Contacted</v>
      </c>
      <c r="B67" s="99">
        <f ca="1">IFERROR(__xludf.DUMMYFUNCTION("""COMPUTED_VALUE"""),43439)</f>
        <v>43439</v>
      </c>
      <c r="C67" s="87">
        <f ca="1">IFERROR(__xludf.DUMMYFUNCTION("""COMPUTED_VALUE"""),43608)</f>
        <v>43608</v>
      </c>
      <c r="D67" s="49" t="str">
        <f ca="1">IFERROR(__xludf.DUMMYFUNCTION("""COMPUTED_VALUE"""),"Yes")</f>
        <v>Yes</v>
      </c>
      <c r="E67" s="49" t="str">
        <f ca="1">IFERROR(__xludf.DUMMYFUNCTION("""COMPUTED_VALUE"""),"Variant Pathogenicity")</f>
        <v>Variant Pathogenicity</v>
      </c>
      <c r="F67" s="49" t="str">
        <f ca="1">IFERROR(__xludf.DUMMYFUNCTION("""COMPUTED_VALUE"""),"")</f>
        <v/>
      </c>
      <c r="G67" s="49" t="str">
        <f ca="1">IFERROR(__xludf.DUMMYFUNCTION("""COMPUTED_VALUE"""),"Amy Donahue")</f>
        <v>Amy Donahue</v>
      </c>
      <c r="H67" s="49" t="str">
        <f ca="1">IFERROR(__xludf.DUMMYFUNCTION("""COMPUTED_VALUE"""),"adonahue@mcw.edu")</f>
        <v>adonahue@mcw.edu</v>
      </c>
      <c r="I67" s="49" t="str">
        <f ca="1">IFERROR(__xludf.DUMMYFUNCTION("""COMPUTED_VALUE"""),"Genetic counselor")</f>
        <v>Genetic counselor</v>
      </c>
      <c r="J67" s="49"/>
      <c r="K67" s="49" t="str">
        <f ca="1">IFERROR(__xludf.DUMMYFUNCTION("""COMPUTED_VALUE"""),"Variant Pathogenicity")</f>
        <v>Variant Pathogenicity</v>
      </c>
      <c r="L67" s="49"/>
      <c r="M67" s="49"/>
      <c r="N67" s="49"/>
      <c r="O67" s="49"/>
      <c r="P67" s="49"/>
      <c r="Q67" s="49"/>
      <c r="R67" s="49"/>
      <c r="S67" s="49"/>
      <c r="T67" s="49"/>
      <c r="U67" s="49"/>
      <c r="V67" s="49"/>
      <c r="W67" s="49"/>
      <c r="X67" s="49"/>
      <c r="Y67" s="49"/>
      <c r="Z67" s="49"/>
    </row>
    <row r="68" spans="1:26" ht="13">
      <c r="A68" s="49" t="str">
        <f ca="1">IFERROR(__xludf.DUMMYFUNCTION("""COMPUTED_VALUE"""),"Assigned")</f>
        <v>Assigned</v>
      </c>
      <c r="B68" s="99">
        <f ca="1">IFERROR(__xludf.DUMMYFUNCTION("""COMPUTED_VALUE"""),43109)</f>
        <v>43109</v>
      </c>
      <c r="C68" s="87">
        <f ca="1">IFERROR(__xludf.DUMMYFUNCTION("""COMPUTED_VALUE"""),43605)</f>
        <v>43605</v>
      </c>
      <c r="D68" s="49" t="str">
        <f ca="1">IFERROR(__xludf.DUMMYFUNCTION("""COMPUTED_VALUE"""),"Yes")</f>
        <v>Yes</v>
      </c>
      <c r="E68" s="49" t="str">
        <f ca="1">IFERROR(__xludf.DUMMYFUNCTION("""COMPUTED_VALUE"""),"Variant Pathogenicity")</f>
        <v>Variant Pathogenicity</v>
      </c>
      <c r="F68" s="49" t="str">
        <f ca="1">IFERROR(__xludf.DUMMYFUNCTION("""COMPUTED_VALUE"""),"Mito")</f>
        <v>Mito</v>
      </c>
      <c r="G68" s="49" t="str">
        <f ca="1">IFERROR(__xludf.DUMMYFUNCTION("""COMPUTED_VALUE"""),"Dave Ferguson")</f>
        <v>Dave Ferguson</v>
      </c>
      <c r="H68" s="49" t="str">
        <f ca="1">IFERROR(__xludf.DUMMYFUNCTION("""COMPUTED_VALUE"""),"dferguso@uci.edu")</f>
        <v>dferguso@uci.edu</v>
      </c>
      <c r="I68" s="49" t="str">
        <f ca="1">IFERROR(__xludf.DUMMYFUNCTION("""COMPUTED_VALUE"""),"Scientific Researcher")</f>
        <v>Scientific Researcher</v>
      </c>
      <c r="J68" s="49"/>
      <c r="K68" s="49" t="str">
        <f ca="1">IFERROR(__xludf.DUMMYFUNCTION("""COMPUTED_VALUE"""),"Variant Pathogenicity")</f>
        <v>Variant Pathogenicity</v>
      </c>
      <c r="L68" s="49"/>
      <c r="M68" s="49"/>
      <c r="N68" s="49"/>
      <c r="O68" s="49"/>
      <c r="P68" s="49"/>
      <c r="Q68" s="49"/>
      <c r="R68" s="49"/>
      <c r="S68" s="49"/>
      <c r="T68" s="49"/>
      <c r="U68" s="49"/>
      <c r="V68" s="49"/>
      <c r="W68" s="49"/>
      <c r="X68" s="49"/>
      <c r="Y68" s="49"/>
      <c r="Z68" s="49"/>
    </row>
    <row r="69" spans="1:26" ht="13">
      <c r="A69" s="49" t="str">
        <f ca="1">IFERROR(__xludf.DUMMYFUNCTION("""COMPUTED_VALUE"""),"Unresponsive")</f>
        <v>Unresponsive</v>
      </c>
      <c r="B69" s="99">
        <f ca="1">IFERROR(__xludf.DUMMYFUNCTION("""COMPUTED_VALUE"""),43109)</f>
        <v>43109</v>
      </c>
      <c r="C69" s="49" t="str">
        <f ca="1">IFERROR(__xludf.DUMMYFUNCTION("""COMPUTED_VALUE"""),"")</f>
        <v/>
      </c>
      <c r="D69" s="49" t="str">
        <f ca="1">IFERROR(__xludf.DUMMYFUNCTION("""COMPUTED_VALUE"""),"No")</f>
        <v>No</v>
      </c>
      <c r="E69" s="49" t="str">
        <f ca="1">IFERROR(__xludf.DUMMYFUNCTION("""COMPUTED_VALUE"""),"Variant Pathogenicity")</f>
        <v>Variant Pathogenicity</v>
      </c>
      <c r="F69" s="49" t="str">
        <f ca="1">IFERROR(__xludf.DUMMYFUNCTION("""COMPUTED_VALUE"""),"")</f>
        <v/>
      </c>
      <c r="G69" s="49" t="str">
        <f ca="1">IFERROR(__xludf.DUMMYFUNCTION("""COMPUTED_VALUE"""),"Santhi Ramachandran")</f>
        <v>Santhi Ramachandran</v>
      </c>
      <c r="H69" s="49" t="str">
        <f ca="1">IFERROR(__xludf.DUMMYFUNCTION("""COMPUTED_VALUE"""),"santhialways4u@gmail.com")</f>
        <v>santhialways4u@gmail.com</v>
      </c>
      <c r="I69" s="49" t="str">
        <f ca="1">IFERROR(__xludf.DUMMYFUNCTION("""COMPUTED_VALUE"""),"Biocurator")</f>
        <v>Biocurator</v>
      </c>
      <c r="J69" s="49"/>
      <c r="K69" s="49" t="str">
        <f ca="1">IFERROR(__xludf.DUMMYFUNCTION("""COMPUTED_VALUE"""),"Variant Pathogenicity")</f>
        <v>Variant Pathogenicity</v>
      </c>
      <c r="L69" s="49"/>
      <c r="M69" s="49"/>
      <c r="N69" s="49"/>
      <c r="O69" s="49"/>
      <c r="P69" s="49"/>
      <c r="Q69" s="49"/>
      <c r="R69" s="49"/>
      <c r="S69" s="49"/>
      <c r="T69" s="49"/>
      <c r="U69" s="49"/>
      <c r="V69" s="49"/>
      <c r="W69" s="49"/>
      <c r="X69" s="49"/>
      <c r="Y69" s="49"/>
      <c r="Z69" s="49"/>
    </row>
    <row r="70" spans="1:26" ht="13">
      <c r="A70" s="49" t="str">
        <f ca="1">IFERROR(__xludf.DUMMYFUNCTION("""COMPUTED_VALUE"""),"Unresponsive")</f>
        <v>Unresponsive</v>
      </c>
      <c r="B70" s="99">
        <f ca="1">IFERROR(__xludf.DUMMYFUNCTION("""COMPUTED_VALUE"""),43439)</f>
        <v>43439</v>
      </c>
      <c r="C70" s="49" t="str">
        <f ca="1">IFERROR(__xludf.DUMMYFUNCTION("""COMPUTED_VALUE"""),"")</f>
        <v/>
      </c>
      <c r="D70" s="49" t="str">
        <f ca="1">IFERROR(__xludf.DUMMYFUNCTION("""COMPUTED_VALUE"""),"No")</f>
        <v>No</v>
      </c>
      <c r="E70" s="49" t="str">
        <f ca="1">IFERROR(__xludf.DUMMYFUNCTION("""COMPUTED_VALUE"""),"Variant Pathogenicity")</f>
        <v>Variant Pathogenicity</v>
      </c>
      <c r="F70" s="49" t="str">
        <f ca="1">IFERROR(__xludf.DUMMYFUNCTION("""COMPUTED_VALUE"""),"")</f>
        <v/>
      </c>
      <c r="G70" s="49" t="str">
        <f ca="1">IFERROR(__xludf.DUMMYFUNCTION("""COMPUTED_VALUE"""),"Megan Nathan")</f>
        <v>Megan Nathan</v>
      </c>
      <c r="H70" s="49" t="str">
        <f ca="1">IFERROR(__xludf.DUMMYFUNCTION("""COMPUTED_VALUE"""),"mlnathan.genetics@gmail.com")</f>
        <v>mlnathan.genetics@gmail.com</v>
      </c>
      <c r="I70" s="49" t="str">
        <f ca="1">IFERROR(__xludf.DUMMYFUNCTION("""COMPUTED_VALUE"""),"Genetic counselor")</f>
        <v>Genetic counselor</v>
      </c>
      <c r="J70" s="49"/>
      <c r="K70" s="49" t="str">
        <f ca="1">IFERROR(__xludf.DUMMYFUNCTION("""COMPUTED_VALUE"""),"Variant Pathogenicity")</f>
        <v>Variant Pathogenicity</v>
      </c>
      <c r="L70" s="49"/>
      <c r="M70" s="49"/>
      <c r="N70" s="49"/>
      <c r="O70" s="49"/>
      <c r="P70" s="49"/>
      <c r="Q70" s="49"/>
      <c r="R70" s="49"/>
      <c r="S70" s="49"/>
      <c r="T70" s="49"/>
      <c r="U70" s="49"/>
      <c r="V70" s="49"/>
      <c r="W70" s="49"/>
      <c r="X70" s="49"/>
      <c r="Y70" s="49"/>
      <c r="Z70" s="49"/>
    </row>
    <row r="71" spans="1:26" ht="13">
      <c r="A71" s="49" t="str">
        <f ca="1">IFERROR(__xludf.DUMMYFUNCTION("""COMPUTED_VALUE"""),"Unresponsive")</f>
        <v>Unresponsive</v>
      </c>
      <c r="B71" s="49" t="str">
        <f ca="1">IFERROR(__xludf.DUMMYFUNCTION("""COMPUTED_VALUE"""),"01/09/18
Unresponsive as of 7-7-19")</f>
        <v>01/09/18
Unresponsive as of 7-7-19</v>
      </c>
      <c r="C71" s="49" t="str">
        <f ca="1">IFERROR(__xludf.DUMMYFUNCTION("""COMPUTED_VALUE"""),"")</f>
        <v/>
      </c>
      <c r="D71" s="49" t="str">
        <f ca="1">IFERROR(__xludf.DUMMYFUNCTION("""COMPUTED_VALUE"""),"No")</f>
        <v>No</v>
      </c>
      <c r="E71" s="49" t="str">
        <f ca="1">IFERROR(__xludf.DUMMYFUNCTION("""COMPUTED_VALUE"""),"Variant Pathogenicity")</f>
        <v>Variant Pathogenicity</v>
      </c>
      <c r="F71" s="49" t="str">
        <f ca="1">IFERROR(__xludf.DUMMYFUNCTION("""COMPUTED_VALUE"""),"")</f>
        <v/>
      </c>
      <c r="G71" s="49" t="str">
        <f ca="1">IFERROR(__xludf.DUMMYFUNCTION("""COMPUTED_VALUE"""),"Ellen Xu")</f>
        <v>Ellen Xu</v>
      </c>
      <c r="H71" s="49" t="str">
        <f ca="1">IFERROR(__xludf.DUMMYFUNCTION("""COMPUTED_VALUE"""),"")</f>
        <v/>
      </c>
      <c r="I71" s="49" t="str">
        <f ca="1">IFERROR(__xludf.DUMMYFUNCTION("""COMPUTED_VALUE"""),"Genetic counselor")</f>
        <v>Genetic counselor</v>
      </c>
      <c r="J71" s="49"/>
      <c r="K71" s="49" t="str">
        <f ca="1">IFERROR(__xludf.DUMMYFUNCTION("""COMPUTED_VALUE"""),"Variant Pathogenicity")</f>
        <v>Variant Pathogenicity</v>
      </c>
      <c r="L71" s="49"/>
      <c r="M71" s="49"/>
      <c r="N71" s="49"/>
      <c r="O71" s="49"/>
      <c r="P71" s="49"/>
      <c r="Q71" s="49"/>
      <c r="R71" s="49"/>
      <c r="S71" s="49"/>
      <c r="T71" s="49"/>
      <c r="U71" s="49"/>
      <c r="V71" s="49"/>
      <c r="W71" s="49"/>
      <c r="X71" s="49"/>
      <c r="Y71" s="49"/>
      <c r="Z71" s="49"/>
    </row>
    <row r="72" spans="1:26" ht="13">
      <c r="A72" s="49" t="str">
        <f ca="1">IFERROR(__xludf.DUMMYFUNCTION("""COMPUTED_VALUE"""),"Assigned")</f>
        <v>Assigned</v>
      </c>
      <c r="B72" s="99">
        <f ca="1">IFERROR(__xludf.DUMMYFUNCTION("""COMPUTED_VALUE"""),43109)</f>
        <v>43109</v>
      </c>
      <c r="C72" s="87">
        <f ca="1">IFERROR(__xludf.DUMMYFUNCTION("""COMPUTED_VALUE"""),43608)</f>
        <v>43608</v>
      </c>
      <c r="D72" s="49" t="str">
        <f ca="1">IFERROR(__xludf.DUMMYFUNCTION("""COMPUTED_VALUE"""),"Yes")</f>
        <v>Yes</v>
      </c>
      <c r="E72" s="49" t="str">
        <f ca="1">IFERROR(__xludf.DUMMYFUNCTION("""COMPUTED_VALUE"""),"Variant Pathogenicity")</f>
        <v>Variant Pathogenicity</v>
      </c>
      <c r="F72" s="49" t="str">
        <f ca="1">IFERROR(__xludf.DUMMYFUNCTION("""COMPUTED_VALUE"""),"TP53")</f>
        <v>TP53</v>
      </c>
      <c r="G72" s="49" t="str">
        <f ca="1">IFERROR(__xludf.DUMMYFUNCTION("""COMPUTED_VALUE"""),"Alisdair Philp")</f>
        <v>Alisdair Philp</v>
      </c>
      <c r="H72" s="49" t="str">
        <f ca="1">IFERROR(__xludf.DUMMYFUNCTION("""COMPUTED_VALUE"""),"arphilp@gmail.com")</f>
        <v>arphilp@gmail.com</v>
      </c>
      <c r="I72" s="49" t="str">
        <f ca="1">IFERROR(__xludf.DUMMYFUNCTION("""COMPUTED_VALUE"""),"Genetic counselor")</f>
        <v>Genetic counselor</v>
      </c>
      <c r="J72" s="49"/>
      <c r="K72" s="49" t="str">
        <f ca="1">IFERROR(__xludf.DUMMYFUNCTION("""COMPUTED_VALUE"""),"Variant Pathogenicity")</f>
        <v>Variant Pathogenicity</v>
      </c>
      <c r="L72" s="49"/>
      <c r="M72" s="49"/>
      <c r="N72" s="49"/>
      <c r="O72" s="49"/>
      <c r="P72" s="49"/>
      <c r="Q72" s="49"/>
      <c r="R72" s="49"/>
      <c r="S72" s="49"/>
      <c r="T72" s="49"/>
      <c r="U72" s="49"/>
      <c r="V72" s="49"/>
      <c r="W72" s="49"/>
      <c r="X72" s="49"/>
      <c r="Y72" s="49"/>
      <c r="Z72" s="49"/>
    </row>
    <row r="73" spans="1:26" ht="13">
      <c r="A73" s="49" t="str">
        <f ca="1">IFERROR(__xludf.DUMMYFUNCTION("""COMPUTED_VALUE"""),"Unresponsive")</f>
        <v>Unresponsive</v>
      </c>
      <c r="B73" s="99">
        <f ca="1">IFERROR(__xludf.DUMMYFUNCTION("""COMPUTED_VALUE"""),43109)</f>
        <v>43109</v>
      </c>
      <c r="C73" s="49" t="str">
        <f ca="1">IFERROR(__xludf.DUMMYFUNCTION("""COMPUTED_VALUE"""),"")</f>
        <v/>
      </c>
      <c r="D73" s="49" t="str">
        <f ca="1">IFERROR(__xludf.DUMMYFUNCTION("""COMPUTED_VALUE"""),"No")</f>
        <v>No</v>
      </c>
      <c r="E73" s="49" t="str">
        <f ca="1">IFERROR(__xludf.DUMMYFUNCTION("""COMPUTED_VALUE"""),"Dosage Sensitivity")</f>
        <v>Dosage Sensitivity</v>
      </c>
      <c r="F73" s="49" t="str">
        <f ca="1">IFERROR(__xludf.DUMMYFUNCTION("""COMPUTED_VALUE"""),"")</f>
        <v/>
      </c>
      <c r="G73" s="49" t="str">
        <f ca="1">IFERROR(__xludf.DUMMYFUNCTION("""COMPUTED_VALUE"""),"Jenna Guiltinan")</f>
        <v>Jenna Guiltinan</v>
      </c>
      <c r="H73" s="49" t="str">
        <f ca="1">IFERROR(__xludf.DUMMYFUNCTION("""COMPUTED_VALUE"""),"jenna.guiltinan@invitae.com")</f>
        <v>jenna.guiltinan@invitae.com</v>
      </c>
      <c r="I73" s="49" t="str">
        <f ca="1">IFERROR(__xludf.DUMMYFUNCTION("""COMPUTED_VALUE"""),"Variant Analyst/Scientist")</f>
        <v>Variant Analyst/Scientist</v>
      </c>
      <c r="J73" s="49"/>
      <c r="K73" s="49" t="str">
        <f ca="1">IFERROR(__xludf.DUMMYFUNCTION("""COMPUTED_VALUE"""),"Dosage Sensitivity")</f>
        <v>Dosage Sensitivity</v>
      </c>
      <c r="L73" s="49"/>
      <c r="M73" s="49"/>
      <c r="N73" s="49"/>
      <c r="O73" s="49"/>
      <c r="P73" s="49"/>
      <c r="Q73" s="49"/>
      <c r="R73" s="49"/>
      <c r="S73" s="49"/>
      <c r="T73" s="49"/>
      <c r="U73" s="49"/>
      <c r="V73" s="49"/>
      <c r="W73" s="49"/>
      <c r="X73" s="49"/>
      <c r="Y73" s="49"/>
      <c r="Z73" s="49"/>
    </row>
    <row r="74" spans="1:26" ht="13">
      <c r="A74" s="49" t="str">
        <f ca="1">IFERROR(__xludf.DUMMYFUNCTION("""COMPUTED_VALUE"""),"Unresponsive")</f>
        <v>Unresponsive</v>
      </c>
      <c r="B74" s="49" t="str">
        <f ca="1">IFERROR(__xludf.DUMMYFUNCTION("""COMPUTED_VALUE"""),"")</f>
        <v/>
      </c>
      <c r="C74" s="49" t="str">
        <f ca="1">IFERROR(__xludf.DUMMYFUNCTION("""COMPUTED_VALUE"""),"")</f>
        <v/>
      </c>
      <c r="D74" s="49" t="str">
        <f ca="1">IFERROR(__xludf.DUMMYFUNCTION("""COMPUTED_VALUE"""),"No")</f>
        <v>No</v>
      </c>
      <c r="E74" s="49" t="str">
        <f ca="1">IFERROR(__xludf.DUMMYFUNCTION("""COMPUTED_VALUE"""),"Variant Pathogenicity")</f>
        <v>Variant Pathogenicity</v>
      </c>
      <c r="F74" s="49" t="str">
        <f ca="1">IFERROR(__xludf.DUMMYFUNCTION("""COMPUTED_VALUE"""),"")</f>
        <v/>
      </c>
      <c r="G74" s="49" t="str">
        <f ca="1">IFERROR(__xludf.DUMMYFUNCTION("""COMPUTED_VALUE"""),"Ron Agatep")</f>
        <v>Ron Agatep</v>
      </c>
      <c r="H74" s="49" t="str">
        <f ca="1">IFERROR(__xludf.DUMMYFUNCTION("""COMPUTED_VALUE"""),"ragatep@sharedhealthmb.ca")</f>
        <v>ragatep@sharedhealthmb.ca</v>
      </c>
      <c r="I74" s="49" t="str">
        <f ca="1">IFERROR(__xludf.DUMMYFUNCTION("""COMPUTED_VALUE"""),"Clinical laboratory geneticist")</f>
        <v>Clinical laboratory geneticist</v>
      </c>
      <c r="J74" s="49"/>
      <c r="K74" s="49" t="str">
        <f ca="1">IFERROR(__xludf.DUMMYFUNCTION("""COMPUTED_VALUE"""),"Variant Pathogenicity")</f>
        <v>Variant Pathogenicity</v>
      </c>
      <c r="L74" s="49"/>
      <c r="M74" s="49"/>
      <c r="N74" s="49"/>
      <c r="O74" s="49"/>
      <c r="P74" s="49"/>
      <c r="Q74" s="49"/>
      <c r="R74" s="49"/>
      <c r="S74" s="49"/>
      <c r="T74" s="49"/>
      <c r="U74" s="49"/>
      <c r="V74" s="49"/>
      <c r="W74" s="49"/>
      <c r="X74" s="49"/>
      <c r="Y74" s="49"/>
      <c r="Z74" s="49"/>
    </row>
    <row r="75" spans="1:26" ht="13">
      <c r="A75" s="49" t="str">
        <f ca="1">IFERROR(__xludf.DUMMYFUNCTION("""COMPUTED_VALUE"""),"Contacted")</f>
        <v>Contacted</v>
      </c>
      <c r="B75" s="49" t="str">
        <f ca="1">IFERROR(__xludf.DUMMYFUNCTION("""COMPUTED_VALUE"""),"")</f>
        <v/>
      </c>
      <c r="C75" s="87">
        <f ca="1">IFERROR(__xludf.DUMMYFUNCTION("""COMPUTED_VALUE"""),43580)</f>
        <v>43580</v>
      </c>
      <c r="D75" s="49" t="str">
        <f ca="1">IFERROR(__xludf.DUMMYFUNCTION("""COMPUTED_VALUE"""),"Yes")</f>
        <v>Yes</v>
      </c>
      <c r="E75" s="49" t="str">
        <f ca="1">IFERROR(__xludf.DUMMYFUNCTION("""COMPUTED_VALUE"""),"Dosage Sensitivity")</f>
        <v>Dosage Sensitivity</v>
      </c>
      <c r="F75" s="49" t="str">
        <f ca="1">IFERROR(__xludf.DUMMYFUNCTION("""COMPUTED_VALUE"""),"")</f>
        <v/>
      </c>
      <c r="G75" s="49" t="str">
        <f ca="1">IFERROR(__xludf.DUMMYFUNCTION("""COMPUTED_VALUE"""),"Nan Jiang")</f>
        <v>Nan Jiang</v>
      </c>
      <c r="H75" s="49" t="str">
        <f ca="1">IFERROR(__xludf.DUMMYFUNCTION("""COMPUTED_VALUE"""),"naj018@ucsd.edu")</f>
        <v>naj018@ucsd.edu</v>
      </c>
      <c r="I75" s="49" t="str">
        <f ca="1">IFERROR(__xludf.DUMMYFUNCTION("""COMPUTED_VALUE"""),"Post Doc/Resident/Fellow (MD and/or PhD)")</f>
        <v>Post Doc/Resident/Fellow (MD and/or PhD)</v>
      </c>
      <c r="J75" s="49"/>
      <c r="K75" s="49" t="str">
        <f ca="1">IFERROR(__xludf.DUMMYFUNCTION("""COMPUTED_VALUE"""),"Dosage Sensitivity")</f>
        <v>Dosage Sensitivity</v>
      </c>
      <c r="L75" s="49"/>
      <c r="M75" s="49"/>
      <c r="N75" s="49"/>
      <c r="O75" s="49"/>
      <c r="P75" s="49"/>
      <c r="Q75" s="49"/>
      <c r="R75" s="49"/>
      <c r="S75" s="49"/>
      <c r="T75" s="49"/>
      <c r="U75" s="49"/>
      <c r="V75" s="49"/>
      <c r="W75" s="49"/>
      <c r="X75" s="49"/>
      <c r="Y75" s="49"/>
      <c r="Z75" s="49"/>
    </row>
    <row r="76" spans="1:26" ht="13">
      <c r="A76" s="49" t="str">
        <f ca="1">IFERROR(__xludf.DUMMYFUNCTION("""COMPUTED_VALUE"""),"Unresponsive")</f>
        <v>Unresponsive</v>
      </c>
      <c r="B76" s="49" t="str">
        <f ca="1">IFERROR(__xludf.DUMMYFUNCTION("""COMPUTED_VALUE"""),"")</f>
        <v/>
      </c>
      <c r="C76" s="49" t="str">
        <f ca="1">IFERROR(__xludf.DUMMYFUNCTION("""COMPUTED_VALUE"""),"")</f>
        <v/>
      </c>
      <c r="D76" s="49" t="str">
        <f ca="1">IFERROR(__xludf.DUMMYFUNCTION("""COMPUTED_VALUE"""),"No")</f>
        <v>No</v>
      </c>
      <c r="E76" s="49" t="str">
        <f ca="1">IFERROR(__xludf.DUMMYFUNCTION("""COMPUTED_VALUE"""),"Somatic Cancer")</f>
        <v>Somatic Cancer</v>
      </c>
      <c r="F76" s="49" t="str">
        <f ca="1">IFERROR(__xludf.DUMMYFUNCTION("""COMPUTED_VALUE"""),"")</f>
        <v/>
      </c>
      <c r="G76" s="49" t="str">
        <f ca="1">IFERROR(__xludf.DUMMYFUNCTION("""COMPUTED_VALUE"""),"Anna Tanska")</f>
        <v>Anna Tanska</v>
      </c>
      <c r="H76" s="49" t="str">
        <f ca="1">IFERROR(__xludf.DUMMYFUNCTION("""COMPUTED_VALUE"""),"""anna.tanska@petermac.org """)</f>
        <v>"anna.tanska@petermac.org "</v>
      </c>
      <c r="I76" s="49" t="str">
        <f ca="1">IFERROR(__xludf.DUMMYFUNCTION("""COMPUTED_VALUE"""),"Variant Analyst/Scientist")</f>
        <v>Variant Analyst/Scientist</v>
      </c>
      <c r="J76" s="49"/>
      <c r="K76" s="49" t="str">
        <f ca="1">IFERROR(__xludf.DUMMYFUNCTION("""COMPUTED_VALUE"""),"")</f>
        <v/>
      </c>
      <c r="L76" s="49"/>
      <c r="M76" s="49"/>
      <c r="N76" s="49"/>
      <c r="O76" s="49"/>
      <c r="P76" s="49"/>
      <c r="Q76" s="49"/>
      <c r="R76" s="49"/>
      <c r="S76" s="49"/>
      <c r="T76" s="49"/>
      <c r="U76" s="49"/>
      <c r="V76" s="49"/>
      <c r="W76" s="49"/>
      <c r="X76" s="49"/>
      <c r="Y76" s="49"/>
      <c r="Z76" s="49"/>
    </row>
    <row r="77" spans="1:26" ht="13">
      <c r="A77" s="49" t="str">
        <f ca="1">IFERROR(__xludf.DUMMYFUNCTION("""COMPUTED_VALUE"""),"Declined")</f>
        <v>Declined</v>
      </c>
      <c r="B77" s="99">
        <f ca="1">IFERROR(__xludf.DUMMYFUNCTION("""COMPUTED_VALUE"""),43437)</f>
        <v>43437</v>
      </c>
      <c r="C77" s="88">
        <f ca="1">IFERROR(__xludf.DUMMYFUNCTION("""COMPUTED_VALUE"""),43446)</f>
        <v>43446</v>
      </c>
      <c r="D77" s="49" t="str">
        <f ca="1">IFERROR(__xludf.DUMMYFUNCTION("""COMPUTED_VALUE"""),"Yes")</f>
        <v>Yes</v>
      </c>
      <c r="E77" s="49" t="str">
        <f ca="1">IFERROR(__xludf.DUMMYFUNCTION("""COMPUTED_VALUE"""),"Gene Disease Validity")</f>
        <v>Gene Disease Validity</v>
      </c>
      <c r="F77" s="49" t="str">
        <f ca="1">IFERROR(__xludf.DUMMYFUNCTION("""COMPUTED_VALUE"""),"ID Autism")</f>
        <v>ID Autism</v>
      </c>
      <c r="G77" s="49" t="str">
        <f ca="1">IFERROR(__xludf.DUMMYFUNCTION("""COMPUTED_VALUE"""),"Ny Hoang")</f>
        <v>Ny Hoang</v>
      </c>
      <c r="H77" s="49" t="str">
        <f ca="1">IFERROR(__xludf.DUMMYFUNCTION("""COMPUTED_VALUE"""),"ny.hoang@sickkids.ca")</f>
        <v>ny.hoang@sickkids.ca</v>
      </c>
      <c r="I77" s="49" t="str">
        <f ca="1">IFERROR(__xludf.DUMMYFUNCTION("""COMPUTED_VALUE"""),"Genetic counselor")</f>
        <v>Genetic counselor</v>
      </c>
      <c r="J77" s="49"/>
      <c r="K77" s="49" t="str">
        <f ca="1">IFERROR(__xludf.DUMMYFUNCTION("""COMPUTED_VALUE"""),"Gene-Disease Validity")</f>
        <v>Gene-Disease Validity</v>
      </c>
      <c r="L77" s="49"/>
      <c r="M77" s="49"/>
      <c r="N77" s="49"/>
      <c r="O77" s="49"/>
      <c r="P77" s="49"/>
      <c r="Q77" s="49"/>
      <c r="R77" s="49"/>
      <c r="S77" s="49"/>
      <c r="T77" s="49"/>
      <c r="U77" s="49"/>
      <c r="V77" s="49"/>
      <c r="W77" s="49"/>
      <c r="X77" s="49"/>
      <c r="Y77" s="49"/>
      <c r="Z77" s="49"/>
    </row>
    <row r="78" spans="1:26" ht="13">
      <c r="A78" s="49" t="str">
        <f ca="1">IFERROR(__xludf.DUMMYFUNCTION("""COMPUTED_VALUE"""),"Assigned")</f>
        <v>Assigned</v>
      </c>
      <c r="B78" s="99">
        <f ca="1">IFERROR(__xludf.DUMMYFUNCTION("""COMPUTED_VALUE"""),43437)</f>
        <v>43437</v>
      </c>
      <c r="C78" s="88">
        <f ca="1">IFERROR(__xludf.DUMMYFUNCTION("""COMPUTED_VALUE"""),43446)</f>
        <v>43446</v>
      </c>
      <c r="D78" s="49" t="str">
        <f ca="1">IFERROR(__xludf.DUMMYFUNCTION("""COMPUTED_VALUE"""),"No")</f>
        <v>No</v>
      </c>
      <c r="E78" s="49" t="str">
        <f ca="1">IFERROR(__xludf.DUMMYFUNCTION("""COMPUTED_VALUE"""),"Gene Disease Validity")</f>
        <v>Gene Disease Validity</v>
      </c>
      <c r="F78" s="49" t="str">
        <f ca="1">IFERROR(__xludf.DUMMYFUNCTION("""COMPUTED_VALUE"""),"ID Autism")</f>
        <v>ID Autism</v>
      </c>
      <c r="G78" s="49" t="str">
        <f ca="1">IFERROR(__xludf.DUMMYFUNCTION("""COMPUTED_VALUE"""),"Jacob Vorstman")</f>
        <v>Jacob Vorstman</v>
      </c>
      <c r="H78" s="49" t="str">
        <f ca="1">IFERROR(__xludf.DUMMYFUNCTION("""COMPUTED_VALUE"""),"jacob.vorstman@sickkids.ca")</f>
        <v>jacob.vorstman@sickkids.ca</v>
      </c>
      <c r="I78" s="49" t="str">
        <f ca="1">IFERROR(__xludf.DUMMYFUNCTION("""COMPUTED_VALUE"""),"Post Doc/Resident/Fellow (MD and/or Phd), Scientific Researcher, Physician (non-geneticist)")</f>
        <v>Post Doc/Resident/Fellow (MD and/or Phd), Scientific Researcher, Physician (non-geneticist)</v>
      </c>
      <c r="J78" s="49"/>
      <c r="K78" s="49" t="str">
        <f ca="1">IFERROR(__xludf.DUMMYFUNCTION("""COMPUTED_VALUE"""),"Gene-Disease Validity")</f>
        <v>Gene-Disease Validity</v>
      </c>
      <c r="L78" s="49"/>
      <c r="M78" s="49"/>
      <c r="N78" s="49"/>
      <c r="O78" s="49"/>
      <c r="P78" s="49"/>
      <c r="Q78" s="49"/>
      <c r="R78" s="49"/>
      <c r="S78" s="49"/>
      <c r="T78" s="49"/>
      <c r="U78" s="49"/>
      <c r="V78" s="49"/>
      <c r="W78" s="49"/>
      <c r="X78" s="49"/>
      <c r="Y78" s="49"/>
      <c r="Z78" s="49"/>
    </row>
    <row r="79" spans="1:26" ht="13">
      <c r="A79" s="49" t="str">
        <f ca="1">IFERROR(__xludf.DUMMYFUNCTION("""COMPUTED_VALUE"""),"Contacted")</f>
        <v>Contacted</v>
      </c>
      <c r="B79" s="49" t="str">
        <f ca="1">IFERROR(__xludf.DUMMYFUNCTION("""COMPUTED_VALUE"""),"")</f>
        <v/>
      </c>
      <c r="C79" s="98">
        <f ca="1">IFERROR(__xludf.DUMMYFUNCTION("""COMPUTED_VALUE"""),43598)</f>
        <v>43598</v>
      </c>
      <c r="D79" s="49" t="str">
        <f ca="1">IFERROR(__xludf.DUMMYFUNCTION("""COMPUTED_VALUE"""),"Yes")</f>
        <v>Yes</v>
      </c>
      <c r="E79" s="49" t="str">
        <f ca="1">IFERROR(__xludf.DUMMYFUNCTION("""COMPUTED_VALUE"""),"Somatic Cancer")</f>
        <v>Somatic Cancer</v>
      </c>
      <c r="F79" s="49" t="str">
        <f ca="1">IFERROR(__xludf.DUMMYFUNCTION("""COMPUTED_VALUE"""),"")</f>
        <v/>
      </c>
      <c r="G79" s="49" t="str">
        <f ca="1">IFERROR(__xludf.DUMMYFUNCTION("""COMPUTED_VALUE"""),"Qiuxiang Ou")</f>
        <v>Qiuxiang Ou</v>
      </c>
      <c r="H79" s="49" t="str">
        <f ca="1">IFERROR(__xludf.DUMMYFUNCTION("""COMPUTED_VALUE"""),"dorothy.ou@gmail.com")</f>
        <v>dorothy.ou@gmail.com</v>
      </c>
      <c r="I79" s="49" t="str">
        <f ca="1">IFERROR(__xludf.DUMMYFUNCTION("""COMPUTED_VALUE"""),"Scientific Researcher")</f>
        <v>Scientific Researcher</v>
      </c>
      <c r="J79" s="49"/>
      <c r="K79" s="49" t="str">
        <f ca="1">IFERROR(__xludf.DUMMYFUNCTION("""COMPUTED_VALUE"""),"Somatic Cancer")</f>
        <v>Somatic Cancer</v>
      </c>
      <c r="L79" s="49"/>
      <c r="M79" s="49"/>
      <c r="N79" s="49"/>
      <c r="O79" s="49"/>
      <c r="P79" s="49"/>
      <c r="Q79" s="49"/>
      <c r="R79" s="49"/>
      <c r="S79" s="49"/>
      <c r="T79" s="49"/>
      <c r="U79" s="49"/>
      <c r="V79" s="49"/>
      <c r="W79" s="49"/>
      <c r="X79" s="49"/>
      <c r="Y79" s="49"/>
      <c r="Z79" s="49"/>
    </row>
    <row r="80" spans="1:26" ht="13">
      <c r="A80" s="49" t="str">
        <f ca="1">IFERROR(__xludf.DUMMYFUNCTION("""COMPUTED_VALUE"""),"Assigned")</f>
        <v>Assigned</v>
      </c>
      <c r="B80" s="88">
        <f ca="1">IFERROR(__xludf.DUMMYFUNCTION("""COMPUTED_VALUE"""),43434)</f>
        <v>43434</v>
      </c>
      <c r="C80" s="99">
        <f ca="1">IFERROR(__xludf.DUMMYFUNCTION("""COMPUTED_VALUE"""),43522)</f>
        <v>43522</v>
      </c>
      <c r="D80" s="49" t="str">
        <f ca="1">IFERROR(__xludf.DUMMYFUNCTION("""COMPUTED_VALUE"""),"Yes")</f>
        <v>Yes</v>
      </c>
      <c r="E80" s="49" t="str">
        <f ca="1">IFERROR(__xludf.DUMMYFUNCTION("""COMPUTED_VALUE"""),"Actionability")</f>
        <v>Actionability</v>
      </c>
      <c r="F80" s="49" t="str">
        <f ca="1">IFERROR(__xludf.DUMMYFUNCTION("""COMPUTED_VALUE"""),"Actionability")</f>
        <v>Actionability</v>
      </c>
      <c r="G80" s="49" t="str">
        <f ca="1">IFERROR(__xludf.DUMMYFUNCTION("""COMPUTED_VALUE"""),"Kylin Boehler")</f>
        <v>Kylin Boehler</v>
      </c>
      <c r="H80" s="49" t="str">
        <f ca="1">IFERROR(__xludf.DUMMYFUNCTION("""COMPUTED_VALUE"""),"kylin.y.boehler@questdiagnostics.com")</f>
        <v>kylin.y.boehler@questdiagnostics.com</v>
      </c>
      <c r="I80" s="49" t="str">
        <f ca="1">IFERROR(__xludf.DUMMYFUNCTION("""COMPUTED_VALUE"""),"Genetic counselor")</f>
        <v>Genetic counselor</v>
      </c>
      <c r="J80" s="49"/>
      <c r="K80" s="49" t="str">
        <f ca="1">IFERROR(__xludf.DUMMYFUNCTION("""COMPUTED_VALUE"""),"Clinical Actionability")</f>
        <v>Clinical Actionability</v>
      </c>
      <c r="L80" s="49"/>
      <c r="M80" s="49"/>
      <c r="N80" s="49"/>
      <c r="O80" s="49"/>
      <c r="P80" s="49"/>
      <c r="Q80" s="49"/>
      <c r="R80" s="49"/>
      <c r="S80" s="49"/>
      <c r="T80" s="49"/>
      <c r="U80" s="49"/>
      <c r="V80" s="49"/>
      <c r="W80" s="49"/>
      <c r="X80" s="49"/>
      <c r="Y80" s="49"/>
      <c r="Z80" s="49"/>
    </row>
    <row r="81" spans="1:26" ht="13">
      <c r="A81" s="49" t="str">
        <f ca="1">IFERROR(__xludf.DUMMYFUNCTION("""COMPUTED_VALUE"""),"Unresponsive")</f>
        <v>Unresponsive</v>
      </c>
      <c r="B81" s="88">
        <f ca="1">IFERROR(__xludf.DUMMYFUNCTION("""COMPUTED_VALUE"""),43434)</f>
        <v>43434</v>
      </c>
      <c r="C81" s="49" t="str">
        <f ca="1">IFERROR(__xludf.DUMMYFUNCTION("""COMPUTED_VALUE"""),"")</f>
        <v/>
      </c>
      <c r="D81" s="49" t="str">
        <f ca="1">IFERROR(__xludf.DUMMYFUNCTION("""COMPUTED_VALUE"""),"No")</f>
        <v>No</v>
      </c>
      <c r="E81" s="49" t="str">
        <f ca="1">IFERROR(__xludf.DUMMYFUNCTION("""COMPUTED_VALUE"""),"Actionability")</f>
        <v>Actionability</v>
      </c>
      <c r="F81" s="49" t="str">
        <f ca="1">IFERROR(__xludf.DUMMYFUNCTION("""COMPUTED_VALUE"""),"")</f>
        <v/>
      </c>
      <c r="G81" s="49" t="str">
        <f ca="1">IFERROR(__xludf.DUMMYFUNCTION("""COMPUTED_VALUE"""),"Lisa Diller")</f>
        <v>Lisa Diller</v>
      </c>
      <c r="H81" s="49" t="str">
        <f ca="1">IFERROR(__xludf.DUMMYFUNCTION("""COMPUTED_VALUE"""),"lisa_diller@dfci.harvard.edu")</f>
        <v>lisa_diller@dfci.harvard.edu</v>
      </c>
      <c r="I81" s="49" t="str">
        <f ca="1">IFERROR(__xludf.DUMMYFUNCTION("""COMPUTED_VALUE"""),"Physician (Non-geneticist)")</f>
        <v>Physician (Non-geneticist)</v>
      </c>
      <c r="J81" s="49"/>
      <c r="K81" s="49" t="str">
        <f ca="1">IFERROR(__xludf.DUMMYFUNCTION("""COMPUTED_VALUE"""),"Clinical Actionability")</f>
        <v>Clinical Actionability</v>
      </c>
      <c r="L81" s="49"/>
      <c r="M81" s="49"/>
      <c r="N81" s="49"/>
      <c r="O81" s="49"/>
      <c r="P81" s="49"/>
      <c r="Q81" s="49"/>
      <c r="R81" s="49"/>
      <c r="S81" s="49"/>
      <c r="T81" s="49"/>
      <c r="U81" s="49"/>
      <c r="V81" s="49"/>
      <c r="W81" s="49"/>
      <c r="X81" s="49"/>
      <c r="Y81" s="49"/>
      <c r="Z81" s="49"/>
    </row>
    <row r="82" spans="1:26" ht="13">
      <c r="A82" s="49" t="str">
        <f ca="1">IFERROR(__xludf.DUMMYFUNCTION("""COMPUTED_VALUE"""),"Unresponsive")</f>
        <v>Unresponsive</v>
      </c>
      <c r="B82" s="88">
        <f ca="1">IFERROR(__xludf.DUMMYFUNCTION("""COMPUTED_VALUE"""),43434)</f>
        <v>43434</v>
      </c>
      <c r="C82" s="99">
        <f ca="1">IFERROR(__xludf.DUMMYFUNCTION("""COMPUTED_VALUE"""),43567)</f>
        <v>43567</v>
      </c>
      <c r="D82" s="49" t="str">
        <f ca="1">IFERROR(__xludf.DUMMYFUNCTION("""COMPUTED_VALUE"""),"Yes")</f>
        <v>Yes</v>
      </c>
      <c r="E82" s="49" t="str">
        <f ca="1">IFERROR(__xludf.DUMMYFUNCTION("""COMPUTED_VALUE"""),"Actionability")</f>
        <v>Actionability</v>
      </c>
      <c r="F82" s="49" t="str">
        <f ca="1">IFERROR(__xludf.DUMMYFUNCTION("""COMPUTED_VALUE"""),"")</f>
        <v/>
      </c>
      <c r="G82" s="49" t="str">
        <f ca="1">IFERROR(__xludf.DUMMYFUNCTION("""COMPUTED_VALUE"""),"Nharimann Azima")</f>
        <v>Nharimann Azima</v>
      </c>
      <c r="H82" s="49" t="str">
        <f ca="1">IFERROR(__xludf.DUMMYFUNCTION("""COMPUTED_VALUE"""),"naa3f@gwu.edu")</f>
        <v>naa3f@gwu.edu</v>
      </c>
      <c r="I82" s="49" t="str">
        <f ca="1">IFERROR(__xludf.DUMMYFUNCTION("""COMPUTED_VALUE"""),"Analyst")</f>
        <v>Analyst</v>
      </c>
      <c r="J82" s="49"/>
      <c r="K82" s="49" t="str">
        <f ca="1">IFERROR(__xludf.DUMMYFUNCTION("""COMPUTED_VALUE"""),"Clinical Actionability")</f>
        <v>Clinical Actionability</v>
      </c>
      <c r="L82" s="49"/>
      <c r="M82" s="49"/>
      <c r="N82" s="49"/>
      <c r="O82" s="49"/>
      <c r="P82" s="49"/>
      <c r="Q82" s="49"/>
      <c r="R82" s="49"/>
      <c r="S82" s="49"/>
      <c r="T82" s="49"/>
      <c r="U82" s="49"/>
      <c r="V82" s="49"/>
      <c r="W82" s="49"/>
      <c r="X82" s="49"/>
      <c r="Y82" s="49"/>
      <c r="Z82" s="49"/>
    </row>
    <row r="83" spans="1:26" ht="13">
      <c r="A83" s="49" t="str">
        <f ca="1">IFERROR(__xludf.DUMMYFUNCTION("""COMPUTED_VALUE"""),"Assigned")</f>
        <v>Assigned</v>
      </c>
      <c r="B83" s="88">
        <f ca="1">IFERROR(__xludf.DUMMYFUNCTION("""COMPUTED_VALUE"""),43434)</f>
        <v>43434</v>
      </c>
      <c r="C83" s="87">
        <f ca="1">IFERROR(__xludf.DUMMYFUNCTION("""COMPUTED_VALUE"""),43678)</f>
        <v>43678</v>
      </c>
      <c r="D83" s="49" t="str">
        <f ca="1">IFERROR(__xludf.DUMMYFUNCTION("""COMPUTED_VALUE"""),"Yes")</f>
        <v>Yes</v>
      </c>
      <c r="E83" s="49" t="str">
        <f ca="1">IFERROR(__xludf.DUMMYFUNCTION("""COMPUTED_VALUE"""),"Actionability")</f>
        <v>Actionability</v>
      </c>
      <c r="F83" s="49" t="str">
        <f ca="1">IFERROR(__xludf.DUMMYFUNCTION("""COMPUTED_VALUE"""),"Actionability")</f>
        <v>Actionability</v>
      </c>
      <c r="G83" s="49" t="str">
        <f ca="1">IFERROR(__xludf.DUMMYFUNCTION("""COMPUTED_VALUE"""),"Krzysztof Szczaluba")</f>
        <v>Krzysztof Szczaluba</v>
      </c>
      <c r="H83" s="49" t="str">
        <f ca="1">IFERROR(__xludf.DUMMYFUNCTION("""COMPUTED_VALUE"""),"krzysztof.szczaluba@gmail.com")</f>
        <v>krzysztof.szczaluba@gmail.com</v>
      </c>
      <c r="I83" s="49" t="str">
        <f ca="1">IFERROR(__xludf.DUMMYFUNCTION("""COMPUTED_VALUE"""),"Clinical Medical Geneticist")</f>
        <v>Clinical Medical Geneticist</v>
      </c>
      <c r="J83" s="49"/>
      <c r="K83" s="49" t="str">
        <f ca="1">IFERROR(__xludf.DUMMYFUNCTION("""COMPUTED_VALUE"""),"Clinical Actionability")</f>
        <v>Clinical Actionability</v>
      </c>
      <c r="L83" s="49"/>
      <c r="M83" s="49"/>
      <c r="N83" s="49"/>
      <c r="O83" s="49"/>
      <c r="P83" s="49"/>
      <c r="Q83" s="49"/>
      <c r="R83" s="49"/>
      <c r="S83" s="49"/>
      <c r="T83" s="49"/>
      <c r="U83" s="49"/>
      <c r="V83" s="49"/>
      <c r="W83" s="49"/>
      <c r="X83" s="49"/>
      <c r="Y83" s="49"/>
      <c r="Z83" s="49"/>
    </row>
    <row r="84" spans="1:26" ht="13">
      <c r="A84" s="49" t="str">
        <f ca="1">IFERROR(__xludf.DUMMYFUNCTION("""COMPUTED_VALUE"""),"Unresponsive")</f>
        <v>Unresponsive</v>
      </c>
      <c r="B84" s="88">
        <f ca="1">IFERROR(__xludf.DUMMYFUNCTION("""COMPUTED_VALUE"""),43434)</f>
        <v>43434</v>
      </c>
      <c r="C84" s="49" t="str">
        <f ca="1">IFERROR(__xludf.DUMMYFUNCTION("""COMPUTED_VALUE"""),"")</f>
        <v/>
      </c>
      <c r="D84" s="49" t="str">
        <f ca="1">IFERROR(__xludf.DUMMYFUNCTION("""COMPUTED_VALUE"""),"No")</f>
        <v>No</v>
      </c>
      <c r="E84" s="49" t="str">
        <f ca="1">IFERROR(__xludf.DUMMYFUNCTION("""COMPUTED_VALUE"""),"Actionability")</f>
        <v>Actionability</v>
      </c>
      <c r="F84" s="49" t="str">
        <f ca="1">IFERROR(__xludf.DUMMYFUNCTION("""COMPUTED_VALUE"""),"")</f>
        <v/>
      </c>
      <c r="G84" s="49" t="str">
        <f ca="1">IFERROR(__xludf.DUMMYFUNCTION("""COMPUTED_VALUE"""),"Robin Bennett")</f>
        <v>Robin Bennett</v>
      </c>
      <c r="H84" s="49" t="str">
        <f ca="1">IFERROR(__xludf.DUMMYFUNCTION("""COMPUTED_VALUE"""),"robinb@uw.edu")</f>
        <v>robinb@uw.edu</v>
      </c>
      <c r="I84" s="49" t="str">
        <f ca="1">IFERROR(__xludf.DUMMYFUNCTION("""COMPUTED_VALUE"""),"Genetic counselor")</f>
        <v>Genetic counselor</v>
      </c>
      <c r="J84" s="49"/>
      <c r="K84" s="49" t="str">
        <f ca="1">IFERROR(__xludf.DUMMYFUNCTION("""COMPUTED_VALUE"""),"Clinical Actionability")</f>
        <v>Clinical Actionability</v>
      </c>
      <c r="L84" s="49"/>
      <c r="M84" s="49"/>
      <c r="N84" s="49"/>
      <c r="O84" s="49"/>
      <c r="P84" s="49"/>
      <c r="Q84" s="49"/>
      <c r="R84" s="49"/>
      <c r="S84" s="49"/>
      <c r="T84" s="49"/>
      <c r="U84" s="49"/>
      <c r="V84" s="49"/>
      <c r="W84" s="49"/>
      <c r="X84" s="49"/>
      <c r="Y84" s="49"/>
      <c r="Z84" s="49"/>
    </row>
    <row r="85" spans="1:26" ht="13">
      <c r="A85" s="49" t="str">
        <f ca="1">IFERROR(__xludf.DUMMYFUNCTION("""COMPUTED_VALUE"""),"Unresponsive")</f>
        <v>Unresponsive</v>
      </c>
      <c r="B85" s="88">
        <f ca="1">IFERROR(__xludf.DUMMYFUNCTION("""COMPUTED_VALUE"""),43434)</f>
        <v>43434</v>
      </c>
      <c r="C85" s="99">
        <f ca="1">IFERROR(__xludf.DUMMYFUNCTION("""COMPUTED_VALUE"""),43522)</f>
        <v>43522</v>
      </c>
      <c r="D85" s="49" t="str">
        <f ca="1">IFERROR(__xludf.DUMMYFUNCTION("""COMPUTED_VALUE"""),"Yes")</f>
        <v>Yes</v>
      </c>
      <c r="E85" s="49" t="str">
        <f ca="1">IFERROR(__xludf.DUMMYFUNCTION("""COMPUTED_VALUE"""),"Actionability")</f>
        <v>Actionability</v>
      </c>
      <c r="F85" s="49" t="str">
        <f ca="1">IFERROR(__xludf.DUMMYFUNCTION("""COMPUTED_VALUE"""),"Actionability")</f>
        <v>Actionability</v>
      </c>
      <c r="G85" s="49" t="str">
        <f ca="1">IFERROR(__xludf.DUMMYFUNCTION("""COMPUTED_VALUE"""),"Fiona Curtis")</f>
        <v>Fiona Curtis</v>
      </c>
      <c r="H85" s="49" t="str">
        <f ca="1">IFERROR(__xludf.DUMMYFUNCTION("""COMPUTED_VALUE"""),"fionakatherinecurtis@yahoo.ca")</f>
        <v>fionakatherinecurtis@yahoo.ca</v>
      </c>
      <c r="I85" s="49" t="str">
        <f ca="1">IFERROR(__xludf.DUMMYFUNCTION("""COMPUTED_VALUE"""),"Genetic counselor")</f>
        <v>Genetic counselor</v>
      </c>
      <c r="J85" s="49"/>
      <c r="K85" s="49" t="str">
        <f ca="1">IFERROR(__xludf.DUMMYFUNCTION("""COMPUTED_VALUE"""),"Clinical Actionability")</f>
        <v>Clinical Actionability</v>
      </c>
      <c r="L85" s="49"/>
      <c r="M85" s="49"/>
      <c r="N85" s="49"/>
      <c r="O85" s="49"/>
      <c r="P85" s="49"/>
      <c r="Q85" s="49"/>
      <c r="R85" s="49"/>
      <c r="S85" s="49"/>
      <c r="T85" s="49"/>
      <c r="U85" s="49"/>
      <c r="V85" s="49"/>
      <c r="W85" s="49"/>
      <c r="X85" s="49"/>
      <c r="Y85" s="49"/>
      <c r="Z85" s="49"/>
    </row>
    <row r="86" spans="1:26" ht="13">
      <c r="A86" s="49" t="str">
        <f ca="1">IFERROR(__xludf.DUMMYFUNCTION("""COMPUTED_VALUE"""),"Unresponsive")</f>
        <v>Unresponsive</v>
      </c>
      <c r="B86" s="88">
        <f ca="1">IFERROR(__xludf.DUMMYFUNCTION("""COMPUTED_VALUE"""),43434)</f>
        <v>43434</v>
      </c>
      <c r="C86" s="49" t="str">
        <f ca="1">IFERROR(__xludf.DUMMYFUNCTION("""COMPUTED_VALUE"""),"")</f>
        <v/>
      </c>
      <c r="D86" s="49" t="str">
        <f ca="1">IFERROR(__xludf.DUMMYFUNCTION("""COMPUTED_VALUE"""),"No")</f>
        <v>No</v>
      </c>
      <c r="E86" s="49" t="str">
        <f ca="1">IFERROR(__xludf.DUMMYFUNCTION("""COMPUTED_VALUE"""),"Actionability")</f>
        <v>Actionability</v>
      </c>
      <c r="F86" s="49" t="str">
        <f ca="1">IFERROR(__xludf.DUMMYFUNCTION("""COMPUTED_VALUE"""),"")</f>
        <v/>
      </c>
      <c r="G86" s="49" t="str">
        <f ca="1">IFERROR(__xludf.DUMMYFUNCTION("""COMPUTED_VALUE"""),"Jennifer Marie Lee")</f>
        <v>Jennifer Marie Lee</v>
      </c>
      <c r="H86" s="49" t="str">
        <f ca="1">IFERROR(__xludf.DUMMYFUNCTION("""COMPUTED_VALUE"""),"Jennifer.Lee2@nih.gov")</f>
        <v>Jennifer.Lee2@nih.gov</v>
      </c>
      <c r="I86" s="49" t="str">
        <f ca="1">IFERROR(__xludf.DUMMYFUNCTION("""COMPUTED_VALUE"""),"Scientific Researcher")</f>
        <v>Scientific Researcher</v>
      </c>
      <c r="J86" s="49"/>
      <c r="K86" s="49" t="str">
        <f ca="1">IFERROR(__xludf.DUMMYFUNCTION("""COMPUTED_VALUE"""),"Clinical Actionability")</f>
        <v>Clinical Actionability</v>
      </c>
      <c r="L86" s="49"/>
      <c r="M86" s="49"/>
      <c r="N86" s="49"/>
      <c r="O86" s="49"/>
      <c r="P86" s="49"/>
      <c r="Q86" s="49"/>
      <c r="R86" s="49"/>
      <c r="S86" s="49"/>
      <c r="T86" s="49"/>
      <c r="U86" s="49"/>
      <c r="V86" s="49"/>
      <c r="W86" s="49"/>
      <c r="X86" s="49"/>
      <c r="Y86" s="49"/>
      <c r="Z86" s="49"/>
    </row>
    <row r="87" spans="1:26" ht="13">
      <c r="A87" s="49" t="str">
        <f ca="1">IFERROR(__xludf.DUMMYFUNCTION("""COMPUTED_VALUE"""),"Assigned")</f>
        <v>Assigned</v>
      </c>
      <c r="B87" s="99">
        <f ca="1">IFERROR(__xludf.DUMMYFUNCTION("""COMPUTED_VALUE"""),43467)</f>
        <v>43467</v>
      </c>
      <c r="C87" s="88">
        <f ca="1">IFERROR(__xludf.DUMMYFUNCTION("""COMPUTED_VALUE"""),43476)</f>
        <v>43476</v>
      </c>
      <c r="D87" s="49" t="str">
        <f ca="1">IFERROR(__xludf.DUMMYFUNCTION("""COMPUTED_VALUE"""),"Yes")</f>
        <v>Yes</v>
      </c>
      <c r="E87" s="49" t="str">
        <f ca="1">IFERROR(__xludf.DUMMYFUNCTION("""COMPUTED_VALUE"""),"Actionability")</f>
        <v>Actionability</v>
      </c>
      <c r="F87" s="49" t="str">
        <f ca="1">IFERROR(__xludf.DUMMYFUNCTION("""COMPUTED_VALUE"""),"Actionability")</f>
        <v>Actionability</v>
      </c>
      <c r="G87" s="49" t="str">
        <f ca="1">IFERROR(__xludf.DUMMYFUNCTION("""COMPUTED_VALUE"""),"Laura Fuqua")</f>
        <v>Laura Fuqua</v>
      </c>
      <c r="H87" s="49" t="str">
        <f ca="1">IFERROR(__xludf.DUMMYFUNCTION("""COMPUTED_VALUE"""),"laura.fuqua@gmail.com")</f>
        <v>laura.fuqua@gmail.com</v>
      </c>
      <c r="I87" s="49" t="str">
        <f ca="1">IFERROR(__xludf.DUMMYFUNCTION("""COMPUTED_VALUE"""),"Genetic counselor")</f>
        <v>Genetic counselor</v>
      </c>
      <c r="J87" s="49"/>
      <c r="K87" s="49" t="str">
        <f ca="1">IFERROR(__xludf.DUMMYFUNCTION("""COMPUTED_VALUE"""),"Somatic Cancer")</f>
        <v>Somatic Cancer</v>
      </c>
      <c r="L87" s="49"/>
      <c r="M87" s="49"/>
      <c r="N87" s="49"/>
      <c r="O87" s="49"/>
      <c r="P87" s="49"/>
      <c r="Q87" s="49"/>
      <c r="R87" s="49"/>
      <c r="S87" s="49"/>
      <c r="T87" s="49"/>
      <c r="U87" s="49"/>
      <c r="V87" s="49"/>
      <c r="W87" s="49"/>
      <c r="X87" s="49"/>
      <c r="Y87" s="49"/>
      <c r="Z87" s="49"/>
    </row>
    <row r="88" spans="1:26" ht="13">
      <c r="A88" s="49" t="str">
        <f ca="1">IFERROR(__xludf.DUMMYFUNCTION("""COMPUTED_VALUE"""),"Follow up email")</f>
        <v>Follow up email</v>
      </c>
      <c r="B88" s="49" t="str">
        <f ca="1">IFERROR(__xludf.DUMMYFUNCTION("""COMPUTED_VALUE"""),"12/18/18 (assigned)
declined(5-2-19)
Renewed interest 8/12/19")</f>
        <v>12/18/18 (assigned)
declined(5-2-19)
Renewed interest 8/12/19</v>
      </c>
      <c r="C88" s="87">
        <f ca="1">IFERROR(__xludf.DUMMYFUNCTION("""COMPUTED_VALUE"""),43769)</f>
        <v>43769</v>
      </c>
      <c r="D88" s="49" t="str">
        <f ca="1">IFERROR(__xludf.DUMMYFUNCTION("""COMPUTED_VALUE"""),"Yes")</f>
        <v>Yes</v>
      </c>
      <c r="E88" s="49" t="str">
        <f ca="1">IFERROR(__xludf.DUMMYFUNCTION("""COMPUTED_VALUE"""),"Actionability")</f>
        <v>Actionability</v>
      </c>
      <c r="F88" s="49" t="str">
        <f ca="1">IFERROR(__xludf.DUMMYFUNCTION("""COMPUTED_VALUE"""),"Actionability")</f>
        <v>Actionability</v>
      </c>
      <c r="G88" s="49" t="str">
        <f ca="1">IFERROR(__xludf.DUMMYFUNCTION("""COMPUTED_VALUE"""),"Morgan Similuk")</f>
        <v>Morgan Similuk</v>
      </c>
      <c r="H88" s="49" t="str">
        <f ca="1">IFERROR(__xludf.DUMMYFUNCTION("""COMPUTED_VALUE"""),"Morgan.similuk@nih.gov")</f>
        <v>Morgan.similuk@nih.gov</v>
      </c>
      <c r="I88" s="49" t="str">
        <f ca="1">IFERROR(__xludf.DUMMYFUNCTION("""COMPUTED_VALUE"""),"Genetic counselor")</f>
        <v>Genetic counselor</v>
      </c>
      <c r="J88" s="49"/>
      <c r="K88" s="49" t="str">
        <f ca="1">IFERROR(__xludf.DUMMYFUNCTION("""COMPUTED_VALUE"""),"Clinical Actionability")</f>
        <v>Clinical Actionability</v>
      </c>
      <c r="L88" s="49"/>
      <c r="M88" s="49"/>
      <c r="N88" s="49"/>
      <c r="O88" s="49"/>
      <c r="P88" s="49"/>
      <c r="Q88" s="49"/>
      <c r="R88" s="49"/>
      <c r="S88" s="49"/>
      <c r="T88" s="49"/>
      <c r="U88" s="49"/>
      <c r="V88" s="49"/>
      <c r="W88" s="49"/>
      <c r="X88" s="49"/>
      <c r="Y88" s="49"/>
      <c r="Z88" s="49"/>
    </row>
    <row r="89" spans="1:26" ht="13">
      <c r="A89" s="49" t="str">
        <f ca="1">IFERROR(__xludf.DUMMYFUNCTION("""COMPUTED_VALUE"""),"Unresponsive")</f>
        <v>Unresponsive</v>
      </c>
      <c r="B89" s="88">
        <f ca="1">IFERROR(__xludf.DUMMYFUNCTION("""COMPUTED_VALUE"""),43452)</f>
        <v>43452</v>
      </c>
      <c r="C89" s="87">
        <f ca="1">IFERROR(__xludf.DUMMYFUNCTION("""COMPUTED_VALUE"""),43678)</f>
        <v>43678</v>
      </c>
      <c r="D89" s="49" t="str">
        <f ca="1">IFERROR(__xludf.DUMMYFUNCTION("""COMPUTED_VALUE"""),"Yes")</f>
        <v>Yes</v>
      </c>
      <c r="E89" s="49" t="str">
        <f ca="1">IFERROR(__xludf.DUMMYFUNCTION("""COMPUTED_VALUE"""),"Actionability")</f>
        <v>Actionability</v>
      </c>
      <c r="F89" s="49" t="str">
        <f ca="1">IFERROR(__xludf.DUMMYFUNCTION("""COMPUTED_VALUE"""),"")</f>
        <v/>
      </c>
      <c r="G89" s="49" t="str">
        <f ca="1">IFERROR(__xludf.DUMMYFUNCTION("""COMPUTED_VALUE"""),"Sandra P Smieszek")</f>
        <v>Sandra P Smieszek</v>
      </c>
      <c r="H89" s="49" t="str">
        <f ca="1">IFERROR(__xludf.DUMMYFUNCTION("""COMPUTED_VALUE"""),"sps92@case.edu")</f>
        <v>sps92@case.edu</v>
      </c>
      <c r="I89" s="49" t="str">
        <f ca="1">IFERROR(__xludf.DUMMYFUNCTION("""COMPUTED_VALUE"""),"Post Doc/Resident/Fellow (MD and/or PhD)")</f>
        <v>Post Doc/Resident/Fellow (MD and/or PhD)</v>
      </c>
      <c r="J89" s="49"/>
      <c r="K89" s="49" t="str">
        <f ca="1">IFERROR(__xludf.DUMMYFUNCTION("""COMPUTED_VALUE"""),"Clinical Actionability")</f>
        <v>Clinical Actionability</v>
      </c>
      <c r="L89" s="49"/>
      <c r="M89" s="49"/>
      <c r="N89" s="49"/>
      <c r="O89" s="49"/>
      <c r="P89" s="49"/>
      <c r="Q89" s="49"/>
      <c r="R89" s="49"/>
      <c r="S89" s="49"/>
      <c r="T89" s="49"/>
      <c r="U89" s="49"/>
      <c r="V89" s="49"/>
      <c r="W89" s="49"/>
      <c r="X89" s="49"/>
      <c r="Y89" s="49"/>
      <c r="Z89" s="49"/>
    </row>
    <row r="90" spans="1:26" ht="13">
      <c r="A90" s="49" t="str">
        <f ca="1">IFERROR(__xludf.DUMMYFUNCTION("""COMPUTED_VALUE"""),"Unresponsive")</f>
        <v>Unresponsive</v>
      </c>
      <c r="B90" s="49" t="str">
        <f ca="1">IFERROR(__xludf.DUMMYFUNCTION("""COMPUTED_VALUE"""),"")</f>
        <v/>
      </c>
      <c r="C90" s="49" t="str">
        <f ca="1">IFERROR(__xludf.DUMMYFUNCTION("""COMPUTED_VALUE"""),"")</f>
        <v/>
      </c>
      <c r="D90" s="49" t="str">
        <f ca="1">IFERROR(__xludf.DUMMYFUNCTION("""COMPUTED_VALUE"""),"No")</f>
        <v>No</v>
      </c>
      <c r="E90" s="49" t="str">
        <f ca="1">IFERROR(__xludf.DUMMYFUNCTION("""COMPUTED_VALUE"""),"Somatic Cancer")</f>
        <v>Somatic Cancer</v>
      </c>
      <c r="F90" s="49" t="str">
        <f ca="1">IFERROR(__xludf.DUMMYFUNCTION("""COMPUTED_VALUE"""),"")</f>
        <v/>
      </c>
      <c r="G90" s="49" t="str">
        <f ca="1">IFERROR(__xludf.DUMMYFUNCTION("""COMPUTED_VALUE"""),"Milda Auglyte")</f>
        <v>Milda Auglyte</v>
      </c>
      <c r="H90" s="49" t="str">
        <f ca="1">IFERROR(__xludf.DUMMYFUNCTION("""COMPUTED_VALUE"""),"mildaaug@gmail.com")</f>
        <v>mildaaug@gmail.com</v>
      </c>
      <c r="I90" s="49" t="str">
        <f ca="1">IFERROR(__xludf.DUMMYFUNCTION("""COMPUTED_VALUE"""),"Graduate Student")</f>
        <v>Graduate Student</v>
      </c>
      <c r="J90" s="49"/>
      <c r="K90" s="49" t="str">
        <f ca="1">IFERROR(__xludf.DUMMYFUNCTION("""COMPUTED_VALUE"""),"Somatic Cancer")</f>
        <v>Somatic Cancer</v>
      </c>
      <c r="L90" s="49"/>
      <c r="M90" s="49"/>
      <c r="N90" s="49"/>
      <c r="O90" s="49"/>
      <c r="P90" s="49"/>
      <c r="Q90" s="49"/>
      <c r="R90" s="49"/>
      <c r="S90" s="49"/>
      <c r="T90" s="49"/>
      <c r="U90" s="49"/>
      <c r="V90" s="49"/>
      <c r="W90" s="49"/>
      <c r="X90" s="49"/>
      <c r="Y90" s="49"/>
      <c r="Z90" s="49"/>
    </row>
    <row r="91" spans="1:26" ht="13">
      <c r="A91" s="49" t="str">
        <f ca="1">IFERROR(__xludf.DUMMYFUNCTION("""COMPUTED_VALUE"""),"Declined")</f>
        <v>Declined</v>
      </c>
      <c r="B91" s="49" t="str">
        <f ca="1">IFERROR(__xludf.DUMMYFUNCTION("""COMPUTED_VALUE"""),"")</f>
        <v/>
      </c>
      <c r="C91" s="49" t="str">
        <f ca="1">IFERROR(__xludf.DUMMYFUNCTION("""COMPUTED_VALUE"""),"")</f>
        <v/>
      </c>
      <c r="D91" s="49" t="str">
        <f ca="1">IFERROR(__xludf.DUMMYFUNCTION("""COMPUTED_VALUE"""),"No")</f>
        <v>No</v>
      </c>
      <c r="E91" s="49" t="str">
        <f ca="1">IFERROR(__xludf.DUMMYFUNCTION("""COMPUTED_VALUE"""),"Somatic Cancer")</f>
        <v>Somatic Cancer</v>
      </c>
      <c r="F91" s="49" t="str">
        <f ca="1">IFERROR(__xludf.DUMMYFUNCTION("""COMPUTED_VALUE"""),"Pediatric cancer taskforce")</f>
        <v>Pediatric cancer taskforce</v>
      </c>
      <c r="G91" s="49" t="str">
        <f ca="1">IFERROR(__xludf.DUMMYFUNCTION("""COMPUTED_VALUE"""),"Andres Ressia")</f>
        <v>Andres Ressia</v>
      </c>
      <c r="H91" s="49" t="str">
        <f ca="1">IFERROR(__xludf.DUMMYFUNCTION("""COMPUTED_VALUE"""),"andresressiacolino@gmail.com")</f>
        <v>andresressiacolino@gmail.com</v>
      </c>
      <c r="I91" s="49" t="str">
        <f ca="1">IFERROR(__xludf.DUMMYFUNCTION("""COMPUTED_VALUE"""),"Post-Bachelors")</f>
        <v>Post-Bachelors</v>
      </c>
      <c r="J91" s="49"/>
      <c r="K91" s="49" t="str">
        <f ca="1">IFERROR(__xludf.DUMMYFUNCTION("""COMPUTED_VALUE"""),"Somatic Cancer")</f>
        <v>Somatic Cancer</v>
      </c>
      <c r="L91" s="49"/>
      <c r="M91" s="49"/>
      <c r="N91" s="49"/>
      <c r="O91" s="49"/>
      <c r="P91" s="49"/>
      <c r="Q91" s="49"/>
      <c r="R91" s="49"/>
      <c r="S91" s="49"/>
      <c r="T91" s="49"/>
      <c r="U91" s="49"/>
      <c r="V91" s="49"/>
      <c r="W91" s="49"/>
      <c r="X91" s="49"/>
      <c r="Y91" s="49"/>
      <c r="Z91" s="49"/>
    </row>
    <row r="92" spans="1:26" ht="13">
      <c r="A92" s="49" t="str">
        <f ca="1">IFERROR(__xludf.DUMMYFUNCTION("""COMPUTED_VALUE"""),"Assigned")</f>
        <v>Assigned</v>
      </c>
      <c r="B92" s="88">
        <f ca="1">IFERROR(__xludf.DUMMYFUNCTION("""COMPUTED_VALUE"""),43452)</f>
        <v>43452</v>
      </c>
      <c r="C92" s="98">
        <f ca="1">IFERROR(__xludf.DUMMYFUNCTION("""COMPUTED_VALUE"""),43581)</f>
        <v>43581</v>
      </c>
      <c r="D92" s="49" t="str">
        <f ca="1">IFERROR(__xludf.DUMMYFUNCTION("""COMPUTED_VALUE"""),"Yes")</f>
        <v>Yes</v>
      </c>
      <c r="E92" s="49" t="str">
        <f ca="1">IFERROR(__xludf.DUMMYFUNCTION("""COMPUTED_VALUE"""),"Somatic Cancer")</f>
        <v>Somatic Cancer</v>
      </c>
      <c r="F92" s="49" t="str">
        <f ca="1">IFERROR(__xludf.DUMMYFUNCTION("""COMPUTED_VALUE"""),"Pancreatic cancer taskforce")</f>
        <v>Pancreatic cancer taskforce</v>
      </c>
      <c r="G92" s="49" t="str">
        <f ca="1">IFERROR(__xludf.DUMMYFUNCTION("""COMPUTED_VALUE"""),"Parisa Lotfi")</f>
        <v>Parisa Lotfi</v>
      </c>
      <c r="H92" s="49" t="str">
        <f ca="1">IFERROR(__xludf.DUMMYFUNCTION("""COMPUTED_VALUE"""),"Parisa_Lotfi@yahoo.com")</f>
        <v>Parisa_Lotfi@yahoo.com</v>
      </c>
      <c r="I92" s="49" t="str">
        <f ca="1">IFERROR(__xludf.DUMMYFUNCTION("""COMPUTED_VALUE"""),"Post Doc/Resident/Fellow (MD and/or Phd), Scientific Researcher")</f>
        <v>Post Doc/Resident/Fellow (MD and/or Phd), Scientific Researcher</v>
      </c>
      <c r="J92" s="49"/>
      <c r="K92" s="49" t="str">
        <f ca="1">IFERROR(__xludf.DUMMYFUNCTION("""COMPUTED_VALUE"""),"Somatic Cancer")</f>
        <v>Somatic Cancer</v>
      </c>
      <c r="L92" s="49"/>
      <c r="M92" s="49"/>
      <c r="N92" s="49"/>
      <c r="O92" s="49"/>
      <c r="P92" s="49"/>
      <c r="Q92" s="49"/>
      <c r="R92" s="49"/>
      <c r="S92" s="49"/>
      <c r="T92" s="49"/>
      <c r="U92" s="49"/>
      <c r="V92" s="49"/>
      <c r="W92" s="49"/>
      <c r="X92" s="49"/>
      <c r="Y92" s="49"/>
      <c r="Z92" s="49"/>
    </row>
    <row r="93" spans="1:26" ht="13">
      <c r="A93" s="49" t="str">
        <f ca="1">IFERROR(__xludf.DUMMYFUNCTION("""COMPUTED_VALUE"""),"Declined")</f>
        <v>Declined</v>
      </c>
      <c r="B93" s="88">
        <f ca="1">IFERROR(__xludf.DUMMYFUNCTION("""COMPUTED_VALUE"""),43452)</f>
        <v>43452</v>
      </c>
      <c r="C93" s="49" t="str">
        <f ca="1">IFERROR(__xludf.DUMMYFUNCTION("""COMPUTED_VALUE"""),"")</f>
        <v/>
      </c>
      <c r="D93" s="49" t="str">
        <f ca="1">IFERROR(__xludf.DUMMYFUNCTION("""COMPUTED_VALUE"""),"No")</f>
        <v>No</v>
      </c>
      <c r="E93" s="49" t="str">
        <f ca="1">IFERROR(__xludf.DUMMYFUNCTION("""COMPUTED_VALUE"""),"Somatic Cancer")</f>
        <v>Somatic Cancer</v>
      </c>
      <c r="F93" s="49" t="str">
        <f ca="1">IFERROR(__xludf.DUMMYFUNCTION("""COMPUTED_VALUE"""),"Pediatric cancer taskforce")</f>
        <v>Pediatric cancer taskforce</v>
      </c>
      <c r="G93" s="49" t="str">
        <f ca="1">IFERROR(__xludf.DUMMYFUNCTION("""COMPUTED_VALUE"""),"Huei San Leong")</f>
        <v>Huei San Leong</v>
      </c>
      <c r="H93" s="49" t="str">
        <f ca="1">IFERROR(__xludf.DUMMYFUNCTION("""COMPUTED_VALUE"""),"hueisan.leong@petermac.org")</f>
        <v>hueisan.leong@petermac.org</v>
      </c>
      <c r="I93" s="49" t="str">
        <f ca="1">IFERROR(__xludf.DUMMYFUNCTION("""COMPUTED_VALUE"""),"Variant Analyst/Scientist")</f>
        <v>Variant Analyst/Scientist</v>
      </c>
      <c r="J93" s="49"/>
      <c r="K93" s="49" t="str">
        <f ca="1">IFERROR(__xludf.DUMMYFUNCTION("""COMPUTED_VALUE"""),"Somatic Cancer")</f>
        <v>Somatic Cancer</v>
      </c>
      <c r="L93" s="49"/>
      <c r="M93" s="49"/>
      <c r="N93" s="49"/>
      <c r="O93" s="49"/>
      <c r="P93" s="49"/>
      <c r="Q93" s="49"/>
      <c r="R93" s="49"/>
      <c r="S93" s="49"/>
      <c r="T93" s="49"/>
      <c r="U93" s="49"/>
      <c r="V93" s="49"/>
      <c r="W93" s="49"/>
      <c r="X93" s="49"/>
      <c r="Y93" s="49"/>
      <c r="Z93" s="49"/>
    </row>
    <row r="94" spans="1:26" ht="13">
      <c r="A94" s="49" t="str">
        <f ca="1">IFERROR(__xludf.DUMMYFUNCTION("""COMPUTED_VALUE"""),"Unresponsive")</f>
        <v>Unresponsive</v>
      </c>
      <c r="B94" s="88">
        <f ca="1">IFERROR(__xludf.DUMMYFUNCTION("""COMPUTED_VALUE"""),43452)</f>
        <v>43452</v>
      </c>
      <c r="C94" s="49" t="str">
        <f ca="1">IFERROR(__xludf.DUMMYFUNCTION("""COMPUTED_VALUE"""),"")</f>
        <v/>
      </c>
      <c r="D94" s="49" t="str">
        <f ca="1">IFERROR(__xludf.DUMMYFUNCTION("""COMPUTED_VALUE"""),"No")</f>
        <v>No</v>
      </c>
      <c r="E94" s="49" t="str">
        <f ca="1">IFERROR(__xludf.DUMMYFUNCTION("""COMPUTED_VALUE"""),"Somatic Cancer")</f>
        <v>Somatic Cancer</v>
      </c>
      <c r="F94" s="49" t="str">
        <f ca="1">IFERROR(__xludf.DUMMYFUNCTION("""COMPUTED_VALUE"""),"")</f>
        <v/>
      </c>
      <c r="G94" s="49" t="str">
        <f ca="1">IFERROR(__xludf.DUMMYFUNCTION("""COMPUTED_VALUE"""),"Pandurang Kolekar")</f>
        <v>Pandurang Kolekar</v>
      </c>
      <c r="H94" s="49" t="str">
        <f ca="1">IFERROR(__xludf.DUMMYFUNCTION("""COMPUTED_VALUE"""),"pandurang.kolekar@gmail.com")</f>
        <v>pandurang.kolekar@gmail.com</v>
      </c>
      <c r="I94" s="49" t="str">
        <f ca="1">IFERROR(__xludf.DUMMYFUNCTION("""COMPUTED_VALUE"""),"""Scientific Researcher, Biocurator, Variant Analyst/Scientist, Other (please specify): Bioinformatics Engineer""")</f>
        <v>"Scientific Researcher, Biocurator, Variant Analyst/Scientist, Other (please specify): Bioinformatics Engineer"</v>
      </c>
      <c r="J94" s="49"/>
      <c r="K94" s="49" t="str">
        <f ca="1">IFERROR(__xludf.DUMMYFUNCTION("""COMPUTED_VALUE"""),"Somatic Cancer")</f>
        <v>Somatic Cancer</v>
      </c>
      <c r="L94" s="49"/>
      <c r="M94" s="49"/>
      <c r="N94" s="49"/>
      <c r="O94" s="49"/>
      <c r="P94" s="49"/>
      <c r="Q94" s="49"/>
      <c r="R94" s="49"/>
      <c r="S94" s="49"/>
      <c r="T94" s="49"/>
      <c r="U94" s="49"/>
      <c r="V94" s="49"/>
      <c r="W94" s="49"/>
      <c r="X94" s="49"/>
      <c r="Y94" s="49"/>
      <c r="Z94" s="49"/>
    </row>
    <row r="95" spans="1:26" ht="13">
      <c r="A95" s="49" t="str">
        <f ca="1">IFERROR(__xludf.DUMMYFUNCTION("""COMPUTED_VALUE"""),"Unresponsive")</f>
        <v>Unresponsive</v>
      </c>
      <c r="B95" s="49" t="str">
        <f ca="1">IFERROR(__xludf.DUMMYFUNCTION("""COMPUTED_VALUE"""),"")</f>
        <v/>
      </c>
      <c r="C95" s="49" t="str">
        <f ca="1">IFERROR(__xludf.DUMMYFUNCTION("""COMPUTED_VALUE"""),"")</f>
        <v/>
      </c>
      <c r="D95" s="49" t="str">
        <f ca="1">IFERROR(__xludf.DUMMYFUNCTION("""COMPUTED_VALUE"""),"No")</f>
        <v>No</v>
      </c>
      <c r="E95" s="49" t="str">
        <f ca="1">IFERROR(__xludf.DUMMYFUNCTION("""COMPUTED_VALUE"""),"Actionability")</f>
        <v>Actionability</v>
      </c>
      <c r="F95" s="49" t="str">
        <f ca="1">IFERROR(__xludf.DUMMYFUNCTION("""COMPUTED_VALUE"""),"")</f>
        <v/>
      </c>
      <c r="G95" s="49" t="str">
        <f ca="1">IFERROR(__xludf.DUMMYFUNCTION("""COMPUTED_VALUE"""),"Samata Singhi")</f>
        <v>Samata Singhi</v>
      </c>
      <c r="H95" s="49" t="str">
        <f ca="1">IFERROR(__xludf.DUMMYFUNCTION("""COMPUTED_VALUE"""),"samata.singhi@gmail.com")</f>
        <v>samata.singhi@gmail.com</v>
      </c>
      <c r="I95" s="49" t="str">
        <f ca="1">IFERROR(__xludf.DUMMYFUNCTION("""COMPUTED_VALUE"""),"Physician (Non-geneticist)")</f>
        <v>Physician (Non-geneticist)</v>
      </c>
      <c r="J95" s="49"/>
      <c r="K95" s="49" t="str">
        <f ca="1">IFERROR(__xludf.DUMMYFUNCTION("""COMPUTED_VALUE"""),"Clinical Actionability")</f>
        <v>Clinical Actionability</v>
      </c>
      <c r="L95" s="49"/>
      <c r="M95" s="49"/>
      <c r="N95" s="49"/>
      <c r="O95" s="49"/>
      <c r="P95" s="49"/>
      <c r="Q95" s="49"/>
      <c r="R95" s="49"/>
      <c r="S95" s="49"/>
      <c r="T95" s="49"/>
      <c r="U95" s="49"/>
      <c r="V95" s="49"/>
      <c r="W95" s="49"/>
      <c r="X95" s="49"/>
      <c r="Y95" s="49"/>
      <c r="Z95" s="49"/>
    </row>
    <row r="96" spans="1:26" ht="13">
      <c r="A96" s="49" t="str">
        <f ca="1">IFERROR(__xludf.DUMMYFUNCTION("""COMPUTED_VALUE"""),"Contacted")</f>
        <v>Contacted</v>
      </c>
      <c r="B96" s="49" t="str">
        <f ca="1">IFERROR(__xludf.DUMMYFUNCTION("""COMPUTED_VALUE"""),"")</f>
        <v/>
      </c>
      <c r="C96" s="87">
        <f ca="1">IFERROR(__xludf.DUMMYFUNCTION("""COMPUTED_VALUE"""),43692)</f>
        <v>43692</v>
      </c>
      <c r="D96" s="49" t="str">
        <f ca="1">IFERROR(__xludf.DUMMYFUNCTION("""COMPUTED_VALUE"""),"Yes")</f>
        <v>Yes</v>
      </c>
      <c r="E96" s="49" t="str">
        <f ca="1">IFERROR(__xludf.DUMMYFUNCTION("""COMPUTED_VALUE"""),"Gene Disease Validity")</f>
        <v>Gene Disease Validity</v>
      </c>
      <c r="F96" s="49" t="str">
        <f ca="1">IFERROR(__xludf.DUMMYFUNCTION("""COMPUTED_VALUE"""),"")</f>
        <v/>
      </c>
      <c r="G96" s="49" t="str">
        <f ca="1">IFERROR(__xludf.DUMMYFUNCTION("""COMPUTED_VALUE"""),"Szabolcs Szelinger")</f>
        <v>Szabolcs Szelinger</v>
      </c>
      <c r="H96" s="49" t="str">
        <f ca="1">IFERROR(__xludf.DUMMYFUNCTION("""COMPUTED_VALUE"""),"sszelinger@tgen.org")</f>
        <v>sszelinger@tgen.org</v>
      </c>
      <c r="I96" s="49" t="str">
        <f ca="1">IFERROR(__xludf.DUMMYFUNCTION("""COMPUTED_VALUE"""),"Clinical laboratory geneticist")</f>
        <v>Clinical laboratory geneticist</v>
      </c>
      <c r="J96" s="49"/>
      <c r="K96" s="49" t="str">
        <f ca="1">IFERROR(__xludf.DUMMYFUNCTION("""COMPUTED_VALUE"""),"Gene-Disease Validity")</f>
        <v>Gene-Disease Validity</v>
      </c>
      <c r="L96" s="49"/>
      <c r="M96" s="49"/>
      <c r="N96" s="49"/>
      <c r="O96" s="49"/>
      <c r="P96" s="49"/>
      <c r="Q96" s="49"/>
      <c r="R96" s="49"/>
      <c r="S96" s="49"/>
      <c r="T96" s="49"/>
      <c r="U96" s="49"/>
      <c r="V96" s="49"/>
      <c r="W96" s="49"/>
      <c r="X96" s="49"/>
      <c r="Y96" s="49"/>
      <c r="Z96" s="49"/>
    </row>
    <row r="97" spans="1:26" ht="13">
      <c r="A97" s="49" t="str">
        <f ca="1">IFERROR(__xludf.DUMMYFUNCTION("""COMPUTED_VALUE"""),"Unresponsive")</f>
        <v>Unresponsive</v>
      </c>
      <c r="B97" s="88">
        <f ca="1">IFERROR(__xludf.DUMMYFUNCTION("""COMPUTED_VALUE"""),43452)</f>
        <v>43452</v>
      </c>
      <c r="C97" s="49" t="str">
        <f ca="1">IFERROR(__xludf.DUMMYFUNCTION("""COMPUTED_VALUE"""),"")</f>
        <v/>
      </c>
      <c r="D97" s="49" t="str">
        <f ca="1">IFERROR(__xludf.DUMMYFUNCTION("""COMPUTED_VALUE"""),"No")</f>
        <v>No</v>
      </c>
      <c r="E97" s="49" t="str">
        <f ca="1">IFERROR(__xludf.DUMMYFUNCTION("""COMPUTED_VALUE"""),"Somatic Cancer")</f>
        <v>Somatic Cancer</v>
      </c>
      <c r="F97" s="49" t="str">
        <f ca="1">IFERROR(__xludf.DUMMYFUNCTION("""COMPUTED_VALUE"""),"")</f>
        <v/>
      </c>
      <c r="G97" s="49" t="str">
        <f ca="1">IFERROR(__xludf.DUMMYFUNCTION("""COMPUTED_VALUE"""),"Jianhong Zhou")</f>
        <v>Jianhong Zhou</v>
      </c>
      <c r="H97" s="49" t="str">
        <f ca="1">IFERROR(__xludf.DUMMYFUNCTION("""COMPUTED_VALUE"""),"jhzhou2008@hotmail.com")</f>
        <v>jhzhou2008@hotmail.com</v>
      </c>
      <c r="I97" s="49" t="str">
        <f ca="1">IFERROR(__xludf.DUMMYFUNCTION("""COMPUTED_VALUE"""),"Post Doc/Resident/Fellow (MD and/or Phd), Scientific Researcher, Focus on bioinformatics and computational biology")</f>
        <v>Post Doc/Resident/Fellow (MD and/or Phd), Scientific Researcher, Focus on bioinformatics and computational biology</v>
      </c>
      <c r="J97" s="49"/>
      <c r="K97" s="49" t="str">
        <f ca="1">IFERROR(__xludf.DUMMYFUNCTION("""COMPUTED_VALUE"""),"Somatic Cancer")</f>
        <v>Somatic Cancer</v>
      </c>
      <c r="L97" s="49"/>
      <c r="M97" s="49"/>
      <c r="N97" s="49"/>
      <c r="O97" s="49"/>
      <c r="P97" s="49"/>
      <c r="Q97" s="49"/>
      <c r="R97" s="49"/>
      <c r="S97" s="49"/>
      <c r="T97" s="49"/>
      <c r="U97" s="49"/>
      <c r="V97" s="49"/>
      <c r="W97" s="49"/>
      <c r="X97" s="49"/>
      <c r="Y97" s="49"/>
      <c r="Z97" s="49"/>
    </row>
    <row r="98" spans="1:26" ht="13">
      <c r="A98" s="49" t="str">
        <f ca="1">IFERROR(__xludf.DUMMYFUNCTION("""COMPUTED_VALUE"""),"Unresponsive")</f>
        <v>Unresponsive</v>
      </c>
      <c r="B98" s="49" t="str">
        <f ca="1">IFERROR(__xludf.DUMMYFUNCTION("""COMPUTED_VALUE"""),"")</f>
        <v/>
      </c>
      <c r="C98" s="99">
        <f ca="1">IFERROR(__xludf.DUMMYFUNCTION("""COMPUTED_VALUE"""),43567)</f>
        <v>43567</v>
      </c>
      <c r="D98" s="49" t="str">
        <f ca="1">IFERROR(__xludf.DUMMYFUNCTION("""COMPUTED_VALUE"""),"Yes")</f>
        <v>Yes</v>
      </c>
      <c r="E98" s="49" t="str">
        <f ca="1">IFERROR(__xludf.DUMMYFUNCTION("""COMPUTED_VALUE"""),"Actionability")</f>
        <v>Actionability</v>
      </c>
      <c r="F98" s="49" t="str">
        <f ca="1">IFERROR(__xludf.DUMMYFUNCTION("""COMPUTED_VALUE"""),"Actionability")</f>
        <v>Actionability</v>
      </c>
      <c r="G98" s="49" t="str">
        <f ca="1">IFERROR(__xludf.DUMMYFUNCTION("""COMPUTED_VALUE"""),"Ramesh Vaidyanathan")</f>
        <v>Ramesh Vaidyanathan</v>
      </c>
      <c r="H98" s="49" t="str">
        <f ca="1">IFERROR(__xludf.DUMMYFUNCTION("""COMPUTED_VALUE"""),"vaid@rocketmail.com")</f>
        <v>vaid@rocketmail.com</v>
      </c>
      <c r="I98" s="49" t="str">
        <f ca="1">IFERROR(__xludf.DUMMYFUNCTION("""COMPUTED_VALUE"""),"Biotech Professional with Biochemistry and Genomics background and a Citizen Scientist")</f>
        <v>Biotech Professional with Biochemistry and Genomics background and a Citizen Scientist</v>
      </c>
      <c r="J98" s="49"/>
      <c r="K98" s="49" t="str">
        <f ca="1">IFERROR(__xludf.DUMMYFUNCTION("""COMPUTED_VALUE"""),"Clinical Actionability")</f>
        <v>Clinical Actionability</v>
      </c>
      <c r="L98" s="49"/>
      <c r="M98" s="49"/>
      <c r="N98" s="49"/>
      <c r="O98" s="49"/>
      <c r="P98" s="49"/>
      <c r="Q98" s="49"/>
      <c r="R98" s="49"/>
      <c r="S98" s="49"/>
      <c r="T98" s="49"/>
      <c r="U98" s="49"/>
      <c r="V98" s="49"/>
      <c r="W98" s="49"/>
      <c r="X98" s="49"/>
      <c r="Y98" s="49"/>
      <c r="Z98" s="49"/>
    </row>
    <row r="99" spans="1:26" ht="13">
      <c r="A99" s="49" t="str">
        <f ca="1">IFERROR(__xludf.DUMMYFUNCTION("""COMPUTED_VALUE"""),"Contacted")</f>
        <v>Contacted</v>
      </c>
      <c r="B99" s="49" t="str">
        <f ca="1">IFERROR(__xludf.DUMMYFUNCTION("""COMPUTED_VALUE"""),"")</f>
        <v/>
      </c>
      <c r="C99" s="98">
        <f ca="1">IFERROR(__xludf.DUMMYFUNCTION("""COMPUTED_VALUE"""),43598)</f>
        <v>43598</v>
      </c>
      <c r="D99" s="49" t="str">
        <f ca="1">IFERROR(__xludf.DUMMYFUNCTION("""COMPUTED_VALUE"""),"Yes")</f>
        <v>Yes</v>
      </c>
      <c r="E99" s="49" t="str">
        <f ca="1">IFERROR(__xludf.DUMMYFUNCTION("""COMPUTED_VALUE"""),"Somatic Cancer")</f>
        <v>Somatic Cancer</v>
      </c>
      <c r="F99" s="49" t="str">
        <f ca="1">IFERROR(__xludf.DUMMYFUNCTION("""COMPUTED_VALUE"""),"")</f>
        <v/>
      </c>
      <c r="G99" s="49" t="str">
        <f ca="1">IFERROR(__xludf.DUMMYFUNCTION("""COMPUTED_VALUE"""),"Ranjit Shetty")</f>
        <v>Ranjit Shetty</v>
      </c>
      <c r="H99" s="49" t="str">
        <f ca="1">IFERROR(__xludf.DUMMYFUNCTION("""COMPUTED_VALUE"""),"ranjit.shetty@novartis.com")</f>
        <v>ranjit.shetty@novartis.com</v>
      </c>
      <c r="I99" s="49" t="str">
        <f ca="1">IFERROR(__xludf.DUMMYFUNCTION("""COMPUTED_VALUE"""),"Scientific Researcher")</f>
        <v>Scientific Researcher</v>
      </c>
      <c r="J99" s="49"/>
      <c r="K99" s="49" t="str">
        <f ca="1">IFERROR(__xludf.DUMMYFUNCTION("""COMPUTED_VALUE"""),"Somatic Cancer")</f>
        <v>Somatic Cancer</v>
      </c>
      <c r="L99" s="49"/>
      <c r="M99" s="49"/>
      <c r="N99" s="49"/>
      <c r="O99" s="49"/>
      <c r="P99" s="49"/>
      <c r="Q99" s="49"/>
      <c r="R99" s="49"/>
      <c r="S99" s="49"/>
      <c r="T99" s="49"/>
      <c r="U99" s="49"/>
      <c r="V99" s="49"/>
      <c r="W99" s="49"/>
      <c r="X99" s="49"/>
      <c r="Y99" s="49"/>
      <c r="Z99" s="49"/>
    </row>
    <row r="100" spans="1:26" ht="13">
      <c r="A100" s="49" t="str">
        <f ca="1">IFERROR(__xludf.DUMMYFUNCTION("""COMPUTED_VALUE"""),"Contacted")</f>
        <v>Contacted</v>
      </c>
      <c r="B100" s="49" t="str">
        <f ca="1">IFERROR(__xludf.DUMMYFUNCTION("""COMPUTED_VALUE"""),"")</f>
        <v/>
      </c>
      <c r="C100" s="87">
        <f ca="1">IFERROR(__xludf.DUMMYFUNCTION("""COMPUTED_VALUE"""),43696)</f>
        <v>43696</v>
      </c>
      <c r="D100" s="49" t="str">
        <f ca="1">IFERROR(__xludf.DUMMYFUNCTION("""COMPUTED_VALUE"""),"Yes")</f>
        <v>Yes</v>
      </c>
      <c r="E100" s="49" t="str">
        <f ca="1">IFERROR(__xludf.DUMMYFUNCTION("""COMPUTED_VALUE"""),"Gene Disease Validity")</f>
        <v>Gene Disease Validity</v>
      </c>
      <c r="F100" s="49" t="str">
        <f ca="1">IFERROR(__xludf.DUMMYFUNCTION("""COMPUTED_VALUE"""),"")</f>
        <v/>
      </c>
      <c r="G100" s="49" t="str">
        <f ca="1">IFERROR(__xludf.DUMMYFUNCTION("""COMPUTED_VALUE"""),"Brooke H. Miller")</f>
        <v>Brooke H. Miller</v>
      </c>
      <c r="H100" s="49" t="str">
        <f ca="1">IFERROR(__xludf.DUMMYFUNCTION("""COMPUTED_VALUE"""),"brooke.h.miller@gmail.com")</f>
        <v>brooke.h.miller@gmail.com</v>
      </c>
      <c r="I100" s="49" t="str">
        <f ca="1">IFERROR(__xludf.DUMMYFUNCTION("""COMPUTED_VALUE"""),"Scientific Researcher")</f>
        <v>Scientific Researcher</v>
      </c>
      <c r="J100" s="49"/>
      <c r="K100" s="49" t="str">
        <f ca="1">IFERROR(__xludf.DUMMYFUNCTION("""COMPUTED_VALUE"""),"Gene-Disease Validity")</f>
        <v>Gene-Disease Validity</v>
      </c>
      <c r="L100" s="49"/>
      <c r="M100" s="49"/>
      <c r="N100" s="49"/>
      <c r="O100" s="49"/>
      <c r="P100" s="49"/>
      <c r="Q100" s="49"/>
      <c r="R100" s="49"/>
      <c r="S100" s="49"/>
      <c r="T100" s="49"/>
      <c r="U100" s="49"/>
      <c r="V100" s="49"/>
      <c r="W100" s="49"/>
      <c r="X100" s="49"/>
      <c r="Y100" s="49"/>
      <c r="Z100" s="49"/>
    </row>
    <row r="101" spans="1:26" ht="13">
      <c r="A101" s="49" t="str">
        <f ca="1">IFERROR(__xludf.DUMMYFUNCTION("""COMPUTED_VALUE"""),"Unresponsive")</f>
        <v>Unresponsive</v>
      </c>
      <c r="B101" s="49" t="str">
        <f ca="1">IFERROR(__xludf.DUMMYFUNCTION("""COMPUTED_VALUE"""),"")</f>
        <v/>
      </c>
      <c r="C101" s="49" t="str">
        <f ca="1">IFERROR(__xludf.DUMMYFUNCTION("""COMPUTED_VALUE"""),"")</f>
        <v/>
      </c>
      <c r="D101" s="49" t="str">
        <f ca="1">IFERROR(__xludf.DUMMYFUNCTION("""COMPUTED_VALUE"""),"No")</f>
        <v>No</v>
      </c>
      <c r="E101" s="49" t="str">
        <f ca="1">IFERROR(__xludf.DUMMYFUNCTION("""COMPUTED_VALUE"""),"Dosage Sensitivity")</f>
        <v>Dosage Sensitivity</v>
      </c>
      <c r="F101" s="49" t="str">
        <f ca="1">IFERROR(__xludf.DUMMYFUNCTION("""COMPUTED_VALUE"""),"")</f>
        <v/>
      </c>
      <c r="G101" s="49" t="str">
        <f ca="1">IFERROR(__xludf.DUMMYFUNCTION("""COMPUTED_VALUE"""),"Elizabeth Spiteri")</f>
        <v>Elizabeth Spiteri</v>
      </c>
      <c r="H101" s="49" t="str">
        <f ca="1">IFERROR(__xludf.DUMMYFUNCTION("""COMPUTED_VALUE"""),"espiteri@gmail.com")</f>
        <v>espiteri@gmail.com</v>
      </c>
      <c r="I101" s="49" t="str">
        <f ca="1">IFERROR(__xludf.DUMMYFUNCTION("""COMPUTED_VALUE"""),"Clinical laboratory geneticist")</f>
        <v>Clinical laboratory geneticist</v>
      </c>
      <c r="J101" s="49"/>
      <c r="K101" s="49" t="str">
        <f ca="1">IFERROR(__xludf.DUMMYFUNCTION("""COMPUTED_VALUE"""),"Dosage Sensitivity")</f>
        <v>Dosage Sensitivity</v>
      </c>
      <c r="L101" s="49"/>
      <c r="M101" s="49"/>
      <c r="N101" s="49"/>
      <c r="O101" s="49"/>
      <c r="P101" s="49"/>
      <c r="Q101" s="49"/>
      <c r="R101" s="49"/>
      <c r="S101" s="49"/>
      <c r="T101" s="49"/>
      <c r="U101" s="49"/>
      <c r="V101" s="49"/>
      <c r="W101" s="49"/>
      <c r="X101" s="49"/>
      <c r="Y101" s="49"/>
      <c r="Z101" s="49"/>
    </row>
    <row r="102" spans="1:26" ht="13">
      <c r="A102" s="49" t="str">
        <f ca="1">IFERROR(__xludf.DUMMYFUNCTION("""COMPUTED_VALUE"""),"Unresponsive")</f>
        <v>Unresponsive</v>
      </c>
      <c r="B102" s="49" t="str">
        <f ca="1">IFERROR(__xludf.DUMMYFUNCTION("""COMPUTED_VALUE"""),"")</f>
        <v/>
      </c>
      <c r="C102" s="49" t="str">
        <f ca="1">IFERROR(__xludf.DUMMYFUNCTION("""COMPUTED_VALUE"""),"")</f>
        <v/>
      </c>
      <c r="D102" s="49" t="str">
        <f ca="1">IFERROR(__xludf.DUMMYFUNCTION("""COMPUTED_VALUE"""),"No")</f>
        <v>No</v>
      </c>
      <c r="E102" s="49" t="str">
        <f ca="1">IFERROR(__xludf.DUMMYFUNCTION("""COMPUTED_VALUE"""),"Variant Pathogenicity")</f>
        <v>Variant Pathogenicity</v>
      </c>
      <c r="F102" s="49" t="str">
        <f ca="1">IFERROR(__xludf.DUMMYFUNCTION("""COMPUTED_VALUE"""),"")</f>
        <v/>
      </c>
      <c r="G102" s="49" t="str">
        <f ca="1">IFERROR(__xludf.DUMMYFUNCTION("""COMPUTED_VALUE"""),"Yasser Sullcahuaman")</f>
        <v>Yasser Sullcahuaman</v>
      </c>
      <c r="H102" s="49" t="str">
        <f ca="1">IFERROR(__xludf.DUMMYFUNCTION("""COMPUTED_VALUE"""),"ysullcahuaman@gmail.com")</f>
        <v>ysullcahuaman@gmail.com</v>
      </c>
      <c r="I102" s="49" t="str">
        <f ca="1">IFERROR(__xludf.DUMMYFUNCTION("""COMPUTED_VALUE"""),"Clinical Medical Geneticist")</f>
        <v>Clinical Medical Geneticist</v>
      </c>
      <c r="J102" s="49"/>
      <c r="K102" s="49" t="str">
        <f ca="1">IFERROR(__xludf.DUMMYFUNCTION("""COMPUTED_VALUE"""),"Variant Pathogenicity")</f>
        <v>Variant Pathogenicity</v>
      </c>
      <c r="L102" s="49"/>
      <c r="M102" s="49"/>
      <c r="N102" s="49"/>
      <c r="O102" s="49"/>
      <c r="P102" s="49"/>
      <c r="Q102" s="49"/>
      <c r="R102" s="49"/>
      <c r="S102" s="49"/>
      <c r="T102" s="49"/>
      <c r="U102" s="49"/>
      <c r="V102" s="49"/>
      <c r="W102" s="49"/>
      <c r="X102" s="49"/>
      <c r="Y102" s="49"/>
      <c r="Z102" s="49"/>
    </row>
    <row r="103" spans="1:26" ht="13">
      <c r="A103" s="49" t="str">
        <f ca="1">IFERROR(__xludf.DUMMYFUNCTION("""COMPUTED_VALUE"""),"Contacted")</f>
        <v>Contacted</v>
      </c>
      <c r="B103" s="49" t="str">
        <f ca="1">IFERROR(__xludf.DUMMYFUNCTION("""COMPUTED_VALUE"""),"")</f>
        <v/>
      </c>
      <c r="C103" s="98">
        <f ca="1">IFERROR(__xludf.DUMMYFUNCTION("""COMPUTED_VALUE"""),43581)</f>
        <v>43581</v>
      </c>
      <c r="D103" s="49" t="str">
        <f ca="1">IFERROR(__xludf.DUMMYFUNCTION("""COMPUTED_VALUE"""),"Yes")</f>
        <v>Yes</v>
      </c>
      <c r="E103" s="49" t="str">
        <f ca="1">IFERROR(__xludf.DUMMYFUNCTION("""COMPUTED_VALUE"""),"Somatic Cancer")</f>
        <v>Somatic Cancer</v>
      </c>
      <c r="F103" s="49" t="str">
        <f ca="1">IFERROR(__xludf.DUMMYFUNCTION("""COMPUTED_VALUE"""),"Pediatric cancer taskforce")</f>
        <v>Pediatric cancer taskforce</v>
      </c>
      <c r="G103" s="49" t="str">
        <f ca="1">IFERROR(__xludf.DUMMYFUNCTION("""COMPUTED_VALUE"""),"HUILING XU")</f>
        <v>HUILING XU</v>
      </c>
      <c r="H103" s="49" t="str">
        <f ca="1">IFERROR(__xludf.DUMMYFUNCTION("""COMPUTED_VALUE"""),"huiling.xu@petermac.org")</f>
        <v>huiling.xu@petermac.org</v>
      </c>
      <c r="I103" s="49" t="str">
        <f ca="1">IFERROR(__xludf.DUMMYFUNCTION("""COMPUTED_VALUE"""),"Variant Analyst/Scientist - Academic")</f>
        <v>Variant Analyst/Scientist - Academic</v>
      </c>
      <c r="J103" s="49"/>
      <c r="K103" s="49" t="str">
        <f ca="1">IFERROR(__xludf.DUMMYFUNCTION("""COMPUTED_VALUE"""),"Somatic Cancer")</f>
        <v>Somatic Cancer</v>
      </c>
      <c r="L103" s="49"/>
      <c r="M103" s="49"/>
      <c r="N103" s="49"/>
      <c r="O103" s="49"/>
      <c r="P103" s="49"/>
      <c r="Q103" s="49"/>
      <c r="R103" s="49"/>
      <c r="S103" s="49"/>
      <c r="T103" s="49"/>
      <c r="U103" s="49"/>
      <c r="V103" s="49"/>
      <c r="W103" s="49"/>
      <c r="X103" s="49"/>
      <c r="Y103" s="49"/>
      <c r="Z103" s="49"/>
    </row>
    <row r="104" spans="1:26" ht="13">
      <c r="A104" s="49" t="str">
        <f ca="1">IFERROR(__xludf.DUMMYFUNCTION("""COMPUTED_VALUE"""),"Contacted")</f>
        <v>Contacted</v>
      </c>
      <c r="B104" s="49" t="str">
        <f ca="1">IFERROR(__xludf.DUMMYFUNCTION("""COMPUTED_VALUE"""),"")</f>
        <v/>
      </c>
      <c r="C104" s="98">
        <f ca="1">IFERROR(__xludf.DUMMYFUNCTION("""COMPUTED_VALUE"""),43570)</f>
        <v>43570</v>
      </c>
      <c r="D104" s="49" t="str">
        <f ca="1">IFERROR(__xludf.DUMMYFUNCTION("""COMPUTED_VALUE"""),"Yes")</f>
        <v>Yes</v>
      </c>
      <c r="E104" s="49" t="str">
        <f ca="1">IFERROR(__xludf.DUMMYFUNCTION("""COMPUTED_VALUE"""),"Gene Disease Validity")</f>
        <v>Gene Disease Validity</v>
      </c>
      <c r="F104" s="49" t="str">
        <f ca="1">IFERROR(__xludf.DUMMYFUNCTION("""COMPUTED_VALUE"""),"Aminoacidopathy")</f>
        <v>Aminoacidopathy</v>
      </c>
      <c r="G104" s="49" t="str">
        <f ca="1">IFERROR(__xludf.DUMMYFUNCTION("""COMPUTED_VALUE"""),"Nilufar Inamdar")</f>
        <v>Nilufar Inamdar</v>
      </c>
      <c r="H104" s="49" t="str">
        <f ca="1">IFERROR(__xludf.DUMMYFUNCTION("""COMPUTED_VALUE"""),"inamdar555@yahoo.com")</f>
        <v>inamdar555@yahoo.com</v>
      </c>
      <c r="I104" s="49" t="str">
        <f ca="1">IFERROR(__xludf.DUMMYFUNCTION("""COMPUTED_VALUE"""),"Clinical laboratory geneticist")</f>
        <v>Clinical laboratory geneticist</v>
      </c>
      <c r="J104" s="49"/>
      <c r="K104" s="49" t="str">
        <f ca="1">IFERROR(__xludf.DUMMYFUNCTION("""COMPUTED_VALUE"""),"Gene-Disease Validity")</f>
        <v>Gene-Disease Validity</v>
      </c>
      <c r="L104" s="49"/>
      <c r="M104" s="49"/>
      <c r="N104" s="49"/>
      <c r="O104" s="49"/>
      <c r="P104" s="49"/>
      <c r="Q104" s="49"/>
      <c r="R104" s="49"/>
      <c r="S104" s="49"/>
      <c r="T104" s="49"/>
      <c r="U104" s="49"/>
      <c r="V104" s="49"/>
      <c r="W104" s="49"/>
      <c r="X104" s="49"/>
      <c r="Y104" s="49"/>
      <c r="Z104" s="49"/>
    </row>
    <row r="105" spans="1:26" ht="13">
      <c r="A105" s="49" t="str">
        <f ca="1">IFERROR(__xludf.DUMMYFUNCTION("""COMPUTED_VALUE"""),"Contacted")</f>
        <v>Contacted</v>
      </c>
      <c r="B105" s="49" t="str">
        <f ca="1">IFERROR(__xludf.DUMMYFUNCTION("""COMPUTED_VALUE"""),"")</f>
        <v/>
      </c>
      <c r="C105" s="88">
        <f ca="1">IFERROR(__xludf.DUMMYFUNCTION("""COMPUTED_VALUE"""),43608)</f>
        <v>43608</v>
      </c>
      <c r="D105" s="49" t="str">
        <f ca="1">IFERROR(__xludf.DUMMYFUNCTION("""COMPUTED_VALUE"""),"Yes")</f>
        <v>Yes</v>
      </c>
      <c r="E105" s="49" t="str">
        <f ca="1">IFERROR(__xludf.DUMMYFUNCTION("""COMPUTED_VALUE"""),"Variant Pathogenicity")</f>
        <v>Variant Pathogenicity</v>
      </c>
      <c r="F105" s="49" t="str">
        <f ca="1">IFERROR(__xludf.DUMMYFUNCTION("""COMPUTED_VALUE"""),"ACADVL")</f>
        <v>ACADVL</v>
      </c>
      <c r="G105" s="49" t="str">
        <f ca="1">IFERROR(__xludf.DUMMYFUNCTION("""COMPUTED_VALUE"""),"Michael McLachlan")</f>
        <v>Michael McLachlan</v>
      </c>
      <c r="H105" s="49" t="str">
        <f ca="1">IFERROR(__xludf.DUMMYFUNCTION("""COMPUTED_VALUE"""),"mikejmclachlan@gmail.com")</f>
        <v>mikejmclachlan@gmail.com</v>
      </c>
      <c r="I105" s="49" t="str">
        <f ca="1">IFERROR(__xludf.DUMMYFUNCTION("""COMPUTED_VALUE"""),"Scientific Researcher")</f>
        <v>Scientific Researcher</v>
      </c>
      <c r="J105" s="49"/>
      <c r="K105" s="49" t="str">
        <f ca="1">IFERROR(__xludf.DUMMYFUNCTION("""COMPUTED_VALUE"""),"Variant Pathogenicity")</f>
        <v>Variant Pathogenicity</v>
      </c>
      <c r="L105" s="49"/>
      <c r="M105" s="49"/>
      <c r="N105" s="49"/>
      <c r="O105" s="49"/>
      <c r="P105" s="49"/>
      <c r="Q105" s="49"/>
      <c r="R105" s="49"/>
      <c r="S105" s="49"/>
      <c r="T105" s="49"/>
      <c r="U105" s="49"/>
      <c r="V105" s="49"/>
      <c r="W105" s="49"/>
      <c r="X105" s="49"/>
      <c r="Y105" s="49"/>
      <c r="Z105" s="49"/>
    </row>
    <row r="106" spans="1:26" ht="13">
      <c r="A106" s="49" t="str">
        <f ca="1">IFERROR(__xludf.DUMMYFUNCTION("""COMPUTED_VALUE"""),"Unresponsive")</f>
        <v>Unresponsive</v>
      </c>
      <c r="B106" s="49" t="str">
        <f ca="1">IFERROR(__xludf.DUMMYFUNCTION("""COMPUTED_VALUE"""),"")</f>
        <v/>
      </c>
      <c r="C106" s="49" t="str">
        <f ca="1">IFERROR(__xludf.DUMMYFUNCTION("""COMPUTED_VALUE"""),"")</f>
        <v/>
      </c>
      <c r="D106" s="49" t="str">
        <f ca="1">IFERROR(__xludf.DUMMYFUNCTION("""COMPUTED_VALUE"""),"No")</f>
        <v>No</v>
      </c>
      <c r="E106" s="49" t="str">
        <f ca="1">IFERROR(__xludf.DUMMYFUNCTION("""COMPUTED_VALUE"""),"Gene Disease Validity")</f>
        <v>Gene Disease Validity</v>
      </c>
      <c r="F106" s="49" t="str">
        <f ca="1">IFERROR(__xludf.DUMMYFUNCTION("""COMPUTED_VALUE"""),"")</f>
        <v/>
      </c>
      <c r="G106" s="49" t="str">
        <f ca="1">IFERROR(__xludf.DUMMYFUNCTION("""COMPUTED_VALUE"""),"Anand Narayanan")</f>
        <v>Anand Narayanan</v>
      </c>
      <c r="H106" s="49" t="str">
        <f ca="1">IFERROR(__xludf.DUMMYFUNCTION("""COMPUTED_VALUE"""),"anandnpillai@gmail.com")</f>
        <v>anandnpillai@gmail.com</v>
      </c>
      <c r="I106" s="49" t="str">
        <f ca="1">IFERROR(__xludf.DUMMYFUNCTION("""COMPUTED_VALUE"""),"Post Doc/Resident/Fellow (MD and/or PhD)")</f>
        <v>Post Doc/Resident/Fellow (MD and/or PhD)</v>
      </c>
      <c r="J106" s="49"/>
      <c r="K106" s="49" t="str">
        <f ca="1">IFERROR(__xludf.DUMMYFUNCTION("""COMPUTED_VALUE"""),"Gene-Disease Validity")</f>
        <v>Gene-Disease Validity</v>
      </c>
      <c r="L106" s="49"/>
      <c r="M106" s="49"/>
      <c r="N106" s="49"/>
      <c r="O106" s="49"/>
      <c r="P106" s="49"/>
      <c r="Q106" s="49"/>
      <c r="R106" s="49"/>
      <c r="S106" s="49"/>
      <c r="T106" s="49"/>
      <c r="U106" s="49"/>
      <c r="V106" s="49"/>
      <c r="W106" s="49"/>
      <c r="X106" s="49"/>
      <c r="Y106" s="49"/>
      <c r="Z106" s="49"/>
    </row>
    <row r="107" spans="1:26" ht="13">
      <c r="A107" s="49" t="str">
        <f ca="1">IFERROR(__xludf.DUMMYFUNCTION("""COMPUTED_VALUE"""),"Contacted")</f>
        <v>Contacted</v>
      </c>
      <c r="B107" s="49" t="str">
        <f ca="1">IFERROR(__xludf.DUMMYFUNCTION("""COMPUTED_VALUE"""),"")</f>
        <v/>
      </c>
      <c r="C107" s="87">
        <f ca="1">IFERROR(__xludf.DUMMYFUNCTION("""COMPUTED_VALUE"""),43585)</f>
        <v>43585</v>
      </c>
      <c r="D107" s="49" t="str">
        <f ca="1">IFERROR(__xludf.DUMMYFUNCTION("""COMPUTED_VALUE"""),"Yes")</f>
        <v>Yes</v>
      </c>
      <c r="E107" s="49" t="str">
        <f ca="1">IFERROR(__xludf.DUMMYFUNCTION("""COMPUTED_VALUE"""),"Gene Disease Validity")</f>
        <v>Gene Disease Validity</v>
      </c>
      <c r="F107" s="49" t="str">
        <f ca="1">IFERROR(__xludf.DUMMYFUNCTION("""COMPUTED_VALUE"""),"")</f>
        <v/>
      </c>
      <c r="G107" s="49" t="str">
        <f ca="1">IFERROR(__xludf.DUMMYFUNCTION("""COMPUTED_VALUE"""),"Urjit Patel")</f>
        <v>Urjit Patel</v>
      </c>
      <c r="H107" s="49" t="str">
        <f ca="1">IFERROR(__xludf.DUMMYFUNCTION("""COMPUTED_VALUE"""),"urjit.x.patel@questdiagnostics.com")</f>
        <v>urjit.x.patel@questdiagnostics.com</v>
      </c>
      <c r="I107" s="49" t="str">
        <f ca="1">IFERROR(__xludf.DUMMYFUNCTION("""COMPUTED_VALUE"""),"Variant Analyst/Scientist - Industry")</f>
        <v>Variant Analyst/Scientist - Industry</v>
      </c>
      <c r="J107" s="49"/>
      <c r="K107" s="49" t="str">
        <f ca="1">IFERROR(__xludf.DUMMYFUNCTION("""COMPUTED_VALUE"""),"Gene-Disease Validity")</f>
        <v>Gene-Disease Validity</v>
      </c>
      <c r="L107" s="49"/>
      <c r="M107" s="49"/>
      <c r="N107" s="49"/>
      <c r="O107" s="49"/>
      <c r="P107" s="49"/>
      <c r="Q107" s="49"/>
      <c r="R107" s="49"/>
      <c r="S107" s="49"/>
      <c r="T107" s="49"/>
      <c r="U107" s="49"/>
      <c r="V107" s="49"/>
      <c r="W107" s="49"/>
      <c r="X107" s="49"/>
      <c r="Y107" s="49"/>
      <c r="Z107" s="49"/>
    </row>
    <row r="108" spans="1:26" ht="13">
      <c r="A108" s="49" t="str">
        <f ca="1">IFERROR(__xludf.DUMMYFUNCTION("""COMPUTED_VALUE"""),"Unresponsive")</f>
        <v>Unresponsive</v>
      </c>
      <c r="B108" s="49" t="str">
        <f ca="1">IFERROR(__xludf.DUMMYFUNCTION("""COMPUTED_VALUE"""),"")</f>
        <v/>
      </c>
      <c r="C108" s="99">
        <f ca="1">IFERROR(__xludf.DUMMYFUNCTION("""COMPUTED_VALUE"""),43567)</f>
        <v>43567</v>
      </c>
      <c r="D108" s="49" t="str">
        <f ca="1">IFERROR(__xludf.DUMMYFUNCTION("""COMPUTED_VALUE"""),"Yes")</f>
        <v>Yes</v>
      </c>
      <c r="E108" s="49" t="str">
        <f ca="1">IFERROR(__xludf.DUMMYFUNCTION("""COMPUTED_VALUE"""),"Actionability")</f>
        <v>Actionability</v>
      </c>
      <c r="F108" s="49" t="str">
        <f ca="1">IFERROR(__xludf.DUMMYFUNCTION("""COMPUTED_VALUE"""),"Actionability")</f>
        <v>Actionability</v>
      </c>
      <c r="G108" s="49" t="str">
        <f ca="1">IFERROR(__xludf.DUMMYFUNCTION("""COMPUTED_VALUE"""),"Lesley Northrop")</f>
        <v>Lesley Northrop</v>
      </c>
      <c r="H108" s="49" t="str">
        <f ca="1">IFERROR(__xludf.DUMMYFUNCTION("""COMPUTED_VALUE"""),"lesleyenorthrop@gmail.com")</f>
        <v>lesleyenorthrop@gmail.com</v>
      </c>
      <c r="I108" s="49" t="str">
        <f ca="1">IFERROR(__xludf.DUMMYFUNCTION("""COMPUTED_VALUE"""),"Clinical laboratory geneticist")</f>
        <v>Clinical laboratory geneticist</v>
      </c>
      <c r="J108" s="49"/>
      <c r="K108" s="49" t="str">
        <f ca="1">IFERROR(__xludf.DUMMYFUNCTION("""COMPUTED_VALUE"""),"Clinical Actionability")</f>
        <v>Clinical Actionability</v>
      </c>
      <c r="L108" s="49"/>
      <c r="M108" s="49"/>
      <c r="N108" s="49"/>
      <c r="O108" s="49"/>
      <c r="P108" s="49"/>
      <c r="Q108" s="49"/>
      <c r="R108" s="49"/>
      <c r="S108" s="49"/>
      <c r="T108" s="49"/>
      <c r="U108" s="49"/>
      <c r="V108" s="49"/>
      <c r="W108" s="49"/>
      <c r="X108" s="49"/>
      <c r="Y108" s="49"/>
      <c r="Z108" s="49"/>
    </row>
    <row r="109" spans="1:26" ht="13">
      <c r="A109" s="49" t="str">
        <f ca="1">IFERROR(__xludf.DUMMYFUNCTION("""COMPUTED_VALUE"""),"Unresponsive")</f>
        <v>Unresponsive</v>
      </c>
      <c r="B109" s="49" t="str">
        <f ca="1">IFERROR(__xludf.DUMMYFUNCTION("""COMPUTED_VALUE"""),"")</f>
        <v/>
      </c>
      <c r="C109" s="49" t="str">
        <f ca="1">IFERROR(__xludf.DUMMYFUNCTION("""COMPUTED_VALUE"""),"")</f>
        <v/>
      </c>
      <c r="D109" s="49" t="str">
        <f ca="1">IFERROR(__xludf.DUMMYFUNCTION("""COMPUTED_VALUE"""),"No")</f>
        <v>No</v>
      </c>
      <c r="E109" s="49" t="str">
        <f ca="1">IFERROR(__xludf.DUMMYFUNCTION("""COMPUTED_VALUE"""),"Dosage Sensitivity")</f>
        <v>Dosage Sensitivity</v>
      </c>
      <c r="F109" s="49" t="str">
        <f ca="1">IFERROR(__xludf.DUMMYFUNCTION("""COMPUTED_VALUE"""),"")</f>
        <v/>
      </c>
      <c r="G109" s="49" t="str">
        <f ca="1">IFERROR(__xludf.DUMMYFUNCTION("""COMPUTED_VALUE"""),"Hafsa Amtul")</f>
        <v>Hafsa Amtul</v>
      </c>
      <c r="H109" s="49" t="str">
        <f ca="1">IFERROR(__xludf.DUMMYFUNCTION("""COMPUTED_VALUE"""),"hafsa.amtul2502@gmail.com")</f>
        <v>hafsa.amtul2502@gmail.com</v>
      </c>
      <c r="I109" s="49" t="str">
        <f ca="1">IFERROR(__xludf.DUMMYFUNCTION("""COMPUTED_VALUE"""),"Scientific Researcher")</f>
        <v>Scientific Researcher</v>
      </c>
      <c r="J109" s="49"/>
      <c r="K109" s="49" t="str">
        <f ca="1">IFERROR(__xludf.DUMMYFUNCTION("""COMPUTED_VALUE"""),"Dosage Sensitivity")</f>
        <v>Dosage Sensitivity</v>
      </c>
      <c r="L109" s="49"/>
      <c r="M109" s="49"/>
      <c r="N109" s="49"/>
      <c r="O109" s="49"/>
      <c r="P109" s="49"/>
      <c r="Q109" s="49"/>
      <c r="R109" s="49"/>
      <c r="S109" s="49"/>
      <c r="T109" s="49"/>
      <c r="U109" s="49"/>
      <c r="V109" s="49"/>
      <c r="W109" s="49"/>
      <c r="X109" s="49"/>
      <c r="Y109" s="49"/>
      <c r="Z109" s="49"/>
    </row>
    <row r="110" spans="1:26" ht="13">
      <c r="A110" s="49" t="str">
        <f ca="1">IFERROR(__xludf.DUMMYFUNCTION("""COMPUTED_VALUE"""),"Contacted")</f>
        <v>Contacted</v>
      </c>
      <c r="B110" s="49" t="str">
        <f ca="1">IFERROR(__xludf.DUMMYFUNCTION("""COMPUTED_VALUE"""),"")</f>
        <v/>
      </c>
      <c r="C110" s="98">
        <f ca="1">IFERROR(__xludf.DUMMYFUNCTION("""COMPUTED_VALUE"""),43570)</f>
        <v>43570</v>
      </c>
      <c r="D110" s="49" t="str">
        <f ca="1">IFERROR(__xludf.DUMMYFUNCTION("""COMPUTED_VALUE"""),"Yes")</f>
        <v>Yes</v>
      </c>
      <c r="E110" s="49" t="str">
        <f ca="1">IFERROR(__xludf.DUMMYFUNCTION("""COMPUTED_VALUE"""),"Gene Disease Validity")</f>
        <v>Gene Disease Validity</v>
      </c>
      <c r="F110" s="49" t="str">
        <f ca="1">IFERROR(__xludf.DUMMYFUNCTION("""COMPUTED_VALUE"""),"Epilepsy")</f>
        <v>Epilepsy</v>
      </c>
      <c r="G110" s="49" t="str">
        <f ca="1">IFERROR(__xludf.DUMMYFUNCTION("""COMPUTED_VALUE"""),"Angela Pickart")</f>
        <v>Angela Pickart</v>
      </c>
      <c r="H110" s="49" t="str">
        <f ca="1">IFERROR(__xludf.DUMMYFUNCTION("""COMPUTED_VALUE"""),"pickart.angela@mayo.edu")</f>
        <v>pickart.angela@mayo.edu</v>
      </c>
      <c r="I110" s="49" t="str">
        <f ca="1">IFERROR(__xludf.DUMMYFUNCTION("""COMPUTED_VALUE"""),"Genetic counselor")</f>
        <v>Genetic counselor</v>
      </c>
      <c r="J110" s="49"/>
      <c r="K110" s="49" t="str">
        <f ca="1">IFERROR(__xludf.DUMMYFUNCTION("""COMPUTED_VALUE"""),"Gene-Disease Validity")</f>
        <v>Gene-Disease Validity</v>
      </c>
      <c r="L110" s="49"/>
      <c r="M110" s="49"/>
      <c r="N110" s="49"/>
      <c r="O110" s="49"/>
      <c r="P110" s="49"/>
      <c r="Q110" s="49"/>
      <c r="R110" s="49"/>
      <c r="S110" s="49"/>
      <c r="T110" s="49"/>
      <c r="U110" s="49"/>
      <c r="V110" s="49"/>
      <c r="W110" s="49"/>
      <c r="X110" s="49"/>
      <c r="Y110" s="49"/>
      <c r="Z110" s="49"/>
    </row>
    <row r="111" spans="1:26" ht="13">
      <c r="A111" s="49" t="str">
        <f ca="1">IFERROR(__xludf.DUMMYFUNCTION("""COMPUTED_VALUE"""),"Assigned")</f>
        <v>Assigned</v>
      </c>
      <c r="B111" s="49" t="str">
        <f ca="1">IFERROR(__xludf.DUMMYFUNCTION("""COMPUTED_VALUE"""),"")</f>
        <v/>
      </c>
      <c r="C111" s="87">
        <f ca="1">IFERROR(__xludf.DUMMYFUNCTION("""COMPUTED_VALUE"""),43605)</f>
        <v>43605</v>
      </c>
      <c r="D111" s="49" t="str">
        <f ca="1">IFERROR(__xludf.DUMMYFUNCTION("""COMPUTED_VALUE"""),"Yes")</f>
        <v>Yes</v>
      </c>
      <c r="E111" s="49" t="str">
        <f ca="1">IFERROR(__xludf.DUMMYFUNCTION("""COMPUTED_VALUE"""),"Variant Pathogenicity")</f>
        <v>Variant Pathogenicity</v>
      </c>
      <c r="F111" s="49" t="str">
        <f ca="1">IFERROR(__xludf.DUMMYFUNCTION("""COMPUTED_VALUE"""),"Storage Disease")</f>
        <v>Storage Disease</v>
      </c>
      <c r="G111" s="49" t="str">
        <f ca="1">IFERROR(__xludf.DUMMYFUNCTION("""COMPUTED_VALUE"""),"Jing Xie")</f>
        <v>Jing Xie</v>
      </c>
      <c r="H111" s="49" t="str">
        <f ca="1">IFERROR(__xludf.DUMMYFUNCTION("""COMPUTED_VALUE"""),"jingxiegene@gmail.com")</f>
        <v>jingxiegene@gmail.com</v>
      </c>
      <c r="I111" s="49" t="str">
        <f ca="1">IFERROR(__xludf.DUMMYFUNCTION("""COMPUTED_VALUE"""),"Clinical laboratory geneticist")</f>
        <v>Clinical laboratory geneticist</v>
      </c>
      <c r="J111" s="49"/>
      <c r="K111" s="49" t="str">
        <f ca="1">IFERROR(__xludf.DUMMYFUNCTION("""COMPUTED_VALUE"""),"Variant Pathogenicity")</f>
        <v>Variant Pathogenicity</v>
      </c>
      <c r="L111" s="49"/>
      <c r="M111" s="49"/>
      <c r="N111" s="49"/>
      <c r="O111" s="49"/>
      <c r="P111" s="49"/>
      <c r="Q111" s="49"/>
      <c r="R111" s="49"/>
      <c r="S111" s="49"/>
      <c r="T111" s="49"/>
      <c r="U111" s="49"/>
      <c r="V111" s="49"/>
      <c r="W111" s="49"/>
      <c r="X111" s="49"/>
      <c r="Y111" s="49"/>
      <c r="Z111" s="49"/>
    </row>
    <row r="112" spans="1:26" ht="13">
      <c r="A112" s="49" t="str">
        <f ca="1">IFERROR(__xludf.DUMMYFUNCTION("""COMPUTED_VALUE"""),"Contacted")</f>
        <v>Contacted</v>
      </c>
      <c r="B112" s="49" t="str">
        <f ca="1">IFERROR(__xludf.DUMMYFUNCTION("""COMPUTED_VALUE"""),"")</f>
        <v/>
      </c>
      <c r="C112" s="87">
        <f ca="1">IFERROR(__xludf.DUMMYFUNCTION("""COMPUTED_VALUE"""),43605)</f>
        <v>43605</v>
      </c>
      <c r="D112" s="49" t="str">
        <f ca="1">IFERROR(__xludf.DUMMYFUNCTION("""COMPUTED_VALUE"""),"Yes")</f>
        <v>Yes</v>
      </c>
      <c r="E112" s="49" t="str">
        <f ca="1">IFERROR(__xludf.DUMMYFUNCTION("""COMPUTED_VALUE"""),"Variant Pathogenicity")</f>
        <v>Variant Pathogenicity</v>
      </c>
      <c r="F112" s="49" t="str">
        <f ca="1">IFERROR(__xludf.DUMMYFUNCTION("""COMPUTED_VALUE"""),"RASopathy")</f>
        <v>RASopathy</v>
      </c>
      <c r="G112" s="49" t="str">
        <f ca="1">IFERROR(__xludf.DUMMYFUNCTION("""COMPUTED_VALUE"""),"Kathryn Kronquist")</f>
        <v>Kathryn Kronquist</v>
      </c>
      <c r="H112" s="49" t="str">
        <f ca="1">IFERROR(__xludf.DUMMYFUNCTION("""COMPUTED_VALUE"""),"Kathryn.Kronquist@childrenscolorado.org")</f>
        <v>Kathryn.Kronquist@childrenscolorado.org</v>
      </c>
      <c r="I112" s="49" t="str">
        <f ca="1">IFERROR(__xludf.DUMMYFUNCTION("""COMPUTED_VALUE"""),"Clinical laboratory geneticist")</f>
        <v>Clinical laboratory geneticist</v>
      </c>
      <c r="J112" s="49"/>
      <c r="K112" s="49" t="str">
        <f ca="1">IFERROR(__xludf.DUMMYFUNCTION("""COMPUTED_VALUE"""),"Variant Pathogenicity")</f>
        <v>Variant Pathogenicity</v>
      </c>
      <c r="L112" s="49"/>
      <c r="M112" s="49"/>
      <c r="N112" s="49"/>
      <c r="O112" s="49"/>
      <c r="P112" s="49"/>
      <c r="Q112" s="49"/>
      <c r="R112" s="49"/>
      <c r="S112" s="49"/>
      <c r="T112" s="49"/>
      <c r="U112" s="49"/>
      <c r="V112" s="49"/>
      <c r="W112" s="49"/>
      <c r="X112" s="49"/>
      <c r="Y112" s="49"/>
      <c r="Z112" s="49"/>
    </row>
    <row r="113" spans="1:26" ht="13">
      <c r="A113" s="49" t="str">
        <f ca="1">IFERROR(__xludf.DUMMYFUNCTION("""COMPUTED_VALUE"""),"Contacted")</f>
        <v>Contacted</v>
      </c>
      <c r="B113" s="49" t="str">
        <f ca="1">IFERROR(__xludf.DUMMYFUNCTION("""COMPUTED_VALUE"""),"")</f>
        <v/>
      </c>
      <c r="C113" s="49" t="str">
        <f ca="1">IFERROR(__xludf.DUMMYFUNCTION("""COMPUTED_VALUE"""),"")</f>
        <v/>
      </c>
      <c r="D113" s="49" t="str">
        <f ca="1">IFERROR(__xludf.DUMMYFUNCTION("""COMPUTED_VALUE"""),"No")</f>
        <v>No</v>
      </c>
      <c r="E113" s="49" t="str">
        <f ca="1">IFERROR(__xludf.DUMMYFUNCTION("""COMPUTED_VALUE"""),"Baseline")</f>
        <v>Baseline</v>
      </c>
      <c r="F113" s="49" t="str">
        <f ca="1">IFERROR(__xludf.DUMMYFUNCTION("""COMPUTED_VALUE"""),"")</f>
        <v/>
      </c>
      <c r="G113" s="49" t="str">
        <f ca="1">IFERROR(__xludf.DUMMYFUNCTION("""COMPUTED_VALUE"""),"Kristen L Deak")</f>
        <v>Kristen L Deak</v>
      </c>
      <c r="H113" s="49" t="str">
        <f ca="1">IFERROR(__xludf.DUMMYFUNCTION("""COMPUTED_VALUE"""),"kristen.deak@duke.edu")</f>
        <v>kristen.deak@duke.edu</v>
      </c>
      <c r="I113" s="49" t="str">
        <f ca="1">IFERROR(__xludf.DUMMYFUNCTION("""COMPUTED_VALUE"""),"Clinical laboratory geneticist")</f>
        <v>Clinical laboratory geneticist</v>
      </c>
      <c r="J113" s="49"/>
      <c r="K113" s="49" t="str">
        <f ca="1">IFERROR(__xludf.DUMMYFUNCTION("""COMPUTED_VALUE"""),"Variant Pathogenicity")</f>
        <v>Variant Pathogenicity</v>
      </c>
      <c r="L113" s="49"/>
      <c r="M113" s="49"/>
      <c r="N113" s="49"/>
      <c r="O113" s="49"/>
      <c r="P113" s="49"/>
      <c r="Q113" s="49"/>
      <c r="R113" s="49"/>
      <c r="S113" s="49"/>
      <c r="T113" s="49"/>
      <c r="U113" s="49"/>
      <c r="V113" s="49"/>
      <c r="W113" s="49"/>
      <c r="X113" s="49"/>
      <c r="Y113" s="49"/>
      <c r="Z113" s="49"/>
    </row>
    <row r="114" spans="1:26" ht="13">
      <c r="A114" s="49" t="str">
        <f ca="1">IFERROR(__xludf.DUMMYFUNCTION("""COMPUTED_VALUE"""),"Contacted")</f>
        <v>Contacted</v>
      </c>
      <c r="B114" s="49" t="str">
        <f ca="1">IFERROR(__xludf.DUMMYFUNCTION("""COMPUTED_VALUE"""),"")</f>
        <v/>
      </c>
      <c r="C114" s="98">
        <f ca="1">IFERROR(__xludf.DUMMYFUNCTION("""COMPUTED_VALUE"""),43581)</f>
        <v>43581</v>
      </c>
      <c r="D114" s="49" t="str">
        <f ca="1">IFERROR(__xludf.DUMMYFUNCTION("""COMPUTED_VALUE"""),"Yes")</f>
        <v>Yes</v>
      </c>
      <c r="E114" s="49" t="str">
        <f ca="1">IFERROR(__xludf.DUMMYFUNCTION("""COMPUTED_VALUE"""),"Somatic Cancer")</f>
        <v>Somatic Cancer</v>
      </c>
      <c r="F114" s="49" t="str">
        <f ca="1">IFERROR(__xludf.DUMMYFUNCTION("""COMPUTED_VALUE"""),"")</f>
        <v/>
      </c>
      <c r="G114" s="49" t="str">
        <f ca="1">IFERROR(__xludf.DUMMYFUNCTION("""COMPUTED_VALUE"""),"Venkataswamy Eswarachari")</f>
        <v>Venkataswamy Eswarachari</v>
      </c>
      <c r="H114" s="49" t="str">
        <f ca="1">IFERROR(__xludf.DUMMYFUNCTION("""COMPUTED_VALUE"""),"venkataswamy@medgenome.com")</f>
        <v>venkataswamy@medgenome.com</v>
      </c>
      <c r="I114" s="49" t="str">
        <f ca="1">IFERROR(__xludf.DUMMYFUNCTION("""COMPUTED_VALUE"""),"Clinical laboratory geneticist")</f>
        <v>Clinical laboratory geneticist</v>
      </c>
      <c r="J114" s="49"/>
      <c r="K114" s="49" t="str">
        <f ca="1">IFERROR(__xludf.DUMMYFUNCTION("""COMPUTED_VALUE"""),"Somatic Cancer")</f>
        <v>Somatic Cancer</v>
      </c>
      <c r="L114" s="49"/>
      <c r="M114" s="49"/>
      <c r="N114" s="49"/>
      <c r="O114" s="49"/>
      <c r="P114" s="49"/>
      <c r="Q114" s="49"/>
      <c r="R114" s="49"/>
      <c r="S114" s="49"/>
      <c r="T114" s="49"/>
      <c r="U114" s="49"/>
      <c r="V114" s="49"/>
      <c r="W114" s="49"/>
      <c r="X114" s="49"/>
      <c r="Y114" s="49"/>
      <c r="Z114" s="49"/>
    </row>
    <row r="115" spans="1:26" ht="13">
      <c r="A115" s="49" t="str">
        <f ca="1">IFERROR(__xludf.DUMMYFUNCTION("""COMPUTED_VALUE"""),"Assigned")</f>
        <v>Assigned</v>
      </c>
      <c r="B115" s="49" t="str">
        <f ca="1">IFERROR(__xludf.DUMMYFUNCTION("""COMPUTED_VALUE"""),"")</f>
        <v/>
      </c>
      <c r="C115" s="88">
        <f ca="1">IFERROR(__xludf.DUMMYFUNCTION("""COMPUTED_VALUE"""),43626)</f>
        <v>43626</v>
      </c>
      <c r="D115" s="49" t="str">
        <f ca="1">IFERROR(__xludf.DUMMYFUNCTION("""COMPUTED_VALUE"""),"Yes")</f>
        <v>Yes</v>
      </c>
      <c r="E115" s="49" t="str">
        <f ca="1">IFERROR(__xludf.DUMMYFUNCTION("""COMPUTED_VALUE"""),"Variant Pathogenicity")</f>
        <v>Variant Pathogenicity</v>
      </c>
      <c r="F115" s="49" t="str">
        <f ca="1">IFERROR(__xludf.DUMMYFUNCTION("""COMPUTED_VALUE"""),"Hearing Loss")</f>
        <v>Hearing Loss</v>
      </c>
      <c r="G115" s="49" t="str">
        <f ca="1">IFERROR(__xludf.DUMMYFUNCTION("""COMPUTED_VALUE"""),"Barbara Vona")</f>
        <v>Barbara Vona</v>
      </c>
      <c r="H115" s="49" t="str">
        <f ca="1">IFERROR(__xludf.DUMMYFUNCTION("""COMPUTED_VALUE"""),"barbara.vona@uni-tuebingen.de")</f>
        <v>barbara.vona@uni-tuebingen.de</v>
      </c>
      <c r="I115" s="49" t="str">
        <f ca="1">IFERROR(__xludf.DUMMYFUNCTION("""COMPUTED_VALUE"""),"Half variant analyst, half scientific researcher")</f>
        <v>Half variant analyst, half scientific researcher</v>
      </c>
      <c r="J115" s="49"/>
      <c r="K115" s="49" t="str">
        <f ca="1">IFERROR(__xludf.DUMMYFUNCTION("""COMPUTED_VALUE"""),"Variant Pathogenicity")</f>
        <v>Variant Pathogenicity</v>
      </c>
      <c r="L115" s="49"/>
      <c r="M115" s="49"/>
      <c r="N115" s="49"/>
      <c r="O115" s="49"/>
      <c r="P115" s="49"/>
      <c r="Q115" s="49"/>
      <c r="R115" s="49"/>
      <c r="S115" s="49"/>
      <c r="T115" s="49"/>
      <c r="U115" s="49"/>
      <c r="V115" s="49"/>
      <c r="W115" s="49"/>
      <c r="X115" s="49"/>
      <c r="Y115" s="49"/>
      <c r="Z115" s="49"/>
    </row>
    <row r="116" spans="1:26" ht="13">
      <c r="A116" s="49" t="str">
        <f ca="1">IFERROR(__xludf.DUMMYFUNCTION("""COMPUTED_VALUE"""),"Assigned")</f>
        <v>Assigned</v>
      </c>
      <c r="B116" s="49" t="str">
        <f ca="1">IFERROR(__xludf.DUMMYFUNCTION("""COMPUTED_VALUE"""),"")</f>
        <v/>
      </c>
      <c r="C116" s="87">
        <f ca="1">IFERROR(__xludf.DUMMYFUNCTION("""COMPUTED_VALUE"""),43605)</f>
        <v>43605</v>
      </c>
      <c r="D116" s="49" t="str">
        <f ca="1">IFERROR(__xludf.DUMMYFUNCTION("""COMPUTED_VALUE"""),"Yes")</f>
        <v>Yes</v>
      </c>
      <c r="E116" s="49" t="str">
        <f ca="1">IFERROR(__xludf.DUMMYFUNCTION("""COMPUTED_VALUE"""),"Variant Pathogenicity")</f>
        <v>Variant Pathogenicity</v>
      </c>
      <c r="F116" s="49" t="str">
        <f ca="1">IFERROR(__xludf.DUMMYFUNCTION("""COMPUTED_VALUE"""),"PAH")</f>
        <v>PAH</v>
      </c>
      <c r="G116" s="49" t="str">
        <f ca="1">IFERROR(__xludf.DUMMYFUNCTION("""COMPUTED_VALUE"""),"Viridiana Murillo")</f>
        <v>Viridiana Murillo</v>
      </c>
      <c r="H116" s="49" t="str">
        <f ca="1">IFERROR(__xludf.DUMMYFUNCTION("""COMPUTED_VALUE"""),"vmurillo18@students.kgi.edu")</f>
        <v>vmurillo18@students.kgi.edu</v>
      </c>
      <c r="I116" s="49" t="str">
        <f ca="1">IFERROR(__xludf.DUMMYFUNCTION("""COMPUTED_VALUE"""),"Graduate Student")</f>
        <v>Graduate Student</v>
      </c>
      <c r="J116" s="49"/>
      <c r="K116" s="49" t="str">
        <f ca="1">IFERROR(__xludf.DUMMYFUNCTION("""COMPUTED_VALUE"""),"Variant Pathogenicity")</f>
        <v>Variant Pathogenicity</v>
      </c>
      <c r="L116" s="49"/>
      <c r="M116" s="49"/>
      <c r="N116" s="49"/>
      <c r="O116" s="49"/>
      <c r="P116" s="49"/>
      <c r="Q116" s="49"/>
      <c r="R116" s="49"/>
      <c r="S116" s="49"/>
      <c r="T116" s="49"/>
      <c r="U116" s="49"/>
      <c r="V116" s="49"/>
      <c r="W116" s="49"/>
      <c r="X116" s="49"/>
      <c r="Y116" s="49"/>
      <c r="Z116" s="49"/>
    </row>
    <row r="117" spans="1:26" ht="13">
      <c r="A117" s="49" t="str">
        <f ca="1">IFERROR(__xludf.DUMMYFUNCTION("""COMPUTED_VALUE"""),"Unresponsive")</f>
        <v>Unresponsive</v>
      </c>
      <c r="B117" s="49" t="str">
        <f ca="1">IFERROR(__xludf.DUMMYFUNCTION("""COMPUTED_VALUE"""),"")</f>
        <v/>
      </c>
      <c r="C117" s="87">
        <f ca="1">IFERROR(__xludf.DUMMYFUNCTION("""COMPUTED_VALUE"""),43605)</f>
        <v>43605</v>
      </c>
      <c r="D117" s="49" t="str">
        <f ca="1">IFERROR(__xludf.DUMMYFUNCTION("""COMPUTED_VALUE"""),"Yes")</f>
        <v>Yes</v>
      </c>
      <c r="E117" s="49" t="str">
        <f ca="1">IFERROR(__xludf.DUMMYFUNCTION("""COMPUTED_VALUE"""),"Variant Pathogenicity")</f>
        <v>Variant Pathogenicity</v>
      </c>
      <c r="F117" s="49" t="str">
        <f ca="1">IFERROR(__xludf.DUMMYFUNCTION("""COMPUTED_VALUE"""),"")</f>
        <v/>
      </c>
      <c r="G117" s="49" t="str">
        <f ca="1">IFERROR(__xludf.DUMMYFUNCTION("""COMPUTED_VALUE"""),"Sharon Suchy")</f>
        <v>Sharon Suchy</v>
      </c>
      <c r="H117" s="49" t="str">
        <f ca="1">IFERROR(__xludf.DUMMYFUNCTION("""COMPUTED_VALUE"""),"ssuchy@genedx.com")</f>
        <v>ssuchy@genedx.com</v>
      </c>
      <c r="I117" s="49" t="str">
        <f ca="1">IFERROR(__xludf.DUMMYFUNCTION("""COMPUTED_VALUE"""),"Clinical laboratory geneticist")</f>
        <v>Clinical laboratory geneticist</v>
      </c>
      <c r="J117" s="49"/>
      <c r="K117" s="49" t="str">
        <f ca="1">IFERROR(__xludf.DUMMYFUNCTION("""COMPUTED_VALUE"""),"Variant Pathogenicity")</f>
        <v>Variant Pathogenicity</v>
      </c>
      <c r="L117" s="49"/>
      <c r="M117" s="49"/>
      <c r="N117" s="49"/>
      <c r="O117" s="49"/>
      <c r="P117" s="49"/>
      <c r="Q117" s="49"/>
      <c r="R117" s="49"/>
      <c r="S117" s="49"/>
      <c r="T117" s="49"/>
      <c r="U117" s="49"/>
      <c r="V117" s="49"/>
      <c r="W117" s="49"/>
      <c r="X117" s="49"/>
      <c r="Y117" s="49"/>
      <c r="Z117" s="49"/>
    </row>
    <row r="118" spans="1:26" ht="13">
      <c r="A118" s="49" t="str">
        <f ca="1">IFERROR(__xludf.DUMMYFUNCTION("""COMPUTED_VALUE"""),"Contacted")</f>
        <v>Contacted</v>
      </c>
      <c r="B118" s="49" t="str">
        <f ca="1">IFERROR(__xludf.DUMMYFUNCTION("""COMPUTED_VALUE"""),"8/12/19, 12/20/19")</f>
        <v>8/12/19, 12/20/19</v>
      </c>
      <c r="C118" s="49" t="str">
        <f ca="1">IFERROR(__xludf.DUMMYFUNCTION("""COMPUTED_VALUE"""),"")</f>
        <v/>
      </c>
      <c r="D118" s="49" t="str">
        <f ca="1">IFERROR(__xludf.DUMMYFUNCTION("""COMPUTED_VALUE"""),"No")</f>
        <v>No</v>
      </c>
      <c r="E118" s="49" t="str">
        <f ca="1">IFERROR(__xludf.DUMMYFUNCTION("""COMPUTED_VALUE"""),"Gene Disease Validity")</f>
        <v>Gene Disease Validity</v>
      </c>
      <c r="F118" s="49" t="str">
        <f ca="1">IFERROR(__xludf.DUMMYFUNCTION("""COMPUTED_VALUE"""),"")</f>
        <v/>
      </c>
      <c r="G118" s="49" t="str">
        <f ca="1">IFERROR(__xludf.DUMMYFUNCTION("""COMPUTED_VALUE"""),"GIFTY BHAT")</f>
        <v>GIFTY BHAT</v>
      </c>
      <c r="H118" s="49" t="str">
        <f ca="1">IFERROR(__xludf.DUMMYFUNCTION("""COMPUTED_VALUE"""),"drgiftybhat@gmail.com")</f>
        <v>drgiftybhat@gmail.com</v>
      </c>
      <c r="I118" s="49" t="str">
        <f ca="1">IFERROR(__xludf.DUMMYFUNCTION("""COMPUTED_VALUE"""),"Clinical Medical Geneticist")</f>
        <v>Clinical Medical Geneticist</v>
      </c>
      <c r="J118" s="49"/>
      <c r="K118" s="49" t="str">
        <f ca="1">IFERROR(__xludf.DUMMYFUNCTION("""COMPUTED_VALUE"""),"Gene-Disease Validity")</f>
        <v>Gene-Disease Validity</v>
      </c>
      <c r="L118" s="49"/>
      <c r="M118" s="49"/>
      <c r="N118" s="49"/>
      <c r="O118" s="49"/>
      <c r="P118" s="49"/>
      <c r="Q118" s="49"/>
      <c r="R118" s="49"/>
      <c r="S118" s="49"/>
      <c r="T118" s="49"/>
      <c r="U118" s="49"/>
      <c r="V118" s="49"/>
      <c r="W118" s="49"/>
      <c r="X118" s="49"/>
      <c r="Y118" s="49"/>
      <c r="Z118" s="49"/>
    </row>
    <row r="119" spans="1:26" ht="13">
      <c r="A119" s="49" t="str">
        <f ca="1">IFERROR(__xludf.DUMMYFUNCTION("""COMPUTED_VALUE"""),"Assigned")</f>
        <v>Assigned</v>
      </c>
      <c r="B119" s="49" t="str">
        <f ca="1">IFERROR(__xludf.DUMMYFUNCTION("""COMPUTED_VALUE"""),"")</f>
        <v/>
      </c>
      <c r="C119" s="87">
        <f ca="1">IFERROR(__xludf.DUMMYFUNCTION("""COMPUTED_VALUE"""),43608)</f>
        <v>43608</v>
      </c>
      <c r="D119" s="49" t="str">
        <f ca="1">IFERROR(__xludf.DUMMYFUNCTION("""COMPUTED_VALUE"""),"Yes")</f>
        <v>Yes</v>
      </c>
      <c r="E119" s="49" t="str">
        <f ca="1">IFERROR(__xludf.DUMMYFUNCTION("""COMPUTED_VALUE"""),"Variant Pathogenicity")</f>
        <v>Variant Pathogenicity</v>
      </c>
      <c r="F119" s="49" t="str">
        <f ca="1">IFERROR(__xludf.DUMMYFUNCTION("""COMPUTED_VALUE"""),"Cardiomyopathy")</f>
        <v>Cardiomyopathy</v>
      </c>
      <c r="G119" s="49" t="str">
        <f ca="1">IFERROR(__xludf.DUMMYFUNCTION("""COMPUTED_VALUE"""),"Theodore E. Wilson")</f>
        <v>Theodore E. Wilson</v>
      </c>
      <c r="H119" s="49" t="str">
        <f ca="1">IFERROR(__xludf.DUMMYFUNCTION("""COMPUTED_VALUE"""),"theowils@iu.edu")</f>
        <v>theowils@iu.edu</v>
      </c>
      <c r="I119" s="49" t="str">
        <f ca="1">IFERROR(__xludf.DUMMYFUNCTION("""COMPUTED_VALUE"""),"Clinical Medical Geneticist")</f>
        <v>Clinical Medical Geneticist</v>
      </c>
      <c r="J119" s="49"/>
      <c r="K119" s="49" t="str">
        <f ca="1">IFERROR(__xludf.DUMMYFUNCTION("""COMPUTED_VALUE"""),"Variant Pathogenicity")</f>
        <v>Variant Pathogenicity</v>
      </c>
      <c r="L119" s="49"/>
      <c r="M119" s="49"/>
      <c r="N119" s="49"/>
      <c r="O119" s="49"/>
      <c r="P119" s="49"/>
      <c r="Q119" s="49"/>
      <c r="R119" s="49"/>
      <c r="S119" s="49"/>
      <c r="T119" s="49"/>
      <c r="U119" s="49"/>
      <c r="V119" s="49"/>
      <c r="W119" s="49"/>
      <c r="X119" s="49"/>
      <c r="Y119" s="49"/>
      <c r="Z119" s="49"/>
    </row>
    <row r="120" spans="1:26" ht="13">
      <c r="A120" s="49" t="str">
        <f ca="1">IFERROR(__xludf.DUMMYFUNCTION("""COMPUTED_VALUE"""),"Assigned")</f>
        <v>Assigned</v>
      </c>
      <c r="B120" s="49" t="str">
        <f ca="1">IFERROR(__xludf.DUMMYFUNCTION("""COMPUTED_VALUE"""),"")</f>
        <v/>
      </c>
      <c r="C120" s="87">
        <f ca="1">IFERROR(__xludf.DUMMYFUNCTION("""COMPUTED_VALUE"""),43605)</f>
        <v>43605</v>
      </c>
      <c r="D120" s="49" t="str">
        <f ca="1">IFERROR(__xludf.DUMMYFUNCTION("""COMPUTED_VALUE"""),"Yes")</f>
        <v>Yes</v>
      </c>
      <c r="E120" s="49" t="str">
        <f ca="1">IFERROR(__xludf.DUMMYFUNCTION("""COMPUTED_VALUE"""),"Variant Pathogenicity")</f>
        <v>Variant Pathogenicity</v>
      </c>
      <c r="F120" s="49" t="str">
        <f ca="1">IFERROR(__xludf.DUMMYFUNCTION("""COMPUTED_VALUE"""),"Storage Disease")</f>
        <v>Storage Disease</v>
      </c>
      <c r="G120" s="49" t="str">
        <f ca="1">IFERROR(__xludf.DUMMYFUNCTION("""COMPUTED_VALUE"""),"Christina Y Hung")</f>
        <v>Christina Y Hung</v>
      </c>
      <c r="H120" s="49" t="str">
        <f ca="1">IFERROR(__xludf.DUMMYFUNCTION("""COMPUTED_VALUE"""),"christina.hung@childrens.harvard.edu")</f>
        <v>christina.hung@childrens.harvard.edu</v>
      </c>
      <c r="I120" s="49" t="str">
        <f ca="1">IFERROR(__xludf.DUMMYFUNCTION("""COMPUTED_VALUE"""),"Scientific Researcher")</f>
        <v>Scientific Researcher</v>
      </c>
      <c r="J120" s="49"/>
      <c r="K120" s="49" t="str">
        <f ca="1">IFERROR(__xludf.DUMMYFUNCTION("""COMPUTED_VALUE"""),"Variant Pathogenicity")</f>
        <v>Variant Pathogenicity</v>
      </c>
      <c r="L120" s="49"/>
      <c r="M120" s="49"/>
      <c r="N120" s="49"/>
      <c r="O120" s="49"/>
      <c r="P120" s="49"/>
      <c r="Q120" s="49"/>
      <c r="R120" s="49"/>
      <c r="S120" s="49"/>
      <c r="T120" s="49"/>
      <c r="U120" s="49"/>
      <c r="V120" s="49"/>
      <c r="W120" s="49"/>
      <c r="X120" s="49"/>
      <c r="Y120" s="49"/>
      <c r="Z120" s="49"/>
    </row>
    <row r="121" spans="1:26" ht="13">
      <c r="A121" s="49" t="str">
        <f ca="1">IFERROR(__xludf.DUMMYFUNCTION("""COMPUTED_VALUE"""),"Unresponsive")</f>
        <v>Unresponsive</v>
      </c>
      <c r="B121" s="49" t="str">
        <f ca="1">IFERROR(__xludf.DUMMYFUNCTION("""COMPUTED_VALUE"""),"7-9-19 (status changed to unresponsive)")</f>
        <v>7-9-19 (status changed to unresponsive)</v>
      </c>
      <c r="C121" s="49" t="str">
        <f ca="1">IFERROR(__xludf.DUMMYFUNCTION("""COMPUTED_VALUE"""),"")</f>
        <v/>
      </c>
      <c r="D121" s="49" t="str">
        <f ca="1">IFERROR(__xludf.DUMMYFUNCTION("""COMPUTED_VALUE"""),"No")</f>
        <v>No</v>
      </c>
      <c r="E121" s="49" t="str">
        <f ca="1">IFERROR(__xludf.DUMMYFUNCTION("""COMPUTED_VALUE"""),"Actionability")</f>
        <v>Actionability</v>
      </c>
      <c r="F121" s="49" t="str">
        <f ca="1">IFERROR(__xludf.DUMMYFUNCTION("""COMPUTED_VALUE"""),"")</f>
        <v/>
      </c>
      <c r="G121" s="49" t="str">
        <f ca="1">IFERROR(__xludf.DUMMYFUNCTION("""COMPUTED_VALUE"""),"Alka Chaubey")</f>
        <v>Alka Chaubey</v>
      </c>
      <c r="H121" s="49" t="str">
        <f ca="1">IFERROR(__xludf.DUMMYFUNCTION("""COMPUTED_VALUE"""),"")</f>
        <v/>
      </c>
      <c r="I121" s="49" t="str">
        <f ca="1">IFERROR(__xludf.DUMMYFUNCTION("""COMPUTED_VALUE"""),"Clinical laboratory geneticist")</f>
        <v>Clinical laboratory geneticist</v>
      </c>
      <c r="J121" s="49"/>
      <c r="K121" s="49" t="str">
        <f ca="1">IFERROR(__xludf.DUMMYFUNCTION("""COMPUTED_VALUE"""),"Clinical Actionability")</f>
        <v>Clinical Actionability</v>
      </c>
      <c r="L121" s="49"/>
      <c r="M121" s="49"/>
      <c r="N121" s="49"/>
      <c r="O121" s="49"/>
      <c r="P121" s="49"/>
      <c r="Q121" s="49"/>
      <c r="R121" s="49"/>
      <c r="S121" s="49"/>
      <c r="T121" s="49"/>
      <c r="U121" s="49"/>
      <c r="V121" s="49"/>
      <c r="W121" s="49"/>
      <c r="X121" s="49"/>
      <c r="Y121" s="49"/>
      <c r="Z121" s="49"/>
    </row>
    <row r="122" spans="1:26" ht="13">
      <c r="A122" s="49" t="str">
        <f ca="1">IFERROR(__xludf.DUMMYFUNCTION("""COMPUTED_VALUE"""),"Assigned")</f>
        <v>Assigned</v>
      </c>
      <c r="B122" s="49" t="str">
        <f ca="1">IFERROR(__xludf.DUMMYFUNCTION("""COMPUTED_VALUE"""),"")</f>
        <v/>
      </c>
      <c r="C122" s="87">
        <f ca="1">IFERROR(__xludf.DUMMYFUNCTION("""COMPUTED_VALUE"""),43605)</f>
        <v>43605</v>
      </c>
      <c r="D122" s="49" t="str">
        <f ca="1">IFERROR(__xludf.DUMMYFUNCTION("""COMPUTED_VALUE"""),"Yes")</f>
        <v>Yes</v>
      </c>
      <c r="E122" s="49" t="str">
        <f ca="1">IFERROR(__xludf.DUMMYFUNCTION("""COMPUTED_VALUE"""),"Variant Pathogenicity")</f>
        <v>Variant Pathogenicity</v>
      </c>
      <c r="F122" s="49" t="str">
        <f ca="1">IFERROR(__xludf.DUMMYFUNCTION("""COMPUTED_VALUE"""),"Brain Malformations")</f>
        <v>Brain Malformations</v>
      </c>
      <c r="G122" s="49" t="str">
        <f ca="1">IFERROR(__xludf.DUMMYFUNCTION("""COMPUTED_VALUE"""),"Junyu Zhang")</f>
        <v>Junyu Zhang</v>
      </c>
      <c r="H122" s="49" t="str">
        <f ca="1">IFERROR(__xludf.DUMMYFUNCTION("""COMPUTED_VALUE"""),"junyuzhang@hotmail.com")</f>
        <v>junyuzhang@hotmail.com</v>
      </c>
      <c r="I122" s="49" t="str">
        <f ca="1">IFERROR(__xludf.DUMMYFUNCTION("""COMPUTED_VALUE"""),"Clinical laboratory geneticist")</f>
        <v>Clinical laboratory geneticist</v>
      </c>
      <c r="J122" s="49"/>
      <c r="K122" s="49" t="str">
        <f ca="1">IFERROR(__xludf.DUMMYFUNCTION("""COMPUTED_VALUE"""),"Variant Pathogenicity")</f>
        <v>Variant Pathogenicity</v>
      </c>
      <c r="L122" s="49"/>
      <c r="M122" s="49"/>
      <c r="N122" s="49"/>
      <c r="O122" s="49"/>
      <c r="P122" s="49"/>
      <c r="Q122" s="49"/>
      <c r="R122" s="49"/>
      <c r="S122" s="49"/>
      <c r="T122" s="49"/>
      <c r="U122" s="49"/>
      <c r="V122" s="49"/>
      <c r="W122" s="49"/>
      <c r="X122" s="49"/>
      <c r="Y122" s="49"/>
      <c r="Z122" s="49"/>
    </row>
    <row r="123" spans="1:26" ht="13">
      <c r="A123" s="49" t="str">
        <f ca="1">IFERROR(__xludf.DUMMYFUNCTION("""COMPUTED_VALUE"""),"Contacted")</f>
        <v>Contacted</v>
      </c>
      <c r="B123" s="49" t="str">
        <f ca="1">IFERROR(__xludf.DUMMYFUNCTION("""COMPUTED_VALUE"""),"")</f>
        <v/>
      </c>
      <c r="C123" s="87">
        <f ca="1">IFERROR(__xludf.DUMMYFUNCTION("""COMPUTED_VALUE"""),43585)</f>
        <v>43585</v>
      </c>
      <c r="D123" s="49" t="str">
        <f ca="1">IFERROR(__xludf.DUMMYFUNCTION("""COMPUTED_VALUE"""),"Yes")</f>
        <v>Yes</v>
      </c>
      <c r="E123" s="49" t="str">
        <f ca="1">IFERROR(__xludf.DUMMYFUNCTION("""COMPUTED_VALUE"""),"Gene Disease Validity")</f>
        <v>Gene Disease Validity</v>
      </c>
      <c r="F123" s="49" t="str">
        <f ca="1">IFERROR(__xludf.DUMMYFUNCTION("""COMPUTED_VALUE"""),"Hemo/Thrombo")</f>
        <v>Hemo/Thrombo</v>
      </c>
      <c r="G123" s="49" t="str">
        <f ca="1">IFERROR(__xludf.DUMMYFUNCTION("""COMPUTED_VALUE"""),"Jing Zhang")</f>
        <v>Jing Zhang</v>
      </c>
      <c r="H123" s="49" t="str">
        <f ca="1">IFERROR(__xludf.DUMMYFUNCTION("""COMPUTED_VALUE"""),"jzhang@wuxinextcode.com")</f>
        <v>jzhang@wuxinextcode.com</v>
      </c>
      <c r="I123" s="49" t="str">
        <f ca="1">IFERROR(__xludf.DUMMYFUNCTION("""COMPUTED_VALUE"""),"Clinical laboratory geneticist")</f>
        <v>Clinical laboratory geneticist</v>
      </c>
      <c r="J123" s="49"/>
      <c r="K123" s="49" t="str">
        <f ca="1">IFERROR(__xludf.DUMMYFUNCTION("""COMPUTED_VALUE"""),"Gene-Disease Validity")</f>
        <v>Gene-Disease Validity</v>
      </c>
      <c r="L123" s="49"/>
      <c r="M123" s="49"/>
      <c r="N123" s="49"/>
      <c r="O123" s="49"/>
      <c r="P123" s="49"/>
      <c r="Q123" s="49"/>
      <c r="R123" s="49"/>
      <c r="S123" s="49"/>
      <c r="T123" s="49"/>
      <c r="U123" s="49"/>
      <c r="V123" s="49"/>
      <c r="W123" s="49"/>
      <c r="X123" s="49"/>
      <c r="Y123" s="49"/>
      <c r="Z123" s="49"/>
    </row>
    <row r="124" spans="1:26" ht="13">
      <c r="A124" s="49" t="str">
        <f ca="1">IFERROR(__xludf.DUMMYFUNCTION("""COMPUTED_VALUE"""),"Unresponsive")</f>
        <v>Unresponsive</v>
      </c>
      <c r="B124" s="49" t="str">
        <f ca="1">IFERROR(__xludf.DUMMYFUNCTION("""COMPUTED_VALUE"""),"")</f>
        <v/>
      </c>
      <c r="C124" s="49" t="str">
        <f ca="1">IFERROR(__xludf.DUMMYFUNCTION("""COMPUTED_VALUE"""),"")</f>
        <v/>
      </c>
      <c r="D124" s="49" t="str">
        <f ca="1">IFERROR(__xludf.DUMMYFUNCTION("""COMPUTED_VALUE"""),"No")</f>
        <v>No</v>
      </c>
      <c r="E124" s="49" t="str">
        <f ca="1">IFERROR(__xludf.DUMMYFUNCTION("""COMPUTED_VALUE"""),"Gene Disease Validity")</f>
        <v>Gene Disease Validity</v>
      </c>
      <c r="F124" s="49" t="str">
        <f ca="1">IFERROR(__xludf.DUMMYFUNCTION("""COMPUTED_VALUE"""),"")</f>
        <v/>
      </c>
      <c r="G124" s="49" t="str">
        <f ca="1">IFERROR(__xludf.DUMMYFUNCTION("""COMPUTED_VALUE"""),"Mary-Alice Abbott")</f>
        <v>Mary-Alice Abbott</v>
      </c>
      <c r="H124" s="49" t="str">
        <f ca="1">IFERROR(__xludf.DUMMYFUNCTION("""COMPUTED_VALUE"""),"Maryalice.abbott@baystatehealth.org")</f>
        <v>Maryalice.abbott@baystatehealth.org</v>
      </c>
      <c r="I124" s="49" t="str">
        <f ca="1">IFERROR(__xludf.DUMMYFUNCTION("""COMPUTED_VALUE"""),"Clinical Medical Geneticist")</f>
        <v>Clinical Medical Geneticist</v>
      </c>
      <c r="J124" s="49"/>
      <c r="K124" s="49" t="str">
        <f ca="1">IFERROR(__xludf.DUMMYFUNCTION("""COMPUTED_VALUE"""),"Gene-Disease Validity")</f>
        <v>Gene-Disease Validity</v>
      </c>
      <c r="L124" s="49"/>
      <c r="M124" s="49"/>
      <c r="N124" s="49"/>
      <c r="O124" s="49"/>
      <c r="P124" s="49"/>
      <c r="Q124" s="49"/>
      <c r="R124" s="49"/>
      <c r="S124" s="49"/>
      <c r="T124" s="49"/>
      <c r="U124" s="49"/>
      <c r="V124" s="49"/>
      <c r="W124" s="49"/>
      <c r="X124" s="49"/>
      <c r="Y124" s="49"/>
      <c r="Z124" s="49"/>
    </row>
    <row r="125" spans="1:26" ht="13">
      <c r="A125" s="49" t="str">
        <f ca="1">IFERROR(__xludf.DUMMYFUNCTION("""COMPUTED_VALUE"""),"Assigned")</f>
        <v>Assigned</v>
      </c>
      <c r="B125" s="49" t="str">
        <f ca="1">IFERROR(__xludf.DUMMYFUNCTION("""COMPUTED_VALUE"""),"")</f>
        <v/>
      </c>
      <c r="C125" s="87">
        <f ca="1">IFERROR(__xludf.DUMMYFUNCTION("""COMPUTED_VALUE"""),43605)</f>
        <v>43605</v>
      </c>
      <c r="D125" s="49" t="str">
        <f ca="1">IFERROR(__xludf.DUMMYFUNCTION("""COMPUTED_VALUE"""),"Yes")</f>
        <v>Yes</v>
      </c>
      <c r="E125" s="49" t="str">
        <f ca="1">IFERROR(__xludf.DUMMYFUNCTION("""COMPUTED_VALUE"""),"Variant Pathogenicity")</f>
        <v>Variant Pathogenicity</v>
      </c>
      <c r="F125" s="49" t="str">
        <f ca="1">IFERROR(__xludf.DUMMYFUNCTION("""COMPUTED_VALUE"""),"TP53")</f>
        <v>TP53</v>
      </c>
      <c r="G125" s="49" t="str">
        <f ca="1">IFERROR(__xludf.DUMMYFUNCTION("""COMPUTED_VALUE"""),"Emily Higgs")</f>
        <v>Emily Higgs</v>
      </c>
      <c r="H125" s="49" t="str">
        <f ca="1">IFERROR(__xludf.DUMMYFUNCTION("""COMPUTED_VALUE"""),"ehiggs@stanford.edu")</f>
        <v>ehiggs@stanford.edu</v>
      </c>
      <c r="I125" s="49" t="str">
        <f ca="1">IFERROR(__xludf.DUMMYFUNCTION("""COMPUTED_VALUE"""),"Variant Analyst/Scientist - Academic")</f>
        <v>Variant Analyst/Scientist - Academic</v>
      </c>
      <c r="J125" s="49"/>
      <c r="K125" s="49" t="str">
        <f ca="1">IFERROR(__xludf.DUMMYFUNCTION("""COMPUTED_VALUE"""),"Variant Pathogenicity")</f>
        <v>Variant Pathogenicity</v>
      </c>
      <c r="L125" s="49"/>
      <c r="M125" s="49"/>
      <c r="N125" s="49"/>
      <c r="O125" s="49"/>
      <c r="P125" s="49"/>
      <c r="Q125" s="49"/>
      <c r="R125" s="49"/>
      <c r="S125" s="49"/>
      <c r="T125" s="49"/>
      <c r="U125" s="49"/>
      <c r="V125" s="49"/>
      <c r="W125" s="49"/>
      <c r="X125" s="49"/>
      <c r="Y125" s="49"/>
      <c r="Z125" s="49"/>
    </row>
    <row r="126" spans="1:26" ht="13">
      <c r="A126" s="49" t="str">
        <f ca="1">IFERROR(__xludf.DUMMYFUNCTION("""COMPUTED_VALUE"""),"Contacted")</f>
        <v>Contacted</v>
      </c>
      <c r="B126" s="88">
        <f ca="1">IFERROR(__xludf.DUMMYFUNCTION("""COMPUTED_VALUE"""),43819)</f>
        <v>43819</v>
      </c>
      <c r="C126" s="49" t="str">
        <f ca="1">IFERROR(__xludf.DUMMYFUNCTION("""COMPUTED_VALUE"""),"")</f>
        <v/>
      </c>
      <c r="D126" s="49" t="str">
        <f ca="1">IFERROR(__xludf.DUMMYFUNCTION("""COMPUTED_VALUE"""),"No")</f>
        <v>No</v>
      </c>
      <c r="E126" s="49" t="str">
        <f ca="1">IFERROR(__xludf.DUMMYFUNCTION("""COMPUTED_VALUE"""),"Variant Pathogenicity")</f>
        <v>Variant Pathogenicity</v>
      </c>
      <c r="F126" s="49" t="str">
        <f ca="1">IFERROR(__xludf.DUMMYFUNCTION("""COMPUTED_VALUE"""),"")</f>
        <v/>
      </c>
      <c r="G126" s="49" t="str">
        <f ca="1">IFERROR(__xludf.DUMMYFUNCTION("""COMPUTED_VALUE"""),"Matt Wright")</f>
        <v>Matt Wright</v>
      </c>
      <c r="H126" s="49" t="str">
        <f ca="1">IFERROR(__xludf.DUMMYFUNCTION("""COMPUTED_VALUE"""),"wrightmw@stanford.edu")</f>
        <v>wrightmw@stanford.edu</v>
      </c>
      <c r="I126" s="49" t="str">
        <f ca="1">IFERROR(__xludf.DUMMYFUNCTION("""COMPUTED_VALUE"""),"Biocurator")</f>
        <v>Biocurator</v>
      </c>
      <c r="J126" s="49"/>
      <c r="K126" s="49" t="str">
        <f ca="1">IFERROR(__xludf.DUMMYFUNCTION("""COMPUTED_VALUE"""),"Variant Pathogenicity")</f>
        <v>Variant Pathogenicity</v>
      </c>
      <c r="L126" s="49"/>
      <c r="M126" s="49"/>
      <c r="N126" s="49"/>
      <c r="O126" s="49"/>
      <c r="P126" s="49"/>
      <c r="Q126" s="49"/>
      <c r="R126" s="49"/>
      <c r="S126" s="49"/>
      <c r="T126" s="49"/>
      <c r="U126" s="49"/>
      <c r="V126" s="49"/>
      <c r="W126" s="49"/>
      <c r="X126" s="49"/>
      <c r="Y126" s="49"/>
      <c r="Z126" s="49"/>
    </row>
    <row r="127" spans="1:26" ht="13">
      <c r="A127" s="49" t="str">
        <f ca="1">IFERROR(__xludf.DUMMYFUNCTION("""COMPUTED_VALUE"""),"Declined")</f>
        <v>Declined</v>
      </c>
      <c r="B127" s="49" t="str">
        <f ca="1">IFERROR(__xludf.DUMMYFUNCTION("""COMPUTED_VALUE"""),"")</f>
        <v/>
      </c>
      <c r="C127" s="98">
        <f ca="1">IFERROR(__xludf.DUMMYFUNCTION("""COMPUTED_VALUE"""),43570)</f>
        <v>43570</v>
      </c>
      <c r="D127" s="49" t="str">
        <f ca="1">IFERROR(__xludf.DUMMYFUNCTION("""COMPUTED_VALUE"""),"Yes")</f>
        <v>Yes</v>
      </c>
      <c r="E127" s="49" t="str">
        <f ca="1">IFERROR(__xludf.DUMMYFUNCTION("""COMPUTED_VALUE"""),"Gene Disease Validity")</f>
        <v>Gene Disease Validity</v>
      </c>
      <c r="F127" s="49" t="str">
        <f ca="1">IFERROR(__xludf.DUMMYFUNCTION("""COMPUTED_VALUE"""),"Hemo/Thrombo")</f>
        <v>Hemo/Thrombo</v>
      </c>
      <c r="G127" s="49" t="str">
        <f ca="1">IFERROR(__xludf.DUMMYFUNCTION("""COMPUTED_VALUE"""),"Samantha Chill")</f>
        <v>Samantha Chill</v>
      </c>
      <c r="H127" s="49" t="str">
        <f ca="1">IFERROR(__xludf.DUMMYFUNCTION("""COMPUTED_VALUE"""),"slsevilla@gmail.com")</f>
        <v>slsevilla@gmail.com</v>
      </c>
      <c r="I127" s="49" t="str">
        <f ca="1">IFERROR(__xludf.DUMMYFUNCTION("""COMPUTED_VALUE"""),"Graduate Student")</f>
        <v>Graduate Student</v>
      </c>
      <c r="J127" s="49"/>
      <c r="K127" s="49" t="str">
        <f ca="1">IFERROR(__xludf.DUMMYFUNCTION("""COMPUTED_VALUE"""),"Gene-Disease Validity")</f>
        <v>Gene-Disease Validity</v>
      </c>
      <c r="L127" s="49"/>
      <c r="M127" s="49"/>
      <c r="N127" s="49"/>
      <c r="O127" s="49"/>
      <c r="P127" s="49"/>
      <c r="Q127" s="49"/>
      <c r="R127" s="49"/>
      <c r="S127" s="49"/>
      <c r="T127" s="49"/>
      <c r="U127" s="49"/>
      <c r="V127" s="49"/>
      <c r="W127" s="49"/>
      <c r="X127" s="49"/>
      <c r="Y127" s="49"/>
      <c r="Z127" s="49"/>
    </row>
    <row r="128" spans="1:26" ht="13">
      <c r="A128" s="49" t="str">
        <f ca="1">IFERROR(__xludf.DUMMYFUNCTION("""COMPUTED_VALUE"""),"Contacted")</f>
        <v>Contacted</v>
      </c>
      <c r="B128" s="49" t="str">
        <f ca="1">IFERROR(__xludf.DUMMYFUNCTION("""COMPUTED_VALUE"""),"")</f>
        <v/>
      </c>
      <c r="C128" s="87">
        <f ca="1">IFERROR(__xludf.DUMMYFUNCTION("""COMPUTED_VALUE"""),43585)</f>
        <v>43585</v>
      </c>
      <c r="D128" s="49" t="str">
        <f ca="1">IFERROR(__xludf.DUMMYFUNCTION("""COMPUTED_VALUE"""),"Yes")</f>
        <v>Yes</v>
      </c>
      <c r="E128" s="49" t="str">
        <f ca="1">IFERROR(__xludf.DUMMYFUNCTION("""COMPUTED_VALUE"""),"Gene Disease Validity")</f>
        <v>Gene Disease Validity</v>
      </c>
      <c r="F128" s="49" t="str">
        <f ca="1">IFERROR(__xludf.DUMMYFUNCTION("""COMPUTED_VALUE"""),"ID/Autism")</f>
        <v>ID/Autism</v>
      </c>
      <c r="G128" s="49" t="str">
        <f ca="1">IFERROR(__xludf.DUMMYFUNCTION("""COMPUTED_VALUE"""),"HECTOR RODRIGO MENDEZ")</f>
        <v>HECTOR RODRIGO MENDEZ</v>
      </c>
      <c r="H128" s="49" t="str">
        <f ca="1">IFERROR(__xludf.DUMMYFUNCTION("""COMPUTED_VALUE"""),"rodrigomendezh@gmail.com")</f>
        <v>rodrigomendezh@gmail.com</v>
      </c>
      <c r="I128" s="49" t="str">
        <f ca="1">IFERROR(__xludf.DUMMYFUNCTION("""COMPUTED_VALUE"""),"Clinical Medical Geneticist")</f>
        <v>Clinical Medical Geneticist</v>
      </c>
      <c r="J128" s="49"/>
      <c r="K128" s="49" t="str">
        <f ca="1">IFERROR(__xludf.DUMMYFUNCTION("""COMPUTED_VALUE"""),"Gene-Disease Validity")</f>
        <v>Gene-Disease Validity</v>
      </c>
      <c r="L128" s="49"/>
      <c r="M128" s="49"/>
      <c r="N128" s="49"/>
      <c r="O128" s="49"/>
      <c r="P128" s="49"/>
      <c r="Q128" s="49"/>
      <c r="R128" s="49"/>
      <c r="S128" s="49"/>
      <c r="T128" s="49"/>
      <c r="U128" s="49"/>
      <c r="V128" s="49"/>
      <c r="W128" s="49"/>
      <c r="X128" s="49"/>
      <c r="Y128" s="49"/>
      <c r="Z128" s="49"/>
    </row>
    <row r="129" spans="1:26" ht="13">
      <c r="A129" s="49" t="str">
        <f ca="1">IFERROR(__xludf.DUMMYFUNCTION("""COMPUTED_VALUE"""),"Contacted")</f>
        <v>Contacted</v>
      </c>
      <c r="B129" s="49" t="str">
        <f ca="1">IFERROR(__xludf.DUMMYFUNCTION("""COMPUTED_VALUE"""),"")</f>
        <v/>
      </c>
      <c r="C129" s="87">
        <f ca="1">IFERROR(__xludf.DUMMYFUNCTION("""COMPUTED_VALUE"""),43594)</f>
        <v>43594</v>
      </c>
      <c r="D129" s="49" t="str">
        <f ca="1">IFERROR(__xludf.DUMMYFUNCTION("""COMPUTED_VALUE"""),"Yes")</f>
        <v>Yes</v>
      </c>
      <c r="E129" s="49" t="str">
        <f ca="1">IFERROR(__xludf.DUMMYFUNCTION("""COMPUTED_VALUE"""),"Actionability")</f>
        <v>Actionability</v>
      </c>
      <c r="F129" s="49" t="str">
        <f ca="1">IFERROR(__xludf.DUMMYFUNCTION("""COMPUTED_VALUE"""),"Actionability")</f>
        <v>Actionability</v>
      </c>
      <c r="G129" s="49" t="str">
        <f ca="1">IFERROR(__xludf.DUMMYFUNCTION("""COMPUTED_VALUE"""),"Karen Hanson")</f>
        <v>Karen Hanson</v>
      </c>
      <c r="H129" s="49" t="str">
        <f ca="1">IFERROR(__xludf.DUMMYFUNCTION("""COMPUTED_VALUE"""),"krhms3@gmail.com")</f>
        <v>krhms3@gmail.com</v>
      </c>
      <c r="I129" s="49" t="str">
        <f ca="1">IFERROR(__xludf.DUMMYFUNCTION("""COMPUTED_VALUE"""),"Genetic counselor")</f>
        <v>Genetic counselor</v>
      </c>
      <c r="J129" s="49"/>
      <c r="K129" s="49" t="str">
        <f ca="1">IFERROR(__xludf.DUMMYFUNCTION("""COMPUTED_VALUE"""),"Clinical Actionability")</f>
        <v>Clinical Actionability</v>
      </c>
      <c r="L129" s="49"/>
      <c r="M129" s="49"/>
      <c r="N129" s="49"/>
      <c r="O129" s="49"/>
      <c r="P129" s="49"/>
      <c r="Q129" s="49"/>
      <c r="R129" s="49"/>
      <c r="S129" s="49"/>
      <c r="T129" s="49"/>
      <c r="U129" s="49"/>
      <c r="V129" s="49"/>
      <c r="W129" s="49"/>
      <c r="X129" s="49"/>
      <c r="Y129" s="49"/>
      <c r="Z129" s="49"/>
    </row>
    <row r="130" spans="1:26" ht="13">
      <c r="A130" s="49" t="str">
        <f ca="1">IFERROR(__xludf.DUMMYFUNCTION("""COMPUTED_VALUE"""),"Unresponsive")</f>
        <v>Unresponsive</v>
      </c>
      <c r="B130" s="49" t="str">
        <f ca="1">IFERROR(__xludf.DUMMYFUNCTION("""COMPUTED_VALUE"""),"")</f>
        <v/>
      </c>
      <c r="C130" s="49" t="str">
        <f ca="1">IFERROR(__xludf.DUMMYFUNCTION("""COMPUTED_VALUE"""),"")</f>
        <v/>
      </c>
      <c r="D130" s="49" t="str">
        <f ca="1">IFERROR(__xludf.DUMMYFUNCTION("""COMPUTED_VALUE"""),"No")</f>
        <v>No</v>
      </c>
      <c r="E130" s="49" t="str">
        <f ca="1">IFERROR(__xludf.DUMMYFUNCTION("""COMPUTED_VALUE"""),"Variant Pathogenicity")</f>
        <v>Variant Pathogenicity</v>
      </c>
      <c r="F130" s="49" t="str">
        <f ca="1">IFERROR(__xludf.DUMMYFUNCTION("""COMPUTED_VALUE"""),"")</f>
        <v/>
      </c>
      <c r="G130" s="49" t="str">
        <f ca="1">IFERROR(__xludf.DUMMYFUNCTION("""COMPUTED_VALUE"""),"Daniel Reich")</f>
        <v>Daniel Reich</v>
      </c>
      <c r="H130" s="49" t="str">
        <f ca="1">IFERROR(__xludf.DUMMYFUNCTION("""COMPUTED_VALUE"""),"daniel.reich@aruplab.com")</f>
        <v>daniel.reich@aruplab.com</v>
      </c>
      <c r="I130" s="49" t="str">
        <f ca="1">IFERROR(__xludf.DUMMYFUNCTION("""COMPUTED_VALUE"""),"Variant Analyst/Scientist - Industry")</f>
        <v>Variant Analyst/Scientist - Industry</v>
      </c>
      <c r="J130" s="49"/>
      <c r="K130" s="49" t="str">
        <f ca="1">IFERROR(__xludf.DUMMYFUNCTION("""COMPUTED_VALUE"""),"Variant Pathogenicity")</f>
        <v>Variant Pathogenicity</v>
      </c>
      <c r="L130" s="49"/>
      <c r="M130" s="49"/>
      <c r="N130" s="49"/>
      <c r="O130" s="49"/>
      <c r="P130" s="49"/>
      <c r="Q130" s="49"/>
      <c r="R130" s="49"/>
      <c r="S130" s="49"/>
      <c r="T130" s="49"/>
      <c r="U130" s="49"/>
      <c r="V130" s="49"/>
      <c r="W130" s="49"/>
      <c r="X130" s="49"/>
      <c r="Y130" s="49"/>
      <c r="Z130" s="49"/>
    </row>
    <row r="131" spans="1:26" ht="13">
      <c r="A131" s="49" t="str">
        <f ca="1">IFERROR(__xludf.DUMMYFUNCTION("""COMPUTED_VALUE"""),"Contacted")</f>
        <v>Contacted</v>
      </c>
      <c r="B131" s="49" t="str">
        <f ca="1">IFERROR(__xludf.DUMMYFUNCTION("""COMPUTED_VALUE"""),"")</f>
        <v/>
      </c>
      <c r="C131" s="87">
        <f ca="1">IFERROR(__xludf.DUMMYFUNCTION("""COMPUTED_VALUE"""),43580)</f>
        <v>43580</v>
      </c>
      <c r="D131" s="49" t="str">
        <f ca="1">IFERROR(__xludf.DUMMYFUNCTION("""COMPUTED_VALUE"""),"Yes")</f>
        <v>Yes</v>
      </c>
      <c r="E131" s="49" t="str">
        <f ca="1">IFERROR(__xludf.DUMMYFUNCTION("""COMPUTED_VALUE"""),"Dosage Sensitivity")</f>
        <v>Dosage Sensitivity</v>
      </c>
      <c r="F131" s="49" t="str">
        <f ca="1">IFERROR(__xludf.DUMMYFUNCTION("""COMPUTED_VALUE"""),"")</f>
        <v/>
      </c>
      <c r="G131" s="49" t="str">
        <f ca="1">IFERROR(__xludf.DUMMYFUNCTION("""COMPUTED_VALUE"""),"Christine Preston")</f>
        <v>Christine Preston</v>
      </c>
      <c r="H131" s="49" t="str">
        <f ca="1">IFERROR(__xludf.DUMMYFUNCTION("""COMPUTED_VALUE"""),"christip@stanford.edu")</f>
        <v>christip@stanford.edu</v>
      </c>
      <c r="I131" s="49" t="str">
        <f ca="1">IFERROR(__xludf.DUMMYFUNCTION("""COMPUTED_VALUE"""),"Biocurator")</f>
        <v>Biocurator</v>
      </c>
      <c r="J131" s="49"/>
      <c r="K131" s="49" t="str">
        <f ca="1">IFERROR(__xludf.DUMMYFUNCTION("""COMPUTED_VALUE"""),"Dosage Sensitivity")</f>
        <v>Dosage Sensitivity</v>
      </c>
      <c r="L131" s="49"/>
      <c r="M131" s="49"/>
      <c r="N131" s="49"/>
      <c r="O131" s="49"/>
      <c r="P131" s="49"/>
      <c r="Q131" s="49"/>
      <c r="R131" s="49"/>
      <c r="S131" s="49"/>
      <c r="T131" s="49"/>
      <c r="U131" s="49"/>
      <c r="V131" s="49"/>
      <c r="W131" s="49"/>
      <c r="X131" s="49"/>
      <c r="Y131" s="49"/>
      <c r="Z131" s="49"/>
    </row>
    <row r="132" spans="1:26" ht="13">
      <c r="A132" s="49" t="str">
        <f ca="1">IFERROR(__xludf.DUMMYFUNCTION("""COMPUTED_VALUE"""),"Contacted")</f>
        <v>Contacted</v>
      </c>
      <c r="B132" s="88">
        <f ca="1">IFERROR(__xludf.DUMMYFUNCTION("""COMPUTED_VALUE"""),43819)</f>
        <v>43819</v>
      </c>
      <c r="C132" s="49" t="str">
        <f ca="1">IFERROR(__xludf.DUMMYFUNCTION("""COMPUTED_VALUE"""),"")</f>
        <v/>
      </c>
      <c r="D132" s="49" t="str">
        <f ca="1">IFERROR(__xludf.DUMMYFUNCTION("""COMPUTED_VALUE"""),"No")</f>
        <v>No</v>
      </c>
      <c r="E132" s="49" t="str">
        <f ca="1">IFERROR(__xludf.DUMMYFUNCTION("""COMPUTED_VALUE"""),"Gene Disease Validity")</f>
        <v>Gene Disease Validity</v>
      </c>
      <c r="F132" s="49" t="str">
        <f ca="1">IFERROR(__xludf.DUMMYFUNCTION("""COMPUTED_VALUE"""),"")</f>
        <v/>
      </c>
      <c r="G132" s="49" t="str">
        <f ca="1">IFERROR(__xludf.DUMMYFUNCTION("""COMPUTED_VALUE"""),"Julie Hathaway")</f>
        <v>Julie Hathaway</v>
      </c>
      <c r="H132" s="49" t="str">
        <f ca="1">IFERROR(__xludf.DUMMYFUNCTION("""COMPUTED_VALUE"""),"julie.hathaway@blueprintgenetics.com")</f>
        <v>julie.hathaway@blueprintgenetics.com</v>
      </c>
      <c r="I132" s="49" t="str">
        <f ca="1">IFERROR(__xludf.DUMMYFUNCTION("""COMPUTED_VALUE"""),"Genetic counselor")</f>
        <v>Genetic counselor</v>
      </c>
      <c r="J132" s="49"/>
      <c r="K132" s="49" t="str">
        <f ca="1">IFERROR(__xludf.DUMMYFUNCTION("""COMPUTED_VALUE"""),"Variant Pathogenicity")</f>
        <v>Variant Pathogenicity</v>
      </c>
      <c r="L132" s="49"/>
      <c r="M132" s="49"/>
      <c r="N132" s="49"/>
      <c r="O132" s="49"/>
      <c r="P132" s="49"/>
      <c r="Q132" s="49"/>
      <c r="R132" s="49"/>
      <c r="S132" s="49"/>
      <c r="T132" s="49"/>
      <c r="U132" s="49"/>
      <c r="V132" s="49"/>
      <c r="W132" s="49"/>
      <c r="X132" s="49"/>
      <c r="Y132" s="49"/>
      <c r="Z132" s="49"/>
    </row>
    <row r="133" spans="1:26" ht="13">
      <c r="A133" s="49" t="str">
        <f ca="1">IFERROR(__xludf.DUMMYFUNCTION("""COMPUTED_VALUE"""),"Contacted")</f>
        <v>Contacted</v>
      </c>
      <c r="B133" s="49" t="str">
        <f ca="1">IFERROR(__xludf.DUMMYFUNCTION("""COMPUTED_VALUE"""),"")</f>
        <v/>
      </c>
      <c r="C133" s="87">
        <f ca="1">IFERROR(__xludf.DUMMYFUNCTION("""COMPUTED_VALUE"""),43585)</f>
        <v>43585</v>
      </c>
      <c r="D133" s="49" t="str">
        <f ca="1">IFERROR(__xludf.DUMMYFUNCTION("""COMPUTED_VALUE"""),"Yes")</f>
        <v>Yes</v>
      </c>
      <c r="E133" s="49" t="str">
        <f ca="1">IFERROR(__xludf.DUMMYFUNCTION("""COMPUTED_VALUE"""),"Gene Disease Validity")</f>
        <v>Gene Disease Validity</v>
      </c>
      <c r="F133" s="49" t="str">
        <f ca="1">IFERROR(__xludf.DUMMYFUNCTION("""COMPUTED_VALUE"""),"Epilepsy")</f>
        <v>Epilepsy</v>
      </c>
      <c r="G133" s="49" t="str">
        <f ca="1">IFERROR(__xludf.DUMMYFUNCTION("""COMPUTED_VALUE"""),"Alexander Ing")</f>
        <v>Alexander Ing</v>
      </c>
      <c r="H133" s="49" t="str">
        <f ca="1">IFERROR(__xludf.DUMMYFUNCTION("""COMPUTED_VALUE"""),"aing@luriechildrens.org")</f>
        <v>aing@luriechildrens.org</v>
      </c>
      <c r="I133" s="49" t="str">
        <f ca="1">IFERROR(__xludf.DUMMYFUNCTION("""COMPUTED_VALUE"""),"Genetic counselor")</f>
        <v>Genetic counselor</v>
      </c>
      <c r="J133" s="49"/>
      <c r="K133" s="49" t="str">
        <f ca="1">IFERROR(__xludf.DUMMYFUNCTION("""COMPUTED_VALUE"""),"Gene-Disease Validity")</f>
        <v>Gene-Disease Validity</v>
      </c>
      <c r="L133" s="49"/>
      <c r="M133" s="49"/>
      <c r="N133" s="49"/>
      <c r="O133" s="49"/>
      <c r="P133" s="49"/>
      <c r="Q133" s="49"/>
      <c r="R133" s="49"/>
      <c r="S133" s="49"/>
      <c r="T133" s="49"/>
      <c r="U133" s="49"/>
      <c r="V133" s="49"/>
      <c r="W133" s="49"/>
      <c r="X133" s="49"/>
      <c r="Y133" s="49"/>
      <c r="Z133" s="49"/>
    </row>
    <row r="134" spans="1:26" ht="13">
      <c r="A134" s="49" t="str">
        <f ca="1">IFERROR(__xludf.DUMMYFUNCTION("""COMPUTED_VALUE"""),"Contacted")</f>
        <v>Contacted</v>
      </c>
      <c r="B134" s="49" t="str">
        <f ca="1">IFERROR(__xludf.DUMMYFUNCTION("""COMPUTED_VALUE"""),"")</f>
        <v/>
      </c>
      <c r="C134" s="87">
        <f ca="1">IFERROR(__xludf.DUMMYFUNCTION("""COMPUTED_VALUE"""),43692)</f>
        <v>43692</v>
      </c>
      <c r="D134" s="49" t="str">
        <f ca="1">IFERROR(__xludf.DUMMYFUNCTION("""COMPUTED_VALUE"""),"Yes")</f>
        <v>Yes</v>
      </c>
      <c r="E134" s="49" t="str">
        <f ca="1">IFERROR(__xludf.DUMMYFUNCTION("""COMPUTED_VALUE"""),"Gene Disease Validity")</f>
        <v>Gene Disease Validity</v>
      </c>
      <c r="F134" s="49" t="str">
        <f ca="1">IFERROR(__xludf.DUMMYFUNCTION("""COMPUTED_VALUE"""),"")</f>
        <v/>
      </c>
      <c r="G134" s="49" t="str">
        <f ca="1">IFERROR(__xludf.DUMMYFUNCTION("""COMPUTED_VALUE"""),"Jun Liao")</f>
        <v>Jun Liao</v>
      </c>
      <c r="H134" s="49" t="str">
        <f ca="1">IFERROR(__xludf.DUMMYFUNCTION("""COMPUTED_VALUE"""),"jl5098@cumc.columbia.edu")</f>
        <v>jl5098@cumc.columbia.edu</v>
      </c>
      <c r="I134" s="49" t="str">
        <f ca="1">IFERROR(__xludf.DUMMYFUNCTION("""COMPUTED_VALUE"""),"Clinical laboratory geneticist")</f>
        <v>Clinical laboratory geneticist</v>
      </c>
      <c r="J134" s="49"/>
      <c r="K134" s="49" t="str">
        <f ca="1">IFERROR(__xludf.DUMMYFUNCTION("""COMPUTED_VALUE"""),"Gene-Disease Validity")</f>
        <v>Gene-Disease Validity</v>
      </c>
      <c r="L134" s="49"/>
      <c r="M134" s="49"/>
      <c r="N134" s="49"/>
      <c r="O134" s="49"/>
      <c r="P134" s="49"/>
      <c r="Q134" s="49"/>
      <c r="R134" s="49"/>
      <c r="S134" s="49"/>
      <c r="T134" s="49"/>
      <c r="U134" s="49"/>
      <c r="V134" s="49"/>
      <c r="W134" s="49"/>
      <c r="X134" s="49"/>
      <c r="Y134" s="49"/>
      <c r="Z134" s="49"/>
    </row>
    <row r="135" spans="1:26" ht="13">
      <c r="A135" s="49" t="str">
        <f ca="1">IFERROR(__xludf.DUMMYFUNCTION("""COMPUTED_VALUE"""),"Contacted")</f>
        <v>Contacted</v>
      </c>
      <c r="B135" s="49" t="str">
        <f ca="1">IFERROR(__xludf.DUMMYFUNCTION("""COMPUTED_VALUE"""),"")</f>
        <v/>
      </c>
      <c r="C135" s="87">
        <f ca="1">IFERROR(__xludf.DUMMYFUNCTION("""COMPUTED_VALUE"""),43585)</f>
        <v>43585</v>
      </c>
      <c r="D135" s="49" t="str">
        <f ca="1">IFERROR(__xludf.DUMMYFUNCTION("""COMPUTED_VALUE"""),"Yes")</f>
        <v>Yes</v>
      </c>
      <c r="E135" s="49" t="str">
        <f ca="1">IFERROR(__xludf.DUMMYFUNCTION("""COMPUTED_VALUE"""),"Gene Disease Validity")</f>
        <v>Gene Disease Validity</v>
      </c>
      <c r="F135" s="49" t="str">
        <f ca="1">IFERROR(__xludf.DUMMYFUNCTION("""COMPUTED_VALUE"""),"Epilepsy")</f>
        <v>Epilepsy</v>
      </c>
      <c r="G135" s="49" t="str">
        <f ca="1">IFERROR(__xludf.DUMMYFUNCTION("""COMPUTED_VALUE"""),"Maki Kaneko")</f>
        <v>Maki Kaneko</v>
      </c>
      <c r="H135" s="49" t="str">
        <f ca="1">IFERROR(__xludf.DUMMYFUNCTION("""COMPUTED_VALUE"""),"mkaneko@chla.usc.edu")</f>
        <v>mkaneko@chla.usc.edu</v>
      </c>
      <c r="I135" s="49" t="str">
        <f ca="1">IFERROR(__xludf.DUMMYFUNCTION("""COMPUTED_VALUE"""),"Genetic counselor")</f>
        <v>Genetic counselor</v>
      </c>
      <c r="J135" s="49"/>
      <c r="K135" s="49" t="str">
        <f ca="1">IFERROR(__xludf.DUMMYFUNCTION("""COMPUTED_VALUE"""),"Gene-Disease Validity")</f>
        <v>Gene-Disease Validity</v>
      </c>
      <c r="L135" s="49"/>
      <c r="M135" s="49"/>
      <c r="N135" s="49"/>
      <c r="O135" s="49"/>
      <c r="P135" s="49"/>
      <c r="Q135" s="49"/>
      <c r="R135" s="49"/>
      <c r="S135" s="49"/>
      <c r="T135" s="49"/>
      <c r="U135" s="49"/>
      <c r="V135" s="49"/>
      <c r="W135" s="49"/>
      <c r="X135" s="49"/>
      <c r="Y135" s="49"/>
      <c r="Z135" s="49"/>
    </row>
    <row r="136" spans="1:26" ht="13">
      <c r="A136" s="49" t="str">
        <f ca="1">IFERROR(__xludf.DUMMYFUNCTION("""COMPUTED_VALUE"""),"Assigned")</f>
        <v>Assigned</v>
      </c>
      <c r="B136" s="49" t="str">
        <f ca="1">IFERROR(__xludf.DUMMYFUNCTION("""COMPUTED_VALUE"""),"")</f>
        <v/>
      </c>
      <c r="C136" s="88">
        <f ca="1">IFERROR(__xludf.DUMMYFUNCTION("""COMPUTED_VALUE"""),43627)</f>
        <v>43627</v>
      </c>
      <c r="D136" s="49" t="str">
        <f ca="1">IFERROR(__xludf.DUMMYFUNCTION("""COMPUTED_VALUE"""),"Yes")</f>
        <v>Yes</v>
      </c>
      <c r="E136" s="49" t="str">
        <f ca="1">IFERROR(__xludf.DUMMYFUNCTION("""COMPUTED_VALUE"""),"Variant Pathogenicity")</f>
        <v>Variant Pathogenicity</v>
      </c>
      <c r="F136" s="49" t="str">
        <f ca="1">IFERROR(__xludf.DUMMYFUNCTION("""COMPUTED_VALUE"""),"Monogenic Diabetes")</f>
        <v>Monogenic Diabetes</v>
      </c>
      <c r="G136" s="49" t="str">
        <f ca="1">IFERROR(__xludf.DUMMYFUNCTION("""COMPUTED_VALUE"""),"Suvina To")</f>
        <v>Suvina To</v>
      </c>
      <c r="H136" s="49" t="str">
        <f ca="1">IFERROR(__xludf.DUMMYFUNCTION("""COMPUTED_VALUE"""),"suvina@gmail.com")</f>
        <v>suvina@gmail.com</v>
      </c>
      <c r="I136" s="49" t="str">
        <f ca="1">IFERROR(__xludf.DUMMYFUNCTION("""COMPUTED_VALUE"""),"Variant Analyst/Scientist - Industry")</f>
        <v>Variant Analyst/Scientist - Industry</v>
      </c>
      <c r="J136" s="49"/>
      <c r="K136" s="49" t="str">
        <f ca="1">IFERROR(__xludf.DUMMYFUNCTION("""COMPUTED_VALUE"""),"Variant Pathogenicity")</f>
        <v>Variant Pathogenicity</v>
      </c>
      <c r="L136" s="49"/>
      <c r="M136" s="49"/>
      <c r="N136" s="49"/>
      <c r="O136" s="49"/>
      <c r="P136" s="49"/>
      <c r="Q136" s="49"/>
      <c r="R136" s="49"/>
      <c r="S136" s="49"/>
      <c r="T136" s="49"/>
      <c r="U136" s="49"/>
      <c r="V136" s="49"/>
      <c r="W136" s="49"/>
      <c r="X136" s="49"/>
      <c r="Y136" s="49"/>
      <c r="Z136" s="49"/>
    </row>
    <row r="137" spans="1:26" ht="13">
      <c r="A137" s="49" t="str">
        <f ca="1">IFERROR(__xludf.DUMMYFUNCTION("""COMPUTED_VALUE"""),"Assigned")</f>
        <v>Assigned</v>
      </c>
      <c r="B137" s="49" t="str">
        <f ca="1">IFERROR(__xludf.DUMMYFUNCTION("""COMPUTED_VALUE"""),"")</f>
        <v/>
      </c>
      <c r="C137" s="87">
        <f ca="1">IFERROR(__xludf.DUMMYFUNCTION("""COMPUTED_VALUE"""),43608)</f>
        <v>43608</v>
      </c>
      <c r="D137" s="49" t="str">
        <f ca="1">IFERROR(__xludf.DUMMYFUNCTION("""COMPUTED_VALUE"""),"Yes")</f>
        <v>Yes</v>
      </c>
      <c r="E137" s="49" t="str">
        <f ca="1">IFERROR(__xludf.DUMMYFUNCTION("""COMPUTED_VALUE"""),"Variant Pathogenicity")</f>
        <v>Variant Pathogenicity</v>
      </c>
      <c r="F137" s="49" t="str">
        <f ca="1">IFERROR(__xludf.DUMMYFUNCTION("""COMPUTED_VALUE"""),"ACADVL")</f>
        <v>ACADVL</v>
      </c>
      <c r="G137" s="49" t="str">
        <f ca="1">IFERROR(__xludf.DUMMYFUNCTION("""COMPUTED_VALUE"""),"Lemuel Racacho")</f>
        <v>Lemuel Racacho</v>
      </c>
      <c r="H137" s="49" t="str">
        <f ca="1">IFERROR(__xludf.DUMMYFUNCTION("""COMPUTED_VALUE"""),"lracacho@cheo.on.ca")</f>
        <v>lracacho@cheo.on.ca</v>
      </c>
      <c r="I137" s="49" t="str">
        <f ca="1">IFERROR(__xludf.DUMMYFUNCTION("""COMPUTED_VALUE"""),"Post Doc/Resident/Fellow (MD and/or PhD)")</f>
        <v>Post Doc/Resident/Fellow (MD and/or PhD)</v>
      </c>
      <c r="J137" s="49"/>
      <c r="K137" s="49" t="str">
        <f ca="1">IFERROR(__xludf.DUMMYFUNCTION("""COMPUTED_VALUE"""),"Variant Pathogenicity")</f>
        <v>Variant Pathogenicity</v>
      </c>
      <c r="L137" s="49"/>
      <c r="M137" s="49"/>
      <c r="N137" s="49"/>
      <c r="O137" s="49"/>
      <c r="P137" s="49"/>
      <c r="Q137" s="49"/>
      <c r="R137" s="49"/>
      <c r="S137" s="49"/>
      <c r="T137" s="49"/>
      <c r="U137" s="49"/>
      <c r="V137" s="49"/>
      <c r="W137" s="49"/>
      <c r="X137" s="49"/>
      <c r="Y137" s="49"/>
      <c r="Z137" s="49"/>
    </row>
    <row r="138" spans="1:26" ht="13">
      <c r="A138" s="49" t="str">
        <f ca="1">IFERROR(__xludf.DUMMYFUNCTION("""COMPUTED_VALUE"""),"Contacted")</f>
        <v>Contacted</v>
      </c>
      <c r="B138" s="88">
        <f ca="1">IFERROR(__xludf.DUMMYFUNCTION("""COMPUTED_VALUE"""),43819)</f>
        <v>43819</v>
      </c>
      <c r="C138" s="49" t="str">
        <f ca="1">IFERROR(__xludf.DUMMYFUNCTION("""COMPUTED_VALUE"""),"")</f>
        <v/>
      </c>
      <c r="D138" s="49" t="str">
        <f ca="1">IFERROR(__xludf.DUMMYFUNCTION("""COMPUTED_VALUE"""),"No")</f>
        <v>No</v>
      </c>
      <c r="E138" s="49" t="str">
        <f ca="1">IFERROR(__xludf.DUMMYFUNCTION("""COMPUTED_VALUE"""),"Gene Disease Validity")</f>
        <v>Gene Disease Validity</v>
      </c>
      <c r="F138" s="49" t="str">
        <f ca="1">IFERROR(__xludf.DUMMYFUNCTION("""COMPUTED_VALUE"""),"")</f>
        <v/>
      </c>
      <c r="G138" s="49" t="str">
        <f ca="1">IFERROR(__xludf.DUMMYFUNCTION("""COMPUTED_VALUE"""),"Bo Yuan")</f>
        <v>Bo Yuan</v>
      </c>
      <c r="H138" s="49" t="str">
        <f ca="1">IFERROR(__xludf.DUMMYFUNCTION("""COMPUTED_VALUE"""),"by2@bcm.edu")</f>
        <v>by2@bcm.edu</v>
      </c>
      <c r="I138" s="49" t="str">
        <f ca="1">IFERROR(__xludf.DUMMYFUNCTION("""COMPUTED_VALUE"""),"Clinical laboratory geneticist")</f>
        <v>Clinical laboratory geneticist</v>
      </c>
      <c r="J138" s="49"/>
      <c r="K138" s="49" t="str">
        <f ca="1">IFERROR(__xludf.DUMMYFUNCTION("""COMPUTED_VALUE"""),"Gene-Disease Validity")</f>
        <v>Gene-Disease Validity</v>
      </c>
      <c r="L138" s="49"/>
      <c r="M138" s="49"/>
      <c r="N138" s="49"/>
      <c r="O138" s="49"/>
      <c r="P138" s="49"/>
      <c r="Q138" s="49"/>
      <c r="R138" s="49"/>
      <c r="S138" s="49"/>
      <c r="T138" s="49"/>
      <c r="U138" s="49"/>
      <c r="V138" s="49"/>
      <c r="W138" s="49"/>
      <c r="X138" s="49"/>
      <c r="Y138" s="49"/>
      <c r="Z138" s="49"/>
    </row>
    <row r="139" spans="1:26" ht="13">
      <c r="A139" s="49" t="str">
        <f ca="1">IFERROR(__xludf.DUMMYFUNCTION("""COMPUTED_VALUE"""),"Contacted")</f>
        <v>Contacted</v>
      </c>
      <c r="B139" s="88">
        <f ca="1">IFERROR(__xludf.DUMMYFUNCTION("""COMPUTED_VALUE"""),43819)</f>
        <v>43819</v>
      </c>
      <c r="C139" s="49" t="str">
        <f ca="1">IFERROR(__xludf.DUMMYFUNCTION("""COMPUTED_VALUE"""),"")</f>
        <v/>
      </c>
      <c r="D139" s="49" t="str">
        <f ca="1">IFERROR(__xludf.DUMMYFUNCTION("""COMPUTED_VALUE"""),"No")</f>
        <v>No</v>
      </c>
      <c r="E139" s="49" t="str">
        <f ca="1">IFERROR(__xludf.DUMMYFUNCTION("""COMPUTED_VALUE"""),"Gene Disease Validity")</f>
        <v>Gene Disease Validity</v>
      </c>
      <c r="F139" s="49" t="str">
        <f ca="1">IFERROR(__xludf.DUMMYFUNCTION("""COMPUTED_VALUE"""),"")</f>
        <v/>
      </c>
      <c r="G139" s="49" t="str">
        <f ca="1">IFERROR(__xludf.DUMMYFUNCTION("""COMPUTED_VALUE"""),"Avinash Dharmadhikari")</f>
        <v>Avinash Dharmadhikari</v>
      </c>
      <c r="H139" s="49" t="str">
        <f ca="1">IFERROR(__xludf.DUMMYFUNCTION("""COMPUTED_VALUE"""),"avd2129@cumc.columbia.edu")</f>
        <v>avd2129@cumc.columbia.edu</v>
      </c>
      <c r="I139" s="49" t="str">
        <f ca="1">IFERROR(__xludf.DUMMYFUNCTION("""COMPUTED_VALUE"""),"Post Doc/Resident/Fellow (MD and/or PhD)")</f>
        <v>Post Doc/Resident/Fellow (MD and/or PhD)</v>
      </c>
      <c r="J139" s="49"/>
      <c r="K139" s="49" t="str">
        <f ca="1">IFERROR(__xludf.DUMMYFUNCTION("""COMPUTED_VALUE"""),"Gene-Disease Validity")</f>
        <v>Gene-Disease Validity</v>
      </c>
      <c r="L139" s="49"/>
      <c r="M139" s="49"/>
      <c r="N139" s="49"/>
      <c r="O139" s="49"/>
      <c r="P139" s="49"/>
      <c r="Q139" s="49"/>
      <c r="R139" s="49"/>
      <c r="S139" s="49"/>
      <c r="T139" s="49"/>
      <c r="U139" s="49"/>
      <c r="V139" s="49"/>
      <c r="W139" s="49"/>
      <c r="X139" s="49"/>
      <c r="Y139" s="49"/>
      <c r="Z139" s="49"/>
    </row>
    <row r="140" spans="1:26" ht="13">
      <c r="A140" s="49" t="str">
        <f ca="1">IFERROR(__xludf.DUMMYFUNCTION("""COMPUTED_VALUE"""),"Unresponsive")</f>
        <v>Unresponsive</v>
      </c>
      <c r="B140" s="49" t="str">
        <f ca="1">IFERROR(__xludf.DUMMYFUNCTION("""COMPUTED_VALUE"""),"")</f>
        <v/>
      </c>
      <c r="C140" s="49" t="str">
        <f ca="1">IFERROR(__xludf.DUMMYFUNCTION("""COMPUTED_VALUE"""),"")</f>
        <v/>
      </c>
      <c r="D140" s="49" t="str">
        <f ca="1">IFERROR(__xludf.DUMMYFUNCTION("""COMPUTED_VALUE"""),"No")</f>
        <v>No</v>
      </c>
      <c r="E140" s="49" t="str">
        <f ca="1">IFERROR(__xludf.DUMMYFUNCTION("""COMPUTED_VALUE"""),"Variant Pathogenicity")</f>
        <v>Variant Pathogenicity</v>
      </c>
      <c r="F140" s="49" t="str">
        <f ca="1">IFERROR(__xludf.DUMMYFUNCTION("""COMPUTED_VALUE"""),"")</f>
        <v/>
      </c>
      <c r="G140" s="49" t="str">
        <f ca="1">IFERROR(__xludf.DUMMYFUNCTION("""COMPUTED_VALUE"""),"Sara Fitzgerald-Butt")</f>
        <v>Sara Fitzgerald-Butt</v>
      </c>
      <c r="H140" s="49" t="str">
        <f ca="1">IFERROR(__xludf.DUMMYFUNCTION("""COMPUTED_VALUE"""),"sfitzge@iu.edu")</f>
        <v>sfitzge@iu.edu</v>
      </c>
      <c r="I140" s="49" t="str">
        <f ca="1">IFERROR(__xludf.DUMMYFUNCTION("""COMPUTED_VALUE"""),"Genetic counselor")</f>
        <v>Genetic counselor</v>
      </c>
      <c r="J140" s="49"/>
      <c r="K140" s="49" t="str">
        <f ca="1">IFERROR(__xludf.DUMMYFUNCTION("""COMPUTED_VALUE"""),"Variant Pathogenicity")</f>
        <v>Variant Pathogenicity</v>
      </c>
      <c r="L140" s="49"/>
      <c r="M140" s="49"/>
      <c r="N140" s="49"/>
      <c r="O140" s="49"/>
      <c r="P140" s="49"/>
      <c r="Q140" s="49"/>
      <c r="R140" s="49"/>
      <c r="S140" s="49"/>
      <c r="T140" s="49"/>
      <c r="U140" s="49"/>
      <c r="V140" s="49"/>
      <c r="W140" s="49"/>
      <c r="X140" s="49"/>
      <c r="Y140" s="49"/>
      <c r="Z140" s="49"/>
    </row>
    <row r="141" spans="1:26" ht="13">
      <c r="A141" s="49" t="str">
        <f ca="1">IFERROR(__xludf.DUMMYFUNCTION("""COMPUTED_VALUE"""),"Assigned")</f>
        <v>Assigned</v>
      </c>
      <c r="B141" s="49" t="str">
        <f ca="1">IFERROR(__xludf.DUMMYFUNCTION("""COMPUTED_VALUE"""),"")</f>
        <v/>
      </c>
      <c r="C141" s="87">
        <f ca="1">IFERROR(__xludf.DUMMYFUNCTION("""COMPUTED_VALUE"""),43608)</f>
        <v>43608</v>
      </c>
      <c r="D141" s="49" t="str">
        <f ca="1">IFERROR(__xludf.DUMMYFUNCTION("""COMPUTED_VALUE"""),"Yes")</f>
        <v>Yes</v>
      </c>
      <c r="E141" s="49" t="str">
        <f ca="1">IFERROR(__xludf.DUMMYFUNCTION("""COMPUTED_VALUE"""),"Variant Pathogenicity")</f>
        <v>Variant Pathogenicity</v>
      </c>
      <c r="F141" s="49" t="str">
        <f ca="1">IFERROR(__xludf.DUMMYFUNCTION("""COMPUTED_VALUE"""),"Platelet Disorders")</f>
        <v>Platelet Disorders</v>
      </c>
      <c r="G141" s="49" t="str">
        <f ca="1">IFERROR(__xludf.DUMMYFUNCTION("""COMPUTED_VALUE"""),"Samya Chakravorty")</f>
        <v>Samya Chakravorty</v>
      </c>
      <c r="H141" s="49" t="str">
        <f ca="1">IFERROR(__xludf.DUMMYFUNCTION("""COMPUTED_VALUE"""),"samya.chakravorty@emory.edu")</f>
        <v>samya.chakravorty@emory.edu</v>
      </c>
      <c r="I141" s="49" t="str">
        <f ca="1">IFERROR(__xludf.DUMMYFUNCTION("""COMPUTED_VALUE"""),"Scientific Researcher")</f>
        <v>Scientific Researcher</v>
      </c>
      <c r="J141" s="49"/>
      <c r="K141" s="49" t="str">
        <f ca="1">IFERROR(__xludf.DUMMYFUNCTION("""COMPUTED_VALUE"""),"Variant Pathogenicity")</f>
        <v>Variant Pathogenicity</v>
      </c>
      <c r="L141" s="49"/>
      <c r="M141" s="49"/>
      <c r="N141" s="49"/>
      <c r="O141" s="49"/>
      <c r="P141" s="49"/>
      <c r="Q141" s="49"/>
      <c r="R141" s="49"/>
      <c r="S141" s="49"/>
      <c r="T141" s="49"/>
      <c r="U141" s="49"/>
      <c r="V141" s="49"/>
      <c r="W141" s="49"/>
      <c r="X141" s="49"/>
      <c r="Y141" s="49"/>
      <c r="Z141" s="49"/>
    </row>
    <row r="142" spans="1:26" ht="13">
      <c r="A142" s="49" t="str">
        <f ca="1">IFERROR(__xludf.DUMMYFUNCTION("""COMPUTED_VALUE"""),"Assigned")</f>
        <v>Assigned</v>
      </c>
      <c r="B142" s="87">
        <f ca="1">IFERROR(__xludf.DUMMYFUNCTION("""COMPUTED_VALUE"""),43787)</f>
        <v>43787</v>
      </c>
      <c r="C142" s="49" t="str">
        <f ca="1">IFERROR(__xludf.DUMMYFUNCTION("""COMPUTED_VALUE"""),"")</f>
        <v/>
      </c>
      <c r="D142" s="49" t="str">
        <f ca="1">IFERROR(__xludf.DUMMYFUNCTION("""COMPUTED_VALUE"""),"No")</f>
        <v>No</v>
      </c>
      <c r="E142" s="49" t="str">
        <f ca="1">IFERROR(__xludf.DUMMYFUNCTION("""COMPUTED_VALUE"""),"Actionability")</f>
        <v>Actionability</v>
      </c>
      <c r="F142" s="49" t="str">
        <f ca="1">IFERROR(__xludf.DUMMYFUNCTION("""COMPUTED_VALUE"""),"")</f>
        <v/>
      </c>
      <c r="G142" s="49" t="str">
        <f ca="1">IFERROR(__xludf.DUMMYFUNCTION("""COMPUTED_VALUE"""),"Fareed Al Qusous")</f>
        <v>Fareed Al Qusous</v>
      </c>
      <c r="H142" s="49" t="str">
        <f ca="1">IFERROR(__xludf.DUMMYFUNCTION("""COMPUTED_VALUE"""),"Fareedh.al.qusous@hotmail.com")</f>
        <v>Fareedh.al.qusous@hotmail.com</v>
      </c>
      <c r="I142" s="49" t="str">
        <f ca="1">IFERROR(__xludf.DUMMYFUNCTION("""COMPUTED_VALUE"""),"Undergraduate Student")</f>
        <v>Undergraduate Student</v>
      </c>
      <c r="J142" s="49"/>
      <c r="K142" s="49" t="str">
        <f ca="1">IFERROR(__xludf.DUMMYFUNCTION("""COMPUTED_VALUE"""),"Clinical Actionability")</f>
        <v>Clinical Actionability</v>
      </c>
      <c r="L142" s="49"/>
      <c r="M142" s="49"/>
      <c r="N142" s="49"/>
      <c r="O142" s="49"/>
      <c r="P142" s="49"/>
      <c r="Q142" s="49"/>
      <c r="R142" s="49"/>
      <c r="S142" s="49"/>
      <c r="T142" s="49"/>
      <c r="U142" s="49"/>
      <c r="V142" s="49"/>
      <c r="W142" s="49"/>
      <c r="X142" s="49"/>
      <c r="Y142" s="49"/>
      <c r="Z142" s="49"/>
    </row>
    <row r="143" spans="1:26" ht="13">
      <c r="A143" s="49" t="str">
        <f ca="1">IFERROR(__xludf.DUMMYFUNCTION("""COMPUTED_VALUE"""),"Contacted")</f>
        <v>Contacted</v>
      </c>
      <c r="B143" s="49" t="str">
        <f ca="1">IFERROR(__xludf.DUMMYFUNCTION("""COMPUTED_VALUE"""),"")</f>
        <v/>
      </c>
      <c r="C143" s="87">
        <f ca="1">IFERROR(__xludf.DUMMYFUNCTION("""COMPUTED_VALUE"""),43692)</f>
        <v>43692</v>
      </c>
      <c r="D143" s="49" t="str">
        <f ca="1">IFERROR(__xludf.DUMMYFUNCTION("""COMPUTED_VALUE"""),"Yes")</f>
        <v>Yes</v>
      </c>
      <c r="E143" s="49" t="str">
        <f ca="1">IFERROR(__xludf.DUMMYFUNCTION("""COMPUTED_VALUE"""),"Gene Disease Validity")</f>
        <v>Gene Disease Validity</v>
      </c>
      <c r="F143" s="49" t="str">
        <f ca="1">IFERROR(__xludf.DUMMYFUNCTION("""COMPUTED_VALUE"""),"")</f>
        <v/>
      </c>
      <c r="G143" s="49" t="str">
        <f ca="1">IFERROR(__xludf.DUMMYFUNCTION("""COMPUTED_VALUE"""),"Alison Bright")</f>
        <v>Alison Bright</v>
      </c>
      <c r="H143" s="49" t="str">
        <f ca="1">IFERROR(__xludf.DUMMYFUNCTION("""COMPUTED_VALUE"""),"alison.r.bright@questdiagnostics.com")</f>
        <v>alison.r.bright@questdiagnostics.com</v>
      </c>
      <c r="I143" s="49" t="str">
        <f ca="1">IFERROR(__xludf.DUMMYFUNCTION("""COMPUTED_VALUE"""),"Variant Analyst/Scientist - Industry")</f>
        <v>Variant Analyst/Scientist - Industry</v>
      </c>
      <c r="J143" s="49"/>
      <c r="K143" s="49" t="str">
        <f ca="1">IFERROR(__xludf.DUMMYFUNCTION("""COMPUTED_VALUE"""),"Gene-Disease Validity")</f>
        <v>Gene-Disease Validity</v>
      </c>
      <c r="L143" s="49"/>
      <c r="M143" s="49"/>
      <c r="N143" s="49"/>
      <c r="O143" s="49"/>
      <c r="P143" s="49"/>
      <c r="Q143" s="49"/>
      <c r="R143" s="49"/>
      <c r="S143" s="49"/>
      <c r="T143" s="49"/>
      <c r="U143" s="49"/>
      <c r="V143" s="49"/>
      <c r="W143" s="49"/>
      <c r="X143" s="49"/>
      <c r="Y143" s="49"/>
      <c r="Z143" s="49"/>
    </row>
    <row r="144" spans="1:26" ht="13">
      <c r="A144" s="49" t="str">
        <f ca="1">IFERROR(__xludf.DUMMYFUNCTION("""COMPUTED_VALUE"""),"Contacted")</f>
        <v>Contacted</v>
      </c>
      <c r="B144" s="88">
        <f ca="1">IFERROR(__xludf.DUMMYFUNCTION("""COMPUTED_VALUE"""),43819)</f>
        <v>43819</v>
      </c>
      <c r="C144" s="49" t="str">
        <f ca="1">IFERROR(__xludf.DUMMYFUNCTION("""COMPUTED_VALUE"""),"")</f>
        <v/>
      </c>
      <c r="D144" s="49" t="str">
        <f ca="1">IFERROR(__xludf.DUMMYFUNCTION("""COMPUTED_VALUE"""),"")</f>
        <v/>
      </c>
      <c r="E144" s="49" t="str">
        <f ca="1">IFERROR(__xludf.DUMMYFUNCTION("""COMPUTED_VALUE"""),"Variant Pathogenicity")</f>
        <v>Variant Pathogenicity</v>
      </c>
      <c r="F144" s="49" t="str">
        <f ca="1">IFERROR(__xludf.DUMMYFUNCTION("""COMPUTED_VALUE"""),"")</f>
        <v/>
      </c>
      <c r="G144" s="49" t="str">
        <f ca="1">IFERROR(__xludf.DUMMYFUNCTION("""COMPUTED_VALUE"""),"Chloe Whitten")</f>
        <v>Chloe Whitten</v>
      </c>
      <c r="H144" s="49" t="str">
        <f ca="1">IFERROR(__xludf.DUMMYFUNCTION("""COMPUTED_VALUE"""),"cwhitten@ambrygen.com")</f>
        <v>cwhitten@ambrygen.com</v>
      </c>
      <c r="I144" s="49" t="str">
        <f ca="1">IFERROR(__xludf.DUMMYFUNCTION("""COMPUTED_VALUE"""),"Recent graduate, can help with more admin tasks")</f>
        <v>Recent graduate, can help with more admin tasks</v>
      </c>
      <c r="J144" s="49"/>
      <c r="K144" s="49" t="str">
        <f ca="1">IFERROR(__xludf.DUMMYFUNCTION("""COMPUTED_VALUE"""),"Variant Pathogenicity")</f>
        <v>Variant Pathogenicity</v>
      </c>
      <c r="L144" s="49"/>
      <c r="M144" s="49"/>
      <c r="N144" s="49"/>
      <c r="O144" s="49"/>
      <c r="P144" s="49"/>
      <c r="Q144" s="49"/>
      <c r="R144" s="49"/>
      <c r="S144" s="49"/>
      <c r="T144" s="49"/>
      <c r="U144" s="49"/>
      <c r="V144" s="49"/>
      <c r="W144" s="49"/>
      <c r="X144" s="49"/>
      <c r="Y144" s="49"/>
      <c r="Z144" s="49"/>
    </row>
    <row r="145" spans="1:26" ht="13">
      <c r="A145" s="49" t="str">
        <f ca="1">IFERROR(__xludf.DUMMYFUNCTION("""COMPUTED_VALUE"""),"Contacted")</f>
        <v>Contacted</v>
      </c>
      <c r="B145" s="49" t="str">
        <f ca="1">IFERROR(__xludf.DUMMYFUNCTION("""COMPUTED_VALUE"""),"")</f>
        <v/>
      </c>
      <c r="C145" s="98">
        <f ca="1">IFERROR(__xludf.DUMMYFUNCTION("""COMPUTED_VALUE"""),43581)</f>
        <v>43581</v>
      </c>
      <c r="D145" s="49" t="str">
        <f ca="1">IFERROR(__xludf.DUMMYFUNCTION("""COMPUTED_VALUE"""),"Yes")</f>
        <v>Yes</v>
      </c>
      <c r="E145" s="49" t="str">
        <f ca="1">IFERROR(__xludf.DUMMYFUNCTION("""COMPUTED_VALUE"""),"Somatic Cancer")</f>
        <v>Somatic Cancer</v>
      </c>
      <c r="F145" s="49" t="str">
        <f ca="1">IFERROR(__xludf.DUMMYFUNCTION("""COMPUTED_VALUE"""),"")</f>
        <v/>
      </c>
      <c r="G145" s="49" t="str">
        <f ca="1">IFERROR(__xludf.DUMMYFUNCTION("""COMPUTED_VALUE"""),"Ying Zou")</f>
        <v>Ying Zou</v>
      </c>
      <c r="H145" s="49" t="str">
        <f ca="1">IFERROR(__xludf.DUMMYFUNCTION("""COMPUTED_VALUE""")," yzou19@jhmi.edu")</f>
        <v xml:space="preserve"> yzou19@jhmi.edu</v>
      </c>
      <c r="I145" s="49" t="str">
        <f ca="1">IFERROR(__xludf.DUMMYFUNCTION("""COMPUTED_VALUE"""),"Clinical laboratory geneticist")</f>
        <v>Clinical laboratory geneticist</v>
      </c>
      <c r="J145" s="49"/>
      <c r="K145" s="49" t="str">
        <f ca="1">IFERROR(__xludf.DUMMYFUNCTION("""COMPUTED_VALUE"""),"Somatic Cancer")</f>
        <v>Somatic Cancer</v>
      </c>
      <c r="L145" s="49"/>
      <c r="M145" s="49"/>
      <c r="N145" s="49"/>
      <c r="O145" s="49"/>
      <c r="P145" s="49"/>
      <c r="Q145" s="49"/>
      <c r="R145" s="49"/>
      <c r="S145" s="49"/>
      <c r="T145" s="49"/>
      <c r="U145" s="49"/>
      <c r="V145" s="49"/>
      <c r="W145" s="49"/>
      <c r="X145" s="49"/>
      <c r="Y145" s="49"/>
      <c r="Z145" s="49"/>
    </row>
    <row r="146" spans="1:26" ht="13">
      <c r="A146" s="49" t="str">
        <f ca="1">IFERROR(__xludf.DUMMYFUNCTION("""COMPUTED_VALUE"""),"Unresponsive")</f>
        <v>Unresponsive</v>
      </c>
      <c r="B146" s="49" t="str">
        <f ca="1">IFERROR(__xludf.DUMMYFUNCTION("""COMPUTED_VALUE"""),"")</f>
        <v/>
      </c>
      <c r="C146" s="87">
        <f ca="1">IFERROR(__xludf.DUMMYFUNCTION("""COMPUTED_VALUE"""),43570)</f>
        <v>43570</v>
      </c>
      <c r="D146" s="49" t="str">
        <f ca="1">IFERROR(__xludf.DUMMYFUNCTION("""COMPUTED_VALUE"""),"Yes")</f>
        <v>Yes</v>
      </c>
      <c r="E146" s="49" t="str">
        <f ca="1">IFERROR(__xludf.DUMMYFUNCTION("""COMPUTED_VALUE"""),"NA")</f>
        <v>NA</v>
      </c>
      <c r="F146" s="49" t="str">
        <f ca="1">IFERROR(__xludf.DUMMYFUNCTION("""COMPUTED_VALUE"""),"")</f>
        <v/>
      </c>
      <c r="G146" s="49" t="str">
        <f ca="1">IFERROR(__xludf.DUMMYFUNCTION("""COMPUTED_VALUE"""),"JIXIA LIU")</f>
        <v>JIXIA LIU</v>
      </c>
      <c r="H146" s="49" t="str">
        <f ca="1">IFERROR(__xludf.DUMMYFUNCTION("""COMPUTED_VALUE"""),"jixialiu@gmail.com")</f>
        <v>jixialiu@gmail.com</v>
      </c>
      <c r="I146" s="49" t="str">
        <f ca="1">IFERROR(__xludf.DUMMYFUNCTION("""COMPUTED_VALUE"""),"Clinical Variant Curator")</f>
        <v>Clinical Variant Curator</v>
      </c>
      <c r="J146" s="49"/>
      <c r="K146" s="49" t="str">
        <f ca="1">IFERROR(__xludf.DUMMYFUNCTION("""COMPUTED_VALUE"""),"Gene-Disease Validity")</f>
        <v>Gene-Disease Validity</v>
      </c>
      <c r="L146" s="49"/>
      <c r="M146" s="49"/>
      <c r="N146" s="49"/>
      <c r="O146" s="49"/>
      <c r="P146" s="49"/>
      <c r="Q146" s="49"/>
      <c r="R146" s="49"/>
      <c r="S146" s="49"/>
      <c r="T146" s="49"/>
      <c r="U146" s="49"/>
      <c r="V146" s="49"/>
      <c r="W146" s="49"/>
      <c r="X146" s="49"/>
      <c r="Y146" s="49"/>
      <c r="Z146" s="49"/>
    </row>
    <row r="147" spans="1:26" ht="13">
      <c r="A147" s="49" t="str">
        <f ca="1">IFERROR(__xludf.DUMMYFUNCTION("""COMPUTED_VALUE"""),"Assigned")</f>
        <v>Assigned</v>
      </c>
      <c r="B147" s="49" t="str">
        <f ca="1">IFERROR(__xludf.DUMMYFUNCTION("""COMPUTED_VALUE"""),"")</f>
        <v/>
      </c>
      <c r="C147" s="88">
        <f ca="1">IFERROR(__xludf.DUMMYFUNCTION("""COMPUTED_VALUE"""),43605)</f>
        <v>43605</v>
      </c>
      <c r="D147" s="49" t="str">
        <f ca="1">IFERROR(__xludf.DUMMYFUNCTION("""COMPUTED_VALUE"""),"Yes")</f>
        <v>Yes</v>
      </c>
      <c r="E147" s="49" t="str">
        <f ca="1">IFERROR(__xludf.DUMMYFUNCTION("""COMPUTED_VALUE"""),"Variant Pathogenicity")</f>
        <v>Variant Pathogenicity</v>
      </c>
      <c r="F147" s="49" t="str">
        <f ca="1">IFERROR(__xludf.DUMMYFUNCTION("""COMPUTED_VALUE"""),"RYR1")</f>
        <v>RYR1</v>
      </c>
      <c r="G147" s="49" t="str">
        <f ca="1">IFERROR(__xludf.DUMMYFUNCTION("""COMPUTED_VALUE"""),"Catherine Driscoll")</f>
        <v>Catherine Driscoll</v>
      </c>
      <c r="H147" s="49" t="str">
        <f ca="1">IFERROR(__xludf.DUMMYFUNCTION("""COMPUTED_VALUE"""),"kate.driscoll@nih.gov")</f>
        <v>kate.driscoll@nih.gov</v>
      </c>
      <c r="I147" s="49" t="str">
        <f ca="1">IFERROR(__xludf.DUMMYFUNCTION("""COMPUTED_VALUE"""),"Clinical laboratory geneticist")</f>
        <v>Clinical laboratory geneticist</v>
      </c>
      <c r="J147" s="49"/>
      <c r="K147" s="49" t="str">
        <f ca="1">IFERROR(__xludf.DUMMYFUNCTION("""COMPUTED_VALUE"""),"Variant Pathogenicity")</f>
        <v>Variant Pathogenicity</v>
      </c>
      <c r="L147" s="49"/>
      <c r="M147" s="49"/>
      <c r="N147" s="49"/>
      <c r="O147" s="49"/>
      <c r="P147" s="49"/>
      <c r="Q147" s="49"/>
      <c r="R147" s="49"/>
      <c r="S147" s="49"/>
      <c r="T147" s="49"/>
      <c r="U147" s="49"/>
      <c r="V147" s="49"/>
      <c r="W147" s="49"/>
      <c r="X147" s="49"/>
      <c r="Y147" s="49"/>
      <c r="Z147" s="49"/>
    </row>
    <row r="148" spans="1:26" ht="13">
      <c r="A148" s="49" t="str">
        <f ca="1">IFERROR(__xludf.DUMMYFUNCTION("""COMPUTED_VALUE"""),"Contacted")</f>
        <v>Contacted</v>
      </c>
      <c r="B148" s="88">
        <f ca="1">IFERROR(__xludf.DUMMYFUNCTION("""COMPUTED_VALUE"""),43689)</f>
        <v>43689</v>
      </c>
      <c r="C148" s="88">
        <f ca="1">IFERROR(__xludf.DUMMYFUNCTION("""COMPUTED_VALUE"""),43768)</f>
        <v>43768</v>
      </c>
      <c r="D148" s="49" t="str">
        <f ca="1">IFERROR(__xludf.DUMMYFUNCTION("""COMPUTED_VALUE"""),"Yes")</f>
        <v>Yes</v>
      </c>
      <c r="E148" s="49" t="str">
        <f ca="1">IFERROR(__xludf.DUMMYFUNCTION("""COMPUTED_VALUE"""),"Actionability")</f>
        <v>Actionability</v>
      </c>
      <c r="F148" s="49" t="str">
        <f ca="1">IFERROR(__xludf.DUMMYFUNCTION("""COMPUTED_VALUE"""),"Actionability")</f>
        <v>Actionability</v>
      </c>
      <c r="G148" s="49" t="str">
        <f ca="1">IFERROR(__xludf.DUMMYFUNCTION("""COMPUTED_VALUE"""),"Gifty Bhat")</f>
        <v>Gifty Bhat</v>
      </c>
      <c r="H148" s="49" t="str">
        <f ca="1">IFERROR(__xludf.DUMMYFUNCTION("""COMPUTED_VALUE"""),"drgiftybhat@gmail.com")</f>
        <v>drgiftybhat@gmail.com</v>
      </c>
      <c r="I148" s="49" t="str">
        <f ca="1">IFERROR(__xludf.DUMMYFUNCTION("""COMPUTED_VALUE"""),"Clinical Medical Geneticist")</f>
        <v>Clinical Medical Geneticist</v>
      </c>
      <c r="J148" s="49"/>
      <c r="K148" s="49" t="str">
        <f ca="1">IFERROR(__xludf.DUMMYFUNCTION("""COMPUTED_VALUE"""),"Clinical Actionability")</f>
        <v>Clinical Actionability</v>
      </c>
      <c r="L148" s="49"/>
      <c r="M148" s="49"/>
      <c r="N148" s="49"/>
      <c r="O148" s="49"/>
      <c r="P148" s="49"/>
      <c r="Q148" s="49"/>
      <c r="R148" s="49"/>
      <c r="S148" s="49"/>
      <c r="T148" s="49"/>
      <c r="U148" s="49"/>
      <c r="V148" s="49"/>
      <c r="W148" s="49"/>
      <c r="X148" s="49"/>
      <c r="Y148" s="49"/>
      <c r="Z148" s="49"/>
    </row>
    <row r="149" spans="1:26" ht="13">
      <c r="A149" s="49" t="str">
        <f ca="1">IFERROR(__xludf.DUMMYFUNCTION("""COMPUTED_VALUE"""),"Assigned")</f>
        <v>Assigned</v>
      </c>
      <c r="B149" s="49" t="str">
        <f ca="1">IFERROR(__xludf.DUMMYFUNCTION("""COMPUTED_VALUE"""),"")</f>
        <v/>
      </c>
      <c r="C149" s="88">
        <f ca="1">IFERROR(__xludf.DUMMYFUNCTION("""COMPUTED_VALUE"""),43608)</f>
        <v>43608</v>
      </c>
      <c r="D149" s="49" t="str">
        <f ca="1">IFERROR(__xludf.DUMMYFUNCTION("""COMPUTED_VALUE"""),"Yes")</f>
        <v>Yes</v>
      </c>
      <c r="E149" s="49" t="str">
        <f ca="1">IFERROR(__xludf.DUMMYFUNCTION("""COMPUTED_VALUE"""),"Variant Pathogenicity")</f>
        <v>Variant Pathogenicity</v>
      </c>
      <c r="F149" s="49" t="str">
        <f ca="1">IFERROR(__xludf.DUMMYFUNCTION("""COMPUTED_VALUE"""),"Brain Malformations")</f>
        <v>Brain Malformations</v>
      </c>
      <c r="G149" s="49" t="str">
        <f ca="1">IFERROR(__xludf.DUMMYFUNCTION("""COMPUTED_VALUE"""),"Ashley Marsh")</f>
        <v>Ashley Marsh</v>
      </c>
      <c r="H149" s="49" t="str">
        <f ca="1">IFERROR(__xludf.DUMMYFUNCTION("""COMPUTED_VALUE"""),"amarsh@ucsd.edu")</f>
        <v>amarsh@ucsd.edu</v>
      </c>
      <c r="I149" s="49" t="str">
        <f ca="1">IFERROR(__xludf.DUMMYFUNCTION("""COMPUTED_VALUE"""),"Post Doc/Resident/Fellow (MD and/or PhD)")</f>
        <v>Post Doc/Resident/Fellow (MD and/or PhD)</v>
      </c>
      <c r="J149" s="49"/>
      <c r="K149" s="49" t="str">
        <f ca="1">IFERROR(__xludf.DUMMYFUNCTION("""COMPUTED_VALUE"""),"Variant Pathogenicity")</f>
        <v>Variant Pathogenicity</v>
      </c>
      <c r="L149" s="49"/>
      <c r="M149" s="49"/>
      <c r="N149" s="49"/>
      <c r="O149" s="49"/>
      <c r="P149" s="49"/>
      <c r="Q149" s="49"/>
      <c r="R149" s="49"/>
      <c r="S149" s="49"/>
      <c r="T149" s="49"/>
      <c r="U149" s="49"/>
      <c r="V149" s="49"/>
      <c r="W149" s="49"/>
      <c r="X149" s="49"/>
      <c r="Y149" s="49"/>
      <c r="Z149" s="49"/>
    </row>
    <row r="150" spans="1:26" ht="13">
      <c r="A150" s="49" t="str">
        <f ca="1">IFERROR(__xludf.DUMMYFUNCTION("""COMPUTED_VALUE"""),"Contacted")</f>
        <v>Contacted</v>
      </c>
      <c r="B150" s="49" t="str">
        <f ca="1">IFERROR(__xludf.DUMMYFUNCTION("""COMPUTED_VALUE"""),"")</f>
        <v/>
      </c>
      <c r="C150" s="87">
        <f ca="1">IFERROR(__xludf.DUMMYFUNCTION("""COMPUTED_VALUE"""),43585)</f>
        <v>43585</v>
      </c>
      <c r="D150" s="49" t="str">
        <f ca="1">IFERROR(__xludf.DUMMYFUNCTION("""COMPUTED_VALUE"""),"Yes")</f>
        <v>Yes</v>
      </c>
      <c r="E150" s="49" t="str">
        <f ca="1">IFERROR(__xludf.DUMMYFUNCTION("""COMPUTED_VALUE"""),"Gene Disease Validity")</f>
        <v>Gene Disease Validity</v>
      </c>
      <c r="F150" s="49" t="str">
        <f ca="1">IFERROR(__xludf.DUMMYFUNCTION("""COMPUTED_VALUE"""),"Monogenic Diabetes")</f>
        <v>Monogenic Diabetes</v>
      </c>
      <c r="G150" s="49" t="str">
        <f ca="1">IFERROR(__xludf.DUMMYFUNCTION("""COMPUTED_VALUE"""),"Kevin Colclough")</f>
        <v>Kevin Colclough</v>
      </c>
      <c r="H150" s="49" t="str">
        <f ca="1">IFERROR(__xludf.DUMMYFUNCTION("""COMPUTED_VALUE"""),"kevin.colclough@nhs.net")</f>
        <v>kevin.colclough@nhs.net</v>
      </c>
      <c r="I150" s="49" t="str">
        <f ca="1">IFERROR(__xludf.DUMMYFUNCTION("""COMPUTED_VALUE"""),"Clinical laboratory geneticist")</f>
        <v>Clinical laboratory geneticist</v>
      </c>
      <c r="J150" s="49"/>
      <c r="K150" s="49" t="str">
        <f ca="1">IFERROR(__xludf.DUMMYFUNCTION("""COMPUTED_VALUE"""),"Variant Pathogenicity")</f>
        <v>Variant Pathogenicity</v>
      </c>
      <c r="L150" s="49"/>
      <c r="M150" s="49"/>
      <c r="N150" s="49"/>
      <c r="O150" s="49"/>
      <c r="P150" s="49"/>
      <c r="Q150" s="49"/>
      <c r="R150" s="49"/>
      <c r="S150" s="49"/>
      <c r="T150" s="49"/>
      <c r="U150" s="49"/>
      <c r="V150" s="49"/>
      <c r="W150" s="49"/>
      <c r="X150" s="49"/>
      <c r="Y150" s="49"/>
      <c r="Z150" s="49"/>
    </row>
    <row r="151" spans="1:26" ht="13">
      <c r="A151" s="49" t="str">
        <f ca="1">IFERROR(__xludf.DUMMYFUNCTION("""COMPUTED_VALUE"""),"Contacted")</f>
        <v>Contacted</v>
      </c>
      <c r="B151" s="88">
        <f ca="1">IFERROR(__xludf.DUMMYFUNCTION("""COMPUTED_VALUE"""),43705)</f>
        <v>43705</v>
      </c>
      <c r="C151" s="49" t="str">
        <f ca="1">IFERROR(__xludf.DUMMYFUNCTION("""COMPUTED_VALUE"""),"")</f>
        <v/>
      </c>
      <c r="D151" s="49" t="str">
        <f ca="1">IFERROR(__xludf.DUMMYFUNCTION("""COMPUTED_VALUE"""),"")</f>
        <v/>
      </c>
      <c r="E151" s="49" t="str">
        <f ca="1">IFERROR(__xludf.DUMMYFUNCTION("""COMPUTED_VALUE"""),"Somatic Cancer")</f>
        <v>Somatic Cancer</v>
      </c>
      <c r="F151" s="49" t="str">
        <f ca="1">IFERROR(__xludf.DUMMYFUNCTION("""COMPUTED_VALUE"""),"")</f>
        <v/>
      </c>
      <c r="G151" s="49" t="str">
        <f ca="1">IFERROR(__xludf.DUMMYFUNCTION("""COMPUTED_VALUE"""),"Erin Sybouts")</f>
        <v>Erin Sybouts</v>
      </c>
      <c r="H151" s="49" t="str">
        <f ca="1">IFERROR(__xludf.DUMMYFUNCTION("""COMPUTED_VALUE"""),"sybouts@livemail.uthscsa.edu")</f>
        <v>sybouts@livemail.uthscsa.edu</v>
      </c>
      <c r="I151" s="49" t="str">
        <f ca="1">IFERROR(__xludf.DUMMYFUNCTION("""COMPUTED_VALUE"""),"Graduate Student")</f>
        <v>Graduate Student</v>
      </c>
      <c r="J151" s="49"/>
      <c r="K151" s="49" t="str">
        <f ca="1">IFERROR(__xludf.DUMMYFUNCTION("""COMPUTED_VALUE"""),"Somatic Cancer")</f>
        <v>Somatic Cancer</v>
      </c>
      <c r="L151" s="49"/>
      <c r="M151" s="49"/>
      <c r="N151" s="49"/>
      <c r="O151" s="49"/>
      <c r="P151" s="49"/>
      <c r="Q151" s="49"/>
      <c r="R151" s="49"/>
      <c r="S151" s="49"/>
      <c r="T151" s="49"/>
      <c r="U151" s="49"/>
      <c r="V151" s="49"/>
      <c r="W151" s="49"/>
      <c r="X151" s="49"/>
      <c r="Y151" s="49"/>
      <c r="Z151" s="49"/>
    </row>
    <row r="152" spans="1:26" ht="13">
      <c r="A152" s="49" t="str">
        <f ca="1">IFERROR(__xludf.DUMMYFUNCTION("""COMPUTED_VALUE"""),"Contacted")</f>
        <v>Contacted</v>
      </c>
      <c r="B152" s="49" t="str">
        <f ca="1">IFERROR(__xludf.DUMMYFUNCTION("""COMPUTED_VALUE"""),"")</f>
        <v/>
      </c>
      <c r="C152" s="87">
        <f ca="1">IFERROR(__xludf.DUMMYFUNCTION("""COMPUTED_VALUE"""),43692)</f>
        <v>43692</v>
      </c>
      <c r="D152" s="49" t="str">
        <f ca="1">IFERROR(__xludf.DUMMYFUNCTION("""COMPUTED_VALUE"""),"Yes")</f>
        <v>Yes</v>
      </c>
      <c r="E152" s="49" t="str">
        <f ca="1">IFERROR(__xludf.DUMMYFUNCTION("""COMPUTED_VALUE"""),"Gene Disease Validity")</f>
        <v>Gene Disease Validity</v>
      </c>
      <c r="F152" s="49" t="str">
        <f ca="1">IFERROR(__xludf.DUMMYFUNCTION("""COMPUTED_VALUE"""),"")</f>
        <v/>
      </c>
      <c r="G152" s="49" t="str">
        <f ca="1">IFERROR(__xludf.DUMMYFUNCTION("""COMPUTED_VALUE"""),"FEN GUO")</f>
        <v>FEN GUO</v>
      </c>
      <c r="H152" s="49" t="str">
        <f ca="1">IFERROR(__xludf.DUMMYFUNCTION("""COMPUTED_VALUE"""),"fguo34@wisc.edu")</f>
        <v>fguo34@wisc.edu</v>
      </c>
      <c r="I152" s="49" t="str">
        <f ca="1">IFERROR(__xludf.DUMMYFUNCTION("""COMPUTED_VALUE"""),"Post Doc/Resident/Fellow (MD and/or PhD)")</f>
        <v>Post Doc/Resident/Fellow (MD and/or PhD)</v>
      </c>
      <c r="J152" s="49"/>
      <c r="K152" s="49" t="str">
        <f ca="1">IFERROR(__xludf.DUMMYFUNCTION("""COMPUTED_VALUE"""),"Gene-Disease Validity")</f>
        <v>Gene-Disease Validity</v>
      </c>
      <c r="L152" s="49"/>
      <c r="M152" s="49"/>
      <c r="N152" s="49"/>
      <c r="O152" s="49"/>
      <c r="P152" s="49"/>
      <c r="Q152" s="49"/>
      <c r="R152" s="49"/>
      <c r="S152" s="49"/>
      <c r="T152" s="49"/>
      <c r="U152" s="49"/>
      <c r="V152" s="49"/>
      <c r="W152" s="49"/>
      <c r="X152" s="49"/>
      <c r="Y152" s="49"/>
      <c r="Z152" s="49"/>
    </row>
    <row r="153" spans="1:26" ht="13">
      <c r="A153" s="49" t="str">
        <f ca="1">IFERROR(__xludf.DUMMYFUNCTION("""COMPUTED_VALUE"""),"Contacted")</f>
        <v>Contacted</v>
      </c>
      <c r="B153" s="88">
        <f ca="1">IFERROR(__xludf.DUMMYFUNCTION("""COMPUTED_VALUE"""),43819)</f>
        <v>43819</v>
      </c>
      <c r="C153" s="49" t="str">
        <f ca="1">IFERROR(__xludf.DUMMYFUNCTION("""COMPUTED_VALUE"""),"")</f>
        <v/>
      </c>
      <c r="D153" s="49" t="str">
        <f ca="1">IFERROR(__xludf.DUMMYFUNCTION("""COMPUTED_VALUE"""),"")</f>
        <v/>
      </c>
      <c r="E153" s="49" t="str">
        <f ca="1">IFERROR(__xludf.DUMMYFUNCTION("""COMPUTED_VALUE"""),"Gene Disease Validity")</f>
        <v>Gene Disease Validity</v>
      </c>
      <c r="F153" s="49" t="str">
        <f ca="1">IFERROR(__xludf.DUMMYFUNCTION("""COMPUTED_VALUE"""),"")</f>
        <v/>
      </c>
      <c r="G153" s="49" t="str">
        <f ca="1">IFERROR(__xludf.DUMMYFUNCTION("""COMPUTED_VALUE"""),"Elizabeth Palmer")</f>
        <v>Elizabeth Palmer</v>
      </c>
      <c r="H153" s="49" t="str">
        <f ca="1">IFERROR(__xludf.DUMMYFUNCTION("""COMPUTED_VALUE"""),"elizabeth.palmer1@health.nsw.gov.au")</f>
        <v>elizabeth.palmer1@health.nsw.gov.au</v>
      </c>
      <c r="I153" s="49" t="str">
        <f ca="1">IFERROR(__xludf.DUMMYFUNCTION("""COMPUTED_VALUE"""),"Clinical Medical Geneticist")</f>
        <v>Clinical Medical Geneticist</v>
      </c>
      <c r="J153" s="49"/>
      <c r="K153" s="49" t="str">
        <f ca="1">IFERROR(__xludf.DUMMYFUNCTION("""COMPUTED_VALUE"""),"Gene-Disease Validity")</f>
        <v>Gene-Disease Validity</v>
      </c>
      <c r="L153" s="49"/>
      <c r="M153" s="49"/>
      <c r="N153" s="49"/>
      <c r="O153" s="49"/>
      <c r="P153" s="49"/>
      <c r="Q153" s="49"/>
      <c r="R153" s="49"/>
      <c r="S153" s="49"/>
      <c r="T153" s="49"/>
      <c r="U153" s="49"/>
      <c r="V153" s="49"/>
      <c r="W153" s="49"/>
      <c r="X153" s="49"/>
      <c r="Y153" s="49"/>
      <c r="Z153" s="49"/>
    </row>
    <row r="154" spans="1:26" ht="13">
      <c r="A154" s="49" t="str">
        <f ca="1">IFERROR(__xludf.DUMMYFUNCTION("""COMPUTED_VALUE"""),"Unresponsive")</f>
        <v>Unresponsive</v>
      </c>
      <c r="B154" s="49" t="str">
        <f ca="1">IFERROR(__xludf.DUMMYFUNCTION("""COMPUTED_VALUE"""),"")</f>
        <v/>
      </c>
      <c r="C154" s="88">
        <f ca="1">IFERROR(__xludf.DUMMYFUNCTION("""COMPUTED_VALUE"""),43476)</f>
        <v>43476</v>
      </c>
      <c r="D154" s="49" t="str">
        <f ca="1">IFERROR(__xludf.DUMMYFUNCTION("""COMPUTED_VALUE"""),"Yes")</f>
        <v>Yes</v>
      </c>
      <c r="E154" s="49" t="str">
        <f ca="1">IFERROR(__xludf.DUMMYFUNCTION("""COMPUTED_VALUE"""),"Somatic Cancer")</f>
        <v>Somatic Cancer</v>
      </c>
      <c r="F154" s="49" t="str">
        <f ca="1">IFERROR(__xludf.DUMMYFUNCTION("""COMPUTED_VALUE"""),"")</f>
        <v/>
      </c>
      <c r="G154" s="49" t="str">
        <f ca="1">IFERROR(__xludf.DUMMYFUNCTION("""COMPUTED_VALUE"""),"Lisa Dyer")</f>
        <v>Lisa Dyer</v>
      </c>
      <c r="H154" s="49" t="str">
        <f ca="1">IFERROR(__xludf.DUMMYFUNCTION("""COMPUTED_VALUE"""),"Lisa.Dyer@cchmc.org")</f>
        <v>Lisa.Dyer@cchmc.org</v>
      </c>
      <c r="I154" s="49" t="str">
        <f ca="1">IFERROR(__xludf.DUMMYFUNCTION("""COMPUTED_VALUE"""),"NA")</f>
        <v>NA</v>
      </c>
      <c r="J154" s="49"/>
      <c r="K154" s="49" t="str">
        <f ca="1">IFERROR(__xludf.DUMMYFUNCTION("""COMPUTED_VALUE"""),"Somatic Cancer")</f>
        <v>Somatic Cancer</v>
      </c>
      <c r="L154" s="49"/>
      <c r="M154" s="49"/>
      <c r="N154" s="49"/>
      <c r="O154" s="49"/>
      <c r="P154" s="49"/>
      <c r="Q154" s="49"/>
      <c r="R154" s="49"/>
      <c r="S154" s="49"/>
      <c r="T154" s="49"/>
      <c r="U154" s="49"/>
      <c r="V154" s="49"/>
      <c r="W154" s="49"/>
      <c r="X154" s="49"/>
      <c r="Y154" s="49"/>
      <c r="Z154" s="49"/>
    </row>
    <row r="155" spans="1:26" ht="13">
      <c r="A155" s="49" t="str">
        <f ca="1">IFERROR(__xludf.DUMMYFUNCTION("""COMPUTED_VALUE"""),"Contacted")</f>
        <v>Contacted</v>
      </c>
      <c r="B155" s="88">
        <f ca="1">IFERROR(__xludf.DUMMYFUNCTION("""COMPUTED_VALUE"""),43819)</f>
        <v>43819</v>
      </c>
      <c r="C155" s="49" t="str">
        <f ca="1">IFERROR(__xludf.DUMMYFUNCTION("""COMPUTED_VALUE"""),"")</f>
        <v/>
      </c>
      <c r="D155" s="49" t="str">
        <f ca="1">IFERROR(__xludf.DUMMYFUNCTION("""COMPUTED_VALUE"""),"")</f>
        <v/>
      </c>
      <c r="E155" s="49" t="str">
        <f ca="1">IFERROR(__xludf.DUMMYFUNCTION("""COMPUTED_VALUE"""),"Gene Disease Validity")</f>
        <v>Gene Disease Validity</v>
      </c>
      <c r="F155" s="49" t="str">
        <f ca="1">IFERROR(__xludf.DUMMYFUNCTION("""COMPUTED_VALUE"""),"")</f>
        <v/>
      </c>
      <c r="G155" s="49" t="str">
        <f ca="1">IFERROR(__xludf.DUMMYFUNCTION("""COMPUTED_VALUE"""),"Andrea Hallberg")</f>
        <v>Andrea Hallberg</v>
      </c>
      <c r="H155" s="49" t="str">
        <f ca="1">IFERROR(__xludf.DUMMYFUNCTION("""COMPUTED_VALUE"""),"hallberg.andrea@gmail.com")</f>
        <v>hallberg.andrea@gmail.com</v>
      </c>
      <c r="I155" s="49" t="str">
        <f ca="1">IFERROR(__xludf.DUMMYFUNCTION("""COMPUTED_VALUE"""),"Post Doc/Resident/Fellow (MD and/or PhD)")</f>
        <v>Post Doc/Resident/Fellow (MD and/or PhD)</v>
      </c>
      <c r="J155" s="49"/>
      <c r="K155" s="49" t="str">
        <f ca="1">IFERROR(__xludf.DUMMYFUNCTION("""COMPUTED_VALUE"""),"Gene-Disease Validity")</f>
        <v>Gene-Disease Validity</v>
      </c>
      <c r="L155" s="49"/>
      <c r="M155" s="49"/>
      <c r="N155" s="49"/>
      <c r="O155" s="49"/>
      <c r="P155" s="49"/>
      <c r="Q155" s="49"/>
      <c r="R155" s="49"/>
      <c r="S155" s="49"/>
      <c r="T155" s="49"/>
      <c r="U155" s="49"/>
      <c r="V155" s="49"/>
      <c r="W155" s="49"/>
      <c r="X155" s="49"/>
      <c r="Y155" s="49"/>
      <c r="Z155" s="49"/>
    </row>
    <row r="156" spans="1:26" ht="13">
      <c r="A156" s="49" t="str">
        <f ca="1">IFERROR(__xludf.DUMMYFUNCTION("""COMPUTED_VALUE"""),"Contacted")</f>
        <v>Contacted</v>
      </c>
      <c r="B156" s="88">
        <f ca="1">IFERROR(__xludf.DUMMYFUNCTION("""COMPUTED_VALUE"""),43819)</f>
        <v>43819</v>
      </c>
      <c r="C156" s="49" t="str">
        <f ca="1">IFERROR(__xludf.DUMMYFUNCTION("""COMPUTED_VALUE"""),"")</f>
        <v/>
      </c>
      <c r="D156" s="49" t="str">
        <f ca="1">IFERROR(__xludf.DUMMYFUNCTION("""COMPUTED_VALUE"""),"")</f>
        <v/>
      </c>
      <c r="E156" s="49" t="str">
        <f ca="1">IFERROR(__xludf.DUMMYFUNCTION("""COMPUTED_VALUE"""),"Variant Pathogenicity")</f>
        <v>Variant Pathogenicity</v>
      </c>
      <c r="F156" s="49" t="str">
        <f ca="1">IFERROR(__xludf.DUMMYFUNCTION("""COMPUTED_VALUE"""),"")</f>
        <v/>
      </c>
      <c r="G156" s="49" t="str">
        <f ca="1">IFERROR(__xludf.DUMMYFUNCTION("""COMPUTED_VALUE"""),"Lisa Chen")</f>
        <v>Lisa Chen</v>
      </c>
      <c r="H156" s="49" t="str">
        <f ca="1">IFERROR(__xludf.DUMMYFUNCTION("""COMPUTED_VALUE"""),"lisa498484901@gmail.com")</f>
        <v>lisa498484901@gmail.com</v>
      </c>
      <c r="I156" s="49" t="str">
        <f ca="1">IFERROR(__xludf.DUMMYFUNCTION("""COMPUTED_VALUE"""),"Graduate Student")</f>
        <v>Graduate Student</v>
      </c>
      <c r="J156" s="49"/>
      <c r="K156" s="49" t="str">
        <f ca="1">IFERROR(__xludf.DUMMYFUNCTION("""COMPUTED_VALUE"""),"Variant Pathogenicity")</f>
        <v>Variant Pathogenicity</v>
      </c>
      <c r="L156" s="49"/>
      <c r="M156" s="49"/>
      <c r="N156" s="49"/>
      <c r="O156" s="49"/>
      <c r="P156" s="49"/>
      <c r="Q156" s="49"/>
      <c r="R156" s="49"/>
      <c r="S156" s="49"/>
      <c r="T156" s="49"/>
      <c r="U156" s="49"/>
      <c r="V156" s="49"/>
      <c r="W156" s="49"/>
      <c r="X156" s="49"/>
      <c r="Y156" s="49"/>
      <c r="Z156" s="49"/>
    </row>
    <row r="157" spans="1:26" ht="13">
      <c r="A157" s="49" t="str">
        <f ca="1">IFERROR(__xludf.DUMMYFUNCTION("""COMPUTED_VALUE"""),"Contacted")</f>
        <v>Contacted</v>
      </c>
      <c r="B157" s="88">
        <f ca="1">IFERROR(__xludf.DUMMYFUNCTION("""COMPUTED_VALUE"""),43819)</f>
        <v>43819</v>
      </c>
      <c r="C157" s="49" t="str">
        <f ca="1">IFERROR(__xludf.DUMMYFUNCTION("""COMPUTED_VALUE"""),"")</f>
        <v/>
      </c>
      <c r="D157" s="49" t="str">
        <f ca="1">IFERROR(__xludf.DUMMYFUNCTION("""COMPUTED_VALUE"""),"")</f>
        <v/>
      </c>
      <c r="E157" s="49" t="str">
        <f ca="1">IFERROR(__xludf.DUMMYFUNCTION("""COMPUTED_VALUE"""),"Gene Disease Validity")</f>
        <v>Gene Disease Validity</v>
      </c>
      <c r="F157" s="49" t="str">
        <f ca="1">IFERROR(__xludf.DUMMYFUNCTION("""COMPUTED_VALUE"""),"")</f>
        <v/>
      </c>
      <c r="G157" s="49" t="str">
        <f ca="1">IFERROR(__xludf.DUMMYFUNCTION("""COMPUTED_VALUE"""),"Ingrid Paine")</f>
        <v>Ingrid Paine</v>
      </c>
      <c r="H157" s="49" t="str">
        <f ca="1">IFERROR(__xludf.DUMMYFUNCTION("""COMPUTED_VALUE"""),"runquist@alumni.bcm.edu")</f>
        <v>runquist@alumni.bcm.edu</v>
      </c>
      <c r="I157" s="49" t="str">
        <f ca="1">IFERROR(__xludf.DUMMYFUNCTION("""COMPUTED_VALUE"""),"Post Doc/Resident/Fellow (MD and/or PhD)")</f>
        <v>Post Doc/Resident/Fellow (MD and/or PhD)</v>
      </c>
      <c r="J157" s="49"/>
      <c r="K157" s="49" t="str">
        <f ca="1">IFERROR(__xludf.DUMMYFUNCTION("""COMPUTED_VALUE"""),"Gene-Disease Validity")</f>
        <v>Gene-Disease Validity</v>
      </c>
      <c r="L157" s="49"/>
      <c r="M157" s="49"/>
      <c r="N157" s="49"/>
      <c r="O157" s="49"/>
      <c r="P157" s="49"/>
      <c r="Q157" s="49"/>
      <c r="R157" s="49"/>
      <c r="S157" s="49"/>
      <c r="T157" s="49"/>
      <c r="U157" s="49"/>
      <c r="V157" s="49"/>
      <c r="W157" s="49"/>
      <c r="X157" s="49"/>
      <c r="Y157" s="49"/>
      <c r="Z157" s="49"/>
    </row>
    <row r="158" spans="1:26" ht="13">
      <c r="A158" s="49" t="str">
        <f ca="1">IFERROR(__xludf.DUMMYFUNCTION("""COMPUTED_VALUE"""),"Unassigned")</f>
        <v>Unassigned</v>
      </c>
      <c r="B158" s="49" t="str">
        <f ca="1">IFERROR(__xludf.DUMMYFUNCTION("""COMPUTED_VALUE"""),"")</f>
        <v/>
      </c>
      <c r="C158" s="49" t="str">
        <f ca="1">IFERROR(__xludf.DUMMYFUNCTION("""COMPUTED_VALUE"""),"")</f>
        <v/>
      </c>
      <c r="D158" s="49" t="str">
        <f ca="1">IFERROR(__xludf.DUMMYFUNCTION("""COMPUTED_VALUE"""),"")</f>
        <v/>
      </c>
      <c r="E158" s="49" t="str">
        <f ca="1">IFERROR(__xludf.DUMMYFUNCTION("""COMPUTED_VALUE"""),"Baseline")</f>
        <v>Baseline</v>
      </c>
      <c r="F158" s="49" t="str">
        <f ca="1">IFERROR(__xludf.DUMMYFUNCTION("""COMPUTED_VALUE"""),"")</f>
        <v/>
      </c>
      <c r="G158" s="49" t="str">
        <f ca="1">IFERROR(__xludf.DUMMYFUNCTION("""COMPUTED_VALUE"""),"Michelle Paczosa")</f>
        <v>Michelle Paczosa</v>
      </c>
      <c r="H158" s="49" t="str">
        <f ca="1">IFERROR(__xludf.DUMMYFUNCTION("""COMPUTED_VALUE"""),"Michelle.K.Paczosa@questdiagnostics.com")</f>
        <v>Michelle.K.Paczosa@questdiagnostics.com</v>
      </c>
      <c r="I158" s="49" t="str">
        <f ca="1">IFERROR(__xludf.DUMMYFUNCTION("""COMPUTED_VALUE"""),"Variant Analyst/Scientist - Industry")</f>
        <v>Variant Analyst/Scientist - Industry</v>
      </c>
      <c r="J158" s="49"/>
      <c r="K158" s="49" t="str">
        <f ca="1">IFERROR(__xludf.DUMMYFUNCTION("""COMPUTED_VALUE"""),"Dosage Sensitivity")</f>
        <v>Dosage Sensitivity</v>
      </c>
      <c r="L158" s="49"/>
      <c r="M158" s="49"/>
      <c r="N158" s="49"/>
      <c r="O158" s="49"/>
      <c r="P158" s="49"/>
      <c r="Q158" s="49"/>
      <c r="R158" s="49"/>
      <c r="S158" s="49"/>
      <c r="T158" s="49"/>
      <c r="U158" s="49"/>
      <c r="V158" s="49"/>
      <c r="W158" s="49"/>
      <c r="X158" s="49"/>
      <c r="Y158" s="49"/>
      <c r="Z158" s="49"/>
    </row>
    <row r="159" spans="1:26" ht="13">
      <c r="A159" s="49" t="str">
        <f ca="1">IFERROR(__xludf.DUMMYFUNCTION("""COMPUTED_VALUE"""),"Assigned")</f>
        <v>Assigned</v>
      </c>
      <c r="B159" s="49" t="str">
        <f ca="1">IFERROR(__xludf.DUMMYFUNCTION("""COMPUTED_VALUE"""),"")</f>
        <v/>
      </c>
      <c r="C159" s="88">
        <f ca="1">IFERROR(__xludf.DUMMYFUNCTION("""COMPUTED_VALUE"""),43605)</f>
        <v>43605</v>
      </c>
      <c r="D159" s="49" t="str">
        <f ca="1">IFERROR(__xludf.DUMMYFUNCTION("""COMPUTED_VALUE"""),"Yes")</f>
        <v>Yes</v>
      </c>
      <c r="E159" s="49" t="str">
        <f ca="1">IFERROR(__xludf.DUMMYFUNCTION("""COMPUTED_VALUE"""),"Variant Pathogenicity")</f>
        <v>Variant Pathogenicity</v>
      </c>
      <c r="F159" s="49" t="str">
        <f ca="1">IFERROR(__xludf.DUMMYFUNCTION("""COMPUTED_VALUE"""),"TP53")</f>
        <v>TP53</v>
      </c>
      <c r="G159" s="49" t="str">
        <f ca="1">IFERROR(__xludf.DUMMYFUNCTION("""COMPUTED_VALUE"""),"Olivia Rennie")</f>
        <v>Olivia Rennie</v>
      </c>
      <c r="H159" s="49" t="str">
        <f ca="1">IFERROR(__xludf.DUMMYFUNCTION("""COMPUTED_VALUE"""),"olivia.rennie@sickkids.ca")</f>
        <v>olivia.rennie@sickkids.ca</v>
      </c>
      <c r="I159" s="49" t="str">
        <f ca="1">IFERROR(__xludf.DUMMYFUNCTION("""COMPUTED_VALUE"""),"Biocurator")</f>
        <v>Biocurator</v>
      </c>
      <c r="J159" s="49"/>
      <c r="K159" s="49" t="str">
        <f ca="1">IFERROR(__xludf.DUMMYFUNCTION("""COMPUTED_VALUE"""),"Variant Pathogenicity")</f>
        <v>Variant Pathogenicity</v>
      </c>
      <c r="L159" s="49"/>
      <c r="M159" s="49"/>
      <c r="N159" s="49"/>
      <c r="O159" s="49"/>
      <c r="P159" s="49"/>
      <c r="Q159" s="49"/>
      <c r="R159" s="49"/>
      <c r="S159" s="49"/>
      <c r="T159" s="49"/>
      <c r="U159" s="49"/>
      <c r="V159" s="49"/>
      <c r="W159" s="49"/>
      <c r="X159" s="49"/>
      <c r="Y159" s="49"/>
      <c r="Z159" s="49"/>
    </row>
    <row r="160" spans="1:26" ht="13">
      <c r="A160" s="49" t="str">
        <f ca="1">IFERROR(__xludf.DUMMYFUNCTION("""COMPUTED_VALUE"""),"Contacted")</f>
        <v>Contacted</v>
      </c>
      <c r="B160" s="49" t="str">
        <f ca="1">IFERROR(__xludf.DUMMYFUNCTION("""COMPUTED_VALUE"""),"")</f>
        <v/>
      </c>
      <c r="C160" s="88">
        <f ca="1">IFERROR(__xludf.DUMMYFUNCTION("""COMPUTED_VALUE"""),43627)</f>
        <v>43627</v>
      </c>
      <c r="D160" s="49" t="str">
        <f ca="1">IFERROR(__xludf.DUMMYFUNCTION("""COMPUTED_VALUE"""),"Yes")</f>
        <v>Yes</v>
      </c>
      <c r="E160" s="49" t="str">
        <f ca="1">IFERROR(__xludf.DUMMYFUNCTION("""COMPUTED_VALUE"""),"NA")</f>
        <v>NA</v>
      </c>
      <c r="F160" s="49" t="str">
        <f ca="1">IFERROR(__xludf.DUMMYFUNCTION("""COMPUTED_VALUE"""),"")</f>
        <v/>
      </c>
      <c r="G160" s="49" t="str">
        <f ca="1">IFERROR(__xludf.DUMMYFUNCTION("""COMPUTED_VALUE"""),"Aleš Maver")</f>
        <v>Aleš Maver</v>
      </c>
      <c r="H160" s="49" t="str">
        <f ca="1">IFERROR(__xludf.DUMMYFUNCTION("""COMPUTED_VALUE"""),"ales.maver@kclj.si")</f>
        <v>ales.maver@kclj.si</v>
      </c>
      <c r="I160" s="49" t="str">
        <f ca="1">IFERROR(__xludf.DUMMYFUNCTION("""COMPUTED_VALUE"""),"Clinical laboratory geneticist")</f>
        <v>Clinical laboratory geneticist</v>
      </c>
      <c r="J160" s="49"/>
      <c r="K160" s="49" t="str">
        <f ca="1">IFERROR(__xludf.DUMMYFUNCTION("""COMPUTED_VALUE"""),"Variant Pathogenicity")</f>
        <v>Variant Pathogenicity</v>
      </c>
      <c r="L160" s="49"/>
      <c r="M160" s="49"/>
      <c r="N160" s="49"/>
      <c r="O160" s="49"/>
      <c r="P160" s="49"/>
      <c r="Q160" s="49"/>
      <c r="R160" s="49"/>
      <c r="S160" s="49"/>
      <c r="T160" s="49"/>
      <c r="U160" s="49"/>
      <c r="V160" s="49"/>
      <c r="W160" s="49"/>
      <c r="X160" s="49"/>
      <c r="Y160" s="49"/>
      <c r="Z160" s="49"/>
    </row>
    <row r="161" spans="1:26" ht="13">
      <c r="A161" s="49" t="str">
        <f ca="1">IFERROR(__xludf.DUMMYFUNCTION("""COMPUTED_VALUE"""),"Contacted")</f>
        <v>Contacted</v>
      </c>
      <c r="B161" s="88">
        <f ca="1">IFERROR(__xludf.DUMMYFUNCTION("""COMPUTED_VALUE"""),43689)</f>
        <v>43689</v>
      </c>
      <c r="C161" s="49" t="str">
        <f ca="1">IFERROR(__xludf.DUMMYFUNCTION("""COMPUTED_VALUE"""),"")</f>
        <v/>
      </c>
      <c r="D161" s="49" t="str">
        <f ca="1">IFERROR(__xludf.DUMMYFUNCTION("""COMPUTED_VALUE"""),"")</f>
        <v/>
      </c>
      <c r="E161" s="49" t="str">
        <f ca="1">IFERROR(__xludf.DUMMYFUNCTION("""COMPUTED_VALUE"""),"Actionability")</f>
        <v>Actionability</v>
      </c>
      <c r="F161" s="49" t="str">
        <f ca="1">IFERROR(__xludf.DUMMYFUNCTION("""COMPUTED_VALUE"""),"")</f>
        <v/>
      </c>
      <c r="G161" s="49" t="str">
        <f ca="1">IFERROR(__xludf.DUMMYFUNCTION("""COMPUTED_VALUE"""),"Léon Tshilolo")</f>
        <v>Léon Tshilolo</v>
      </c>
      <c r="H161" s="49" t="str">
        <f ca="1">IFERROR(__xludf.DUMMYFUNCTION("""COMPUTED_VALUE"""),"leon.tshilolo2012@gmail.com")</f>
        <v>leon.tshilolo2012@gmail.com</v>
      </c>
      <c r="I161" s="49" t="str">
        <f ca="1">IFERROR(__xludf.DUMMYFUNCTION("""COMPUTED_VALUE"""),"hematologist, expert of SCD")</f>
        <v>hematologist, expert of SCD</v>
      </c>
      <c r="J161" s="49"/>
      <c r="K161" s="49" t="str">
        <f ca="1">IFERROR(__xludf.DUMMYFUNCTION("""COMPUTED_VALUE"""),"Clinical Actionability")</f>
        <v>Clinical Actionability</v>
      </c>
      <c r="L161" s="49"/>
      <c r="M161" s="49"/>
      <c r="N161" s="49"/>
      <c r="O161" s="49"/>
      <c r="P161" s="49"/>
      <c r="Q161" s="49"/>
      <c r="R161" s="49"/>
      <c r="S161" s="49"/>
      <c r="T161" s="49"/>
      <c r="U161" s="49"/>
      <c r="V161" s="49"/>
      <c r="W161" s="49"/>
      <c r="X161" s="49"/>
      <c r="Y161" s="49"/>
      <c r="Z161" s="49"/>
    </row>
    <row r="162" spans="1:26" ht="13">
      <c r="A162" s="49" t="str">
        <f ca="1">IFERROR(__xludf.DUMMYFUNCTION("""COMPUTED_VALUE"""),"Contacted")</f>
        <v>Contacted</v>
      </c>
      <c r="B162" s="88">
        <f ca="1">IFERROR(__xludf.DUMMYFUNCTION("""COMPUTED_VALUE"""),43819)</f>
        <v>43819</v>
      </c>
      <c r="C162" s="88" t="str">
        <f ca="1">IFERROR(__xludf.DUMMYFUNCTION("""COMPUTED_VALUE"""),"")</f>
        <v/>
      </c>
      <c r="D162" s="49" t="str">
        <f ca="1">IFERROR(__xludf.DUMMYFUNCTION("""COMPUTED_VALUE"""),"")</f>
        <v/>
      </c>
      <c r="E162" s="49" t="str">
        <f ca="1">IFERROR(__xludf.DUMMYFUNCTION("""COMPUTED_VALUE"""),"Gene Disease Validity")</f>
        <v>Gene Disease Validity</v>
      </c>
      <c r="F162" s="49" t="str">
        <f ca="1">IFERROR(__xludf.DUMMYFUNCTION("""COMPUTED_VALUE"""),"")</f>
        <v/>
      </c>
      <c r="G162" s="49" t="str">
        <f ca="1">IFERROR(__xludf.DUMMYFUNCTION("""COMPUTED_VALUE"""),"Emma Reble")</f>
        <v>Emma Reble</v>
      </c>
      <c r="H162" s="49" t="str">
        <f ca="1">IFERROR(__xludf.DUMMYFUNCTION("""COMPUTED_VALUE"""),"reblee@smh.ca")</f>
        <v>reblee@smh.ca</v>
      </c>
      <c r="I162" s="49" t="str">
        <f ca="1">IFERROR(__xludf.DUMMYFUNCTION("""COMPUTED_VALUE"""),"Variant Analyst/Scientist - Academic")</f>
        <v>Variant Analyst/Scientist - Academic</v>
      </c>
      <c r="J162" s="49"/>
      <c r="K162" s="49" t="str">
        <f ca="1">IFERROR(__xludf.DUMMYFUNCTION("""COMPUTED_VALUE"""),"Gene-Disease Validity")</f>
        <v>Gene-Disease Validity</v>
      </c>
      <c r="L162" s="49"/>
      <c r="M162" s="49"/>
      <c r="N162" s="49"/>
      <c r="O162" s="49"/>
      <c r="P162" s="49"/>
      <c r="Q162" s="49"/>
      <c r="R162" s="49"/>
      <c r="S162" s="49"/>
      <c r="T162" s="49"/>
      <c r="U162" s="49"/>
      <c r="V162" s="49"/>
      <c r="W162" s="49"/>
      <c r="X162" s="49"/>
      <c r="Y162" s="49"/>
      <c r="Z162" s="49"/>
    </row>
    <row r="163" spans="1:26" ht="13">
      <c r="A163" s="49" t="str">
        <f ca="1">IFERROR(__xludf.DUMMYFUNCTION("""COMPUTED_VALUE"""),"Contacted")</f>
        <v>Contacted</v>
      </c>
      <c r="B163" s="49" t="str">
        <f ca="1">IFERROR(__xludf.DUMMYFUNCTION("""COMPUTED_VALUE"""),"")</f>
        <v/>
      </c>
      <c r="C163" s="88">
        <f ca="1">IFERROR(__xludf.DUMMYFUNCTION("""COMPUTED_VALUE"""),43627)</f>
        <v>43627</v>
      </c>
      <c r="D163" s="49" t="str">
        <f ca="1">IFERROR(__xludf.DUMMYFUNCTION("""COMPUTED_VALUE"""),"Yes")</f>
        <v>Yes</v>
      </c>
      <c r="E163" s="49" t="str">
        <f ca="1">IFERROR(__xludf.DUMMYFUNCTION("""COMPUTED_VALUE"""),"NA")</f>
        <v>NA</v>
      </c>
      <c r="F163" s="49" t="str">
        <f ca="1">IFERROR(__xludf.DUMMYFUNCTION("""COMPUTED_VALUE"""),"")</f>
        <v/>
      </c>
      <c r="G163" s="49" t="str">
        <f ca="1">IFERROR(__xludf.DUMMYFUNCTION("""COMPUTED_VALUE"""),"Robert Butler")</f>
        <v>Robert Butler</v>
      </c>
      <c r="H163" s="49" t="str">
        <f ca="1">IFERROR(__xludf.DUMMYFUNCTION("""COMPUTED_VALUE"""),"rbutler@northshore.org")</f>
        <v>rbutler@northshore.org</v>
      </c>
      <c r="I163" s="49" t="str">
        <f ca="1">IFERROR(__xludf.DUMMYFUNCTION("""COMPUTED_VALUE"""),"Post Doc/Resident/Fellow (MD and/or PhD)")</f>
        <v>Post Doc/Resident/Fellow (MD and/or PhD)</v>
      </c>
      <c r="J163" s="49"/>
      <c r="K163" s="49" t="str">
        <f ca="1">IFERROR(__xludf.DUMMYFUNCTION("""COMPUTED_VALUE"""),"Variant Pathogenicity")</f>
        <v>Variant Pathogenicity</v>
      </c>
      <c r="L163" s="49"/>
      <c r="M163" s="49"/>
      <c r="N163" s="49"/>
      <c r="O163" s="49"/>
      <c r="P163" s="49"/>
      <c r="Q163" s="49"/>
      <c r="R163" s="49"/>
      <c r="S163" s="49"/>
      <c r="T163" s="49"/>
      <c r="U163" s="49"/>
      <c r="V163" s="49"/>
      <c r="W163" s="49"/>
      <c r="X163" s="49"/>
      <c r="Y163" s="49"/>
      <c r="Z163" s="49"/>
    </row>
    <row r="164" spans="1:26" ht="13">
      <c r="A164" s="49" t="str">
        <f ca="1">IFERROR(__xludf.DUMMYFUNCTION("""COMPUTED_VALUE"""),"Contacted")</f>
        <v>Contacted</v>
      </c>
      <c r="B164" s="49" t="str">
        <f ca="1">IFERROR(__xludf.DUMMYFUNCTION("""COMPUTED_VALUE"""),"")</f>
        <v/>
      </c>
      <c r="C164" s="88">
        <f ca="1">IFERROR(__xludf.DUMMYFUNCTION("""COMPUTED_VALUE"""),43626)</f>
        <v>43626</v>
      </c>
      <c r="D164" s="49" t="str">
        <f ca="1">IFERROR(__xludf.DUMMYFUNCTION("""COMPUTED_VALUE"""),"Yes")</f>
        <v>Yes</v>
      </c>
      <c r="E164" s="49" t="str">
        <f ca="1">IFERROR(__xludf.DUMMYFUNCTION("""COMPUTED_VALUE"""),"Variant Pathogenicity")</f>
        <v>Variant Pathogenicity</v>
      </c>
      <c r="F164" s="49" t="str">
        <f ca="1">IFERROR(__xludf.DUMMYFUNCTION("""COMPUTED_VALUE"""),"")</f>
        <v/>
      </c>
      <c r="G164" s="49" t="str">
        <f ca="1">IFERROR(__xludf.DUMMYFUNCTION("""COMPUTED_VALUE"""),"Ljubica Caldovic")</f>
        <v>Ljubica Caldovic</v>
      </c>
      <c r="H164" s="49" t="str">
        <f ca="1">IFERROR(__xludf.DUMMYFUNCTION("""COMPUTED_VALUE"""),"lcaldovic@childrensnational.org")</f>
        <v>lcaldovic@childrensnational.org</v>
      </c>
      <c r="I164" s="49" t="str">
        <f ca="1">IFERROR(__xludf.DUMMYFUNCTION("""COMPUTED_VALUE"""),"Scientific Researcher")</f>
        <v>Scientific Researcher</v>
      </c>
      <c r="J164" s="49"/>
      <c r="K164" s="49" t="str">
        <f ca="1">IFERROR(__xludf.DUMMYFUNCTION("""COMPUTED_VALUE"""),"Variant Pathogenicity")</f>
        <v>Variant Pathogenicity</v>
      </c>
      <c r="L164" s="49"/>
      <c r="M164" s="49"/>
      <c r="N164" s="49"/>
      <c r="O164" s="49"/>
      <c r="P164" s="49"/>
      <c r="Q164" s="49"/>
      <c r="R164" s="49"/>
      <c r="S164" s="49"/>
      <c r="T164" s="49"/>
      <c r="U164" s="49"/>
      <c r="V164" s="49"/>
      <c r="W164" s="49"/>
      <c r="X164" s="49"/>
      <c r="Y164" s="49"/>
      <c r="Z164" s="49"/>
    </row>
    <row r="165" spans="1:26" ht="13">
      <c r="A165" s="49" t="str">
        <f ca="1">IFERROR(__xludf.DUMMYFUNCTION("""COMPUTED_VALUE"""),"Assigned")</f>
        <v>Assigned</v>
      </c>
      <c r="B165" s="49" t="str">
        <f ca="1">IFERROR(__xludf.DUMMYFUNCTION("""COMPUTED_VALUE"""),"")</f>
        <v/>
      </c>
      <c r="C165" s="88">
        <f ca="1">IFERROR(__xludf.DUMMYFUNCTION("""COMPUTED_VALUE"""),43627)</f>
        <v>43627</v>
      </c>
      <c r="D165" s="49" t="str">
        <f ca="1">IFERROR(__xludf.DUMMYFUNCTION("""COMPUTED_VALUE"""),"Yes")</f>
        <v>Yes</v>
      </c>
      <c r="E165" s="49" t="str">
        <f ca="1">IFERROR(__xludf.DUMMYFUNCTION("""COMPUTED_VALUE"""),"Variant Pathogenicity")</f>
        <v>Variant Pathogenicity</v>
      </c>
      <c r="F165" s="49" t="str">
        <f ca="1">IFERROR(__xludf.DUMMYFUNCTION("""COMPUTED_VALUE"""),"Mito")</f>
        <v>Mito</v>
      </c>
      <c r="G165" s="49" t="str">
        <f ca="1">IFERROR(__xludf.DUMMYFUNCTION("""COMPUTED_VALUE"""),"Joy Goffena")</f>
        <v>Joy Goffena</v>
      </c>
      <c r="H165" s="49" t="str">
        <f ca="1">IFERROR(__xludf.DUMMYFUNCTION("""COMPUTED_VALUE"""),"joy.goffena@gmail.com")</f>
        <v>joy.goffena@gmail.com</v>
      </c>
      <c r="I165" s="49" t="str">
        <f ca="1">IFERROR(__xludf.DUMMYFUNCTION("""COMPUTED_VALUE"""),"Scientific Researcher")</f>
        <v>Scientific Researcher</v>
      </c>
      <c r="J165" s="49"/>
      <c r="K165" s="49" t="str">
        <f ca="1">IFERROR(__xludf.DUMMYFUNCTION("""COMPUTED_VALUE"""),"Variant Pathogenicity")</f>
        <v>Variant Pathogenicity</v>
      </c>
      <c r="L165" s="49"/>
      <c r="M165" s="49"/>
      <c r="N165" s="49"/>
      <c r="O165" s="49"/>
      <c r="P165" s="49"/>
      <c r="Q165" s="49"/>
      <c r="R165" s="49"/>
      <c r="S165" s="49"/>
      <c r="T165" s="49"/>
      <c r="U165" s="49"/>
      <c r="V165" s="49"/>
      <c r="W165" s="49"/>
      <c r="X165" s="49"/>
      <c r="Y165" s="49"/>
      <c r="Z165" s="49"/>
    </row>
    <row r="166" spans="1:26" ht="13">
      <c r="A166" s="49" t="str">
        <f ca="1">IFERROR(__xludf.DUMMYFUNCTION("""COMPUTED_VALUE"""),"Contacted")</f>
        <v>Contacted</v>
      </c>
      <c r="B166" s="49" t="str">
        <f ca="1">IFERROR(__xludf.DUMMYFUNCTION("""COMPUTED_VALUE"""),"")</f>
        <v/>
      </c>
      <c r="C166" s="87">
        <f ca="1">IFERROR(__xludf.DUMMYFUNCTION("""COMPUTED_VALUE"""),43692)</f>
        <v>43692</v>
      </c>
      <c r="D166" s="49" t="str">
        <f ca="1">IFERROR(__xludf.DUMMYFUNCTION("""COMPUTED_VALUE"""),"Yes")</f>
        <v>Yes</v>
      </c>
      <c r="E166" s="49" t="str">
        <f ca="1">IFERROR(__xludf.DUMMYFUNCTION("""COMPUTED_VALUE"""),"Gene Disease Validity")</f>
        <v>Gene Disease Validity</v>
      </c>
      <c r="F166" s="49" t="str">
        <f ca="1">IFERROR(__xludf.DUMMYFUNCTION("""COMPUTED_VALUE"""),"")</f>
        <v/>
      </c>
      <c r="G166" s="49" t="str">
        <f ca="1">IFERROR(__xludf.DUMMYFUNCTION("""COMPUTED_VALUE"""),"Amruta Phatak")</f>
        <v>Amruta Phatak</v>
      </c>
      <c r="H166" s="49" t="str">
        <f ca="1">IFERROR(__xludf.DUMMYFUNCTION("""COMPUTED_VALUE"""),"arphatak@iu.edu")</f>
        <v>arphatak@iu.edu</v>
      </c>
      <c r="I166" s="49" t="str">
        <f ca="1">IFERROR(__xludf.DUMMYFUNCTION("""COMPUTED_VALUE"""),"Post Doc/Resident/Fellow (MD and/or PhD)")</f>
        <v>Post Doc/Resident/Fellow (MD and/or PhD)</v>
      </c>
      <c r="J166" s="49"/>
      <c r="K166" s="49" t="str">
        <f ca="1">IFERROR(__xludf.DUMMYFUNCTION("""COMPUTED_VALUE"""),"Gene-Disease Validity")</f>
        <v>Gene-Disease Validity</v>
      </c>
      <c r="L166" s="49"/>
      <c r="M166" s="49"/>
      <c r="N166" s="49"/>
      <c r="O166" s="49"/>
      <c r="P166" s="49"/>
      <c r="Q166" s="49"/>
      <c r="R166" s="49"/>
      <c r="S166" s="49"/>
      <c r="T166" s="49"/>
      <c r="U166" s="49"/>
      <c r="V166" s="49"/>
      <c r="W166" s="49"/>
      <c r="X166" s="49"/>
      <c r="Y166" s="49"/>
      <c r="Z166" s="49"/>
    </row>
    <row r="167" spans="1:26" ht="13">
      <c r="A167" s="49" t="str">
        <f ca="1">IFERROR(__xludf.DUMMYFUNCTION("""COMPUTED_VALUE"""),"Recontact Later")</f>
        <v>Recontact Later</v>
      </c>
      <c r="B167" s="88">
        <f ca="1">IFERROR(__xludf.DUMMYFUNCTION("""COMPUTED_VALUE"""),43819)</f>
        <v>43819</v>
      </c>
      <c r="C167" s="49" t="str">
        <f ca="1">IFERROR(__xludf.DUMMYFUNCTION("""COMPUTED_VALUE"""),"")</f>
        <v/>
      </c>
      <c r="D167" s="49" t="str">
        <f ca="1">IFERROR(__xludf.DUMMYFUNCTION("""COMPUTED_VALUE"""),"")</f>
        <v/>
      </c>
      <c r="E167" s="49" t="str">
        <f ca="1">IFERROR(__xludf.DUMMYFUNCTION("""COMPUTED_VALUE"""),"Variant Pathogenicity")</f>
        <v>Variant Pathogenicity</v>
      </c>
      <c r="F167" s="49" t="str">
        <f ca="1">IFERROR(__xludf.DUMMYFUNCTION("""COMPUTED_VALUE"""),"")</f>
        <v/>
      </c>
      <c r="G167" s="49" t="str">
        <f ca="1">IFERROR(__xludf.DUMMYFUNCTION("""COMPUTED_VALUE"""),"Cath Tyner")</f>
        <v>Cath Tyner</v>
      </c>
      <c r="H167" s="49" t="str">
        <f ca="1">IFERROR(__xludf.DUMMYFUNCTION("""COMPUTED_VALUE"""),"cathtyner@gmail.com")</f>
        <v>cathtyner@gmail.com</v>
      </c>
      <c r="I167" s="49" t="str">
        <f ca="1">IFERROR(__xludf.DUMMYFUNCTION("""COMPUTED_VALUE"""),"Software QA Engineer at Invitae")</f>
        <v>Software QA Engineer at Invitae</v>
      </c>
      <c r="J167" s="49"/>
      <c r="K167" s="49" t="str">
        <f ca="1">IFERROR(__xludf.DUMMYFUNCTION("""COMPUTED_VALUE"""),"Variant Pathogenicity")</f>
        <v>Variant Pathogenicity</v>
      </c>
      <c r="L167" s="49"/>
      <c r="M167" s="49"/>
      <c r="N167" s="49"/>
      <c r="O167" s="49"/>
      <c r="P167" s="49"/>
      <c r="Q167" s="49"/>
      <c r="R167" s="49"/>
      <c r="S167" s="49"/>
      <c r="T167" s="49"/>
      <c r="U167" s="49"/>
      <c r="V167" s="49"/>
      <c r="W167" s="49"/>
      <c r="X167" s="49"/>
      <c r="Y167" s="49"/>
      <c r="Z167" s="49"/>
    </row>
    <row r="168" spans="1:26" ht="13">
      <c r="A168" s="49" t="str">
        <f ca="1">IFERROR(__xludf.DUMMYFUNCTION("""COMPUTED_VALUE"""),"Contacted")</f>
        <v>Contacted</v>
      </c>
      <c r="B168" s="49" t="str">
        <f ca="1">IFERROR(__xludf.DUMMYFUNCTION("""COMPUTED_VALUE"""),"")</f>
        <v/>
      </c>
      <c r="C168" s="88">
        <f ca="1">IFERROR(__xludf.DUMMYFUNCTION("""COMPUTED_VALUE"""),43627)</f>
        <v>43627</v>
      </c>
      <c r="D168" s="49" t="str">
        <f ca="1">IFERROR(__xludf.DUMMYFUNCTION("""COMPUTED_VALUE"""),"Yes")</f>
        <v>Yes</v>
      </c>
      <c r="E168" s="49" t="str">
        <f ca="1">IFERROR(__xludf.DUMMYFUNCTION("""COMPUTED_VALUE"""),"Variant Pathogenicity")</f>
        <v>Variant Pathogenicity</v>
      </c>
      <c r="F168" s="49" t="str">
        <f ca="1">IFERROR(__xludf.DUMMYFUNCTION("""COMPUTED_VALUE"""),"")</f>
        <v/>
      </c>
      <c r="G168" s="49" t="str">
        <f ca="1">IFERROR(__xludf.DUMMYFUNCTION("""COMPUTED_VALUE"""),"Abdelazeem Elhabyan ")</f>
        <v xml:space="preserve">Abdelazeem Elhabyan </v>
      </c>
      <c r="H168" s="49" t="str">
        <f ca="1">IFERROR(__xludf.DUMMYFUNCTION("""COMPUTED_VALUE"""),"Abdelazeem_abdelhameed2015505@yahoo.com")</f>
        <v>Abdelazeem_abdelhameed2015505@yahoo.com</v>
      </c>
      <c r="I168" s="49" t="str">
        <f ca="1">IFERROR(__xludf.DUMMYFUNCTION("""COMPUTED_VALUE"""),"Graduate Student")</f>
        <v>Graduate Student</v>
      </c>
      <c r="J168" s="49"/>
      <c r="K168" s="49" t="str">
        <f ca="1">IFERROR(__xludf.DUMMYFUNCTION("""COMPUTED_VALUE"""),"Variant Pathogenicity")</f>
        <v>Variant Pathogenicity</v>
      </c>
      <c r="L168" s="49"/>
      <c r="M168" s="49"/>
      <c r="N168" s="49"/>
      <c r="O168" s="49"/>
      <c r="P168" s="49"/>
      <c r="Q168" s="49"/>
      <c r="R168" s="49"/>
      <c r="S168" s="49"/>
      <c r="T168" s="49"/>
      <c r="U168" s="49"/>
      <c r="V168" s="49"/>
      <c r="W168" s="49"/>
      <c r="X168" s="49"/>
      <c r="Y168" s="49"/>
      <c r="Z168" s="49"/>
    </row>
    <row r="169" spans="1:26" ht="13">
      <c r="A169" s="49" t="str">
        <f ca="1">IFERROR(__xludf.DUMMYFUNCTION("""COMPUTED_VALUE"""),"Contacted")</f>
        <v>Contacted</v>
      </c>
      <c r="B169" s="88">
        <f ca="1">IFERROR(__xludf.DUMMYFUNCTION("""COMPUTED_VALUE"""),43819)</f>
        <v>43819</v>
      </c>
      <c r="C169" s="49" t="str">
        <f ca="1">IFERROR(__xludf.DUMMYFUNCTION("""COMPUTED_VALUE"""),"")</f>
        <v/>
      </c>
      <c r="D169" s="49" t="str">
        <f ca="1">IFERROR(__xludf.DUMMYFUNCTION("""COMPUTED_VALUE"""),"")</f>
        <v/>
      </c>
      <c r="E169" s="49" t="str">
        <f ca="1">IFERROR(__xludf.DUMMYFUNCTION("""COMPUTED_VALUE"""),"Gene Disease Validity")</f>
        <v>Gene Disease Validity</v>
      </c>
      <c r="F169" s="49" t="str">
        <f ca="1">IFERROR(__xludf.DUMMYFUNCTION("""COMPUTED_VALUE"""),"")</f>
        <v/>
      </c>
      <c r="G169" s="49" t="str">
        <f ca="1">IFERROR(__xludf.DUMMYFUNCTION("""COMPUTED_VALUE"""),"Claudia Gonzaga-Jauregui")</f>
        <v>Claudia Gonzaga-Jauregui</v>
      </c>
      <c r="H169" s="49" t="str">
        <f ca="1">IFERROR(__xludf.DUMMYFUNCTION("""COMPUTED_VALUE"""),"cgonzagaj@gmail.com")</f>
        <v>cgonzagaj@gmail.com</v>
      </c>
      <c r="I169" s="49" t="str">
        <f ca="1">IFERROR(__xludf.DUMMYFUNCTION("""COMPUTED_VALUE"""),"Scientific Researcher")</f>
        <v>Scientific Researcher</v>
      </c>
      <c r="J169" s="49"/>
      <c r="K169" s="49" t="str">
        <f ca="1">IFERROR(__xludf.DUMMYFUNCTION("""COMPUTED_VALUE"""),"Gene-Disease Validity")</f>
        <v>Gene-Disease Validity</v>
      </c>
      <c r="L169" s="49"/>
      <c r="M169" s="49"/>
      <c r="N169" s="49"/>
      <c r="O169" s="49"/>
      <c r="P169" s="49"/>
      <c r="Q169" s="49"/>
      <c r="R169" s="49"/>
      <c r="S169" s="49"/>
      <c r="T169" s="49"/>
      <c r="U169" s="49"/>
      <c r="V169" s="49"/>
      <c r="W169" s="49"/>
      <c r="X169" s="49"/>
      <c r="Y169" s="49"/>
      <c r="Z169" s="49"/>
    </row>
    <row r="170" spans="1:26" ht="13">
      <c r="A170" s="49" t="str">
        <f ca="1">IFERROR(__xludf.DUMMYFUNCTION("""COMPUTED_VALUE"""),"Unresponsive")</f>
        <v>Unresponsive</v>
      </c>
      <c r="B170" s="88">
        <f ca="1">IFERROR(__xludf.DUMMYFUNCTION("""COMPUTED_VALUE"""),43689)</f>
        <v>43689</v>
      </c>
      <c r="C170" s="49" t="str">
        <f ca="1">IFERROR(__xludf.DUMMYFUNCTION("""COMPUTED_VALUE"""),"")</f>
        <v/>
      </c>
      <c r="D170" s="49" t="str">
        <f ca="1">IFERROR(__xludf.DUMMYFUNCTION("""COMPUTED_VALUE"""),"")</f>
        <v/>
      </c>
      <c r="E170" s="49" t="str">
        <f ca="1">IFERROR(__xludf.DUMMYFUNCTION("""COMPUTED_VALUE"""),"Actionability")</f>
        <v>Actionability</v>
      </c>
      <c r="F170" s="49" t="str">
        <f ca="1">IFERROR(__xludf.DUMMYFUNCTION("""COMPUTED_VALUE"""),"")</f>
        <v/>
      </c>
      <c r="G170" s="49" t="str">
        <f ca="1">IFERROR(__xludf.DUMMYFUNCTION("""COMPUTED_VALUE"""),"Altovise Ewing")</f>
        <v>Altovise Ewing</v>
      </c>
      <c r="H170" s="49" t="str">
        <f ca="1">IFERROR(__xludf.DUMMYFUNCTION("""COMPUTED_VALUE"""),"altovisee@gmail.com")</f>
        <v>altovisee@gmail.com</v>
      </c>
      <c r="I170" s="49" t="str">
        <f ca="1">IFERROR(__xludf.DUMMYFUNCTION("""COMPUTED_VALUE"""),"Genetic counselor and health equity scientist")</f>
        <v>Genetic counselor and health equity scientist</v>
      </c>
      <c r="J170" s="49"/>
      <c r="K170" s="49" t="str">
        <f ca="1">IFERROR(__xludf.DUMMYFUNCTION("""COMPUTED_VALUE"""),"Clinical Actionability")</f>
        <v>Clinical Actionability</v>
      </c>
      <c r="L170" s="49"/>
      <c r="M170" s="49"/>
      <c r="N170" s="49"/>
      <c r="O170" s="49"/>
      <c r="P170" s="49"/>
      <c r="Q170" s="49"/>
      <c r="R170" s="49"/>
      <c r="S170" s="49"/>
      <c r="T170" s="49"/>
      <c r="U170" s="49"/>
      <c r="V170" s="49"/>
      <c r="W170" s="49"/>
      <c r="X170" s="49"/>
      <c r="Y170" s="49"/>
      <c r="Z170" s="49"/>
    </row>
    <row r="171" spans="1:26" ht="13">
      <c r="A171" s="49" t="str">
        <f ca="1">IFERROR(__xludf.DUMMYFUNCTION("""COMPUTED_VALUE"""),"Unassigned")</f>
        <v>Unassigned</v>
      </c>
      <c r="B171" s="49" t="str">
        <f ca="1">IFERROR(__xludf.DUMMYFUNCTION("""COMPUTED_VALUE"""),"")</f>
        <v/>
      </c>
      <c r="C171" s="49" t="str">
        <f ca="1">IFERROR(__xludf.DUMMYFUNCTION("""COMPUTED_VALUE"""),"")</f>
        <v/>
      </c>
      <c r="D171" s="49" t="str">
        <f ca="1">IFERROR(__xludf.DUMMYFUNCTION("""COMPUTED_VALUE"""),"")</f>
        <v/>
      </c>
      <c r="E171" s="49" t="str">
        <f ca="1">IFERROR(__xludf.DUMMYFUNCTION("""COMPUTED_VALUE"""),"Dosage Sensitivity")</f>
        <v>Dosage Sensitivity</v>
      </c>
      <c r="F171" s="49" t="str">
        <f ca="1">IFERROR(__xludf.DUMMYFUNCTION("""COMPUTED_VALUE"""),"")</f>
        <v/>
      </c>
      <c r="G171" s="49" t="str">
        <f ca="1">IFERROR(__xludf.DUMMYFUNCTION("""COMPUTED_VALUE"""),"Laura Sack")</f>
        <v>Laura Sack</v>
      </c>
      <c r="H171" s="49" t="str">
        <f ca="1">IFERROR(__xludf.DUMMYFUNCTION("""COMPUTED_VALUE"""),"laura@sack.io")</f>
        <v>laura@sack.io</v>
      </c>
      <c r="I171" s="49" t="str">
        <f ca="1">IFERROR(__xludf.DUMMYFUNCTION("""COMPUTED_VALUE"""),"Variant Analyst/Scientist - Industry")</f>
        <v>Variant Analyst/Scientist - Industry</v>
      </c>
      <c r="J171" s="49"/>
      <c r="K171" s="49" t="str">
        <f ca="1">IFERROR(__xludf.DUMMYFUNCTION("""COMPUTED_VALUE"""),"Dosage Sensitivity")</f>
        <v>Dosage Sensitivity</v>
      </c>
      <c r="L171" s="49"/>
      <c r="M171" s="49"/>
      <c r="N171" s="49"/>
      <c r="O171" s="49"/>
      <c r="P171" s="49"/>
      <c r="Q171" s="49"/>
      <c r="R171" s="49"/>
      <c r="S171" s="49"/>
      <c r="T171" s="49"/>
      <c r="U171" s="49"/>
      <c r="V171" s="49"/>
      <c r="W171" s="49"/>
      <c r="X171" s="49"/>
      <c r="Y171" s="49"/>
      <c r="Z171" s="49"/>
    </row>
    <row r="172" spans="1:26" ht="13">
      <c r="A172" s="49" t="str">
        <f ca="1">IFERROR(__xludf.DUMMYFUNCTION("""COMPUTED_VALUE"""),"Contacted")</f>
        <v>Contacted</v>
      </c>
      <c r="B172" s="88">
        <f ca="1">IFERROR(__xludf.DUMMYFUNCTION("""COMPUTED_VALUE"""),43819)</f>
        <v>43819</v>
      </c>
      <c r="C172" s="49" t="str">
        <f ca="1">IFERROR(__xludf.DUMMYFUNCTION("""COMPUTED_VALUE"""),"")</f>
        <v/>
      </c>
      <c r="D172" s="49" t="str">
        <f ca="1">IFERROR(__xludf.DUMMYFUNCTION("""COMPUTED_VALUE"""),"")</f>
        <v/>
      </c>
      <c r="E172" s="49" t="str">
        <f ca="1">IFERROR(__xludf.DUMMYFUNCTION("""COMPUTED_VALUE"""),"Variant Pathogenicity")</f>
        <v>Variant Pathogenicity</v>
      </c>
      <c r="F172" s="49" t="str">
        <f ca="1">IFERROR(__xludf.DUMMYFUNCTION("""COMPUTED_VALUE"""),"")</f>
        <v/>
      </c>
      <c r="G172" s="49" t="str">
        <f ca="1">IFERROR(__xludf.DUMMYFUNCTION("""COMPUTED_VALUE"""),"Janel Case")</f>
        <v>Janel Case</v>
      </c>
      <c r="H172" s="49" t="str">
        <f ca="1">IFERROR(__xludf.DUMMYFUNCTION("""COMPUTED_VALUE"""),"janelcase@live.com")</f>
        <v>janelcase@live.com</v>
      </c>
      <c r="I172" s="49" t="str">
        <f ca="1">IFERROR(__xludf.DUMMYFUNCTION("""COMPUTED_VALUE"""),"Genetic counselor")</f>
        <v>Genetic counselor</v>
      </c>
      <c r="J172" s="49"/>
      <c r="K172" s="49" t="str">
        <f ca="1">IFERROR(__xludf.DUMMYFUNCTION("""COMPUTED_VALUE"""),"Variant Pathogenicity")</f>
        <v>Variant Pathogenicity</v>
      </c>
      <c r="L172" s="49"/>
      <c r="M172" s="49"/>
      <c r="N172" s="49"/>
      <c r="O172" s="49"/>
      <c r="P172" s="49"/>
      <c r="Q172" s="49"/>
      <c r="R172" s="49"/>
      <c r="S172" s="49"/>
      <c r="T172" s="49"/>
      <c r="U172" s="49"/>
      <c r="V172" s="49"/>
      <c r="W172" s="49"/>
      <c r="X172" s="49"/>
      <c r="Y172" s="49"/>
      <c r="Z172" s="49"/>
    </row>
    <row r="173" spans="1:26" ht="13">
      <c r="A173" s="49" t="str">
        <f ca="1">IFERROR(__xludf.DUMMYFUNCTION("""COMPUTED_VALUE"""),"Contacted")</f>
        <v>Contacted</v>
      </c>
      <c r="B173" s="49" t="str">
        <f ca="1">IFERROR(__xludf.DUMMYFUNCTION("""COMPUTED_VALUE"""),"")</f>
        <v/>
      </c>
      <c r="C173" s="88">
        <f ca="1">IFERROR(__xludf.DUMMYFUNCTION("""COMPUTED_VALUE"""),43627)</f>
        <v>43627</v>
      </c>
      <c r="D173" s="49" t="str">
        <f ca="1">IFERROR(__xludf.DUMMYFUNCTION("""COMPUTED_VALUE"""),"Yes")</f>
        <v>Yes</v>
      </c>
      <c r="E173" s="49" t="str">
        <f ca="1">IFERROR(__xludf.DUMMYFUNCTION("""COMPUTED_VALUE"""),"Variant Pathogenicity")</f>
        <v>Variant Pathogenicity</v>
      </c>
      <c r="F173" s="49" t="str">
        <f ca="1">IFERROR(__xludf.DUMMYFUNCTION("""COMPUTED_VALUE"""),"")</f>
        <v/>
      </c>
      <c r="G173" s="49" t="str">
        <f ca="1">IFERROR(__xludf.DUMMYFUNCTION("""COMPUTED_VALUE"""),"Carolina Bustamante")</f>
        <v>Carolina Bustamante</v>
      </c>
      <c r="H173" s="49" t="str">
        <f ca="1">IFERROR(__xludf.DUMMYFUNCTION("""COMPUTED_VALUE"""),"carolina.bustamante@gmail.com")</f>
        <v>carolina.bustamante@gmail.com</v>
      </c>
      <c r="I173" s="49" t="str">
        <f ca="1">IFERROR(__xludf.DUMMYFUNCTION("""COMPUTED_VALUE"""),"Variant Analyst/Scientist - Industry")</f>
        <v>Variant Analyst/Scientist - Industry</v>
      </c>
      <c r="J173" s="49"/>
      <c r="K173" s="49" t="str">
        <f ca="1">IFERROR(__xludf.DUMMYFUNCTION("""COMPUTED_VALUE"""),"Variant Pathogenicity")</f>
        <v>Variant Pathogenicity</v>
      </c>
      <c r="L173" s="49"/>
      <c r="M173" s="49"/>
      <c r="N173" s="49"/>
      <c r="O173" s="49"/>
      <c r="P173" s="49"/>
      <c r="Q173" s="49"/>
      <c r="R173" s="49"/>
      <c r="S173" s="49"/>
      <c r="T173" s="49"/>
      <c r="U173" s="49"/>
      <c r="V173" s="49"/>
      <c r="W173" s="49"/>
      <c r="X173" s="49"/>
      <c r="Y173" s="49"/>
      <c r="Z173" s="49"/>
    </row>
    <row r="174" spans="1:26" ht="13">
      <c r="A174" s="49" t="str">
        <f ca="1">IFERROR(__xludf.DUMMYFUNCTION("""COMPUTED_VALUE"""),"Contacted")</f>
        <v>Contacted</v>
      </c>
      <c r="B174" s="49" t="str">
        <f ca="1">IFERROR(__xludf.DUMMYFUNCTION("""COMPUTED_VALUE"""),"")</f>
        <v/>
      </c>
      <c r="C174" s="87">
        <f ca="1">IFERROR(__xludf.DUMMYFUNCTION("""COMPUTED_VALUE"""),43692)</f>
        <v>43692</v>
      </c>
      <c r="D174" s="49" t="str">
        <f ca="1">IFERROR(__xludf.DUMMYFUNCTION("""COMPUTED_VALUE"""),"Yes")</f>
        <v>Yes</v>
      </c>
      <c r="E174" s="49" t="str">
        <f ca="1">IFERROR(__xludf.DUMMYFUNCTION("""COMPUTED_VALUE"""),"Gene Disease Validity")</f>
        <v>Gene Disease Validity</v>
      </c>
      <c r="F174" s="49" t="str">
        <f ca="1">IFERROR(__xludf.DUMMYFUNCTION("""COMPUTED_VALUE"""),"")</f>
        <v/>
      </c>
      <c r="G174" s="49" t="str">
        <f ca="1">IFERROR(__xludf.DUMMYFUNCTION("""COMPUTED_VALUE"""),"Jean Davidson")</f>
        <v>Jean Davidson</v>
      </c>
      <c r="H174" s="49" t="str">
        <f ca="1">IFERROR(__xludf.DUMMYFUNCTION("""COMPUTED_VALUE"""),"jdavid06@calpoly.edu")</f>
        <v>jdavid06@calpoly.edu</v>
      </c>
      <c r="I174" s="49" t="str">
        <f ca="1">IFERROR(__xludf.DUMMYFUNCTION("""COMPUTED_VALUE"""),"Scientific Researcher")</f>
        <v>Scientific Researcher</v>
      </c>
      <c r="J174" s="49"/>
      <c r="K174" s="49" t="str">
        <f ca="1">IFERROR(__xludf.DUMMYFUNCTION("""COMPUTED_VALUE"""),"Gene-Disease Validity")</f>
        <v>Gene-Disease Validity</v>
      </c>
      <c r="L174" s="49"/>
      <c r="M174" s="49"/>
      <c r="N174" s="49"/>
      <c r="O174" s="49"/>
      <c r="P174" s="49"/>
      <c r="Q174" s="49"/>
      <c r="R174" s="49"/>
      <c r="S174" s="49"/>
      <c r="T174" s="49"/>
      <c r="U174" s="49"/>
      <c r="V174" s="49"/>
      <c r="W174" s="49"/>
      <c r="X174" s="49"/>
      <c r="Y174" s="49"/>
      <c r="Z174" s="49"/>
    </row>
    <row r="175" spans="1:26" ht="13">
      <c r="A175" s="49" t="str">
        <f ca="1">IFERROR(__xludf.DUMMYFUNCTION("""COMPUTED_VALUE"""),"Unresponsive")</f>
        <v>Unresponsive</v>
      </c>
      <c r="B175" s="49" t="str">
        <f ca="1">IFERROR(__xludf.DUMMYFUNCTION("""COMPUTED_VALUE"""),"")</f>
        <v/>
      </c>
      <c r="C175" s="49" t="str">
        <f ca="1">IFERROR(__xludf.DUMMYFUNCTION("""COMPUTED_VALUE"""),"")</f>
        <v/>
      </c>
      <c r="D175" s="49" t="str">
        <f ca="1">IFERROR(__xludf.DUMMYFUNCTION("""COMPUTED_VALUE"""),"")</f>
        <v/>
      </c>
      <c r="E175" s="49" t="str">
        <f ca="1">IFERROR(__xludf.DUMMYFUNCTION("""COMPUTED_VALUE"""),"Variant Pathogenicity")</f>
        <v>Variant Pathogenicity</v>
      </c>
      <c r="F175" s="49" t="str">
        <f ca="1">IFERROR(__xludf.DUMMYFUNCTION("""COMPUTED_VALUE"""),"")</f>
        <v/>
      </c>
      <c r="G175" s="49" t="str">
        <f ca="1">IFERROR(__xludf.DUMMYFUNCTION("""COMPUTED_VALUE"""),"Timo Dereani")</f>
        <v>Timo Dereani</v>
      </c>
      <c r="H175" s="49" t="str">
        <f ca="1">IFERROR(__xludf.DUMMYFUNCTION("""COMPUTED_VALUE"""),"dereani@biologis.diagnosticum.eu")</f>
        <v>dereani@biologis.diagnosticum.eu</v>
      </c>
      <c r="I175" s="49" t="str">
        <f ca="1">IFERROR(__xludf.DUMMYFUNCTION("""COMPUTED_VALUE"""),"Clinical laboratory geneticist")</f>
        <v>Clinical laboratory geneticist</v>
      </c>
      <c r="J175" s="49"/>
      <c r="K175" s="49" t="str">
        <f ca="1">IFERROR(__xludf.DUMMYFUNCTION("""COMPUTED_VALUE"""),"Variant Pathogenicity")</f>
        <v>Variant Pathogenicity</v>
      </c>
      <c r="L175" s="49"/>
      <c r="M175" s="49"/>
      <c r="N175" s="49"/>
      <c r="O175" s="49"/>
      <c r="P175" s="49"/>
      <c r="Q175" s="49"/>
      <c r="R175" s="49"/>
      <c r="S175" s="49"/>
      <c r="T175" s="49"/>
      <c r="U175" s="49"/>
      <c r="V175" s="49"/>
      <c r="W175" s="49"/>
      <c r="X175" s="49"/>
      <c r="Y175" s="49"/>
      <c r="Z175" s="49"/>
    </row>
    <row r="176" spans="1:26" ht="13">
      <c r="A176" s="49" t="str">
        <f ca="1">IFERROR(__xludf.DUMMYFUNCTION("""COMPUTED_VALUE"""),"Unresponsive")</f>
        <v>Unresponsive</v>
      </c>
      <c r="B176" s="49" t="str">
        <f ca="1">IFERROR(__xludf.DUMMYFUNCTION("""COMPUTED_VALUE"""),"")</f>
        <v/>
      </c>
      <c r="C176" s="49" t="str">
        <f ca="1">IFERROR(__xludf.DUMMYFUNCTION("""COMPUTED_VALUE"""),"")</f>
        <v/>
      </c>
      <c r="D176" s="49" t="str">
        <f ca="1">IFERROR(__xludf.DUMMYFUNCTION("""COMPUTED_VALUE"""),"")</f>
        <v/>
      </c>
      <c r="E176" s="49" t="str">
        <f ca="1">IFERROR(__xludf.DUMMYFUNCTION("""COMPUTED_VALUE"""),"Variant Pathogenicity")</f>
        <v>Variant Pathogenicity</v>
      </c>
      <c r="F176" s="49" t="str">
        <f ca="1">IFERROR(__xludf.DUMMYFUNCTION("""COMPUTED_VALUE"""),"")</f>
        <v/>
      </c>
      <c r="G176" s="49" t="str">
        <f ca="1">IFERROR(__xludf.DUMMYFUNCTION("""COMPUTED_VALUE"""),"Jennifer Bullard")</f>
        <v>Jennifer Bullard</v>
      </c>
      <c r="H176" s="49" t="str">
        <f ca="1">IFERROR(__xludf.DUMMYFUNCTION("""COMPUTED_VALUE"""),"jenniferluja@gmail.com")</f>
        <v>jenniferluja@gmail.com</v>
      </c>
      <c r="I176" s="49" t="str">
        <f ca="1">IFERROR(__xludf.DUMMYFUNCTION("""COMPUTED_VALUE"""),"Clinical laboratory geneticist")</f>
        <v>Clinical laboratory geneticist</v>
      </c>
      <c r="J176" s="49"/>
      <c r="K176" s="49" t="str">
        <f ca="1">IFERROR(__xludf.DUMMYFUNCTION("""COMPUTED_VALUE"""),"Variant Pathogenicity")</f>
        <v>Variant Pathogenicity</v>
      </c>
      <c r="L176" s="49"/>
      <c r="M176" s="49"/>
      <c r="N176" s="49"/>
      <c r="O176" s="49"/>
      <c r="P176" s="49"/>
      <c r="Q176" s="49"/>
      <c r="R176" s="49"/>
      <c r="S176" s="49"/>
      <c r="T176" s="49"/>
      <c r="U176" s="49"/>
      <c r="V176" s="49"/>
      <c r="W176" s="49"/>
      <c r="X176" s="49"/>
      <c r="Y176" s="49"/>
      <c r="Z176" s="49"/>
    </row>
    <row r="177" spans="1:26" ht="13">
      <c r="A177" s="49" t="str">
        <f ca="1">IFERROR(__xludf.DUMMYFUNCTION("""COMPUTED_VALUE"""),"Contacted")</f>
        <v>Contacted</v>
      </c>
      <c r="B177" s="88">
        <f ca="1">IFERROR(__xludf.DUMMYFUNCTION("""COMPUTED_VALUE"""),43689)</f>
        <v>43689</v>
      </c>
      <c r="C177" s="87">
        <f ca="1">IFERROR(__xludf.DUMMYFUNCTION("""COMPUTED_VALUE"""),43768)</f>
        <v>43768</v>
      </c>
      <c r="D177" s="49" t="str">
        <f ca="1">IFERROR(__xludf.DUMMYFUNCTION("""COMPUTED_VALUE"""),"Yes")</f>
        <v>Yes</v>
      </c>
      <c r="E177" s="49" t="str">
        <f ca="1">IFERROR(__xludf.DUMMYFUNCTION("""COMPUTED_VALUE"""),"Actionability")</f>
        <v>Actionability</v>
      </c>
      <c r="F177" s="49" t="str">
        <f ca="1">IFERROR(__xludf.DUMMYFUNCTION("""COMPUTED_VALUE"""),"Actionability")</f>
        <v>Actionability</v>
      </c>
      <c r="G177" s="49" t="str">
        <f ca="1">IFERROR(__xludf.DUMMYFUNCTION("""COMPUTED_VALUE"""),"Greg Lennon")</f>
        <v>Greg Lennon</v>
      </c>
      <c r="H177" s="49" t="str">
        <f ca="1">IFERROR(__xludf.DUMMYFUNCTION("""COMPUTED_VALUE"""),"greg.lennon@gmail.com")</f>
        <v>greg.lennon@gmail.com</v>
      </c>
      <c r="I177" s="49" t="str">
        <f ca="1">IFERROR(__xludf.DUMMYFUNCTION("""COMPUTED_VALUE"""),"Scientific Researcher")</f>
        <v>Scientific Researcher</v>
      </c>
      <c r="J177" s="49"/>
      <c r="K177" s="49" t="str">
        <f ca="1">IFERROR(__xludf.DUMMYFUNCTION("""COMPUTED_VALUE"""),"Clinical Actionability")</f>
        <v>Clinical Actionability</v>
      </c>
      <c r="L177" s="49"/>
      <c r="M177" s="49"/>
      <c r="N177" s="49"/>
      <c r="O177" s="49"/>
      <c r="P177" s="49"/>
      <c r="Q177" s="49"/>
      <c r="R177" s="49"/>
      <c r="S177" s="49"/>
      <c r="T177" s="49"/>
      <c r="U177" s="49"/>
      <c r="V177" s="49"/>
      <c r="W177" s="49"/>
      <c r="X177" s="49"/>
      <c r="Y177" s="49"/>
      <c r="Z177" s="49"/>
    </row>
    <row r="178" spans="1:26" ht="13">
      <c r="A178" s="49" t="str">
        <f ca="1">IFERROR(__xludf.DUMMYFUNCTION("""COMPUTED_VALUE"""),"Contacted")</f>
        <v>Contacted</v>
      </c>
      <c r="B178" s="49" t="str">
        <f ca="1">IFERROR(__xludf.DUMMYFUNCTION("""COMPUTED_VALUE"""),"")</f>
        <v/>
      </c>
      <c r="C178" s="88">
        <f ca="1">IFERROR(__xludf.DUMMYFUNCTION("""COMPUTED_VALUE"""),43626)</f>
        <v>43626</v>
      </c>
      <c r="D178" s="49" t="str">
        <f ca="1">IFERROR(__xludf.DUMMYFUNCTION("""COMPUTED_VALUE"""),"Yes")</f>
        <v>Yes</v>
      </c>
      <c r="E178" s="49" t="str">
        <f ca="1">IFERROR(__xludf.DUMMYFUNCTION("""COMPUTED_VALUE"""),"NA")</f>
        <v>NA</v>
      </c>
      <c r="F178" s="49" t="str">
        <f ca="1">IFERROR(__xludf.DUMMYFUNCTION("""COMPUTED_VALUE"""),"")</f>
        <v/>
      </c>
      <c r="G178" s="49" t="str">
        <f ca="1">IFERROR(__xludf.DUMMYFUNCTION("""COMPUTED_VALUE"""),"Pamela")</f>
        <v>Pamela</v>
      </c>
      <c r="H178" s="49" t="str">
        <f ca="1">IFERROR(__xludf.DUMMYFUNCTION("""COMPUTED_VALUE"""),"pchristopherson@versiti.org")</f>
        <v>pchristopherson@versiti.org</v>
      </c>
      <c r="I178" s="49" t="str">
        <f ca="1">IFERROR(__xludf.DUMMYFUNCTION("""COMPUTED_VALUE"""),"Scientific Researcher")</f>
        <v>Scientific Researcher</v>
      </c>
      <c r="J178" s="49"/>
      <c r="K178" s="49" t="str">
        <f ca="1">IFERROR(__xludf.DUMMYFUNCTION("""COMPUTED_VALUE"""),"Variant Pathogenicity")</f>
        <v>Variant Pathogenicity</v>
      </c>
      <c r="L178" s="49"/>
      <c r="M178" s="49"/>
      <c r="N178" s="49"/>
      <c r="O178" s="49"/>
      <c r="P178" s="49"/>
      <c r="Q178" s="49"/>
      <c r="R178" s="49"/>
      <c r="S178" s="49"/>
      <c r="T178" s="49"/>
      <c r="U178" s="49"/>
      <c r="V178" s="49"/>
      <c r="W178" s="49"/>
      <c r="X178" s="49"/>
      <c r="Y178" s="49"/>
      <c r="Z178" s="49"/>
    </row>
    <row r="179" spans="1:26" ht="13">
      <c r="A179" s="49" t="str">
        <f ca="1">IFERROR(__xludf.DUMMYFUNCTION("""COMPUTED_VALUE"""),"Contacted")</f>
        <v>Contacted</v>
      </c>
      <c r="B179" s="88">
        <f ca="1">IFERROR(__xludf.DUMMYFUNCTION("""COMPUTED_VALUE"""),43689)</f>
        <v>43689</v>
      </c>
      <c r="C179" s="49" t="str">
        <f ca="1">IFERROR(__xludf.DUMMYFUNCTION("""COMPUTED_VALUE"""),"")</f>
        <v/>
      </c>
      <c r="D179" s="49" t="str">
        <f ca="1">IFERROR(__xludf.DUMMYFUNCTION("""COMPUTED_VALUE"""),"Yes")</f>
        <v>Yes</v>
      </c>
      <c r="E179" s="49" t="str">
        <f ca="1">IFERROR(__xludf.DUMMYFUNCTION("""COMPUTED_VALUE"""),"Actionability")</f>
        <v>Actionability</v>
      </c>
      <c r="F179" s="49" t="str">
        <f ca="1">IFERROR(__xludf.DUMMYFUNCTION("""COMPUTED_VALUE"""),"")</f>
        <v/>
      </c>
      <c r="G179" s="49" t="str">
        <f ca="1">IFERROR(__xludf.DUMMYFUNCTION("""COMPUTED_VALUE"""),"Generoso")</f>
        <v>Generoso</v>
      </c>
      <c r="H179" s="49" t="str">
        <f ca="1">IFERROR(__xludf.DUMMYFUNCTION("""COMPUTED_VALUE"""),"generoso@dantelabs.com")</f>
        <v>generoso@dantelabs.com</v>
      </c>
      <c r="I179" s="49" t="str">
        <f ca="1">IFERROR(__xludf.DUMMYFUNCTION("""COMPUTED_VALUE"""),"Variant Analyst/Scientist - Industry")</f>
        <v>Variant Analyst/Scientist - Industry</v>
      </c>
      <c r="J179" s="49"/>
      <c r="K179" s="49" t="str">
        <f ca="1">IFERROR(__xludf.DUMMYFUNCTION("""COMPUTED_VALUE"""),"Clinical Actionability")</f>
        <v>Clinical Actionability</v>
      </c>
      <c r="L179" s="49"/>
      <c r="M179" s="49"/>
      <c r="N179" s="49"/>
      <c r="O179" s="49"/>
      <c r="P179" s="49"/>
      <c r="Q179" s="49"/>
      <c r="R179" s="49"/>
      <c r="S179" s="49"/>
      <c r="T179" s="49"/>
      <c r="U179" s="49"/>
      <c r="V179" s="49"/>
      <c r="W179" s="49"/>
      <c r="X179" s="49"/>
      <c r="Y179" s="49"/>
      <c r="Z179" s="49"/>
    </row>
    <row r="180" spans="1:26" ht="13">
      <c r="A180" s="49" t="str">
        <f ca="1">IFERROR(__xludf.DUMMYFUNCTION("""COMPUTED_VALUE"""),"Unresponsive")</f>
        <v>Unresponsive</v>
      </c>
      <c r="B180" s="49" t="str">
        <f ca="1">IFERROR(__xludf.DUMMYFUNCTION("""COMPUTED_VALUE"""),"")</f>
        <v/>
      </c>
      <c r="C180" s="49" t="str">
        <f ca="1">IFERROR(__xludf.DUMMYFUNCTION("""COMPUTED_VALUE"""),"")</f>
        <v/>
      </c>
      <c r="D180" s="49" t="str">
        <f ca="1">IFERROR(__xludf.DUMMYFUNCTION("""COMPUTED_VALUE"""),"")</f>
        <v/>
      </c>
      <c r="E180" s="49" t="str">
        <f ca="1">IFERROR(__xludf.DUMMYFUNCTION("""COMPUTED_VALUE"""),"Variant Pathogenicity")</f>
        <v>Variant Pathogenicity</v>
      </c>
      <c r="F180" s="49" t="str">
        <f ca="1">IFERROR(__xludf.DUMMYFUNCTION("""COMPUTED_VALUE"""),"")</f>
        <v/>
      </c>
      <c r="G180" s="49" t="str">
        <f ca="1">IFERROR(__xludf.DUMMYFUNCTION("""COMPUTED_VALUE"""),"Hemantkumar Nemade ")</f>
        <v xml:space="preserve">Hemantkumar Nemade </v>
      </c>
      <c r="H180" s="49" t="str">
        <f ca="1">IFERROR(__xludf.DUMMYFUNCTION("""COMPUTED_VALUE"""),"drhemantnemade@gmail.com")</f>
        <v>drhemantnemade@gmail.com</v>
      </c>
      <c r="I180" s="49" t="str">
        <f ca="1">IFERROR(__xludf.DUMMYFUNCTION("""COMPUTED_VALUE"""),"Physician (Non-geneticist)")</f>
        <v>Physician (Non-geneticist)</v>
      </c>
      <c r="J180" s="49"/>
      <c r="K180" s="49" t="str">
        <f ca="1">IFERROR(__xludf.DUMMYFUNCTION("""COMPUTED_VALUE"""),"Variant Pathogenicity")</f>
        <v>Variant Pathogenicity</v>
      </c>
      <c r="L180" s="49"/>
      <c r="M180" s="49"/>
      <c r="N180" s="49"/>
      <c r="O180" s="49"/>
      <c r="P180" s="49"/>
      <c r="Q180" s="49"/>
      <c r="R180" s="49"/>
      <c r="S180" s="49"/>
      <c r="T180" s="49"/>
      <c r="U180" s="49"/>
      <c r="V180" s="49"/>
      <c r="W180" s="49"/>
      <c r="X180" s="49"/>
      <c r="Y180" s="49"/>
      <c r="Z180" s="49"/>
    </row>
    <row r="181" spans="1:26" ht="13">
      <c r="A181" s="49" t="str">
        <f ca="1">IFERROR(__xludf.DUMMYFUNCTION("""COMPUTED_VALUE"""),"Contacted")</f>
        <v>Contacted</v>
      </c>
      <c r="B181" s="88">
        <f ca="1">IFERROR(__xludf.DUMMYFUNCTION("""COMPUTED_VALUE"""),43705)</f>
        <v>43705</v>
      </c>
      <c r="C181" s="87">
        <f ca="1">IFERROR(__xludf.DUMMYFUNCTION("""COMPUTED_VALUE"""),43719)</f>
        <v>43719</v>
      </c>
      <c r="D181" s="49" t="str">
        <f ca="1">IFERROR(__xludf.DUMMYFUNCTION("""COMPUTED_VALUE"""),"No")</f>
        <v>No</v>
      </c>
      <c r="E181" s="49" t="str">
        <f ca="1">IFERROR(__xludf.DUMMYFUNCTION("""COMPUTED_VALUE"""),"Somatic Cancer")</f>
        <v>Somatic Cancer</v>
      </c>
      <c r="F181" s="49" t="str">
        <f ca="1">IFERROR(__xludf.DUMMYFUNCTION("""COMPUTED_VALUE"""),"")</f>
        <v/>
      </c>
      <c r="G181" s="49" t="str">
        <f ca="1">IFERROR(__xludf.DUMMYFUNCTION("""COMPUTED_VALUE"""),"Christina Bridges")</f>
        <v>Christina Bridges</v>
      </c>
      <c r="H181" s="49" t="str">
        <f ca="1">IFERROR(__xludf.DUMMYFUNCTION("""COMPUTED_VALUE"""),"c.bridges@med.unc.edu")</f>
        <v>c.bridges@med.unc.edu</v>
      </c>
      <c r="I181" s="49" t="str">
        <f ca="1">IFERROR(__xludf.DUMMYFUNCTION("""COMPUTED_VALUE"""),"Variant Analyst/Scientist - Industry")</f>
        <v>Variant Analyst/Scientist - Industry</v>
      </c>
      <c r="J181" s="49"/>
      <c r="K181" s="49" t="str">
        <f ca="1">IFERROR(__xludf.DUMMYFUNCTION("""COMPUTED_VALUE"""),"Somatic Cancer")</f>
        <v>Somatic Cancer</v>
      </c>
      <c r="L181" s="49"/>
      <c r="M181" s="49"/>
      <c r="N181" s="49"/>
      <c r="O181" s="49"/>
      <c r="P181" s="49"/>
      <c r="Q181" s="49"/>
      <c r="R181" s="49"/>
      <c r="S181" s="49"/>
      <c r="T181" s="49"/>
      <c r="U181" s="49"/>
      <c r="V181" s="49"/>
      <c r="W181" s="49"/>
      <c r="X181" s="49"/>
      <c r="Y181" s="49"/>
      <c r="Z181" s="49"/>
    </row>
    <row r="182" spans="1:26" ht="13">
      <c r="A182" s="49" t="str">
        <f ca="1">IFERROR(__xludf.DUMMYFUNCTION("""COMPUTED_VALUE"""),"Contacted")</f>
        <v>Contacted</v>
      </c>
      <c r="B182" s="88">
        <f ca="1">IFERROR(__xludf.DUMMYFUNCTION("""COMPUTED_VALUE"""),43689)</f>
        <v>43689</v>
      </c>
      <c r="C182" s="87">
        <f ca="1">IFERROR(__xludf.DUMMYFUNCTION("""COMPUTED_VALUE"""),43769)</f>
        <v>43769</v>
      </c>
      <c r="D182" s="49" t="str">
        <f ca="1">IFERROR(__xludf.DUMMYFUNCTION("""COMPUTED_VALUE"""),"Yes")</f>
        <v>Yes</v>
      </c>
      <c r="E182" s="49" t="str">
        <f ca="1">IFERROR(__xludf.DUMMYFUNCTION("""COMPUTED_VALUE"""),"Actionability")</f>
        <v>Actionability</v>
      </c>
      <c r="F182" s="49" t="str">
        <f ca="1">IFERROR(__xludf.DUMMYFUNCTION("""COMPUTED_VALUE"""),"Actionability")</f>
        <v>Actionability</v>
      </c>
      <c r="G182" s="49" t="str">
        <f ca="1">IFERROR(__xludf.DUMMYFUNCTION("""COMPUTED_VALUE"""),"Abul Kalam Azad")</f>
        <v>Abul Kalam Azad</v>
      </c>
      <c r="H182" s="49" t="str">
        <f ca="1">IFERROR(__xludf.DUMMYFUNCTION("""COMPUTED_VALUE"""),"azadak@gmail.com")</f>
        <v>azadak@gmail.com</v>
      </c>
      <c r="I182" s="49" t="str">
        <f ca="1">IFERROR(__xludf.DUMMYFUNCTION("""COMPUTED_VALUE"""),"Post Doc/Resident/Fellow (MD and/or PhD)")</f>
        <v>Post Doc/Resident/Fellow (MD and/or PhD)</v>
      </c>
      <c r="J182" s="49"/>
      <c r="K182" s="49" t="str">
        <f ca="1">IFERROR(__xludf.DUMMYFUNCTION("""COMPUTED_VALUE"""),"Clinical Actionability")</f>
        <v>Clinical Actionability</v>
      </c>
      <c r="L182" s="49"/>
      <c r="M182" s="49"/>
      <c r="N182" s="49"/>
      <c r="O182" s="49"/>
      <c r="P182" s="49"/>
      <c r="Q182" s="49"/>
      <c r="R182" s="49"/>
      <c r="S182" s="49"/>
      <c r="T182" s="49"/>
      <c r="U182" s="49"/>
      <c r="V182" s="49"/>
      <c r="W182" s="49"/>
      <c r="X182" s="49"/>
      <c r="Y182" s="49"/>
      <c r="Z182" s="49"/>
    </row>
    <row r="183" spans="1:26" ht="13">
      <c r="A183" s="49" t="str">
        <f ca="1">IFERROR(__xludf.DUMMYFUNCTION("""COMPUTED_VALUE"""),"Unassigned")</f>
        <v>Unassigned</v>
      </c>
      <c r="B183" s="49" t="str">
        <f ca="1">IFERROR(__xludf.DUMMYFUNCTION("""COMPUTED_VALUE"""),"")</f>
        <v/>
      </c>
      <c r="C183" s="49" t="str">
        <f ca="1">IFERROR(__xludf.DUMMYFUNCTION("""COMPUTED_VALUE"""),"")</f>
        <v/>
      </c>
      <c r="D183" s="49" t="str">
        <f ca="1">IFERROR(__xludf.DUMMYFUNCTION("""COMPUTED_VALUE"""),"")</f>
        <v/>
      </c>
      <c r="E183" s="49" t="str">
        <f ca="1">IFERROR(__xludf.DUMMYFUNCTION("""COMPUTED_VALUE"""),"Gene Disease Validity")</f>
        <v>Gene Disease Validity</v>
      </c>
      <c r="F183" s="49" t="str">
        <f ca="1">IFERROR(__xludf.DUMMYFUNCTION("""COMPUTED_VALUE"""),"")</f>
        <v/>
      </c>
      <c r="G183" s="49" t="str">
        <f ca="1">IFERROR(__xludf.DUMMYFUNCTION("""COMPUTED_VALUE"""),"Amruta Phatak")</f>
        <v>Amruta Phatak</v>
      </c>
      <c r="H183" s="49" t="str">
        <f ca="1">IFERROR(__xludf.DUMMYFUNCTION("""COMPUTED_VALUE"""),"arphatak@iu.edu")</f>
        <v>arphatak@iu.edu</v>
      </c>
      <c r="I183" s="49" t="str">
        <f ca="1">IFERROR(__xludf.DUMMYFUNCTION("""COMPUTED_VALUE"""),"Post Doc/Resident/Fellow (MD and/or PhD)")</f>
        <v>Post Doc/Resident/Fellow (MD and/or PhD)</v>
      </c>
      <c r="J183" s="49"/>
      <c r="K183" s="49" t="str">
        <f ca="1">IFERROR(__xludf.DUMMYFUNCTION("""COMPUTED_VALUE"""),"Gene-Disease Validity")</f>
        <v>Gene-Disease Validity</v>
      </c>
      <c r="L183" s="49"/>
      <c r="M183" s="49"/>
      <c r="N183" s="49"/>
      <c r="O183" s="49"/>
      <c r="P183" s="49"/>
      <c r="Q183" s="49"/>
      <c r="R183" s="49"/>
      <c r="S183" s="49"/>
      <c r="T183" s="49"/>
      <c r="U183" s="49"/>
      <c r="V183" s="49"/>
      <c r="W183" s="49"/>
      <c r="X183" s="49"/>
      <c r="Y183" s="49"/>
      <c r="Z183" s="49"/>
    </row>
    <row r="184" spans="1:26" ht="13">
      <c r="A184" s="49" t="str">
        <f ca="1">IFERROR(__xludf.DUMMYFUNCTION("""COMPUTED_VALUE"""),"Contacted")</f>
        <v>Contacted</v>
      </c>
      <c r="B184" s="88">
        <f ca="1">IFERROR(__xludf.DUMMYFUNCTION("""COMPUTED_VALUE"""),43705)</f>
        <v>43705</v>
      </c>
      <c r="C184" s="87">
        <f ca="1">IFERROR(__xludf.DUMMYFUNCTION("""COMPUTED_VALUE"""),43719)</f>
        <v>43719</v>
      </c>
      <c r="D184" s="49" t="str">
        <f ca="1">IFERROR(__xludf.DUMMYFUNCTION("""COMPUTED_VALUE"""),"No")</f>
        <v>No</v>
      </c>
      <c r="E184" s="49" t="str">
        <f ca="1">IFERROR(__xludf.DUMMYFUNCTION("""COMPUTED_VALUE"""),"Somatic Cancer")</f>
        <v>Somatic Cancer</v>
      </c>
      <c r="F184" s="49" t="str">
        <f ca="1">IFERROR(__xludf.DUMMYFUNCTION("""COMPUTED_VALUE"""),"")</f>
        <v/>
      </c>
      <c r="G184" s="49" t="str">
        <f ca="1">IFERROR(__xludf.DUMMYFUNCTION("""COMPUTED_VALUE"""),"Priyabrata Panigrahi")</f>
        <v>Priyabrata Panigrahi</v>
      </c>
      <c r="H184" s="49" t="str">
        <f ca="1">IFERROR(__xludf.DUMMYFUNCTION("""COMPUTED_VALUE"""),"pb.panigrahi86@gmail.com")</f>
        <v>pb.panigrahi86@gmail.com</v>
      </c>
      <c r="I184" s="49" t="str">
        <f ca="1">IFERROR(__xludf.DUMMYFUNCTION("""COMPUTED_VALUE"""),"Scientific Researcher")</f>
        <v>Scientific Researcher</v>
      </c>
      <c r="J184" s="49"/>
      <c r="K184" s="49" t="str">
        <f ca="1">IFERROR(__xludf.DUMMYFUNCTION("""COMPUTED_VALUE"""),"Somatic Cancer")</f>
        <v>Somatic Cancer</v>
      </c>
      <c r="L184" s="49"/>
      <c r="M184" s="49"/>
      <c r="N184" s="49"/>
      <c r="O184" s="49"/>
      <c r="P184" s="49"/>
      <c r="Q184" s="49"/>
      <c r="R184" s="49"/>
      <c r="S184" s="49"/>
      <c r="T184" s="49"/>
      <c r="U184" s="49"/>
      <c r="V184" s="49"/>
      <c r="W184" s="49"/>
      <c r="X184" s="49"/>
      <c r="Y184" s="49"/>
      <c r="Z184" s="49"/>
    </row>
    <row r="185" spans="1:26" ht="13">
      <c r="A185" s="49" t="str">
        <f ca="1">IFERROR(__xludf.DUMMYFUNCTION("""COMPUTED_VALUE"""),"Contacted")</f>
        <v>Contacted</v>
      </c>
      <c r="B185" s="88">
        <f ca="1">IFERROR(__xludf.DUMMYFUNCTION("""COMPUTED_VALUE"""),43819)</f>
        <v>43819</v>
      </c>
      <c r="C185" s="49" t="str">
        <f ca="1">IFERROR(__xludf.DUMMYFUNCTION("""COMPUTED_VALUE"""),"")</f>
        <v/>
      </c>
      <c r="D185" s="49" t="str">
        <f ca="1">IFERROR(__xludf.DUMMYFUNCTION("""COMPUTED_VALUE"""),"")</f>
        <v/>
      </c>
      <c r="E185" s="49" t="str">
        <f ca="1">IFERROR(__xludf.DUMMYFUNCTION("""COMPUTED_VALUE"""),"Variant Pathogenicity")</f>
        <v>Variant Pathogenicity</v>
      </c>
      <c r="F185" s="49" t="str">
        <f ca="1">IFERROR(__xludf.DUMMYFUNCTION("""COMPUTED_VALUE"""),"")</f>
        <v/>
      </c>
      <c r="G185" s="49" t="str">
        <f ca="1">IFERROR(__xludf.DUMMYFUNCTION("""COMPUTED_VALUE"""),"José Patricio Miranda Marín")</f>
        <v>José Patricio Miranda Marín</v>
      </c>
      <c r="H185" s="49" t="str">
        <f ca="1">IFERROR(__xludf.DUMMYFUNCTION("""COMPUTED_VALUE"""),"jose.miranda@uc.cl")</f>
        <v>jose.miranda@uc.cl</v>
      </c>
      <c r="I185" s="49" t="str">
        <f ca="1">IFERROR(__xludf.DUMMYFUNCTION("""COMPUTED_VALUE"""),"Post Doc/Resident/Fellow (MD and/or PhD)")</f>
        <v>Post Doc/Resident/Fellow (MD and/or PhD)</v>
      </c>
      <c r="J185" s="49"/>
      <c r="K185" s="49" t="str">
        <f ca="1">IFERROR(__xludf.DUMMYFUNCTION("""COMPUTED_VALUE"""),"Variant Pathogenicity")</f>
        <v>Variant Pathogenicity</v>
      </c>
      <c r="L185" s="49"/>
      <c r="M185" s="49"/>
      <c r="N185" s="49"/>
      <c r="O185" s="49"/>
      <c r="P185" s="49"/>
      <c r="Q185" s="49"/>
      <c r="R185" s="49"/>
      <c r="S185" s="49"/>
      <c r="T185" s="49"/>
      <c r="U185" s="49"/>
      <c r="V185" s="49"/>
      <c r="W185" s="49"/>
      <c r="X185" s="49"/>
      <c r="Y185" s="49"/>
      <c r="Z185" s="49"/>
    </row>
    <row r="186" spans="1:26" ht="13">
      <c r="A186" s="49" t="str">
        <f ca="1">IFERROR(__xludf.DUMMYFUNCTION("""COMPUTED_VALUE"""),"Contacted")</f>
        <v>Contacted</v>
      </c>
      <c r="B186" s="49" t="str">
        <f ca="1">IFERROR(__xludf.DUMMYFUNCTION("""COMPUTED_VALUE"""),"")</f>
        <v/>
      </c>
      <c r="C186" s="87">
        <f ca="1">IFERROR(__xludf.DUMMYFUNCTION("""COMPUTED_VALUE"""),43692)</f>
        <v>43692</v>
      </c>
      <c r="D186" s="49" t="str">
        <f ca="1">IFERROR(__xludf.DUMMYFUNCTION("""COMPUTED_VALUE"""),"Yes")</f>
        <v>Yes</v>
      </c>
      <c r="E186" s="49" t="str">
        <f ca="1">IFERROR(__xludf.DUMMYFUNCTION("""COMPUTED_VALUE"""),"Gene Disease Validity")</f>
        <v>Gene Disease Validity</v>
      </c>
      <c r="F186" s="49" t="str">
        <f ca="1">IFERROR(__xludf.DUMMYFUNCTION("""COMPUTED_VALUE"""),"")</f>
        <v/>
      </c>
      <c r="G186" s="49" t="str">
        <f ca="1">IFERROR(__xludf.DUMMYFUNCTION("""COMPUTED_VALUE"""),"Marc Lataillade")</f>
        <v>Marc Lataillade</v>
      </c>
      <c r="H186" s="49" t="str">
        <f ca="1">IFERROR(__xludf.DUMMYFUNCTION("""COMPUTED_VALUE"""),"marclataillade258@gmail.com")</f>
        <v>marclataillade258@gmail.com</v>
      </c>
      <c r="I186" s="49" t="str">
        <f ca="1">IFERROR(__xludf.DUMMYFUNCTION("""COMPUTED_VALUE"""),"Undergraduate Student")</f>
        <v>Undergraduate Student</v>
      </c>
      <c r="J186" s="49"/>
      <c r="K186" s="49" t="str">
        <f ca="1">IFERROR(__xludf.DUMMYFUNCTION("""COMPUTED_VALUE"""),"Gene-Disease Validity")</f>
        <v>Gene-Disease Validity</v>
      </c>
      <c r="L186" s="49"/>
      <c r="M186" s="49"/>
      <c r="N186" s="49"/>
      <c r="O186" s="49"/>
      <c r="P186" s="49"/>
      <c r="Q186" s="49"/>
      <c r="R186" s="49"/>
      <c r="S186" s="49"/>
      <c r="T186" s="49"/>
      <c r="U186" s="49"/>
      <c r="V186" s="49"/>
      <c r="W186" s="49"/>
      <c r="X186" s="49"/>
      <c r="Y186" s="49"/>
      <c r="Z186" s="49"/>
    </row>
    <row r="187" spans="1:26" ht="13">
      <c r="A187" s="49" t="str">
        <f ca="1">IFERROR(__xludf.DUMMYFUNCTION("""COMPUTED_VALUE"""),"Assigned")</f>
        <v>Assigned</v>
      </c>
      <c r="B187" s="88">
        <f ca="1">IFERROR(__xludf.DUMMYFUNCTION("""COMPUTED_VALUE"""),43705)</f>
        <v>43705</v>
      </c>
      <c r="C187" s="87">
        <f ca="1">IFERROR(__xludf.DUMMYFUNCTION("""COMPUTED_VALUE"""),43719)</f>
        <v>43719</v>
      </c>
      <c r="D187" s="49" t="str">
        <f ca="1">IFERROR(__xludf.DUMMYFUNCTION("""COMPUTED_VALUE"""),"Yes")</f>
        <v>Yes</v>
      </c>
      <c r="E187" s="49" t="str">
        <f ca="1">IFERROR(__xludf.DUMMYFUNCTION("""COMPUTED_VALUE"""),"Somatic Cancer")</f>
        <v>Somatic Cancer</v>
      </c>
      <c r="F187" s="49" t="str">
        <f ca="1">IFERROR(__xludf.DUMMYFUNCTION("""COMPUTED_VALUE"""),"hematological cancer taskforce")</f>
        <v>hematological cancer taskforce</v>
      </c>
      <c r="G187" s="49" t="str">
        <f ca="1">IFERROR(__xludf.DUMMYFUNCTION("""COMPUTED_VALUE"""),"Lori Millner")</f>
        <v>Lori Millner</v>
      </c>
      <c r="H187" s="49" t="str">
        <f ca="1">IFERROR(__xludf.DUMMYFUNCTION("""COMPUTED_VALUE"""),"lorimillner77@gmail.com")</f>
        <v>lorimillner77@gmail.com</v>
      </c>
      <c r="I187" s="49" t="str">
        <f ca="1">IFERROR(__xludf.DUMMYFUNCTION("""COMPUTED_VALUE"""),"Clinical Lab Director")</f>
        <v>Clinical Lab Director</v>
      </c>
      <c r="J187" s="49"/>
      <c r="K187" s="49" t="str">
        <f ca="1">IFERROR(__xludf.DUMMYFUNCTION("""COMPUTED_VALUE"""),"Somatic Cancer")</f>
        <v>Somatic Cancer</v>
      </c>
      <c r="L187" s="49"/>
      <c r="M187" s="49"/>
      <c r="N187" s="49"/>
      <c r="O187" s="49"/>
      <c r="P187" s="49"/>
      <c r="Q187" s="49"/>
      <c r="R187" s="49"/>
      <c r="S187" s="49"/>
      <c r="T187" s="49"/>
      <c r="U187" s="49"/>
      <c r="V187" s="49"/>
      <c r="W187" s="49"/>
      <c r="X187" s="49"/>
      <c r="Y187" s="49"/>
      <c r="Z187" s="49"/>
    </row>
    <row r="188" spans="1:26" ht="13">
      <c r="A188" s="49" t="str">
        <f ca="1">IFERROR(__xludf.DUMMYFUNCTION("""COMPUTED_VALUE"""),"Contacted")</f>
        <v>Contacted</v>
      </c>
      <c r="B188" s="88">
        <f ca="1">IFERROR(__xludf.DUMMYFUNCTION("""COMPUTED_VALUE"""),43689)</f>
        <v>43689</v>
      </c>
      <c r="C188" s="49" t="str">
        <f ca="1">IFERROR(__xludf.DUMMYFUNCTION("""COMPUTED_VALUE"""),"")</f>
        <v/>
      </c>
      <c r="D188" s="49" t="str">
        <f ca="1">IFERROR(__xludf.DUMMYFUNCTION("""COMPUTED_VALUE"""),"")</f>
        <v/>
      </c>
      <c r="E188" s="49" t="str">
        <f ca="1">IFERROR(__xludf.DUMMYFUNCTION("""COMPUTED_VALUE"""),"Actionability")</f>
        <v>Actionability</v>
      </c>
      <c r="F188" s="49" t="str">
        <f ca="1">IFERROR(__xludf.DUMMYFUNCTION("""COMPUTED_VALUE"""),"")</f>
        <v/>
      </c>
      <c r="G188" s="49" t="str">
        <f ca="1">IFERROR(__xludf.DUMMYFUNCTION("""COMPUTED_VALUE"""),"Agnes Sebastian")</f>
        <v>Agnes Sebastian</v>
      </c>
      <c r="H188" s="49" t="str">
        <f ca="1">IFERROR(__xludf.DUMMYFUNCTION("""COMPUTED_VALUE"""),"agnes.sebastian@mail.utoronto.ca")</f>
        <v>agnes.sebastian@mail.utoronto.ca</v>
      </c>
      <c r="I188" s="49" t="str">
        <f ca="1">IFERROR(__xludf.DUMMYFUNCTION("""COMPUTED_VALUE"""),"Graduate Student")</f>
        <v>Graduate Student</v>
      </c>
      <c r="J188" s="49"/>
      <c r="K188" s="49" t="str">
        <f ca="1">IFERROR(__xludf.DUMMYFUNCTION("""COMPUTED_VALUE"""),"Clinical Actionability")</f>
        <v>Clinical Actionability</v>
      </c>
      <c r="L188" s="49"/>
      <c r="M188" s="49"/>
      <c r="N188" s="49"/>
      <c r="O188" s="49"/>
      <c r="P188" s="49"/>
      <c r="Q188" s="49"/>
      <c r="R188" s="49"/>
      <c r="S188" s="49"/>
      <c r="T188" s="49"/>
      <c r="U188" s="49"/>
      <c r="V188" s="49"/>
      <c r="W188" s="49"/>
      <c r="X188" s="49"/>
      <c r="Y188" s="49"/>
      <c r="Z188" s="49"/>
    </row>
    <row r="189" spans="1:26" ht="13">
      <c r="A189" s="49" t="str">
        <f ca="1">IFERROR(__xludf.DUMMYFUNCTION("""COMPUTED_VALUE"""),"Unresponsive")</f>
        <v>Unresponsive</v>
      </c>
      <c r="B189" s="49" t="str">
        <f ca="1">IFERROR(__xludf.DUMMYFUNCTION("""COMPUTED_VALUE"""),"")</f>
        <v/>
      </c>
      <c r="C189" s="49" t="str">
        <f ca="1">IFERROR(__xludf.DUMMYFUNCTION("""COMPUTED_VALUE"""),"")</f>
        <v/>
      </c>
      <c r="D189" s="49" t="str">
        <f ca="1">IFERROR(__xludf.DUMMYFUNCTION("""COMPUTED_VALUE"""),"")</f>
        <v/>
      </c>
      <c r="E189" s="49" t="str">
        <f ca="1">IFERROR(__xludf.DUMMYFUNCTION("""COMPUTED_VALUE"""),"Variant Pathogenicity")</f>
        <v>Variant Pathogenicity</v>
      </c>
      <c r="F189" s="49" t="str">
        <f ca="1">IFERROR(__xludf.DUMMYFUNCTION("""COMPUTED_VALUE"""),"")</f>
        <v/>
      </c>
      <c r="G189" s="49" t="str">
        <f ca="1">IFERROR(__xludf.DUMMYFUNCTION("""COMPUTED_VALUE"""),"Xiangqiang Shao")</f>
        <v>Xiangqiang Shao</v>
      </c>
      <c r="H189" s="49" t="str">
        <f ca="1">IFERROR(__xludf.DUMMYFUNCTION("""COMPUTED_VALUE"""),"xshao5@wisc.edu")</f>
        <v>xshao5@wisc.edu</v>
      </c>
      <c r="I189" s="49" t="str">
        <f ca="1">IFERROR(__xludf.DUMMYFUNCTION("""COMPUTED_VALUE"""),"Scientific Researcher")</f>
        <v>Scientific Researcher</v>
      </c>
      <c r="J189" s="49"/>
      <c r="K189" s="49" t="str">
        <f ca="1">IFERROR(__xludf.DUMMYFUNCTION("""COMPUTED_VALUE"""),"Variant Pathogenicity")</f>
        <v>Variant Pathogenicity</v>
      </c>
      <c r="L189" s="49"/>
      <c r="M189" s="49"/>
      <c r="N189" s="49"/>
      <c r="O189" s="49"/>
      <c r="P189" s="49"/>
      <c r="Q189" s="49"/>
      <c r="R189" s="49"/>
      <c r="S189" s="49"/>
      <c r="T189" s="49"/>
      <c r="U189" s="49"/>
      <c r="V189" s="49"/>
      <c r="W189" s="49"/>
      <c r="X189" s="49"/>
      <c r="Y189" s="49"/>
      <c r="Z189" s="49"/>
    </row>
    <row r="190" spans="1:26" ht="13">
      <c r="A190" s="49" t="str">
        <f ca="1">IFERROR(__xludf.DUMMYFUNCTION("""COMPUTED_VALUE"""),"Contacted")</f>
        <v>Contacted</v>
      </c>
      <c r="B190" s="88">
        <f ca="1">IFERROR(__xludf.DUMMYFUNCTION("""COMPUTED_VALUE"""),43689)</f>
        <v>43689</v>
      </c>
      <c r="C190" s="49" t="str">
        <f ca="1">IFERROR(__xludf.DUMMYFUNCTION("""COMPUTED_VALUE"""),"")</f>
        <v/>
      </c>
      <c r="D190" s="49" t="str">
        <f ca="1">IFERROR(__xludf.DUMMYFUNCTION("""COMPUTED_VALUE"""),"")</f>
        <v/>
      </c>
      <c r="E190" s="49" t="str">
        <f ca="1">IFERROR(__xludf.DUMMYFUNCTION("""COMPUTED_VALUE"""),"Actionability")</f>
        <v>Actionability</v>
      </c>
      <c r="F190" s="49" t="str">
        <f ca="1">IFERROR(__xludf.DUMMYFUNCTION("""COMPUTED_VALUE"""),"")</f>
        <v/>
      </c>
      <c r="G190" s="49" t="str">
        <f ca="1">IFERROR(__xludf.DUMMYFUNCTION("""COMPUTED_VALUE"""),"Terri McVeigh")</f>
        <v>Terri McVeigh</v>
      </c>
      <c r="H190" s="49" t="str">
        <f ca="1">IFERROR(__xludf.DUMMYFUNCTION("""COMPUTED_VALUE"""),"terri.mcveigh@rmh.nhs.uk")</f>
        <v>terri.mcveigh@rmh.nhs.uk</v>
      </c>
      <c r="I190" s="49" t="str">
        <f ca="1">IFERROR(__xludf.DUMMYFUNCTION("""COMPUTED_VALUE"""),"Clinical Medical Geneticist")</f>
        <v>Clinical Medical Geneticist</v>
      </c>
      <c r="J190" s="49"/>
      <c r="K190" s="49" t="str">
        <f ca="1">IFERROR(__xludf.DUMMYFUNCTION("""COMPUTED_VALUE"""),"Clinical Actionability")</f>
        <v>Clinical Actionability</v>
      </c>
      <c r="L190" s="49"/>
      <c r="M190" s="49"/>
      <c r="N190" s="49"/>
      <c r="O190" s="49"/>
      <c r="P190" s="49"/>
      <c r="Q190" s="49"/>
      <c r="R190" s="49"/>
      <c r="S190" s="49"/>
      <c r="T190" s="49"/>
      <c r="U190" s="49"/>
      <c r="V190" s="49"/>
      <c r="W190" s="49"/>
      <c r="X190" s="49"/>
      <c r="Y190" s="49"/>
      <c r="Z190" s="49"/>
    </row>
    <row r="191" spans="1:26" ht="13">
      <c r="A191" s="49" t="str">
        <f ca="1">IFERROR(__xludf.DUMMYFUNCTION("""COMPUTED_VALUE"""),"Unresponsive")</f>
        <v>Unresponsive</v>
      </c>
      <c r="B191" s="49" t="str">
        <f ca="1">IFERROR(__xludf.DUMMYFUNCTION("""COMPUTED_VALUE"""),"")</f>
        <v/>
      </c>
      <c r="C191" s="49" t="str">
        <f ca="1">IFERROR(__xludf.DUMMYFUNCTION("""COMPUTED_VALUE"""),"")</f>
        <v/>
      </c>
      <c r="D191" s="49" t="str">
        <f ca="1">IFERROR(__xludf.DUMMYFUNCTION("""COMPUTED_VALUE"""),"")</f>
        <v/>
      </c>
      <c r="E191" s="49" t="str">
        <f ca="1">IFERROR(__xludf.DUMMYFUNCTION("""COMPUTED_VALUE"""),"Variant Pathogenicity")</f>
        <v>Variant Pathogenicity</v>
      </c>
      <c r="F191" s="49" t="str">
        <f ca="1">IFERROR(__xludf.DUMMYFUNCTION("""COMPUTED_VALUE"""),"")</f>
        <v/>
      </c>
      <c r="G191" s="49" t="str">
        <f ca="1">IFERROR(__xludf.DUMMYFUNCTION("""COMPUTED_VALUE"""),"Gretchen Cote")</f>
        <v>Gretchen Cote</v>
      </c>
      <c r="H191" s="49" t="str">
        <f ca="1">IFERROR(__xludf.DUMMYFUNCTION("""COMPUTED_VALUE"""),"gretchen.cote@dgs.virginia.gov")</f>
        <v>gretchen.cote@dgs.virginia.gov</v>
      </c>
      <c r="I191" s="49" t="str">
        <f ca="1">IFERROR(__xludf.DUMMYFUNCTION("""COMPUTED_VALUE"""),"Bioinformatician focusing on Variant Interpretation")</f>
        <v>Bioinformatician focusing on Variant Interpretation</v>
      </c>
      <c r="J191" s="49"/>
      <c r="K191" s="49" t="str">
        <f ca="1">IFERROR(__xludf.DUMMYFUNCTION("""COMPUTED_VALUE"""),"Variant Pathogenicity")</f>
        <v>Variant Pathogenicity</v>
      </c>
      <c r="L191" s="49"/>
      <c r="M191" s="49"/>
      <c r="N191" s="49"/>
      <c r="O191" s="49"/>
      <c r="P191" s="49"/>
      <c r="Q191" s="49"/>
      <c r="R191" s="49"/>
      <c r="S191" s="49"/>
      <c r="T191" s="49"/>
      <c r="U191" s="49"/>
      <c r="V191" s="49"/>
      <c r="W191" s="49"/>
      <c r="X191" s="49"/>
      <c r="Y191" s="49"/>
      <c r="Z191" s="49"/>
    </row>
    <row r="192" spans="1:26" ht="13">
      <c r="A192" s="49" t="str">
        <f ca="1">IFERROR(__xludf.DUMMYFUNCTION("""COMPUTED_VALUE"""),"Contacted")</f>
        <v>Contacted</v>
      </c>
      <c r="B192" s="49" t="str">
        <f ca="1">IFERROR(__xludf.DUMMYFUNCTION("""COMPUTED_VALUE"""),"")</f>
        <v/>
      </c>
      <c r="C192" s="87">
        <f ca="1">IFERROR(__xludf.DUMMYFUNCTION("""COMPUTED_VALUE"""),43692)</f>
        <v>43692</v>
      </c>
      <c r="D192" s="49" t="str">
        <f ca="1">IFERROR(__xludf.DUMMYFUNCTION("""COMPUTED_VALUE"""),"Yes")</f>
        <v>Yes</v>
      </c>
      <c r="E192" s="49" t="str">
        <f ca="1">IFERROR(__xludf.DUMMYFUNCTION("""COMPUTED_VALUE"""),"Gene Disease Validity")</f>
        <v>Gene Disease Validity</v>
      </c>
      <c r="F192" s="49" t="str">
        <f ca="1">IFERROR(__xludf.DUMMYFUNCTION("""COMPUTED_VALUE"""),"")</f>
        <v/>
      </c>
      <c r="G192" s="49" t="str">
        <f ca="1">IFERROR(__xludf.DUMMYFUNCTION("""COMPUTED_VALUE"""),"Mayher Patel")</f>
        <v>Mayher Patel</v>
      </c>
      <c r="H192" s="49" t="str">
        <f ca="1">IFERROR(__xludf.DUMMYFUNCTION("""COMPUTED_VALUE"""),"mayher@broadinstitute.org")</f>
        <v>mayher@broadinstitute.org</v>
      </c>
      <c r="I192" s="49" t="str">
        <f ca="1">IFERROR(__xludf.DUMMYFUNCTION("""COMPUTED_VALUE"""),"Biocurator")</f>
        <v>Biocurator</v>
      </c>
      <c r="J192" s="49"/>
      <c r="K192" s="49" t="str">
        <f ca="1">IFERROR(__xludf.DUMMYFUNCTION("""COMPUTED_VALUE"""),"Gene-Disease Validity")</f>
        <v>Gene-Disease Validity</v>
      </c>
      <c r="L192" s="49"/>
      <c r="M192" s="49"/>
      <c r="N192" s="49"/>
      <c r="O192" s="49"/>
      <c r="P192" s="49"/>
      <c r="Q192" s="49"/>
      <c r="R192" s="49"/>
      <c r="S192" s="49"/>
      <c r="T192" s="49"/>
      <c r="U192" s="49"/>
      <c r="V192" s="49"/>
      <c r="W192" s="49"/>
      <c r="X192" s="49"/>
      <c r="Y192" s="49"/>
      <c r="Z192" s="49"/>
    </row>
    <row r="193" spans="1:26" ht="13">
      <c r="A193" s="49" t="str">
        <f ca="1">IFERROR(__xludf.DUMMYFUNCTION("""COMPUTED_VALUE"""),"Unresponsive")</f>
        <v>Unresponsive</v>
      </c>
      <c r="B193" s="49" t="str">
        <f ca="1">IFERROR(__xludf.DUMMYFUNCTION("""COMPUTED_VALUE"""),"")</f>
        <v/>
      </c>
      <c r="C193" s="49" t="str">
        <f ca="1">IFERROR(__xludf.DUMMYFUNCTION("""COMPUTED_VALUE"""),"")</f>
        <v/>
      </c>
      <c r="D193" s="49" t="str">
        <f ca="1">IFERROR(__xludf.DUMMYFUNCTION("""COMPUTED_VALUE"""),"")</f>
        <v/>
      </c>
      <c r="E193" s="49" t="str">
        <f ca="1">IFERROR(__xludf.DUMMYFUNCTION("""COMPUTED_VALUE"""),"Variant Pathogenicity")</f>
        <v>Variant Pathogenicity</v>
      </c>
      <c r="F193" s="49" t="str">
        <f ca="1">IFERROR(__xludf.DUMMYFUNCTION("""COMPUTED_VALUE"""),"")</f>
        <v/>
      </c>
      <c r="G193" s="49" t="str">
        <f ca="1">IFERROR(__xludf.DUMMYFUNCTION("""COMPUTED_VALUE"""),"Bryan Gall")</f>
        <v>Bryan Gall</v>
      </c>
      <c r="H193" s="49" t="str">
        <f ca="1">IFERROR(__xludf.DUMMYFUNCTION("""COMPUTED_VALUE"""),"bgall005@gmail.com")</f>
        <v>bgall005@gmail.com</v>
      </c>
      <c r="I193" s="49" t="str">
        <f ca="1">IFERROR(__xludf.DUMMYFUNCTION("""COMPUTED_VALUE"""),"Variant Analyst/Scientist - Industry")</f>
        <v>Variant Analyst/Scientist - Industry</v>
      </c>
      <c r="J193" s="49"/>
      <c r="K193" s="49" t="str">
        <f ca="1">IFERROR(__xludf.DUMMYFUNCTION("""COMPUTED_VALUE"""),"Variant Pathogenicity")</f>
        <v>Variant Pathogenicity</v>
      </c>
      <c r="L193" s="49"/>
      <c r="M193" s="49"/>
      <c r="N193" s="49"/>
      <c r="O193" s="49"/>
      <c r="P193" s="49"/>
      <c r="Q193" s="49"/>
      <c r="R193" s="49"/>
      <c r="S193" s="49"/>
      <c r="T193" s="49"/>
      <c r="U193" s="49"/>
      <c r="V193" s="49"/>
      <c r="W193" s="49"/>
      <c r="X193" s="49"/>
      <c r="Y193" s="49"/>
      <c r="Z193" s="49"/>
    </row>
    <row r="194" spans="1:26" ht="13">
      <c r="A194" s="49" t="str">
        <f ca="1">IFERROR(__xludf.DUMMYFUNCTION("""COMPUTED_VALUE"""),"Contacted")</f>
        <v>Contacted</v>
      </c>
      <c r="B194" s="49" t="str">
        <f ca="1">IFERROR(__xludf.DUMMYFUNCTION("""COMPUTED_VALUE"""),"")</f>
        <v/>
      </c>
      <c r="C194" s="87">
        <f ca="1">IFERROR(__xludf.DUMMYFUNCTION("""COMPUTED_VALUE"""),43692)</f>
        <v>43692</v>
      </c>
      <c r="D194" s="49" t="str">
        <f ca="1">IFERROR(__xludf.DUMMYFUNCTION("""COMPUTED_VALUE"""),"Yes")</f>
        <v>Yes</v>
      </c>
      <c r="E194" s="49" t="str">
        <f ca="1">IFERROR(__xludf.DUMMYFUNCTION("""COMPUTED_VALUE"""),"Gene Disease Validity")</f>
        <v>Gene Disease Validity</v>
      </c>
      <c r="F194" s="49" t="str">
        <f ca="1">IFERROR(__xludf.DUMMYFUNCTION("""COMPUTED_VALUE"""),"")</f>
        <v/>
      </c>
      <c r="G194" s="49" t="str">
        <f ca="1">IFERROR(__xludf.DUMMYFUNCTION("""COMPUTED_VALUE"""),"Hwaida Hannoush")</f>
        <v>Hwaida Hannoush</v>
      </c>
      <c r="H194" s="49" t="str">
        <f ca="1">IFERROR(__xludf.DUMMYFUNCTION("""COMPUTED_VALUE"""),"hhannoush@acmg.net")</f>
        <v>hhannoush@acmg.net</v>
      </c>
      <c r="I194" s="49" t="str">
        <f ca="1">IFERROR(__xludf.DUMMYFUNCTION("""COMPUTED_VALUE"""),"Post Doc/Resident/Fellow (MD and/or PhD)")</f>
        <v>Post Doc/Resident/Fellow (MD and/or PhD)</v>
      </c>
      <c r="J194" s="49"/>
      <c r="K194" s="49" t="str">
        <f ca="1">IFERROR(__xludf.DUMMYFUNCTION("""COMPUTED_VALUE"""),"Gene-Disease Validity")</f>
        <v>Gene-Disease Validity</v>
      </c>
      <c r="L194" s="49"/>
      <c r="M194" s="49"/>
      <c r="N194" s="49"/>
      <c r="O194" s="49"/>
      <c r="P194" s="49"/>
      <c r="Q194" s="49"/>
      <c r="R194" s="49"/>
      <c r="S194" s="49"/>
      <c r="T194" s="49"/>
      <c r="U194" s="49"/>
      <c r="V194" s="49"/>
      <c r="W194" s="49"/>
      <c r="X194" s="49"/>
      <c r="Y194" s="49"/>
      <c r="Z194" s="49"/>
    </row>
    <row r="195" spans="1:26" ht="13">
      <c r="A195" s="49" t="str">
        <f ca="1">IFERROR(__xludf.DUMMYFUNCTION("""COMPUTED_VALUE"""),"Contacted")</f>
        <v>Contacted</v>
      </c>
      <c r="B195" s="88">
        <f ca="1">IFERROR(__xludf.DUMMYFUNCTION("""COMPUTED_VALUE"""),43689)</f>
        <v>43689</v>
      </c>
      <c r="C195" s="49" t="str">
        <f ca="1">IFERROR(__xludf.DUMMYFUNCTION("""COMPUTED_VALUE"""),"")</f>
        <v/>
      </c>
      <c r="D195" s="49" t="str">
        <f ca="1">IFERROR(__xludf.DUMMYFUNCTION("""COMPUTED_VALUE"""),"")</f>
        <v/>
      </c>
      <c r="E195" s="49" t="str">
        <f ca="1">IFERROR(__xludf.DUMMYFUNCTION("""COMPUTED_VALUE"""),"Actionability")</f>
        <v>Actionability</v>
      </c>
      <c r="F195" s="49" t="str">
        <f ca="1">IFERROR(__xludf.DUMMYFUNCTION("""COMPUTED_VALUE"""),"")</f>
        <v/>
      </c>
      <c r="G195" s="49" t="str">
        <f ca="1">IFERROR(__xludf.DUMMYFUNCTION("""COMPUTED_VALUE"""),"Rawan Awwad")</f>
        <v>Rawan Awwad</v>
      </c>
      <c r="H195" s="49" t="str">
        <f ca="1">IFERROR(__xludf.DUMMYFUNCTION("""COMPUTED_VALUE"""),"rawan.awwad@gmail.com")</f>
        <v>rawan.awwad@gmail.com</v>
      </c>
      <c r="I195" s="49" t="str">
        <f ca="1">IFERROR(__xludf.DUMMYFUNCTION("""COMPUTED_VALUE"""),"Genetic counselor")</f>
        <v>Genetic counselor</v>
      </c>
      <c r="J195" s="49"/>
      <c r="K195" s="49" t="str">
        <f ca="1">IFERROR(__xludf.DUMMYFUNCTION("""COMPUTED_VALUE"""),"Clinical Actionability")</f>
        <v>Clinical Actionability</v>
      </c>
      <c r="L195" s="49"/>
      <c r="M195" s="49"/>
      <c r="N195" s="49"/>
      <c r="O195" s="49"/>
      <c r="P195" s="49"/>
      <c r="Q195" s="49"/>
      <c r="R195" s="49"/>
      <c r="S195" s="49"/>
      <c r="T195" s="49"/>
      <c r="U195" s="49"/>
      <c r="V195" s="49"/>
      <c r="W195" s="49"/>
      <c r="X195" s="49"/>
      <c r="Y195" s="49"/>
      <c r="Z195" s="49"/>
    </row>
    <row r="196" spans="1:26" ht="13">
      <c r="A196" s="49" t="str">
        <f ca="1">IFERROR(__xludf.DUMMYFUNCTION("""COMPUTED_VALUE"""),"Unresponsive")</f>
        <v>Unresponsive</v>
      </c>
      <c r="B196" s="88" t="str">
        <f ca="1">IFERROR(__xludf.DUMMYFUNCTION("""COMPUTED_VALUE"""),"")</f>
        <v/>
      </c>
      <c r="C196" s="49" t="str">
        <f ca="1">IFERROR(__xludf.DUMMYFUNCTION("""COMPUTED_VALUE"""),"")</f>
        <v/>
      </c>
      <c r="D196" s="49" t="str">
        <f ca="1">IFERROR(__xludf.DUMMYFUNCTION("""COMPUTED_VALUE"""),"")</f>
        <v/>
      </c>
      <c r="E196" s="49" t="str">
        <f ca="1">IFERROR(__xludf.DUMMYFUNCTION("""COMPUTED_VALUE"""),"Variant Pathogenicity")</f>
        <v>Variant Pathogenicity</v>
      </c>
      <c r="F196" s="49" t="str">
        <f ca="1">IFERROR(__xludf.DUMMYFUNCTION("""COMPUTED_VALUE"""),"")</f>
        <v/>
      </c>
      <c r="G196" s="49" t="str">
        <f ca="1">IFERROR(__xludf.DUMMYFUNCTION("""COMPUTED_VALUE"""),"Yanhui Li")</f>
        <v>Yanhui Li</v>
      </c>
      <c r="H196" s="49" t="str">
        <f ca="1">IFERROR(__xludf.DUMMYFUNCTION("""COMPUTED_VALUE"""),"yxl280@gmail.com")</f>
        <v>yxl280@gmail.com</v>
      </c>
      <c r="I196" s="49" t="str">
        <f ca="1">IFERROR(__xludf.DUMMYFUNCTION("""COMPUTED_VALUE"""),"Post Doc/Resident/Fellow (MD and/or PhD)")</f>
        <v>Post Doc/Resident/Fellow (MD and/or PhD)</v>
      </c>
      <c r="J196" s="49"/>
      <c r="K196" s="49" t="str">
        <f ca="1">IFERROR(__xludf.DUMMYFUNCTION("""COMPUTED_VALUE"""),"Variant Pathogenicity")</f>
        <v>Variant Pathogenicity</v>
      </c>
      <c r="L196" s="49"/>
      <c r="M196" s="49"/>
      <c r="N196" s="49"/>
      <c r="O196" s="49"/>
      <c r="P196" s="49"/>
      <c r="Q196" s="49"/>
      <c r="R196" s="49"/>
      <c r="S196" s="49"/>
      <c r="T196" s="49"/>
      <c r="U196" s="49"/>
      <c r="V196" s="49"/>
      <c r="W196" s="49"/>
      <c r="X196" s="49"/>
      <c r="Y196" s="49"/>
      <c r="Z196" s="49"/>
    </row>
    <row r="197" spans="1:26" ht="13">
      <c r="A197" s="49" t="str">
        <f ca="1">IFERROR(__xludf.DUMMYFUNCTION("""COMPUTED_VALUE"""),"Contacted")</f>
        <v>Contacted</v>
      </c>
      <c r="B197" s="88">
        <f ca="1">IFERROR(__xludf.DUMMYFUNCTION("""COMPUTED_VALUE"""),43689)</f>
        <v>43689</v>
      </c>
      <c r="C197" s="49" t="str">
        <f ca="1">IFERROR(__xludf.DUMMYFUNCTION("""COMPUTED_VALUE"""),"")</f>
        <v/>
      </c>
      <c r="D197" s="49" t="str">
        <f ca="1">IFERROR(__xludf.DUMMYFUNCTION("""COMPUTED_VALUE"""),"")</f>
        <v/>
      </c>
      <c r="E197" s="49" t="str">
        <f ca="1">IFERROR(__xludf.DUMMYFUNCTION("""COMPUTED_VALUE"""),"Actionability")</f>
        <v>Actionability</v>
      </c>
      <c r="F197" s="49" t="str">
        <f ca="1">IFERROR(__xludf.DUMMYFUNCTION("""COMPUTED_VALUE"""),"")</f>
        <v/>
      </c>
      <c r="G197" s="49" t="str">
        <f ca="1">IFERROR(__xludf.DUMMYFUNCTION("""COMPUTED_VALUE"""),"Leila Jamal")</f>
        <v>Leila Jamal</v>
      </c>
      <c r="H197" s="49" t="str">
        <f ca="1">IFERROR(__xludf.DUMMYFUNCTION("""COMPUTED_VALUE"""),"leila.jamal@nih.gov")</f>
        <v>leila.jamal@nih.gov</v>
      </c>
      <c r="I197" s="49" t="str">
        <f ca="1">IFERROR(__xludf.DUMMYFUNCTION("""COMPUTED_VALUE"""),"Genetic counselor")</f>
        <v>Genetic counselor</v>
      </c>
      <c r="J197" s="49"/>
      <c r="K197" s="49" t="str">
        <f ca="1">IFERROR(__xludf.DUMMYFUNCTION("""COMPUTED_VALUE"""),"Clinical Actionability")</f>
        <v>Clinical Actionability</v>
      </c>
      <c r="L197" s="49"/>
      <c r="M197" s="49"/>
      <c r="N197" s="49"/>
      <c r="O197" s="49"/>
      <c r="P197" s="49"/>
      <c r="Q197" s="49"/>
      <c r="R197" s="49"/>
      <c r="S197" s="49"/>
      <c r="T197" s="49"/>
      <c r="U197" s="49"/>
      <c r="V197" s="49"/>
      <c r="W197" s="49"/>
      <c r="X197" s="49"/>
      <c r="Y197" s="49"/>
      <c r="Z197" s="49"/>
    </row>
    <row r="198" spans="1:26" ht="13">
      <c r="A198" s="49" t="str">
        <f ca="1">IFERROR(__xludf.DUMMYFUNCTION("""COMPUTED_VALUE"""),"Contacted")</f>
        <v>Contacted</v>
      </c>
      <c r="B198" s="88">
        <f ca="1">IFERROR(__xludf.DUMMYFUNCTION("""COMPUTED_VALUE"""),43819)</f>
        <v>43819</v>
      </c>
      <c r="C198" s="49" t="str">
        <f ca="1">IFERROR(__xludf.DUMMYFUNCTION("""COMPUTED_VALUE"""),"")</f>
        <v/>
      </c>
      <c r="D198" s="49" t="str">
        <f ca="1">IFERROR(__xludf.DUMMYFUNCTION("""COMPUTED_VALUE"""),"")</f>
        <v/>
      </c>
      <c r="E198" s="49" t="str">
        <f ca="1">IFERROR(__xludf.DUMMYFUNCTION("""COMPUTED_VALUE"""),"Variant Pathogenicity")</f>
        <v>Variant Pathogenicity</v>
      </c>
      <c r="F198" s="49" t="str">
        <f ca="1">IFERROR(__xludf.DUMMYFUNCTION("""COMPUTED_VALUE"""),"")</f>
        <v/>
      </c>
      <c r="G198" s="49" t="str">
        <f ca="1">IFERROR(__xludf.DUMMYFUNCTION("""COMPUTED_VALUE"""),"Shahad Rahawi")</f>
        <v>Shahad Rahawi</v>
      </c>
      <c r="H198" s="49" t="str">
        <f ca="1">IFERROR(__xludf.DUMMYFUNCTION("""COMPUTED_VALUE"""),"shahadrahawi@gmail.com")</f>
        <v>shahadrahawi@gmail.com</v>
      </c>
      <c r="I198" s="49" t="str">
        <f ca="1">IFERROR(__xludf.DUMMYFUNCTION("""COMPUTED_VALUE"""),"Genetic counselor")</f>
        <v>Genetic counselor</v>
      </c>
      <c r="J198" s="49"/>
      <c r="K198" s="49" t="str">
        <f ca="1">IFERROR(__xludf.DUMMYFUNCTION("""COMPUTED_VALUE"""),"Variant Pathogenicity")</f>
        <v>Variant Pathogenicity</v>
      </c>
      <c r="L198" s="49"/>
      <c r="M198" s="49"/>
      <c r="N198" s="49"/>
      <c r="O198" s="49"/>
      <c r="P198" s="49"/>
      <c r="Q198" s="49"/>
      <c r="R198" s="49"/>
      <c r="S198" s="49"/>
      <c r="T198" s="49"/>
      <c r="U198" s="49"/>
      <c r="V198" s="49"/>
      <c r="W198" s="49"/>
      <c r="X198" s="49"/>
      <c r="Y198" s="49"/>
      <c r="Z198" s="49"/>
    </row>
    <row r="199" spans="1:26" ht="13">
      <c r="A199" s="49" t="str">
        <f ca="1">IFERROR(__xludf.DUMMYFUNCTION("""COMPUTED_VALUE"""),"Declined")</f>
        <v>Declined</v>
      </c>
      <c r="B199" s="88">
        <f ca="1">IFERROR(__xludf.DUMMYFUNCTION("""COMPUTED_VALUE"""),43689)</f>
        <v>43689</v>
      </c>
      <c r="C199" s="49" t="str">
        <f ca="1">IFERROR(__xludf.DUMMYFUNCTION("""COMPUTED_VALUE"""),"")</f>
        <v/>
      </c>
      <c r="D199" s="49" t="str">
        <f ca="1">IFERROR(__xludf.DUMMYFUNCTION("""COMPUTED_VALUE"""),"")</f>
        <v/>
      </c>
      <c r="E199" s="49" t="str">
        <f ca="1">IFERROR(__xludf.DUMMYFUNCTION("""COMPUTED_VALUE"""),"Actionability")</f>
        <v>Actionability</v>
      </c>
      <c r="F199" s="49" t="str">
        <f ca="1">IFERROR(__xludf.DUMMYFUNCTION("""COMPUTED_VALUE"""),"")</f>
        <v/>
      </c>
      <c r="G199" s="49" t="str">
        <f ca="1">IFERROR(__xludf.DUMMYFUNCTION("""COMPUTED_VALUE"""),"Parham Habibzadeh")</f>
        <v>Parham Habibzadeh</v>
      </c>
      <c r="H199" s="49" t="str">
        <f ca="1">IFERROR(__xludf.DUMMYFUNCTION("""COMPUTED_VALUE"""),"parham.habibzadeh@yahoo.com")</f>
        <v>parham.habibzadeh@yahoo.com</v>
      </c>
      <c r="I199" s="49" t="str">
        <f ca="1">IFERROR(__xludf.DUMMYFUNCTION("""COMPUTED_VALUE"""),"Scientific Researcher")</f>
        <v>Scientific Researcher</v>
      </c>
      <c r="J199" s="49"/>
      <c r="K199" s="49" t="str">
        <f ca="1">IFERROR(__xludf.DUMMYFUNCTION("""COMPUTED_VALUE"""),"Clinical Actionability")</f>
        <v>Clinical Actionability</v>
      </c>
      <c r="L199" s="49"/>
      <c r="M199" s="49"/>
      <c r="N199" s="49"/>
      <c r="O199" s="49"/>
      <c r="P199" s="49"/>
      <c r="Q199" s="49"/>
      <c r="R199" s="49"/>
      <c r="S199" s="49"/>
      <c r="T199" s="49"/>
      <c r="U199" s="49"/>
      <c r="V199" s="49"/>
      <c r="W199" s="49"/>
      <c r="X199" s="49"/>
      <c r="Y199" s="49"/>
      <c r="Z199" s="49"/>
    </row>
    <row r="200" spans="1:26" ht="13">
      <c r="A200" s="49" t="str">
        <f ca="1">IFERROR(__xludf.DUMMYFUNCTION("""COMPUTED_VALUE"""),"Contacted")</f>
        <v>Contacted</v>
      </c>
      <c r="B200" s="88">
        <f ca="1">IFERROR(__xludf.DUMMYFUNCTION("""COMPUTED_VALUE"""),43717)</f>
        <v>43717</v>
      </c>
      <c r="C200" s="87">
        <f ca="1">IFERROR(__xludf.DUMMYFUNCTION("""COMPUTED_VALUE"""),43769)</f>
        <v>43769</v>
      </c>
      <c r="D200" s="49" t="str">
        <f ca="1">IFERROR(__xludf.DUMMYFUNCTION("""COMPUTED_VALUE"""),"Yes")</f>
        <v>Yes</v>
      </c>
      <c r="E200" s="49" t="str">
        <f ca="1">IFERROR(__xludf.DUMMYFUNCTION("""COMPUTED_VALUE"""),"Actionability")</f>
        <v>Actionability</v>
      </c>
      <c r="F200" s="49" t="str">
        <f ca="1">IFERROR(__xludf.DUMMYFUNCTION("""COMPUTED_VALUE"""),"Actionability")</f>
        <v>Actionability</v>
      </c>
      <c r="G200" s="49" t="str">
        <f ca="1">IFERROR(__xludf.DUMMYFUNCTION("""COMPUTED_VALUE"""),"Xiaolin Hu")</f>
        <v>Xiaolin Hu</v>
      </c>
      <c r="H200" s="49" t="str">
        <f ca="1">IFERROR(__xludf.DUMMYFUNCTION("""COMPUTED_VALUE"""),"xiaolin.hu@cchmc.org")</f>
        <v>xiaolin.hu@cchmc.org</v>
      </c>
      <c r="I200" s="49" t="str">
        <f ca="1">IFERROR(__xludf.DUMMYFUNCTION("""COMPUTED_VALUE"""),"Post Doc/Resident/Fellow (MD and/or PhD)")</f>
        <v>Post Doc/Resident/Fellow (MD and/or PhD)</v>
      </c>
      <c r="J200" s="49"/>
      <c r="K200" s="49" t="str">
        <f ca="1">IFERROR(__xludf.DUMMYFUNCTION("""COMPUTED_VALUE"""),"Clinical Actionability")</f>
        <v>Clinical Actionability</v>
      </c>
      <c r="L200" s="49"/>
      <c r="M200" s="49"/>
      <c r="N200" s="49"/>
      <c r="O200" s="49"/>
      <c r="P200" s="49"/>
      <c r="Q200" s="49"/>
      <c r="R200" s="49"/>
      <c r="S200" s="49"/>
      <c r="T200" s="49"/>
      <c r="U200" s="49"/>
      <c r="V200" s="49"/>
      <c r="W200" s="49"/>
      <c r="X200" s="49"/>
      <c r="Y200" s="49"/>
      <c r="Z200" s="49"/>
    </row>
    <row r="201" spans="1:26" ht="13">
      <c r="A201" s="49" t="str">
        <f ca="1">IFERROR(__xludf.DUMMYFUNCTION("""COMPUTED_VALUE"""),"Contacted")</f>
        <v>Contacted</v>
      </c>
      <c r="B201" s="88">
        <f ca="1">IFERROR(__xludf.DUMMYFUNCTION("""COMPUTED_VALUE"""),43819)</f>
        <v>43819</v>
      </c>
      <c r="C201" s="49" t="str">
        <f ca="1">IFERROR(__xludf.DUMMYFUNCTION("""COMPUTED_VALUE"""),"")</f>
        <v/>
      </c>
      <c r="D201" s="49" t="str">
        <f ca="1">IFERROR(__xludf.DUMMYFUNCTION("""COMPUTED_VALUE"""),"")</f>
        <v/>
      </c>
      <c r="E201" s="49" t="str">
        <f ca="1">IFERROR(__xludf.DUMMYFUNCTION("""COMPUTED_VALUE"""),"Variant Pathogenicity")</f>
        <v>Variant Pathogenicity</v>
      </c>
      <c r="F201" s="49" t="str">
        <f ca="1">IFERROR(__xludf.DUMMYFUNCTION("""COMPUTED_VALUE"""),"")</f>
        <v/>
      </c>
      <c r="G201" s="49" t="str">
        <f ca="1">IFERROR(__xludf.DUMMYFUNCTION("""COMPUTED_VALUE"""),"Leighton Telling")</f>
        <v>Leighton Telling</v>
      </c>
      <c r="H201" s="49" t="str">
        <f ca="1">IFERROR(__xludf.DUMMYFUNCTION("""COMPUTED_VALUE"""),"lptellin@ncsu.edu")</f>
        <v>lptellin@ncsu.edu</v>
      </c>
      <c r="I201" s="49" t="str">
        <f ca="1">IFERROR(__xludf.DUMMYFUNCTION("""COMPUTED_VALUE"""),"Former UNC ClinGen Research Assistant")</f>
        <v>Former UNC ClinGen Research Assistant</v>
      </c>
      <c r="J201" s="49"/>
      <c r="K201" s="49" t="str">
        <f ca="1">IFERROR(__xludf.DUMMYFUNCTION("""COMPUTED_VALUE"""),"Variant Pathogenicity")</f>
        <v>Variant Pathogenicity</v>
      </c>
      <c r="L201" s="49"/>
      <c r="M201" s="49"/>
      <c r="N201" s="49"/>
      <c r="O201" s="49"/>
      <c r="P201" s="49"/>
      <c r="Q201" s="49"/>
      <c r="R201" s="49"/>
      <c r="S201" s="49"/>
      <c r="T201" s="49"/>
      <c r="U201" s="49"/>
      <c r="V201" s="49"/>
      <c r="W201" s="49"/>
      <c r="X201" s="49"/>
      <c r="Y201" s="49"/>
      <c r="Z201" s="49"/>
    </row>
    <row r="202" spans="1:26" ht="13">
      <c r="A202" s="49" t="str">
        <f ca="1">IFERROR(__xludf.DUMMYFUNCTION("""COMPUTED_VALUE"""),"Assigned")</f>
        <v>Assigned</v>
      </c>
      <c r="B202" s="88">
        <f ca="1">IFERROR(__xludf.DUMMYFUNCTION("""COMPUTED_VALUE"""),43705)</f>
        <v>43705</v>
      </c>
      <c r="C202" s="87">
        <f ca="1">IFERROR(__xludf.DUMMYFUNCTION("""COMPUTED_VALUE"""),43719)</f>
        <v>43719</v>
      </c>
      <c r="D202" s="49" t="str">
        <f ca="1">IFERROR(__xludf.DUMMYFUNCTION("""COMPUTED_VALUE"""),"Yes")</f>
        <v>Yes</v>
      </c>
      <c r="E202" s="49" t="str">
        <f ca="1">IFERROR(__xludf.DUMMYFUNCTION("""COMPUTED_VALUE"""),"Somatic Cancer")</f>
        <v>Somatic Cancer</v>
      </c>
      <c r="F202" s="49" t="str">
        <f ca="1">IFERROR(__xludf.DUMMYFUNCTION("""COMPUTED_VALUE"""),"Pediatric cancer and Hematological cancer taskforce")</f>
        <v>Pediatric cancer and Hematological cancer taskforce</v>
      </c>
      <c r="G202" s="49" t="str">
        <f ca="1">IFERROR(__xludf.DUMMYFUNCTION("""COMPUTED_VALUE"""),"Panieh Terraf")</f>
        <v>Panieh Terraf</v>
      </c>
      <c r="H202" s="49" t="str">
        <f ca="1">IFERROR(__xludf.DUMMYFUNCTION("""COMPUTED_VALUE"""),"pterraf@bwh.harvard.edu")</f>
        <v>pterraf@bwh.harvard.edu</v>
      </c>
      <c r="I202" s="49" t="str">
        <f ca="1">IFERROR(__xludf.DUMMYFUNCTION("""COMPUTED_VALUE"""),"Clinical laboratory geneticist")</f>
        <v>Clinical laboratory geneticist</v>
      </c>
      <c r="J202" s="49"/>
      <c r="K202" s="49" t="str">
        <f ca="1">IFERROR(__xludf.DUMMYFUNCTION("""COMPUTED_VALUE"""),"Somatic Cancer")</f>
        <v>Somatic Cancer</v>
      </c>
      <c r="L202" s="49"/>
      <c r="M202" s="49"/>
      <c r="N202" s="49"/>
      <c r="O202" s="49"/>
      <c r="P202" s="49"/>
      <c r="Q202" s="49"/>
      <c r="R202" s="49"/>
      <c r="S202" s="49"/>
      <c r="T202" s="49"/>
      <c r="U202" s="49"/>
      <c r="V202" s="49"/>
      <c r="W202" s="49"/>
      <c r="X202" s="49"/>
      <c r="Y202" s="49"/>
      <c r="Z202" s="49"/>
    </row>
    <row r="203" spans="1:26" ht="13">
      <c r="A203" s="49" t="str">
        <f ca="1">IFERROR(__xludf.DUMMYFUNCTION("""COMPUTED_VALUE"""),"Contacted")</f>
        <v>Contacted</v>
      </c>
      <c r="B203" s="88">
        <f ca="1">IFERROR(__xludf.DUMMYFUNCTION("""COMPUTED_VALUE"""),43819)</f>
        <v>43819</v>
      </c>
      <c r="C203" s="49" t="str">
        <f ca="1">IFERROR(__xludf.DUMMYFUNCTION("""COMPUTED_VALUE"""),"")</f>
        <v/>
      </c>
      <c r="D203" s="49" t="str">
        <f ca="1">IFERROR(__xludf.DUMMYFUNCTION("""COMPUTED_VALUE"""),"")</f>
        <v/>
      </c>
      <c r="E203" s="49" t="str">
        <f ca="1">IFERROR(__xludf.DUMMYFUNCTION("""COMPUTED_VALUE"""),"Gene Disease Validity")</f>
        <v>Gene Disease Validity</v>
      </c>
      <c r="F203" s="49" t="str">
        <f ca="1">IFERROR(__xludf.DUMMYFUNCTION("""COMPUTED_VALUE"""),"")</f>
        <v/>
      </c>
      <c r="G203" s="49" t="str">
        <f ca="1">IFERROR(__xludf.DUMMYFUNCTION("""COMPUTED_VALUE"""),"Jennifer Hull")</f>
        <v>Jennifer Hull</v>
      </c>
      <c r="H203" s="49" t="str">
        <f ca="1">IFERROR(__xludf.DUMMYFUNCTION("""COMPUTED_VALUE"""),"jhull86@gmail.com")</f>
        <v>jhull86@gmail.com</v>
      </c>
      <c r="I203" s="49" t="str">
        <f ca="1">IFERROR(__xludf.DUMMYFUNCTION("""COMPUTED_VALUE"""),"Graduate Student")</f>
        <v>Graduate Student</v>
      </c>
      <c r="J203" s="49"/>
      <c r="K203" s="49" t="str">
        <f ca="1">IFERROR(__xludf.DUMMYFUNCTION("""COMPUTED_VALUE"""),"Gene-Disease Validity")</f>
        <v>Gene-Disease Validity</v>
      </c>
      <c r="L203" s="49"/>
      <c r="M203" s="49"/>
      <c r="N203" s="49"/>
      <c r="O203" s="49"/>
      <c r="P203" s="49"/>
      <c r="Q203" s="49"/>
      <c r="R203" s="49"/>
      <c r="S203" s="49"/>
      <c r="T203" s="49"/>
      <c r="U203" s="49"/>
      <c r="V203" s="49"/>
      <c r="W203" s="49"/>
      <c r="X203" s="49"/>
      <c r="Y203" s="49"/>
      <c r="Z203" s="49"/>
    </row>
    <row r="204" spans="1:26" ht="13">
      <c r="A204" s="49" t="str">
        <f ca="1">IFERROR(__xludf.DUMMYFUNCTION("""COMPUTED_VALUE"""),"Contacted")</f>
        <v>Contacted</v>
      </c>
      <c r="B204" s="88">
        <f ca="1">IFERROR(__xludf.DUMMYFUNCTION("""COMPUTED_VALUE"""),43705)</f>
        <v>43705</v>
      </c>
      <c r="C204" s="87">
        <f ca="1">IFERROR(__xludf.DUMMYFUNCTION("""COMPUTED_VALUE"""),43719)</f>
        <v>43719</v>
      </c>
      <c r="D204" s="49" t="str">
        <f ca="1">IFERROR(__xludf.DUMMYFUNCTION("""COMPUTED_VALUE"""),"Yes")</f>
        <v>Yes</v>
      </c>
      <c r="E204" s="49" t="str">
        <f ca="1">IFERROR(__xludf.DUMMYFUNCTION("""COMPUTED_VALUE"""),"Somatic Cancer")</f>
        <v>Somatic Cancer</v>
      </c>
      <c r="F204" s="49" t="str">
        <f ca="1">IFERROR(__xludf.DUMMYFUNCTION("""COMPUTED_VALUE"""),"")</f>
        <v/>
      </c>
      <c r="G204" s="49" t="str">
        <f ca="1">IFERROR(__xludf.DUMMYFUNCTION("""COMPUTED_VALUE"""),"Eric Kil")</f>
        <v>Eric Kil</v>
      </c>
      <c r="H204" s="49" t="str">
        <f ca="1">IFERROR(__xludf.DUMMYFUNCTION("""COMPUTED_VALUE"""),"ekil18@students.kgi.edu")</f>
        <v>ekil18@students.kgi.edu</v>
      </c>
      <c r="I204" s="49" t="str">
        <f ca="1">IFERROR(__xludf.DUMMYFUNCTION("""COMPUTED_VALUE"""),"Graduate Student")</f>
        <v>Graduate Student</v>
      </c>
      <c r="J204" s="49"/>
      <c r="K204" s="49" t="str">
        <f ca="1">IFERROR(__xludf.DUMMYFUNCTION("""COMPUTED_VALUE"""),"Somatic Cancer")</f>
        <v>Somatic Cancer</v>
      </c>
      <c r="L204" s="49"/>
      <c r="M204" s="49"/>
      <c r="N204" s="49"/>
      <c r="O204" s="49"/>
      <c r="P204" s="49"/>
      <c r="Q204" s="49"/>
      <c r="R204" s="49"/>
      <c r="S204" s="49"/>
      <c r="T204" s="49"/>
      <c r="U204" s="49"/>
      <c r="V204" s="49"/>
      <c r="W204" s="49"/>
      <c r="X204" s="49"/>
      <c r="Y204" s="49"/>
      <c r="Z204" s="49"/>
    </row>
    <row r="205" spans="1:26" ht="13">
      <c r="A205" s="49" t="str">
        <f ca="1">IFERROR(__xludf.DUMMYFUNCTION("""COMPUTED_VALUE"""),"Assigned")</f>
        <v>Assigned</v>
      </c>
      <c r="B205" s="88">
        <f ca="1">IFERROR(__xludf.DUMMYFUNCTION("""COMPUTED_VALUE"""),43705)</f>
        <v>43705</v>
      </c>
      <c r="C205" s="87">
        <f ca="1">IFERROR(__xludf.DUMMYFUNCTION("""COMPUTED_VALUE"""),43719)</f>
        <v>43719</v>
      </c>
      <c r="D205" s="49" t="str">
        <f ca="1">IFERROR(__xludf.DUMMYFUNCTION("""COMPUTED_VALUE"""),"Yes")</f>
        <v>Yes</v>
      </c>
      <c r="E205" s="49" t="str">
        <f ca="1">IFERROR(__xludf.DUMMYFUNCTION("""COMPUTED_VALUE"""),"Somatic Cancer")</f>
        <v>Somatic Cancer</v>
      </c>
      <c r="F205" s="49" t="str">
        <f ca="1">IFERROR(__xludf.DUMMYFUNCTION("""COMPUTED_VALUE"""),"Genitourinary cancer taskforce")</f>
        <v>Genitourinary cancer taskforce</v>
      </c>
      <c r="G205" s="49" t="str">
        <f ca="1">IFERROR(__xludf.DUMMYFUNCTION("""COMPUTED_VALUE"""),"Joseph Steward")</f>
        <v>Joseph Steward</v>
      </c>
      <c r="H205" s="49" t="str">
        <f ca="1">IFERROR(__xludf.DUMMYFUNCTION("""COMPUTED_VALUE"""),"jsteward2930@gmail.com")</f>
        <v>jsteward2930@gmail.com</v>
      </c>
      <c r="I205" s="49" t="str">
        <f ca="1">IFERROR(__xludf.DUMMYFUNCTION("""COMPUTED_VALUE"""),"Scientific Researcher")</f>
        <v>Scientific Researcher</v>
      </c>
      <c r="J205" s="49"/>
      <c r="K205" s="49" t="str">
        <f ca="1">IFERROR(__xludf.DUMMYFUNCTION("""COMPUTED_VALUE"""),"Somatic Cancer")</f>
        <v>Somatic Cancer</v>
      </c>
      <c r="L205" s="49"/>
      <c r="M205" s="49"/>
      <c r="N205" s="49"/>
      <c r="O205" s="49"/>
      <c r="P205" s="49"/>
      <c r="Q205" s="49"/>
      <c r="R205" s="49"/>
      <c r="S205" s="49"/>
      <c r="T205" s="49"/>
      <c r="U205" s="49"/>
      <c r="V205" s="49"/>
      <c r="W205" s="49"/>
      <c r="X205" s="49"/>
      <c r="Y205" s="49"/>
      <c r="Z205" s="49"/>
    </row>
    <row r="206" spans="1:26" ht="13">
      <c r="A206" s="49" t="str">
        <f ca="1">IFERROR(__xludf.DUMMYFUNCTION("""COMPUTED_VALUE"""),"Unassigned")</f>
        <v>Unassigned</v>
      </c>
      <c r="B206" s="49" t="str">
        <f ca="1">IFERROR(__xludf.DUMMYFUNCTION("""COMPUTED_VALUE"""),"")</f>
        <v/>
      </c>
      <c r="C206" s="49" t="str">
        <f ca="1">IFERROR(__xludf.DUMMYFUNCTION("""COMPUTED_VALUE"""),"")</f>
        <v/>
      </c>
      <c r="D206" s="49" t="str">
        <f ca="1">IFERROR(__xludf.DUMMYFUNCTION("""COMPUTED_VALUE"""),"")</f>
        <v/>
      </c>
      <c r="E206" s="49" t="str">
        <f ca="1">IFERROR(__xludf.DUMMYFUNCTION("""COMPUTED_VALUE"""),"Baseline")</f>
        <v>Baseline</v>
      </c>
      <c r="F206" s="49" t="str">
        <f ca="1">IFERROR(__xludf.DUMMYFUNCTION("""COMPUTED_VALUE"""),"")</f>
        <v/>
      </c>
      <c r="G206" s="49" t="str">
        <f ca="1">IFERROR(__xludf.DUMMYFUNCTION("""COMPUTED_VALUE"""),"NANDITA MULLAPUDI")</f>
        <v>NANDITA MULLAPUDI</v>
      </c>
      <c r="H206" s="49" t="str">
        <f ca="1">IFERROR(__xludf.DUMMYFUNCTION("""COMPUTED_VALUE"""),"mnandita@gmail.com")</f>
        <v>mnandita@gmail.com</v>
      </c>
      <c r="I206" s="49" t="str">
        <f ca="1">IFERROR(__xludf.DUMMYFUNCTION("""COMPUTED_VALUE"""),"Scientific Researcher")</f>
        <v>Scientific Researcher</v>
      </c>
      <c r="J206" s="49"/>
      <c r="K206" s="49" t="str">
        <f ca="1">IFERROR(__xludf.DUMMYFUNCTION("""COMPUTED_VALUE"""),"")</f>
        <v/>
      </c>
      <c r="L206" s="49"/>
      <c r="M206" s="49"/>
      <c r="N206" s="49"/>
      <c r="O206" s="49"/>
      <c r="P206" s="49"/>
      <c r="Q206" s="49"/>
      <c r="R206" s="49"/>
      <c r="S206" s="49"/>
      <c r="T206" s="49"/>
      <c r="U206" s="49"/>
      <c r="V206" s="49"/>
      <c r="W206" s="49"/>
      <c r="X206" s="49"/>
      <c r="Y206" s="49"/>
      <c r="Z206" s="49"/>
    </row>
    <row r="207" spans="1:26" ht="13">
      <c r="A207" s="49" t="str">
        <f ca="1">IFERROR(__xludf.DUMMYFUNCTION("""COMPUTED_VALUE"""),"Contacted")</f>
        <v>Contacted</v>
      </c>
      <c r="B207" s="88">
        <f ca="1">IFERROR(__xludf.DUMMYFUNCTION("""COMPUTED_VALUE"""),43819)</f>
        <v>43819</v>
      </c>
      <c r="C207" s="49" t="str">
        <f ca="1">IFERROR(__xludf.DUMMYFUNCTION("""COMPUTED_VALUE"""),"")</f>
        <v/>
      </c>
      <c r="D207" s="49" t="str">
        <f ca="1">IFERROR(__xludf.DUMMYFUNCTION("""COMPUTED_VALUE"""),"")</f>
        <v/>
      </c>
      <c r="E207" s="49" t="str">
        <f ca="1">IFERROR(__xludf.DUMMYFUNCTION("""COMPUTED_VALUE"""),"Variant Pathogenicity")</f>
        <v>Variant Pathogenicity</v>
      </c>
      <c r="F207" s="49" t="str">
        <f ca="1">IFERROR(__xludf.DUMMYFUNCTION("""COMPUTED_VALUE"""),"")</f>
        <v/>
      </c>
      <c r="G207" s="49" t="str">
        <f ca="1">IFERROR(__xludf.DUMMYFUNCTION("""COMPUTED_VALUE"""),"Georgios Tsaousis")</f>
        <v>Georgios Tsaousis</v>
      </c>
      <c r="H207" s="49" t="str">
        <f ca="1">IFERROR(__xludf.DUMMYFUNCTION("""COMPUTED_VALUE"""),"gtsaousis@genekor.com")</f>
        <v>gtsaousis@genekor.com</v>
      </c>
      <c r="I207" s="49" t="str">
        <f ca="1">IFERROR(__xludf.DUMMYFUNCTION("""COMPUTED_VALUE"""),"Variant Analyst/Scientist - Industry")</f>
        <v>Variant Analyst/Scientist - Industry</v>
      </c>
      <c r="J207" s="49"/>
      <c r="K207" s="49" t="str">
        <f ca="1">IFERROR(__xludf.DUMMYFUNCTION("""COMPUTED_VALUE"""),"Variant Pathogenicity")</f>
        <v>Variant Pathogenicity</v>
      </c>
      <c r="L207" s="49"/>
      <c r="M207" s="49"/>
      <c r="N207" s="49"/>
      <c r="O207" s="49"/>
      <c r="P207" s="49"/>
      <c r="Q207" s="49"/>
      <c r="R207" s="49"/>
      <c r="S207" s="49"/>
      <c r="T207" s="49"/>
      <c r="U207" s="49"/>
      <c r="V207" s="49"/>
      <c r="W207" s="49"/>
      <c r="X207" s="49"/>
      <c r="Y207" s="49"/>
      <c r="Z207" s="49"/>
    </row>
    <row r="208" spans="1:26" ht="13">
      <c r="A208" s="49" t="str">
        <f ca="1">IFERROR(__xludf.DUMMYFUNCTION("""COMPUTED_VALUE"""),"Contacted")</f>
        <v>Contacted</v>
      </c>
      <c r="B208" s="88">
        <f ca="1">IFERROR(__xludf.DUMMYFUNCTION("""COMPUTED_VALUE"""),43819)</f>
        <v>43819</v>
      </c>
      <c r="C208" s="49" t="str">
        <f ca="1">IFERROR(__xludf.DUMMYFUNCTION("""COMPUTED_VALUE"""),"")</f>
        <v/>
      </c>
      <c r="D208" s="49" t="str">
        <f ca="1">IFERROR(__xludf.DUMMYFUNCTION("""COMPUTED_VALUE"""),"")</f>
        <v/>
      </c>
      <c r="E208" s="49" t="str">
        <f ca="1">IFERROR(__xludf.DUMMYFUNCTION("""COMPUTED_VALUE"""),"Variant Pathogenicity")</f>
        <v>Variant Pathogenicity</v>
      </c>
      <c r="F208" s="49" t="str">
        <f ca="1">IFERROR(__xludf.DUMMYFUNCTION("""COMPUTED_VALUE"""),"")</f>
        <v/>
      </c>
      <c r="G208" s="49" t="str">
        <f ca="1">IFERROR(__xludf.DUMMYFUNCTION("""COMPUTED_VALUE"""),"Jessica Hatton")</f>
        <v>Jessica Hatton</v>
      </c>
      <c r="H208" s="49" t="str">
        <f ca="1">IFERROR(__xludf.DUMMYFUNCTION("""COMPUTED_VALUE"""),"jessica.hatton@nih.gov")</f>
        <v>jessica.hatton@nih.gov</v>
      </c>
      <c r="I208" s="49" t="str">
        <f ca="1">IFERROR(__xludf.DUMMYFUNCTION("""COMPUTED_VALUE"""),"Genetic counselor")</f>
        <v>Genetic counselor</v>
      </c>
      <c r="J208" s="49"/>
      <c r="K208" s="49" t="str">
        <f ca="1">IFERROR(__xludf.DUMMYFUNCTION("""COMPUTED_VALUE"""),"Variant Pathogenicity")</f>
        <v>Variant Pathogenicity</v>
      </c>
      <c r="L208" s="49"/>
      <c r="M208" s="49"/>
      <c r="N208" s="49"/>
      <c r="O208" s="49"/>
      <c r="P208" s="49"/>
      <c r="Q208" s="49"/>
      <c r="R208" s="49"/>
      <c r="S208" s="49"/>
      <c r="T208" s="49"/>
      <c r="U208" s="49"/>
      <c r="V208" s="49"/>
      <c r="W208" s="49"/>
      <c r="X208" s="49"/>
      <c r="Y208" s="49"/>
      <c r="Z208" s="49"/>
    </row>
    <row r="209" spans="1:26" ht="13">
      <c r="A209" s="49" t="str">
        <f ca="1">IFERROR(__xludf.DUMMYFUNCTION("""COMPUTED_VALUE"""),"Contacted")</f>
        <v>Contacted</v>
      </c>
      <c r="B209" s="88">
        <f ca="1">IFERROR(__xludf.DUMMYFUNCTION("""COMPUTED_VALUE"""),43819)</f>
        <v>43819</v>
      </c>
      <c r="C209" s="49" t="str">
        <f ca="1">IFERROR(__xludf.DUMMYFUNCTION("""COMPUTED_VALUE"""),"")</f>
        <v/>
      </c>
      <c r="D209" s="49" t="str">
        <f ca="1">IFERROR(__xludf.DUMMYFUNCTION("""COMPUTED_VALUE"""),"")</f>
        <v/>
      </c>
      <c r="E209" s="49" t="str">
        <f ca="1">IFERROR(__xludf.DUMMYFUNCTION("""COMPUTED_VALUE"""),"Variant Pathogenicity")</f>
        <v>Variant Pathogenicity</v>
      </c>
      <c r="F209" s="49" t="str">
        <f ca="1">IFERROR(__xludf.DUMMYFUNCTION("""COMPUTED_VALUE"""),"")</f>
        <v/>
      </c>
      <c r="G209" s="49" t="str">
        <f ca="1">IFERROR(__xludf.DUMMYFUNCTION("""COMPUTED_VALUE"""),"Xia Tian")</f>
        <v>Xia Tian</v>
      </c>
      <c r="H209" s="49" t="str">
        <f ca="1">IFERROR(__xludf.DUMMYFUNCTION("""COMPUTED_VALUE"""),"xtian@wuxinextcode.com")</f>
        <v>xtian@wuxinextcode.com</v>
      </c>
      <c r="I209" s="49" t="str">
        <f ca="1">IFERROR(__xludf.DUMMYFUNCTION("""COMPUTED_VALUE"""),"Variant Analyst/Scientist - Industry")</f>
        <v>Variant Analyst/Scientist - Industry</v>
      </c>
      <c r="J209" s="49"/>
      <c r="K209" s="49" t="str">
        <f ca="1">IFERROR(__xludf.DUMMYFUNCTION("""COMPUTED_VALUE"""),"Variant Pathogenicity")</f>
        <v>Variant Pathogenicity</v>
      </c>
      <c r="L209" s="49"/>
      <c r="M209" s="49"/>
      <c r="N209" s="49"/>
      <c r="O209" s="49"/>
      <c r="P209" s="49"/>
      <c r="Q209" s="49"/>
      <c r="R209" s="49"/>
      <c r="S209" s="49"/>
      <c r="T209" s="49"/>
      <c r="U209" s="49"/>
      <c r="V209" s="49"/>
      <c r="W209" s="49"/>
      <c r="X209" s="49"/>
      <c r="Y209" s="49"/>
      <c r="Z209" s="49"/>
    </row>
    <row r="210" spans="1:26" ht="13">
      <c r="A210" s="49" t="str">
        <f ca="1">IFERROR(__xludf.DUMMYFUNCTION("""COMPUTED_VALUE"""),"Contacted")</f>
        <v>Contacted</v>
      </c>
      <c r="B210" s="88">
        <f ca="1">IFERROR(__xludf.DUMMYFUNCTION("""COMPUTED_VALUE"""),43819)</f>
        <v>43819</v>
      </c>
      <c r="C210" s="49" t="str">
        <f ca="1">IFERROR(__xludf.DUMMYFUNCTION("""COMPUTED_VALUE"""),"")</f>
        <v/>
      </c>
      <c r="D210" s="49" t="str">
        <f ca="1">IFERROR(__xludf.DUMMYFUNCTION("""COMPUTED_VALUE"""),"")</f>
        <v/>
      </c>
      <c r="E210" s="49" t="str">
        <f ca="1">IFERROR(__xludf.DUMMYFUNCTION("""COMPUTED_VALUE"""),"Gene Disease Validity")</f>
        <v>Gene Disease Validity</v>
      </c>
      <c r="F210" s="49" t="str">
        <f ca="1">IFERROR(__xludf.DUMMYFUNCTION("""COMPUTED_VALUE"""),"")</f>
        <v/>
      </c>
      <c r="G210" s="49" t="str">
        <f ca="1">IFERROR(__xludf.DUMMYFUNCTION("""COMPUTED_VALUE"""),"MEGHA DANI")</f>
        <v>MEGHA DANI</v>
      </c>
      <c r="H210" s="49" t="str">
        <f ca="1">IFERROR(__xludf.DUMMYFUNCTION("""COMPUTED_VALUE"""),"meghamdani@gmail.com")</f>
        <v>meghamdani@gmail.com</v>
      </c>
      <c r="I210" s="49" t="str">
        <f ca="1">IFERROR(__xludf.DUMMYFUNCTION("""COMPUTED_VALUE"""),"I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J210" s="49"/>
      <c r="K210" s="49" t="str">
        <f ca="1">IFERROR(__xludf.DUMMYFUNCTION("""COMPUTED_VALUE"""),"Gene-Disease Validity")</f>
        <v>Gene-Disease Validity</v>
      </c>
      <c r="L210" s="49"/>
      <c r="M210" s="49"/>
      <c r="N210" s="49"/>
      <c r="O210" s="49"/>
      <c r="P210" s="49"/>
      <c r="Q210" s="49"/>
      <c r="R210" s="49"/>
      <c r="S210" s="49"/>
      <c r="T210" s="49"/>
      <c r="U210" s="49"/>
      <c r="V210" s="49"/>
      <c r="W210" s="49"/>
      <c r="X210" s="49"/>
      <c r="Y210" s="49"/>
      <c r="Z210" s="49"/>
    </row>
    <row r="211" spans="1:26" ht="13">
      <c r="A211" s="49" t="str">
        <f ca="1">IFERROR(__xludf.DUMMYFUNCTION("""COMPUTED_VALUE"""),"Contacted")</f>
        <v>Contacted</v>
      </c>
      <c r="B211" s="49" t="str">
        <f ca="1">IFERROR(__xludf.DUMMYFUNCTION("""COMPUTED_VALUE"""),"")</f>
        <v/>
      </c>
      <c r="C211" s="87">
        <f ca="1">IFERROR(__xludf.DUMMYFUNCTION("""COMPUTED_VALUE"""),43692)</f>
        <v>43692</v>
      </c>
      <c r="D211" s="49" t="str">
        <f ca="1">IFERROR(__xludf.DUMMYFUNCTION("""COMPUTED_VALUE"""),"Yes")</f>
        <v>Yes</v>
      </c>
      <c r="E211" s="49" t="str">
        <f ca="1">IFERROR(__xludf.DUMMYFUNCTION("""COMPUTED_VALUE"""),"Gene Disease Validity")</f>
        <v>Gene Disease Validity</v>
      </c>
      <c r="F211" s="49" t="str">
        <f ca="1">IFERROR(__xludf.DUMMYFUNCTION("""COMPUTED_VALUE"""),"")</f>
        <v/>
      </c>
      <c r="G211" s="49" t="str">
        <f ca="1">IFERROR(__xludf.DUMMYFUNCTION("""COMPUTED_VALUE"""),"SAILATHA RAVI")</f>
        <v>SAILATHA RAVI</v>
      </c>
      <c r="H211" s="49" t="str">
        <f ca="1">IFERROR(__xludf.DUMMYFUNCTION("""COMPUTED_VALUE"""),"sailatha.ravi@gmail.com")</f>
        <v>sailatha.ravi@gmail.com</v>
      </c>
      <c r="I211" s="49" t="str">
        <f ca="1">IFERROR(__xludf.DUMMYFUNCTION("""COMPUTED_VALUE"""),"Post Doc/Resident/Fellow (MD and/or PhD)")</f>
        <v>Post Doc/Resident/Fellow (MD and/or PhD)</v>
      </c>
      <c r="J211" s="49"/>
      <c r="K211" s="49" t="str">
        <f ca="1">IFERROR(__xludf.DUMMYFUNCTION("""COMPUTED_VALUE"""),"Gene-Disease Validity")</f>
        <v>Gene-Disease Validity</v>
      </c>
      <c r="L211" s="49"/>
      <c r="M211" s="49"/>
      <c r="N211" s="49"/>
      <c r="O211" s="49"/>
      <c r="P211" s="49"/>
      <c r="Q211" s="49"/>
      <c r="R211" s="49"/>
      <c r="S211" s="49"/>
      <c r="T211" s="49"/>
      <c r="U211" s="49"/>
      <c r="V211" s="49"/>
      <c r="W211" s="49"/>
      <c r="X211" s="49"/>
      <c r="Y211" s="49"/>
      <c r="Z211" s="49"/>
    </row>
    <row r="212" spans="1:26" ht="13">
      <c r="A212" s="49" t="str">
        <f ca="1">IFERROR(__xludf.DUMMYFUNCTION("""COMPUTED_VALUE"""),"Contacted")</f>
        <v>Contacted</v>
      </c>
      <c r="B212" s="88">
        <f ca="1">IFERROR(__xludf.DUMMYFUNCTION("""COMPUTED_VALUE"""),43819)</f>
        <v>43819</v>
      </c>
      <c r="C212" s="49" t="str">
        <f ca="1">IFERROR(__xludf.DUMMYFUNCTION("""COMPUTED_VALUE"""),"")</f>
        <v/>
      </c>
      <c r="D212" s="49" t="str">
        <f ca="1">IFERROR(__xludf.DUMMYFUNCTION("""COMPUTED_VALUE"""),"")</f>
        <v/>
      </c>
      <c r="E212" s="49" t="str">
        <f ca="1">IFERROR(__xludf.DUMMYFUNCTION("""COMPUTED_VALUE"""),"Variant Pathogenicity")</f>
        <v>Variant Pathogenicity</v>
      </c>
      <c r="F212" s="49" t="str">
        <f ca="1">IFERROR(__xludf.DUMMYFUNCTION("""COMPUTED_VALUE"""),"")</f>
        <v/>
      </c>
      <c r="G212" s="49" t="str">
        <f ca="1">IFERROR(__xludf.DUMMYFUNCTION("""COMPUTED_VALUE"""),"Pamela Ajuyah")</f>
        <v>Pamela Ajuyah</v>
      </c>
      <c r="H212" s="49" t="str">
        <f ca="1">IFERROR(__xludf.DUMMYFUNCTION("""COMPUTED_VALUE"""),"pamela.a.ajuyah@gmail.com")</f>
        <v>pamela.a.ajuyah@gmail.com</v>
      </c>
      <c r="I212" s="49" t="str">
        <f ca="1">IFERROR(__xludf.DUMMYFUNCTION("""COMPUTED_VALUE"""),"Variant Analyst/Scientist - Industry")</f>
        <v>Variant Analyst/Scientist - Industry</v>
      </c>
      <c r="J212" s="49"/>
      <c r="K212" s="49" t="str">
        <f ca="1">IFERROR(__xludf.DUMMYFUNCTION("""COMPUTED_VALUE"""),"Variant Pathogenicity")</f>
        <v>Variant Pathogenicity</v>
      </c>
      <c r="L212" s="49"/>
      <c r="M212" s="49"/>
      <c r="N212" s="49"/>
      <c r="O212" s="49"/>
      <c r="P212" s="49"/>
      <c r="Q212" s="49"/>
      <c r="R212" s="49"/>
      <c r="S212" s="49"/>
      <c r="T212" s="49"/>
      <c r="U212" s="49"/>
      <c r="V212" s="49"/>
      <c r="W212" s="49"/>
      <c r="X212" s="49"/>
      <c r="Y212" s="49"/>
      <c r="Z212" s="49"/>
    </row>
    <row r="213" spans="1:26" ht="13">
      <c r="A213" s="49" t="str">
        <f ca="1">IFERROR(__xludf.DUMMYFUNCTION("""COMPUTED_VALUE"""),"Contacted")</f>
        <v>Contacted</v>
      </c>
      <c r="B213" s="88">
        <f ca="1">IFERROR(__xludf.DUMMYFUNCTION("""COMPUTED_VALUE"""),43819)</f>
        <v>43819</v>
      </c>
      <c r="C213" s="49" t="str">
        <f ca="1">IFERROR(__xludf.DUMMYFUNCTION("""COMPUTED_VALUE"""),"")</f>
        <v/>
      </c>
      <c r="D213" s="49" t="str">
        <f ca="1">IFERROR(__xludf.DUMMYFUNCTION("""COMPUTED_VALUE"""),"")</f>
        <v/>
      </c>
      <c r="E213" s="49" t="str">
        <f ca="1">IFERROR(__xludf.DUMMYFUNCTION("""COMPUTED_VALUE"""),"Gene Disease Validity")</f>
        <v>Gene Disease Validity</v>
      </c>
      <c r="F213" s="49" t="str">
        <f ca="1">IFERROR(__xludf.DUMMYFUNCTION("""COMPUTED_VALUE"""),"")</f>
        <v/>
      </c>
      <c r="G213" s="49" t="str">
        <f ca="1">IFERROR(__xludf.DUMMYFUNCTION("""COMPUTED_VALUE"""),"Yasser Sullcahuaman Allende")</f>
        <v>Yasser Sullcahuaman Allende</v>
      </c>
      <c r="H213" s="49" t="str">
        <f ca="1">IFERROR(__xludf.DUMMYFUNCTION("""COMPUTED_VALUE"""),"ysullcahuaman@hotmail.com")</f>
        <v>ysullcahuaman@hotmail.com</v>
      </c>
      <c r="I213" s="49" t="str">
        <f ca="1">IFERROR(__xludf.DUMMYFUNCTION("""COMPUTED_VALUE"""),"Clinical Medical Geneticist")</f>
        <v>Clinical Medical Geneticist</v>
      </c>
      <c r="J213" s="49"/>
      <c r="K213" s="49" t="str">
        <f ca="1">IFERROR(__xludf.DUMMYFUNCTION("""COMPUTED_VALUE"""),"Gene-Disease Validity")</f>
        <v>Gene-Disease Validity</v>
      </c>
      <c r="L213" s="49"/>
      <c r="M213" s="49"/>
      <c r="N213" s="49"/>
      <c r="O213" s="49"/>
      <c r="P213" s="49"/>
      <c r="Q213" s="49"/>
      <c r="R213" s="49"/>
      <c r="S213" s="49"/>
      <c r="T213" s="49"/>
      <c r="U213" s="49"/>
      <c r="V213" s="49"/>
      <c r="W213" s="49"/>
      <c r="X213" s="49"/>
      <c r="Y213" s="49"/>
      <c r="Z213" s="49"/>
    </row>
    <row r="214" spans="1:26" ht="13">
      <c r="A214" s="49" t="str">
        <f ca="1">IFERROR(__xludf.DUMMYFUNCTION("""COMPUTED_VALUE"""),"Declined")</f>
        <v>Declined</v>
      </c>
      <c r="B214" s="88">
        <f ca="1">IFERROR(__xludf.DUMMYFUNCTION("""COMPUTED_VALUE"""),43717)</f>
        <v>43717</v>
      </c>
      <c r="C214" s="49" t="str">
        <f ca="1">IFERROR(__xludf.DUMMYFUNCTION("""COMPUTED_VALUE"""),"")</f>
        <v/>
      </c>
      <c r="D214" s="49" t="str">
        <f ca="1">IFERROR(__xludf.DUMMYFUNCTION("""COMPUTED_VALUE"""),"")</f>
        <v/>
      </c>
      <c r="E214" s="49" t="str">
        <f ca="1">IFERROR(__xludf.DUMMYFUNCTION("""COMPUTED_VALUE"""),"Actionability")</f>
        <v>Actionability</v>
      </c>
      <c r="F214" s="49" t="str">
        <f ca="1">IFERROR(__xludf.DUMMYFUNCTION("""COMPUTED_VALUE"""),"")</f>
        <v/>
      </c>
      <c r="G214" s="49" t="str">
        <f ca="1">IFERROR(__xludf.DUMMYFUNCTION("""COMPUTED_VALUE"""),"Ellie Jhun")</f>
        <v>Ellie Jhun</v>
      </c>
      <c r="H214" s="49" t="str">
        <f ca="1">IFERROR(__xludf.DUMMYFUNCTION("""COMPUTED_VALUE"""),"ejhun@base10genetics.com")</f>
        <v>ejhun@base10genetics.com</v>
      </c>
      <c r="I214" s="49" t="str">
        <f ca="1">IFERROR(__xludf.DUMMYFUNCTION("""COMPUTED_VALUE"""),"Variant Analyst/Scientist - Industry")</f>
        <v>Variant Analyst/Scientist - Industry</v>
      </c>
      <c r="J214" s="49"/>
      <c r="K214" s="49" t="str">
        <f ca="1">IFERROR(__xludf.DUMMYFUNCTION("""COMPUTED_VALUE"""),"Clinical Actionability")</f>
        <v>Clinical Actionability</v>
      </c>
      <c r="L214" s="49"/>
      <c r="M214" s="49"/>
      <c r="N214" s="49"/>
      <c r="O214" s="49"/>
      <c r="P214" s="49"/>
      <c r="Q214" s="49"/>
      <c r="R214" s="49"/>
      <c r="S214" s="49"/>
      <c r="T214" s="49"/>
      <c r="U214" s="49"/>
      <c r="V214" s="49"/>
      <c r="W214" s="49"/>
      <c r="X214" s="49"/>
      <c r="Y214" s="49"/>
      <c r="Z214" s="49"/>
    </row>
    <row r="215" spans="1:26" ht="13">
      <c r="A215" s="49" t="str">
        <f ca="1">IFERROR(__xludf.DUMMYFUNCTION("""COMPUTED_VALUE"""),"Contacted")</f>
        <v>Contacted</v>
      </c>
      <c r="B215" s="88">
        <f ca="1">IFERROR(__xludf.DUMMYFUNCTION("""COMPUTED_VALUE"""),43819)</f>
        <v>43819</v>
      </c>
      <c r="C215" s="49" t="str">
        <f ca="1">IFERROR(__xludf.DUMMYFUNCTION("""COMPUTED_VALUE"""),"")</f>
        <v/>
      </c>
      <c r="D215" s="49" t="str">
        <f ca="1">IFERROR(__xludf.DUMMYFUNCTION("""COMPUTED_VALUE"""),"")</f>
        <v/>
      </c>
      <c r="E215" s="49" t="str">
        <f ca="1">IFERROR(__xludf.DUMMYFUNCTION("""COMPUTED_VALUE"""),"Variant Pathogenicity")</f>
        <v>Variant Pathogenicity</v>
      </c>
      <c r="F215" s="49" t="str">
        <f ca="1">IFERROR(__xludf.DUMMYFUNCTION("""COMPUTED_VALUE"""),"")</f>
        <v/>
      </c>
      <c r="G215" s="49" t="str">
        <f ca="1">IFERROR(__xludf.DUMMYFUNCTION("""COMPUTED_VALUE"""),"Venkatesan Sengoda Gounder")</f>
        <v>Venkatesan Sengoda Gounder</v>
      </c>
      <c r="H215" s="49" t="str">
        <f ca="1">IFERROR(__xludf.DUMMYFUNCTION("""COMPUTED_VALUE"""),"agrivenkat@gmail.com")</f>
        <v>agrivenkat@gmail.com</v>
      </c>
      <c r="I215" s="49" t="str">
        <f ca="1">IFERROR(__xludf.DUMMYFUNCTION("""COMPUTED_VALUE"""),"Scientific Researcher")</f>
        <v>Scientific Researcher</v>
      </c>
      <c r="J215" s="49"/>
      <c r="K215" s="49" t="str">
        <f ca="1">IFERROR(__xludf.DUMMYFUNCTION("""COMPUTED_VALUE"""),"Variant Pathogenicity")</f>
        <v>Variant Pathogenicity</v>
      </c>
      <c r="L215" s="49"/>
      <c r="M215" s="49"/>
      <c r="N215" s="49"/>
      <c r="O215" s="49"/>
      <c r="P215" s="49"/>
      <c r="Q215" s="49"/>
      <c r="R215" s="49"/>
      <c r="S215" s="49"/>
      <c r="T215" s="49"/>
      <c r="U215" s="49"/>
      <c r="V215" s="49"/>
      <c r="W215" s="49"/>
      <c r="X215" s="49"/>
      <c r="Y215" s="49"/>
      <c r="Z215" s="49"/>
    </row>
    <row r="216" spans="1:26" ht="13">
      <c r="A216" s="49" t="str">
        <f ca="1">IFERROR(__xludf.DUMMYFUNCTION("""COMPUTED_VALUE"""),"Contacted")</f>
        <v>Contacted</v>
      </c>
      <c r="B216" s="88">
        <f ca="1">IFERROR(__xludf.DUMMYFUNCTION("""COMPUTED_VALUE"""),43819)</f>
        <v>43819</v>
      </c>
      <c r="C216" s="49" t="str">
        <f ca="1">IFERROR(__xludf.DUMMYFUNCTION("""COMPUTED_VALUE"""),"")</f>
        <v/>
      </c>
      <c r="D216" s="49" t="str">
        <f ca="1">IFERROR(__xludf.DUMMYFUNCTION("""COMPUTED_VALUE"""),"")</f>
        <v/>
      </c>
      <c r="E216" s="49" t="str">
        <f ca="1">IFERROR(__xludf.DUMMYFUNCTION("""COMPUTED_VALUE"""),"Variant Pathogenicity")</f>
        <v>Variant Pathogenicity</v>
      </c>
      <c r="F216" s="49" t="str">
        <f ca="1">IFERROR(__xludf.DUMMYFUNCTION("""COMPUTED_VALUE"""),"")</f>
        <v/>
      </c>
      <c r="G216" s="49" t="str">
        <f ca="1">IFERROR(__xludf.DUMMYFUNCTION("""COMPUTED_VALUE"""),"Ronaldo da Silva Francisco Junior")</f>
        <v>Ronaldo da Silva Francisco Junior</v>
      </c>
      <c r="H216" s="49" t="str">
        <f ca="1">IFERROR(__xludf.DUMMYFUNCTION("""COMPUTED_VALUE"""),"ronaldoj@lncc.br")</f>
        <v>ronaldoj@lncc.br</v>
      </c>
      <c r="I216" s="49" t="str">
        <f ca="1">IFERROR(__xludf.DUMMYFUNCTION("""COMPUTED_VALUE"""),"Variant Analyst/Scientist - Academic")</f>
        <v>Variant Analyst/Scientist - Academic</v>
      </c>
      <c r="J216" s="49"/>
      <c r="K216" s="49" t="str">
        <f ca="1">IFERROR(__xludf.DUMMYFUNCTION("""COMPUTED_VALUE"""),"Variant Pathogenicity")</f>
        <v>Variant Pathogenicity</v>
      </c>
      <c r="L216" s="49"/>
      <c r="M216" s="49"/>
      <c r="N216" s="49"/>
      <c r="O216" s="49"/>
      <c r="P216" s="49"/>
      <c r="Q216" s="49"/>
      <c r="R216" s="49"/>
      <c r="S216" s="49"/>
      <c r="T216" s="49"/>
      <c r="U216" s="49"/>
      <c r="V216" s="49"/>
      <c r="W216" s="49"/>
      <c r="X216" s="49"/>
      <c r="Y216" s="49"/>
      <c r="Z216" s="49"/>
    </row>
    <row r="217" spans="1:26" ht="13">
      <c r="A217" s="49" t="str">
        <f ca="1">IFERROR(__xludf.DUMMYFUNCTION("""COMPUTED_VALUE"""),"Contacted")</f>
        <v>Contacted</v>
      </c>
      <c r="B217" s="88">
        <f ca="1">IFERROR(__xludf.DUMMYFUNCTION("""COMPUTED_VALUE"""),43819)</f>
        <v>43819</v>
      </c>
      <c r="C217" s="49" t="str">
        <f ca="1">IFERROR(__xludf.DUMMYFUNCTION("""COMPUTED_VALUE"""),"")</f>
        <v/>
      </c>
      <c r="D217" s="49" t="str">
        <f ca="1">IFERROR(__xludf.DUMMYFUNCTION("""COMPUTED_VALUE"""),"")</f>
        <v/>
      </c>
      <c r="E217" s="49" t="str">
        <f ca="1">IFERROR(__xludf.DUMMYFUNCTION("""COMPUTED_VALUE"""),"Gene Disease Validity")</f>
        <v>Gene Disease Validity</v>
      </c>
      <c r="F217" s="49" t="str">
        <f ca="1">IFERROR(__xludf.DUMMYFUNCTION("""COMPUTED_VALUE"""),"")</f>
        <v/>
      </c>
      <c r="G217" s="49" t="str">
        <f ca="1">IFERROR(__xludf.DUMMYFUNCTION("""COMPUTED_VALUE"""),"Krista Bluske")</f>
        <v>Krista Bluske</v>
      </c>
      <c r="H217" s="49" t="str">
        <f ca="1">IFERROR(__xludf.DUMMYFUNCTION("""COMPUTED_VALUE"""),"kbluske@illumina.com")</f>
        <v>kbluske@illumina.com</v>
      </c>
      <c r="I217" s="49" t="str">
        <f ca="1">IFERROR(__xludf.DUMMYFUNCTION("""COMPUTED_VALUE"""),"Variant Analyst/Scientist - Industry")</f>
        <v>Variant Analyst/Scientist - Industry</v>
      </c>
      <c r="J217" s="49"/>
      <c r="K217" s="49" t="str">
        <f ca="1">IFERROR(__xludf.DUMMYFUNCTION("""COMPUTED_VALUE"""),"Gene-Disease Validity")</f>
        <v>Gene-Disease Validity</v>
      </c>
      <c r="L217" s="49"/>
      <c r="M217" s="49"/>
      <c r="N217" s="49"/>
      <c r="O217" s="49"/>
      <c r="P217" s="49"/>
      <c r="Q217" s="49"/>
      <c r="R217" s="49"/>
      <c r="S217" s="49"/>
      <c r="T217" s="49"/>
      <c r="U217" s="49"/>
      <c r="V217" s="49"/>
      <c r="W217" s="49"/>
      <c r="X217" s="49"/>
      <c r="Y217" s="49"/>
      <c r="Z217" s="49"/>
    </row>
    <row r="218" spans="1:26" ht="13">
      <c r="A218" s="49" t="str">
        <f ca="1">IFERROR(__xludf.DUMMYFUNCTION("""COMPUTED_VALUE"""),"Contacted")</f>
        <v>Contacted</v>
      </c>
      <c r="B218" s="88">
        <f ca="1">IFERROR(__xludf.DUMMYFUNCTION("""COMPUTED_VALUE"""),43819)</f>
        <v>43819</v>
      </c>
      <c r="C218" s="49" t="str">
        <f ca="1">IFERROR(__xludf.DUMMYFUNCTION("""COMPUTED_VALUE"""),"")</f>
        <v/>
      </c>
      <c r="D218" s="49" t="str">
        <f ca="1">IFERROR(__xludf.DUMMYFUNCTION("""COMPUTED_VALUE"""),"")</f>
        <v/>
      </c>
      <c r="E218" s="49" t="str">
        <f ca="1">IFERROR(__xludf.DUMMYFUNCTION("""COMPUTED_VALUE"""),"Variant Pathogenicity")</f>
        <v>Variant Pathogenicity</v>
      </c>
      <c r="F218" s="49" t="str">
        <f ca="1">IFERROR(__xludf.DUMMYFUNCTION("""COMPUTED_VALUE"""),"")</f>
        <v/>
      </c>
      <c r="G218" s="49" t="str">
        <f ca="1">IFERROR(__xludf.DUMMYFUNCTION("""COMPUTED_VALUE"""),"Raman Bansal")</f>
        <v>Raman Bansal</v>
      </c>
      <c r="H218" s="49" t="str">
        <f ca="1">IFERROR(__xludf.DUMMYFUNCTION("""COMPUTED_VALUE"""),"rbansal.osu@gmail.com")</f>
        <v>rbansal.osu@gmail.com</v>
      </c>
      <c r="I218" s="49" t="str">
        <f ca="1">IFERROR(__xludf.DUMMYFUNCTION("""COMPUTED_VALUE"""),"Scientific Researcher")</f>
        <v>Scientific Researcher</v>
      </c>
      <c r="J218" s="49"/>
      <c r="K218" s="49" t="str">
        <f ca="1">IFERROR(__xludf.DUMMYFUNCTION("""COMPUTED_VALUE"""),"Variant Pathogenicity")</f>
        <v>Variant Pathogenicity</v>
      </c>
      <c r="L218" s="49"/>
      <c r="M218" s="49"/>
      <c r="N218" s="49"/>
      <c r="O218" s="49"/>
      <c r="P218" s="49"/>
      <c r="Q218" s="49"/>
      <c r="R218" s="49"/>
      <c r="S218" s="49"/>
      <c r="T218" s="49"/>
      <c r="U218" s="49"/>
      <c r="V218" s="49"/>
      <c r="W218" s="49"/>
      <c r="X218" s="49"/>
      <c r="Y218" s="49"/>
      <c r="Z218" s="49"/>
    </row>
    <row r="219" spans="1:26" ht="13">
      <c r="A219" s="49" t="str">
        <f ca="1">IFERROR(__xludf.DUMMYFUNCTION("""COMPUTED_VALUE"""),"Assigned")</f>
        <v>Assigned</v>
      </c>
      <c r="B219" s="88">
        <f ca="1">IFERROR(__xludf.DUMMYFUNCTION("""COMPUTED_VALUE"""),43705)</f>
        <v>43705</v>
      </c>
      <c r="C219" s="88">
        <f ca="1">IFERROR(__xludf.DUMMYFUNCTION("""COMPUTED_VALUE"""),43719)</f>
        <v>43719</v>
      </c>
      <c r="D219" s="49" t="str">
        <f ca="1">IFERROR(__xludf.DUMMYFUNCTION("""COMPUTED_VALUE"""),"Yes")</f>
        <v>Yes</v>
      </c>
      <c r="E219" s="49" t="str">
        <f ca="1">IFERROR(__xludf.DUMMYFUNCTION("""COMPUTED_VALUE"""),"Somatic Cancer")</f>
        <v>Somatic Cancer</v>
      </c>
      <c r="F219" s="49" t="str">
        <f ca="1">IFERROR(__xludf.DUMMYFUNCTION("""COMPUTED_VALUE"""),"Hematological Cancer taskforce")</f>
        <v>Hematological Cancer taskforce</v>
      </c>
      <c r="G219" s="49" t="str">
        <f ca="1">IFERROR(__xludf.DUMMYFUNCTION("""COMPUTED_VALUE"""),"FENGLI ZHANG")</f>
        <v>FENGLI ZHANG</v>
      </c>
      <c r="H219" s="49" t="str">
        <f ca="1">IFERROR(__xludf.DUMMYFUNCTION("""COMPUTED_VALUE"""),"fengli.zhang@slh.wisc.edu")</f>
        <v>fengli.zhang@slh.wisc.edu</v>
      </c>
      <c r="I219" s="49" t="str">
        <f ca="1">IFERROR(__xludf.DUMMYFUNCTION("""COMPUTED_VALUE"""),"Clinical laboratory geneticist")</f>
        <v>Clinical laboratory geneticist</v>
      </c>
      <c r="J219" s="49"/>
      <c r="K219" s="49" t="str">
        <f ca="1">IFERROR(__xludf.DUMMYFUNCTION("""COMPUTED_VALUE"""),"Somatic Cancer")</f>
        <v>Somatic Cancer</v>
      </c>
      <c r="L219" s="49"/>
      <c r="M219" s="49"/>
      <c r="N219" s="49"/>
      <c r="O219" s="49"/>
      <c r="P219" s="49"/>
      <c r="Q219" s="49"/>
      <c r="R219" s="49"/>
      <c r="S219" s="49"/>
      <c r="T219" s="49"/>
      <c r="U219" s="49"/>
      <c r="V219" s="49"/>
      <c r="W219" s="49"/>
      <c r="X219" s="49"/>
      <c r="Y219" s="49"/>
      <c r="Z219" s="49"/>
    </row>
    <row r="220" spans="1:26" ht="13">
      <c r="A220" s="49" t="str">
        <f ca="1">IFERROR(__xludf.DUMMYFUNCTION("""COMPUTED_VALUE"""),"Contacted")</f>
        <v>Contacted</v>
      </c>
      <c r="B220" s="88">
        <f ca="1">IFERROR(__xludf.DUMMYFUNCTION("""COMPUTED_VALUE"""),43819)</f>
        <v>43819</v>
      </c>
      <c r="C220" s="49" t="str">
        <f ca="1">IFERROR(__xludf.DUMMYFUNCTION("""COMPUTED_VALUE"""),"")</f>
        <v/>
      </c>
      <c r="D220" s="49" t="str">
        <f ca="1">IFERROR(__xludf.DUMMYFUNCTION("""COMPUTED_VALUE"""),"")</f>
        <v/>
      </c>
      <c r="E220" s="49" t="str">
        <f ca="1">IFERROR(__xludf.DUMMYFUNCTION("""COMPUTED_VALUE"""),"Gene Disease Validity")</f>
        <v>Gene Disease Validity</v>
      </c>
      <c r="F220" s="49" t="str">
        <f ca="1">IFERROR(__xludf.DUMMYFUNCTION("""COMPUTED_VALUE"""),"")</f>
        <v/>
      </c>
      <c r="G220" s="49" t="str">
        <f ca="1">IFERROR(__xludf.DUMMYFUNCTION("""COMPUTED_VALUE"""),"Amanda Clause")</f>
        <v>Amanda Clause</v>
      </c>
      <c r="H220" s="49" t="str">
        <f ca="1">IFERROR(__xludf.DUMMYFUNCTION("""COMPUTED_VALUE"""),"aclause@illumina.com")</f>
        <v>aclause@illumina.com</v>
      </c>
      <c r="I220" s="49" t="str">
        <f ca="1">IFERROR(__xludf.DUMMYFUNCTION("""COMPUTED_VALUE"""),"Variant Analyst/Scientist - Industry")</f>
        <v>Variant Analyst/Scientist - Industry</v>
      </c>
      <c r="J220" s="49"/>
      <c r="K220" s="49" t="str">
        <f ca="1">IFERROR(__xludf.DUMMYFUNCTION("""COMPUTED_VALUE"""),"Gene-Disease Validity")</f>
        <v>Gene-Disease Validity</v>
      </c>
      <c r="L220" s="49"/>
      <c r="M220" s="49"/>
      <c r="N220" s="49"/>
      <c r="O220" s="49"/>
      <c r="P220" s="49"/>
      <c r="Q220" s="49"/>
      <c r="R220" s="49"/>
      <c r="S220" s="49"/>
      <c r="T220" s="49"/>
      <c r="U220" s="49"/>
      <c r="V220" s="49"/>
      <c r="W220" s="49"/>
      <c r="X220" s="49"/>
      <c r="Y220" s="49"/>
      <c r="Z220" s="49"/>
    </row>
    <row r="221" spans="1:26" ht="13">
      <c r="A221" s="49" t="str">
        <f ca="1">IFERROR(__xludf.DUMMYFUNCTION("""COMPUTED_VALUE"""),"Contacted")</f>
        <v>Contacted</v>
      </c>
      <c r="B221" s="88">
        <f ca="1">IFERROR(__xludf.DUMMYFUNCTION("""COMPUTED_VALUE"""),43819)</f>
        <v>43819</v>
      </c>
      <c r="C221" s="49" t="str">
        <f ca="1">IFERROR(__xludf.DUMMYFUNCTION("""COMPUTED_VALUE"""),"")</f>
        <v/>
      </c>
      <c r="D221" s="49" t="str">
        <f ca="1">IFERROR(__xludf.DUMMYFUNCTION("""COMPUTED_VALUE"""),"")</f>
        <v/>
      </c>
      <c r="E221" s="49" t="str">
        <f ca="1">IFERROR(__xludf.DUMMYFUNCTION("""COMPUTED_VALUE"""),"Variant Pathogenicity")</f>
        <v>Variant Pathogenicity</v>
      </c>
      <c r="F221" s="49" t="str">
        <f ca="1">IFERROR(__xludf.DUMMYFUNCTION("""COMPUTED_VALUE"""),"")</f>
        <v/>
      </c>
      <c r="G221" s="49" t="str">
        <f ca="1">IFERROR(__xludf.DUMMYFUNCTION("""COMPUTED_VALUE"""),"Sara Spencer")</f>
        <v>Sara Spencer</v>
      </c>
      <c r="H221" s="49" t="str">
        <f ca="1">IFERROR(__xludf.DUMMYFUNCTION("""COMPUTED_VALUE"""),"saspence@nm.org")</f>
        <v>saspence@nm.org</v>
      </c>
      <c r="I221" s="49" t="str">
        <f ca="1">IFERROR(__xludf.DUMMYFUNCTION("""COMPUTED_VALUE"""),"Genetic counselor")</f>
        <v>Genetic counselor</v>
      </c>
      <c r="J221" s="49"/>
      <c r="K221" s="49" t="str">
        <f ca="1">IFERROR(__xludf.DUMMYFUNCTION("""COMPUTED_VALUE"""),"Variant Pathogenicity")</f>
        <v>Variant Pathogenicity</v>
      </c>
      <c r="L221" s="49"/>
      <c r="M221" s="49"/>
      <c r="N221" s="49"/>
      <c r="O221" s="49"/>
      <c r="P221" s="49"/>
      <c r="Q221" s="49"/>
      <c r="R221" s="49"/>
      <c r="S221" s="49"/>
      <c r="T221" s="49"/>
      <c r="U221" s="49"/>
      <c r="V221" s="49"/>
      <c r="W221" s="49"/>
      <c r="X221" s="49"/>
      <c r="Y221" s="49"/>
      <c r="Z221" s="49"/>
    </row>
    <row r="222" spans="1:26" ht="13">
      <c r="A222" s="49" t="str">
        <f ca="1">IFERROR(__xludf.DUMMYFUNCTION("""COMPUTED_VALUE"""),"Unassigned")</f>
        <v>Unassigned</v>
      </c>
      <c r="B222" s="49" t="str">
        <f ca="1">IFERROR(__xludf.DUMMYFUNCTION("""COMPUTED_VALUE"""),"")</f>
        <v/>
      </c>
      <c r="C222" s="49" t="str">
        <f ca="1">IFERROR(__xludf.DUMMYFUNCTION("""COMPUTED_VALUE"""),"")</f>
        <v/>
      </c>
      <c r="D222" s="49" t="str">
        <f ca="1">IFERROR(__xludf.DUMMYFUNCTION("""COMPUTED_VALUE"""),"")</f>
        <v/>
      </c>
      <c r="E222" s="49" t="str">
        <f ca="1">IFERROR(__xludf.DUMMYFUNCTION("""COMPUTED_VALUE"""),"Dosage Sensitivity")</f>
        <v>Dosage Sensitivity</v>
      </c>
      <c r="F222" s="49" t="str">
        <f ca="1">IFERROR(__xludf.DUMMYFUNCTION("""COMPUTED_VALUE"""),"")</f>
        <v/>
      </c>
      <c r="G222" s="49" t="str">
        <f ca="1">IFERROR(__xludf.DUMMYFUNCTION("""COMPUTED_VALUE"""),"Niroshi Senaratne")</f>
        <v>Niroshi Senaratne</v>
      </c>
      <c r="H222" s="49" t="str">
        <f ca="1">IFERROR(__xludf.DUMMYFUNCTION("""COMPUTED_VALUE"""),"niroshi.senaratne@gmail.com")</f>
        <v>niroshi.senaratne@gmail.com</v>
      </c>
      <c r="I222" s="49" t="str">
        <f ca="1">IFERROR(__xludf.DUMMYFUNCTION("""COMPUTED_VALUE"""),"Clinical laboratory geneticist")</f>
        <v>Clinical laboratory geneticist</v>
      </c>
      <c r="J222" s="49"/>
      <c r="K222" s="49" t="str">
        <f ca="1">IFERROR(__xludf.DUMMYFUNCTION("""COMPUTED_VALUE"""),"Dosage Sensitivity")</f>
        <v>Dosage Sensitivity</v>
      </c>
      <c r="L222" s="49"/>
      <c r="M222" s="49"/>
      <c r="N222" s="49"/>
      <c r="O222" s="49"/>
      <c r="P222" s="49"/>
      <c r="Q222" s="49"/>
      <c r="R222" s="49"/>
      <c r="S222" s="49"/>
      <c r="T222" s="49"/>
      <c r="U222" s="49"/>
      <c r="V222" s="49"/>
      <c r="W222" s="49"/>
      <c r="X222" s="49"/>
      <c r="Y222" s="49"/>
      <c r="Z222" s="49"/>
    </row>
    <row r="223" spans="1:26" ht="13">
      <c r="A223" s="49" t="str">
        <f ca="1">IFERROR(__xludf.DUMMYFUNCTION("""COMPUTED_VALUE"""),"Contacted")</f>
        <v>Contacted</v>
      </c>
      <c r="B223" s="88">
        <f ca="1">IFERROR(__xludf.DUMMYFUNCTION("""COMPUTED_VALUE"""),43819)</f>
        <v>43819</v>
      </c>
      <c r="C223" s="49" t="str">
        <f ca="1">IFERROR(__xludf.DUMMYFUNCTION("""COMPUTED_VALUE"""),"")</f>
        <v/>
      </c>
      <c r="D223" s="49" t="str">
        <f ca="1">IFERROR(__xludf.DUMMYFUNCTION("""COMPUTED_VALUE"""),"")</f>
        <v/>
      </c>
      <c r="E223" s="49" t="str">
        <f ca="1">IFERROR(__xludf.DUMMYFUNCTION("""COMPUTED_VALUE"""),"Variant Pathogenicity")</f>
        <v>Variant Pathogenicity</v>
      </c>
      <c r="F223" s="49" t="str">
        <f ca="1">IFERROR(__xludf.DUMMYFUNCTION("""COMPUTED_VALUE"""),"")</f>
        <v/>
      </c>
      <c r="G223" s="49" t="str">
        <f ca="1">IFERROR(__xludf.DUMMYFUNCTION("""COMPUTED_VALUE"""),"Madhu Ouseph")</f>
        <v>Madhu Ouseph</v>
      </c>
      <c r="H223" s="49" t="str">
        <f ca="1">IFERROR(__xludf.DUMMYFUNCTION("""COMPUTED_VALUE"""),"mouseph@stanford.edu")</f>
        <v>mouseph@stanford.edu</v>
      </c>
      <c r="I223" s="49" t="str">
        <f ca="1">IFERROR(__xludf.DUMMYFUNCTION("""COMPUTED_VALUE"""),"Post Doc/Resident/Fellow (MD and/or PhD)")</f>
        <v>Post Doc/Resident/Fellow (MD and/or PhD)</v>
      </c>
      <c r="J223" s="49"/>
      <c r="K223" s="49" t="str">
        <f ca="1">IFERROR(__xludf.DUMMYFUNCTION("""COMPUTED_VALUE"""),"Variant Pathogenicity")</f>
        <v>Variant Pathogenicity</v>
      </c>
      <c r="L223" s="49"/>
      <c r="M223" s="49"/>
      <c r="N223" s="49"/>
      <c r="O223" s="49"/>
      <c r="P223" s="49"/>
      <c r="Q223" s="49"/>
      <c r="R223" s="49"/>
      <c r="S223" s="49"/>
      <c r="T223" s="49"/>
      <c r="U223" s="49"/>
      <c r="V223" s="49"/>
      <c r="W223" s="49"/>
      <c r="X223" s="49"/>
      <c r="Y223" s="49"/>
      <c r="Z223" s="49"/>
    </row>
    <row r="224" spans="1:26" ht="13">
      <c r="A224" s="49" t="str">
        <f ca="1">IFERROR(__xludf.DUMMYFUNCTION("""COMPUTED_VALUE"""),"Contacted")</f>
        <v>Contacted</v>
      </c>
      <c r="B224" s="88">
        <f ca="1">IFERROR(__xludf.DUMMYFUNCTION("""COMPUTED_VALUE"""),43819)</f>
        <v>43819</v>
      </c>
      <c r="C224" s="49" t="str">
        <f ca="1">IFERROR(__xludf.DUMMYFUNCTION("""COMPUTED_VALUE"""),"")</f>
        <v/>
      </c>
      <c r="D224" s="49" t="str">
        <f ca="1">IFERROR(__xludf.DUMMYFUNCTION("""COMPUTED_VALUE"""),"")</f>
        <v/>
      </c>
      <c r="E224" s="49" t="str">
        <f ca="1">IFERROR(__xludf.DUMMYFUNCTION("""COMPUTED_VALUE"""),"Variant Pathogenicity")</f>
        <v>Variant Pathogenicity</v>
      </c>
      <c r="F224" s="49" t="str">
        <f ca="1">IFERROR(__xludf.DUMMYFUNCTION("""COMPUTED_VALUE"""),"")</f>
        <v/>
      </c>
      <c r="G224" s="49" t="str">
        <f ca="1">IFERROR(__xludf.DUMMYFUNCTION("""COMPUTED_VALUE"""),"Janey Youngblom")</f>
        <v>Janey Youngblom</v>
      </c>
      <c r="H224" s="49" t="str">
        <f ca="1">IFERROR(__xludf.DUMMYFUNCTION("""COMPUTED_VALUE"""),"jyoungblom1@csustan.edu")</f>
        <v>jyoungblom1@csustan.edu</v>
      </c>
      <c r="I224" s="49" t="str">
        <f ca="1">IFERROR(__xludf.DUMMYFUNCTION("""COMPUTED_VALUE"""),"Scientific Researcher")</f>
        <v>Scientific Researcher</v>
      </c>
      <c r="J224" s="49"/>
      <c r="K224" s="49" t="str">
        <f ca="1">IFERROR(__xludf.DUMMYFUNCTION("""COMPUTED_VALUE"""),"Variant Pathogenicity")</f>
        <v>Variant Pathogenicity</v>
      </c>
      <c r="L224" s="49"/>
      <c r="M224" s="49"/>
      <c r="N224" s="49"/>
      <c r="O224" s="49"/>
      <c r="P224" s="49"/>
      <c r="Q224" s="49"/>
      <c r="R224" s="49"/>
      <c r="S224" s="49"/>
      <c r="T224" s="49"/>
      <c r="U224" s="49"/>
      <c r="V224" s="49"/>
      <c r="W224" s="49"/>
      <c r="X224" s="49"/>
      <c r="Y224" s="49"/>
      <c r="Z224" s="49"/>
    </row>
    <row r="225" spans="1:26" ht="13">
      <c r="A225" s="49" t="str">
        <f ca="1">IFERROR(__xludf.DUMMYFUNCTION("""COMPUTED_VALUE"""),"Assigned")</f>
        <v>Assigned</v>
      </c>
      <c r="B225" s="88">
        <f ca="1">IFERROR(__xludf.DUMMYFUNCTION("""COMPUTED_VALUE"""),43717)</f>
        <v>43717</v>
      </c>
      <c r="C225" s="87">
        <f ca="1">IFERROR(__xludf.DUMMYFUNCTION("""COMPUTED_VALUE"""),43678)</f>
        <v>43678</v>
      </c>
      <c r="D225" s="49" t="str">
        <f ca="1">IFERROR(__xludf.DUMMYFUNCTION("""COMPUTED_VALUE"""),"Yes")</f>
        <v>Yes</v>
      </c>
      <c r="E225" s="49" t="str">
        <f ca="1">IFERROR(__xludf.DUMMYFUNCTION("""COMPUTED_VALUE"""),"Actionability")</f>
        <v>Actionability</v>
      </c>
      <c r="F225" s="49" t="str">
        <f ca="1">IFERROR(__xludf.DUMMYFUNCTION("""COMPUTED_VALUE"""),"")</f>
        <v/>
      </c>
      <c r="G225" s="49" t="str">
        <f ca="1">IFERROR(__xludf.DUMMYFUNCTION("""COMPUTED_VALUE"""),"Andrew Stergachis")</f>
        <v>Andrew Stergachis</v>
      </c>
      <c r="H225" s="49" t="str">
        <f ca="1">IFERROR(__xludf.DUMMYFUNCTION("""COMPUTED_VALUE"""),"astergachis@bwh.harvard.edu")</f>
        <v>astergachis@bwh.harvard.edu</v>
      </c>
      <c r="I225" s="49" t="str">
        <f ca="1">IFERROR(__xludf.DUMMYFUNCTION("""COMPUTED_VALUE"""),"Post Doc/Resident/Fellow (MD and/or PhD)")</f>
        <v>Post Doc/Resident/Fellow (MD and/or PhD)</v>
      </c>
      <c r="J225" s="49"/>
      <c r="K225" s="49" t="str">
        <f ca="1">IFERROR(__xludf.DUMMYFUNCTION("""COMPUTED_VALUE"""),"Clinical Actionability")</f>
        <v>Clinical Actionability</v>
      </c>
      <c r="L225" s="49"/>
      <c r="M225" s="49"/>
      <c r="N225" s="49"/>
      <c r="O225" s="49"/>
      <c r="P225" s="49"/>
      <c r="Q225" s="49"/>
      <c r="R225" s="49"/>
      <c r="S225" s="49"/>
      <c r="T225" s="49"/>
      <c r="U225" s="49"/>
      <c r="V225" s="49"/>
      <c r="W225" s="49"/>
      <c r="X225" s="49"/>
      <c r="Y225" s="49"/>
      <c r="Z225" s="49"/>
    </row>
    <row r="226" spans="1:26" ht="13">
      <c r="A226" s="49" t="str">
        <f ca="1">IFERROR(__xludf.DUMMYFUNCTION("""COMPUTED_VALUE"""),"Contacted")</f>
        <v>Contacted</v>
      </c>
      <c r="B226" s="88">
        <f ca="1">IFERROR(__xludf.DUMMYFUNCTION("""COMPUTED_VALUE"""),43717)</f>
        <v>43717</v>
      </c>
      <c r="C226" s="49" t="str">
        <f ca="1">IFERROR(__xludf.DUMMYFUNCTION("""COMPUTED_VALUE"""),"")</f>
        <v/>
      </c>
      <c r="D226" s="49" t="str">
        <f ca="1">IFERROR(__xludf.DUMMYFUNCTION("""COMPUTED_VALUE"""),"")</f>
        <v/>
      </c>
      <c r="E226" s="49" t="str">
        <f ca="1">IFERROR(__xludf.DUMMYFUNCTION("""COMPUTED_VALUE"""),"Actionability")</f>
        <v>Actionability</v>
      </c>
      <c r="F226" s="49" t="str">
        <f ca="1">IFERROR(__xludf.DUMMYFUNCTION("""COMPUTED_VALUE"""),"")</f>
        <v/>
      </c>
      <c r="G226" s="49" t="str">
        <f ca="1">IFERROR(__xludf.DUMMYFUNCTION("""COMPUTED_VALUE"""),"Lalitha Venkateswaran")</f>
        <v>Lalitha Venkateswaran</v>
      </c>
      <c r="H226" s="49" t="str">
        <f ca="1">IFERROR(__xludf.DUMMYFUNCTION("""COMPUTED_VALUE"""),"lalithapv19@gmail.com")</f>
        <v>lalithapv19@gmail.com</v>
      </c>
      <c r="I226" s="49" t="str">
        <f ca="1">IFERROR(__xludf.DUMMYFUNCTION("""COMPUTED_VALUE"""),"Variant Analyst/Scientist - Industry")</f>
        <v>Variant Analyst/Scientist - Industry</v>
      </c>
      <c r="J226" s="49"/>
      <c r="K226" s="49" t="str">
        <f ca="1">IFERROR(__xludf.DUMMYFUNCTION("""COMPUTED_VALUE"""),"Clinical Actionability")</f>
        <v>Clinical Actionability</v>
      </c>
      <c r="L226" s="49"/>
      <c r="M226" s="49"/>
      <c r="N226" s="49"/>
      <c r="O226" s="49"/>
      <c r="P226" s="49"/>
      <c r="Q226" s="49"/>
      <c r="R226" s="49"/>
      <c r="S226" s="49"/>
      <c r="T226" s="49"/>
      <c r="U226" s="49"/>
      <c r="V226" s="49"/>
      <c r="W226" s="49"/>
      <c r="X226" s="49"/>
      <c r="Y226" s="49"/>
      <c r="Z226" s="49"/>
    </row>
    <row r="227" spans="1:26" ht="13">
      <c r="A227" s="49" t="str">
        <f ca="1">IFERROR(__xludf.DUMMYFUNCTION("""COMPUTED_VALUE"""),"Contacted")</f>
        <v>Contacted</v>
      </c>
      <c r="B227" s="88">
        <f ca="1">IFERROR(__xludf.DUMMYFUNCTION("""COMPUTED_VALUE"""),43819)</f>
        <v>43819</v>
      </c>
      <c r="C227" s="49" t="str">
        <f ca="1">IFERROR(__xludf.DUMMYFUNCTION("""COMPUTED_VALUE"""),"")</f>
        <v/>
      </c>
      <c r="D227" s="49" t="str">
        <f ca="1">IFERROR(__xludf.DUMMYFUNCTION("""COMPUTED_VALUE"""),"")</f>
        <v/>
      </c>
      <c r="E227" s="49" t="str">
        <f ca="1">IFERROR(__xludf.DUMMYFUNCTION("""COMPUTED_VALUE"""),"Variant Pathogenicity")</f>
        <v>Variant Pathogenicity</v>
      </c>
      <c r="F227" s="49" t="str">
        <f ca="1">IFERROR(__xludf.DUMMYFUNCTION("""COMPUTED_VALUE"""),"")</f>
        <v/>
      </c>
      <c r="G227" s="49" t="str">
        <f ca="1">IFERROR(__xludf.DUMMYFUNCTION("""COMPUTED_VALUE"""),"Caterina Clementi")</f>
        <v>Caterina Clementi</v>
      </c>
      <c r="H227" s="49" t="str">
        <f ca="1">IFERROR(__xludf.DUMMYFUNCTION("""COMPUTED_VALUE"""),"caterina.clementi@gmail.com")</f>
        <v>caterina.clementi@gmail.com</v>
      </c>
      <c r="I227" s="49" t="str">
        <f ca="1">IFERROR(__xludf.DUMMYFUNCTION("""COMPUTED_VALUE"""),"Variant Analyst/Scientist - Industry")</f>
        <v>Variant Analyst/Scientist - Industry</v>
      </c>
      <c r="J227" s="49"/>
      <c r="K227" s="49" t="str">
        <f ca="1">IFERROR(__xludf.DUMMYFUNCTION("""COMPUTED_VALUE"""),"Variant Pathogenicity")</f>
        <v>Variant Pathogenicity</v>
      </c>
      <c r="L227" s="49"/>
      <c r="M227" s="49"/>
      <c r="N227" s="49"/>
      <c r="O227" s="49"/>
      <c r="P227" s="49"/>
      <c r="Q227" s="49"/>
      <c r="R227" s="49"/>
      <c r="S227" s="49"/>
      <c r="T227" s="49"/>
      <c r="U227" s="49"/>
      <c r="V227" s="49"/>
      <c r="W227" s="49"/>
      <c r="X227" s="49"/>
      <c r="Y227" s="49"/>
      <c r="Z227" s="49"/>
    </row>
    <row r="228" spans="1:26" ht="13">
      <c r="A228" s="49" t="str">
        <f ca="1">IFERROR(__xludf.DUMMYFUNCTION("""COMPUTED_VALUE"""),"Contacted")</f>
        <v>Contacted</v>
      </c>
      <c r="B228" s="88">
        <f ca="1">IFERROR(__xludf.DUMMYFUNCTION("""COMPUTED_VALUE"""),43819)</f>
        <v>43819</v>
      </c>
      <c r="C228" s="49" t="str">
        <f ca="1">IFERROR(__xludf.DUMMYFUNCTION("""COMPUTED_VALUE"""),"")</f>
        <v/>
      </c>
      <c r="D228" s="49" t="str">
        <f ca="1">IFERROR(__xludf.DUMMYFUNCTION("""COMPUTED_VALUE"""),"")</f>
        <v/>
      </c>
      <c r="E228" s="49" t="str">
        <f ca="1">IFERROR(__xludf.DUMMYFUNCTION("""COMPUTED_VALUE"""),"Variant Pathogenicity")</f>
        <v>Variant Pathogenicity</v>
      </c>
      <c r="F228" s="49" t="str">
        <f ca="1">IFERROR(__xludf.DUMMYFUNCTION("""COMPUTED_VALUE"""),"")</f>
        <v/>
      </c>
      <c r="G228" s="49" t="str">
        <f ca="1">IFERROR(__xludf.DUMMYFUNCTION("""COMPUTED_VALUE"""),"Catherine Spellicy")</f>
        <v>Catherine Spellicy</v>
      </c>
      <c r="H228" s="49" t="str">
        <f ca="1">IFERROR(__xludf.DUMMYFUNCTION("""COMPUTED_VALUE"""),"cspellic@counsyl.com")</f>
        <v>cspellic@counsyl.com</v>
      </c>
      <c r="I228" s="49" t="str">
        <f ca="1">IFERROR(__xludf.DUMMYFUNCTION("""COMPUTED_VALUE"""),"Clinical laboratory geneticist")</f>
        <v>Clinical laboratory geneticist</v>
      </c>
      <c r="J228" s="49"/>
      <c r="K228" s="49" t="str">
        <f ca="1">IFERROR(__xludf.DUMMYFUNCTION("""COMPUTED_VALUE"""),"Variant Pathogenicity")</f>
        <v>Variant Pathogenicity</v>
      </c>
      <c r="L228" s="49"/>
      <c r="M228" s="49"/>
      <c r="N228" s="49"/>
      <c r="O228" s="49"/>
      <c r="P228" s="49"/>
      <c r="Q228" s="49"/>
      <c r="R228" s="49"/>
      <c r="S228" s="49"/>
      <c r="T228" s="49"/>
      <c r="U228" s="49"/>
      <c r="V228" s="49"/>
      <c r="W228" s="49"/>
      <c r="X228" s="49"/>
      <c r="Y228" s="49"/>
      <c r="Z228" s="49"/>
    </row>
    <row r="229" spans="1:26" ht="13">
      <c r="A229" s="49" t="str">
        <f ca="1">IFERROR(__xludf.DUMMYFUNCTION("""COMPUTED_VALUE"""),"Contacted")</f>
        <v>Contacted</v>
      </c>
      <c r="B229" s="88">
        <f ca="1">IFERROR(__xludf.DUMMYFUNCTION("""COMPUTED_VALUE"""),43819)</f>
        <v>43819</v>
      </c>
      <c r="C229" s="49" t="str">
        <f ca="1">IFERROR(__xludf.DUMMYFUNCTION("""COMPUTED_VALUE"""),"")</f>
        <v/>
      </c>
      <c r="D229" s="49" t="str">
        <f ca="1">IFERROR(__xludf.DUMMYFUNCTION("""COMPUTED_VALUE"""),"")</f>
        <v/>
      </c>
      <c r="E229" s="49" t="str">
        <f ca="1">IFERROR(__xludf.DUMMYFUNCTION("""COMPUTED_VALUE"""),"Gene Disease Validity")</f>
        <v>Gene Disease Validity</v>
      </c>
      <c r="F229" s="49" t="str">
        <f ca="1">IFERROR(__xludf.DUMMYFUNCTION("""COMPUTED_VALUE"""),"")</f>
        <v/>
      </c>
      <c r="G229" s="49" t="str">
        <f ca="1">IFERROR(__xludf.DUMMYFUNCTION("""COMPUTED_VALUE"""),"Julie P Taylor")</f>
        <v>Julie P Taylor</v>
      </c>
      <c r="H229" s="49" t="str">
        <f ca="1">IFERROR(__xludf.DUMMYFUNCTION("""COMPUTED_VALUE"""),"jtaylor1@illumina.com")</f>
        <v>jtaylor1@illumina.com</v>
      </c>
      <c r="I229" s="49" t="str">
        <f ca="1">IFERROR(__xludf.DUMMYFUNCTION("""COMPUTED_VALUE"""),"Biocurator")</f>
        <v>Biocurator</v>
      </c>
      <c r="J229" s="49"/>
      <c r="K229" s="49" t="str">
        <f ca="1">IFERROR(__xludf.DUMMYFUNCTION("""COMPUTED_VALUE"""),"Gene-Disease Validity")</f>
        <v>Gene-Disease Validity</v>
      </c>
      <c r="L229" s="49"/>
      <c r="M229" s="49"/>
      <c r="N229" s="49"/>
      <c r="O229" s="49"/>
      <c r="P229" s="49"/>
      <c r="Q229" s="49"/>
      <c r="R229" s="49"/>
      <c r="S229" s="49"/>
      <c r="T229" s="49"/>
      <c r="U229" s="49"/>
      <c r="V229" s="49"/>
      <c r="W229" s="49"/>
      <c r="X229" s="49"/>
      <c r="Y229" s="49"/>
      <c r="Z229" s="49"/>
    </row>
    <row r="230" spans="1:26" ht="13">
      <c r="A230" s="49" t="str">
        <f ca="1">IFERROR(__xludf.DUMMYFUNCTION("""COMPUTED_VALUE"""),"Contacted")</f>
        <v>Contacted</v>
      </c>
      <c r="B230" s="88">
        <f ca="1">IFERROR(__xludf.DUMMYFUNCTION("""COMPUTED_VALUE"""),43840)</f>
        <v>43840</v>
      </c>
      <c r="C230" s="49" t="str">
        <f ca="1">IFERROR(__xludf.DUMMYFUNCTION("""COMPUTED_VALUE"""),"")</f>
        <v/>
      </c>
      <c r="D230" s="49" t="str">
        <f ca="1">IFERROR(__xludf.DUMMYFUNCTION("""COMPUTED_VALUE"""),"")</f>
        <v/>
      </c>
      <c r="E230" s="49" t="str">
        <f ca="1">IFERROR(__xludf.DUMMYFUNCTION("""COMPUTED_VALUE"""),"Gene Disease Validity")</f>
        <v>Gene Disease Validity</v>
      </c>
      <c r="F230" s="49" t="str">
        <f ca="1">IFERROR(__xludf.DUMMYFUNCTION("""COMPUTED_VALUE"""),"")</f>
        <v/>
      </c>
      <c r="G230" s="49" t="str">
        <f ca="1">IFERROR(__xludf.DUMMYFUNCTION("""COMPUTED_VALUE"""),"Charlene Preys")</f>
        <v>Charlene Preys</v>
      </c>
      <c r="H230" s="49" t="str">
        <f ca="1">IFERROR(__xludf.DUMMYFUNCTION("""COMPUTED_VALUE"""),"clpreys@bwh.harvard.edu")</f>
        <v>clpreys@bwh.harvard.edu</v>
      </c>
      <c r="I230" s="49" t="str">
        <f ca="1">IFERROR(__xludf.DUMMYFUNCTION("""COMPUTED_VALUE"""),"Undergraduate Student")</f>
        <v>Undergraduate Student</v>
      </c>
      <c r="J230" s="49"/>
      <c r="K230" s="49" t="str">
        <f ca="1">IFERROR(__xludf.DUMMYFUNCTION("""COMPUTED_VALUE"""),"Gene-Disease Validity")</f>
        <v>Gene-Disease Validity</v>
      </c>
      <c r="L230" s="49"/>
      <c r="M230" s="49"/>
      <c r="N230" s="49"/>
      <c r="O230" s="49"/>
      <c r="P230" s="49"/>
      <c r="Q230" s="49"/>
      <c r="R230" s="49"/>
      <c r="S230" s="49"/>
      <c r="T230" s="49"/>
      <c r="U230" s="49"/>
      <c r="V230" s="49"/>
      <c r="W230" s="49"/>
      <c r="X230" s="49"/>
      <c r="Y230" s="49"/>
      <c r="Z230" s="49"/>
    </row>
    <row r="231" spans="1:26" ht="13">
      <c r="A231" s="49" t="str">
        <f ca="1">IFERROR(__xludf.DUMMYFUNCTION("""COMPUTED_VALUE"""),"Contacted")</f>
        <v>Contacted</v>
      </c>
      <c r="B231" s="88">
        <f ca="1">IFERROR(__xludf.DUMMYFUNCTION("""COMPUTED_VALUE"""),43819)</f>
        <v>43819</v>
      </c>
      <c r="C231" s="49" t="str">
        <f ca="1">IFERROR(__xludf.DUMMYFUNCTION("""COMPUTED_VALUE"""),"")</f>
        <v/>
      </c>
      <c r="D231" s="49" t="str">
        <f ca="1">IFERROR(__xludf.DUMMYFUNCTION("""COMPUTED_VALUE"""),"")</f>
        <v/>
      </c>
      <c r="E231" s="49" t="str">
        <f ca="1">IFERROR(__xludf.DUMMYFUNCTION("""COMPUTED_VALUE"""),"Variant Pathogenicity")</f>
        <v>Variant Pathogenicity</v>
      </c>
      <c r="F231" s="49" t="str">
        <f ca="1">IFERROR(__xludf.DUMMYFUNCTION("""COMPUTED_VALUE"""),"")</f>
        <v/>
      </c>
      <c r="G231" s="49" t="str">
        <f ca="1">IFERROR(__xludf.DUMMYFUNCTION("""COMPUTED_VALUE"""),"Edgar Ramirez")</f>
        <v>Edgar Ramirez</v>
      </c>
      <c r="H231" s="49" t="str">
        <f ca="1">IFERROR(__xludf.DUMMYFUNCTION("""COMPUTED_VALUE"""),"e.ramirezr@hotmail.com")</f>
        <v>e.ramirezr@hotmail.com</v>
      </c>
      <c r="I231" s="49" t="str">
        <f ca="1">IFERROR(__xludf.DUMMYFUNCTION("""COMPUTED_VALUE"""),"Scientific Researcher")</f>
        <v>Scientific Researcher</v>
      </c>
      <c r="J231" s="49"/>
      <c r="K231" s="49" t="str">
        <f ca="1">IFERROR(__xludf.DUMMYFUNCTION("""COMPUTED_VALUE"""),"Variant Pathogenicity")</f>
        <v>Variant Pathogenicity</v>
      </c>
      <c r="L231" s="49"/>
      <c r="M231" s="49"/>
      <c r="N231" s="49"/>
      <c r="O231" s="49"/>
      <c r="P231" s="49"/>
      <c r="Q231" s="49"/>
      <c r="R231" s="49"/>
      <c r="S231" s="49"/>
      <c r="T231" s="49"/>
      <c r="U231" s="49"/>
      <c r="V231" s="49"/>
      <c r="W231" s="49"/>
      <c r="X231" s="49"/>
      <c r="Y231" s="49"/>
      <c r="Z231" s="49"/>
    </row>
    <row r="232" spans="1:26" ht="13">
      <c r="A232" s="49" t="str">
        <f ca="1">IFERROR(__xludf.DUMMYFUNCTION("""COMPUTED_VALUE"""),"Contacted")</f>
        <v>Contacted</v>
      </c>
      <c r="B232" s="88">
        <f ca="1">IFERROR(__xludf.DUMMYFUNCTION("""COMPUTED_VALUE"""),43819)</f>
        <v>43819</v>
      </c>
      <c r="C232" s="49" t="str">
        <f ca="1">IFERROR(__xludf.DUMMYFUNCTION("""COMPUTED_VALUE"""),"")</f>
        <v/>
      </c>
      <c r="D232" s="49" t="str">
        <f ca="1">IFERROR(__xludf.DUMMYFUNCTION("""COMPUTED_VALUE"""),"")</f>
        <v/>
      </c>
      <c r="E232" s="49" t="str">
        <f ca="1">IFERROR(__xludf.DUMMYFUNCTION("""COMPUTED_VALUE"""),"Gene Disease Validity")</f>
        <v>Gene Disease Validity</v>
      </c>
      <c r="F232" s="49" t="str">
        <f ca="1">IFERROR(__xludf.DUMMYFUNCTION("""COMPUTED_VALUE"""),"")</f>
        <v/>
      </c>
      <c r="G232" s="49" t="str">
        <f ca="1">IFERROR(__xludf.DUMMYFUNCTION("""COMPUTED_VALUE"""),"Laura Roht")</f>
        <v>Laura Roht</v>
      </c>
      <c r="H232" s="49" t="str">
        <f ca="1">IFERROR(__xludf.DUMMYFUNCTION("""COMPUTED_VALUE"""),"laura.roht@kliinikum.ee")</f>
        <v>laura.roht@kliinikum.ee</v>
      </c>
      <c r="I232" s="49" t="str">
        <f ca="1">IFERROR(__xludf.DUMMYFUNCTION("""COMPUTED_VALUE"""),"Clinical Medical Geneticist")</f>
        <v>Clinical Medical Geneticist</v>
      </c>
      <c r="J232" s="49"/>
      <c r="K232" s="49" t="str">
        <f ca="1">IFERROR(__xludf.DUMMYFUNCTION("""COMPUTED_VALUE"""),"Gene-Disease Validity")</f>
        <v>Gene-Disease Validity</v>
      </c>
      <c r="L232" s="49"/>
      <c r="M232" s="49"/>
      <c r="N232" s="49"/>
      <c r="O232" s="49"/>
      <c r="P232" s="49"/>
      <c r="Q232" s="49"/>
      <c r="R232" s="49"/>
      <c r="S232" s="49"/>
      <c r="T232" s="49"/>
      <c r="U232" s="49"/>
      <c r="V232" s="49"/>
      <c r="W232" s="49"/>
      <c r="X232" s="49"/>
      <c r="Y232" s="49"/>
      <c r="Z232" s="49"/>
    </row>
    <row r="233" spans="1:26" ht="13">
      <c r="A233" s="49" t="str">
        <f ca="1">IFERROR(__xludf.DUMMYFUNCTION("""COMPUTED_VALUE"""),"Contacted")</f>
        <v>Contacted</v>
      </c>
      <c r="B233" s="49" t="str">
        <f ca="1">IFERROR(__xludf.DUMMYFUNCTION("""COMPUTED_VALUE"""),"")</f>
        <v/>
      </c>
      <c r="C233" s="49" t="str">
        <f ca="1">IFERROR(__xludf.DUMMYFUNCTION("""COMPUTED_VALUE"""),"")</f>
        <v/>
      </c>
      <c r="D233" s="49" t="str">
        <f ca="1">IFERROR(__xludf.DUMMYFUNCTION("""COMPUTED_VALUE"""),"")</f>
        <v/>
      </c>
      <c r="E233" s="49" t="str">
        <f ca="1">IFERROR(__xludf.DUMMYFUNCTION("""COMPUTED_VALUE"""),"NA")</f>
        <v>NA</v>
      </c>
      <c r="F233" s="49" t="str">
        <f ca="1">IFERROR(__xludf.DUMMYFUNCTION("""COMPUTED_VALUE"""),"")</f>
        <v/>
      </c>
      <c r="G233" s="49" t="str">
        <f ca="1">IFERROR(__xludf.DUMMYFUNCTION("""COMPUTED_VALUE"""),"Donia Hany Mostafa ")</f>
        <v xml:space="preserve">Donia Hany Mostafa </v>
      </c>
      <c r="H233" s="49" t="str">
        <f ca="1">IFERROR(__xludf.DUMMYFUNCTION("""COMPUTED_VALUE"""),"donia.1518105@stemkalubya.moe.edu.eg")</f>
        <v>donia.1518105@stemkalubya.moe.edu.eg</v>
      </c>
      <c r="I233" s="49" t="str">
        <f ca="1">IFERROR(__xludf.DUMMYFUNCTION("""COMPUTED_VALUE"""),"Undergraduate Student")</f>
        <v>Undergraduate Student</v>
      </c>
      <c r="J233" s="49"/>
      <c r="K233" s="49" t="str">
        <f ca="1">IFERROR(__xludf.DUMMYFUNCTION("""COMPUTED_VALUE"""),"Somatic Cancer")</f>
        <v>Somatic Cancer</v>
      </c>
      <c r="L233" s="49"/>
      <c r="M233" s="49"/>
      <c r="N233" s="49"/>
      <c r="O233" s="49"/>
      <c r="P233" s="49"/>
      <c r="Q233" s="49"/>
      <c r="R233" s="49"/>
      <c r="S233" s="49"/>
      <c r="T233" s="49"/>
      <c r="U233" s="49"/>
      <c r="V233" s="49"/>
      <c r="W233" s="49"/>
      <c r="X233" s="49"/>
      <c r="Y233" s="49"/>
      <c r="Z233" s="49"/>
    </row>
    <row r="234" spans="1:26" ht="13">
      <c r="A234" s="49" t="str">
        <f ca="1">IFERROR(__xludf.DUMMYFUNCTION("""COMPUTED_VALUE"""),"Contacted")</f>
        <v>Contacted</v>
      </c>
      <c r="B234" s="88">
        <f ca="1">IFERROR(__xludf.DUMMYFUNCTION("""COMPUTED_VALUE"""),43819)</f>
        <v>43819</v>
      </c>
      <c r="C234" s="49" t="str">
        <f ca="1">IFERROR(__xludf.DUMMYFUNCTION("""COMPUTED_VALUE"""),"")</f>
        <v/>
      </c>
      <c r="D234" s="49" t="str">
        <f ca="1">IFERROR(__xludf.DUMMYFUNCTION("""COMPUTED_VALUE"""),"")</f>
        <v/>
      </c>
      <c r="E234" s="49" t="str">
        <f ca="1">IFERROR(__xludf.DUMMYFUNCTION("""COMPUTED_VALUE"""),"Variant Pathogenicity")</f>
        <v>Variant Pathogenicity</v>
      </c>
      <c r="F234" s="49" t="str">
        <f ca="1">IFERROR(__xludf.DUMMYFUNCTION("""COMPUTED_VALUE"""),"")</f>
        <v/>
      </c>
      <c r="G234" s="49" t="str">
        <f ca="1">IFERROR(__xludf.DUMMYFUNCTION("""COMPUTED_VALUE"""),"Xin Chen")</f>
        <v>Xin Chen</v>
      </c>
      <c r="H234" s="49" t="str">
        <f ca="1">IFERROR(__xludf.DUMMYFUNCTION("""COMPUTED_VALUE"""),"chenx30nju@gmail.com")</f>
        <v>chenx30nju@gmail.com</v>
      </c>
      <c r="I234" s="49" t="str">
        <f ca="1">IFERROR(__xludf.DUMMYFUNCTION("""COMPUTED_VALUE"""),"Post Doc/Resident/Fellow (MD and/or PhD)")</f>
        <v>Post Doc/Resident/Fellow (MD and/or PhD)</v>
      </c>
      <c r="J234" s="49"/>
      <c r="K234" s="49" t="str">
        <f ca="1">IFERROR(__xludf.DUMMYFUNCTION("""COMPUTED_VALUE"""),"Variant Pathogenicity")</f>
        <v>Variant Pathogenicity</v>
      </c>
      <c r="L234" s="49"/>
      <c r="M234" s="49"/>
      <c r="N234" s="49"/>
      <c r="O234" s="49"/>
      <c r="P234" s="49"/>
      <c r="Q234" s="49"/>
      <c r="R234" s="49"/>
      <c r="S234" s="49"/>
      <c r="T234" s="49"/>
      <c r="U234" s="49"/>
      <c r="V234" s="49"/>
      <c r="W234" s="49"/>
      <c r="X234" s="49"/>
      <c r="Y234" s="49"/>
      <c r="Z234" s="49"/>
    </row>
    <row r="235" spans="1:26" ht="13">
      <c r="A235" s="49" t="str">
        <f ca="1">IFERROR(__xludf.DUMMYFUNCTION("""COMPUTED_VALUE"""),"Contacted")</f>
        <v>Contacted</v>
      </c>
      <c r="B235" s="49" t="str">
        <f ca="1">IFERROR(__xludf.DUMMYFUNCTION("""COMPUTED_VALUE"""),"")</f>
        <v/>
      </c>
      <c r="C235" s="88">
        <f ca="1">IFERROR(__xludf.DUMMYFUNCTION("""COMPUTED_VALUE"""),43626)</f>
        <v>43626</v>
      </c>
      <c r="D235" s="49" t="str">
        <f ca="1">IFERROR(__xludf.DUMMYFUNCTION("""COMPUTED_VALUE"""),"Yes")</f>
        <v>Yes</v>
      </c>
      <c r="E235" s="49" t="str">
        <f ca="1">IFERROR(__xludf.DUMMYFUNCTION("""COMPUTED_VALUE"""),"Variant Pathogenicity")</f>
        <v>Variant Pathogenicity</v>
      </c>
      <c r="F235" s="49" t="str">
        <f ca="1">IFERROR(__xludf.DUMMYFUNCTION("""COMPUTED_VALUE"""),"")</f>
        <v/>
      </c>
      <c r="G235" s="49" t="str">
        <f ca="1">IFERROR(__xludf.DUMMYFUNCTION("""COMPUTED_VALUE"""),"Tomohiko Ai")</f>
        <v>Tomohiko Ai</v>
      </c>
      <c r="H235" s="49" t="str">
        <f ca="1">IFERROR(__xludf.DUMMYFUNCTION("""COMPUTED_VALUE"""),"Tomohiko.Ai@osumc.edu")</f>
        <v>Tomohiko.Ai@osumc.edu</v>
      </c>
      <c r="I235" s="49" t="str">
        <f ca="1">IFERROR(__xludf.DUMMYFUNCTION("""COMPUTED_VALUE"""),"Scientific Researcher")</f>
        <v>Scientific Researcher</v>
      </c>
      <c r="J235" s="49"/>
      <c r="K235" s="49" t="str">
        <f ca="1">IFERROR(__xludf.DUMMYFUNCTION("""COMPUTED_VALUE"""),"Variant Pathogenicity")</f>
        <v>Variant Pathogenicity</v>
      </c>
      <c r="L235" s="49"/>
      <c r="M235" s="49"/>
      <c r="N235" s="49"/>
      <c r="O235" s="49"/>
      <c r="P235" s="49"/>
      <c r="Q235" s="49"/>
      <c r="R235" s="49"/>
      <c r="S235" s="49"/>
      <c r="T235" s="49"/>
      <c r="U235" s="49"/>
      <c r="V235" s="49"/>
      <c r="W235" s="49"/>
      <c r="X235" s="49"/>
      <c r="Y235" s="49"/>
      <c r="Z235" s="49"/>
    </row>
    <row r="236" spans="1:26" ht="13">
      <c r="A236" s="49" t="str">
        <f ca="1">IFERROR(__xludf.DUMMYFUNCTION("""COMPUTED_VALUE"""),"Contacted")</f>
        <v>Contacted</v>
      </c>
      <c r="B236" s="49" t="str">
        <f ca="1">IFERROR(__xludf.DUMMYFUNCTION("""COMPUTED_VALUE"""),"")</f>
        <v/>
      </c>
      <c r="C236" s="88">
        <f ca="1">IFERROR(__xludf.DUMMYFUNCTION("""COMPUTED_VALUE"""),43585)</f>
        <v>43585</v>
      </c>
      <c r="D236" s="49" t="str">
        <f ca="1">IFERROR(__xludf.DUMMYFUNCTION("""COMPUTED_VALUE"""),"Yes")</f>
        <v>Yes</v>
      </c>
      <c r="E236" s="49" t="str">
        <f ca="1">IFERROR(__xludf.DUMMYFUNCTION("""COMPUTED_VALUE"""),"Gene Disease Validity")</f>
        <v>Gene Disease Validity</v>
      </c>
      <c r="F236" s="49" t="str">
        <f ca="1">IFERROR(__xludf.DUMMYFUNCTION("""COMPUTED_VALUE"""),"")</f>
        <v/>
      </c>
      <c r="G236" s="49" t="str">
        <f ca="1">IFERROR(__xludf.DUMMYFUNCTION("""COMPUTED_VALUE"""),"Coumarane Mani")</f>
        <v>Coumarane Mani</v>
      </c>
      <c r="H236" s="49" t="str">
        <f ca="1">IFERROR(__xludf.DUMMYFUNCTION("""COMPUTED_VALUE"""),"coumarane.mani@aruplab.com")</f>
        <v>coumarane.mani@aruplab.com</v>
      </c>
      <c r="I236" s="49" t="str">
        <f ca="1">IFERROR(__xludf.DUMMYFUNCTION("""COMPUTED_VALUE"""),"Variant Analyst/Scientist - Industry")</f>
        <v>Variant Analyst/Scientist - Industry</v>
      </c>
      <c r="J236" s="49"/>
      <c r="K236" s="49" t="str">
        <f ca="1">IFERROR(__xludf.DUMMYFUNCTION("""COMPUTED_VALUE"""),"Gene-Disease Validity")</f>
        <v>Gene-Disease Validity</v>
      </c>
      <c r="L236" s="49"/>
      <c r="M236" s="49"/>
      <c r="N236" s="49"/>
      <c r="O236" s="49"/>
      <c r="P236" s="49"/>
      <c r="Q236" s="49"/>
      <c r="R236" s="49"/>
      <c r="S236" s="49"/>
      <c r="T236" s="49"/>
      <c r="U236" s="49"/>
      <c r="V236" s="49"/>
      <c r="W236" s="49"/>
      <c r="X236" s="49"/>
      <c r="Y236" s="49"/>
      <c r="Z236" s="49"/>
    </row>
    <row r="237" spans="1:26" ht="13">
      <c r="A237" s="49" t="str">
        <f ca="1">IFERROR(__xludf.DUMMYFUNCTION("""COMPUTED_VALUE"""),"Contacted")</f>
        <v>Contacted</v>
      </c>
      <c r="B237" s="49" t="str">
        <f ca="1">IFERROR(__xludf.DUMMYFUNCTION("""COMPUTED_VALUE"""),"")</f>
        <v/>
      </c>
      <c r="C237" s="88">
        <f ca="1">IFERROR(__xludf.DUMMYFUNCTION("""COMPUTED_VALUE"""),43605)</f>
        <v>43605</v>
      </c>
      <c r="D237" s="49" t="str">
        <f ca="1">IFERROR(__xludf.DUMMYFUNCTION("""COMPUTED_VALUE"""),"Yes")</f>
        <v>Yes</v>
      </c>
      <c r="E237" s="49" t="str">
        <f ca="1">IFERROR(__xludf.DUMMYFUNCTION("""COMPUTED_VALUE"""),"Variant Pathogenicity")</f>
        <v>Variant Pathogenicity</v>
      </c>
      <c r="F237" s="49" t="str">
        <f ca="1">IFERROR(__xludf.DUMMYFUNCTION("""COMPUTED_VALUE"""),"")</f>
        <v/>
      </c>
      <c r="G237" s="49" t="str">
        <f ca="1">IFERROR(__xludf.DUMMYFUNCTION("""COMPUTED_VALUE"""),"Coumarane Mani")</f>
        <v>Coumarane Mani</v>
      </c>
      <c r="H237" s="49" t="str">
        <f ca="1">IFERROR(__xludf.DUMMYFUNCTION("""COMPUTED_VALUE"""),"coumarane.mani@aruplab.com")</f>
        <v>coumarane.mani@aruplab.com</v>
      </c>
      <c r="I237" s="49" t="str">
        <f ca="1">IFERROR(__xludf.DUMMYFUNCTION("""COMPUTED_VALUE"""),"Variant Analyst/Scientist - Industry")</f>
        <v>Variant Analyst/Scientist - Industry</v>
      </c>
      <c r="J237" s="49"/>
      <c r="K237" s="49" t="str">
        <f ca="1">IFERROR(__xludf.DUMMYFUNCTION("""COMPUTED_VALUE"""),"Variant Pathogenicity")</f>
        <v>Variant Pathogenicity</v>
      </c>
      <c r="L237" s="49"/>
      <c r="M237" s="49"/>
      <c r="N237" s="49"/>
      <c r="O237" s="49"/>
      <c r="P237" s="49"/>
      <c r="Q237" s="49"/>
      <c r="R237" s="49"/>
      <c r="S237" s="49"/>
      <c r="T237" s="49"/>
      <c r="U237" s="49"/>
      <c r="V237" s="49"/>
      <c r="W237" s="49"/>
      <c r="X237" s="49"/>
      <c r="Y237" s="49"/>
      <c r="Z237" s="49"/>
    </row>
    <row r="238" spans="1:26" ht="13">
      <c r="A238" s="49" t="str">
        <f ca="1">IFERROR(__xludf.DUMMYFUNCTION("""COMPUTED_VALUE"""),"Contacted")</f>
        <v>Contacted</v>
      </c>
      <c r="B238" s="49" t="str">
        <f ca="1">IFERROR(__xludf.DUMMYFUNCTION("""COMPUTED_VALUE"""),"")</f>
        <v/>
      </c>
      <c r="C238" s="88">
        <f ca="1">IFERROR(__xludf.DUMMYFUNCTION("""COMPUTED_VALUE"""),47258)</f>
        <v>47258</v>
      </c>
      <c r="D238" s="49" t="str">
        <f ca="1">IFERROR(__xludf.DUMMYFUNCTION("""COMPUTED_VALUE"""),"Yes")</f>
        <v>Yes</v>
      </c>
      <c r="E238" s="49" t="str">
        <f ca="1">IFERROR(__xludf.DUMMYFUNCTION("""COMPUTED_VALUE"""),"Variant Pathogenicity")</f>
        <v>Variant Pathogenicity</v>
      </c>
      <c r="F238" s="49" t="str">
        <f ca="1">IFERROR(__xludf.DUMMYFUNCTION("""COMPUTED_VALUE"""),"")</f>
        <v/>
      </c>
      <c r="G238" s="49" t="str">
        <f ca="1">IFERROR(__xludf.DUMMYFUNCTION("""COMPUTED_VALUE"""),"Diogo Ventura Lovato")</f>
        <v>Diogo Ventura Lovato</v>
      </c>
      <c r="H238" s="49" t="str">
        <f ca="1">IFERROR(__xludf.DUMMYFUNCTION("""COMPUTED_VALUE"""),"diogo.v.lovato@gmail.com")</f>
        <v>diogo.v.lovato@gmail.com</v>
      </c>
      <c r="I238" s="49" t="str">
        <f ca="1">IFERROR(__xludf.DUMMYFUNCTION("""COMPUTED_VALUE"""),"Clinical laboratory geneticist")</f>
        <v>Clinical laboratory geneticist</v>
      </c>
      <c r="J238" s="49"/>
      <c r="K238" s="49" t="str">
        <f ca="1">IFERROR(__xludf.DUMMYFUNCTION("""COMPUTED_VALUE"""),"Variant Pathogenicity")</f>
        <v>Variant Pathogenicity</v>
      </c>
      <c r="L238" s="49"/>
      <c r="M238" s="49"/>
      <c r="N238" s="49"/>
      <c r="O238" s="49"/>
      <c r="P238" s="49"/>
      <c r="Q238" s="49"/>
      <c r="R238" s="49"/>
      <c r="S238" s="49"/>
      <c r="T238" s="49"/>
      <c r="U238" s="49"/>
      <c r="V238" s="49"/>
      <c r="W238" s="49"/>
      <c r="X238" s="49"/>
      <c r="Y238" s="49"/>
      <c r="Z238" s="49"/>
    </row>
    <row r="239" spans="1:26" ht="13">
      <c r="A239" s="49" t="str">
        <f ca="1">IFERROR(__xludf.DUMMYFUNCTION("""COMPUTED_VALUE"""),"Contacted")</f>
        <v>Contacted</v>
      </c>
      <c r="B239" s="49" t="str">
        <f ca="1">IFERROR(__xludf.DUMMYFUNCTION("""COMPUTED_VALUE"""),"")</f>
        <v/>
      </c>
      <c r="C239" s="88">
        <f ca="1">IFERROR(__xludf.DUMMYFUNCTION("""COMPUTED_VALUE"""),43626)</f>
        <v>43626</v>
      </c>
      <c r="D239" s="49" t="str">
        <f ca="1">IFERROR(__xludf.DUMMYFUNCTION("""COMPUTED_VALUE"""),"Yes")</f>
        <v>Yes</v>
      </c>
      <c r="E239" s="49" t="str">
        <f ca="1">IFERROR(__xludf.DUMMYFUNCTION("""COMPUTED_VALUE"""),"Variant Pathogenicity")</f>
        <v>Variant Pathogenicity</v>
      </c>
      <c r="F239" s="49" t="str">
        <f ca="1">IFERROR(__xludf.DUMMYFUNCTION("""COMPUTED_VALUE"""),"")</f>
        <v/>
      </c>
      <c r="G239" s="49" t="str">
        <f ca="1">IFERROR(__xludf.DUMMYFUNCTION("""COMPUTED_VALUE"""),"Elaine Spector")</f>
        <v>Elaine Spector</v>
      </c>
      <c r="H239" s="49" t="str">
        <f ca="1">IFERROR(__xludf.DUMMYFUNCTION("""COMPUTED_VALUE"""),"elaine.spector@childrenscolorado.org")</f>
        <v>elaine.spector@childrenscolorado.org</v>
      </c>
      <c r="I239" s="49" t="str">
        <f ca="1">IFERROR(__xludf.DUMMYFUNCTION("""COMPUTED_VALUE"""),"Clinical laboratory geneticist")</f>
        <v>Clinical laboratory geneticist</v>
      </c>
      <c r="J239" s="49"/>
      <c r="K239" s="49" t="str">
        <f ca="1">IFERROR(__xludf.DUMMYFUNCTION("""COMPUTED_VALUE"""),"Variant Pathogenicity")</f>
        <v>Variant Pathogenicity</v>
      </c>
      <c r="L239" s="49"/>
      <c r="M239" s="49"/>
      <c r="N239" s="49"/>
      <c r="O239" s="49"/>
      <c r="P239" s="49"/>
      <c r="Q239" s="49"/>
      <c r="R239" s="49"/>
      <c r="S239" s="49"/>
      <c r="T239" s="49"/>
      <c r="U239" s="49"/>
      <c r="V239" s="49"/>
      <c r="W239" s="49"/>
      <c r="X239" s="49"/>
      <c r="Y239" s="49"/>
      <c r="Z239" s="49"/>
    </row>
    <row r="240" spans="1:26" ht="13">
      <c r="A240" s="49" t="str">
        <f ca="1">IFERROR(__xludf.DUMMYFUNCTION("""COMPUTED_VALUE"""),"Contacted")</f>
        <v>Contacted</v>
      </c>
      <c r="B240" s="49" t="str">
        <f ca="1">IFERROR(__xludf.DUMMYFUNCTION("""COMPUTED_VALUE"""),"")</f>
        <v/>
      </c>
      <c r="C240" s="88">
        <f ca="1">IFERROR(__xludf.DUMMYFUNCTION("""COMPUTED_VALUE"""),43608)</f>
        <v>43608</v>
      </c>
      <c r="D240" s="49" t="str">
        <f ca="1">IFERROR(__xludf.DUMMYFUNCTION("""COMPUTED_VALUE"""),"Yes")</f>
        <v>Yes</v>
      </c>
      <c r="E240" s="49" t="str">
        <f ca="1">IFERROR(__xludf.DUMMYFUNCTION("""COMPUTED_VALUE"""),"Variant Pathogenicity")</f>
        <v>Variant Pathogenicity</v>
      </c>
      <c r="F240" s="49" t="str">
        <f ca="1">IFERROR(__xludf.DUMMYFUNCTION("""COMPUTED_VALUE"""),"TP53")</f>
        <v>TP53</v>
      </c>
      <c r="G240" s="49" t="str">
        <f ca="1">IFERROR(__xludf.DUMMYFUNCTION("""COMPUTED_VALUE"""),"Laura Fuqua")</f>
        <v>Laura Fuqua</v>
      </c>
      <c r="H240" s="49" t="str">
        <f ca="1">IFERROR(__xludf.DUMMYFUNCTION("""COMPUTED_VALUE"""),"laura.fuqua@gmail.com")</f>
        <v>laura.fuqua@gmail.com</v>
      </c>
      <c r="I240" s="49" t="str">
        <f ca="1">IFERROR(__xludf.DUMMYFUNCTION("""COMPUTED_VALUE"""),"Genetic counselor")</f>
        <v>Genetic counselor</v>
      </c>
      <c r="J240" s="49"/>
      <c r="K240" s="49" t="str">
        <f ca="1">IFERROR(__xludf.DUMMYFUNCTION("""COMPUTED_VALUE"""),"Variant Pathogenicity")</f>
        <v>Variant Pathogenicity</v>
      </c>
      <c r="L240" s="49"/>
      <c r="M240" s="49"/>
      <c r="N240" s="49"/>
      <c r="O240" s="49"/>
      <c r="P240" s="49"/>
      <c r="Q240" s="49"/>
      <c r="R240" s="49"/>
      <c r="S240" s="49"/>
      <c r="T240" s="49"/>
      <c r="U240" s="49"/>
      <c r="V240" s="49"/>
      <c r="W240" s="49"/>
      <c r="X240" s="49"/>
      <c r="Y240" s="49"/>
      <c r="Z240" s="49"/>
    </row>
    <row r="241" spans="1:26" ht="13">
      <c r="A241" s="49" t="str">
        <f ca="1">IFERROR(__xludf.DUMMYFUNCTION("""COMPUTED_VALUE"""),"Unassigned")</f>
        <v>Unassigned</v>
      </c>
      <c r="B241" s="49" t="str">
        <f ca="1">IFERROR(__xludf.DUMMYFUNCTION("""COMPUTED_VALUE"""),"")</f>
        <v/>
      </c>
      <c r="C241" s="49" t="str">
        <f ca="1">IFERROR(__xludf.DUMMYFUNCTION("""COMPUTED_VALUE"""),"")</f>
        <v/>
      </c>
      <c r="D241" s="49" t="str">
        <f ca="1">IFERROR(__xludf.DUMMYFUNCTION("""COMPUTED_VALUE"""),"")</f>
        <v/>
      </c>
      <c r="E241" s="49" t="str">
        <f ca="1">IFERROR(__xludf.DUMMYFUNCTION("""COMPUTED_VALUE"""),"NA")</f>
        <v>NA</v>
      </c>
      <c r="F241" s="49" t="str">
        <f ca="1">IFERROR(__xludf.DUMMYFUNCTION("""COMPUTED_VALUE"""),"")</f>
        <v/>
      </c>
      <c r="G241" s="49" t="str">
        <f ca="1">IFERROR(__xludf.DUMMYFUNCTION("""COMPUTED_VALUE"""),"Kelly McGoldrick")</f>
        <v>Kelly McGoldrick</v>
      </c>
      <c r="H241" s="49" t="str">
        <f ca="1">IFERROR(__xludf.DUMMYFUNCTION("""COMPUTED_VALUE"""),"kmcgoldrick@ambrygenetics.com")</f>
        <v>kmcgoldrick@ambrygenetics.com</v>
      </c>
      <c r="I241" s="49" t="str">
        <f ca="1">IFERROR(__xludf.DUMMYFUNCTION("""COMPUTED_VALUE"""),"Variant Analyst/Scientist - Industry")</f>
        <v>Variant Analyst/Scientist - Industry</v>
      </c>
      <c r="J241" s="49"/>
      <c r="K241" s="49" t="str">
        <f ca="1">IFERROR(__xludf.DUMMYFUNCTION("""COMPUTED_VALUE"""),"")</f>
        <v/>
      </c>
      <c r="L241" s="49"/>
      <c r="M241" s="49"/>
      <c r="N241" s="49"/>
      <c r="O241" s="49"/>
      <c r="P241" s="49"/>
      <c r="Q241" s="49"/>
      <c r="R241" s="49"/>
      <c r="S241" s="49"/>
      <c r="T241" s="49"/>
      <c r="U241" s="49"/>
      <c r="V241" s="49"/>
      <c r="W241" s="49"/>
      <c r="X241" s="49"/>
      <c r="Y241" s="49"/>
      <c r="Z241" s="49"/>
    </row>
    <row r="242" spans="1:26" ht="13">
      <c r="A242" s="49" t="str">
        <f ca="1">IFERROR(__xludf.DUMMYFUNCTION("""COMPUTED_VALUE"""),"Contacted")</f>
        <v>Contacted</v>
      </c>
      <c r="B242" s="88">
        <f ca="1">IFERROR(__xludf.DUMMYFUNCTION("""COMPUTED_VALUE"""),43819)</f>
        <v>43819</v>
      </c>
      <c r="C242" s="49" t="str">
        <f ca="1">IFERROR(__xludf.DUMMYFUNCTION("""COMPUTED_VALUE"""),"")</f>
        <v/>
      </c>
      <c r="D242" s="49" t="str">
        <f ca="1">IFERROR(__xludf.DUMMYFUNCTION("""COMPUTED_VALUE"""),"")</f>
        <v/>
      </c>
      <c r="E242" s="49" t="str">
        <f ca="1">IFERROR(__xludf.DUMMYFUNCTION("""COMPUTED_VALUE"""),"Variant Pathogenicity")</f>
        <v>Variant Pathogenicity</v>
      </c>
      <c r="F242" s="49" t="str">
        <f ca="1">IFERROR(__xludf.DUMMYFUNCTION("""COMPUTED_VALUE"""),"")</f>
        <v/>
      </c>
      <c r="G242" s="49" t="str">
        <f ca="1">IFERROR(__xludf.DUMMYFUNCTION("""COMPUTED_VALUE"""),"Patricia Harper")</f>
        <v>Patricia Harper</v>
      </c>
      <c r="H242" s="49" t="str">
        <f ca="1">IFERROR(__xludf.DUMMYFUNCTION("""COMPUTED_VALUE"""),"pharper@cheo.on.ca")</f>
        <v>pharper@cheo.on.ca</v>
      </c>
      <c r="I242" s="49" t="str">
        <f ca="1">IFERROR(__xludf.DUMMYFUNCTION("""COMPUTED_VALUE"""),"Genetic counselor")</f>
        <v>Genetic counselor</v>
      </c>
      <c r="J242" s="49"/>
      <c r="K242" s="49" t="str">
        <f ca="1">IFERROR(__xludf.DUMMYFUNCTION("""COMPUTED_VALUE"""),"Variant Pathogenicity")</f>
        <v>Variant Pathogenicity</v>
      </c>
      <c r="L242" s="49"/>
      <c r="M242" s="49"/>
      <c r="N242" s="49"/>
      <c r="O242" s="49"/>
      <c r="P242" s="49"/>
      <c r="Q242" s="49"/>
      <c r="R242" s="49"/>
      <c r="S242" s="49"/>
      <c r="T242" s="49"/>
      <c r="U242" s="49"/>
      <c r="V242" s="49"/>
      <c r="W242" s="49"/>
      <c r="X242" s="49"/>
      <c r="Y242" s="49"/>
      <c r="Z242" s="49"/>
    </row>
    <row r="243" spans="1:26" ht="13">
      <c r="A243" s="49" t="str">
        <f ca="1">IFERROR(__xludf.DUMMYFUNCTION("""COMPUTED_VALUE"""),"Unassigned")</f>
        <v>Unassigned</v>
      </c>
      <c r="B243" s="49" t="str">
        <f ca="1">IFERROR(__xludf.DUMMYFUNCTION("""COMPUTED_VALUE"""),"")</f>
        <v/>
      </c>
      <c r="C243" s="49" t="str">
        <f ca="1">IFERROR(__xludf.DUMMYFUNCTION("""COMPUTED_VALUE"""),"")</f>
        <v/>
      </c>
      <c r="D243" s="49" t="str">
        <f ca="1">IFERROR(__xludf.DUMMYFUNCTION("""COMPUTED_VALUE"""),"")</f>
        <v/>
      </c>
      <c r="E243" s="49" t="str">
        <f ca="1">IFERROR(__xludf.DUMMYFUNCTION("""COMPUTED_VALUE"""),"Somatic Cancer")</f>
        <v>Somatic Cancer</v>
      </c>
      <c r="F243" s="49" t="str">
        <f ca="1">IFERROR(__xludf.DUMMYFUNCTION("""COMPUTED_VALUE"""),"")</f>
        <v/>
      </c>
      <c r="G243" s="49" t="str">
        <f ca="1">IFERROR(__xludf.DUMMYFUNCTION("""COMPUTED_VALUE"""),"Rasha hekal ")</f>
        <v xml:space="preserve">Rasha hekal </v>
      </c>
      <c r="H243" s="49" t="str">
        <f ca="1">IFERROR(__xludf.DUMMYFUNCTION("""COMPUTED_VALUE"""),"rasha.hekal.152003@gmail.com")</f>
        <v>rasha.hekal.152003@gmail.com</v>
      </c>
      <c r="I243" s="49" t="str">
        <f ca="1">IFERROR(__xludf.DUMMYFUNCTION("""COMPUTED_VALUE"""),"Undergraduate Student")</f>
        <v>Undergraduate Student</v>
      </c>
      <c r="J243" s="49"/>
      <c r="K243" s="49" t="str">
        <f ca="1">IFERROR(__xludf.DUMMYFUNCTION("""COMPUTED_VALUE"""),"Somatic Cancer")</f>
        <v>Somatic Cancer</v>
      </c>
      <c r="L243" s="49"/>
      <c r="M243" s="49"/>
      <c r="N243" s="49"/>
      <c r="O243" s="49"/>
      <c r="P243" s="49"/>
      <c r="Q243" s="49"/>
      <c r="R243" s="49"/>
      <c r="S243" s="49"/>
      <c r="T243" s="49"/>
      <c r="U243" s="49"/>
      <c r="V243" s="49"/>
      <c r="W243" s="49"/>
      <c r="X243" s="49"/>
      <c r="Y243" s="49"/>
      <c r="Z243" s="49"/>
    </row>
    <row r="244" spans="1:26" ht="13">
      <c r="A244" s="49" t="str">
        <f ca="1">IFERROR(__xludf.DUMMYFUNCTION("""COMPUTED_VALUE"""),"Unassigned")</f>
        <v>Unassigned</v>
      </c>
      <c r="B244" s="49" t="str">
        <f ca="1">IFERROR(__xludf.DUMMYFUNCTION("""COMPUTED_VALUE"""),"")</f>
        <v/>
      </c>
      <c r="C244" s="49" t="str">
        <f ca="1">IFERROR(__xludf.DUMMYFUNCTION("""COMPUTED_VALUE"""),"")</f>
        <v/>
      </c>
      <c r="D244" s="49" t="str">
        <f ca="1">IFERROR(__xludf.DUMMYFUNCTION("""COMPUTED_VALUE"""),"")</f>
        <v/>
      </c>
      <c r="E244" s="49" t="str">
        <f ca="1">IFERROR(__xludf.DUMMYFUNCTION("""COMPUTED_VALUE"""),"Somatic Cancer")</f>
        <v>Somatic Cancer</v>
      </c>
      <c r="F244" s="49" t="str">
        <f ca="1">IFERROR(__xludf.DUMMYFUNCTION("""COMPUTED_VALUE"""),"")</f>
        <v/>
      </c>
      <c r="G244" s="49" t="str">
        <f ca="1">IFERROR(__xludf.DUMMYFUNCTION("""COMPUTED_VALUE"""),"Nihal Ahmed ")</f>
        <v xml:space="preserve">Nihal Ahmed </v>
      </c>
      <c r="H244" s="49" t="str">
        <f ca="1">IFERROR(__xludf.DUMMYFUNCTION("""COMPUTED_VALUE"""),"nihalahmed087@gmail.com")</f>
        <v>nihalahmed087@gmail.com</v>
      </c>
      <c r="I244" s="49" t="str">
        <f ca="1">IFERROR(__xludf.DUMMYFUNCTION("""COMPUTED_VALUE"""),"Undergraduate Student")</f>
        <v>Undergraduate Student</v>
      </c>
      <c r="J244" s="49"/>
      <c r="K244" s="49" t="str">
        <f ca="1">IFERROR(__xludf.DUMMYFUNCTION("""COMPUTED_VALUE"""),"Somatic Cancer")</f>
        <v>Somatic Cancer</v>
      </c>
      <c r="L244" s="49"/>
      <c r="M244" s="49"/>
      <c r="N244" s="49"/>
      <c r="O244" s="49"/>
      <c r="P244" s="49"/>
      <c r="Q244" s="49"/>
      <c r="R244" s="49"/>
      <c r="S244" s="49"/>
      <c r="T244" s="49"/>
      <c r="U244" s="49"/>
      <c r="V244" s="49"/>
      <c r="W244" s="49"/>
      <c r="X244" s="49"/>
      <c r="Y244" s="49"/>
      <c r="Z244" s="49"/>
    </row>
    <row r="245" spans="1:26" ht="13">
      <c r="A245" s="49" t="str">
        <f ca="1">IFERROR(__xludf.DUMMYFUNCTION("""COMPUTED_VALUE"""),"Contacted")</f>
        <v>Contacted</v>
      </c>
      <c r="B245" s="88">
        <f ca="1">IFERROR(__xludf.DUMMYFUNCTION("""COMPUTED_VALUE"""),43819)</f>
        <v>43819</v>
      </c>
      <c r="C245" s="99">
        <f ca="1">IFERROR(__xludf.DUMMYFUNCTION("""COMPUTED_VALUE"""),43846)</f>
        <v>43846</v>
      </c>
      <c r="D245" s="49" t="str">
        <f ca="1">IFERROR(__xludf.DUMMYFUNCTION("""COMPUTED_VALUE"""),"Yes")</f>
        <v>Yes</v>
      </c>
      <c r="E245" s="49" t="str">
        <f ca="1">IFERROR(__xludf.DUMMYFUNCTION("""COMPUTED_VALUE"""),"Gene Disease Validity")</f>
        <v>Gene Disease Validity</v>
      </c>
      <c r="F245" s="49" t="str">
        <f ca="1">IFERROR(__xludf.DUMMYFUNCTION("""COMPUTED_VALUE"""),"")</f>
        <v/>
      </c>
      <c r="G245" s="49" t="str">
        <f ca="1">IFERROR(__xludf.DUMMYFUNCTION("""COMPUTED_VALUE"""),"Xiaoting Ma")</f>
        <v>Xiaoting Ma</v>
      </c>
      <c r="H245" s="49" t="str">
        <f ca="1">IFERROR(__xludf.DUMMYFUNCTION("""COMPUTED_VALUE"""),"Xiaoting.Ma@childrens.harvard.edu")</f>
        <v>Xiaoting.Ma@childrens.harvard.edu</v>
      </c>
      <c r="I245" s="49" t="str">
        <f ca="1">IFERROR(__xludf.DUMMYFUNCTION("""COMPUTED_VALUE"""),"Post Doc/Resident/Fellow (MD and/or PhD)")</f>
        <v>Post Doc/Resident/Fellow (MD and/or PhD)</v>
      </c>
      <c r="J245" s="49"/>
      <c r="K245" s="49" t="str">
        <f ca="1">IFERROR(__xludf.DUMMYFUNCTION("""COMPUTED_VALUE"""),"Gene-Disease Validity")</f>
        <v>Gene-Disease Validity</v>
      </c>
      <c r="L245" s="49"/>
      <c r="M245" s="49"/>
      <c r="N245" s="49"/>
      <c r="O245" s="49"/>
      <c r="P245" s="49"/>
      <c r="Q245" s="49"/>
      <c r="R245" s="49"/>
      <c r="S245" s="49"/>
      <c r="T245" s="49"/>
      <c r="U245" s="49"/>
      <c r="V245" s="49"/>
      <c r="W245" s="49"/>
      <c r="X245" s="49"/>
      <c r="Y245" s="49"/>
      <c r="Z245" s="49"/>
    </row>
    <row r="246" spans="1:26" ht="13">
      <c r="A246" s="49" t="str">
        <f ca="1">IFERROR(__xludf.DUMMYFUNCTION("""COMPUTED_VALUE"""),"Contacted")</f>
        <v>Contacted</v>
      </c>
      <c r="B246" s="88">
        <f ca="1">IFERROR(__xludf.DUMMYFUNCTION("""COMPUTED_VALUE"""),43819)</f>
        <v>43819</v>
      </c>
      <c r="C246" s="49" t="str">
        <f ca="1">IFERROR(__xludf.DUMMYFUNCTION("""COMPUTED_VALUE"""),"")</f>
        <v/>
      </c>
      <c r="D246" s="49" t="str">
        <f ca="1">IFERROR(__xludf.DUMMYFUNCTION("""COMPUTED_VALUE"""),"")</f>
        <v/>
      </c>
      <c r="E246" s="49" t="str">
        <f ca="1">IFERROR(__xludf.DUMMYFUNCTION("""COMPUTED_VALUE"""),"Variant Pathogenicity")</f>
        <v>Variant Pathogenicity</v>
      </c>
      <c r="F246" s="49" t="str">
        <f ca="1">IFERROR(__xludf.DUMMYFUNCTION("""COMPUTED_VALUE"""),"")</f>
        <v/>
      </c>
      <c r="G246" s="49" t="str">
        <f ca="1">IFERROR(__xludf.DUMMYFUNCTION("""COMPUTED_VALUE"""),"Saja El Yaacoub")</f>
        <v>Saja El Yaacoub</v>
      </c>
      <c r="H246" s="49" t="str">
        <f ca="1">IFERROR(__xludf.DUMMYFUNCTION("""COMPUTED_VALUE"""),"saja.alyaacoub@live.com")</f>
        <v>saja.alyaacoub@live.com</v>
      </c>
      <c r="I246" s="49" t="str">
        <f ca="1">IFERROR(__xludf.DUMMYFUNCTION("""COMPUTED_VALUE"""),"Graduate Student")</f>
        <v>Graduate Student</v>
      </c>
      <c r="J246" s="49"/>
      <c r="K246" s="49" t="str">
        <f ca="1">IFERROR(__xludf.DUMMYFUNCTION("""COMPUTED_VALUE"""),"Variant Pathogenicity")</f>
        <v>Variant Pathogenicity</v>
      </c>
      <c r="L246" s="49"/>
      <c r="M246" s="49"/>
      <c r="N246" s="49"/>
      <c r="O246" s="49"/>
      <c r="P246" s="49"/>
      <c r="Q246" s="49"/>
      <c r="R246" s="49"/>
      <c r="S246" s="49"/>
      <c r="T246" s="49"/>
      <c r="U246" s="49"/>
      <c r="V246" s="49"/>
      <c r="W246" s="49"/>
      <c r="X246" s="49"/>
      <c r="Y246" s="49"/>
      <c r="Z246" s="49"/>
    </row>
    <row r="247" spans="1:26" ht="13">
      <c r="A247" s="49" t="str">
        <f ca="1">IFERROR(__xludf.DUMMYFUNCTION("""COMPUTED_VALUE"""),"Unresponsive")</f>
        <v>Unresponsive</v>
      </c>
      <c r="B247" s="49" t="str">
        <f ca="1">IFERROR(__xludf.DUMMYFUNCTION("""COMPUTED_VALUE"""),"")</f>
        <v/>
      </c>
      <c r="C247" s="49" t="str">
        <f ca="1">IFERROR(__xludf.DUMMYFUNCTION("""COMPUTED_VALUE"""),"")</f>
        <v/>
      </c>
      <c r="D247" s="49" t="str">
        <f ca="1">IFERROR(__xludf.DUMMYFUNCTION("""COMPUTED_VALUE"""),"")</f>
        <v/>
      </c>
      <c r="E247" s="49" t="str">
        <f ca="1">IFERROR(__xludf.DUMMYFUNCTION("""COMPUTED_VALUE"""),"Actionability")</f>
        <v>Actionability</v>
      </c>
      <c r="F247" s="49" t="str">
        <f ca="1">IFERROR(__xludf.DUMMYFUNCTION("""COMPUTED_VALUE"""),"")</f>
        <v/>
      </c>
      <c r="G247" s="49" t="str">
        <f ca="1">IFERROR(__xludf.DUMMYFUNCTION("""COMPUTED_VALUE"""),"Andrew Langlois")</f>
        <v>Andrew Langlois</v>
      </c>
      <c r="H247" s="49" t="str">
        <f ca="1">IFERROR(__xludf.DUMMYFUNCTION("""COMPUTED_VALUE"""),"andrewlanglois001@gmail.com")</f>
        <v>andrewlanglois001@gmail.com</v>
      </c>
      <c r="I247" s="49" t="str">
        <f ca="1">IFERROR(__xludf.DUMMYFUNCTION("""COMPUTED_VALUE"""),"Graduate Student")</f>
        <v>Graduate Student</v>
      </c>
      <c r="J247" s="49"/>
      <c r="K247" s="49" t="str">
        <f ca="1">IFERROR(__xludf.DUMMYFUNCTION("""COMPUTED_VALUE"""),"Clinical Actionability")</f>
        <v>Clinical Actionability</v>
      </c>
      <c r="L247" s="49"/>
      <c r="M247" s="49"/>
      <c r="N247" s="49"/>
      <c r="O247" s="49"/>
      <c r="P247" s="49"/>
      <c r="Q247" s="49"/>
      <c r="R247" s="49"/>
      <c r="S247" s="49"/>
      <c r="T247" s="49"/>
      <c r="U247" s="49"/>
      <c r="V247" s="49"/>
      <c r="W247" s="49"/>
      <c r="X247" s="49"/>
      <c r="Y247" s="49"/>
      <c r="Z247" s="49"/>
    </row>
    <row r="248" spans="1:26" ht="13">
      <c r="A248" s="49" t="str">
        <f ca="1">IFERROR(__xludf.DUMMYFUNCTION("""COMPUTED_VALUE"""),"Contacted")</f>
        <v>Contacted</v>
      </c>
      <c r="B248" s="88">
        <f ca="1">IFERROR(__xludf.DUMMYFUNCTION("""COMPUTED_VALUE"""),43819)</f>
        <v>43819</v>
      </c>
      <c r="C248" s="49" t="str">
        <f ca="1">IFERROR(__xludf.DUMMYFUNCTION("""COMPUTED_VALUE"""),"")</f>
        <v/>
      </c>
      <c r="D248" s="49" t="str">
        <f ca="1">IFERROR(__xludf.DUMMYFUNCTION("""COMPUTED_VALUE"""),"")</f>
        <v/>
      </c>
      <c r="E248" s="49" t="str">
        <f ca="1">IFERROR(__xludf.DUMMYFUNCTION("""COMPUTED_VALUE"""),"Variant Pathogenicity")</f>
        <v>Variant Pathogenicity</v>
      </c>
      <c r="F248" s="49" t="str">
        <f ca="1">IFERROR(__xludf.DUMMYFUNCTION("""COMPUTED_VALUE"""),"")</f>
        <v/>
      </c>
      <c r="G248" s="49" t="str">
        <f ca="1">IFERROR(__xludf.DUMMYFUNCTION("""COMPUTED_VALUE"""),"Brandon Chalazan")</f>
        <v>Brandon Chalazan</v>
      </c>
      <c r="H248" s="49" t="str">
        <f ca="1">IFERROR(__xludf.DUMMYFUNCTION("""COMPUTED_VALUE"""),"brandon.chalazan@cw.bc.ca")</f>
        <v>brandon.chalazan@cw.bc.ca</v>
      </c>
      <c r="I248" s="49" t="str">
        <f ca="1">IFERROR(__xludf.DUMMYFUNCTION("""COMPUTED_VALUE"""),"Post Doc/Resident/Fellow (MD and/or PhD)")</f>
        <v>Post Doc/Resident/Fellow (MD and/or PhD)</v>
      </c>
      <c r="J248" s="49"/>
      <c r="K248" s="49" t="str">
        <f ca="1">IFERROR(__xludf.DUMMYFUNCTION("""COMPUTED_VALUE"""),"Variant Pathogenicity")</f>
        <v>Variant Pathogenicity</v>
      </c>
      <c r="L248" s="49"/>
      <c r="M248" s="49"/>
      <c r="N248" s="49"/>
      <c r="O248" s="49"/>
      <c r="P248" s="49"/>
      <c r="Q248" s="49"/>
      <c r="R248" s="49"/>
      <c r="S248" s="49"/>
      <c r="T248" s="49"/>
      <c r="U248" s="49"/>
      <c r="V248" s="49"/>
      <c r="W248" s="49"/>
      <c r="X248" s="49"/>
      <c r="Y248" s="49"/>
      <c r="Z248" s="49"/>
    </row>
    <row r="249" spans="1:26" ht="13">
      <c r="A249" s="49" t="str">
        <f ca="1">IFERROR(__xludf.DUMMYFUNCTION("""COMPUTED_VALUE"""),"Contacted")</f>
        <v>Contacted</v>
      </c>
      <c r="B249" s="88">
        <f ca="1">IFERROR(__xludf.DUMMYFUNCTION("""COMPUTED_VALUE"""),43819)</f>
        <v>43819</v>
      </c>
      <c r="C249" s="49" t="str">
        <f ca="1">IFERROR(__xludf.DUMMYFUNCTION("""COMPUTED_VALUE"""),"")</f>
        <v/>
      </c>
      <c r="D249" s="49" t="str">
        <f ca="1">IFERROR(__xludf.DUMMYFUNCTION("""COMPUTED_VALUE"""),"")</f>
        <v/>
      </c>
      <c r="E249" s="49" t="str">
        <f ca="1">IFERROR(__xludf.DUMMYFUNCTION("""COMPUTED_VALUE"""),"Variant Pathogenicity")</f>
        <v>Variant Pathogenicity</v>
      </c>
      <c r="F249" s="49" t="str">
        <f ca="1">IFERROR(__xludf.DUMMYFUNCTION("""COMPUTED_VALUE"""),"")</f>
        <v/>
      </c>
      <c r="G249" s="49" t="str">
        <f ca="1">IFERROR(__xludf.DUMMYFUNCTION("""COMPUTED_VALUE"""),"jean-leon chong")</f>
        <v>jean-leon chong</v>
      </c>
      <c r="H249" s="49" t="str">
        <f ca="1">IFERROR(__xludf.DUMMYFUNCTION("""COMPUTED_VALUE"""),"leon0044@gmail.com")</f>
        <v>leon0044@gmail.com</v>
      </c>
      <c r="I249" s="49" t="str">
        <f ca="1">IFERROR(__xludf.DUMMYFUNCTION("""COMPUTED_VALUE"""),"biochemical genetics lab director")</f>
        <v>biochemical genetics lab director</v>
      </c>
      <c r="J249" s="49"/>
      <c r="K249" s="49" t="str">
        <f ca="1">IFERROR(__xludf.DUMMYFUNCTION("""COMPUTED_VALUE"""),"Variant Pathogenicity")</f>
        <v>Variant Pathogenicity</v>
      </c>
      <c r="L249" s="49"/>
      <c r="M249" s="49"/>
      <c r="N249" s="49"/>
      <c r="O249" s="49"/>
      <c r="P249" s="49"/>
      <c r="Q249" s="49"/>
      <c r="R249" s="49"/>
      <c r="S249" s="49"/>
      <c r="T249" s="49"/>
      <c r="U249" s="49"/>
      <c r="V249" s="49"/>
      <c r="W249" s="49"/>
      <c r="X249" s="49"/>
      <c r="Y249" s="49"/>
      <c r="Z249" s="49"/>
    </row>
    <row r="250" spans="1:26" ht="13">
      <c r="A250" s="49" t="str">
        <f ca="1">IFERROR(__xludf.DUMMYFUNCTION("""COMPUTED_VALUE"""),"Contacted")</f>
        <v>Contacted</v>
      </c>
      <c r="B250" s="88">
        <f ca="1">IFERROR(__xludf.DUMMYFUNCTION("""COMPUTED_VALUE"""),43819)</f>
        <v>43819</v>
      </c>
      <c r="C250" s="49" t="str">
        <f ca="1">IFERROR(__xludf.DUMMYFUNCTION("""COMPUTED_VALUE"""),"")</f>
        <v/>
      </c>
      <c r="D250" s="49" t="str">
        <f ca="1">IFERROR(__xludf.DUMMYFUNCTION("""COMPUTED_VALUE"""),"")</f>
        <v/>
      </c>
      <c r="E250" s="49" t="str">
        <f ca="1">IFERROR(__xludf.DUMMYFUNCTION("""COMPUTED_VALUE"""),"Variant Pathogenicity")</f>
        <v>Variant Pathogenicity</v>
      </c>
      <c r="F250" s="49" t="str">
        <f ca="1">IFERROR(__xludf.DUMMYFUNCTION("""COMPUTED_VALUE"""),"")</f>
        <v/>
      </c>
      <c r="G250" s="49" t="str">
        <f ca="1">IFERROR(__xludf.DUMMYFUNCTION("""COMPUTED_VALUE"""),"Terra Brannan")</f>
        <v>Terra Brannan</v>
      </c>
      <c r="H250" s="49" t="str">
        <f ca="1">IFERROR(__xludf.DUMMYFUNCTION("""COMPUTED_VALUE"""),"tbrannan@ambrygen.com")</f>
        <v>tbrannan@ambrygen.com</v>
      </c>
      <c r="I250" s="49" t="str">
        <f ca="1">IFERROR(__xludf.DUMMYFUNCTION("""COMPUTED_VALUE"""),"Variant Analyst/Scientist - Industry")</f>
        <v>Variant Analyst/Scientist - Industry</v>
      </c>
      <c r="J250" s="49"/>
      <c r="K250" s="49" t="str">
        <f ca="1">IFERROR(__xludf.DUMMYFUNCTION("""COMPUTED_VALUE"""),"Variant Pathogenicity")</f>
        <v>Variant Pathogenicity</v>
      </c>
      <c r="L250" s="49"/>
      <c r="M250" s="49"/>
      <c r="N250" s="49"/>
      <c r="O250" s="49"/>
      <c r="P250" s="49"/>
      <c r="Q250" s="49"/>
      <c r="R250" s="49"/>
      <c r="S250" s="49"/>
      <c r="T250" s="49"/>
      <c r="U250" s="49"/>
      <c r="V250" s="49"/>
      <c r="W250" s="49"/>
      <c r="X250" s="49"/>
      <c r="Y250" s="49"/>
      <c r="Z250" s="49"/>
    </row>
    <row r="251" spans="1:26" ht="13">
      <c r="A251" s="49" t="str">
        <f ca="1">IFERROR(__xludf.DUMMYFUNCTION("""COMPUTED_VALUE"""),"Unassigned")</f>
        <v>Unassigned</v>
      </c>
      <c r="B251" s="49" t="str">
        <f ca="1">IFERROR(__xludf.DUMMYFUNCTION("""COMPUTED_VALUE"""),"")</f>
        <v/>
      </c>
      <c r="C251" s="49" t="str">
        <f ca="1">IFERROR(__xludf.DUMMYFUNCTION("""COMPUTED_VALUE"""),"")</f>
        <v/>
      </c>
      <c r="D251" s="49" t="str">
        <f ca="1">IFERROR(__xludf.DUMMYFUNCTION("""COMPUTED_VALUE"""),"")</f>
        <v/>
      </c>
      <c r="E251" s="49" t="str">
        <f ca="1">IFERROR(__xludf.DUMMYFUNCTION("""COMPUTED_VALUE"""),"Dosage Sensitivity")</f>
        <v>Dosage Sensitivity</v>
      </c>
      <c r="F251" s="49" t="str">
        <f ca="1">IFERROR(__xludf.DUMMYFUNCTION("""COMPUTED_VALUE"""),"")</f>
        <v/>
      </c>
      <c r="G251" s="49" t="str">
        <f ca="1">IFERROR(__xludf.DUMMYFUNCTION("""COMPUTED_VALUE"""),"Ankita Patel")</f>
        <v>Ankita Patel</v>
      </c>
      <c r="H251" s="49" t="str">
        <f ca="1">IFERROR(__xludf.DUMMYFUNCTION("""COMPUTED_VALUE"""),"aspatel1@yahoo.com")</f>
        <v>aspatel1@yahoo.com</v>
      </c>
      <c r="I251" s="49" t="str">
        <f ca="1">IFERROR(__xludf.DUMMYFUNCTION("""COMPUTED_VALUE"""),"Independent cytogenetic consultant")</f>
        <v>Independent cytogenetic consultant</v>
      </c>
      <c r="J251" s="49"/>
      <c r="K251" s="49" t="str">
        <f ca="1">IFERROR(__xludf.DUMMYFUNCTION("""COMPUTED_VALUE"""),"Dosage Sensitivity")</f>
        <v>Dosage Sensitivity</v>
      </c>
      <c r="L251" s="49"/>
      <c r="M251" s="49"/>
      <c r="N251" s="49"/>
      <c r="O251" s="49"/>
      <c r="P251" s="49"/>
      <c r="Q251" s="49"/>
      <c r="R251" s="49"/>
      <c r="S251" s="49"/>
      <c r="T251" s="49"/>
      <c r="U251" s="49"/>
      <c r="V251" s="49"/>
      <c r="W251" s="49"/>
      <c r="X251" s="49"/>
      <c r="Y251" s="49"/>
      <c r="Z251" s="49"/>
    </row>
    <row r="252" spans="1:26" ht="13">
      <c r="A252" s="49" t="str">
        <f ca="1">IFERROR(__xludf.DUMMYFUNCTION("""COMPUTED_VALUE"""),"Contacted")</f>
        <v>Contacted</v>
      </c>
      <c r="B252" s="88">
        <f ca="1">IFERROR(__xludf.DUMMYFUNCTION("""COMPUTED_VALUE"""),43819)</f>
        <v>43819</v>
      </c>
      <c r="C252" s="49" t="str">
        <f ca="1">IFERROR(__xludf.DUMMYFUNCTION("""COMPUTED_VALUE"""),"")</f>
        <v/>
      </c>
      <c r="D252" s="49" t="str">
        <f ca="1">IFERROR(__xludf.DUMMYFUNCTION("""COMPUTED_VALUE"""),"")</f>
        <v/>
      </c>
      <c r="E252" s="49" t="str">
        <f ca="1">IFERROR(__xludf.DUMMYFUNCTION("""COMPUTED_VALUE"""),"Variant Pathogenicity")</f>
        <v>Variant Pathogenicity</v>
      </c>
      <c r="F252" s="49" t="str">
        <f ca="1">IFERROR(__xludf.DUMMYFUNCTION("""COMPUTED_VALUE"""),"")</f>
        <v/>
      </c>
      <c r="G252" s="49" t="str">
        <f ca="1">IFERROR(__xludf.DUMMYFUNCTION("""COMPUTED_VALUE"""),"Jordan Stern")</f>
        <v>Jordan Stern</v>
      </c>
      <c r="H252" s="49" t="str">
        <f ca="1">IFERROR(__xludf.DUMMYFUNCTION("""COMPUTED_VALUE"""),"jordanjnstern@gmail.com")</f>
        <v>jordanjnstern@gmail.com</v>
      </c>
      <c r="I252" s="49" t="str">
        <f ca="1">IFERROR(__xludf.DUMMYFUNCTION("""COMPUTED_VALUE"""),"Undergraduate Student")</f>
        <v>Undergraduate Student</v>
      </c>
      <c r="J252" s="49"/>
      <c r="K252" s="49" t="str">
        <f ca="1">IFERROR(__xludf.DUMMYFUNCTION("""COMPUTED_VALUE"""),"Variant Pathogenicity")</f>
        <v>Variant Pathogenicity</v>
      </c>
      <c r="L252" s="49"/>
      <c r="M252" s="49"/>
      <c r="N252" s="49"/>
      <c r="O252" s="49"/>
      <c r="P252" s="49"/>
      <c r="Q252" s="49"/>
      <c r="R252" s="49"/>
      <c r="S252" s="49"/>
      <c r="T252" s="49"/>
      <c r="U252" s="49"/>
      <c r="V252" s="49"/>
      <c r="W252" s="49"/>
      <c r="X252" s="49"/>
      <c r="Y252" s="49"/>
      <c r="Z252" s="49"/>
    </row>
    <row r="253" spans="1:26" ht="13">
      <c r="A253" s="49" t="str">
        <f ca="1">IFERROR(__xludf.DUMMYFUNCTION("""COMPUTED_VALUE"""),"Unresponsive")</f>
        <v>Unresponsive</v>
      </c>
      <c r="B253" s="49" t="str">
        <f ca="1">IFERROR(__xludf.DUMMYFUNCTION("""COMPUTED_VALUE"""),"")</f>
        <v/>
      </c>
      <c r="C253" s="49" t="str">
        <f ca="1">IFERROR(__xludf.DUMMYFUNCTION("""COMPUTED_VALUE"""),"")</f>
        <v/>
      </c>
      <c r="D253" s="49" t="str">
        <f ca="1">IFERROR(__xludf.DUMMYFUNCTION("""COMPUTED_VALUE"""),"")</f>
        <v/>
      </c>
      <c r="E253" s="49" t="str">
        <f ca="1">IFERROR(__xludf.DUMMYFUNCTION("""COMPUTED_VALUE"""),"Actionability")</f>
        <v>Actionability</v>
      </c>
      <c r="F253" s="49" t="str">
        <f ca="1">IFERROR(__xludf.DUMMYFUNCTION("""COMPUTED_VALUE"""),"")</f>
        <v/>
      </c>
      <c r="G253" s="49" t="str">
        <f ca="1">IFERROR(__xludf.DUMMYFUNCTION("""COMPUTED_VALUE"""),"Sally Pea ")</f>
        <v xml:space="preserve">Sally Pea </v>
      </c>
      <c r="H253" s="49" t="str">
        <f ca="1">IFERROR(__xludf.DUMMYFUNCTION("""COMPUTED_VALUE"""),"spea@live.com")</f>
        <v>spea@live.com</v>
      </c>
      <c r="I253" s="49" t="str">
        <f ca="1">IFERROR(__xludf.DUMMYFUNCTION("""COMPUTED_VALUE"""),"Citizen Scientist/Patient Advocate")</f>
        <v>Citizen Scientist/Patient Advocate</v>
      </c>
      <c r="J253" s="49"/>
      <c r="K253" s="49" t="str">
        <f ca="1">IFERROR(__xludf.DUMMYFUNCTION("""COMPUTED_VALUE"""),"Clinical Actionability")</f>
        <v>Clinical Actionability</v>
      </c>
      <c r="L253" s="49"/>
      <c r="M253" s="49"/>
      <c r="N253" s="49"/>
      <c r="O253" s="49"/>
      <c r="P253" s="49"/>
      <c r="Q253" s="49"/>
      <c r="R253" s="49"/>
      <c r="S253" s="49"/>
      <c r="T253" s="49"/>
      <c r="U253" s="49"/>
      <c r="V253" s="49"/>
      <c r="W253" s="49"/>
      <c r="X253" s="49"/>
      <c r="Y253" s="49"/>
      <c r="Z253" s="49"/>
    </row>
    <row r="254" spans="1:26" ht="13">
      <c r="A254" s="49" t="str">
        <f ca="1">IFERROR(__xludf.DUMMYFUNCTION("""COMPUTED_VALUE"""),"Contacted")</f>
        <v>Contacted</v>
      </c>
      <c r="B254" s="88">
        <f ca="1">IFERROR(__xludf.DUMMYFUNCTION("""COMPUTED_VALUE"""),43819)</f>
        <v>43819</v>
      </c>
      <c r="C254" s="49" t="str">
        <f ca="1">IFERROR(__xludf.DUMMYFUNCTION("""COMPUTED_VALUE"""),"")</f>
        <v/>
      </c>
      <c r="D254" s="49" t="str">
        <f ca="1">IFERROR(__xludf.DUMMYFUNCTION("""COMPUTED_VALUE"""),"")</f>
        <v/>
      </c>
      <c r="E254" s="49" t="str">
        <f ca="1">IFERROR(__xludf.DUMMYFUNCTION("""COMPUTED_VALUE"""),"Gene Disease Validity")</f>
        <v>Gene Disease Validity</v>
      </c>
      <c r="F254" s="49" t="str">
        <f ca="1">IFERROR(__xludf.DUMMYFUNCTION("""COMPUTED_VALUE"""),"")</f>
        <v/>
      </c>
      <c r="G254" s="49" t="str">
        <f ca="1">IFERROR(__xludf.DUMMYFUNCTION("""COMPUTED_VALUE"""),"Sali Farhan")</f>
        <v>Sali Farhan</v>
      </c>
      <c r="H254" s="49" t="str">
        <f ca="1">IFERROR(__xludf.DUMMYFUNCTION("""COMPUTED_VALUE"""),"sfarhan@broadinstitute.org")</f>
        <v>sfarhan@broadinstitute.org</v>
      </c>
      <c r="I254" s="49" t="str">
        <f ca="1">IFERROR(__xludf.DUMMYFUNCTION("""COMPUTED_VALUE"""),"Post Doc/Resident/Fellow (MD and/or PhD)")</f>
        <v>Post Doc/Resident/Fellow (MD and/or PhD)</v>
      </c>
      <c r="J254" s="49"/>
      <c r="K254" s="49" t="str">
        <f ca="1">IFERROR(__xludf.DUMMYFUNCTION("""COMPUTED_VALUE"""),"Gene-Disease Validity")</f>
        <v>Gene-Disease Validity</v>
      </c>
      <c r="L254" s="49"/>
      <c r="M254" s="49"/>
      <c r="N254" s="49"/>
      <c r="O254" s="49"/>
      <c r="P254" s="49"/>
      <c r="Q254" s="49"/>
      <c r="R254" s="49"/>
      <c r="S254" s="49"/>
      <c r="T254" s="49"/>
      <c r="U254" s="49"/>
      <c r="V254" s="49"/>
      <c r="W254" s="49"/>
      <c r="X254" s="49"/>
      <c r="Y254" s="49"/>
      <c r="Z254" s="49"/>
    </row>
    <row r="255" spans="1:26" ht="13">
      <c r="A255" s="49" t="str">
        <f ca="1">IFERROR(__xludf.DUMMYFUNCTION("""COMPUTED_VALUE"""),"Contacted")</f>
        <v>Contacted</v>
      </c>
      <c r="B255" s="49" t="str">
        <f ca="1">IFERROR(__xludf.DUMMYFUNCTION("""COMPUTED_VALUE"""),"")</f>
        <v/>
      </c>
      <c r="C255" s="99">
        <f ca="1">IFERROR(__xludf.DUMMYFUNCTION("""COMPUTED_VALUE"""),43846)</f>
        <v>43846</v>
      </c>
      <c r="D255" s="49" t="str">
        <f ca="1">IFERROR(__xludf.DUMMYFUNCTION("""COMPUTED_VALUE"""),"Yes")</f>
        <v>Yes</v>
      </c>
      <c r="E255" s="49" t="str">
        <f ca="1">IFERROR(__xludf.DUMMYFUNCTION("""COMPUTED_VALUE"""),"Gene Disease Validity")</f>
        <v>Gene Disease Validity</v>
      </c>
      <c r="F255" s="49" t="str">
        <f ca="1">IFERROR(__xludf.DUMMYFUNCTION("""COMPUTED_VALUE"""),"")</f>
        <v/>
      </c>
      <c r="G255" s="49" t="str">
        <f ca="1">IFERROR(__xludf.DUMMYFUNCTION("""COMPUTED_VALUE"""),"Julie Kim ")</f>
        <v xml:space="preserve">Julie Kim </v>
      </c>
      <c r="H255" s="49" t="str">
        <f ca="1">IFERROR(__xludf.DUMMYFUNCTION("""COMPUTED_VALUE"""),"serin.kim@nih.gov")</f>
        <v>serin.kim@nih.gov</v>
      </c>
      <c r="I255" s="49" t="str">
        <f ca="1">IFERROR(__xludf.DUMMYFUNCTION("""COMPUTED_VALUE"""),"Scientific Program Analyst at NHGRI")</f>
        <v>Scientific Program Analyst at NHGRI</v>
      </c>
      <c r="J255" s="49"/>
      <c r="K255" s="49" t="str">
        <f ca="1">IFERROR(__xludf.DUMMYFUNCTION("""COMPUTED_VALUE"""),"Gene-Disease Validity")</f>
        <v>Gene-Disease Validity</v>
      </c>
      <c r="L255" s="49"/>
      <c r="M255" s="49"/>
      <c r="N255" s="49"/>
      <c r="O255" s="49"/>
      <c r="P255" s="49"/>
      <c r="Q255" s="49"/>
      <c r="R255" s="49"/>
      <c r="S255" s="49"/>
      <c r="T255" s="49"/>
      <c r="U255" s="49"/>
      <c r="V255" s="49"/>
      <c r="W255" s="49"/>
      <c r="X255" s="49"/>
      <c r="Y255" s="49"/>
      <c r="Z255" s="49"/>
    </row>
    <row r="256" spans="1:26" ht="13">
      <c r="A256" s="49" t="str">
        <f ca="1">IFERROR(__xludf.DUMMYFUNCTION("""COMPUTED_VALUE"""),"Contacted")</f>
        <v>Contacted</v>
      </c>
      <c r="B256" s="88">
        <f ca="1">IFERROR(__xludf.DUMMYFUNCTION("""COMPUTED_VALUE"""),43819)</f>
        <v>43819</v>
      </c>
      <c r="C256" s="49" t="str">
        <f ca="1">IFERROR(__xludf.DUMMYFUNCTION("""COMPUTED_VALUE"""),"")</f>
        <v/>
      </c>
      <c r="D256" s="49" t="str">
        <f ca="1">IFERROR(__xludf.DUMMYFUNCTION("""COMPUTED_VALUE"""),"")</f>
        <v/>
      </c>
      <c r="E256" s="49" t="str">
        <f ca="1">IFERROR(__xludf.DUMMYFUNCTION("""COMPUTED_VALUE"""),"Variant Pathogenicity")</f>
        <v>Variant Pathogenicity</v>
      </c>
      <c r="F256" s="49" t="str">
        <f ca="1">IFERROR(__xludf.DUMMYFUNCTION("""COMPUTED_VALUE"""),"")</f>
        <v/>
      </c>
      <c r="G256" s="49" t="str">
        <f ca="1">IFERROR(__xludf.DUMMYFUNCTION("""COMPUTED_VALUE"""),"Jamie Maciaszek")</f>
        <v>Jamie Maciaszek</v>
      </c>
      <c r="H256" s="49" t="str">
        <f ca="1">IFERROR(__xludf.DUMMYFUNCTION("""COMPUTED_VALUE"""),"jamie.maciaszek@stjude.org")</f>
        <v>jamie.maciaszek@stjude.org</v>
      </c>
      <c r="I256" s="49" t="str">
        <f ca="1">IFERROR(__xludf.DUMMYFUNCTION("""COMPUTED_VALUE"""),"Scientific Researcher")</f>
        <v>Scientific Researcher</v>
      </c>
      <c r="J256" s="49"/>
      <c r="K256" s="49" t="str">
        <f ca="1">IFERROR(__xludf.DUMMYFUNCTION("""COMPUTED_VALUE"""),"Variant Pathogenicity")</f>
        <v>Variant Pathogenicity</v>
      </c>
      <c r="L256" s="49"/>
      <c r="M256" s="49"/>
      <c r="N256" s="49"/>
      <c r="O256" s="49"/>
      <c r="P256" s="49"/>
      <c r="Q256" s="49"/>
      <c r="R256" s="49"/>
      <c r="S256" s="49"/>
      <c r="T256" s="49"/>
      <c r="U256" s="49"/>
      <c r="V256" s="49"/>
      <c r="W256" s="49"/>
      <c r="X256" s="49"/>
      <c r="Y256" s="49"/>
      <c r="Z256" s="49"/>
    </row>
    <row r="257" spans="1:26" ht="13">
      <c r="A257" s="49" t="str">
        <f ca="1">IFERROR(__xludf.DUMMYFUNCTION("""COMPUTED_VALUE"""),"Contacted")</f>
        <v>Contacted</v>
      </c>
      <c r="B257" s="88">
        <f ca="1">IFERROR(__xludf.DUMMYFUNCTION("""COMPUTED_VALUE"""),43819)</f>
        <v>43819</v>
      </c>
      <c r="C257" s="49" t="str">
        <f ca="1">IFERROR(__xludf.DUMMYFUNCTION("""COMPUTED_VALUE"""),"")</f>
        <v/>
      </c>
      <c r="D257" s="49" t="str">
        <f ca="1">IFERROR(__xludf.DUMMYFUNCTION("""COMPUTED_VALUE"""),"")</f>
        <v/>
      </c>
      <c r="E257" s="49" t="str">
        <f ca="1">IFERROR(__xludf.DUMMYFUNCTION("""COMPUTED_VALUE"""),"Variant Pathogenicity")</f>
        <v>Variant Pathogenicity</v>
      </c>
      <c r="F257" s="49" t="str">
        <f ca="1">IFERROR(__xludf.DUMMYFUNCTION("""COMPUTED_VALUE"""),"")</f>
        <v/>
      </c>
      <c r="G257" s="49" t="str">
        <f ca="1">IFERROR(__xludf.DUMMYFUNCTION("""COMPUTED_VALUE"""),"Olivier Bluteau")</f>
        <v>Olivier Bluteau</v>
      </c>
      <c r="H257" s="49" t="str">
        <f ca="1">IFERROR(__xludf.DUMMYFUNCTION("""COMPUTED_VALUE"""),"olivier.bluteau@aphp.fr")</f>
        <v>olivier.bluteau@aphp.fr</v>
      </c>
      <c r="I257" s="49" t="str">
        <f ca="1">IFERROR(__xludf.DUMMYFUNCTION("""COMPUTED_VALUE"""),"Variant Analyst/Scientist - Academic")</f>
        <v>Variant Analyst/Scientist - Academic</v>
      </c>
      <c r="J257" s="49"/>
      <c r="K257" s="49" t="str">
        <f ca="1">IFERROR(__xludf.DUMMYFUNCTION("""COMPUTED_VALUE"""),"Variant Pathogenicity")</f>
        <v>Variant Pathogenicity</v>
      </c>
      <c r="L257" s="49"/>
      <c r="M257" s="49"/>
      <c r="N257" s="49"/>
      <c r="O257" s="49"/>
      <c r="P257" s="49"/>
      <c r="Q257" s="49"/>
      <c r="R257" s="49"/>
      <c r="S257" s="49"/>
      <c r="T257" s="49"/>
      <c r="U257" s="49"/>
      <c r="V257" s="49"/>
      <c r="W257" s="49"/>
      <c r="X257" s="49"/>
      <c r="Y257" s="49"/>
      <c r="Z257" s="49"/>
    </row>
    <row r="258" spans="1:26" ht="13">
      <c r="A258" s="49" t="str">
        <f ca="1">IFERROR(__xludf.DUMMYFUNCTION("""COMPUTED_VALUE"""),"Unassigned")</f>
        <v>Unassigned</v>
      </c>
      <c r="B258" s="49" t="str">
        <f ca="1">IFERROR(__xludf.DUMMYFUNCTION("""COMPUTED_VALUE"""),"")</f>
        <v/>
      </c>
      <c r="C258" s="49" t="str">
        <f ca="1">IFERROR(__xludf.DUMMYFUNCTION("""COMPUTED_VALUE"""),"")</f>
        <v/>
      </c>
      <c r="D258" s="49" t="str">
        <f ca="1">IFERROR(__xludf.DUMMYFUNCTION("""COMPUTED_VALUE"""),"")</f>
        <v/>
      </c>
      <c r="E258" s="49" t="str">
        <f ca="1">IFERROR(__xludf.DUMMYFUNCTION("""COMPUTED_VALUE"""),"Somatic Cancer")</f>
        <v>Somatic Cancer</v>
      </c>
      <c r="F258" s="49" t="str">
        <f ca="1">IFERROR(__xludf.DUMMYFUNCTION("""COMPUTED_VALUE"""),"")</f>
        <v/>
      </c>
      <c r="G258" s="49" t="str">
        <f ca="1">IFERROR(__xludf.DUMMYFUNCTION("""COMPUTED_VALUE"""),"Zonggao Shi")</f>
        <v>Zonggao Shi</v>
      </c>
      <c r="H258" s="49" t="str">
        <f ca="1">IFERROR(__xludf.DUMMYFUNCTION("""COMPUTED_VALUE"""),"zshi1@stjude.org")</f>
        <v>zshi1@stjude.org</v>
      </c>
      <c r="I258" s="49" t="str">
        <f ca="1">IFERROR(__xludf.DUMMYFUNCTION("""COMPUTED_VALUE"""),"Variant Analyst/Scientist - Academic")</f>
        <v>Variant Analyst/Scientist - Academic</v>
      </c>
      <c r="J258" s="49"/>
      <c r="K258" s="49" t="str">
        <f ca="1">IFERROR(__xludf.DUMMYFUNCTION("""COMPUTED_VALUE"""),"Somatic Cancer")</f>
        <v>Somatic Cancer</v>
      </c>
      <c r="L258" s="49"/>
      <c r="M258" s="49"/>
      <c r="N258" s="49"/>
      <c r="O258" s="49"/>
      <c r="P258" s="49"/>
      <c r="Q258" s="49"/>
      <c r="R258" s="49"/>
      <c r="S258" s="49"/>
      <c r="T258" s="49"/>
      <c r="U258" s="49"/>
      <c r="V258" s="49"/>
      <c r="W258" s="49"/>
      <c r="X258" s="49"/>
      <c r="Y258" s="49"/>
      <c r="Z258" s="49"/>
    </row>
    <row r="259" spans="1:26" ht="13">
      <c r="A259" s="49" t="str">
        <f ca="1">IFERROR(__xludf.DUMMYFUNCTION("""COMPUTED_VALUE"""),"Contacted")</f>
        <v>Contacted</v>
      </c>
      <c r="B259" s="88">
        <f ca="1">IFERROR(__xludf.DUMMYFUNCTION("""COMPUTED_VALUE"""),43819)</f>
        <v>43819</v>
      </c>
      <c r="C259" s="49" t="str">
        <f ca="1">IFERROR(__xludf.DUMMYFUNCTION("""COMPUTED_VALUE"""),"")</f>
        <v/>
      </c>
      <c r="D259" s="49" t="str">
        <f ca="1">IFERROR(__xludf.DUMMYFUNCTION("""COMPUTED_VALUE"""),"")</f>
        <v/>
      </c>
      <c r="E259" s="49" t="str">
        <f ca="1">IFERROR(__xludf.DUMMYFUNCTION("""COMPUTED_VALUE"""),"Variant Pathogenicity")</f>
        <v>Variant Pathogenicity</v>
      </c>
      <c r="F259" s="49" t="str">
        <f ca="1">IFERROR(__xludf.DUMMYFUNCTION("""COMPUTED_VALUE"""),"")</f>
        <v/>
      </c>
      <c r="G259" s="49" t="str">
        <f ca="1">IFERROR(__xludf.DUMMYFUNCTION("""COMPUTED_VALUE"""),"Linlin Zhang")</f>
        <v>Linlin Zhang</v>
      </c>
      <c r="H259" s="49" t="str">
        <f ca="1">IFERROR(__xludf.DUMMYFUNCTION("""COMPUTED_VALUE"""),"linlinzhang277@gmail.com")</f>
        <v>linlinzhang277@gmail.com</v>
      </c>
      <c r="I259" s="49" t="str">
        <f ca="1">IFERROR(__xludf.DUMMYFUNCTION("""COMPUTED_VALUE"""),"Clinical laboratory geneticist")</f>
        <v>Clinical laboratory geneticist</v>
      </c>
      <c r="J259" s="49"/>
      <c r="K259" s="49" t="str">
        <f ca="1">IFERROR(__xludf.DUMMYFUNCTION("""COMPUTED_VALUE"""),"Variant Pathogenicity")</f>
        <v>Variant Pathogenicity</v>
      </c>
      <c r="L259" s="49"/>
      <c r="M259" s="49"/>
      <c r="N259" s="49"/>
      <c r="O259" s="49"/>
      <c r="P259" s="49"/>
      <c r="Q259" s="49"/>
      <c r="R259" s="49"/>
      <c r="S259" s="49"/>
      <c r="T259" s="49"/>
      <c r="U259" s="49"/>
      <c r="V259" s="49"/>
      <c r="W259" s="49"/>
      <c r="X259" s="49"/>
      <c r="Y259" s="49"/>
      <c r="Z259" s="49"/>
    </row>
    <row r="260" spans="1:26" ht="13">
      <c r="A260" s="49" t="str">
        <f ca="1">IFERROR(__xludf.DUMMYFUNCTION("""COMPUTED_VALUE"""),"Contacted")</f>
        <v>Contacted</v>
      </c>
      <c r="B260" s="88">
        <f ca="1">IFERROR(__xludf.DUMMYFUNCTION("""COMPUTED_VALUE"""),43819)</f>
        <v>43819</v>
      </c>
      <c r="C260" s="49" t="str">
        <f ca="1">IFERROR(__xludf.DUMMYFUNCTION("""COMPUTED_VALUE"""),"")</f>
        <v/>
      </c>
      <c r="D260" s="49" t="str">
        <f ca="1">IFERROR(__xludf.DUMMYFUNCTION("""COMPUTED_VALUE"""),"")</f>
        <v/>
      </c>
      <c r="E260" s="49" t="str">
        <f ca="1">IFERROR(__xludf.DUMMYFUNCTION("""COMPUTED_VALUE"""),"Variant Pathogenicity")</f>
        <v>Variant Pathogenicity</v>
      </c>
      <c r="F260" s="49" t="str">
        <f ca="1">IFERROR(__xludf.DUMMYFUNCTION("""COMPUTED_VALUE"""),"")</f>
        <v/>
      </c>
      <c r="G260" s="49" t="str">
        <f ca="1">IFERROR(__xludf.DUMMYFUNCTION("""COMPUTED_VALUE"""),"Marco Montes de Oca")</f>
        <v>Marco Montes de Oca</v>
      </c>
      <c r="H260" s="49" t="str">
        <f ca="1">IFERROR(__xludf.DUMMYFUNCTION("""COMPUTED_VALUE"""),"montesm@student.unimelb.edu.au")</f>
        <v>montesm@student.unimelb.edu.au</v>
      </c>
      <c r="I260" s="49" t="str">
        <f ca="1">IFERROR(__xludf.DUMMYFUNCTION("""COMPUTED_VALUE"""),"Graduate Student")</f>
        <v>Graduate Student</v>
      </c>
      <c r="J260" s="49"/>
      <c r="K260" s="49" t="str">
        <f ca="1">IFERROR(__xludf.DUMMYFUNCTION("""COMPUTED_VALUE"""),"Variant Pathogenicity")</f>
        <v>Variant Pathogenicity</v>
      </c>
      <c r="L260" s="49"/>
      <c r="M260" s="49"/>
      <c r="N260" s="49"/>
      <c r="O260" s="49"/>
      <c r="P260" s="49"/>
      <c r="Q260" s="49"/>
      <c r="R260" s="49"/>
      <c r="S260" s="49"/>
      <c r="T260" s="49"/>
      <c r="U260" s="49"/>
      <c r="V260" s="49"/>
      <c r="W260" s="49"/>
      <c r="X260" s="49"/>
      <c r="Y260" s="49"/>
      <c r="Z260" s="49"/>
    </row>
    <row r="261" spans="1:26" ht="13">
      <c r="A261" s="49" t="str">
        <f ca="1">IFERROR(__xludf.DUMMYFUNCTION("""COMPUTED_VALUE"""),"Contacted")</f>
        <v>Contacted</v>
      </c>
      <c r="B261" s="88">
        <f ca="1">IFERROR(__xludf.DUMMYFUNCTION("""COMPUTED_VALUE"""),43819)</f>
        <v>43819</v>
      </c>
      <c r="C261" s="49" t="str">
        <f ca="1">IFERROR(__xludf.DUMMYFUNCTION("""COMPUTED_VALUE"""),"")</f>
        <v/>
      </c>
      <c r="D261" s="49" t="str">
        <f ca="1">IFERROR(__xludf.DUMMYFUNCTION("""COMPUTED_VALUE"""),"")</f>
        <v/>
      </c>
      <c r="E261" s="49" t="str">
        <f ca="1">IFERROR(__xludf.DUMMYFUNCTION("""COMPUTED_VALUE"""),"Variant Pathogenicity")</f>
        <v>Variant Pathogenicity</v>
      </c>
      <c r="F261" s="49" t="str">
        <f ca="1">IFERROR(__xludf.DUMMYFUNCTION("""COMPUTED_VALUE"""),"")</f>
        <v/>
      </c>
      <c r="G261" s="49" t="str">
        <f ca="1">IFERROR(__xludf.DUMMYFUNCTION("""COMPUTED_VALUE"""),"Heather Harris")</f>
        <v>Heather Harris</v>
      </c>
      <c r="H261" s="49" t="str">
        <f ca="1">IFERROR(__xludf.DUMMYFUNCTION("""COMPUTED_VALUE"""),"heatherkharris1@gmail.com")</f>
        <v>heatherkharris1@gmail.com</v>
      </c>
      <c r="I261" s="49" t="str">
        <f ca="1">IFERROR(__xludf.DUMMYFUNCTION("""COMPUTED_VALUE"""),"Genetic counselor")</f>
        <v>Genetic counselor</v>
      </c>
      <c r="J261" s="49"/>
      <c r="K261" s="49" t="str">
        <f ca="1">IFERROR(__xludf.DUMMYFUNCTION("""COMPUTED_VALUE"""),"Variant Pathogenicity")</f>
        <v>Variant Pathogenicity</v>
      </c>
      <c r="L261" s="49"/>
      <c r="M261" s="49"/>
      <c r="N261" s="49"/>
      <c r="O261" s="49"/>
      <c r="P261" s="49"/>
      <c r="Q261" s="49"/>
      <c r="R261" s="49"/>
      <c r="S261" s="49"/>
      <c r="T261" s="49"/>
      <c r="U261" s="49"/>
      <c r="V261" s="49"/>
      <c r="W261" s="49"/>
      <c r="X261" s="49"/>
      <c r="Y261" s="49"/>
      <c r="Z261" s="49"/>
    </row>
    <row r="262" spans="1:26" ht="13">
      <c r="A262" s="49" t="str">
        <f ca="1">IFERROR(__xludf.DUMMYFUNCTION("""COMPUTED_VALUE"""),"Contacted")</f>
        <v>Contacted</v>
      </c>
      <c r="B262" s="88">
        <f ca="1">IFERROR(__xludf.DUMMYFUNCTION("""COMPUTED_VALUE"""),43819)</f>
        <v>43819</v>
      </c>
      <c r="C262" s="49" t="str">
        <f ca="1">IFERROR(__xludf.DUMMYFUNCTION("""COMPUTED_VALUE"""),"")</f>
        <v/>
      </c>
      <c r="D262" s="49" t="str">
        <f ca="1">IFERROR(__xludf.DUMMYFUNCTION("""COMPUTED_VALUE"""),"")</f>
        <v/>
      </c>
      <c r="E262" s="49" t="str">
        <f ca="1">IFERROR(__xludf.DUMMYFUNCTION("""COMPUTED_VALUE"""),"Variant Pathogenicity")</f>
        <v>Variant Pathogenicity</v>
      </c>
      <c r="F262" s="49" t="str">
        <f ca="1">IFERROR(__xludf.DUMMYFUNCTION("""COMPUTED_VALUE"""),"")</f>
        <v/>
      </c>
      <c r="G262" s="49" t="str">
        <f ca="1">IFERROR(__xludf.DUMMYFUNCTION("""COMPUTED_VALUE"""),"Kaitlin Lenhart")</f>
        <v>Kaitlin Lenhart</v>
      </c>
      <c r="H262" s="49" t="str">
        <f ca="1">IFERROR(__xludf.DUMMYFUNCTION("""COMPUTED_VALUE"""),"kaitlin.lenhart@slh.wisc.edu")</f>
        <v>kaitlin.lenhart@slh.wisc.edu</v>
      </c>
      <c r="I262" s="49" t="str">
        <f ca="1">IFERROR(__xludf.DUMMYFUNCTION("""COMPUTED_VALUE"""),"Clinical laboratory geneticist")</f>
        <v>Clinical laboratory geneticist</v>
      </c>
      <c r="J262" s="49"/>
      <c r="K262" s="49" t="str">
        <f ca="1">IFERROR(__xludf.DUMMYFUNCTION("""COMPUTED_VALUE"""),"Variant Pathogenicity")</f>
        <v>Variant Pathogenicity</v>
      </c>
      <c r="L262" s="49"/>
      <c r="M262" s="49"/>
      <c r="N262" s="49"/>
      <c r="O262" s="49"/>
      <c r="P262" s="49"/>
      <c r="Q262" s="49"/>
      <c r="R262" s="49"/>
      <c r="S262" s="49"/>
      <c r="T262" s="49"/>
      <c r="U262" s="49"/>
      <c r="V262" s="49"/>
      <c r="W262" s="49"/>
      <c r="X262" s="49"/>
      <c r="Y262" s="49"/>
      <c r="Z262" s="49"/>
    </row>
    <row r="263" spans="1:26" ht="13">
      <c r="A263" s="49" t="str">
        <f ca="1">IFERROR(__xludf.DUMMYFUNCTION("""COMPUTED_VALUE"""),"Contacted")</f>
        <v>Contacted</v>
      </c>
      <c r="B263" s="88">
        <f ca="1">IFERROR(__xludf.DUMMYFUNCTION("""COMPUTED_VALUE"""),43819)</f>
        <v>43819</v>
      </c>
      <c r="C263" s="49" t="str">
        <f ca="1">IFERROR(__xludf.DUMMYFUNCTION("""COMPUTED_VALUE"""),"")</f>
        <v/>
      </c>
      <c r="D263" s="49" t="str">
        <f ca="1">IFERROR(__xludf.DUMMYFUNCTION("""COMPUTED_VALUE"""),"")</f>
        <v/>
      </c>
      <c r="E263" s="49" t="str">
        <f ca="1">IFERROR(__xludf.DUMMYFUNCTION("""COMPUTED_VALUE"""),"Variant Pathogenicity")</f>
        <v>Variant Pathogenicity</v>
      </c>
      <c r="F263" s="49" t="str">
        <f ca="1">IFERROR(__xludf.DUMMYFUNCTION("""COMPUTED_VALUE"""),"")</f>
        <v/>
      </c>
      <c r="G263" s="49" t="str">
        <f ca="1">IFERROR(__xludf.DUMMYFUNCTION("""COMPUTED_VALUE"""),"YANYI YAO")</f>
        <v>YANYI YAO</v>
      </c>
      <c r="H263" s="49" t="str">
        <f ca="1">IFERROR(__xludf.DUMMYFUNCTION("""COMPUTED_VALUE"""),"yaoyanyi@hotmail.com")</f>
        <v>yaoyanyi@hotmail.com</v>
      </c>
      <c r="I263" s="49" t="str">
        <f ca="1">IFERROR(__xludf.DUMMYFUNCTION("""COMPUTED_VALUE"""),"Post Doc/Resident/Fellow (MD and/or PhD)")</f>
        <v>Post Doc/Resident/Fellow (MD and/or PhD)</v>
      </c>
      <c r="J263" s="49"/>
      <c r="K263" s="49" t="str">
        <f ca="1">IFERROR(__xludf.DUMMYFUNCTION("""COMPUTED_VALUE"""),"Variant Pathogenicity")</f>
        <v>Variant Pathogenicity</v>
      </c>
      <c r="L263" s="49"/>
      <c r="M263" s="49"/>
      <c r="N263" s="49"/>
      <c r="O263" s="49"/>
      <c r="P263" s="49"/>
      <c r="Q263" s="49"/>
      <c r="R263" s="49"/>
      <c r="S263" s="49"/>
      <c r="T263" s="49"/>
      <c r="U263" s="49"/>
      <c r="V263" s="49"/>
      <c r="W263" s="49"/>
      <c r="X263" s="49"/>
      <c r="Y263" s="49"/>
      <c r="Z263" s="49"/>
    </row>
    <row r="264" spans="1:26" ht="13">
      <c r="A264" s="49" t="str">
        <f ca="1">IFERROR(__xludf.DUMMYFUNCTION("""COMPUTED_VALUE"""),"Contacted")</f>
        <v>Contacted</v>
      </c>
      <c r="B264" s="88">
        <f ca="1">IFERROR(__xludf.DUMMYFUNCTION("""COMPUTED_VALUE"""),43819)</f>
        <v>43819</v>
      </c>
      <c r="C264" s="99">
        <f ca="1">IFERROR(__xludf.DUMMYFUNCTION("""COMPUTED_VALUE"""),43846)</f>
        <v>43846</v>
      </c>
      <c r="D264" s="49" t="str">
        <f ca="1">IFERROR(__xludf.DUMMYFUNCTION("""COMPUTED_VALUE"""),"Yes")</f>
        <v>Yes</v>
      </c>
      <c r="E264" s="49" t="str">
        <f ca="1">IFERROR(__xludf.DUMMYFUNCTION("""COMPUTED_VALUE"""),"Gene Disease Validity")</f>
        <v>Gene Disease Validity</v>
      </c>
      <c r="F264" s="49" t="str">
        <f ca="1">IFERROR(__xludf.DUMMYFUNCTION("""COMPUTED_VALUE"""),"")</f>
        <v/>
      </c>
      <c r="G264" s="49" t="str">
        <f ca="1">IFERROR(__xludf.DUMMYFUNCTION("""COMPUTED_VALUE"""),"Ikeoluwa Osei-Owusu")</f>
        <v>Ikeoluwa Osei-Owusu</v>
      </c>
      <c r="H264" s="49" t="str">
        <f ca="1">IFERROR(__xludf.DUMMYFUNCTION("""COMPUTED_VALUE"""),"ikeoluwa@jhmi.edu")</f>
        <v>ikeoluwa@jhmi.edu</v>
      </c>
      <c r="I264" s="49" t="str">
        <f ca="1">IFERROR(__xludf.DUMMYFUNCTION("""COMPUTED_VALUE"""),"Graduate Student")</f>
        <v>Graduate Student</v>
      </c>
      <c r="J264" s="49"/>
      <c r="K264" s="49" t="str">
        <f ca="1">IFERROR(__xludf.DUMMYFUNCTION("""COMPUTED_VALUE"""),"Gene-Disease Validity")</f>
        <v>Gene-Disease Validity</v>
      </c>
      <c r="L264" s="49"/>
      <c r="M264" s="49"/>
      <c r="N264" s="49"/>
      <c r="O264" s="49"/>
      <c r="P264" s="49"/>
      <c r="Q264" s="49"/>
      <c r="R264" s="49"/>
      <c r="S264" s="49"/>
      <c r="T264" s="49"/>
      <c r="U264" s="49"/>
      <c r="V264" s="49"/>
      <c r="W264" s="49"/>
      <c r="X264" s="49"/>
      <c r="Y264" s="49"/>
      <c r="Z264" s="49"/>
    </row>
    <row r="265" spans="1:26" ht="13">
      <c r="A265" s="49" t="str">
        <f ca="1">IFERROR(__xludf.DUMMYFUNCTION("""COMPUTED_VALUE"""),"Contacted")</f>
        <v>Contacted</v>
      </c>
      <c r="B265" s="88">
        <f ca="1">IFERROR(__xludf.DUMMYFUNCTION("""COMPUTED_VALUE"""),43819)</f>
        <v>43819</v>
      </c>
      <c r="C265" s="49" t="str">
        <f ca="1">IFERROR(__xludf.DUMMYFUNCTION("""COMPUTED_VALUE"""),"")</f>
        <v/>
      </c>
      <c r="D265" s="49" t="str">
        <f ca="1">IFERROR(__xludf.DUMMYFUNCTION("""COMPUTED_VALUE"""),"")</f>
        <v/>
      </c>
      <c r="E265" s="49" t="str">
        <f ca="1">IFERROR(__xludf.DUMMYFUNCTION("""COMPUTED_VALUE"""),"Variant Pathogenicity")</f>
        <v>Variant Pathogenicity</v>
      </c>
      <c r="F265" s="49" t="str">
        <f ca="1">IFERROR(__xludf.DUMMYFUNCTION("""COMPUTED_VALUE"""),"")</f>
        <v/>
      </c>
      <c r="G265" s="49" t="str">
        <f ca="1">IFERROR(__xludf.DUMMYFUNCTION("""COMPUTED_VALUE"""),"Daniela Martiniuc")</f>
        <v>Daniela Martiniuc</v>
      </c>
      <c r="H265" s="49" t="str">
        <f ca="1">IFERROR(__xludf.DUMMYFUNCTION("""COMPUTED_VALUE"""),"dmartiniuc@ucdavis.edu")</f>
        <v>dmartiniuc@ucdavis.edu</v>
      </c>
      <c r="I265" s="49" t="str">
        <f ca="1">IFERROR(__xludf.DUMMYFUNCTION("""COMPUTED_VALUE"""),"Genetic counselor")</f>
        <v>Genetic counselor</v>
      </c>
      <c r="J265" s="49"/>
      <c r="K265" s="49" t="str">
        <f ca="1">IFERROR(__xludf.DUMMYFUNCTION("""COMPUTED_VALUE"""),"Variant Pathogenicity")</f>
        <v>Variant Pathogenicity</v>
      </c>
      <c r="L265" s="49"/>
      <c r="M265" s="49"/>
      <c r="N265" s="49"/>
      <c r="O265" s="49"/>
      <c r="P265" s="49"/>
      <c r="Q265" s="49"/>
      <c r="R265" s="49"/>
      <c r="S265" s="49"/>
      <c r="T265" s="49"/>
      <c r="U265" s="49"/>
      <c r="V265" s="49"/>
      <c r="W265" s="49"/>
      <c r="X265" s="49"/>
      <c r="Y265" s="49"/>
      <c r="Z265" s="49"/>
    </row>
    <row r="266" spans="1:26" ht="13">
      <c r="A266" s="49" t="str">
        <f ca="1">IFERROR(__xludf.DUMMYFUNCTION("""COMPUTED_VALUE"""),"Unassigned")</f>
        <v>Unassigned</v>
      </c>
      <c r="B266" s="49" t="str">
        <f ca="1">IFERROR(__xludf.DUMMYFUNCTION("""COMPUTED_VALUE"""),"")</f>
        <v/>
      </c>
      <c r="C266" s="49" t="str">
        <f ca="1">IFERROR(__xludf.DUMMYFUNCTION("""COMPUTED_VALUE"""),"")</f>
        <v/>
      </c>
      <c r="D266" s="49" t="str">
        <f ca="1">IFERROR(__xludf.DUMMYFUNCTION("""COMPUTED_VALUE"""),"")</f>
        <v/>
      </c>
      <c r="E266" s="49" t="str">
        <f ca="1">IFERROR(__xludf.DUMMYFUNCTION("""COMPUTED_VALUE"""),"Somatic Cancer")</f>
        <v>Somatic Cancer</v>
      </c>
      <c r="F266" s="49" t="str">
        <f ca="1">IFERROR(__xludf.DUMMYFUNCTION("""COMPUTED_VALUE"""),"")</f>
        <v/>
      </c>
      <c r="G266" s="49" t="str">
        <f ca="1">IFERROR(__xludf.DUMMYFUNCTION("""COMPUTED_VALUE"""),"Emilie Lalonde")</f>
        <v>Emilie Lalonde</v>
      </c>
      <c r="H266" s="49" t="str">
        <f ca="1">IFERROR(__xludf.DUMMYFUNCTION("""COMPUTED_VALUE"""),"lalondee@email.chop.edu")</f>
        <v>lalondee@email.chop.edu</v>
      </c>
      <c r="I266" s="49" t="str">
        <f ca="1">IFERROR(__xludf.DUMMYFUNCTION("""COMPUTED_VALUE"""),"Clinical laboratory geneticist")</f>
        <v>Clinical laboratory geneticist</v>
      </c>
      <c r="J266" s="49"/>
      <c r="K266" s="49" t="str">
        <f ca="1">IFERROR(__xludf.DUMMYFUNCTION("""COMPUTED_VALUE"""),"Somatic Cancer")</f>
        <v>Somatic Cancer</v>
      </c>
      <c r="L266" s="49"/>
      <c r="M266" s="49"/>
      <c r="N266" s="49"/>
      <c r="O266" s="49"/>
      <c r="P266" s="49"/>
      <c r="Q266" s="49"/>
      <c r="R266" s="49"/>
      <c r="S266" s="49"/>
      <c r="T266" s="49"/>
      <c r="U266" s="49"/>
      <c r="V266" s="49"/>
      <c r="W266" s="49"/>
      <c r="X266" s="49"/>
      <c r="Y266" s="49"/>
      <c r="Z266" s="49"/>
    </row>
    <row r="267" spans="1:26" ht="13">
      <c r="A267" s="49" t="str">
        <f ca="1">IFERROR(__xludf.DUMMYFUNCTION("""COMPUTED_VALUE"""),"Contacted")</f>
        <v>Contacted</v>
      </c>
      <c r="B267" s="88">
        <f ca="1">IFERROR(__xludf.DUMMYFUNCTION("""COMPUTED_VALUE"""),43819)</f>
        <v>43819</v>
      </c>
      <c r="C267" s="49" t="str">
        <f ca="1">IFERROR(__xludf.DUMMYFUNCTION("""COMPUTED_VALUE"""),"")</f>
        <v/>
      </c>
      <c r="D267" s="49" t="str">
        <f ca="1">IFERROR(__xludf.DUMMYFUNCTION("""COMPUTED_VALUE"""),"")</f>
        <v/>
      </c>
      <c r="E267" s="49" t="str">
        <f ca="1">IFERROR(__xludf.DUMMYFUNCTION("""COMPUTED_VALUE"""),"Variant Pathogenicity")</f>
        <v>Variant Pathogenicity</v>
      </c>
      <c r="F267" s="49" t="str">
        <f ca="1">IFERROR(__xludf.DUMMYFUNCTION("""COMPUTED_VALUE"""),"")</f>
        <v/>
      </c>
      <c r="G267" s="49" t="str">
        <f ca="1">IFERROR(__xludf.DUMMYFUNCTION("""COMPUTED_VALUE"""),"Elizabeth Ewen")</f>
        <v>Elizabeth Ewen</v>
      </c>
      <c r="H267" s="49" t="str">
        <f ca="1">IFERROR(__xludf.DUMMYFUNCTION("""COMPUTED_VALUE"""),"elizabeth.ewen@agilent.com")</f>
        <v>elizabeth.ewen@agilent.com</v>
      </c>
      <c r="I267" s="49" t="str">
        <f ca="1">IFERROR(__xludf.DUMMYFUNCTION("""COMPUTED_VALUE"""),"Variant Analyst/Scientist - Industry")</f>
        <v>Variant Analyst/Scientist - Industry</v>
      </c>
      <c r="J267" s="49"/>
      <c r="K267" s="49" t="str">
        <f ca="1">IFERROR(__xludf.DUMMYFUNCTION("""COMPUTED_VALUE"""),"Variant Pathogenicity")</f>
        <v>Variant Pathogenicity</v>
      </c>
      <c r="L267" s="49"/>
      <c r="M267" s="49"/>
      <c r="N267" s="49"/>
      <c r="O267" s="49"/>
      <c r="P267" s="49"/>
      <c r="Q267" s="49"/>
      <c r="R267" s="49"/>
      <c r="S267" s="49"/>
      <c r="T267" s="49"/>
      <c r="U267" s="49"/>
      <c r="V267" s="49"/>
      <c r="W267" s="49"/>
      <c r="X267" s="49"/>
      <c r="Y267" s="49"/>
      <c r="Z267" s="49"/>
    </row>
    <row r="268" spans="1:26" ht="13">
      <c r="A268" s="49" t="str">
        <f ca="1">IFERROR(__xludf.DUMMYFUNCTION("""COMPUTED_VALUE"""),"Unassigned")</f>
        <v>Unassigned</v>
      </c>
      <c r="B268" s="49" t="str">
        <f ca="1">IFERROR(__xludf.DUMMYFUNCTION("""COMPUTED_VALUE"""),"")</f>
        <v/>
      </c>
      <c r="C268" s="49" t="str">
        <f ca="1">IFERROR(__xludf.DUMMYFUNCTION("""COMPUTED_VALUE"""),"")</f>
        <v/>
      </c>
      <c r="D268" s="49" t="str">
        <f ca="1">IFERROR(__xludf.DUMMYFUNCTION("""COMPUTED_VALUE"""),"")</f>
        <v/>
      </c>
      <c r="E268" s="49" t="str">
        <f ca="1">IFERROR(__xludf.DUMMYFUNCTION("""COMPUTED_VALUE"""),"Somatic Cancer")</f>
        <v>Somatic Cancer</v>
      </c>
      <c r="F268" s="49" t="str">
        <f ca="1">IFERROR(__xludf.DUMMYFUNCTION("""COMPUTED_VALUE"""),"")</f>
        <v/>
      </c>
      <c r="G268" s="49" t="str">
        <f ca="1">IFERROR(__xludf.DUMMYFUNCTION("""COMPUTED_VALUE"""),"KC Vavra")</f>
        <v>KC Vavra</v>
      </c>
      <c r="H268" s="49" t="str">
        <f ca="1">IFERROR(__xludf.DUMMYFUNCTION("""COMPUTED_VALUE"""),"kc.vavra@agilent.com")</f>
        <v>kc.vavra@agilent.com</v>
      </c>
      <c r="I268" s="49" t="str">
        <f ca="1">IFERROR(__xludf.DUMMYFUNCTION("""COMPUTED_VALUE"""),"Citizen Scientist/Patient Advocate")</f>
        <v>Citizen Scientist/Patient Advocate</v>
      </c>
      <c r="J268" s="49"/>
      <c r="K268" s="49" t="str">
        <f ca="1">IFERROR(__xludf.DUMMYFUNCTION("""COMPUTED_VALUE"""),"Somatic Cancer")</f>
        <v>Somatic Cancer</v>
      </c>
      <c r="L268" s="49"/>
      <c r="M268" s="49"/>
      <c r="N268" s="49"/>
      <c r="O268" s="49"/>
      <c r="P268" s="49"/>
      <c r="Q268" s="49"/>
      <c r="R268" s="49"/>
      <c r="S268" s="49"/>
      <c r="T268" s="49"/>
      <c r="U268" s="49"/>
      <c r="V268" s="49"/>
      <c r="W268" s="49"/>
      <c r="X268" s="49"/>
      <c r="Y268" s="49"/>
      <c r="Z268" s="49"/>
    </row>
    <row r="269" spans="1:26" ht="13">
      <c r="A269" s="49" t="str">
        <f ca="1">IFERROR(__xludf.DUMMYFUNCTION("""COMPUTED_VALUE"""),"Contacted")</f>
        <v>Contacted</v>
      </c>
      <c r="B269" s="88">
        <f ca="1">IFERROR(__xludf.DUMMYFUNCTION("""COMPUTED_VALUE"""),43819)</f>
        <v>43819</v>
      </c>
      <c r="C269" s="99">
        <f ca="1">IFERROR(__xludf.DUMMYFUNCTION("""COMPUTED_VALUE"""),43846)</f>
        <v>43846</v>
      </c>
      <c r="D269" s="49" t="str">
        <f ca="1">IFERROR(__xludf.DUMMYFUNCTION("""COMPUTED_VALUE"""),"Yes")</f>
        <v>Yes</v>
      </c>
      <c r="E269" s="49" t="str">
        <f ca="1">IFERROR(__xludf.DUMMYFUNCTION("""COMPUTED_VALUE"""),"Gene Disease Validity")</f>
        <v>Gene Disease Validity</v>
      </c>
      <c r="F269" s="49" t="str">
        <f ca="1">IFERROR(__xludf.DUMMYFUNCTION("""COMPUTED_VALUE"""),"")</f>
        <v/>
      </c>
      <c r="G269" s="49" t="str">
        <f ca="1">IFERROR(__xludf.DUMMYFUNCTION("""COMPUTED_VALUE"""),"Beth Stronach")</f>
        <v>Beth Stronach</v>
      </c>
      <c r="H269" s="49" t="str">
        <f ca="1">IFERROR(__xludf.DUMMYFUNCTION("""COMPUTED_VALUE"""),"stronach@pitt.edu")</f>
        <v>stronach@pitt.edu</v>
      </c>
      <c r="I269" s="49" t="str">
        <f ca="1">IFERROR(__xludf.DUMMYFUNCTION("""COMPUTED_VALUE"""),"Scientific Researcher")</f>
        <v>Scientific Researcher</v>
      </c>
      <c r="J269" s="49"/>
      <c r="K269" s="49" t="str">
        <f ca="1">IFERROR(__xludf.DUMMYFUNCTION("""COMPUTED_VALUE"""),"Gene-Disease Validity")</f>
        <v>Gene-Disease Validity</v>
      </c>
      <c r="L269" s="49"/>
      <c r="M269" s="49"/>
      <c r="N269" s="49"/>
      <c r="O269" s="49"/>
      <c r="P269" s="49"/>
      <c r="Q269" s="49"/>
      <c r="R269" s="49"/>
      <c r="S269" s="49"/>
      <c r="T269" s="49"/>
      <c r="U269" s="49"/>
      <c r="V269" s="49"/>
      <c r="W269" s="49"/>
      <c r="X269" s="49"/>
      <c r="Y269" s="49"/>
      <c r="Z269" s="49"/>
    </row>
    <row r="270" spans="1:26" ht="13">
      <c r="A270" s="49" t="str">
        <f ca="1">IFERROR(__xludf.DUMMYFUNCTION("""COMPUTED_VALUE"""),"Unassigned")</f>
        <v>Unassigned</v>
      </c>
      <c r="B270" s="49" t="str">
        <f ca="1">IFERROR(__xludf.DUMMYFUNCTION("""COMPUTED_VALUE"""),"")</f>
        <v/>
      </c>
      <c r="C270" s="49" t="str">
        <f ca="1">IFERROR(__xludf.DUMMYFUNCTION("""COMPUTED_VALUE"""),"")</f>
        <v/>
      </c>
      <c r="D270" s="49" t="str">
        <f ca="1">IFERROR(__xludf.DUMMYFUNCTION("""COMPUTED_VALUE"""),"")</f>
        <v/>
      </c>
      <c r="E270" s="49" t="str">
        <f ca="1">IFERROR(__xludf.DUMMYFUNCTION("""COMPUTED_VALUE"""),"Somatic Cancer")</f>
        <v>Somatic Cancer</v>
      </c>
      <c r="F270" s="49" t="str">
        <f ca="1">IFERROR(__xludf.DUMMYFUNCTION("""COMPUTED_VALUE"""),"")</f>
        <v/>
      </c>
      <c r="G270" s="49" t="str">
        <f ca="1">IFERROR(__xludf.DUMMYFUNCTION("""COMPUTED_VALUE"""),"Eileen Chen")</f>
        <v>Eileen Chen</v>
      </c>
      <c r="H270" s="49" t="str">
        <f ca="1">IFERROR(__xludf.DUMMYFUNCTION("""COMPUTED_VALUE"""),"eileen.chen.x.q@sgh.com.sg")</f>
        <v>eileen.chen.x.q@sgh.com.sg</v>
      </c>
      <c r="I270" s="49" t="str">
        <f ca="1">IFERROR(__xludf.DUMMYFUNCTION("""COMPUTED_VALUE"""),"Variant Analyst/Scientist - Academic")</f>
        <v>Variant Analyst/Scientist - Academic</v>
      </c>
      <c r="J270" s="49"/>
      <c r="K270" s="49" t="str">
        <f ca="1">IFERROR(__xludf.DUMMYFUNCTION("""COMPUTED_VALUE"""),"Somatic Cancer")</f>
        <v>Somatic Cancer</v>
      </c>
      <c r="L270" s="49"/>
      <c r="M270" s="49"/>
      <c r="N270" s="49"/>
      <c r="O270" s="49"/>
      <c r="P270" s="49"/>
      <c r="Q270" s="49"/>
      <c r="R270" s="49"/>
      <c r="S270" s="49"/>
      <c r="T270" s="49"/>
      <c r="U270" s="49"/>
      <c r="V270" s="49"/>
      <c r="W270" s="49"/>
      <c r="X270" s="49"/>
      <c r="Y270" s="49"/>
      <c r="Z270" s="49"/>
    </row>
    <row r="271" spans="1:26" ht="13">
      <c r="A271" s="49" t="str">
        <f ca="1">IFERROR(__xludf.DUMMYFUNCTION("""COMPUTED_VALUE"""),"Contacted")</f>
        <v>Contacted</v>
      </c>
      <c r="B271" s="88">
        <f ca="1">IFERROR(__xludf.DUMMYFUNCTION("""COMPUTED_VALUE"""),43819)</f>
        <v>43819</v>
      </c>
      <c r="C271" s="49" t="str">
        <f ca="1">IFERROR(__xludf.DUMMYFUNCTION("""COMPUTED_VALUE"""),"")</f>
        <v/>
      </c>
      <c r="D271" s="49" t="str">
        <f ca="1">IFERROR(__xludf.DUMMYFUNCTION("""COMPUTED_VALUE"""),"")</f>
        <v/>
      </c>
      <c r="E271" s="49" t="str">
        <f ca="1">IFERROR(__xludf.DUMMYFUNCTION("""COMPUTED_VALUE"""),"Variant Pathogenicity")</f>
        <v>Variant Pathogenicity</v>
      </c>
      <c r="F271" s="49" t="str">
        <f ca="1">IFERROR(__xludf.DUMMYFUNCTION("""COMPUTED_VALUE"""),"")</f>
        <v/>
      </c>
      <c r="G271" s="49" t="str">
        <f ca="1">IFERROR(__xludf.DUMMYFUNCTION("""COMPUTED_VALUE"""),"Jennifer Sloan")</f>
        <v>Jennifer Sloan</v>
      </c>
      <c r="H271" s="49" t="str">
        <f ca="1">IFERROR(__xludf.DUMMYFUNCTION("""COMPUTED_VALUE"""),"jsloan@mail.nih.gov")</f>
        <v>jsloan@mail.nih.gov</v>
      </c>
      <c r="I271" s="49" t="str">
        <f ca="1">IFERROR(__xludf.DUMMYFUNCTION("""COMPUTED_VALUE"""),"Genetic counselor")</f>
        <v>Genetic counselor</v>
      </c>
      <c r="J271" s="49"/>
      <c r="K271" s="49" t="str">
        <f ca="1">IFERROR(__xludf.DUMMYFUNCTION("""COMPUTED_VALUE"""),"Variant Pathogenicity")</f>
        <v>Variant Pathogenicity</v>
      </c>
      <c r="L271" s="49"/>
      <c r="M271" s="49"/>
      <c r="N271" s="49"/>
      <c r="O271" s="49"/>
      <c r="P271" s="49"/>
      <c r="Q271" s="49"/>
      <c r="R271" s="49"/>
      <c r="S271" s="49"/>
      <c r="T271" s="49"/>
      <c r="U271" s="49"/>
      <c r="V271" s="49"/>
      <c r="W271" s="49"/>
      <c r="X271" s="49"/>
      <c r="Y271" s="49"/>
      <c r="Z271" s="49"/>
    </row>
    <row r="272" spans="1:26" ht="13">
      <c r="A272" s="49" t="str">
        <f ca="1">IFERROR(__xludf.DUMMYFUNCTION("""COMPUTED_VALUE"""),"Contacted")</f>
        <v>Contacted</v>
      </c>
      <c r="B272" s="88">
        <f ca="1">IFERROR(__xludf.DUMMYFUNCTION("""COMPUTED_VALUE"""),43819)</f>
        <v>43819</v>
      </c>
      <c r="C272" s="49" t="str">
        <f ca="1">IFERROR(__xludf.DUMMYFUNCTION("""COMPUTED_VALUE"""),"")</f>
        <v/>
      </c>
      <c r="D272" s="49" t="str">
        <f ca="1">IFERROR(__xludf.DUMMYFUNCTION("""COMPUTED_VALUE"""),"")</f>
        <v/>
      </c>
      <c r="E272" s="49" t="str">
        <f ca="1">IFERROR(__xludf.DUMMYFUNCTION("""COMPUTED_VALUE"""),"Gene Disease Validity")</f>
        <v>Gene Disease Validity</v>
      </c>
      <c r="F272" s="49" t="str">
        <f ca="1">IFERROR(__xludf.DUMMYFUNCTION("""COMPUTED_VALUE"""),"")</f>
        <v/>
      </c>
      <c r="G272" s="49" t="str">
        <f ca="1">IFERROR(__xludf.DUMMYFUNCTION("""COMPUTED_VALUE"""),"Vasiliki Rahimzadeh")</f>
        <v>Vasiliki Rahimzadeh</v>
      </c>
      <c r="H272" s="49" t="str">
        <f ca="1">IFERROR(__xludf.DUMMYFUNCTION("""COMPUTED_VALUE"""),"vrahim@stanford.edu")</f>
        <v>vrahim@stanford.edu</v>
      </c>
      <c r="I272" s="49" t="str">
        <f ca="1">IFERROR(__xludf.DUMMYFUNCTION("""COMPUTED_VALUE"""),"Postdoctoral fellow ")</f>
        <v xml:space="preserve">Postdoctoral fellow </v>
      </c>
      <c r="J272" s="49"/>
      <c r="K272" s="49" t="str">
        <f ca="1">IFERROR(__xludf.DUMMYFUNCTION("""COMPUTED_VALUE"""),"Gene-Disease Validity")</f>
        <v>Gene-Disease Validity</v>
      </c>
      <c r="L272" s="49"/>
      <c r="M272" s="49"/>
      <c r="N272" s="49"/>
      <c r="O272" s="49"/>
      <c r="P272" s="49"/>
      <c r="Q272" s="49"/>
      <c r="R272" s="49"/>
      <c r="S272" s="49"/>
      <c r="T272" s="49"/>
      <c r="U272" s="49"/>
      <c r="V272" s="49"/>
      <c r="W272" s="49"/>
      <c r="X272" s="49"/>
      <c r="Y272" s="49"/>
      <c r="Z272" s="49"/>
    </row>
    <row r="273" spans="1:26" ht="13">
      <c r="A273" s="49" t="str">
        <f ca="1">IFERROR(__xludf.DUMMYFUNCTION("""COMPUTED_VALUE"""),"Contacted")</f>
        <v>Contacted</v>
      </c>
      <c r="B273" s="88">
        <f ca="1">IFERROR(__xludf.DUMMYFUNCTION("""COMPUTED_VALUE"""),43819)</f>
        <v>43819</v>
      </c>
      <c r="C273" s="49" t="str">
        <f ca="1">IFERROR(__xludf.DUMMYFUNCTION("""COMPUTED_VALUE"""),"")</f>
        <v/>
      </c>
      <c r="D273" s="49" t="str">
        <f ca="1">IFERROR(__xludf.DUMMYFUNCTION("""COMPUTED_VALUE"""),"")</f>
        <v/>
      </c>
      <c r="E273" s="49" t="str">
        <f ca="1">IFERROR(__xludf.DUMMYFUNCTION("""COMPUTED_VALUE"""),"Variant Pathogenicity")</f>
        <v>Variant Pathogenicity</v>
      </c>
      <c r="F273" s="49" t="str">
        <f ca="1">IFERROR(__xludf.DUMMYFUNCTION("""COMPUTED_VALUE"""),"")</f>
        <v/>
      </c>
      <c r="G273" s="49" t="str">
        <f ca="1">IFERROR(__xludf.DUMMYFUNCTION("""COMPUTED_VALUE"""),"Guadalupe Carvajal")</f>
        <v>Guadalupe Carvajal</v>
      </c>
      <c r="H273" s="49" t="str">
        <f ca="1">IFERROR(__xludf.DUMMYFUNCTION("""COMPUTED_VALUE"""),"gcarvajal18@students.kgi.edu")</f>
        <v>gcarvajal18@students.kgi.edu</v>
      </c>
      <c r="I273" s="49" t="str">
        <f ca="1">IFERROR(__xludf.DUMMYFUNCTION("""COMPUTED_VALUE"""),"Genetic counselor")</f>
        <v>Genetic counselor</v>
      </c>
      <c r="J273" s="49"/>
      <c r="K273" s="49" t="str">
        <f ca="1">IFERROR(__xludf.DUMMYFUNCTION("""COMPUTED_VALUE"""),"Variant Pathogenicity")</f>
        <v>Variant Pathogenicity</v>
      </c>
      <c r="L273" s="49"/>
      <c r="M273" s="49"/>
      <c r="N273" s="49"/>
      <c r="O273" s="49"/>
      <c r="P273" s="49"/>
      <c r="Q273" s="49"/>
      <c r="R273" s="49"/>
      <c r="S273" s="49"/>
      <c r="T273" s="49"/>
      <c r="U273" s="49"/>
      <c r="V273" s="49"/>
      <c r="W273" s="49"/>
      <c r="X273" s="49"/>
      <c r="Y273" s="49"/>
      <c r="Z273" s="49"/>
    </row>
    <row r="274" spans="1:26" ht="13">
      <c r="A274" s="49" t="str">
        <f ca="1">IFERROR(__xludf.DUMMYFUNCTION("""COMPUTED_VALUE"""),"Contacted")</f>
        <v>Contacted</v>
      </c>
      <c r="B274" s="88">
        <f ca="1">IFERROR(__xludf.DUMMYFUNCTION("""COMPUTED_VALUE"""),43819)</f>
        <v>43819</v>
      </c>
      <c r="C274" s="49" t="str">
        <f ca="1">IFERROR(__xludf.DUMMYFUNCTION("""COMPUTED_VALUE"""),"")</f>
        <v/>
      </c>
      <c r="D274" s="49" t="str">
        <f ca="1">IFERROR(__xludf.DUMMYFUNCTION("""COMPUTED_VALUE"""),"")</f>
        <v/>
      </c>
      <c r="E274" s="49" t="str">
        <f ca="1">IFERROR(__xludf.DUMMYFUNCTION("""COMPUTED_VALUE"""),"Variant Pathogenicity")</f>
        <v>Variant Pathogenicity</v>
      </c>
      <c r="F274" s="49" t="str">
        <f ca="1">IFERROR(__xludf.DUMMYFUNCTION("""COMPUTED_VALUE"""),"")</f>
        <v/>
      </c>
      <c r="G274" s="49" t="str">
        <f ca="1">IFERROR(__xludf.DUMMYFUNCTION("""COMPUTED_VALUE"""),"Liang Guo")</f>
        <v>Liang Guo</v>
      </c>
      <c r="H274" s="49" t="str">
        <f ca="1">IFERROR(__xludf.DUMMYFUNCTION("""COMPUTED_VALUE"""),"lguo@cvpath.org")</f>
        <v>lguo@cvpath.org</v>
      </c>
      <c r="I274" s="49" t="str">
        <f ca="1">IFERROR(__xludf.DUMMYFUNCTION("""COMPUTED_VALUE"""),"Scientific Researcher")</f>
        <v>Scientific Researcher</v>
      </c>
      <c r="J274" s="49"/>
      <c r="K274" s="49" t="str">
        <f ca="1">IFERROR(__xludf.DUMMYFUNCTION("""COMPUTED_VALUE"""),"Variant Pathogenicity")</f>
        <v>Variant Pathogenicity</v>
      </c>
      <c r="L274" s="49"/>
      <c r="M274" s="49"/>
      <c r="N274" s="49"/>
      <c r="O274" s="49"/>
      <c r="P274" s="49"/>
      <c r="Q274" s="49"/>
      <c r="R274" s="49"/>
      <c r="S274" s="49"/>
      <c r="T274" s="49"/>
      <c r="U274" s="49"/>
      <c r="V274" s="49"/>
      <c r="W274" s="49"/>
      <c r="X274" s="49"/>
      <c r="Y274" s="49"/>
      <c r="Z274" s="49"/>
    </row>
    <row r="275" spans="1:26" ht="13">
      <c r="A275" s="49" t="str">
        <f ca="1">IFERROR(__xludf.DUMMYFUNCTION("""COMPUTED_VALUE"""),"Contacted")</f>
        <v>Contacted</v>
      </c>
      <c r="B275" s="88">
        <f ca="1">IFERROR(__xludf.DUMMYFUNCTION("""COMPUTED_VALUE"""),43819)</f>
        <v>43819</v>
      </c>
      <c r="C275" s="49" t="str">
        <f ca="1">IFERROR(__xludf.DUMMYFUNCTION("""COMPUTED_VALUE"""),"")</f>
        <v/>
      </c>
      <c r="D275" s="49" t="str">
        <f ca="1">IFERROR(__xludf.DUMMYFUNCTION("""COMPUTED_VALUE"""),"")</f>
        <v/>
      </c>
      <c r="E275" s="49" t="str">
        <f ca="1">IFERROR(__xludf.DUMMYFUNCTION("""COMPUTED_VALUE"""),"Gene Disease Validity")</f>
        <v>Gene Disease Validity</v>
      </c>
      <c r="F275" s="49" t="str">
        <f ca="1">IFERROR(__xludf.DUMMYFUNCTION("""COMPUTED_VALUE"""),"")</f>
        <v/>
      </c>
      <c r="G275" s="49" t="str">
        <f ca="1">IFERROR(__xludf.DUMMYFUNCTION("""COMPUTED_VALUE"""),"Sha Tang")</f>
        <v>Sha Tang</v>
      </c>
      <c r="H275" s="49" t="str">
        <f ca="1">IFERROR(__xludf.DUMMYFUNCTION("""COMPUTED_VALUE"""),"stang@wuxinextcode.cm")</f>
        <v>stang@wuxinextcode.cm</v>
      </c>
      <c r="I275" s="49" t="str">
        <f ca="1">IFERROR(__xludf.DUMMYFUNCTION("""COMPUTED_VALUE"""),"Clinical laboratory geneticist")</f>
        <v>Clinical laboratory geneticist</v>
      </c>
      <c r="J275" s="49"/>
      <c r="K275" s="49" t="str">
        <f ca="1">IFERROR(__xludf.DUMMYFUNCTION("""COMPUTED_VALUE"""),"Gene-Disease Validity")</f>
        <v>Gene-Disease Validity</v>
      </c>
      <c r="L275" s="49"/>
      <c r="M275" s="49"/>
      <c r="N275" s="49"/>
      <c r="O275" s="49"/>
      <c r="P275" s="49"/>
      <c r="Q275" s="49"/>
      <c r="R275" s="49"/>
      <c r="S275" s="49"/>
      <c r="T275" s="49"/>
      <c r="U275" s="49"/>
      <c r="V275" s="49"/>
      <c r="W275" s="49"/>
      <c r="X275" s="49"/>
      <c r="Y275" s="49"/>
      <c r="Z275" s="49"/>
    </row>
    <row r="276" spans="1:26" ht="13">
      <c r="A276" s="49" t="str">
        <f ca="1">IFERROR(__xludf.DUMMYFUNCTION("""COMPUTED_VALUE"""),"Contacted")</f>
        <v>Contacted</v>
      </c>
      <c r="B276" s="88">
        <f ca="1">IFERROR(__xludf.DUMMYFUNCTION("""COMPUTED_VALUE"""),43819)</f>
        <v>43819</v>
      </c>
      <c r="C276" s="49" t="str">
        <f ca="1">IFERROR(__xludf.DUMMYFUNCTION("""COMPUTED_VALUE"""),"")</f>
        <v/>
      </c>
      <c r="D276" s="49" t="str">
        <f ca="1">IFERROR(__xludf.DUMMYFUNCTION("""COMPUTED_VALUE"""),"")</f>
        <v/>
      </c>
      <c r="E276" s="49" t="str">
        <f ca="1">IFERROR(__xludf.DUMMYFUNCTION("""COMPUTED_VALUE"""),"Gene Disease Validity")</f>
        <v>Gene Disease Validity</v>
      </c>
      <c r="F276" s="49" t="str">
        <f ca="1">IFERROR(__xludf.DUMMYFUNCTION("""COMPUTED_VALUE"""),"")</f>
        <v/>
      </c>
      <c r="G276" s="49" t="str">
        <f ca="1">IFERROR(__xludf.DUMMYFUNCTION("""COMPUTED_VALUE"""),"Steve Waring")</f>
        <v>Steve Waring</v>
      </c>
      <c r="H276" s="49" t="str">
        <f ca="1">IFERROR(__xludf.DUMMYFUNCTION("""COMPUTED_VALUE"""),"stephen.waring@essentiahealth.org")</f>
        <v>stephen.waring@essentiahealth.org</v>
      </c>
      <c r="I276" s="49" t="str">
        <f ca="1">IFERROR(__xludf.DUMMYFUNCTION("""COMPUTED_VALUE"""),"Scientific Researcher")</f>
        <v>Scientific Researcher</v>
      </c>
      <c r="J276" s="49"/>
      <c r="K276" s="49" t="str">
        <f ca="1">IFERROR(__xludf.DUMMYFUNCTION("""COMPUTED_VALUE"""),"Gene-Disease Validity")</f>
        <v>Gene-Disease Validity</v>
      </c>
      <c r="L276" s="49"/>
      <c r="M276" s="49"/>
      <c r="N276" s="49"/>
      <c r="O276" s="49"/>
      <c r="P276" s="49"/>
      <c r="Q276" s="49"/>
      <c r="R276" s="49"/>
      <c r="S276" s="49"/>
      <c r="T276" s="49"/>
      <c r="U276" s="49"/>
      <c r="V276" s="49"/>
      <c r="W276" s="49"/>
      <c r="X276" s="49"/>
      <c r="Y276" s="49"/>
      <c r="Z276" s="49"/>
    </row>
    <row r="277" spans="1:26" ht="13">
      <c r="A277" s="49" t="str">
        <f ca="1">IFERROR(__xludf.DUMMYFUNCTION("""COMPUTED_VALUE"""),"Contacted")</f>
        <v>Contacted</v>
      </c>
      <c r="B277" s="88">
        <f ca="1">IFERROR(__xludf.DUMMYFUNCTION("""COMPUTED_VALUE"""),43819)</f>
        <v>43819</v>
      </c>
      <c r="C277" s="49" t="str">
        <f ca="1">IFERROR(__xludf.DUMMYFUNCTION("""COMPUTED_VALUE"""),"")</f>
        <v/>
      </c>
      <c r="D277" s="49" t="str">
        <f ca="1">IFERROR(__xludf.DUMMYFUNCTION("""COMPUTED_VALUE"""),"")</f>
        <v/>
      </c>
      <c r="E277" s="49" t="str">
        <f ca="1">IFERROR(__xludf.DUMMYFUNCTION("""COMPUTED_VALUE"""),"Variant Pathogenicity")</f>
        <v>Variant Pathogenicity</v>
      </c>
      <c r="F277" s="49" t="str">
        <f ca="1">IFERROR(__xludf.DUMMYFUNCTION("""COMPUTED_VALUE"""),"")</f>
        <v/>
      </c>
      <c r="G277" s="49" t="str">
        <f ca="1">IFERROR(__xludf.DUMMYFUNCTION("""COMPUTED_VALUE"""),"Abul Kalam Azad")</f>
        <v>Abul Kalam Azad</v>
      </c>
      <c r="H277" s="49" t="str">
        <f ca="1">IFERROR(__xludf.DUMMYFUNCTION("""COMPUTED_VALUE"""),"azadak@gmail.com")</f>
        <v>azadak@gmail.com</v>
      </c>
      <c r="I277" s="49" t="str">
        <f ca="1">IFERROR(__xludf.DUMMYFUNCTION("""COMPUTED_VALUE"""),"Post Doc/Resident/Fellow (MD and/or PhD)")</f>
        <v>Post Doc/Resident/Fellow (MD and/or PhD)</v>
      </c>
      <c r="J277" s="49"/>
      <c r="K277" s="49" t="str">
        <f ca="1">IFERROR(__xludf.DUMMYFUNCTION("""COMPUTED_VALUE"""),"Variant Pathogenicity")</f>
        <v>Variant Pathogenicity</v>
      </c>
      <c r="L277" s="49"/>
      <c r="M277" s="49"/>
      <c r="N277" s="49"/>
      <c r="O277" s="49"/>
      <c r="P277" s="49"/>
      <c r="Q277" s="49"/>
      <c r="R277" s="49"/>
      <c r="S277" s="49"/>
      <c r="T277" s="49"/>
      <c r="U277" s="49"/>
      <c r="V277" s="49"/>
      <c r="W277" s="49"/>
      <c r="X277" s="49"/>
      <c r="Y277" s="49"/>
      <c r="Z277" s="49"/>
    </row>
    <row r="278" spans="1:26" ht="13">
      <c r="A278" s="49" t="str">
        <f ca="1">IFERROR(__xludf.DUMMYFUNCTION("""COMPUTED_VALUE"""),"Unassigned")</f>
        <v>Unassigned</v>
      </c>
      <c r="B278" s="49" t="str">
        <f ca="1">IFERROR(__xludf.DUMMYFUNCTION("""COMPUTED_VALUE"""),"")</f>
        <v/>
      </c>
      <c r="C278" s="49" t="str">
        <f ca="1">IFERROR(__xludf.DUMMYFUNCTION("""COMPUTED_VALUE"""),"")</f>
        <v/>
      </c>
      <c r="D278" s="49" t="str">
        <f ca="1">IFERROR(__xludf.DUMMYFUNCTION("""COMPUTED_VALUE"""),"")</f>
        <v/>
      </c>
      <c r="E278" s="49" t="str">
        <f ca="1">IFERROR(__xludf.DUMMYFUNCTION("""COMPUTED_VALUE"""),"Somatic Cancer")</f>
        <v>Somatic Cancer</v>
      </c>
      <c r="F278" s="49" t="str">
        <f ca="1">IFERROR(__xludf.DUMMYFUNCTION("""COMPUTED_VALUE"""),"")</f>
        <v/>
      </c>
      <c r="G278" s="49" t="str">
        <f ca="1">IFERROR(__xludf.DUMMYFUNCTION("""COMPUTED_VALUE"""),"Qing Zhang")</f>
        <v>Qing Zhang</v>
      </c>
      <c r="H278" s="49" t="str">
        <f ca="1">IFERROR(__xludf.DUMMYFUNCTION("""COMPUTED_VALUE"""),"qz1seattle@yahoo.com")</f>
        <v>qz1seattle@yahoo.com</v>
      </c>
      <c r="I278" s="49" t="str">
        <f ca="1">IFERROR(__xludf.DUMMYFUNCTION("""COMPUTED_VALUE"""),"Scientific Researcher")</f>
        <v>Scientific Researcher</v>
      </c>
      <c r="J278" s="49"/>
      <c r="K278" s="49" t="str">
        <f ca="1">IFERROR(__xludf.DUMMYFUNCTION("""COMPUTED_VALUE"""),"Somatic Cancer")</f>
        <v>Somatic Cancer</v>
      </c>
      <c r="L278" s="49"/>
      <c r="M278" s="49"/>
      <c r="N278" s="49"/>
      <c r="O278" s="49"/>
      <c r="P278" s="49"/>
      <c r="Q278" s="49"/>
      <c r="R278" s="49"/>
      <c r="S278" s="49"/>
      <c r="T278" s="49"/>
      <c r="U278" s="49"/>
      <c r="V278" s="49"/>
      <c r="W278" s="49"/>
      <c r="X278" s="49"/>
      <c r="Y278" s="49"/>
      <c r="Z278" s="49"/>
    </row>
    <row r="279" spans="1:26" ht="13">
      <c r="A279" s="49" t="str">
        <f ca="1">IFERROR(__xludf.DUMMYFUNCTION("""COMPUTED_VALUE"""),"Unassigned")</f>
        <v>Unassigned</v>
      </c>
      <c r="B279" s="49" t="str">
        <f ca="1">IFERROR(__xludf.DUMMYFUNCTION("""COMPUTED_VALUE"""),"")</f>
        <v/>
      </c>
      <c r="C279" s="49" t="str">
        <f ca="1">IFERROR(__xludf.DUMMYFUNCTION("""COMPUTED_VALUE"""),"")</f>
        <v/>
      </c>
      <c r="D279" s="49" t="str">
        <f ca="1">IFERROR(__xludf.DUMMYFUNCTION("""COMPUTED_VALUE"""),"")</f>
        <v/>
      </c>
      <c r="E279" s="49" t="str">
        <f ca="1">IFERROR(__xludf.DUMMYFUNCTION("""COMPUTED_VALUE"""),"NA")</f>
        <v>NA</v>
      </c>
      <c r="F279" s="49" t="str">
        <f ca="1">IFERROR(__xludf.DUMMYFUNCTION("""COMPUTED_VALUE"""),"")</f>
        <v/>
      </c>
      <c r="G279" s="49" t="str">
        <f ca="1">IFERROR(__xludf.DUMMYFUNCTION("""COMPUTED_VALUE"""),"Cassandra Barrett")</f>
        <v>Cassandra Barrett</v>
      </c>
      <c r="H279" s="49" t="str">
        <f ca="1">IFERROR(__xludf.DUMMYFUNCTION("""COMPUTED_VALUE"""),"cas9bar@gmail.com")</f>
        <v>cas9bar@gmail.com</v>
      </c>
      <c r="I279" s="49" t="str">
        <f ca="1">IFERROR(__xludf.DUMMYFUNCTION("""COMPUTED_VALUE"""),"PhD in genetic engineering; currently in a genetic counseling graduate program")</f>
        <v>PhD in genetic engineering; currently in a genetic counseling graduate program</v>
      </c>
      <c r="J279" s="49"/>
      <c r="K279" s="49" t="str">
        <f ca="1">IFERROR(__xludf.DUMMYFUNCTION("""COMPUTED_VALUE"""),"Dosage Sensitivity")</f>
        <v>Dosage Sensitivity</v>
      </c>
      <c r="L279" s="49"/>
      <c r="M279" s="49"/>
      <c r="N279" s="49"/>
      <c r="O279" s="49"/>
      <c r="P279" s="49"/>
      <c r="Q279" s="49"/>
      <c r="R279" s="49"/>
      <c r="S279" s="49"/>
      <c r="T279" s="49"/>
      <c r="U279" s="49"/>
      <c r="V279" s="49"/>
      <c r="W279" s="49"/>
      <c r="X279" s="49"/>
      <c r="Y279" s="49"/>
      <c r="Z279" s="49"/>
    </row>
    <row r="280" spans="1:26" ht="13">
      <c r="A280" s="49" t="str">
        <f ca="1">IFERROR(__xludf.DUMMYFUNCTION("""COMPUTED_VALUE"""),"Contacted")</f>
        <v>Contacted</v>
      </c>
      <c r="B280" s="88">
        <f ca="1">IFERROR(__xludf.DUMMYFUNCTION("""COMPUTED_VALUE"""),43819)</f>
        <v>43819</v>
      </c>
      <c r="C280" s="49" t="str">
        <f ca="1">IFERROR(__xludf.DUMMYFUNCTION("""COMPUTED_VALUE"""),"")</f>
        <v/>
      </c>
      <c r="D280" s="49" t="str">
        <f ca="1">IFERROR(__xludf.DUMMYFUNCTION("""COMPUTED_VALUE"""),"")</f>
        <v/>
      </c>
      <c r="E280" s="49" t="str">
        <f ca="1">IFERROR(__xludf.DUMMYFUNCTION("""COMPUTED_VALUE"""),"Variant Pathogenicity")</f>
        <v>Variant Pathogenicity</v>
      </c>
      <c r="F280" s="49" t="str">
        <f ca="1">IFERROR(__xludf.DUMMYFUNCTION("""COMPUTED_VALUE"""),"")</f>
        <v/>
      </c>
      <c r="G280" s="49" t="str">
        <f ca="1">IFERROR(__xludf.DUMMYFUNCTION("""COMPUTED_VALUE"""),"Celeste Bento")</f>
        <v>Celeste Bento</v>
      </c>
      <c r="H280" s="49" t="str">
        <f ca="1">IFERROR(__xludf.DUMMYFUNCTION("""COMPUTED_VALUE"""),"celeste.bento@chuc.min-saude.pt")</f>
        <v>celeste.bento@chuc.min-saude.pt</v>
      </c>
      <c r="I280" s="49" t="str">
        <f ca="1">IFERROR(__xludf.DUMMYFUNCTION("""COMPUTED_VALUE"""),"Clinical laboratory geneticist")</f>
        <v>Clinical laboratory geneticist</v>
      </c>
      <c r="J280" s="49"/>
      <c r="K280" s="49" t="str">
        <f ca="1">IFERROR(__xludf.DUMMYFUNCTION("""COMPUTED_VALUE"""),"Variant Pathogenicity")</f>
        <v>Variant Pathogenicity</v>
      </c>
      <c r="L280" s="49"/>
      <c r="M280" s="49"/>
      <c r="N280" s="49"/>
      <c r="O280" s="49"/>
      <c r="P280" s="49"/>
      <c r="Q280" s="49"/>
      <c r="R280" s="49"/>
      <c r="S280" s="49"/>
      <c r="T280" s="49"/>
      <c r="U280" s="49"/>
      <c r="V280" s="49"/>
      <c r="W280" s="49"/>
      <c r="X280" s="49"/>
      <c r="Y280" s="49"/>
      <c r="Z280" s="49"/>
    </row>
    <row r="281" spans="1:26" ht="13">
      <c r="A281" s="49" t="str">
        <f ca="1">IFERROR(__xludf.DUMMYFUNCTION("""COMPUTED_VALUE"""),"Unassigned")</f>
        <v>Unassigned</v>
      </c>
      <c r="B281" s="49" t="str">
        <f ca="1">IFERROR(__xludf.DUMMYFUNCTION("""COMPUTED_VALUE"""),"")</f>
        <v/>
      </c>
      <c r="C281" s="49" t="str">
        <f ca="1">IFERROR(__xludf.DUMMYFUNCTION("""COMPUTED_VALUE"""),"")</f>
        <v/>
      </c>
      <c r="D281" s="49" t="str">
        <f ca="1">IFERROR(__xludf.DUMMYFUNCTION("""COMPUTED_VALUE"""),"")</f>
        <v/>
      </c>
      <c r="E281" s="49" t="str">
        <f ca="1">IFERROR(__xludf.DUMMYFUNCTION("""COMPUTED_VALUE"""),"Somatic Cancer")</f>
        <v>Somatic Cancer</v>
      </c>
      <c r="F281" s="49" t="str">
        <f ca="1">IFERROR(__xludf.DUMMYFUNCTION("""COMPUTED_VALUE"""),"")</f>
        <v/>
      </c>
      <c r="G281" s="49" t="str">
        <f ca="1">IFERROR(__xludf.DUMMYFUNCTION("""COMPUTED_VALUE"""),"Gokce Toruner")</f>
        <v>Gokce Toruner</v>
      </c>
      <c r="H281" s="49" t="str">
        <f ca="1">IFERROR(__xludf.DUMMYFUNCTION("""COMPUTED_VALUE"""),"gatoruner@mdanderson.org")</f>
        <v>gatoruner@mdanderson.org</v>
      </c>
      <c r="I281" s="49" t="str">
        <f ca="1">IFERROR(__xludf.DUMMYFUNCTION("""COMPUTED_VALUE"""),"Clinical laboratory geneticist")</f>
        <v>Clinical laboratory geneticist</v>
      </c>
      <c r="J281" s="49"/>
      <c r="K281" s="49" t="str">
        <f ca="1">IFERROR(__xludf.DUMMYFUNCTION("""COMPUTED_VALUE"""),"Somatic Cancer")</f>
        <v>Somatic Cancer</v>
      </c>
      <c r="L281" s="49"/>
      <c r="M281" s="49"/>
      <c r="N281" s="49"/>
      <c r="O281" s="49"/>
      <c r="P281" s="49"/>
      <c r="Q281" s="49"/>
      <c r="R281" s="49"/>
      <c r="S281" s="49"/>
      <c r="T281" s="49"/>
      <c r="U281" s="49"/>
      <c r="V281" s="49"/>
      <c r="W281" s="49"/>
      <c r="X281" s="49"/>
      <c r="Y281" s="49"/>
      <c r="Z281" s="49"/>
    </row>
    <row r="282" spans="1:26" ht="13">
      <c r="A282" s="49" t="str">
        <f ca="1">IFERROR(__xludf.DUMMYFUNCTION("""COMPUTED_VALUE"""),"Assigned")</f>
        <v>Assigned</v>
      </c>
      <c r="B282" s="87">
        <f ca="1">IFERROR(__xludf.DUMMYFUNCTION("""COMPUTED_VALUE"""),44160)</f>
        <v>44160</v>
      </c>
      <c r="C282" s="87">
        <f ca="1">IFERROR(__xludf.DUMMYFUNCTION("""COMPUTED_VALUE"""),43859)</f>
        <v>43859</v>
      </c>
      <c r="D282" s="49" t="str">
        <f ca="1">IFERROR(__xludf.DUMMYFUNCTION("""COMPUTED_VALUE"""),"Yes")</f>
        <v>Yes</v>
      </c>
      <c r="E282" s="49" t="str">
        <f ca="1">IFERROR(__xludf.DUMMYFUNCTION("""COMPUTED_VALUE"""),"Actionability")</f>
        <v>Actionability</v>
      </c>
      <c r="F282" s="49" t="str">
        <f ca="1">IFERROR(__xludf.DUMMYFUNCTION("""COMPUTED_VALUE"""),"")</f>
        <v/>
      </c>
      <c r="G282" s="49" t="str">
        <f ca="1">IFERROR(__xludf.DUMMYFUNCTION("""COMPUTED_VALUE"""),"Larissa Waldman")</f>
        <v>Larissa Waldman</v>
      </c>
      <c r="H282" s="49" t="str">
        <f ca="1">IFERROR(__xludf.DUMMYFUNCTION("""COMPUTED_VALUE"""),"larissa.waldman@gmail.com")</f>
        <v>larissa.waldman@gmail.com</v>
      </c>
      <c r="I282" s="49" t="str">
        <f ca="1">IFERROR(__xludf.DUMMYFUNCTION("""COMPUTED_VALUE"""),"Genetic counselor")</f>
        <v>Genetic counselor</v>
      </c>
      <c r="J282" s="49"/>
      <c r="K282" s="49" t="str">
        <f ca="1">IFERROR(__xludf.DUMMYFUNCTION("""COMPUTED_VALUE"""),"Clinical Actionability")</f>
        <v>Clinical Actionability</v>
      </c>
      <c r="L282" s="49"/>
      <c r="M282" s="49"/>
      <c r="N282" s="49"/>
      <c r="O282" s="49"/>
      <c r="P282" s="49"/>
      <c r="Q282" s="49"/>
      <c r="R282" s="49"/>
      <c r="S282" s="49"/>
      <c r="T282" s="49"/>
      <c r="U282" s="49"/>
      <c r="V282" s="49"/>
      <c r="W282" s="49"/>
      <c r="X282" s="49"/>
      <c r="Y282" s="49"/>
      <c r="Z282" s="49"/>
    </row>
    <row r="283" spans="1:26" ht="13">
      <c r="A283" s="49" t="str">
        <f ca="1">IFERROR(__xludf.DUMMYFUNCTION("""COMPUTED_VALUE"""),"Contacted")</f>
        <v>Contacted</v>
      </c>
      <c r="B283" s="88">
        <f ca="1">IFERROR(__xludf.DUMMYFUNCTION("""COMPUTED_VALUE"""),43819)</f>
        <v>43819</v>
      </c>
      <c r="C283" s="49" t="str">
        <f ca="1">IFERROR(__xludf.DUMMYFUNCTION("""COMPUTED_VALUE"""),"")</f>
        <v/>
      </c>
      <c r="D283" s="49" t="str">
        <f ca="1">IFERROR(__xludf.DUMMYFUNCTION("""COMPUTED_VALUE"""),"")</f>
        <v/>
      </c>
      <c r="E283" s="49" t="str">
        <f ca="1">IFERROR(__xludf.DUMMYFUNCTION("""COMPUTED_VALUE"""),"Variant Pathogenicity")</f>
        <v>Variant Pathogenicity</v>
      </c>
      <c r="F283" s="49" t="str">
        <f ca="1">IFERROR(__xludf.DUMMYFUNCTION("""COMPUTED_VALUE"""),"")</f>
        <v/>
      </c>
      <c r="G283" s="49" t="str">
        <f ca="1">IFERROR(__xludf.DUMMYFUNCTION("""COMPUTED_VALUE"""),"Prasad Rao Kopparapu")</f>
        <v>Prasad Rao Kopparapu</v>
      </c>
      <c r="H283" s="49" t="str">
        <f ca="1">IFERROR(__xludf.DUMMYFUNCTION("""COMPUTED_VALUE"""),"prasaad82@gmail.com")</f>
        <v>prasaad82@gmail.com</v>
      </c>
      <c r="I283" s="49" t="str">
        <f ca="1">IFERROR(__xludf.DUMMYFUNCTION("""COMPUTED_VALUE"""),"Post Doc/Resident/Fellow (MD and/or PhD)")</f>
        <v>Post Doc/Resident/Fellow (MD and/or PhD)</v>
      </c>
      <c r="J283" s="49"/>
      <c r="K283" s="49" t="str">
        <f ca="1">IFERROR(__xludf.DUMMYFUNCTION("""COMPUTED_VALUE"""),"Variant Pathogenicity")</f>
        <v>Variant Pathogenicity</v>
      </c>
      <c r="L283" s="49"/>
      <c r="M283" s="49"/>
      <c r="N283" s="49"/>
      <c r="O283" s="49"/>
      <c r="P283" s="49"/>
      <c r="Q283" s="49"/>
      <c r="R283" s="49"/>
      <c r="S283" s="49"/>
      <c r="T283" s="49"/>
      <c r="U283" s="49"/>
      <c r="V283" s="49"/>
      <c r="W283" s="49"/>
      <c r="X283" s="49"/>
      <c r="Y283" s="49"/>
      <c r="Z283" s="49"/>
    </row>
    <row r="284" spans="1:26" ht="13">
      <c r="A284" s="49" t="str">
        <f ca="1">IFERROR(__xludf.DUMMYFUNCTION("""COMPUTED_VALUE"""),"Contacted")</f>
        <v>Contacted</v>
      </c>
      <c r="B284" s="88">
        <f ca="1">IFERROR(__xludf.DUMMYFUNCTION("""COMPUTED_VALUE"""),43819)</f>
        <v>43819</v>
      </c>
      <c r="C284" s="49" t="str">
        <f ca="1">IFERROR(__xludf.DUMMYFUNCTION("""COMPUTED_VALUE"""),"")</f>
        <v/>
      </c>
      <c r="D284" s="49" t="str">
        <f ca="1">IFERROR(__xludf.DUMMYFUNCTION("""COMPUTED_VALUE"""),"")</f>
        <v/>
      </c>
      <c r="E284" s="49" t="str">
        <f ca="1">IFERROR(__xludf.DUMMYFUNCTION("""COMPUTED_VALUE"""),"Gene Disease Validity")</f>
        <v>Gene Disease Validity</v>
      </c>
      <c r="F284" s="49" t="str">
        <f ca="1">IFERROR(__xludf.DUMMYFUNCTION("""COMPUTED_VALUE"""),"")</f>
        <v/>
      </c>
      <c r="G284" s="49" t="str">
        <f ca="1">IFERROR(__xludf.DUMMYFUNCTION("""COMPUTED_VALUE"""),"Mansour Zamanpoor")</f>
        <v>Mansour Zamanpoor</v>
      </c>
      <c r="H284" s="49" t="str">
        <f ca="1">IFERROR(__xludf.DUMMYFUNCTION("""COMPUTED_VALUE"""),"mansour.zamanpoor@ccdhb.org.nz")</f>
        <v>mansour.zamanpoor@ccdhb.org.nz</v>
      </c>
      <c r="I284" s="49" t="str">
        <f ca="1">IFERROR(__xludf.DUMMYFUNCTION("""COMPUTED_VALUE"""),"Clinical laboratory geneticist")</f>
        <v>Clinical laboratory geneticist</v>
      </c>
      <c r="J284" s="49"/>
      <c r="K284" s="49" t="str">
        <f ca="1">IFERROR(__xludf.DUMMYFUNCTION("""COMPUTED_VALUE"""),"Gene-Disease Validity")</f>
        <v>Gene-Disease Validity</v>
      </c>
      <c r="L284" s="49"/>
      <c r="M284" s="49"/>
      <c r="N284" s="49"/>
      <c r="O284" s="49"/>
      <c r="P284" s="49"/>
      <c r="Q284" s="49"/>
      <c r="R284" s="49"/>
      <c r="S284" s="49"/>
      <c r="T284" s="49"/>
      <c r="U284" s="49"/>
      <c r="V284" s="49"/>
      <c r="W284" s="49"/>
      <c r="X284" s="49"/>
      <c r="Y284" s="49"/>
      <c r="Z284" s="49"/>
    </row>
    <row r="285" spans="1:26" ht="13">
      <c r="A285" s="49" t="str">
        <f ca="1">IFERROR(__xludf.DUMMYFUNCTION("""COMPUTED_VALUE"""),"Assigned")</f>
        <v>Assigned</v>
      </c>
      <c r="B285" s="87">
        <f ca="1">IFERROR(__xludf.DUMMYFUNCTION("""COMPUTED_VALUE"""),43808)</f>
        <v>43808</v>
      </c>
      <c r="C285" s="87">
        <f ca="1">IFERROR(__xludf.DUMMYFUNCTION("""COMPUTED_VALUE"""),43859)</f>
        <v>43859</v>
      </c>
      <c r="D285" s="49" t="str">
        <f ca="1">IFERROR(__xludf.DUMMYFUNCTION("""COMPUTED_VALUE"""),"Yes")</f>
        <v>Yes</v>
      </c>
      <c r="E285" s="49" t="str">
        <f ca="1">IFERROR(__xludf.DUMMYFUNCTION("""COMPUTED_VALUE"""),"Actionability")</f>
        <v>Actionability</v>
      </c>
      <c r="F285" s="49" t="str">
        <f ca="1">IFERROR(__xludf.DUMMYFUNCTION("""COMPUTED_VALUE"""),"")</f>
        <v/>
      </c>
      <c r="G285" s="49" t="str">
        <f ca="1">IFERROR(__xludf.DUMMYFUNCTION("""COMPUTED_VALUE"""),"Mark Shlapobersky")</f>
        <v>Mark Shlapobersky</v>
      </c>
      <c r="H285" s="49" t="str">
        <f ca="1">IFERROR(__xludf.DUMMYFUNCTION("""COMPUTED_VALUE"""),"marks@bmc.gov.il")</f>
        <v>marks@bmc.gov.il</v>
      </c>
      <c r="I285" s="49" t="str">
        <f ca="1">IFERROR(__xludf.DUMMYFUNCTION("""COMPUTED_VALUE"""),"Director of Pathology lab")</f>
        <v>Director of Pathology lab</v>
      </c>
      <c r="J285" s="49"/>
      <c r="K285" s="49" t="str">
        <f ca="1">IFERROR(__xludf.DUMMYFUNCTION("""COMPUTED_VALUE"""),"Clinical Actionability")</f>
        <v>Clinical Actionability</v>
      </c>
      <c r="L285" s="49"/>
      <c r="M285" s="49"/>
      <c r="N285" s="49"/>
      <c r="O285" s="49"/>
      <c r="P285" s="49"/>
      <c r="Q285" s="49"/>
      <c r="R285" s="49"/>
      <c r="S285" s="49"/>
      <c r="T285" s="49"/>
      <c r="U285" s="49"/>
      <c r="V285" s="49"/>
      <c r="W285" s="49"/>
      <c r="X285" s="49"/>
      <c r="Y285" s="49"/>
      <c r="Z285" s="49"/>
    </row>
    <row r="286" spans="1:26" ht="13">
      <c r="A286" s="49" t="str">
        <f ca="1">IFERROR(__xludf.DUMMYFUNCTION("""COMPUTED_VALUE"""),"Contacted")</f>
        <v>Contacted</v>
      </c>
      <c r="B286" s="88">
        <f ca="1">IFERROR(__xludf.DUMMYFUNCTION("""COMPUTED_VALUE"""),43819)</f>
        <v>43819</v>
      </c>
      <c r="C286" s="99">
        <f ca="1">IFERROR(__xludf.DUMMYFUNCTION("""COMPUTED_VALUE"""),43846)</f>
        <v>43846</v>
      </c>
      <c r="D286" s="49" t="str">
        <f ca="1">IFERROR(__xludf.DUMMYFUNCTION("""COMPUTED_VALUE"""),"Yes")</f>
        <v>Yes</v>
      </c>
      <c r="E286" s="49" t="str">
        <f ca="1">IFERROR(__xludf.DUMMYFUNCTION("""COMPUTED_VALUE"""),"Gene Disease Validity")</f>
        <v>Gene Disease Validity</v>
      </c>
      <c r="F286" s="49" t="str">
        <f ca="1">IFERROR(__xludf.DUMMYFUNCTION("""COMPUTED_VALUE"""),"")</f>
        <v/>
      </c>
      <c r="G286" s="49" t="str">
        <f ca="1">IFERROR(__xludf.DUMMYFUNCTION("""COMPUTED_VALUE"""),"Marie-Luise Brennan")</f>
        <v>Marie-Luise Brennan</v>
      </c>
      <c r="H286" s="49" t="str">
        <f ca="1">IFERROR(__xludf.DUMMYFUNCTION("""COMPUTED_VALUE"""),"mbrennan@acmg.net")</f>
        <v>mbrennan@acmg.net</v>
      </c>
      <c r="I286" s="49" t="str">
        <f ca="1">IFERROR(__xludf.DUMMYFUNCTION("""COMPUTED_VALUE"""),"Clinical Medical Geneticist")</f>
        <v>Clinical Medical Geneticist</v>
      </c>
      <c r="J286" s="49"/>
      <c r="K286" s="49" t="str">
        <f ca="1">IFERROR(__xludf.DUMMYFUNCTION("""COMPUTED_VALUE"""),"Gene-Disease Validity")</f>
        <v>Gene-Disease Validity</v>
      </c>
      <c r="L286" s="49"/>
      <c r="M286" s="49"/>
      <c r="N286" s="49"/>
      <c r="O286" s="49"/>
      <c r="P286" s="49"/>
      <c r="Q286" s="49"/>
      <c r="R286" s="49"/>
      <c r="S286" s="49"/>
      <c r="T286" s="49"/>
      <c r="U286" s="49"/>
      <c r="V286" s="49"/>
      <c r="W286" s="49"/>
      <c r="X286" s="49"/>
      <c r="Y286" s="49"/>
      <c r="Z286" s="49"/>
    </row>
    <row r="287" spans="1:26" ht="13">
      <c r="A287" s="49" t="str">
        <f ca="1">IFERROR(__xludf.DUMMYFUNCTION("""COMPUTED_VALUE"""),"Contacted")</f>
        <v>Contacted</v>
      </c>
      <c r="B287" s="88">
        <f ca="1">IFERROR(__xludf.DUMMYFUNCTION("""COMPUTED_VALUE"""),43819)</f>
        <v>43819</v>
      </c>
      <c r="C287" s="49" t="str">
        <f ca="1">IFERROR(__xludf.DUMMYFUNCTION("""COMPUTED_VALUE"""),"")</f>
        <v/>
      </c>
      <c r="D287" s="49" t="str">
        <f ca="1">IFERROR(__xludf.DUMMYFUNCTION("""COMPUTED_VALUE"""),"")</f>
        <v/>
      </c>
      <c r="E287" s="49" t="str">
        <f ca="1">IFERROR(__xludf.DUMMYFUNCTION("""COMPUTED_VALUE"""),"Variant Pathogenicity")</f>
        <v>Variant Pathogenicity</v>
      </c>
      <c r="F287" s="49" t="str">
        <f ca="1">IFERROR(__xludf.DUMMYFUNCTION("""COMPUTED_VALUE"""),"")</f>
        <v/>
      </c>
      <c r="G287" s="49" t="str">
        <f ca="1">IFERROR(__xludf.DUMMYFUNCTION("""COMPUTED_VALUE"""),"Shawn Gessay")</f>
        <v>Shawn Gessay</v>
      </c>
      <c r="H287" s="49" t="str">
        <f ca="1">IFERROR(__xludf.DUMMYFUNCTION("""COMPUTED_VALUE"""),"gessays75@gmail.com")</f>
        <v>gessays75@gmail.com</v>
      </c>
      <c r="I287" s="49" t="str">
        <f ca="1">IFERROR(__xludf.DUMMYFUNCTION("""COMPUTED_VALUE"""),"Genetic counselor")</f>
        <v>Genetic counselor</v>
      </c>
      <c r="J287" s="49"/>
      <c r="K287" s="49" t="str">
        <f ca="1">IFERROR(__xludf.DUMMYFUNCTION("""COMPUTED_VALUE"""),"Variant Pathogenicity")</f>
        <v>Variant Pathogenicity</v>
      </c>
      <c r="L287" s="49"/>
      <c r="M287" s="49"/>
      <c r="N287" s="49"/>
      <c r="O287" s="49"/>
      <c r="P287" s="49"/>
      <c r="Q287" s="49"/>
      <c r="R287" s="49"/>
      <c r="S287" s="49"/>
      <c r="T287" s="49"/>
      <c r="U287" s="49"/>
      <c r="V287" s="49"/>
      <c r="W287" s="49"/>
      <c r="X287" s="49"/>
      <c r="Y287" s="49"/>
      <c r="Z287" s="49"/>
    </row>
    <row r="288" spans="1:26" ht="13">
      <c r="A288" s="49" t="str">
        <f ca="1">IFERROR(__xludf.DUMMYFUNCTION("""COMPUTED_VALUE"""),"Contacted")</f>
        <v>Contacted</v>
      </c>
      <c r="B288" s="88">
        <f ca="1">IFERROR(__xludf.DUMMYFUNCTION("""COMPUTED_VALUE"""),43819)</f>
        <v>43819</v>
      </c>
      <c r="C288" s="49" t="str">
        <f ca="1">IFERROR(__xludf.DUMMYFUNCTION("""COMPUTED_VALUE"""),"")</f>
        <v/>
      </c>
      <c r="D288" s="49" t="str">
        <f ca="1">IFERROR(__xludf.DUMMYFUNCTION("""COMPUTED_VALUE"""),"")</f>
        <v/>
      </c>
      <c r="E288" s="49" t="str">
        <f ca="1">IFERROR(__xludf.DUMMYFUNCTION("""COMPUTED_VALUE"""),"Variant Pathogenicity")</f>
        <v>Variant Pathogenicity</v>
      </c>
      <c r="F288" s="49" t="str">
        <f ca="1">IFERROR(__xludf.DUMMYFUNCTION("""COMPUTED_VALUE"""),"")</f>
        <v/>
      </c>
      <c r="G288" s="49" t="str">
        <f ca="1">IFERROR(__xludf.DUMMYFUNCTION("""COMPUTED_VALUE"""),"Angela Hoang")</f>
        <v>Angela Hoang</v>
      </c>
      <c r="H288" s="49" t="str">
        <f ca="1">IFERROR(__xludf.DUMMYFUNCTION("""COMPUTED_VALUE"""),"ahoang18@students.kgi.edu")</f>
        <v>ahoang18@students.kgi.edu</v>
      </c>
      <c r="I288" s="49" t="str">
        <f ca="1">IFERROR(__xludf.DUMMYFUNCTION("""COMPUTED_VALUE"""),"Graduate Student")</f>
        <v>Graduate Student</v>
      </c>
      <c r="J288" s="49"/>
      <c r="K288" s="49" t="str">
        <f ca="1">IFERROR(__xludf.DUMMYFUNCTION("""COMPUTED_VALUE"""),"Variant Pathogenicity")</f>
        <v>Variant Pathogenicity</v>
      </c>
      <c r="L288" s="49"/>
      <c r="M288" s="49"/>
      <c r="N288" s="49"/>
      <c r="O288" s="49"/>
      <c r="P288" s="49"/>
      <c r="Q288" s="49"/>
      <c r="R288" s="49"/>
      <c r="S288" s="49"/>
      <c r="T288" s="49"/>
      <c r="U288" s="49"/>
      <c r="V288" s="49"/>
      <c r="W288" s="49"/>
      <c r="X288" s="49"/>
      <c r="Y288" s="49"/>
      <c r="Z288" s="49"/>
    </row>
    <row r="289" spans="1:26" ht="13">
      <c r="A289" s="49" t="str">
        <f ca="1">IFERROR(__xludf.DUMMYFUNCTION("""COMPUTED_VALUE"""),"Contacted")</f>
        <v>Contacted</v>
      </c>
      <c r="B289" s="88">
        <f ca="1">IFERROR(__xludf.DUMMYFUNCTION("""COMPUTED_VALUE"""),43819)</f>
        <v>43819</v>
      </c>
      <c r="C289" s="49" t="str">
        <f ca="1">IFERROR(__xludf.DUMMYFUNCTION("""COMPUTED_VALUE"""),"")</f>
        <v/>
      </c>
      <c r="D289" s="49" t="str">
        <f ca="1">IFERROR(__xludf.DUMMYFUNCTION("""COMPUTED_VALUE"""),"")</f>
        <v/>
      </c>
      <c r="E289" s="49" t="str">
        <f ca="1">IFERROR(__xludf.DUMMYFUNCTION("""COMPUTED_VALUE"""),"Variant Pathogenicity")</f>
        <v>Variant Pathogenicity</v>
      </c>
      <c r="F289" s="49" t="str">
        <f ca="1">IFERROR(__xludf.DUMMYFUNCTION("""COMPUTED_VALUE"""),"")</f>
        <v/>
      </c>
      <c r="G289" s="49" t="str">
        <f ca="1">IFERROR(__xludf.DUMMYFUNCTION("""COMPUTED_VALUE"""),"Poornima Vijayan")</f>
        <v>Poornima Vijayan</v>
      </c>
      <c r="H289" s="49" t="str">
        <f ca="1">IFERROR(__xludf.DUMMYFUNCTION("""COMPUTED_VALUE"""),"poornima2785@gmail.com")</f>
        <v>poornima2785@gmail.com</v>
      </c>
      <c r="I289" s="49" t="str">
        <f ca="1">IFERROR(__xludf.DUMMYFUNCTION("""COMPUTED_VALUE"""),"Graduate Student")</f>
        <v>Graduate Student</v>
      </c>
      <c r="J289" s="49"/>
      <c r="K289" s="49" t="str">
        <f ca="1">IFERROR(__xludf.DUMMYFUNCTION("""COMPUTED_VALUE"""),"Variant Pathogenicity")</f>
        <v>Variant Pathogenicity</v>
      </c>
      <c r="L289" s="49"/>
      <c r="M289" s="49"/>
      <c r="N289" s="49"/>
      <c r="O289" s="49"/>
      <c r="P289" s="49"/>
      <c r="Q289" s="49"/>
      <c r="R289" s="49"/>
      <c r="S289" s="49"/>
      <c r="T289" s="49"/>
      <c r="U289" s="49"/>
      <c r="V289" s="49"/>
      <c r="W289" s="49"/>
      <c r="X289" s="49"/>
      <c r="Y289" s="49"/>
      <c r="Z289" s="49"/>
    </row>
    <row r="290" spans="1:26" ht="13">
      <c r="A290" s="49" t="str">
        <f ca="1">IFERROR(__xludf.DUMMYFUNCTION("""COMPUTED_VALUE"""),"Contacted")</f>
        <v>Contacted</v>
      </c>
      <c r="B290" s="88">
        <f ca="1">IFERROR(__xludf.DUMMYFUNCTION("""COMPUTED_VALUE"""),43819)</f>
        <v>43819</v>
      </c>
      <c r="C290" s="99">
        <f ca="1">IFERROR(__xludf.DUMMYFUNCTION("""COMPUTED_VALUE"""),43846)</f>
        <v>43846</v>
      </c>
      <c r="D290" s="49" t="str">
        <f ca="1">IFERROR(__xludf.DUMMYFUNCTION("""COMPUTED_VALUE"""),"Yes")</f>
        <v>Yes</v>
      </c>
      <c r="E290" s="49" t="str">
        <f ca="1">IFERROR(__xludf.DUMMYFUNCTION("""COMPUTED_VALUE"""),"Gene Disease Validity")</f>
        <v>Gene Disease Validity</v>
      </c>
      <c r="F290" s="49" t="str">
        <f ca="1">IFERROR(__xludf.DUMMYFUNCTION("""COMPUTED_VALUE"""),"")</f>
        <v/>
      </c>
      <c r="G290" s="49" t="str">
        <f ca="1">IFERROR(__xludf.DUMMYFUNCTION("""COMPUTED_VALUE"""),"Adriana Bastos Carvalho")</f>
        <v>Adriana Bastos Carvalho</v>
      </c>
      <c r="H290" s="49" t="str">
        <f ca="1">IFERROR(__xludf.DUMMYFUNCTION("""COMPUTED_VALUE"""),"carvalhoab@biof.ufrj.br")</f>
        <v>carvalhoab@biof.ufrj.br</v>
      </c>
      <c r="I290" s="49" t="str">
        <f ca="1">IFERROR(__xludf.DUMMYFUNCTION("""COMPUTED_VALUE"""),"Scientific Researcher")</f>
        <v>Scientific Researcher</v>
      </c>
      <c r="J290" s="49"/>
      <c r="K290" s="49" t="str">
        <f ca="1">IFERROR(__xludf.DUMMYFUNCTION("""COMPUTED_VALUE"""),"Gene-Disease Validity")</f>
        <v>Gene-Disease Validity</v>
      </c>
      <c r="L290" s="49"/>
      <c r="M290" s="49"/>
      <c r="N290" s="49"/>
      <c r="O290" s="49"/>
      <c r="P290" s="49"/>
      <c r="Q290" s="49"/>
      <c r="R290" s="49"/>
      <c r="S290" s="49"/>
      <c r="T290" s="49"/>
      <c r="U290" s="49"/>
      <c r="V290" s="49"/>
      <c r="W290" s="49"/>
      <c r="X290" s="49"/>
      <c r="Y290" s="49"/>
      <c r="Z290" s="49"/>
    </row>
    <row r="291" spans="1:26" ht="13">
      <c r="A291" s="49" t="str">
        <f ca="1">IFERROR(__xludf.DUMMYFUNCTION("""COMPUTED_VALUE"""),"Contacted")</f>
        <v>Contacted</v>
      </c>
      <c r="B291" s="88">
        <f ca="1">IFERROR(__xludf.DUMMYFUNCTION("""COMPUTED_VALUE"""),43819)</f>
        <v>43819</v>
      </c>
      <c r="C291" s="49" t="str">
        <f ca="1">IFERROR(__xludf.DUMMYFUNCTION("""COMPUTED_VALUE"""),"")</f>
        <v/>
      </c>
      <c r="D291" s="49" t="str">
        <f ca="1">IFERROR(__xludf.DUMMYFUNCTION("""COMPUTED_VALUE"""),"")</f>
        <v/>
      </c>
      <c r="E291" s="49" t="str">
        <f ca="1">IFERROR(__xludf.DUMMYFUNCTION("""COMPUTED_VALUE"""),"Gene Disease Validity")</f>
        <v>Gene Disease Validity</v>
      </c>
      <c r="F291" s="49" t="str">
        <f ca="1">IFERROR(__xludf.DUMMYFUNCTION("""COMPUTED_VALUE"""),"")</f>
        <v/>
      </c>
      <c r="G291" s="49" t="str">
        <f ca="1">IFERROR(__xludf.DUMMYFUNCTION("""COMPUTED_VALUE"""),"Megan Puckelwartz")</f>
        <v>Megan Puckelwartz</v>
      </c>
      <c r="H291" s="49" t="str">
        <f ca="1">IFERROR(__xludf.DUMMYFUNCTION("""COMPUTED_VALUE"""),"m.puckelwartz@northwestern.edu")</f>
        <v>m.puckelwartz@northwestern.edu</v>
      </c>
      <c r="I291" s="49" t="str">
        <f ca="1">IFERROR(__xludf.DUMMYFUNCTION("""COMPUTED_VALUE"""),"Scientific Researcher")</f>
        <v>Scientific Researcher</v>
      </c>
      <c r="J291" s="49"/>
      <c r="K291" s="49" t="str">
        <f ca="1">IFERROR(__xludf.DUMMYFUNCTION("""COMPUTED_VALUE"""),"Gene-Disease Validity")</f>
        <v>Gene-Disease Validity</v>
      </c>
      <c r="L291" s="49"/>
      <c r="M291" s="49"/>
      <c r="N291" s="49"/>
      <c r="O291" s="49"/>
      <c r="P291" s="49"/>
      <c r="Q291" s="49"/>
      <c r="R291" s="49"/>
      <c r="S291" s="49"/>
      <c r="T291" s="49"/>
      <c r="U291" s="49"/>
      <c r="V291" s="49"/>
      <c r="W291" s="49"/>
      <c r="X291" s="49"/>
      <c r="Y291" s="49"/>
      <c r="Z291" s="49"/>
    </row>
    <row r="292" spans="1:26" ht="13">
      <c r="A292" s="49" t="str">
        <f ca="1">IFERROR(__xludf.DUMMYFUNCTION("""COMPUTED_VALUE"""),"Unassigned")</f>
        <v>Unassigned</v>
      </c>
      <c r="B292" s="49" t="str">
        <f ca="1">IFERROR(__xludf.DUMMYFUNCTION("""COMPUTED_VALUE"""),"")</f>
        <v/>
      </c>
      <c r="C292" s="49" t="str">
        <f ca="1">IFERROR(__xludf.DUMMYFUNCTION("""COMPUTED_VALUE"""),"")</f>
        <v/>
      </c>
      <c r="D292" s="49" t="str">
        <f ca="1">IFERROR(__xludf.DUMMYFUNCTION("""COMPUTED_VALUE"""),"")</f>
        <v/>
      </c>
      <c r="E292" s="49" t="str">
        <f ca="1">IFERROR(__xludf.DUMMYFUNCTION("""COMPUTED_VALUE"""),"Somatic Cancer")</f>
        <v>Somatic Cancer</v>
      </c>
      <c r="F292" s="49" t="str">
        <f ca="1">IFERROR(__xludf.DUMMYFUNCTION("""COMPUTED_VALUE"""),"")</f>
        <v/>
      </c>
      <c r="G292" s="49" t="str">
        <f ca="1">IFERROR(__xludf.DUMMYFUNCTION("""COMPUTED_VALUE"""),"Nicole Hinceman")</f>
        <v>Nicole Hinceman</v>
      </c>
      <c r="H292" s="49" t="str">
        <f ca="1">IFERROR(__xludf.DUMMYFUNCTION("""COMPUTED_VALUE"""),"nhinceman@genedx.com")</f>
        <v>nhinceman@genedx.com</v>
      </c>
      <c r="I292" s="49" t="str">
        <f ca="1">IFERROR(__xludf.DUMMYFUNCTION("""COMPUTED_VALUE"""),"Prospective Genetic Counseling Student &amp; Variant Analyst (currently a Genetic Counseling Assistant)")</f>
        <v>Prospective Genetic Counseling Student &amp; Variant Analyst (currently a Genetic Counseling Assistant)</v>
      </c>
      <c r="J292" s="49"/>
      <c r="K292" s="49" t="str">
        <f ca="1">IFERROR(__xludf.DUMMYFUNCTION("""COMPUTED_VALUE"""),"Somatic Cancer")</f>
        <v>Somatic Cancer</v>
      </c>
      <c r="L292" s="49"/>
      <c r="M292" s="49"/>
      <c r="N292" s="49"/>
      <c r="O292" s="49"/>
      <c r="P292" s="49"/>
      <c r="Q292" s="49"/>
      <c r="R292" s="49"/>
      <c r="S292" s="49"/>
      <c r="T292" s="49"/>
      <c r="U292" s="49"/>
      <c r="V292" s="49"/>
      <c r="W292" s="49"/>
      <c r="X292" s="49"/>
      <c r="Y292" s="49"/>
      <c r="Z292" s="49"/>
    </row>
    <row r="293" spans="1:26" ht="13">
      <c r="A293" s="49" t="str">
        <f ca="1">IFERROR(__xludf.DUMMYFUNCTION("""COMPUTED_VALUE"""),"Unassigned")</f>
        <v>Unassigned</v>
      </c>
      <c r="B293" s="49" t="str">
        <f ca="1">IFERROR(__xludf.DUMMYFUNCTION("""COMPUTED_VALUE"""),"")</f>
        <v/>
      </c>
      <c r="C293" s="49" t="str">
        <f ca="1">IFERROR(__xludf.DUMMYFUNCTION("""COMPUTED_VALUE"""),"")</f>
        <v/>
      </c>
      <c r="D293" s="49" t="str">
        <f ca="1">IFERROR(__xludf.DUMMYFUNCTION("""COMPUTED_VALUE"""),"")</f>
        <v/>
      </c>
      <c r="E293" s="49" t="str">
        <f ca="1">IFERROR(__xludf.DUMMYFUNCTION("""COMPUTED_VALUE"""),"NA")</f>
        <v>NA</v>
      </c>
      <c r="F293" s="49" t="str">
        <f ca="1">IFERROR(__xludf.DUMMYFUNCTION("""COMPUTED_VALUE"""),"")</f>
        <v/>
      </c>
      <c r="G293" s="49" t="str">
        <f ca="1">IFERROR(__xludf.DUMMYFUNCTION("""COMPUTED_VALUE"""),"Ekaterini Iordanou")</f>
        <v>Ekaterini Iordanou</v>
      </c>
      <c r="H293" s="49" t="str">
        <f ca="1">IFERROR(__xludf.DUMMYFUNCTION("""COMPUTED_VALUE"""),"iordanoue@childrensdayton.org")</f>
        <v>iordanoue@childrensdayton.org</v>
      </c>
      <c r="I293" s="49" t="str">
        <f ca="1">IFERROR(__xludf.DUMMYFUNCTION("""COMPUTED_VALUE"""),"Clinical laboratory geneticist")</f>
        <v>Clinical laboratory geneticist</v>
      </c>
      <c r="J293" s="49"/>
      <c r="K293" s="49" t="str">
        <f ca="1">IFERROR(__xludf.DUMMYFUNCTION("""COMPUTED_VALUE"""),"Dosage Sensitivity")</f>
        <v>Dosage Sensitivity</v>
      </c>
      <c r="L293" s="49"/>
      <c r="M293" s="49"/>
      <c r="N293" s="49"/>
      <c r="O293" s="49"/>
      <c r="P293" s="49"/>
      <c r="Q293" s="49"/>
      <c r="R293" s="49"/>
      <c r="S293" s="49"/>
      <c r="T293" s="49"/>
      <c r="U293" s="49"/>
      <c r="V293" s="49"/>
      <c r="W293" s="49"/>
      <c r="X293" s="49"/>
      <c r="Y293" s="49"/>
      <c r="Z293" s="49"/>
    </row>
    <row r="294" spans="1:26" ht="13">
      <c r="A294" s="49" t="str">
        <f ca="1">IFERROR(__xludf.DUMMYFUNCTION("""COMPUTED_VALUE"""),"Contacted")</f>
        <v>Contacted</v>
      </c>
      <c r="B294" s="49" t="str">
        <f ca="1">IFERROR(__xludf.DUMMYFUNCTION("""COMPUTED_VALUE"""),"")</f>
        <v/>
      </c>
      <c r="C294" s="49" t="str">
        <f ca="1">IFERROR(__xludf.DUMMYFUNCTION("""COMPUTED_VALUE"""),"")</f>
        <v/>
      </c>
      <c r="D294" s="49" t="str">
        <f ca="1">IFERROR(__xludf.DUMMYFUNCTION("""COMPUTED_VALUE"""),"")</f>
        <v/>
      </c>
      <c r="E294" s="49" t="str">
        <f ca="1">IFERROR(__xludf.DUMMYFUNCTION("""COMPUTED_VALUE"""),"Actionability")</f>
        <v>Actionability</v>
      </c>
      <c r="F294" s="49" t="str">
        <f ca="1">IFERROR(__xludf.DUMMYFUNCTION("""COMPUTED_VALUE"""),"")</f>
        <v/>
      </c>
      <c r="G294" s="49" t="str">
        <f ca="1">IFERROR(__xludf.DUMMYFUNCTION("""COMPUTED_VALUE"""),"Laurie Connors")</f>
        <v>Laurie Connors</v>
      </c>
      <c r="H294" s="49" t="str">
        <f ca="1">IFERROR(__xludf.DUMMYFUNCTION("""COMPUTED_VALUE"""),"laurie.m.connors@vanderbilt.edu")</f>
        <v>laurie.m.connors@vanderbilt.edu</v>
      </c>
      <c r="I294" s="49" t="str">
        <f ca="1">IFERROR(__xludf.DUMMYFUNCTION("""COMPUTED_VALUE"""),"Clinical geneticist, Genetic Nurse Practitioner")</f>
        <v>Clinical geneticist, Genetic Nurse Practitioner</v>
      </c>
      <c r="J294" s="49"/>
      <c r="K294" s="49" t="str">
        <f ca="1">IFERROR(__xludf.DUMMYFUNCTION("""COMPUTED_VALUE"""),"Clinical Actionability")</f>
        <v>Clinical Actionability</v>
      </c>
      <c r="L294" s="49"/>
      <c r="M294" s="49"/>
      <c r="N294" s="49"/>
      <c r="O294" s="49"/>
      <c r="P294" s="49"/>
      <c r="Q294" s="49"/>
      <c r="R294" s="49"/>
      <c r="S294" s="49"/>
      <c r="T294" s="49"/>
      <c r="U294" s="49"/>
      <c r="V294" s="49"/>
      <c r="W294" s="49"/>
      <c r="X294" s="49"/>
      <c r="Y294" s="49"/>
      <c r="Z294" s="49"/>
    </row>
    <row r="295" spans="1:26" ht="13">
      <c r="A295" s="49" t="str">
        <f ca="1">IFERROR(__xludf.DUMMYFUNCTION("""COMPUTED_VALUE"""),"Contacted")</f>
        <v>Contacted</v>
      </c>
      <c r="B295" s="88">
        <f ca="1">IFERROR(__xludf.DUMMYFUNCTION("""COMPUTED_VALUE"""),43819)</f>
        <v>43819</v>
      </c>
      <c r="C295" s="99">
        <f ca="1">IFERROR(__xludf.DUMMYFUNCTION("""COMPUTED_VALUE"""),43846)</f>
        <v>43846</v>
      </c>
      <c r="D295" s="49" t="str">
        <f ca="1">IFERROR(__xludf.DUMMYFUNCTION("""COMPUTED_VALUE"""),"Yes")</f>
        <v>Yes</v>
      </c>
      <c r="E295" s="49" t="str">
        <f ca="1">IFERROR(__xludf.DUMMYFUNCTION("""COMPUTED_VALUE"""),"Gene Disease Validity")</f>
        <v>Gene Disease Validity</v>
      </c>
      <c r="F295" s="49" t="str">
        <f ca="1">IFERROR(__xludf.DUMMYFUNCTION("""COMPUTED_VALUE"""),"")</f>
        <v/>
      </c>
      <c r="G295" s="49" t="str">
        <f ca="1">IFERROR(__xludf.DUMMYFUNCTION("""COMPUTED_VALUE"""),"Tess Levy")</f>
        <v>Tess Levy</v>
      </c>
      <c r="H295" s="49" t="str">
        <f ca="1">IFERROR(__xludf.DUMMYFUNCTION("""COMPUTED_VALUE"""),"tess.levy@mssm.edu")</f>
        <v>tess.levy@mssm.edu</v>
      </c>
      <c r="I295" s="49" t="str">
        <f ca="1">IFERROR(__xludf.DUMMYFUNCTION("""COMPUTED_VALUE"""),"Genetic counselor")</f>
        <v>Genetic counselor</v>
      </c>
      <c r="J295" s="49"/>
      <c r="K295" s="49" t="str">
        <f ca="1">IFERROR(__xludf.DUMMYFUNCTION("""COMPUTED_VALUE"""),"Gene-Disease Validity")</f>
        <v>Gene-Disease Validity</v>
      </c>
      <c r="L295" s="49"/>
      <c r="M295" s="49"/>
      <c r="N295" s="49"/>
      <c r="O295" s="49"/>
      <c r="P295" s="49"/>
      <c r="Q295" s="49"/>
      <c r="R295" s="49"/>
      <c r="S295" s="49"/>
      <c r="T295" s="49"/>
      <c r="U295" s="49"/>
      <c r="V295" s="49"/>
      <c r="W295" s="49"/>
      <c r="X295" s="49"/>
      <c r="Y295" s="49"/>
      <c r="Z295" s="49"/>
    </row>
    <row r="296" spans="1:26" ht="13">
      <c r="A296" s="49" t="str">
        <f ca="1">IFERROR(__xludf.DUMMYFUNCTION("""COMPUTED_VALUE"""),"Contacted")</f>
        <v>Contacted</v>
      </c>
      <c r="B296" s="88">
        <f ca="1">IFERROR(__xludf.DUMMYFUNCTION("""COMPUTED_VALUE"""),43819)</f>
        <v>43819</v>
      </c>
      <c r="C296" s="99">
        <f ca="1">IFERROR(__xludf.DUMMYFUNCTION("""COMPUTED_VALUE"""),43846)</f>
        <v>43846</v>
      </c>
      <c r="D296" s="49" t="str">
        <f ca="1">IFERROR(__xludf.DUMMYFUNCTION("""COMPUTED_VALUE"""),"Yes")</f>
        <v>Yes</v>
      </c>
      <c r="E296" s="49" t="str">
        <f ca="1">IFERROR(__xludf.DUMMYFUNCTION("""COMPUTED_VALUE"""),"Gene Disease Validity")</f>
        <v>Gene Disease Validity</v>
      </c>
      <c r="F296" s="49" t="str">
        <f ca="1">IFERROR(__xludf.DUMMYFUNCTION("""COMPUTED_VALUE"""),"")</f>
        <v/>
      </c>
      <c r="G296" s="49" t="str">
        <f ca="1">IFERROR(__xludf.DUMMYFUNCTION("""COMPUTED_VALUE"""),"Xiaoyan Guo ")</f>
        <v xml:space="preserve">Xiaoyan Guo </v>
      </c>
      <c r="H296" s="49" t="str">
        <f ca="1">IFERROR(__xludf.DUMMYFUNCTION("""COMPUTED_VALUE"""),"540842557@qq.com")</f>
        <v>540842557@qq.com</v>
      </c>
      <c r="I296" s="49" t="str">
        <f ca="1">IFERROR(__xludf.DUMMYFUNCTION("""COMPUTED_VALUE"""),"Post Doc/Resident/Fellow (MD and/or PhD)")</f>
        <v>Post Doc/Resident/Fellow (MD and/or PhD)</v>
      </c>
      <c r="J296" s="49"/>
      <c r="K296" s="49" t="str">
        <f ca="1">IFERROR(__xludf.DUMMYFUNCTION("""COMPUTED_VALUE"""),"Gene-Disease Validity")</f>
        <v>Gene-Disease Validity</v>
      </c>
      <c r="L296" s="49"/>
      <c r="M296" s="49"/>
      <c r="N296" s="49"/>
      <c r="O296" s="49"/>
      <c r="P296" s="49"/>
      <c r="Q296" s="49"/>
      <c r="R296" s="49"/>
      <c r="S296" s="49"/>
      <c r="T296" s="49"/>
      <c r="U296" s="49"/>
      <c r="V296" s="49"/>
      <c r="W296" s="49"/>
      <c r="X296" s="49"/>
      <c r="Y296" s="49"/>
      <c r="Z296" s="49"/>
    </row>
    <row r="297" spans="1:26" ht="13">
      <c r="A297" s="49" t="str">
        <f ca="1">IFERROR(__xludf.DUMMYFUNCTION("""COMPUTED_VALUE"""),"Unassigned")</f>
        <v>Unassigned</v>
      </c>
      <c r="B297" s="49" t="str">
        <f ca="1">IFERROR(__xludf.DUMMYFUNCTION("""COMPUTED_VALUE"""),"")</f>
        <v/>
      </c>
      <c r="C297" s="49" t="str">
        <f ca="1">IFERROR(__xludf.DUMMYFUNCTION("""COMPUTED_VALUE"""),"")</f>
        <v/>
      </c>
      <c r="D297" s="49" t="str">
        <f ca="1">IFERROR(__xludf.DUMMYFUNCTION("""COMPUTED_VALUE"""),"")</f>
        <v/>
      </c>
      <c r="E297" s="49" t="str">
        <f ca="1">IFERROR(__xludf.DUMMYFUNCTION("""COMPUTED_VALUE"""),"NA")</f>
        <v>NA</v>
      </c>
      <c r="F297" s="49" t="str">
        <f ca="1">IFERROR(__xludf.DUMMYFUNCTION("""COMPUTED_VALUE"""),"")</f>
        <v/>
      </c>
      <c r="G297" s="49" t="str">
        <f ca="1">IFERROR(__xludf.DUMMYFUNCTION("""COMPUTED_VALUE"""),"Benjamin Clyde")</f>
        <v>Benjamin Clyde</v>
      </c>
      <c r="H297" s="49" t="str">
        <f ca="1">IFERROR(__xludf.DUMMYFUNCTION("""COMPUTED_VALUE"""),"benjamin.clyde@aruplab.com")</f>
        <v>benjamin.clyde@aruplab.com</v>
      </c>
      <c r="I297" s="49" t="str">
        <f ca="1">IFERROR(__xludf.DUMMYFUNCTION("""COMPUTED_VALUE"""),"Variant Analyst/Scientist - Industry")</f>
        <v>Variant Analyst/Scientist - Industry</v>
      </c>
      <c r="J297" s="49"/>
      <c r="K297" s="49" t="str">
        <f ca="1">IFERROR(__xludf.DUMMYFUNCTION("""COMPUTED_VALUE"""),"Dosage Sensitivity")</f>
        <v>Dosage Sensitivity</v>
      </c>
      <c r="L297" s="49"/>
      <c r="M297" s="49"/>
      <c r="N297" s="49"/>
      <c r="O297" s="49"/>
      <c r="P297" s="49"/>
      <c r="Q297" s="49"/>
      <c r="R297" s="49"/>
      <c r="S297" s="49"/>
      <c r="T297" s="49"/>
      <c r="U297" s="49"/>
      <c r="V297" s="49"/>
      <c r="W297" s="49"/>
      <c r="X297" s="49"/>
      <c r="Y297" s="49"/>
      <c r="Z297" s="49"/>
    </row>
    <row r="298" spans="1:26" ht="13">
      <c r="A298" s="49" t="str">
        <f ca="1">IFERROR(__xludf.DUMMYFUNCTION("""COMPUTED_VALUE"""),"Unassigned")</f>
        <v>Unassigned</v>
      </c>
      <c r="B298" s="49" t="str">
        <f ca="1">IFERROR(__xludf.DUMMYFUNCTION("""COMPUTED_VALUE"""),"")</f>
        <v/>
      </c>
      <c r="C298" s="49" t="str">
        <f ca="1">IFERROR(__xludf.DUMMYFUNCTION("""COMPUTED_VALUE"""),"")</f>
        <v/>
      </c>
      <c r="D298" s="49" t="str">
        <f ca="1">IFERROR(__xludf.DUMMYFUNCTION("""COMPUTED_VALUE"""),"")</f>
        <v/>
      </c>
      <c r="E298" s="49" t="str">
        <f ca="1">IFERROR(__xludf.DUMMYFUNCTION("""COMPUTED_VALUE"""),"Somatic Cancer")</f>
        <v>Somatic Cancer</v>
      </c>
      <c r="F298" s="49" t="str">
        <f ca="1">IFERROR(__xludf.DUMMYFUNCTION("""COMPUTED_VALUE"""),"")</f>
        <v/>
      </c>
      <c r="G298" s="49" t="str">
        <f ca="1">IFERROR(__xludf.DUMMYFUNCTION("""COMPUTED_VALUE"""),"cynthia chow")</f>
        <v>cynthia chow</v>
      </c>
      <c r="H298" s="49" t="str">
        <f ca="1">IFERROR(__xludf.DUMMYFUNCTION("""COMPUTED_VALUE"""),"cchow3@bccancer.bc.ca")</f>
        <v>cchow3@bccancer.bc.ca</v>
      </c>
      <c r="I298" s="49" t="str">
        <f ca="1">IFERROR(__xludf.DUMMYFUNCTION("""COMPUTED_VALUE"""),"Variant Analyst for an In-house Oncopanel and Myeloid Panels")</f>
        <v>Variant Analyst for an In-house Oncopanel and Myeloid Panels</v>
      </c>
      <c r="J298" s="49"/>
      <c r="K298" s="49" t="str">
        <f ca="1">IFERROR(__xludf.DUMMYFUNCTION("""COMPUTED_VALUE"""),"Somatic Cancer")</f>
        <v>Somatic Cancer</v>
      </c>
      <c r="L298" s="49"/>
      <c r="M298" s="49"/>
      <c r="N298" s="49"/>
      <c r="O298" s="49"/>
      <c r="P298" s="49"/>
      <c r="Q298" s="49"/>
      <c r="R298" s="49"/>
      <c r="S298" s="49"/>
      <c r="T298" s="49"/>
      <c r="U298" s="49"/>
      <c r="V298" s="49"/>
      <c r="W298" s="49"/>
      <c r="X298" s="49"/>
      <c r="Y298" s="49"/>
      <c r="Z298" s="49"/>
    </row>
    <row r="299" spans="1:26" ht="13">
      <c r="A299" s="49" t="str">
        <f ca="1">IFERROR(__xludf.DUMMYFUNCTION("""COMPUTED_VALUE"""),"Contacted")</f>
        <v>Contacted</v>
      </c>
      <c r="B299" s="88">
        <f ca="1">IFERROR(__xludf.DUMMYFUNCTION("""COMPUTED_VALUE"""),43819)</f>
        <v>43819</v>
      </c>
      <c r="C299" s="49" t="str">
        <f ca="1">IFERROR(__xludf.DUMMYFUNCTION("""COMPUTED_VALUE"""),"")</f>
        <v/>
      </c>
      <c r="D299" s="49" t="str">
        <f ca="1">IFERROR(__xludf.DUMMYFUNCTION("""COMPUTED_VALUE"""),"")</f>
        <v/>
      </c>
      <c r="E299" s="49" t="str">
        <f ca="1">IFERROR(__xludf.DUMMYFUNCTION("""COMPUTED_VALUE"""),"Gene Disease Validity")</f>
        <v>Gene Disease Validity</v>
      </c>
      <c r="F299" s="49" t="str">
        <f ca="1">IFERROR(__xludf.DUMMYFUNCTION("""COMPUTED_VALUE"""),"")</f>
        <v/>
      </c>
      <c r="G299" s="49" t="str">
        <f ca="1">IFERROR(__xludf.DUMMYFUNCTION("""COMPUTED_VALUE"""),"Marco Leung")</f>
        <v>Marco Leung</v>
      </c>
      <c r="H299" s="49" t="str">
        <f ca="1">IFERROR(__xludf.DUMMYFUNCTION("""COMPUTED_VALUE"""),"marcoleung@me.com")</f>
        <v>marcoleung@me.com</v>
      </c>
      <c r="I299" s="49" t="str">
        <f ca="1">IFERROR(__xludf.DUMMYFUNCTION("""COMPUTED_VALUE"""),"Clinical laboratory geneticist")</f>
        <v>Clinical laboratory geneticist</v>
      </c>
      <c r="J299" s="49"/>
      <c r="K299" s="49" t="str">
        <f ca="1">IFERROR(__xludf.DUMMYFUNCTION("""COMPUTED_VALUE"""),"Gene-Disease Validity")</f>
        <v>Gene-Disease Validity</v>
      </c>
      <c r="L299" s="49"/>
      <c r="M299" s="49"/>
      <c r="N299" s="49"/>
      <c r="O299" s="49"/>
      <c r="P299" s="49"/>
      <c r="Q299" s="49"/>
      <c r="R299" s="49"/>
      <c r="S299" s="49"/>
      <c r="T299" s="49"/>
      <c r="U299" s="49"/>
      <c r="V299" s="49"/>
      <c r="W299" s="49"/>
      <c r="X299" s="49"/>
      <c r="Y299" s="49"/>
      <c r="Z299" s="49"/>
    </row>
    <row r="300" spans="1:26" ht="13">
      <c r="A300" s="49" t="str">
        <f ca="1">IFERROR(__xludf.DUMMYFUNCTION("""COMPUTED_VALUE"""),"Contacted")</f>
        <v>Contacted</v>
      </c>
      <c r="B300" s="88">
        <f ca="1">IFERROR(__xludf.DUMMYFUNCTION("""COMPUTED_VALUE"""),43819)</f>
        <v>43819</v>
      </c>
      <c r="C300" s="99">
        <f ca="1">IFERROR(__xludf.DUMMYFUNCTION("""COMPUTED_VALUE"""),43846)</f>
        <v>43846</v>
      </c>
      <c r="D300" s="49" t="str">
        <f ca="1">IFERROR(__xludf.DUMMYFUNCTION("""COMPUTED_VALUE"""),"Yes")</f>
        <v>Yes</v>
      </c>
      <c r="E300" s="49" t="str">
        <f ca="1">IFERROR(__xludf.DUMMYFUNCTION("""COMPUTED_VALUE"""),"Gene Disease Validity")</f>
        <v>Gene Disease Validity</v>
      </c>
      <c r="F300" s="49" t="str">
        <f ca="1">IFERROR(__xludf.DUMMYFUNCTION("""COMPUTED_VALUE"""),"")</f>
        <v/>
      </c>
      <c r="G300" s="49" t="str">
        <f ca="1">IFERROR(__xludf.DUMMYFUNCTION("""COMPUTED_VALUE"""),"Thanuja Selvanayagam")</f>
        <v>Thanuja Selvanayagam</v>
      </c>
      <c r="H300" s="49" t="str">
        <f ca="1">IFERROR(__xludf.DUMMYFUNCTION("""COMPUTED_VALUE"""),"tselvanayagam@cheo.on.ca")</f>
        <v>tselvanayagam@cheo.on.ca</v>
      </c>
      <c r="I300" s="49" t="str">
        <f ca="1">IFERROR(__xludf.DUMMYFUNCTION("""COMPUTED_VALUE"""),"Genetic counselor")</f>
        <v>Genetic counselor</v>
      </c>
      <c r="J300" s="49"/>
      <c r="K300" s="49" t="str">
        <f ca="1">IFERROR(__xludf.DUMMYFUNCTION("""COMPUTED_VALUE"""),"Gene-Disease Validity")</f>
        <v>Gene-Disease Validity</v>
      </c>
      <c r="L300" s="49"/>
      <c r="M300" s="49"/>
      <c r="N300" s="49"/>
      <c r="O300" s="49"/>
      <c r="P300" s="49"/>
      <c r="Q300" s="49"/>
      <c r="R300" s="49"/>
      <c r="S300" s="49"/>
      <c r="T300" s="49"/>
      <c r="U300" s="49"/>
      <c r="V300" s="49"/>
      <c r="W300" s="49"/>
      <c r="X300" s="49"/>
      <c r="Y300" s="49"/>
      <c r="Z300" s="49"/>
    </row>
    <row r="301" spans="1:26" ht="13">
      <c r="A301" s="49" t="str">
        <f ca="1">IFERROR(__xludf.DUMMYFUNCTION("""COMPUTED_VALUE"""),"Assigned")</f>
        <v>Assigned</v>
      </c>
      <c r="B301" s="87">
        <f ca="1">IFERROR(__xludf.DUMMYFUNCTION("""COMPUTED_VALUE"""),43860)</f>
        <v>43860</v>
      </c>
      <c r="C301" s="49" t="str">
        <f ca="1">IFERROR(__xludf.DUMMYFUNCTION("""COMPUTED_VALUE"""),"")</f>
        <v/>
      </c>
      <c r="D301" s="49" t="str">
        <f ca="1">IFERROR(__xludf.DUMMYFUNCTION("""COMPUTED_VALUE"""),"")</f>
        <v/>
      </c>
      <c r="E301" s="49" t="str">
        <f ca="1">IFERROR(__xludf.DUMMYFUNCTION("""COMPUTED_VALUE"""),"Actionability")</f>
        <v>Actionability</v>
      </c>
      <c r="F301" s="49" t="str">
        <f ca="1">IFERROR(__xludf.DUMMYFUNCTION("""COMPUTED_VALUE"""),"")</f>
        <v/>
      </c>
      <c r="G301" s="49" t="str">
        <f ca="1">IFERROR(__xludf.DUMMYFUNCTION("""COMPUTED_VALUE"""),"Shrutika Jadhav")</f>
        <v>Shrutika Jadhav</v>
      </c>
      <c r="H301" s="49" t="str">
        <f ca="1">IFERROR(__xludf.DUMMYFUNCTION("""COMPUTED_VALUE"""),"shrutikajadhav18@gmail.com")</f>
        <v>shrutikajadhav18@gmail.com</v>
      </c>
      <c r="I301" s="49" t="str">
        <f ca="1">IFERROR(__xludf.DUMMYFUNCTION("""COMPUTED_VALUE"""),"Graduate Student")</f>
        <v>Graduate Student</v>
      </c>
      <c r="J301" s="49"/>
      <c r="K301" s="49" t="str">
        <f ca="1">IFERROR(__xludf.DUMMYFUNCTION("""COMPUTED_VALUE"""),"Clinical Actionability")</f>
        <v>Clinical Actionability</v>
      </c>
      <c r="L301" s="49"/>
      <c r="M301" s="49"/>
      <c r="N301" s="49"/>
      <c r="O301" s="49"/>
      <c r="P301" s="49"/>
      <c r="Q301" s="49"/>
      <c r="R301" s="49"/>
      <c r="S301" s="49"/>
      <c r="T301" s="49"/>
      <c r="U301" s="49"/>
      <c r="V301" s="49"/>
      <c r="W301" s="49"/>
      <c r="X301" s="49"/>
      <c r="Y301" s="49"/>
      <c r="Z301" s="49"/>
    </row>
    <row r="302" spans="1:26" ht="13">
      <c r="A302" s="49" t="str">
        <f ca="1">IFERROR(__xludf.DUMMYFUNCTION("""COMPUTED_VALUE"""),"Contacted")</f>
        <v>Contacted</v>
      </c>
      <c r="B302" s="88">
        <f ca="1">IFERROR(__xludf.DUMMYFUNCTION("""COMPUTED_VALUE"""),43838)</f>
        <v>43838</v>
      </c>
      <c r="C302" s="49" t="str">
        <f ca="1">IFERROR(__xludf.DUMMYFUNCTION("""COMPUTED_VALUE"""),"")</f>
        <v/>
      </c>
      <c r="D302" s="49" t="str">
        <f ca="1">IFERROR(__xludf.DUMMYFUNCTION("""COMPUTED_VALUE"""),"")</f>
        <v/>
      </c>
      <c r="E302" s="49" t="str">
        <f ca="1">IFERROR(__xludf.DUMMYFUNCTION("""COMPUTED_VALUE"""),"Gene Disease Validity")</f>
        <v>Gene Disease Validity</v>
      </c>
      <c r="F302" s="49" t="str">
        <f ca="1">IFERROR(__xludf.DUMMYFUNCTION("""COMPUTED_VALUE"""),"")</f>
        <v/>
      </c>
      <c r="G302" s="49" t="str">
        <f ca="1">IFERROR(__xludf.DUMMYFUNCTION("""COMPUTED_VALUE"""),"JACQUELINE BATANIAN")</f>
        <v>JACQUELINE BATANIAN</v>
      </c>
      <c r="H302" s="49" t="str">
        <f ca="1">IFERROR(__xludf.DUMMYFUNCTION("""COMPUTED_VALUE"""),"JACQUELINE.BATANIAN@HEALTH.SLU.EDU")</f>
        <v>JACQUELINE.BATANIAN@HEALTH.SLU.EDU</v>
      </c>
      <c r="I302" s="49" t="str">
        <f ca="1">IFERROR(__xludf.DUMMYFUNCTION("""COMPUTED_VALUE"""),"Clinical laboratory geneticist")</f>
        <v>Clinical laboratory geneticist</v>
      </c>
      <c r="J302" s="49"/>
      <c r="K302" s="49" t="str">
        <f ca="1">IFERROR(__xludf.DUMMYFUNCTION("""COMPUTED_VALUE"""),"Gene-Disease Validity")</f>
        <v>Gene-Disease Validity</v>
      </c>
      <c r="L302" s="49"/>
      <c r="M302" s="49"/>
      <c r="N302" s="49"/>
      <c r="O302" s="49"/>
      <c r="P302" s="49"/>
      <c r="Q302" s="49"/>
      <c r="R302" s="49"/>
      <c r="S302" s="49"/>
      <c r="T302" s="49"/>
      <c r="U302" s="49"/>
      <c r="V302" s="49"/>
      <c r="W302" s="49"/>
      <c r="X302" s="49"/>
      <c r="Y302" s="49"/>
      <c r="Z302" s="49"/>
    </row>
    <row r="303" spans="1:26" ht="13">
      <c r="A303" s="49" t="str">
        <f ca="1">IFERROR(__xludf.DUMMYFUNCTION("""COMPUTED_VALUE"""),"Unassigned")</f>
        <v>Unassigned</v>
      </c>
      <c r="B303" s="49" t="str">
        <f ca="1">IFERROR(__xludf.DUMMYFUNCTION("""COMPUTED_VALUE"""),"")</f>
        <v/>
      </c>
      <c r="C303" s="49" t="str">
        <f ca="1">IFERROR(__xludf.DUMMYFUNCTION("""COMPUTED_VALUE"""),"")</f>
        <v/>
      </c>
      <c r="D303" s="49" t="str">
        <f ca="1">IFERROR(__xludf.DUMMYFUNCTION("""COMPUTED_VALUE"""),"")</f>
        <v/>
      </c>
      <c r="E303" s="49" t="str">
        <f ca="1">IFERROR(__xludf.DUMMYFUNCTION("""COMPUTED_VALUE"""),"NA")</f>
        <v>NA</v>
      </c>
      <c r="F303" s="49" t="str">
        <f ca="1">IFERROR(__xludf.DUMMYFUNCTION("""COMPUTED_VALUE"""),"")</f>
        <v/>
      </c>
      <c r="G303" s="49" t="str">
        <f ca="1">IFERROR(__xludf.DUMMYFUNCTION("""COMPUTED_VALUE"""),"Nan Jiang")</f>
        <v>Nan Jiang</v>
      </c>
      <c r="H303" s="49" t="str">
        <f ca="1">IFERROR(__xludf.DUMMYFUNCTION("""COMPUTED_VALUE"""),"nj2421@cumc.columbia.edu")</f>
        <v>nj2421@cumc.columbia.edu</v>
      </c>
      <c r="I303" s="49" t="str">
        <f ca="1">IFERROR(__xludf.DUMMYFUNCTION("""COMPUTED_VALUE"""),"Post Doc/Resident/Fellow (MD and/or PhD)")</f>
        <v>Post Doc/Resident/Fellow (MD and/or PhD)</v>
      </c>
      <c r="J303" s="49"/>
      <c r="K303" s="49" t="str">
        <f ca="1">IFERROR(__xludf.DUMMYFUNCTION("""COMPUTED_VALUE"""),"Somatic Cancer")</f>
        <v>Somatic Cancer</v>
      </c>
      <c r="L303" s="49"/>
      <c r="M303" s="49"/>
      <c r="N303" s="49"/>
      <c r="O303" s="49"/>
      <c r="P303" s="49"/>
      <c r="Q303" s="49"/>
      <c r="R303" s="49"/>
      <c r="S303" s="49"/>
      <c r="T303" s="49"/>
      <c r="U303" s="49"/>
      <c r="V303" s="49"/>
      <c r="W303" s="49"/>
      <c r="X303" s="49"/>
      <c r="Y303" s="49"/>
      <c r="Z303" s="49"/>
    </row>
    <row r="304" spans="1:26" ht="13">
      <c r="A304" s="49" t="str">
        <f ca="1">IFERROR(__xludf.DUMMYFUNCTION("""COMPUTED_VALUE"""),"Unassigned")</f>
        <v>Unassigned</v>
      </c>
      <c r="B304" s="49" t="str">
        <f ca="1">IFERROR(__xludf.DUMMYFUNCTION("""COMPUTED_VALUE"""),"")</f>
        <v/>
      </c>
      <c r="C304" s="49" t="str">
        <f ca="1">IFERROR(__xludf.DUMMYFUNCTION("""COMPUTED_VALUE"""),"")</f>
        <v/>
      </c>
      <c r="D304" s="49" t="str">
        <f ca="1">IFERROR(__xludf.DUMMYFUNCTION("""COMPUTED_VALUE"""),"")</f>
        <v/>
      </c>
      <c r="E304" s="49" t="str">
        <f ca="1">IFERROR(__xludf.DUMMYFUNCTION("""COMPUTED_VALUE"""),"NA")</f>
        <v>NA</v>
      </c>
      <c r="F304" s="49" t="str">
        <f ca="1">IFERROR(__xludf.DUMMYFUNCTION("""COMPUTED_VALUE"""),"")</f>
        <v/>
      </c>
      <c r="G304" s="49" t="str">
        <f ca="1">IFERROR(__xludf.DUMMYFUNCTION("""COMPUTED_VALUE"""),"Jaime Nagy")</f>
        <v>Jaime Nagy</v>
      </c>
      <c r="H304" s="49" t="str">
        <f ca="1">IFERROR(__xludf.DUMMYFUNCTION("""COMPUTED_VALUE"""),"jaime-nagy@uiowa.edu")</f>
        <v>jaime-nagy@uiowa.edu</v>
      </c>
      <c r="I304" s="49" t="str">
        <f ca="1">IFERROR(__xludf.DUMMYFUNCTION("""COMPUTED_VALUE"""),"Clinical laboratory geneticist")</f>
        <v>Clinical laboratory geneticist</v>
      </c>
      <c r="J304" s="49"/>
      <c r="K304" s="49" t="str">
        <f ca="1">IFERROR(__xludf.DUMMYFUNCTION("""COMPUTED_VALUE"""),"Dosage Sensitivity")</f>
        <v>Dosage Sensitivity</v>
      </c>
      <c r="L304" s="49"/>
      <c r="M304" s="49"/>
      <c r="N304" s="49"/>
      <c r="O304" s="49"/>
      <c r="P304" s="49"/>
      <c r="Q304" s="49"/>
      <c r="R304" s="49"/>
      <c r="S304" s="49"/>
      <c r="T304" s="49"/>
      <c r="U304" s="49"/>
      <c r="V304" s="49"/>
      <c r="W304" s="49"/>
      <c r="X304" s="49"/>
      <c r="Y304" s="49"/>
      <c r="Z304" s="49"/>
    </row>
    <row r="305" spans="1:26" ht="13">
      <c r="A305" s="49" t="str">
        <f ca="1">IFERROR(__xludf.DUMMYFUNCTION("""COMPUTED_VALUE"""),"Unassigned")</f>
        <v>Unassigned</v>
      </c>
      <c r="B305" s="49" t="str">
        <f ca="1">IFERROR(__xludf.DUMMYFUNCTION("""COMPUTED_VALUE"""),"")</f>
        <v/>
      </c>
      <c r="C305" s="49" t="str">
        <f ca="1">IFERROR(__xludf.DUMMYFUNCTION("""COMPUTED_VALUE"""),"")</f>
        <v/>
      </c>
      <c r="D305" s="49" t="str">
        <f ca="1">IFERROR(__xludf.DUMMYFUNCTION("""COMPUTED_VALUE"""),"")</f>
        <v/>
      </c>
      <c r="E305" s="49" t="str">
        <f ca="1">IFERROR(__xludf.DUMMYFUNCTION("""COMPUTED_VALUE"""),"NA")</f>
        <v>NA</v>
      </c>
      <c r="F305" s="49" t="str">
        <f ca="1">IFERROR(__xludf.DUMMYFUNCTION("""COMPUTED_VALUE"""),"")</f>
        <v/>
      </c>
      <c r="G305" s="49" t="str">
        <f ca="1">IFERROR(__xludf.DUMMYFUNCTION("""COMPUTED_VALUE"""),"Indu Raja")</f>
        <v>Indu Raja</v>
      </c>
      <c r="H305" s="49" t="str">
        <f ca="1">IFERROR(__xludf.DUMMYFUNCTION("""COMPUTED_VALUE"""),"indudraja@gmail.com")</f>
        <v>indudraja@gmail.com</v>
      </c>
      <c r="I305" s="49" t="str">
        <f ca="1">IFERROR(__xludf.DUMMYFUNCTION("""COMPUTED_VALUE"""),"Laboratory Technologist")</f>
        <v>Laboratory Technologist</v>
      </c>
      <c r="J305" s="49"/>
      <c r="K305" s="49" t="str">
        <f ca="1">IFERROR(__xludf.DUMMYFUNCTION("""COMPUTED_VALUE"""),"Gene-Disease Validity")</f>
        <v>Gene-Disease Validity</v>
      </c>
      <c r="L305" s="49"/>
      <c r="M305" s="49"/>
      <c r="N305" s="49"/>
      <c r="O305" s="49"/>
      <c r="P305" s="49"/>
      <c r="Q305" s="49"/>
      <c r="R305" s="49"/>
      <c r="S305" s="49"/>
      <c r="T305" s="49"/>
      <c r="U305" s="49"/>
      <c r="V305" s="49"/>
      <c r="W305" s="49"/>
      <c r="X305" s="49"/>
      <c r="Y305" s="49"/>
      <c r="Z305" s="49"/>
    </row>
    <row r="306" spans="1:26" ht="13">
      <c r="A306" s="49" t="str">
        <f ca="1">IFERROR(__xludf.DUMMYFUNCTION("""COMPUTED_VALUE"""),"Contacted")</f>
        <v>Contacted</v>
      </c>
      <c r="B306" s="99">
        <f ca="1">IFERROR(__xludf.DUMMYFUNCTION("""COMPUTED_VALUE"""),43847)</f>
        <v>43847</v>
      </c>
      <c r="C306" s="49" t="str">
        <f ca="1">IFERROR(__xludf.DUMMYFUNCTION("""COMPUTED_VALUE"""),"")</f>
        <v/>
      </c>
      <c r="D306" s="49" t="str">
        <f ca="1">IFERROR(__xludf.DUMMYFUNCTION("""COMPUTED_VALUE"""),"")</f>
        <v/>
      </c>
      <c r="E306" s="49" t="str">
        <f ca="1">IFERROR(__xludf.DUMMYFUNCTION("""COMPUTED_VALUE"""),"Variant Pathogenicity")</f>
        <v>Variant Pathogenicity</v>
      </c>
      <c r="F306" s="49" t="str">
        <f ca="1">IFERROR(__xludf.DUMMYFUNCTION("""COMPUTED_VALUE"""),"")</f>
        <v/>
      </c>
      <c r="G306" s="49" t="str">
        <f ca="1">IFERROR(__xludf.DUMMYFUNCTION("""COMPUTED_VALUE"""),"Kendrah Kidd")</f>
        <v>Kendrah Kidd</v>
      </c>
      <c r="H306" s="49" t="str">
        <f ca="1">IFERROR(__xludf.DUMMYFUNCTION("""COMPUTED_VALUE"""),"kkidd@wakehealth.edu")</f>
        <v>kkidd@wakehealth.edu</v>
      </c>
      <c r="I306" s="49" t="str">
        <f ca="1">IFERROR(__xludf.DUMMYFUNCTION("""COMPUTED_VALUE"""),"Scientific Researcher")</f>
        <v>Scientific Researcher</v>
      </c>
      <c r="J306" s="49"/>
      <c r="K306" s="49" t="str">
        <f ca="1">IFERROR(__xludf.DUMMYFUNCTION("""COMPUTED_VALUE"""),"Variant Pathogenicity")</f>
        <v>Variant Pathogenicity</v>
      </c>
      <c r="L306" s="49"/>
      <c r="M306" s="49"/>
      <c r="N306" s="49"/>
      <c r="O306" s="49"/>
      <c r="P306" s="49"/>
      <c r="Q306" s="49"/>
      <c r="R306" s="49"/>
      <c r="S306" s="49"/>
      <c r="T306" s="49"/>
      <c r="U306" s="49"/>
      <c r="V306" s="49"/>
      <c r="W306" s="49"/>
      <c r="X306" s="49"/>
      <c r="Y306" s="49"/>
      <c r="Z306" s="49"/>
    </row>
    <row r="307" spans="1:26" ht="13">
      <c r="A307" s="49" t="str">
        <f ca="1">IFERROR(__xludf.DUMMYFUNCTION("""COMPUTED_VALUE"""),"Unassigned")</f>
        <v>Unassigned</v>
      </c>
      <c r="B307" s="49" t="str">
        <f ca="1">IFERROR(__xludf.DUMMYFUNCTION("""COMPUTED_VALUE"""),"")</f>
        <v/>
      </c>
      <c r="C307" s="49" t="str">
        <f ca="1">IFERROR(__xludf.DUMMYFUNCTION("""COMPUTED_VALUE"""),"")</f>
        <v/>
      </c>
      <c r="D307" s="49" t="str">
        <f ca="1">IFERROR(__xludf.DUMMYFUNCTION("""COMPUTED_VALUE"""),"")</f>
        <v/>
      </c>
      <c r="E307" s="49" t="str">
        <f ca="1">IFERROR(__xludf.DUMMYFUNCTION("""COMPUTED_VALUE"""),"NA")</f>
        <v>NA</v>
      </c>
      <c r="F307" s="49" t="str">
        <f ca="1">IFERROR(__xludf.DUMMYFUNCTION("""COMPUTED_VALUE"""),"")</f>
        <v/>
      </c>
      <c r="G307" s="49" t="str">
        <f ca="1">IFERROR(__xludf.DUMMYFUNCTION("""COMPUTED_VALUE"""),"Joanne Adelberg")</f>
        <v>Joanne Adelberg</v>
      </c>
      <c r="H307" s="49" t="str">
        <f ca="1">IFERROR(__xludf.DUMMYFUNCTION("""COMPUTED_VALUE"""),"joanneadelberg@gmail.com")</f>
        <v>joanneadelberg@gmail.com</v>
      </c>
      <c r="I307" s="49" t="str">
        <f ca="1">IFERROR(__xludf.DUMMYFUNCTION("""COMPUTED_VALUE"""),"Scientific Researcher")</f>
        <v>Scientific Researcher</v>
      </c>
      <c r="J307" s="49"/>
      <c r="K307" s="49" t="str">
        <f ca="1">IFERROR(__xludf.DUMMYFUNCTION("""COMPUTED_VALUE"""),"Gene-Disease Validity")</f>
        <v>Gene-Disease Validity</v>
      </c>
      <c r="L307" s="49"/>
      <c r="M307" s="49"/>
      <c r="N307" s="49"/>
      <c r="O307" s="49"/>
      <c r="P307" s="49"/>
      <c r="Q307" s="49"/>
      <c r="R307" s="49"/>
      <c r="S307" s="49"/>
      <c r="T307" s="49"/>
      <c r="U307" s="49"/>
      <c r="V307" s="49"/>
      <c r="W307" s="49"/>
      <c r="X307" s="49"/>
      <c r="Y307" s="49"/>
      <c r="Z307" s="49"/>
    </row>
    <row r="308" spans="1:26" ht="13">
      <c r="A308" s="49" t="str">
        <f ca="1">IFERROR(__xludf.DUMMYFUNCTION("""COMPUTED_VALUE"""),"Contacted")</f>
        <v>Contacted</v>
      </c>
      <c r="B308" s="49" t="str">
        <f ca="1">IFERROR(__xludf.DUMMYFUNCTION("""COMPUTED_VALUE"""),"")</f>
        <v/>
      </c>
      <c r="C308" s="99">
        <f ca="1">IFERROR(__xludf.DUMMYFUNCTION("""COMPUTED_VALUE"""),43846)</f>
        <v>43846</v>
      </c>
      <c r="D308" s="49" t="str">
        <f ca="1">IFERROR(__xludf.DUMMYFUNCTION("""COMPUTED_VALUE"""),"Yes")</f>
        <v>Yes</v>
      </c>
      <c r="E308" s="49" t="str">
        <f ca="1">IFERROR(__xludf.DUMMYFUNCTION("""COMPUTED_VALUE"""),"Gene Disease Validity")</f>
        <v>Gene Disease Validity</v>
      </c>
      <c r="F308" s="49" t="str">
        <f ca="1">IFERROR(__xludf.DUMMYFUNCTION("""COMPUTED_VALUE"""),"")</f>
        <v/>
      </c>
      <c r="G308" s="49" t="str">
        <f ca="1">IFERROR(__xludf.DUMMYFUNCTION("""COMPUTED_VALUE"""),"Julie Hathaway")</f>
        <v>Julie Hathaway</v>
      </c>
      <c r="H308" s="49" t="str">
        <f ca="1">IFERROR(__xludf.DUMMYFUNCTION("""COMPUTED_VALUE"""),"julie.hathaway@blueprintgenetics.com")</f>
        <v>julie.hathaway@blueprintgenetics.com</v>
      </c>
      <c r="I308" s="49" t="str">
        <f ca="1">IFERROR(__xludf.DUMMYFUNCTION("""COMPUTED_VALUE"""),"Genetic counselor")</f>
        <v>Genetic counselor</v>
      </c>
      <c r="J308" s="49"/>
      <c r="K308" s="49" t="str">
        <f ca="1">IFERROR(__xludf.DUMMYFUNCTION("""COMPUTED_VALUE"""),"Gene-Disease Validity")</f>
        <v>Gene-Disease Validity</v>
      </c>
      <c r="L308" s="49"/>
      <c r="M308" s="49"/>
      <c r="N308" s="49"/>
      <c r="O308" s="49"/>
      <c r="P308" s="49"/>
      <c r="Q308" s="49"/>
      <c r="R308" s="49"/>
      <c r="S308" s="49"/>
      <c r="T308" s="49"/>
      <c r="U308" s="49"/>
      <c r="V308" s="49"/>
      <c r="W308" s="49"/>
      <c r="X308" s="49"/>
      <c r="Y308" s="49"/>
      <c r="Z308" s="49"/>
    </row>
    <row r="309" spans="1:26" ht="13">
      <c r="A309" s="49" t="str">
        <f ca="1">IFERROR(__xludf.DUMMYFUNCTION("""COMPUTED_VALUE"""),"Contacted")</f>
        <v>Contacted</v>
      </c>
      <c r="B309" s="49" t="str">
        <f ca="1">IFERROR(__xludf.DUMMYFUNCTION("""COMPUTED_VALUE"""),"")</f>
        <v/>
      </c>
      <c r="C309" s="99">
        <f ca="1">IFERROR(__xludf.DUMMYFUNCTION("""COMPUTED_VALUE"""),43846)</f>
        <v>43846</v>
      </c>
      <c r="D309" s="49" t="str">
        <f ca="1">IFERROR(__xludf.DUMMYFUNCTION("""COMPUTED_VALUE"""),"Yes")</f>
        <v>Yes</v>
      </c>
      <c r="E309" s="49" t="str">
        <f ca="1">IFERROR(__xludf.DUMMYFUNCTION("""COMPUTED_VALUE"""),"Gene Disease Validity")</f>
        <v>Gene Disease Validity</v>
      </c>
      <c r="F309" s="49" t="str">
        <f ca="1">IFERROR(__xludf.DUMMYFUNCTION("""COMPUTED_VALUE"""),"")</f>
        <v/>
      </c>
      <c r="G309" s="49" t="str">
        <f ca="1">IFERROR(__xludf.DUMMYFUNCTION("""COMPUTED_VALUE"""),"Devon Thrush")</f>
        <v>Devon Thrush</v>
      </c>
      <c r="H309" s="49" t="str">
        <f ca="1">IFERROR(__xludf.DUMMYFUNCTION("""COMPUTED_VALUE"""),"dthrush@ambrygen.com")</f>
        <v>dthrush@ambrygen.com</v>
      </c>
      <c r="I309" s="49" t="str">
        <f ca="1">IFERROR(__xludf.DUMMYFUNCTION("""COMPUTED_VALUE"""),"Genetic counselor")</f>
        <v>Genetic counselor</v>
      </c>
      <c r="J309" s="49"/>
      <c r="K309" s="49" t="str">
        <f ca="1">IFERROR(__xludf.DUMMYFUNCTION("""COMPUTED_VALUE"""),"Gene-Disease Validity")</f>
        <v>Gene-Disease Validity</v>
      </c>
      <c r="L309" s="49"/>
      <c r="M309" s="49"/>
      <c r="N309" s="49"/>
      <c r="O309" s="49"/>
      <c r="P309" s="49"/>
      <c r="Q309" s="49"/>
      <c r="R309" s="49"/>
      <c r="S309" s="49"/>
      <c r="T309" s="49"/>
      <c r="U309" s="49"/>
      <c r="V309" s="49"/>
      <c r="W309" s="49"/>
      <c r="X309" s="49"/>
      <c r="Y309" s="49"/>
      <c r="Z309" s="49"/>
    </row>
    <row r="310" spans="1:26" ht="13">
      <c r="A310" s="49" t="str">
        <f ca="1">IFERROR(__xludf.DUMMYFUNCTION("""COMPUTED_VALUE"""),"Contacted")</f>
        <v>Contacted</v>
      </c>
      <c r="B310" s="99">
        <f ca="1">IFERROR(__xludf.DUMMYFUNCTION("""COMPUTED_VALUE"""),43482)</f>
        <v>43482</v>
      </c>
      <c r="C310" s="99">
        <f ca="1">IFERROR(__xludf.DUMMYFUNCTION("""COMPUTED_VALUE"""),43846)</f>
        <v>43846</v>
      </c>
      <c r="D310" s="49" t="str">
        <f ca="1">IFERROR(__xludf.DUMMYFUNCTION("""COMPUTED_VALUE"""),"Yes")</f>
        <v>Yes</v>
      </c>
      <c r="E310" s="49" t="str">
        <f ca="1">IFERROR(__xludf.DUMMYFUNCTION("""COMPUTED_VALUE"""),"Variant Pathogenicity")</f>
        <v>Variant Pathogenicity</v>
      </c>
      <c r="F310" s="49" t="str">
        <f ca="1">IFERROR(__xludf.DUMMYFUNCTION("""COMPUTED_VALUE"""),"")</f>
        <v/>
      </c>
      <c r="G310" s="49" t="str">
        <f ca="1">IFERROR(__xludf.DUMMYFUNCTION("""COMPUTED_VALUE"""),"Adriana Bastos Carvalho")</f>
        <v>Adriana Bastos Carvalho</v>
      </c>
      <c r="H310" s="49" t="str">
        <f ca="1">IFERROR(__xludf.DUMMYFUNCTION("""COMPUTED_VALUE"""),"carvalhoab@biof.ufrj.br")</f>
        <v>carvalhoab@biof.ufrj.br</v>
      </c>
      <c r="I310" s="49" t="str">
        <f ca="1">IFERROR(__xludf.DUMMYFUNCTION("""COMPUTED_VALUE"""),"Scientific Researcher")</f>
        <v>Scientific Researcher</v>
      </c>
      <c r="J310" s="49"/>
      <c r="K310" s="49" t="str">
        <f ca="1">IFERROR(__xludf.DUMMYFUNCTION("""COMPUTED_VALUE"""),"Variant Pathogenicity")</f>
        <v>Variant Pathogenicity</v>
      </c>
      <c r="L310" s="49"/>
      <c r="M310" s="49"/>
      <c r="N310" s="49"/>
      <c r="O310" s="49"/>
      <c r="P310" s="49"/>
      <c r="Q310" s="49"/>
      <c r="R310" s="49"/>
      <c r="S310" s="49"/>
      <c r="T310" s="49"/>
      <c r="U310" s="49"/>
      <c r="V310" s="49"/>
      <c r="W310" s="49"/>
      <c r="X310" s="49"/>
      <c r="Y310" s="49"/>
      <c r="Z310" s="49"/>
    </row>
    <row r="311" spans="1:26" ht="13">
      <c r="A311" s="49" t="str">
        <f ca="1">IFERROR(__xludf.DUMMYFUNCTION("""COMPUTED_VALUE"""),"Contacted")</f>
        <v>Contacted</v>
      </c>
      <c r="B311" s="49" t="str">
        <f ca="1">IFERROR(__xludf.DUMMYFUNCTION("""COMPUTED_VALUE"""),"")</f>
        <v/>
      </c>
      <c r="C311" s="99">
        <f ca="1">IFERROR(__xludf.DUMMYFUNCTION("""COMPUTED_VALUE"""),43846)</f>
        <v>43846</v>
      </c>
      <c r="D311" s="49" t="str">
        <f ca="1">IFERROR(__xludf.DUMMYFUNCTION("""COMPUTED_VALUE"""),"Yes")</f>
        <v>Yes</v>
      </c>
      <c r="E311" s="49" t="str">
        <f ca="1">IFERROR(__xludf.DUMMYFUNCTION("""COMPUTED_VALUE"""),"Gene Disease Validity")</f>
        <v>Gene Disease Validity</v>
      </c>
      <c r="F311" s="49" t="str">
        <f ca="1">IFERROR(__xludf.DUMMYFUNCTION("""COMPUTED_VALUE"""),"")</f>
        <v/>
      </c>
      <c r="G311" s="49" t="str">
        <f ca="1">IFERROR(__xludf.DUMMYFUNCTION("""COMPUTED_VALUE"""),"Shiloh Martin")</f>
        <v>Shiloh Martin</v>
      </c>
      <c r="H311" s="49" t="str">
        <f ca="1">IFERROR(__xludf.DUMMYFUNCTION("""COMPUTED_VALUE"""),"shiloh.martin@invitae.com")</f>
        <v>shiloh.martin@invitae.com</v>
      </c>
      <c r="I311" s="49" t="str">
        <f ca="1">IFERROR(__xludf.DUMMYFUNCTION("""COMPUTED_VALUE"""),"Variant Analyst/Scientist - Industry")</f>
        <v>Variant Analyst/Scientist - Industry</v>
      </c>
      <c r="J311" s="49"/>
      <c r="K311" s="49" t="str">
        <f ca="1">IFERROR(__xludf.DUMMYFUNCTION("""COMPUTED_VALUE"""),"Gene-Disease Validity")</f>
        <v>Gene-Disease Validity</v>
      </c>
      <c r="L311" s="49"/>
      <c r="M311" s="49"/>
      <c r="N311" s="49"/>
      <c r="O311" s="49"/>
      <c r="P311" s="49"/>
      <c r="Q311" s="49"/>
      <c r="R311" s="49"/>
      <c r="S311" s="49"/>
      <c r="T311" s="49"/>
      <c r="U311" s="49"/>
      <c r="V311" s="49"/>
      <c r="W311" s="49"/>
      <c r="X311" s="49"/>
      <c r="Y311" s="49"/>
      <c r="Z311" s="49"/>
    </row>
    <row r="312" spans="1:26" ht="13">
      <c r="A312" s="49" t="str">
        <f ca="1">IFERROR(__xludf.DUMMYFUNCTION("""COMPUTED_VALUE"""),"Unassigned")</f>
        <v>Unassigned</v>
      </c>
      <c r="B312" s="49" t="str">
        <f ca="1">IFERROR(__xludf.DUMMYFUNCTION("""COMPUTED_VALUE"""),"")</f>
        <v/>
      </c>
      <c r="C312" s="49" t="str">
        <f ca="1">IFERROR(__xludf.DUMMYFUNCTION("""COMPUTED_VALUE"""),"")</f>
        <v/>
      </c>
      <c r="D312" s="49" t="str">
        <f ca="1">IFERROR(__xludf.DUMMYFUNCTION("""COMPUTED_VALUE"""),"")</f>
        <v/>
      </c>
      <c r="E312" s="49" t="str">
        <f ca="1">IFERROR(__xludf.DUMMYFUNCTION("""COMPUTED_VALUE"""),"NA")</f>
        <v>NA</v>
      </c>
      <c r="F312" s="49" t="str">
        <f ca="1">IFERROR(__xludf.DUMMYFUNCTION("""COMPUTED_VALUE"""),"")</f>
        <v/>
      </c>
      <c r="G312" s="49" t="str">
        <f ca="1">IFERROR(__xludf.DUMMYFUNCTION("""COMPUTED_VALUE"""),"Jennifer Holle")</f>
        <v>Jennifer Holle</v>
      </c>
      <c r="H312" s="49" t="str">
        <f ca="1">IFERROR(__xludf.DUMMYFUNCTION("""COMPUTED_VALUE"""),"jennifer.holle@invitae.com")</f>
        <v>jennifer.holle@invitae.com</v>
      </c>
      <c r="I312" s="49" t="str">
        <f ca="1">IFERROR(__xludf.DUMMYFUNCTION("""COMPUTED_VALUE"""),"Variant Analyst/Scientist - Industry")</f>
        <v>Variant Analyst/Scientist - Industry</v>
      </c>
      <c r="J312" s="49"/>
      <c r="K312" s="49" t="str">
        <f ca="1">IFERROR(__xludf.DUMMYFUNCTION("""COMPUTED_VALUE"""),"Gene-Disease Validity")</f>
        <v>Gene-Disease Validity</v>
      </c>
      <c r="L312" s="49"/>
      <c r="M312" s="49"/>
      <c r="N312" s="49"/>
      <c r="O312" s="49"/>
      <c r="P312" s="49"/>
      <c r="Q312" s="49"/>
      <c r="R312" s="49"/>
      <c r="S312" s="49"/>
      <c r="T312" s="49"/>
      <c r="U312" s="49"/>
      <c r="V312" s="49"/>
      <c r="W312" s="49"/>
      <c r="X312" s="49"/>
      <c r="Y312" s="49"/>
      <c r="Z312" s="49"/>
    </row>
    <row r="313" spans="1:26" ht="13">
      <c r="A313" s="49" t="str">
        <f ca="1">IFERROR(__xludf.DUMMYFUNCTION("""COMPUTED_VALUE"""),"Unassigned")</f>
        <v>Unassigned</v>
      </c>
      <c r="B313" s="49" t="str">
        <f ca="1">IFERROR(__xludf.DUMMYFUNCTION("""COMPUTED_VALUE"""),"")</f>
        <v/>
      </c>
      <c r="C313" s="49" t="str">
        <f ca="1">IFERROR(__xludf.DUMMYFUNCTION("""COMPUTED_VALUE"""),"")</f>
        <v/>
      </c>
      <c r="D313" s="49" t="str">
        <f ca="1">IFERROR(__xludf.DUMMYFUNCTION("""COMPUTED_VALUE"""),"")</f>
        <v/>
      </c>
      <c r="E313" s="49" t="str">
        <f ca="1">IFERROR(__xludf.DUMMYFUNCTION("""COMPUTED_VALUE"""),"NA")</f>
        <v>NA</v>
      </c>
      <c r="F313" s="49" t="str">
        <f ca="1">IFERROR(__xludf.DUMMYFUNCTION("""COMPUTED_VALUE"""),"")</f>
        <v/>
      </c>
      <c r="G313" s="49" t="str">
        <f ca="1">IFERROR(__xludf.DUMMYFUNCTION("""COMPUTED_VALUE"""),"Emily Hansen-Kiss")</f>
        <v>Emily Hansen-Kiss</v>
      </c>
      <c r="H313" s="49" t="str">
        <f ca="1">IFERROR(__xludf.DUMMYFUNCTION("""COMPUTED_VALUE"""),"Emily.HansenKiss@uth.tmc.edu")</f>
        <v>Emily.HansenKiss@uth.tmc.edu</v>
      </c>
      <c r="I313" s="49" t="str">
        <f ca="1">IFERROR(__xludf.DUMMYFUNCTION("""COMPUTED_VALUE"""),"Genetic counselor")</f>
        <v>Genetic counselor</v>
      </c>
      <c r="J313" s="49"/>
      <c r="K313" s="49" t="str">
        <f ca="1">IFERROR(__xludf.DUMMYFUNCTION("""COMPUTED_VALUE"""),"Variant Pathogenicity")</f>
        <v>Variant Pathogenicity</v>
      </c>
      <c r="L313" s="49"/>
      <c r="M313" s="49"/>
      <c r="N313" s="49"/>
      <c r="O313" s="49"/>
      <c r="P313" s="49"/>
      <c r="Q313" s="49"/>
      <c r="R313" s="49"/>
      <c r="S313" s="49"/>
      <c r="T313" s="49"/>
      <c r="U313" s="49"/>
      <c r="V313" s="49"/>
      <c r="W313" s="49"/>
      <c r="X313" s="49"/>
      <c r="Y313" s="49"/>
      <c r="Z313" s="49"/>
    </row>
    <row r="314" spans="1:26" ht="13">
      <c r="A314" s="49" t="str">
        <f ca="1">IFERROR(__xludf.DUMMYFUNCTION("""COMPUTED_VALUE"""),"Unassigned")</f>
        <v>Unassigned</v>
      </c>
      <c r="B314" s="49" t="str">
        <f ca="1">IFERROR(__xludf.DUMMYFUNCTION("""COMPUTED_VALUE"""),"")</f>
        <v/>
      </c>
      <c r="C314" s="49" t="str">
        <f ca="1">IFERROR(__xludf.DUMMYFUNCTION("""COMPUTED_VALUE"""),"")</f>
        <v/>
      </c>
      <c r="D314" s="49" t="str">
        <f ca="1">IFERROR(__xludf.DUMMYFUNCTION("""COMPUTED_VALUE"""),"")</f>
        <v/>
      </c>
      <c r="E314" s="49" t="str">
        <f ca="1">IFERROR(__xludf.DUMMYFUNCTION("""COMPUTED_VALUE"""),"NA")</f>
        <v>NA</v>
      </c>
      <c r="F314" s="49" t="str">
        <f ca="1">IFERROR(__xludf.DUMMYFUNCTION("""COMPUTED_VALUE"""),"")</f>
        <v/>
      </c>
      <c r="G314" s="49" t="str">
        <f ca="1">IFERROR(__xludf.DUMMYFUNCTION("""COMPUTED_VALUE"""),"Chitra Chandrasekaran")</f>
        <v>Chitra Chandrasekaran</v>
      </c>
      <c r="H314" s="49" t="str">
        <f ca="1">IFERROR(__xludf.DUMMYFUNCTION("""COMPUTED_VALUE"""),"cchandrasekaran@txwes.edu")</f>
        <v>cchandrasekaran@txwes.edu</v>
      </c>
      <c r="I314" s="49" t="str">
        <f ca="1">IFERROR(__xludf.DUMMYFUNCTION("""COMPUTED_VALUE"""),"Biology Professor")</f>
        <v>Biology Professor</v>
      </c>
      <c r="J314" s="49"/>
      <c r="K314" s="49" t="str">
        <f ca="1">IFERROR(__xludf.DUMMYFUNCTION("""COMPUTED_VALUE"""),"Gene-Disease Validity")</f>
        <v>Gene-Disease Validity</v>
      </c>
      <c r="L314" s="49"/>
      <c r="M314" s="49"/>
      <c r="N314" s="49"/>
      <c r="O314" s="49"/>
      <c r="P314" s="49"/>
      <c r="Q314" s="49"/>
      <c r="R314" s="49"/>
      <c r="S314" s="49"/>
      <c r="T314" s="49"/>
      <c r="U314" s="49"/>
      <c r="V314" s="49"/>
      <c r="W314" s="49"/>
      <c r="X314" s="49"/>
      <c r="Y314" s="49"/>
      <c r="Z314" s="49"/>
    </row>
    <row r="315" spans="1:26" ht="13">
      <c r="A315" s="49" t="str">
        <f ca="1">IFERROR(__xludf.DUMMYFUNCTION("""COMPUTED_VALUE"""),"Unassigned")</f>
        <v>Unassigned</v>
      </c>
      <c r="B315" s="49" t="str">
        <f ca="1">IFERROR(__xludf.DUMMYFUNCTION("""COMPUTED_VALUE"""),"")</f>
        <v/>
      </c>
      <c r="C315" s="49" t="str">
        <f ca="1">IFERROR(__xludf.DUMMYFUNCTION("""COMPUTED_VALUE"""),"")</f>
        <v/>
      </c>
      <c r="D315" s="49" t="str">
        <f ca="1">IFERROR(__xludf.DUMMYFUNCTION("""COMPUTED_VALUE"""),"")</f>
        <v/>
      </c>
      <c r="E315" s="49" t="str">
        <f ca="1">IFERROR(__xludf.DUMMYFUNCTION("""COMPUTED_VALUE"""),"NA")</f>
        <v>NA</v>
      </c>
      <c r="F315" s="49" t="str">
        <f ca="1">IFERROR(__xludf.DUMMYFUNCTION("""COMPUTED_VALUE"""),"")</f>
        <v/>
      </c>
      <c r="G315" s="49" t="str">
        <f ca="1">IFERROR(__xludf.DUMMYFUNCTION("""COMPUTED_VALUE"""),"Silke Waap")</f>
        <v>Silke Waap</v>
      </c>
      <c r="H315" s="49" t="str">
        <f ca="1">IFERROR(__xludf.DUMMYFUNCTION("""COMPUTED_VALUE"""),"silkewaap@gmail.com")</f>
        <v>silkewaap@gmail.com</v>
      </c>
      <c r="I315" s="49" t="str">
        <f ca="1">IFERROR(__xludf.DUMMYFUNCTION("""COMPUTED_VALUE"""),"Scientific Researcher")</f>
        <v>Scientific Researcher</v>
      </c>
      <c r="J315" s="49"/>
      <c r="K315" s="49" t="str">
        <f ca="1">IFERROR(__xludf.DUMMYFUNCTION("""COMPUTED_VALUE"""),"Gene-Disease Validity")</f>
        <v>Gene-Disease Validity</v>
      </c>
      <c r="L315" s="49"/>
      <c r="M315" s="49"/>
      <c r="N315" s="49"/>
      <c r="O315" s="49"/>
      <c r="P315" s="49"/>
      <c r="Q315" s="49"/>
      <c r="R315" s="49"/>
      <c r="S315" s="49"/>
      <c r="T315" s="49"/>
      <c r="U315" s="49"/>
      <c r="V315" s="49"/>
      <c r="W315" s="49"/>
      <c r="X315" s="49"/>
      <c r="Y315" s="49"/>
      <c r="Z315" s="49"/>
    </row>
    <row r="316" spans="1:26" ht="13">
      <c r="A316" s="49"/>
      <c r="B316" s="49"/>
      <c r="C316" s="49"/>
      <c r="D316" s="49"/>
      <c r="E316" s="49"/>
      <c r="F316" s="49"/>
      <c r="G316" s="49"/>
      <c r="H316" s="49"/>
      <c r="I316" s="49"/>
      <c r="J316" s="49"/>
      <c r="K316" s="49"/>
      <c r="L316" s="49"/>
      <c r="M316" s="49"/>
      <c r="N316" s="49"/>
      <c r="O316" s="49"/>
      <c r="P316" s="49"/>
      <c r="Q316" s="49"/>
      <c r="R316" s="49"/>
      <c r="S316" s="49"/>
      <c r="T316" s="49"/>
      <c r="U316" s="49"/>
      <c r="V316" s="49"/>
      <c r="W316" s="49"/>
      <c r="X316" s="49"/>
      <c r="Y316" s="49"/>
      <c r="Z316" s="49"/>
    </row>
    <row r="317" spans="1:26" ht="13">
      <c r="A317" s="49"/>
      <c r="B317" s="49"/>
      <c r="C317" s="49"/>
      <c r="D317" s="49"/>
      <c r="E317" s="49"/>
      <c r="F317" s="49"/>
      <c r="G317" s="49"/>
      <c r="H317" s="49"/>
      <c r="I317" s="49"/>
      <c r="J317" s="49"/>
      <c r="K317" s="49"/>
      <c r="L317" s="49"/>
      <c r="M317" s="49"/>
      <c r="N317" s="49"/>
      <c r="O317" s="49"/>
      <c r="P317" s="49"/>
      <c r="Q317" s="49"/>
      <c r="R317" s="49"/>
      <c r="S317" s="49"/>
      <c r="T317" s="49"/>
      <c r="U317" s="49"/>
      <c r="V317" s="49"/>
      <c r="W317" s="49"/>
      <c r="X317" s="49"/>
      <c r="Y317" s="49"/>
      <c r="Z317" s="49"/>
    </row>
    <row r="318" spans="1:26" ht="13">
      <c r="A318" s="49"/>
      <c r="B318" s="49"/>
      <c r="C318" s="49"/>
      <c r="D318" s="49"/>
      <c r="E318" s="49"/>
      <c r="F318" s="49"/>
      <c r="G318" s="49"/>
      <c r="H318" s="49"/>
      <c r="I318" s="49"/>
      <c r="J318" s="49"/>
      <c r="K318" s="49"/>
      <c r="L318" s="49"/>
      <c r="M318" s="49"/>
      <c r="N318" s="49"/>
      <c r="O318" s="49"/>
      <c r="P318" s="49"/>
      <c r="Q318" s="49"/>
      <c r="R318" s="49"/>
      <c r="S318" s="49"/>
      <c r="T318" s="49"/>
      <c r="U318" s="49"/>
      <c r="V318" s="49"/>
      <c r="W318" s="49"/>
      <c r="X318" s="49"/>
      <c r="Y318" s="49"/>
      <c r="Z318" s="49"/>
    </row>
    <row r="319" spans="1:26" ht="13">
      <c r="A319" s="49"/>
      <c r="B319" s="49"/>
      <c r="C319" s="49"/>
      <c r="D319" s="49"/>
      <c r="E319" s="49"/>
      <c r="F319" s="49"/>
      <c r="G319" s="49"/>
      <c r="H319" s="49"/>
      <c r="I319" s="49"/>
      <c r="J319" s="49"/>
      <c r="K319" s="49"/>
      <c r="L319" s="49"/>
      <c r="M319" s="49"/>
      <c r="N319" s="49"/>
      <c r="O319" s="49"/>
      <c r="P319" s="49"/>
      <c r="Q319" s="49"/>
      <c r="R319" s="49"/>
      <c r="S319" s="49"/>
      <c r="T319" s="49"/>
      <c r="U319" s="49"/>
      <c r="V319" s="49"/>
      <c r="W319" s="49"/>
      <c r="X319" s="49"/>
      <c r="Y319" s="49"/>
      <c r="Z319" s="49"/>
    </row>
    <row r="320" spans="1:26" ht="13">
      <c r="A320" s="49"/>
      <c r="B320" s="49"/>
      <c r="C320" s="49"/>
      <c r="D320" s="49"/>
      <c r="E320" s="49"/>
      <c r="F320" s="49"/>
      <c r="G320" s="49"/>
      <c r="H320" s="49"/>
      <c r="I320" s="49"/>
      <c r="J320" s="49"/>
      <c r="K320" s="49"/>
      <c r="L320" s="49"/>
      <c r="M320" s="49"/>
      <c r="N320" s="49"/>
      <c r="O320" s="49"/>
      <c r="P320" s="49"/>
      <c r="Q320" s="49"/>
      <c r="R320" s="49"/>
      <c r="S320" s="49"/>
      <c r="T320" s="49"/>
      <c r="U320" s="49"/>
      <c r="V320" s="49"/>
      <c r="W320" s="49"/>
      <c r="X320" s="49"/>
      <c r="Y320" s="49"/>
      <c r="Z320" s="49"/>
    </row>
    <row r="321" spans="1:26" ht="13">
      <c r="A321" s="49"/>
      <c r="B321" s="49"/>
      <c r="C321" s="49"/>
      <c r="D321" s="49"/>
      <c r="E321" s="49"/>
      <c r="F321" s="49"/>
      <c r="G321" s="49"/>
      <c r="H321" s="49"/>
      <c r="I321" s="49"/>
      <c r="J321" s="49"/>
      <c r="K321" s="49"/>
      <c r="L321" s="49"/>
      <c r="M321" s="49"/>
      <c r="N321" s="49"/>
      <c r="O321" s="49"/>
      <c r="P321" s="49"/>
      <c r="Q321" s="49"/>
      <c r="R321" s="49"/>
      <c r="S321" s="49"/>
      <c r="T321" s="49"/>
      <c r="U321" s="49"/>
      <c r="V321" s="49"/>
      <c r="W321" s="49"/>
      <c r="X321" s="49"/>
      <c r="Y321" s="49"/>
      <c r="Z321" s="49"/>
    </row>
    <row r="322" spans="1:26" ht="13">
      <c r="A322" s="49"/>
      <c r="B322" s="49"/>
      <c r="C322" s="49"/>
      <c r="D322" s="49"/>
      <c r="E322" s="49"/>
      <c r="F322" s="49"/>
      <c r="G322" s="49"/>
      <c r="H322" s="49"/>
      <c r="I322" s="49"/>
      <c r="J322" s="49"/>
      <c r="K322" s="49"/>
      <c r="L322" s="49"/>
      <c r="M322" s="49"/>
      <c r="N322" s="49"/>
      <c r="O322" s="49"/>
      <c r="P322" s="49"/>
      <c r="Q322" s="49"/>
      <c r="R322" s="49"/>
      <c r="S322" s="49"/>
      <c r="T322" s="49"/>
      <c r="U322" s="49"/>
      <c r="V322" s="49"/>
      <c r="W322" s="49"/>
      <c r="X322" s="49"/>
      <c r="Y322" s="49"/>
      <c r="Z322" s="49"/>
    </row>
    <row r="323" spans="1:26" ht="13">
      <c r="A323" s="49"/>
      <c r="B323" s="49"/>
      <c r="C323" s="49"/>
      <c r="D323" s="49"/>
      <c r="E323" s="49"/>
      <c r="F323" s="49"/>
      <c r="G323" s="49"/>
      <c r="H323" s="49"/>
      <c r="I323" s="49"/>
      <c r="J323" s="49"/>
      <c r="K323" s="49"/>
      <c r="L323" s="49"/>
      <c r="M323" s="49"/>
      <c r="N323" s="49"/>
      <c r="O323" s="49"/>
      <c r="P323" s="49"/>
      <c r="Q323" s="49"/>
      <c r="R323" s="49"/>
      <c r="S323" s="49"/>
      <c r="T323" s="49"/>
      <c r="U323" s="49"/>
      <c r="V323" s="49"/>
      <c r="W323" s="49"/>
      <c r="X323" s="49"/>
      <c r="Y323" s="49"/>
      <c r="Z323" s="49"/>
    </row>
    <row r="324" spans="1:26" ht="13">
      <c r="A324" s="49"/>
      <c r="B324" s="49"/>
      <c r="C324" s="49"/>
      <c r="D324" s="49"/>
      <c r="E324" s="49"/>
      <c r="F324" s="49"/>
      <c r="G324" s="49"/>
      <c r="H324" s="49"/>
      <c r="I324" s="49"/>
      <c r="J324" s="49"/>
      <c r="K324" s="49"/>
      <c r="L324" s="49"/>
      <c r="M324" s="49"/>
      <c r="N324" s="49"/>
      <c r="O324" s="49"/>
      <c r="P324" s="49"/>
      <c r="Q324" s="49"/>
      <c r="R324" s="49"/>
      <c r="S324" s="49"/>
      <c r="T324" s="49"/>
      <c r="U324" s="49"/>
      <c r="V324" s="49"/>
      <c r="W324" s="49"/>
      <c r="X324" s="49"/>
      <c r="Y324" s="49"/>
      <c r="Z324" s="49"/>
    </row>
    <row r="325" spans="1:26" ht="13">
      <c r="A325" s="49"/>
      <c r="B325" s="49"/>
      <c r="C325" s="49"/>
      <c r="D325" s="49"/>
      <c r="E325" s="49"/>
      <c r="F325" s="49"/>
      <c r="G325" s="49"/>
      <c r="H325" s="49"/>
      <c r="I325" s="49"/>
      <c r="J325" s="49"/>
      <c r="K325" s="49"/>
      <c r="L325" s="49"/>
      <c r="M325" s="49"/>
      <c r="N325" s="49"/>
      <c r="O325" s="49"/>
      <c r="P325" s="49"/>
      <c r="Q325" s="49"/>
      <c r="R325" s="49"/>
      <c r="S325" s="49"/>
      <c r="T325" s="49"/>
      <c r="U325" s="49"/>
      <c r="V325" s="49"/>
      <c r="W325" s="49"/>
      <c r="X325" s="49"/>
      <c r="Y325" s="49"/>
      <c r="Z325" s="49"/>
    </row>
    <row r="326" spans="1:26" ht="13">
      <c r="A326" s="49"/>
      <c r="B326" s="49"/>
      <c r="C326" s="49"/>
      <c r="D326" s="49"/>
      <c r="E326" s="49"/>
      <c r="F326" s="49"/>
      <c r="G326" s="49"/>
      <c r="H326" s="49"/>
      <c r="I326" s="49"/>
      <c r="J326" s="49"/>
      <c r="K326" s="49"/>
      <c r="L326" s="49"/>
      <c r="M326" s="49"/>
      <c r="N326" s="49"/>
      <c r="O326" s="49"/>
      <c r="P326" s="49"/>
      <c r="Q326" s="49"/>
      <c r="R326" s="49"/>
      <c r="S326" s="49"/>
      <c r="T326" s="49"/>
      <c r="U326" s="49"/>
      <c r="V326" s="49"/>
      <c r="W326" s="49"/>
      <c r="X326" s="49"/>
      <c r="Y326" s="49"/>
      <c r="Z326" s="49"/>
    </row>
    <row r="327" spans="1:26" ht="13">
      <c r="A327" s="49"/>
      <c r="B327" s="49"/>
      <c r="C327" s="49"/>
      <c r="D327" s="49"/>
      <c r="E327" s="49"/>
      <c r="F327" s="49"/>
      <c r="G327" s="49"/>
      <c r="H327" s="49"/>
      <c r="I327" s="49"/>
      <c r="J327" s="49"/>
      <c r="K327" s="49"/>
      <c r="L327" s="49"/>
      <c r="M327" s="49"/>
      <c r="N327" s="49"/>
      <c r="O327" s="49"/>
      <c r="P327" s="49"/>
      <c r="Q327" s="49"/>
      <c r="R327" s="49"/>
      <c r="S327" s="49"/>
      <c r="T327" s="49"/>
      <c r="U327" s="49"/>
      <c r="V327" s="49"/>
      <c r="W327" s="49"/>
      <c r="X327" s="49"/>
      <c r="Y327" s="49"/>
      <c r="Z327" s="49"/>
    </row>
    <row r="328" spans="1:26" ht="13">
      <c r="A328" s="49"/>
      <c r="B328" s="49"/>
      <c r="C328" s="49"/>
      <c r="D328" s="49"/>
      <c r="E328" s="49"/>
      <c r="F328" s="49"/>
      <c r="G328" s="49"/>
      <c r="H328" s="49"/>
      <c r="I328" s="49"/>
      <c r="J328" s="49"/>
      <c r="K328" s="49"/>
      <c r="L328" s="49"/>
      <c r="M328" s="49"/>
      <c r="N328" s="49"/>
      <c r="O328" s="49"/>
      <c r="P328" s="49"/>
      <c r="Q328" s="49"/>
      <c r="R328" s="49"/>
      <c r="S328" s="49"/>
      <c r="T328" s="49"/>
      <c r="U328" s="49"/>
      <c r="V328" s="49"/>
      <c r="W328" s="49"/>
      <c r="X328" s="49"/>
      <c r="Y328" s="49"/>
      <c r="Z328" s="49"/>
    </row>
    <row r="329" spans="1:26" ht="13">
      <c r="A329" s="49"/>
      <c r="B329" s="49"/>
      <c r="C329" s="49"/>
      <c r="D329" s="49"/>
      <c r="E329" s="49"/>
      <c r="F329" s="49"/>
      <c r="G329" s="49"/>
      <c r="H329" s="49"/>
      <c r="I329" s="49"/>
      <c r="J329" s="49"/>
      <c r="K329" s="49"/>
      <c r="L329" s="49"/>
      <c r="M329" s="49"/>
      <c r="N329" s="49"/>
      <c r="O329" s="49"/>
      <c r="P329" s="49"/>
      <c r="Q329" s="49"/>
      <c r="R329" s="49"/>
      <c r="S329" s="49"/>
      <c r="T329" s="49"/>
      <c r="U329" s="49"/>
      <c r="V329" s="49"/>
      <c r="W329" s="49"/>
      <c r="X329" s="49"/>
      <c r="Y329" s="49"/>
      <c r="Z329" s="49"/>
    </row>
    <row r="330" spans="1:26" ht="13">
      <c r="A330" s="49"/>
      <c r="B330" s="49"/>
      <c r="C330" s="49"/>
      <c r="D330" s="49"/>
      <c r="E330" s="49"/>
      <c r="F330" s="49"/>
      <c r="G330" s="49"/>
      <c r="H330" s="49"/>
      <c r="I330" s="49"/>
      <c r="J330" s="49"/>
      <c r="K330" s="49"/>
      <c r="L330" s="49"/>
      <c r="M330" s="49"/>
      <c r="N330" s="49"/>
      <c r="O330" s="49"/>
      <c r="P330" s="49"/>
      <c r="Q330" s="49"/>
      <c r="R330" s="49"/>
      <c r="S330" s="49"/>
      <c r="T330" s="49"/>
      <c r="U330" s="49"/>
      <c r="V330" s="49"/>
      <c r="W330" s="49"/>
      <c r="X330" s="49"/>
      <c r="Y330" s="49"/>
      <c r="Z330" s="49"/>
    </row>
    <row r="331" spans="1:26" ht="13">
      <c r="A331" s="49"/>
      <c r="B331" s="49"/>
      <c r="C331" s="49"/>
      <c r="D331" s="49"/>
      <c r="E331" s="49"/>
      <c r="F331" s="49"/>
      <c r="G331" s="49"/>
      <c r="H331" s="49"/>
      <c r="I331" s="49"/>
      <c r="J331" s="49"/>
      <c r="K331" s="49"/>
      <c r="L331" s="49"/>
      <c r="M331" s="49"/>
      <c r="N331" s="49"/>
      <c r="O331" s="49"/>
      <c r="P331" s="49"/>
      <c r="Q331" s="49"/>
      <c r="R331" s="49"/>
      <c r="S331" s="49"/>
      <c r="T331" s="49"/>
      <c r="U331" s="49"/>
      <c r="V331" s="49"/>
      <c r="W331" s="49"/>
      <c r="X331" s="49"/>
      <c r="Y331" s="49"/>
      <c r="Z331" s="49"/>
    </row>
    <row r="332" spans="1:26" ht="13">
      <c r="A332" s="49"/>
      <c r="B332" s="49"/>
      <c r="C332" s="49"/>
      <c r="D332" s="49"/>
      <c r="E332" s="49"/>
      <c r="F332" s="49"/>
      <c r="G332" s="49"/>
      <c r="H332" s="49"/>
      <c r="I332" s="49"/>
      <c r="J332" s="49"/>
      <c r="K332" s="49"/>
      <c r="L332" s="49"/>
      <c r="M332" s="49"/>
      <c r="N332" s="49"/>
      <c r="O332" s="49"/>
      <c r="P332" s="49"/>
      <c r="Q332" s="49"/>
      <c r="R332" s="49"/>
      <c r="S332" s="49"/>
      <c r="T332" s="49"/>
      <c r="U332" s="49"/>
      <c r="V332" s="49"/>
      <c r="W332" s="49"/>
      <c r="X332" s="49"/>
      <c r="Y332" s="49"/>
      <c r="Z332" s="49"/>
    </row>
    <row r="333" spans="1:26" ht="13">
      <c r="A333" s="49"/>
      <c r="B333" s="49"/>
      <c r="C333" s="49"/>
      <c r="D333" s="49"/>
      <c r="E333" s="49"/>
      <c r="F333" s="49"/>
      <c r="G333" s="49"/>
      <c r="H333" s="49"/>
      <c r="I333" s="49"/>
      <c r="J333" s="49"/>
      <c r="K333" s="49"/>
      <c r="L333" s="49"/>
      <c r="M333" s="49"/>
      <c r="N333" s="49"/>
      <c r="O333" s="49"/>
      <c r="P333" s="49"/>
      <c r="Q333" s="49"/>
      <c r="R333" s="49"/>
      <c r="S333" s="49"/>
      <c r="T333" s="49"/>
      <c r="U333" s="49"/>
      <c r="V333" s="49"/>
      <c r="W333" s="49"/>
      <c r="X333" s="49"/>
      <c r="Y333" s="49"/>
      <c r="Z333" s="49"/>
    </row>
    <row r="334" spans="1:26" ht="13">
      <c r="A334" s="49"/>
      <c r="B334" s="49"/>
      <c r="C334" s="49"/>
      <c r="D334" s="49"/>
      <c r="E334" s="49"/>
      <c r="F334" s="49"/>
      <c r="G334" s="49"/>
      <c r="H334" s="49"/>
      <c r="I334" s="49"/>
      <c r="J334" s="49"/>
      <c r="K334" s="49"/>
      <c r="L334" s="49"/>
      <c r="M334" s="49"/>
      <c r="N334" s="49"/>
      <c r="O334" s="49"/>
      <c r="P334" s="49"/>
      <c r="Q334" s="49"/>
      <c r="R334" s="49"/>
      <c r="S334" s="49"/>
      <c r="T334" s="49"/>
      <c r="U334" s="49"/>
      <c r="V334" s="49"/>
      <c r="W334" s="49"/>
      <c r="X334" s="49"/>
      <c r="Y334" s="49"/>
      <c r="Z334" s="49"/>
    </row>
    <row r="335" spans="1:26" ht="13">
      <c r="A335" s="49"/>
      <c r="B335" s="49"/>
      <c r="C335" s="49"/>
      <c r="D335" s="49"/>
      <c r="E335" s="49"/>
      <c r="F335" s="49"/>
      <c r="G335" s="49"/>
      <c r="H335" s="49"/>
      <c r="I335" s="49"/>
      <c r="J335" s="49"/>
      <c r="K335" s="49"/>
      <c r="L335" s="49"/>
      <c r="M335" s="49"/>
      <c r="N335" s="49"/>
      <c r="O335" s="49"/>
      <c r="P335" s="49"/>
      <c r="Q335" s="49"/>
      <c r="R335" s="49"/>
      <c r="S335" s="49"/>
      <c r="T335" s="49"/>
      <c r="U335" s="49"/>
      <c r="V335" s="49"/>
      <c r="W335" s="49"/>
      <c r="X335" s="49"/>
      <c r="Y335" s="49"/>
      <c r="Z335" s="49"/>
    </row>
    <row r="336" spans="1:26" ht="13">
      <c r="A336" s="49"/>
      <c r="B336" s="49"/>
      <c r="C336" s="49"/>
      <c r="D336" s="49"/>
      <c r="E336" s="49"/>
      <c r="F336" s="49"/>
      <c r="G336" s="49"/>
      <c r="H336" s="49"/>
      <c r="I336" s="49"/>
      <c r="J336" s="49"/>
      <c r="K336" s="49"/>
      <c r="L336" s="49"/>
      <c r="M336" s="49"/>
      <c r="N336" s="49"/>
      <c r="O336" s="49"/>
      <c r="P336" s="49"/>
      <c r="Q336" s="49"/>
      <c r="R336" s="49"/>
      <c r="S336" s="49"/>
      <c r="T336" s="49"/>
      <c r="U336" s="49"/>
      <c r="V336" s="49"/>
      <c r="W336" s="49"/>
      <c r="X336" s="49"/>
      <c r="Y336" s="49"/>
      <c r="Z336" s="49"/>
    </row>
    <row r="337" spans="1:26" ht="13">
      <c r="A337" s="49"/>
      <c r="B337" s="49"/>
      <c r="C337" s="49"/>
      <c r="D337" s="49"/>
      <c r="E337" s="49"/>
      <c r="F337" s="49"/>
      <c r="G337" s="49"/>
      <c r="H337" s="49"/>
      <c r="I337" s="49"/>
      <c r="J337" s="49"/>
      <c r="K337" s="49"/>
      <c r="L337" s="49"/>
      <c r="M337" s="49"/>
      <c r="N337" s="49"/>
      <c r="O337" s="49"/>
      <c r="P337" s="49"/>
      <c r="Q337" s="49"/>
      <c r="R337" s="49"/>
      <c r="S337" s="49"/>
      <c r="T337" s="49"/>
      <c r="U337" s="49"/>
      <c r="V337" s="49"/>
      <c r="W337" s="49"/>
      <c r="X337" s="49"/>
      <c r="Y337" s="49"/>
      <c r="Z337" s="49"/>
    </row>
    <row r="338" spans="1:26" ht="13">
      <c r="A338" s="49"/>
      <c r="B338" s="49"/>
      <c r="C338" s="49"/>
      <c r="D338" s="49"/>
      <c r="E338" s="49"/>
      <c r="F338" s="49"/>
      <c r="G338" s="49"/>
      <c r="H338" s="49"/>
      <c r="I338" s="49"/>
      <c r="J338" s="49"/>
      <c r="K338" s="49"/>
      <c r="L338" s="49"/>
      <c r="M338" s="49"/>
      <c r="N338" s="49"/>
      <c r="O338" s="49"/>
      <c r="P338" s="49"/>
      <c r="Q338" s="49"/>
      <c r="R338" s="49"/>
      <c r="S338" s="49"/>
      <c r="T338" s="49"/>
      <c r="U338" s="49"/>
      <c r="V338" s="49"/>
      <c r="W338" s="49"/>
      <c r="X338" s="49"/>
      <c r="Y338" s="49"/>
      <c r="Z338" s="49"/>
    </row>
    <row r="339" spans="1:26" ht="13">
      <c r="A339" s="49"/>
      <c r="B339" s="49"/>
      <c r="C339" s="49"/>
      <c r="D339" s="49"/>
      <c r="E339" s="49"/>
      <c r="F339" s="49"/>
      <c r="G339" s="49"/>
      <c r="H339" s="49"/>
      <c r="I339" s="49"/>
      <c r="J339" s="49"/>
      <c r="K339" s="49"/>
      <c r="L339" s="49"/>
      <c r="M339" s="49"/>
      <c r="N339" s="49"/>
      <c r="O339" s="49"/>
      <c r="P339" s="49"/>
      <c r="Q339" s="49"/>
      <c r="R339" s="49"/>
      <c r="S339" s="49"/>
      <c r="T339" s="49"/>
      <c r="U339" s="49"/>
      <c r="V339" s="49"/>
      <c r="W339" s="49"/>
      <c r="X339" s="49"/>
      <c r="Y339" s="49"/>
      <c r="Z339" s="49"/>
    </row>
    <row r="340" spans="1:26" ht="13">
      <c r="A340" s="49"/>
      <c r="B340" s="49"/>
      <c r="C340" s="49"/>
      <c r="D340" s="49"/>
      <c r="E340" s="49"/>
      <c r="F340" s="49"/>
      <c r="G340" s="49"/>
      <c r="H340" s="49"/>
      <c r="I340" s="49"/>
      <c r="J340" s="49"/>
      <c r="K340" s="49"/>
      <c r="L340" s="49"/>
      <c r="M340" s="49"/>
      <c r="N340" s="49"/>
      <c r="O340" s="49"/>
      <c r="P340" s="49"/>
      <c r="Q340" s="49"/>
      <c r="R340" s="49"/>
      <c r="S340" s="49"/>
      <c r="T340" s="49"/>
      <c r="U340" s="49"/>
      <c r="V340" s="49"/>
      <c r="W340" s="49"/>
      <c r="X340" s="49"/>
      <c r="Y340" s="49"/>
      <c r="Z340" s="49"/>
    </row>
    <row r="341" spans="1:26" ht="13">
      <c r="A341" s="49"/>
      <c r="B341" s="49"/>
      <c r="C341" s="49"/>
      <c r="D341" s="49"/>
      <c r="E341" s="49"/>
      <c r="F341" s="49"/>
      <c r="G341" s="49"/>
      <c r="H341" s="49"/>
      <c r="I341" s="49"/>
      <c r="J341" s="49"/>
      <c r="K341" s="49"/>
      <c r="L341" s="49"/>
      <c r="M341" s="49"/>
      <c r="N341" s="49"/>
      <c r="O341" s="49"/>
      <c r="P341" s="49"/>
      <c r="Q341" s="49"/>
      <c r="R341" s="49"/>
      <c r="S341" s="49"/>
      <c r="T341" s="49"/>
      <c r="U341" s="49"/>
      <c r="V341" s="49"/>
      <c r="W341" s="49"/>
      <c r="X341" s="49"/>
      <c r="Y341" s="49"/>
      <c r="Z341" s="49"/>
    </row>
    <row r="342" spans="1:26" ht="13">
      <c r="A342" s="49"/>
      <c r="B342" s="49"/>
      <c r="C342" s="49"/>
      <c r="D342" s="49"/>
      <c r="E342" s="49"/>
      <c r="F342" s="49"/>
      <c r="G342" s="49"/>
      <c r="H342" s="49"/>
      <c r="I342" s="49"/>
      <c r="J342" s="49"/>
      <c r="K342" s="49"/>
      <c r="L342" s="49"/>
      <c r="M342" s="49"/>
      <c r="N342" s="49"/>
      <c r="O342" s="49"/>
      <c r="P342" s="49"/>
      <c r="Q342" s="49"/>
      <c r="R342" s="49"/>
      <c r="S342" s="49"/>
      <c r="T342" s="49"/>
      <c r="U342" s="49"/>
      <c r="V342" s="49"/>
      <c r="W342" s="49"/>
      <c r="X342" s="49"/>
      <c r="Y342" s="49"/>
      <c r="Z342" s="49"/>
    </row>
    <row r="343" spans="1:26" ht="13">
      <c r="A343" s="49"/>
      <c r="B343" s="49"/>
      <c r="C343" s="49"/>
      <c r="D343" s="49"/>
      <c r="E343" s="49"/>
      <c r="F343" s="49"/>
      <c r="G343" s="49"/>
      <c r="H343" s="49"/>
      <c r="I343" s="49"/>
      <c r="J343" s="49"/>
      <c r="K343" s="49"/>
      <c r="L343" s="49"/>
      <c r="M343" s="49"/>
      <c r="N343" s="49"/>
      <c r="O343" s="49"/>
      <c r="P343" s="49"/>
      <c r="Q343" s="49"/>
      <c r="R343" s="49"/>
      <c r="S343" s="49"/>
      <c r="T343" s="49"/>
      <c r="U343" s="49"/>
      <c r="V343" s="49"/>
      <c r="W343" s="49"/>
      <c r="X343" s="49"/>
      <c r="Y343" s="49"/>
      <c r="Z343" s="49"/>
    </row>
    <row r="344" spans="1:26" ht="13">
      <c r="A344" s="49"/>
      <c r="B344" s="49"/>
      <c r="C344" s="49"/>
      <c r="D344" s="49"/>
      <c r="E344" s="49"/>
      <c r="F344" s="49"/>
      <c r="G344" s="49"/>
      <c r="H344" s="49"/>
      <c r="I344" s="49"/>
      <c r="J344" s="49"/>
      <c r="K344" s="49"/>
      <c r="L344" s="49"/>
      <c r="M344" s="49"/>
      <c r="N344" s="49"/>
      <c r="O344" s="49"/>
      <c r="P344" s="49"/>
      <c r="Q344" s="49"/>
      <c r="R344" s="49"/>
      <c r="S344" s="49"/>
      <c r="T344" s="49"/>
      <c r="U344" s="49"/>
      <c r="V344" s="49"/>
      <c r="W344" s="49"/>
      <c r="X344" s="49"/>
      <c r="Y344" s="49"/>
      <c r="Z344" s="49"/>
    </row>
    <row r="345" spans="1:26" ht="13">
      <c r="A345" s="49"/>
      <c r="B345" s="49"/>
      <c r="C345" s="49"/>
      <c r="D345" s="49"/>
      <c r="E345" s="49"/>
      <c r="F345" s="49"/>
      <c r="G345" s="49"/>
      <c r="H345" s="49"/>
      <c r="I345" s="49"/>
      <c r="J345" s="49"/>
      <c r="K345" s="49"/>
      <c r="L345" s="49"/>
      <c r="M345" s="49"/>
      <c r="N345" s="49"/>
      <c r="O345" s="49"/>
      <c r="P345" s="49"/>
      <c r="Q345" s="49"/>
      <c r="R345" s="49"/>
      <c r="S345" s="49"/>
      <c r="T345" s="49"/>
      <c r="U345" s="49"/>
      <c r="V345" s="49"/>
      <c r="W345" s="49"/>
      <c r="X345" s="49"/>
      <c r="Y345" s="49"/>
      <c r="Z345" s="49"/>
    </row>
    <row r="346" spans="1:26" ht="13">
      <c r="A346" s="49"/>
      <c r="B346" s="49"/>
      <c r="C346" s="49"/>
      <c r="D346" s="49"/>
      <c r="E346" s="49"/>
      <c r="F346" s="49"/>
      <c r="G346" s="49"/>
      <c r="H346" s="49"/>
      <c r="I346" s="49"/>
      <c r="J346" s="49"/>
      <c r="K346" s="49"/>
      <c r="L346" s="49"/>
      <c r="M346" s="49"/>
      <c r="N346" s="49"/>
      <c r="O346" s="49"/>
      <c r="P346" s="49"/>
      <c r="Q346" s="49"/>
      <c r="R346" s="49"/>
      <c r="S346" s="49"/>
      <c r="T346" s="49"/>
      <c r="U346" s="49"/>
      <c r="V346" s="49"/>
      <c r="W346" s="49"/>
      <c r="X346" s="49"/>
      <c r="Y346" s="49"/>
      <c r="Z346" s="49"/>
    </row>
    <row r="347" spans="1:26" ht="13">
      <c r="A347" s="49"/>
      <c r="B347" s="49"/>
      <c r="C347" s="49"/>
      <c r="D347" s="49"/>
      <c r="E347" s="49"/>
      <c r="F347" s="49"/>
      <c r="G347" s="49"/>
      <c r="H347" s="49"/>
      <c r="I347" s="49"/>
      <c r="J347" s="49"/>
      <c r="K347" s="49"/>
      <c r="L347" s="49"/>
      <c r="M347" s="49"/>
      <c r="N347" s="49"/>
      <c r="O347" s="49"/>
      <c r="P347" s="49"/>
      <c r="Q347" s="49"/>
      <c r="R347" s="49"/>
      <c r="S347" s="49"/>
      <c r="T347" s="49"/>
      <c r="U347" s="49"/>
      <c r="V347" s="49"/>
      <c r="W347" s="49"/>
      <c r="X347" s="49"/>
      <c r="Y347" s="49"/>
      <c r="Z347" s="49"/>
    </row>
    <row r="348" spans="1:26" ht="13">
      <c r="A348" s="49"/>
      <c r="B348" s="49"/>
      <c r="C348" s="49"/>
      <c r="D348" s="49"/>
      <c r="E348" s="49"/>
      <c r="F348" s="49"/>
      <c r="G348" s="49"/>
      <c r="H348" s="49"/>
      <c r="I348" s="49"/>
      <c r="J348" s="49"/>
      <c r="K348" s="49"/>
      <c r="L348" s="49"/>
      <c r="M348" s="49"/>
      <c r="N348" s="49"/>
      <c r="O348" s="49"/>
      <c r="P348" s="49"/>
      <c r="Q348" s="49"/>
      <c r="R348" s="49"/>
      <c r="S348" s="49"/>
      <c r="T348" s="49"/>
      <c r="U348" s="49"/>
      <c r="V348" s="49"/>
      <c r="W348" s="49"/>
      <c r="X348" s="49"/>
      <c r="Y348" s="49"/>
      <c r="Z348" s="49"/>
    </row>
    <row r="349" spans="1:26" ht="13">
      <c r="A349" s="49"/>
      <c r="B349" s="49"/>
      <c r="C349" s="49"/>
      <c r="D349" s="49"/>
      <c r="E349" s="49"/>
      <c r="F349" s="49"/>
      <c r="G349" s="49"/>
      <c r="H349" s="49"/>
      <c r="I349" s="49"/>
      <c r="J349" s="49"/>
      <c r="K349" s="49"/>
      <c r="L349" s="49"/>
      <c r="M349" s="49"/>
      <c r="N349" s="49"/>
      <c r="O349" s="49"/>
      <c r="P349" s="49"/>
      <c r="Q349" s="49"/>
      <c r="R349" s="49"/>
      <c r="S349" s="49"/>
      <c r="T349" s="49"/>
      <c r="U349" s="49"/>
      <c r="V349" s="49"/>
      <c r="W349" s="49"/>
      <c r="X349" s="49"/>
      <c r="Y349" s="49"/>
      <c r="Z349" s="49"/>
    </row>
    <row r="350" spans="1:26" ht="13">
      <c r="A350" s="49"/>
      <c r="B350" s="49"/>
      <c r="C350" s="49"/>
      <c r="D350" s="49"/>
      <c r="E350" s="49"/>
      <c r="F350" s="49"/>
      <c r="G350" s="49"/>
      <c r="H350" s="49"/>
      <c r="I350" s="49"/>
      <c r="J350" s="49"/>
      <c r="K350" s="49"/>
      <c r="L350" s="49"/>
      <c r="M350" s="49"/>
      <c r="N350" s="49"/>
      <c r="O350" s="49"/>
      <c r="P350" s="49"/>
      <c r="Q350" s="49"/>
      <c r="R350" s="49"/>
      <c r="S350" s="49"/>
      <c r="T350" s="49"/>
      <c r="U350" s="49"/>
      <c r="V350" s="49"/>
      <c r="W350" s="49"/>
      <c r="X350" s="49"/>
      <c r="Y350" s="49"/>
      <c r="Z350" s="49"/>
    </row>
    <row r="351" spans="1:26" ht="13">
      <c r="A351" s="49"/>
      <c r="B351" s="49"/>
      <c r="C351" s="49"/>
      <c r="D351" s="49"/>
      <c r="E351" s="49"/>
      <c r="F351" s="49"/>
      <c r="G351" s="49"/>
      <c r="H351" s="49"/>
      <c r="I351" s="49"/>
      <c r="J351" s="49"/>
      <c r="K351" s="49"/>
      <c r="L351" s="49"/>
      <c r="M351" s="49"/>
      <c r="N351" s="49"/>
      <c r="O351" s="49"/>
      <c r="P351" s="49"/>
      <c r="Q351" s="49"/>
      <c r="R351" s="49"/>
      <c r="S351" s="49"/>
      <c r="T351" s="49"/>
      <c r="U351" s="49"/>
      <c r="V351" s="49"/>
      <c r="W351" s="49"/>
      <c r="X351" s="49"/>
      <c r="Y351" s="49"/>
      <c r="Z351" s="49"/>
    </row>
    <row r="352" spans="1:26" ht="13">
      <c r="A352" s="49"/>
      <c r="B352" s="49"/>
      <c r="C352" s="49"/>
      <c r="D352" s="49"/>
      <c r="E352" s="49"/>
      <c r="F352" s="49"/>
      <c r="G352" s="49"/>
      <c r="H352" s="49"/>
      <c r="I352" s="49"/>
      <c r="J352" s="49"/>
      <c r="K352" s="49"/>
      <c r="L352" s="49"/>
      <c r="M352" s="49"/>
      <c r="N352" s="49"/>
      <c r="O352" s="49"/>
      <c r="P352" s="49"/>
      <c r="Q352" s="49"/>
      <c r="R352" s="49"/>
      <c r="S352" s="49"/>
      <c r="T352" s="49"/>
      <c r="U352" s="49"/>
      <c r="V352" s="49"/>
      <c r="W352" s="49"/>
      <c r="X352" s="49"/>
      <c r="Y352" s="49"/>
      <c r="Z352" s="49"/>
    </row>
    <row r="353" spans="1:26" ht="13">
      <c r="A353" s="49"/>
      <c r="B353" s="49"/>
      <c r="C353" s="49"/>
      <c r="D353" s="49"/>
      <c r="E353" s="49"/>
      <c r="F353" s="49"/>
      <c r="G353" s="49"/>
      <c r="H353" s="49"/>
      <c r="I353" s="49"/>
      <c r="J353" s="49"/>
      <c r="K353" s="49"/>
      <c r="L353" s="49"/>
      <c r="M353" s="49"/>
      <c r="N353" s="49"/>
      <c r="O353" s="49"/>
      <c r="P353" s="49"/>
      <c r="Q353" s="49"/>
      <c r="R353" s="49"/>
      <c r="S353" s="49"/>
      <c r="T353" s="49"/>
      <c r="U353" s="49"/>
      <c r="V353" s="49"/>
      <c r="W353" s="49"/>
      <c r="X353" s="49"/>
      <c r="Y353" s="49"/>
      <c r="Z353" s="49"/>
    </row>
    <row r="354" spans="1:26" ht="13">
      <c r="A354" s="49"/>
      <c r="B354" s="49"/>
      <c r="C354" s="49"/>
      <c r="D354" s="49"/>
      <c r="E354" s="49"/>
      <c r="F354" s="49"/>
      <c r="G354" s="49"/>
      <c r="H354" s="49"/>
      <c r="I354" s="49"/>
      <c r="J354" s="49"/>
      <c r="K354" s="49"/>
      <c r="L354" s="49"/>
      <c r="M354" s="49"/>
      <c r="N354" s="49"/>
      <c r="O354" s="49"/>
      <c r="P354" s="49"/>
      <c r="Q354" s="49"/>
      <c r="R354" s="49"/>
      <c r="S354" s="49"/>
      <c r="T354" s="49"/>
      <c r="U354" s="49"/>
      <c r="V354" s="49"/>
      <c r="W354" s="49"/>
      <c r="X354" s="49"/>
      <c r="Y354" s="49"/>
      <c r="Z354" s="49"/>
    </row>
    <row r="355" spans="1:26" ht="13">
      <c r="A355" s="49"/>
      <c r="B355" s="49"/>
      <c r="C355" s="49"/>
      <c r="D355" s="49"/>
      <c r="E355" s="49"/>
      <c r="F355" s="49"/>
      <c r="G355" s="49"/>
      <c r="H355" s="49"/>
      <c r="I355" s="49"/>
      <c r="J355" s="49"/>
      <c r="K355" s="49"/>
      <c r="L355" s="49"/>
      <c r="M355" s="49"/>
      <c r="N355" s="49"/>
      <c r="O355" s="49"/>
      <c r="P355" s="49"/>
      <c r="Q355" s="49"/>
      <c r="R355" s="49"/>
      <c r="S355" s="49"/>
      <c r="T355" s="49"/>
      <c r="U355" s="49"/>
      <c r="V355" s="49"/>
      <c r="W355" s="49"/>
      <c r="X355" s="49"/>
      <c r="Y355" s="49"/>
      <c r="Z355" s="49"/>
    </row>
    <row r="356" spans="1:26" ht="13">
      <c r="A356" s="49"/>
      <c r="B356" s="49"/>
      <c r="C356" s="49"/>
      <c r="D356" s="49"/>
      <c r="E356" s="49"/>
      <c r="F356" s="49"/>
      <c r="G356" s="49"/>
      <c r="H356" s="49"/>
      <c r="I356" s="49"/>
      <c r="J356" s="49"/>
      <c r="K356" s="49"/>
      <c r="L356" s="49"/>
      <c r="M356" s="49"/>
      <c r="N356" s="49"/>
      <c r="O356" s="49"/>
      <c r="P356" s="49"/>
      <c r="Q356" s="49"/>
      <c r="R356" s="49"/>
      <c r="S356" s="49"/>
      <c r="T356" s="49"/>
      <c r="U356" s="49"/>
      <c r="V356" s="49"/>
      <c r="W356" s="49"/>
      <c r="X356" s="49"/>
      <c r="Y356" s="49"/>
      <c r="Z356" s="49"/>
    </row>
    <row r="357" spans="1:26" ht="13">
      <c r="A357" s="49"/>
      <c r="B357" s="49"/>
      <c r="C357" s="49"/>
      <c r="D357" s="49"/>
      <c r="E357" s="49"/>
      <c r="F357" s="49"/>
      <c r="G357" s="49"/>
      <c r="H357" s="49"/>
      <c r="I357" s="49"/>
      <c r="J357" s="49"/>
      <c r="K357" s="49"/>
      <c r="L357" s="49"/>
      <c r="M357" s="49"/>
      <c r="N357" s="49"/>
      <c r="O357" s="49"/>
      <c r="P357" s="49"/>
      <c r="Q357" s="49"/>
      <c r="R357" s="49"/>
      <c r="S357" s="49"/>
      <c r="T357" s="49"/>
      <c r="U357" s="49"/>
      <c r="V357" s="49"/>
      <c r="W357" s="49"/>
      <c r="X357" s="49"/>
      <c r="Y357" s="49"/>
      <c r="Z357" s="49"/>
    </row>
    <row r="358" spans="1:26" ht="13">
      <c r="A358" s="49"/>
      <c r="B358" s="49"/>
      <c r="C358" s="49"/>
      <c r="D358" s="49"/>
      <c r="E358" s="49"/>
      <c r="F358" s="49"/>
      <c r="G358" s="49"/>
      <c r="H358" s="49"/>
      <c r="I358" s="49"/>
      <c r="J358" s="49"/>
      <c r="K358" s="49"/>
      <c r="L358" s="49"/>
      <c r="M358" s="49"/>
      <c r="N358" s="49"/>
      <c r="O358" s="49"/>
      <c r="P358" s="49"/>
      <c r="Q358" s="49"/>
      <c r="R358" s="49"/>
      <c r="S358" s="49"/>
      <c r="T358" s="49"/>
      <c r="U358" s="49"/>
      <c r="V358" s="49"/>
      <c r="W358" s="49"/>
      <c r="X358" s="49"/>
      <c r="Y358" s="49"/>
      <c r="Z358" s="49"/>
    </row>
    <row r="359" spans="1:26" ht="13">
      <c r="A359" s="49"/>
      <c r="B359" s="49"/>
      <c r="C359" s="49"/>
      <c r="D359" s="49"/>
      <c r="E359" s="49"/>
      <c r="F359" s="49"/>
      <c r="G359" s="49"/>
      <c r="H359" s="49"/>
      <c r="I359" s="49"/>
      <c r="J359" s="49"/>
      <c r="K359" s="49"/>
      <c r="L359" s="49"/>
      <c r="M359" s="49"/>
      <c r="N359" s="49"/>
      <c r="O359" s="49"/>
      <c r="P359" s="49"/>
      <c r="Q359" s="49"/>
      <c r="R359" s="49"/>
      <c r="S359" s="49"/>
      <c r="T359" s="49"/>
      <c r="U359" s="49"/>
      <c r="V359" s="49"/>
      <c r="W359" s="49"/>
      <c r="X359" s="49"/>
      <c r="Y359" s="49"/>
      <c r="Z359" s="49"/>
    </row>
    <row r="360" spans="1:26" ht="13">
      <c r="A360" s="49"/>
      <c r="B360" s="49"/>
      <c r="C360" s="49"/>
      <c r="D360" s="49"/>
      <c r="E360" s="49"/>
      <c r="F360" s="49"/>
      <c r="G360" s="49"/>
      <c r="H360" s="49"/>
      <c r="I360" s="49"/>
      <c r="J360" s="49"/>
      <c r="K360" s="49"/>
      <c r="L360" s="49"/>
      <c r="M360" s="49"/>
      <c r="N360" s="49"/>
      <c r="O360" s="49"/>
      <c r="P360" s="49"/>
      <c r="Q360" s="49"/>
      <c r="R360" s="49"/>
      <c r="S360" s="49"/>
      <c r="T360" s="49"/>
      <c r="U360" s="49"/>
      <c r="V360" s="49"/>
      <c r="W360" s="49"/>
      <c r="X360" s="49"/>
      <c r="Y360" s="49"/>
      <c r="Z360" s="49"/>
    </row>
    <row r="361" spans="1:26" ht="13">
      <c r="A361" s="49"/>
      <c r="B361" s="49"/>
      <c r="C361" s="49"/>
      <c r="D361" s="49"/>
      <c r="E361" s="49"/>
      <c r="F361" s="49"/>
      <c r="G361" s="49"/>
      <c r="H361" s="49"/>
      <c r="I361" s="49"/>
      <c r="J361" s="49"/>
      <c r="K361" s="49"/>
      <c r="L361" s="49"/>
      <c r="M361" s="49"/>
      <c r="N361" s="49"/>
      <c r="O361" s="49"/>
      <c r="P361" s="49"/>
      <c r="Q361" s="49"/>
      <c r="R361" s="49"/>
      <c r="S361" s="49"/>
      <c r="T361" s="49"/>
      <c r="U361" s="49"/>
      <c r="V361" s="49"/>
      <c r="W361" s="49"/>
      <c r="X361" s="49"/>
      <c r="Y361" s="49"/>
      <c r="Z361" s="49"/>
    </row>
    <row r="362" spans="1:26" ht="13">
      <c r="A362" s="49"/>
      <c r="B362" s="49"/>
      <c r="C362" s="49"/>
      <c r="D362" s="49"/>
      <c r="E362" s="49"/>
      <c r="F362" s="49"/>
      <c r="G362" s="49"/>
      <c r="H362" s="49"/>
      <c r="I362" s="49"/>
      <c r="J362" s="49"/>
      <c r="K362" s="49"/>
      <c r="L362" s="49"/>
      <c r="M362" s="49"/>
      <c r="N362" s="49"/>
      <c r="O362" s="49"/>
      <c r="P362" s="49"/>
      <c r="Q362" s="49"/>
      <c r="R362" s="49"/>
      <c r="S362" s="49"/>
      <c r="T362" s="49"/>
      <c r="U362" s="49"/>
      <c r="V362" s="49"/>
      <c r="W362" s="49"/>
      <c r="X362" s="49"/>
      <c r="Y362" s="49"/>
      <c r="Z362" s="49"/>
    </row>
    <row r="363" spans="1:26" ht="13">
      <c r="A363" s="49"/>
      <c r="B363" s="49"/>
      <c r="C363" s="49"/>
      <c r="D363" s="49"/>
      <c r="E363" s="49"/>
      <c r="F363" s="49"/>
      <c r="G363" s="49"/>
      <c r="H363" s="49"/>
      <c r="I363" s="49"/>
      <c r="J363" s="49"/>
      <c r="K363" s="49"/>
      <c r="L363" s="49"/>
      <c r="M363" s="49"/>
      <c r="N363" s="49"/>
      <c r="O363" s="49"/>
      <c r="P363" s="49"/>
      <c r="Q363" s="49"/>
      <c r="R363" s="49"/>
      <c r="S363" s="49"/>
      <c r="T363" s="49"/>
      <c r="U363" s="49"/>
      <c r="V363" s="49"/>
      <c r="W363" s="49"/>
      <c r="X363" s="49"/>
      <c r="Y363" s="49"/>
      <c r="Z363" s="49"/>
    </row>
    <row r="364" spans="1:26" ht="13">
      <c r="A364" s="49"/>
      <c r="B364" s="49"/>
      <c r="C364" s="49"/>
      <c r="D364" s="49"/>
      <c r="E364" s="49"/>
      <c r="F364" s="49"/>
      <c r="G364" s="49"/>
      <c r="H364" s="49"/>
      <c r="I364" s="49"/>
      <c r="J364" s="49"/>
      <c r="K364" s="49"/>
      <c r="L364" s="49"/>
      <c r="M364" s="49"/>
      <c r="N364" s="49"/>
      <c r="O364" s="49"/>
      <c r="P364" s="49"/>
      <c r="Q364" s="49"/>
      <c r="R364" s="49"/>
      <c r="S364" s="49"/>
      <c r="T364" s="49"/>
      <c r="U364" s="49"/>
      <c r="V364" s="49"/>
      <c r="W364" s="49"/>
      <c r="X364" s="49"/>
      <c r="Y364" s="49"/>
      <c r="Z364" s="49"/>
    </row>
    <row r="365" spans="1:26" ht="13">
      <c r="A365" s="49"/>
      <c r="B365" s="49"/>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row>
    <row r="366" spans="1:26" ht="13">
      <c r="A366" s="49"/>
      <c r="B366" s="49"/>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row>
    <row r="367" spans="1:26" ht="13">
      <c r="A367" s="49"/>
      <c r="B367" s="49"/>
      <c r="C367" s="49"/>
      <c r="D367" s="49"/>
      <c r="E367" s="49"/>
      <c r="F367" s="49"/>
      <c r="G367" s="49"/>
      <c r="H367" s="49"/>
      <c r="I367" s="49"/>
      <c r="J367" s="49"/>
      <c r="K367" s="49"/>
      <c r="L367" s="49"/>
      <c r="M367" s="49"/>
      <c r="N367" s="49"/>
      <c r="O367" s="49"/>
      <c r="P367" s="49"/>
      <c r="Q367" s="49"/>
      <c r="R367" s="49"/>
      <c r="S367" s="49"/>
      <c r="T367" s="49"/>
      <c r="U367" s="49"/>
      <c r="V367" s="49"/>
      <c r="W367" s="49"/>
      <c r="X367" s="49"/>
      <c r="Y367" s="49"/>
      <c r="Z367" s="49"/>
    </row>
    <row r="368" spans="1:26" ht="13">
      <c r="A368" s="49"/>
      <c r="B368" s="49"/>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row>
    <row r="369" spans="1:26" ht="13">
      <c r="A369" s="49"/>
      <c r="B369" s="49"/>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row>
    <row r="370" spans="1:26" ht="13">
      <c r="A370" s="49"/>
      <c r="B370" s="49"/>
      <c r="C370" s="49"/>
      <c r="D370" s="49"/>
      <c r="E370" s="49"/>
      <c r="F370" s="49"/>
      <c r="G370" s="49"/>
      <c r="H370" s="49"/>
      <c r="I370" s="49"/>
      <c r="J370" s="49"/>
      <c r="K370" s="49"/>
      <c r="L370" s="49"/>
      <c r="M370" s="49"/>
      <c r="N370" s="49"/>
      <c r="O370" s="49"/>
      <c r="P370" s="49"/>
      <c r="Q370" s="49"/>
      <c r="R370" s="49"/>
      <c r="S370" s="49"/>
      <c r="T370" s="49"/>
      <c r="U370" s="49"/>
      <c r="V370" s="49"/>
      <c r="W370" s="49"/>
      <c r="X370" s="49"/>
      <c r="Y370" s="49"/>
      <c r="Z370" s="49"/>
    </row>
    <row r="371" spans="1:26" ht="13">
      <c r="A371" s="49"/>
      <c r="B371" s="49"/>
      <c r="C371" s="49"/>
      <c r="D371" s="49"/>
      <c r="E371" s="49"/>
      <c r="F371" s="49"/>
      <c r="G371" s="49"/>
      <c r="H371" s="49"/>
      <c r="I371" s="49"/>
      <c r="J371" s="49"/>
      <c r="K371" s="49"/>
      <c r="L371" s="49"/>
      <c r="M371" s="49"/>
      <c r="N371" s="49"/>
      <c r="O371" s="49"/>
      <c r="P371" s="49"/>
      <c r="Q371" s="49"/>
      <c r="R371" s="49"/>
      <c r="S371" s="49"/>
      <c r="T371" s="49"/>
      <c r="U371" s="49"/>
      <c r="V371" s="49"/>
      <c r="W371" s="49"/>
      <c r="X371" s="49"/>
      <c r="Y371" s="49"/>
      <c r="Z371" s="49"/>
    </row>
    <row r="372" spans="1:26" ht="13">
      <c r="A372" s="49"/>
      <c r="B372" s="49"/>
      <c r="C372" s="49"/>
      <c r="D372" s="49"/>
      <c r="E372" s="49"/>
      <c r="F372" s="49"/>
      <c r="G372" s="49"/>
      <c r="H372" s="49"/>
      <c r="I372" s="49"/>
      <c r="J372" s="49"/>
      <c r="K372" s="49"/>
      <c r="L372" s="49"/>
      <c r="M372" s="49"/>
      <c r="N372" s="49"/>
      <c r="O372" s="49"/>
      <c r="P372" s="49"/>
      <c r="Q372" s="49"/>
      <c r="R372" s="49"/>
      <c r="S372" s="49"/>
      <c r="T372" s="49"/>
      <c r="U372" s="49"/>
      <c r="V372" s="49"/>
      <c r="W372" s="49"/>
      <c r="X372" s="49"/>
      <c r="Y372" s="49"/>
      <c r="Z372" s="49"/>
    </row>
    <row r="373" spans="1:26" ht="13">
      <c r="A373" s="49"/>
      <c r="B373" s="49"/>
      <c r="C373" s="49"/>
      <c r="D373" s="49"/>
      <c r="E373" s="49"/>
      <c r="F373" s="49"/>
      <c r="G373" s="49"/>
      <c r="H373" s="49"/>
      <c r="I373" s="49"/>
      <c r="J373" s="49"/>
      <c r="K373" s="49"/>
      <c r="L373" s="49"/>
      <c r="M373" s="49"/>
      <c r="N373" s="49"/>
      <c r="O373" s="49"/>
      <c r="P373" s="49"/>
      <c r="Q373" s="49"/>
      <c r="R373" s="49"/>
      <c r="S373" s="49"/>
      <c r="T373" s="49"/>
      <c r="U373" s="49"/>
      <c r="V373" s="49"/>
      <c r="W373" s="49"/>
      <c r="X373" s="49"/>
      <c r="Y373" s="49"/>
      <c r="Z373" s="49"/>
    </row>
    <row r="374" spans="1:26" ht="13">
      <c r="A374" s="49"/>
      <c r="B374" s="49"/>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row>
    <row r="375" spans="1:26" ht="13">
      <c r="A375" s="49"/>
      <c r="B375" s="49"/>
      <c r="C375" s="49"/>
      <c r="D375" s="49"/>
      <c r="E375" s="49"/>
      <c r="F375" s="49"/>
      <c r="G375" s="49"/>
      <c r="H375" s="49"/>
      <c r="I375" s="49"/>
      <c r="J375" s="49"/>
      <c r="K375" s="49"/>
      <c r="L375" s="49"/>
      <c r="M375" s="49"/>
      <c r="N375" s="49"/>
      <c r="O375" s="49"/>
      <c r="P375" s="49"/>
      <c r="Q375" s="49"/>
      <c r="R375" s="49"/>
      <c r="S375" s="49"/>
      <c r="T375" s="49"/>
      <c r="U375" s="49"/>
      <c r="V375" s="49"/>
      <c r="W375" s="49"/>
      <c r="X375" s="49"/>
      <c r="Y375" s="49"/>
      <c r="Z375" s="49"/>
    </row>
    <row r="376" spans="1:26" ht="13">
      <c r="A376" s="49"/>
      <c r="B376" s="49"/>
      <c r="C376" s="49"/>
      <c r="D376" s="49"/>
      <c r="E376" s="49"/>
      <c r="F376" s="49"/>
      <c r="G376" s="49"/>
      <c r="H376" s="49"/>
      <c r="I376" s="49"/>
      <c r="J376" s="49"/>
      <c r="K376" s="49"/>
      <c r="L376" s="49"/>
      <c r="M376" s="49"/>
      <c r="N376" s="49"/>
      <c r="O376" s="49"/>
      <c r="P376" s="49"/>
      <c r="Q376" s="49"/>
      <c r="R376" s="49"/>
      <c r="S376" s="49"/>
      <c r="T376" s="49"/>
      <c r="U376" s="49"/>
      <c r="V376" s="49"/>
      <c r="W376" s="49"/>
      <c r="X376" s="49"/>
      <c r="Y376" s="49"/>
      <c r="Z376" s="49"/>
    </row>
    <row r="377" spans="1:26" ht="13">
      <c r="A377" s="49"/>
      <c r="B377" s="49"/>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row>
    <row r="378" spans="1:26" ht="13">
      <c r="A378" s="49"/>
      <c r="B378" s="49"/>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row>
    <row r="379" spans="1:26" ht="13">
      <c r="A379" s="49"/>
      <c r="B379" s="49"/>
      <c r="C379" s="49"/>
      <c r="D379" s="49"/>
      <c r="E379" s="49"/>
      <c r="F379" s="49"/>
      <c r="G379" s="49"/>
      <c r="H379" s="49"/>
      <c r="I379" s="49"/>
      <c r="J379" s="49"/>
      <c r="K379" s="49"/>
      <c r="L379" s="49"/>
      <c r="M379" s="49"/>
      <c r="N379" s="49"/>
      <c r="O379" s="49"/>
      <c r="P379" s="49"/>
      <c r="Q379" s="49"/>
      <c r="R379" s="49"/>
      <c r="S379" s="49"/>
      <c r="T379" s="49"/>
      <c r="U379" s="49"/>
      <c r="V379" s="49"/>
      <c r="W379" s="49"/>
      <c r="X379" s="49"/>
      <c r="Y379" s="49"/>
      <c r="Z379" s="49"/>
    </row>
    <row r="380" spans="1:26" ht="13">
      <c r="A380" s="49"/>
      <c r="B380" s="49"/>
      <c r="C380" s="49"/>
      <c r="D380" s="49"/>
      <c r="E380" s="49"/>
      <c r="F380" s="49"/>
      <c r="G380" s="49"/>
      <c r="H380" s="49"/>
      <c r="I380" s="49"/>
      <c r="J380" s="49"/>
      <c r="K380" s="49"/>
      <c r="L380" s="49"/>
      <c r="M380" s="49"/>
      <c r="N380" s="49"/>
      <c r="O380" s="49"/>
      <c r="P380" s="49"/>
      <c r="Q380" s="49"/>
      <c r="R380" s="49"/>
      <c r="S380" s="49"/>
      <c r="T380" s="49"/>
      <c r="U380" s="49"/>
      <c r="V380" s="49"/>
      <c r="W380" s="49"/>
      <c r="X380" s="49"/>
      <c r="Y380" s="49"/>
      <c r="Z380" s="49"/>
    </row>
    <row r="381" spans="1:26" ht="13">
      <c r="A381" s="49"/>
      <c r="B381" s="49"/>
      <c r="C381" s="49"/>
      <c r="D381" s="49"/>
      <c r="E381" s="49"/>
      <c r="F381" s="49"/>
      <c r="G381" s="49"/>
      <c r="H381" s="49"/>
      <c r="I381" s="49"/>
      <c r="J381" s="49"/>
      <c r="K381" s="49"/>
      <c r="L381" s="49"/>
      <c r="M381" s="49"/>
      <c r="N381" s="49"/>
      <c r="O381" s="49"/>
      <c r="P381" s="49"/>
      <c r="Q381" s="49"/>
      <c r="R381" s="49"/>
      <c r="S381" s="49"/>
      <c r="T381" s="49"/>
      <c r="U381" s="49"/>
      <c r="V381" s="49"/>
      <c r="W381" s="49"/>
      <c r="X381" s="49"/>
      <c r="Y381" s="49"/>
      <c r="Z381" s="49"/>
    </row>
    <row r="382" spans="1:26" ht="13">
      <c r="A382" s="49"/>
      <c r="B382" s="49"/>
      <c r="C382" s="49"/>
      <c r="D382" s="49"/>
      <c r="E382" s="49"/>
      <c r="F382" s="49"/>
      <c r="G382" s="49"/>
      <c r="H382" s="49"/>
      <c r="I382" s="49"/>
      <c r="J382" s="49"/>
      <c r="K382" s="49"/>
      <c r="L382" s="49"/>
      <c r="M382" s="49"/>
      <c r="N382" s="49"/>
      <c r="O382" s="49"/>
      <c r="P382" s="49"/>
      <c r="Q382" s="49"/>
      <c r="R382" s="49"/>
      <c r="S382" s="49"/>
      <c r="T382" s="49"/>
      <c r="U382" s="49"/>
      <c r="V382" s="49"/>
      <c r="W382" s="49"/>
      <c r="X382" s="49"/>
      <c r="Y382" s="49"/>
      <c r="Z382" s="49"/>
    </row>
    <row r="383" spans="1:26" ht="13">
      <c r="A383" s="49"/>
      <c r="B383" s="49"/>
      <c r="C383" s="49"/>
      <c r="D383" s="49"/>
      <c r="E383" s="49"/>
      <c r="F383" s="49"/>
      <c r="G383" s="49"/>
      <c r="H383" s="49"/>
      <c r="I383" s="49"/>
      <c r="J383" s="49"/>
      <c r="K383" s="49"/>
      <c r="L383" s="49"/>
      <c r="M383" s="49"/>
      <c r="N383" s="49"/>
      <c r="O383" s="49"/>
      <c r="P383" s="49"/>
      <c r="Q383" s="49"/>
      <c r="R383" s="49"/>
      <c r="S383" s="49"/>
      <c r="T383" s="49"/>
      <c r="U383" s="49"/>
      <c r="V383" s="49"/>
      <c r="W383" s="49"/>
      <c r="X383" s="49"/>
      <c r="Y383" s="49"/>
      <c r="Z383" s="49"/>
    </row>
    <row r="384" spans="1:26" ht="13">
      <c r="A384" s="49"/>
      <c r="B384" s="49"/>
      <c r="C384" s="49"/>
      <c r="D384" s="49"/>
      <c r="E384" s="49"/>
      <c r="F384" s="49"/>
      <c r="G384" s="49"/>
      <c r="H384" s="49"/>
      <c r="I384" s="49"/>
      <c r="J384" s="49"/>
      <c r="K384" s="49"/>
      <c r="L384" s="49"/>
      <c r="M384" s="49"/>
      <c r="N384" s="49"/>
      <c r="O384" s="49"/>
      <c r="P384" s="49"/>
      <c r="Q384" s="49"/>
      <c r="R384" s="49"/>
      <c r="S384" s="49"/>
      <c r="T384" s="49"/>
      <c r="U384" s="49"/>
      <c r="V384" s="49"/>
      <c r="W384" s="49"/>
      <c r="X384" s="49"/>
      <c r="Y384" s="49"/>
      <c r="Z384" s="49"/>
    </row>
    <row r="385" spans="1:26" ht="13">
      <c r="A385" s="49"/>
      <c r="B385" s="49"/>
      <c r="C385" s="49"/>
      <c r="D385" s="49"/>
      <c r="E385" s="49"/>
      <c r="F385" s="49"/>
      <c r="G385" s="49"/>
      <c r="H385" s="49"/>
      <c r="I385" s="49"/>
      <c r="J385" s="49"/>
      <c r="K385" s="49"/>
      <c r="L385" s="49"/>
      <c r="M385" s="49"/>
      <c r="N385" s="49"/>
      <c r="O385" s="49"/>
      <c r="P385" s="49"/>
      <c r="Q385" s="49"/>
      <c r="R385" s="49"/>
      <c r="S385" s="49"/>
      <c r="T385" s="49"/>
      <c r="U385" s="49"/>
      <c r="V385" s="49"/>
      <c r="W385" s="49"/>
      <c r="X385" s="49"/>
      <c r="Y385" s="49"/>
      <c r="Z385" s="49"/>
    </row>
    <row r="386" spans="1:26" ht="13">
      <c r="A386" s="49"/>
      <c r="B386" s="49"/>
      <c r="C386" s="49"/>
      <c r="D386" s="49"/>
      <c r="E386" s="49"/>
      <c r="F386" s="49"/>
      <c r="G386" s="49"/>
      <c r="H386" s="49"/>
      <c r="I386" s="49"/>
      <c r="J386" s="49"/>
      <c r="K386" s="49"/>
      <c r="L386" s="49"/>
      <c r="M386" s="49"/>
      <c r="N386" s="49"/>
      <c r="O386" s="49"/>
      <c r="P386" s="49"/>
      <c r="Q386" s="49"/>
      <c r="R386" s="49"/>
      <c r="S386" s="49"/>
      <c r="T386" s="49"/>
      <c r="U386" s="49"/>
      <c r="V386" s="49"/>
      <c r="W386" s="49"/>
      <c r="X386" s="49"/>
      <c r="Y386" s="49"/>
      <c r="Z386" s="49"/>
    </row>
    <row r="387" spans="1:26" ht="13">
      <c r="A387" s="49"/>
      <c r="B387" s="49"/>
      <c r="C387" s="49"/>
      <c r="D387" s="49"/>
      <c r="E387" s="49"/>
      <c r="F387" s="49"/>
      <c r="G387" s="49"/>
      <c r="H387" s="49"/>
      <c r="I387" s="49"/>
      <c r="J387" s="49"/>
      <c r="K387" s="49"/>
      <c r="L387" s="49"/>
      <c r="M387" s="49"/>
      <c r="N387" s="49"/>
      <c r="O387" s="49"/>
      <c r="P387" s="49"/>
      <c r="Q387" s="49"/>
      <c r="R387" s="49"/>
      <c r="S387" s="49"/>
      <c r="T387" s="49"/>
      <c r="U387" s="49"/>
      <c r="V387" s="49"/>
      <c r="W387" s="49"/>
      <c r="X387" s="49"/>
      <c r="Y387" s="49"/>
      <c r="Z387" s="49"/>
    </row>
    <row r="388" spans="1:26" ht="13">
      <c r="A388" s="49"/>
      <c r="B388" s="49"/>
      <c r="C388" s="49"/>
      <c r="D388" s="49"/>
      <c r="E388" s="49"/>
      <c r="F388" s="49"/>
      <c r="G388" s="49"/>
      <c r="H388" s="49"/>
      <c r="I388" s="49"/>
      <c r="J388" s="49"/>
      <c r="K388" s="49"/>
      <c r="L388" s="49"/>
      <c r="M388" s="49"/>
      <c r="N388" s="49"/>
      <c r="O388" s="49"/>
      <c r="P388" s="49"/>
      <c r="Q388" s="49"/>
      <c r="R388" s="49"/>
      <c r="S388" s="49"/>
      <c r="T388" s="49"/>
      <c r="U388" s="49"/>
      <c r="V388" s="49"/>
      <c r="W388" s="49"/>
      <c r="X388" s="49"/>
      <c r="Y388" s="49"/>
      <c r="Z388" s="49"/>
    </row>
    <row r="389" spans="1:26" ht="13">
      <c r="A389" s="49"/>
      <c r="B389" s="49"/>
      <c r="C389" s="49"/>
      <c r="D389" s="49"/>
      <c r="E389" s="49"/>
      <c r="F389" s="49"/>
      <c r="G389" s="49"/>
      <c r="H389" s="49"/>
      <c r="I389" s="49"/>
      <c r="J389" s="49"/>
      <c r="K389" s="49"/>
      <c r="L389" s="49"/>
      <c r="M389" s="49"/>
      <c r="N389" s="49"/>
      <c r="O389" s="49"/>
      <c r="P389" s="49"/>
      <c r="Q389" s="49"/>
      <c r="R389" s="49"/>
      <c r="S389" s="49"/>
      <c r="T389" s="49"/>
      <c r="U389" s="49"/>
      <c r="V389" s="49"/>
      <c r="W389" s="49"/>
      <c r="X389" s="49"/>
      <c r="Y389" s="49"/>
      <c r="Z389" s="49"/>
    </row>
    <row r="390" spans="1:26" ht="13">
      <c r="A390" s="49"/>
      <c r="B390" s="49"/>
      <c r="C390" s="49"/>
      <c r="D390" s="49"/>
      <c r="E390" s="49"/>
      <c r="F390" s="49"/>
      <c r="G390" s="49"/>
      <c r="H390" s="49"/>
      <c r="I390" s="49"/>
      <c r="J390" s="49"/>
      <c r="K390" s="49"/>
      <c r="L390" s="49"/>
      <c r="M390" s="49"/>
      <c r="N390" s="49"/>
      <c r="O390" s="49"/>
      <c r="P390" s="49"/>
      <c r="Q390" s="49"/>
      <c r="R390" s="49"/>
      <c r="S390" s="49"/>
      <c r="T390" s="49"/>
      <c r="U390" s="49"/>
      <c r="V390" s="49"/>
      <c r="W390" s="49"/>
      <c r="X390" s="49"/>
      <c r="Y390" s="49"/>
      <c r="Z390" s="49"/>
    </row>
    <row r="391" spans="1:26" ht="13">
      <c r="A391" s="49"/>
      <c r="B391" s="49"/>
      <c r="C391" s="49"/>
      <c r="D391" s="49"/>
      <c r="E391" s="49"/>
      <c r="F391" s="49"/>
      <c r="G391" s="49"/>
      <c r="H391" s="49"/>
      <c r="I391" s="49"/>
      <c r="J391" s="49"/>
      <c r="K391" s="49"/>
      <c r="L391" s="49"/>
      <c r="M391" s="49"/>
      <c r="N391" s="49"/>
      <c r="O391" s="49"/>
      <c r="P391" s="49"/>
      <c r="Q391" s="49"/>
      <c r="R391" s="49"/>
      <c r="S391" s="49"/>
      <c r="T391" s="49"/>
      <c r="U391" s="49"/>
      <c r="V391" s="49"/>
      <c r="W391" s="49"/>
      <c r="X391" s="49"/>
      <c r="Y391" s="49"/>
      <c r="Z391" s="49"/>
    </row>
    <row r="392" spans="1:26" ht="13">
      <c r="A392" s="49"/>
      <c r="B392" s="49"/>
      <c r="C392" s="49"/>
      <c r="D392" s="49"/>
      <c r="E392" s="49"/>
      <c r="F392" s="49"/>
      <c r="G392" s="49"/>
      <c r="H392" s="49"/>
      <c r="I392" s="49"/>
      <c r="J392" s="49"/>
      <c r="K392" s="49"/>
      <c r="L392" s="49"/>
      <c r="M392" s="49"/>
      <c r="N392" s="49"/>
      <c r="O392" s="49"/>
      <c r="P392" s="49"/>
      <c r="Q392" s="49"/>
      <c r="R392" s="49"/>
      <c r="S392" s="49"/>
      <c r="T392" s="49"/>
      <c r="U392" s="49"/>
      <c r="V392" s="49"/>
      <c r="W392" s="49"/>
      <c r="X392" s="49"/>
      <c r="Y392" s="49"/>
      <c r="Z392" s="49"/>
    </row>
    <row r="393" spans="1:26" ht="13">
      <c r="A393" s="49"/>
      <c r="B393" s="49"/>
      <c r="C393" s="49"/>
      <c r="D393" s="49"/>
      <c r="E393" s="49"/>
      <c r="F393" s="49"/>
      <c r="G393" s="49"/>
      <c r="H393" s="49"/>
      <c r="I393" s="49"/>
      <c r="J393" s="49"/>
      <c r="K393" s="49"/>
      <c r="L393" s="49"/>
      <c r="M393" s="49"/>
      <c r="N393" s="49"/>
      <c r="O393" s="49"/>
      <c r="P393" s="49"/>
      <c r="Q393" s="49"/>
      <c r="R393" s="49"/>
      <c r="S393" s="49"/>
      <c r="T393" s="49"/>
      <c r="U393" s="49"/>
      <c r="V393" s="49"/>
      <c r="W393" s="49"/>
      <c r="X393" s="49"/>
      <c r="Y393" s="49"/>
      <c r="Z393" s="49"/>
    </row>
    <row r="394" spans="1:26" ht="13">
      <c r="A394" s="49"/>
      <c r="B394" s="49"/>
      <c r="C394" s="49"/>
      <c r="D394" s="49"/>
      <c r="E394" s="49"/>
      <c r="F394" s="49"/>
      <c r="G394" s="49"/>
      <c r="H394" s="49"/>
      <c r="I394" s="49"/>
      <c r="J394" s="49"/>
      <c r="K394" s="49"/>
      <c r="L394" s="49"/>
      <c r="M394" s="49"/>
      <c r="N394" s="49"/>
      <c r="O394" s="49"/>
      <c r="P394" s="49"/>
      <c r="Q394" s="49"/>
      <c r="R394" s="49"/>
      <c r="S394" s="49"/>
      <c r="T394" s="49"/>
      <c r="U394" s="49"/>
      <c r="V394" s="49"/>
      <c r="W394" s="49"/>
      <c r="X394" s="49"/>
      <c r="Y394" s="49"/>
      <c r="Z394" s="49"/>
    </row>
    <row r="395" spans="1:26" ht="13">
      <c r="A395" s="49"/>
      <c r="B395" s="49"/>
      <c r="C395" s="49"/>
      <c r="D395" s="49"/>
      <c r="E395" s="49"/>
      <c r="F395" s="49"/>
      <c r="G395" s="49"/>
      <c r="H395" s="49"/>
      <c r="I395" s="49"/>
      <c r="J395" s="49"/>
      <c r="K395" s="49"/>
      <c r="L395" s="49"/>
      <c r="M395" s="49"/>
      <c r="N395" s="49"/>
      <c r="O395" s="49"/>
      <c r="P395" s="49"/>
      <c r="Q395" s="49"/>
      <c r="R395" s="49"/>
      <c r="S395" s="49"/>
      <c r="T395" s="49"/>
      <c r="U395" s="49"/>
      <c r="V395" s="49"/>
      <c r="W395" s="49"/>
      <c r="X395" s="49"/>
      <c r="Y395" s="49"/>
      <c r="Z395" s="49"/>
    </row>
    <row r="396" spans="1:26" ht="13">
      <c r="A396" s="49"/>
      <c r="B396" s="49"/>
      <c r="C396" s="49"/>
      <c r="D396" s="49"/>
      <c r="E396" s="49"/>
      <c r="F396" s="49"/>
      <c r="G396" s="49"/>
      <c r="H396" s="49"/>
      <c r="I396" s="49"/>
      <c r="J396" s="49"/>
      <c r="K396" s="49"/>
      <c r="L396" s="49"/>
      <c r="M396" s="49"/>
      <c r="N396" s="49"/>
      <c r="O396" s="49"/>
      <c r="P396" s="49"/>
      <c r="Q396" s="49"/>
      <c r="R396" s="49"/>
      <c r="S396" s="49"/>
      <c r="T396" s="49"/>
      <c r="U396" s="49"/>
      <c r="V396" s="49"/>
      <c r="W396" s="49"/>
      <c r="X396" s="49"/>
      <c r="Y396" s="49"/>
      <c r="Z396" s="49"/>
    </row>
    <row r="397" spans="1:26" ht="13">
      <c r="A397" s="49"/>
      <c r="B397" s="49"/>
      <c r="C397" s="49"/>
      <c r="D397" s="49"/>
      <c r="E397" s="49"/>
      <c r="F397" s="49"/>
      <c r="G397" s="49"/>
      <c r="H397" s="49"/>
      <c r="I397" s="49"/>
      <c r="J397" s="49"/>
      <c r="K397" s="49"/>
      <c r="L397" s="49"/>
      <c r="M397" s="49"/>
      <c r="N397" s="49"/>
      <c r="O397" s="49"/>
      <c r="P397" s="49"/>
      <c r="Q397" s="49"/>
      <c r="R397" s="49"/>
      <c r="S397" s="49"/>
      <c r="T397" s="49"/>
      <c r="U397" s="49"/>
      <c r="V397" s="49"/>
      <c r="W397" s="49"/>
      <c r="X397" s="49"/>
      <c r="Y397" s="49"/>
      <c r="Z397" s="49"/>
    </row>
    <row r="398" spans="1:26" ht="13">
      <c r="A398" s="49"/>
      <c r="B398" s="49"/>
      <c r="C398" s="49"/>
      <c r="D398" s="49"/>
      <c r="E398" s="49"/>
      <c r="F398" s="49"/>
      <c r="G398" s="49"/>
      <c r="H398" s="49"/>
      <c r="I398" s="49"/>
      <c r="J398" s="49"/>
      <c r="K398" s="49"/>
      <c r="L398" s="49"/>
      <c r="M398" s="49"/>
      <c r="N398" s="49"/>
      <c r="O398" s="49"/>
      <c r="P398" s="49"/>
      <c r="Q398" s="49"/>
      <c r="R398" s="49"/>
      <c r="S398" s="49"/>
      <c r="T398" s="49"/>
      <c r="U398" s="49"/>
      <c r="V398" s="49"/>
      <c r="W398" s="49"/>
      <c r="X398" s="49"/>
      <c r="Y398" s="49"/>
      <c r="Z398" s="49"/>
    </row>
    <row r="399" spans="1:26" ht="13">
      <c r="A399" s="49"/>
      <c r="B399" s="49"/>
      <c r="C399" s="49"/>
      <c r="D399" s="49"/>
      <c r="E399" s="49"/>
      <c r="F399" s="49"/>
      <c r="G399" s="49"/>
      <c r="H399" s="49"/>
      <c r="I399" s="49"/>
      <c r="J399" s="49"/>
      <c r="K399" s="49"/>
      <c r="L399" s="49"/>
      <c r="M399" s="49"/>
      <c r="N399" s="49"/>
      <c r="O399" s="49"/>
      <c r="P399" s="49"/>
      <c r="Q399" s="49"/>
      <c r="R399" s="49"/>
      <c r="S399" s="49"/>
      <c r="T399" s="49"/>
      <c r="U399" s="49"/>
      <c r="V399" s="49"/>
      <c r="W399" s="49"/>
      <c r="X399" s="49"/>
      <c r="Y399" s="49"/>
      <c r="Z399" s="49"/>
    </row>
    <row r="400" spans="1:26" ht="13">
      <c r="A400" s="49"/>
      <c r="B400" s="49"/>
      <c r="C400" s="49"/>
      <c r="D400" s="49"/>
      <c r="E400" s="49"/>
      <c r="F400" s="49"/>
      <c r="G400" s="49"/>
      <c r="H400" s="49"/>
      <c r="I400" s="49"/>
      <c r="J400" s="49"/>
      <c r="K400" s="49"/>
      <c r="L400" s="49"/>
      <c r="M400" s="49"/>
      <c r="N400" s="49"/>
      <c r="O400" s="49"/>
      <c r="P400" s="49"/>
      <c r="Q400" s="49"/>
      <c r="R400" s="49"/>
      <c r="S400" s="49"/>
      <c r="T400" s="49"/>
      <c r="U400" s="49"/>
      <c r="V400" s="49"/>
      <c r="W400" s="49"/>
      <c r="X400" s="49"/>
      <c r="Y400" s="49"/>
      <c r="Z400" s="49"/>
    </row>
    <row r="401" spans="1:26" ht="13">
      <c r="A401" s="49"/>
      <c r="B401" s="49"/>
      <c r="C401" s="49"/>
      <c r="D401" s="49"/>
      <c r="E401" s="49"/>
      <c r="F401" s="49"/>
      <c r="G401" s="49"/>
      <c r="H401" s="49"/>
      <c r="I401" s="49"/>
      <c r="J401" s="49"/>
      <c r="K401" s="49"/>
      <c r="L401" s="49"/>
      <c r="M401" s="49"/>
      <c r="N401" s="49"/>
      <c r="O401" s="49"/>
      <c r="P401" s="49"/>
      <c r="Q401" s="49"/>
      <c r="R401" s="49"/>
      <c r="S401" s="49"/>
      <c r="T401" s="49"/>
      <c r="U401" s="49"/>
      <c r="V401" s="49"/>
      <c r="W401" s="49"/>
      <c r="X401" s="49"/>
      <c r="Y401" s="49"/>
      <c r="Z401" s="49"/>
    </row>
    <row r="402" spans="1:26" ht="13">
      <c r="A402" s="49"/>
      <c r="B402" s="49"/>
      <c r="C402" s="49"/>
      <c r="D402" s="49"/>
      <c r="E402" s="49"/>
      <c r="F402" s="49"/>
      <c r="G402" s="49"/>
      <c r="H402" s="49"/>
      <c r="I402" s="49"/>
      <c r="J402" s="49"/>
      <c r="K402" s="49"/>
      <c r="L402" s="49"/>
      <c r="M402" s="49"/>
      <c r="N402" s="49"/>
      <c r="O402" s="49"/>
      <c r="P402" s="49"/>
      <c r="Q402" s="49"/>
      <c r="R402" s="49"/>
      <c r="S402" s="49"/>
      <c r="T402" s="49"/>
      <c r="U402" s="49"/>
      <c r="V402" s="49"/>
      <c r="W402" s="49"/>
      <c r="X402" s="49"/>
      <c r="Y402" s="49"/>
      <c r="Z402" s="49"/>
    </row>
    <row r="403" spans="1:26" ht="13">
      <c r="A403" s="49"/>
      <c r="B403" s="49"/>
      <c r="C403" s="49"/>
      <c r="D403" s="49"/>
      <c r="E403" s="49"/>
      <c r="F403" s="49"/>
      <c r="G403" s="49"/>
      <c r="H403" s="49"/>
      <c r="I403" s="49"/>
      <c r="J403" s="49"/>
      <c r="K403" s="49"/>
      <c r="L403" s="49"/>
      <c r="M403" s="49"/>
      <c r="N403" s="49"/>
      <c r="O403" s="49"/>
      <c r="P403" s="49"/>
      <c r="Q403" s="49"/>
      <c r="R403" s="49"/>
      <c r="S403" s="49"/>
      <c r="T403" s="49"/>
      <c r="U403" s="49"/>
      <c r="V403" s="49"/>
      <c r="W403" s="49"/>
      <c r="X403" s="49"/>
      <c r="Y403" s="49"/>
      <c r="Z403" s="49"/>
    </row>
    <row r="404" spans="1:26" ht="13">
      <c r="A404" s="49"/>
      <c r="B404" s="49"/>
      <c r="C404" s="49"/>
      <c r="D404" s="49"/>
      <c r="E404" s="49"/>
      <c r="F404" s="49"/>
      <c r="G404" s="49"/>
      <c r="H404" s="49"/>
      <c r="I404" s="49"/>
      <c r="J404" s="49"/>
      <c r="K404" s="49"/>
      <c r="L404" s="49"/>
      <c r="M404" s="49"/>
      <c r="N404" s="49"/>
      <c r="O404" s="49"/>
      <c r="P404" s="49"/>
      <c r="Q404" s="49"/>
      <c r="R404" s="49"/>
      <c r="S404" s="49"/>
      <c r="T404" s="49"/>
      <c r="U404" s="49"/>
      <c r="V404" s="49"/>
      <c r="W404" s="49"/>
      <c r="X404" s="49"/>
      <c r="Y404" s="49"/>
      <c r="Z404" s="49"/>
    </row>
    <row r="405" spans="1:26" ht="13">
      <c r="A405" s="49"/>
      <c r="B405" s="49"/>
      <c r="C405" s="49"/>
      <c r="D405" s="49"/>
      <c r="E405" s="49"/>
      <c r="F405" s="49"/>
      <c r="G405" s="49"/>
      <c r="H405" s="49"/>
      <c r="I405" s="49"/>
      <c r="J405" s="49"/>
      <c r="K405" s="49"/>
      <c r="L405" s="49"/>
      <c r="M405" s="49"/>
      <c r="N405" s="49"/>
      <c r="O405" s="49"/>
      <c r="P405" s="49"/>
      <c r="Q405" s="49"/>
      <c r="R405" s="49"/>
      <c r="S405" s="49"/>
      <c r="T405" s="49"/>
      <c r="U405" s="49"/>
      <c r="V405" s="49"/>
      <c r="W405" s="49"/>
      <c r="X405" s="49"/>
      <c r="Y405" s="49"/>
      <c r="Z405" s="49"/>
    </row>
    <row r="406" spans="1:26" ht="13">
      <c r="A406" s="49"/>
      <c r="B406" s="49"/>
      <c r="C406" s="49"/>
      <c r="D406" s="49"/>
      <c r="E406" s="49"/>
      <c r="F406" s="49"/>
      <c r="G406" s="49"/>
      <c r="H406" s="49"/>
      <c r="I406" s="49"/>
      <c r="J406" s="49"/>
      <c r="K406" s="49"/>
      <c r="L406" s="49"/>
      <c r="M406" s="49"/>
      <c r="N406" s="49"/>
      <c r="O406" s="49"/>
      <c r="P406" s="49"/>
      <c r="Q406" s="49"/>
      <c r="R406" s="49"/>
      <c r="S406" s="49"/>
      <c r="T406" s="49"/>
      <c r="U406" s="49"/>
      <c r="V406" s="49"/>
      <c r="W406" s="49"/>
      <c r="X406" s="49"/>
      <c r="Y406" s="49"/>
      <c r="Z406" s="49"/>
    </row>
    <row r="407" spans="1:26" ht="13">
      <c r="A407" s="49"/>
      <c r="B407" s="49"/>
      <c r="C407" s="49"/>
      <c r="D407" s="49"/>
      <c r="E407" s="49"/>
      <c r="F407" s="49"/>
      <c r="G407" s="49"/>
      <c r="H407" s="49"/>
      <c r="I407" s="49"/>
      <c r="J407" s="49"/>
      <c r="K407" s="49"/>
      <c r="L407" s="49"/>
      <c r="M407" s="49"/>
      <c r="N407" s="49"/>
      <c r="O407" s="49"/>
      <c r="P407" s="49"/>
      <c r="Q407" s="49"/>
      <c r="R407" s="49"/>
      <c r="S407" s="49"/>
      <c r="T407" s="49"/>
      <c r="U407" s="49"/>
      <c r="V407" s="49"/>
      <c r="W407" s="49"/>
      <c r="X407" s="49"/>
      <c r="Y407" s="49"/>
      <c r="Z407" s="49"/>
    </row>
    <row r="408" spans="1:26" ht="13">
      <c r="A408" s="49"/>
      <c r="B408" s="49"/>
      <c r="C408" s="49"/>
      <c r="D408" s="49"/>
      <c r="E408" s="49"/>
      <c r="F408" s="49"/>
      <c r="G408" s="49"/>
      <c r="H408" s="49"/>
      <c r="I408" s="49"/>
      <c r="J408" s="49"/>
      <c r="K408" s="49"/>
      <c r="L408" s="49"/>
      <c r="M408" s="49"/>
      <c r="N408" s="49"/>
      <c r="O408" s="49"/>
      <c r="P408" s="49"/>
      <c r="Q408" s="49"/>
      <c r="R408" s="49"/>
      <c r="S408" s="49"/>
      <c r="T408" s="49"/>
      <c r="U408" s="49"/>
      <c r="V408" s="49"/>
      <c r="W408" s="49"/>
      <c r="X408" s="49"/>
      <c r="Y408" s="49"/>
      <c r="Z408" s="49"/>
    </row>
    <row r="409" spans="1:26" ht="13">
      <c r="A409" s="49"/>
      <c r="B409" s="49"/>
      <c r="C409" s="49"/>
      <c r="D409" s="49"/>
      <c r="E409" s="49"/>
      <c r="F409" s="49"/>
      <c r="G409" s="49"/>
      <c r="H409" s="49"/>
      <c r="I409" s="49"/>
      <c r="J409" s="49"/>
      <c r="K409" s="49"/>
      <c r="L409" s="49"/>
      <c r="M409" s="49"/>
      <c r="N409" s="49"/>
      <c r="O409" s="49"/>
      <c r="P409" s="49"/>
      <c r="Q409" s="49"/>
      <c r="R409" s="49"/>
      <c r="S409" s="49"/>
      <c r="T409" s="49"/>
      <c r="U409" s="49"/>
      <c r="V409" s="49"/>
      <c r="W409" s="49"/>
      <c r="X409" s="49"/>
      <c r="Y409" s="49"/>
      <c r="Z409" s="49"/>
    </row>
    <row r="410" spans="1:26" ht="13">
      <c r="A410" s="49"/>
      <c r="B410" s="49"/>
      <c r="C410" s="49"/>
      <c r="D410" s="49"/>
      <c r="E410" s="49"/>
      <c r="F410" s="49"/>
      <c r="G410" s="49"/>
      <c r="H410" s="49"/>
      <c r="I410" s="49"/>
      <c r="J410" s="49"/>
      <c r="K410" s="49"/>
      <c r="L410" s="49"/>
      <c r="M410" s="49"/>
      <c r="N410" s="49"/>
      <c r="O410" s="49"/>
      <c r="P410" s="49"/>
      <c r="Q410" s="49"/>
      <c r="R410" s="49"/>
      <c r="S410" s="49"/>
      <c r="T410" s="49"/>
      <c r="U410" s="49"/>
      <c r="V410" s="49"/>
      <c r="W410" s="49"/>
      <c r="X410" s="49"/>
      <c r="Y410" s="49"/>
      <c r="Z410" s="49"/>
    </row>
    <row r="411" spans="1:26" ht="13">
      <c r="A411" s="49"/>
      <c r="B411" s="49"/>
      <c r="C411" s="49"/>
      <c r="D411" s="49"/>
      <c r="E411" s="49"/>
      <c r="F411" s="49"/>
      <c r="G411" s="49"/>
      <c r="H411" s="49"/>
      <c r="I411" s="49"/>
      <c r="J411" s="49"/>
      <c r="K411" s="49"/>
      <c r="L411" s="49"/>
      <c r="M411" s="49"/>
      <c r="N411" s="49"/>
      <c r="O411" s="49"/>
      <c r="P411" s="49"/>
      <c r="Q411" s="49"/>
      <c r="R411" s="49"/>
      <c r="S411" s="49"/>
      <c r="T411" s="49"/>
      <c r="U411" s="49"/>
      <c r="V411" s="49"/>
      <c r="W411" s="49"/>
      <c r="X411" s="49"/>
      <c r="Y411" s="49"/>
      <c r="Z411" s="49"/>
    </row>
    <row r="412" spans="1:26" ht="13">
      <c r="A412" s="49"/>
      <c r="B412" s="49"/>
      <c r="C412" s="49"/>
      <c r="D412" s="49"/>
      <c r="E412" s="49"/>
      <c r="F412" s="49"/>
      <c r="G412" s="49"/>
      <c r="H412" s="49"/>
      <c r="I412" s="49"/>
      <c r="J412" s="49"/>
      <c r="K412" s="49"/>
      <c r="L412" s="49"/>
      <c r="M412" s="49"/>
      <c r="N412" s="49"/>
      <c r="O412" s="49"/>
      <c r="P412" s="49"/>
      <c r="Q412" s="49"/>
      <c r="R412" s="49"/>
      <c r="S412" s="49"/>
      <c r="T412" s="49"/>
      <c r="U412" s="49"/>
      <c r="V412" s="49"/>
      <c r="W412" s="49"/>
      <c r="X412" s="49"/>
      <c r="Y412" s="49"/>
      <c r="Z412" s="49"/>
    </row>
    <row r="413" spans="1:26" ht="13">
      <c r="A413" s="49"/>
      <c r="B413" s="49"/>
      <c r="C413" s="49"/>
      <c r="D413" s="49"/>
      <c r="E413" s="49"/>
      <c r="F413" s="49"/>
      <c r="G413" s="49"/>
      <c r="H413" s="49"/>
      <c r="I413" s="49"/>
      <c r="J413" s="49"/>
      <c r="K413" s="49"/>
      <c r="L413" s="49"/>
      <c r="M413" s="49"/>
      <c r="N413" s="49"/>
      <c r="O413" s="49"/>
      <c r="P413" s="49"/>
      <c r="Q413" s="49"/>
      <c r="R413" s="49"/>
      <c r="S413" s="49"/>
      <c r="T413" s="49"/>
      <c r="U413" s="49"/>
      <c r="V413" s="49"/>
      <c r="W413" s="49"/>
      <c r="X413" s="49"/>
      <c r="Y413" s="49"/>
      <c r="Z413" s="49"/>
    </row>
    <row r="414" spans="1:26" ht="13">
      <c r="A414" s="49"/>
      <c r="B414" s="49"/>
      <c r="C414" s="49"/>
      <c r="D414" s="49"/>
      <c r="E414" s="49"/>
      <c r="F414" s="49"/>
      <c r="G414" s="49"/>
      <c r="H414" s="49"/>
      <c r="I414" s="49"/>
      <c r="J414" s="49"/>
      <c r="K414" s="49"/>
      <c r="L414" s="49"/>
      <c r="M414" s="49"/>
      <c r="N414" s="49"/>
      <c r="O414" s="49"/>
      <c r="P414" s="49"/>
      <c r="Q414" s="49"/>
      <c r="R414" s="49"/>
      <c r="S414" s="49"/>
      <c r="T414" s="49"/>
      <c r="U414" s="49"/>
      <c r="V414" s="49"/>
      <c r="W414" s="49"/>
      <c r="X414" s="49"/>
      <c r="Y414" s="49"/>
      <c r="Z414" s="49"/>
    </row>
    <row r="415" spans="1:26" ht="13">
      <c r="A415" s="49"/>
      <c r="B415" s="49"/>
      <c r="C415" s="49"/>
      <c r="D415" s="49"/>
      <c r="E415" s="49"/>
      <c r="F415" s="49"/>
      <c r="G415" s="49"/>
      <c r="H415" s="49"/>
      <c r="I415" s="49"/>
      <c r="J415" s="49"/>
      <c r="K415" s="49"/>
      <c r="L415" s="49"/>
      <c r="M415" s="49"/>
      <c r="N415" s="49"/>
      <c r="O415" s="49"/>
      <c r="P415" s="49"/>
      <c r="Q415" s="49"/>
      <c r="R415" s="49"/>
      <c r="S415" s="49"/>
      <c r="T415" s="49"/>
      <c r="U415" s="49"/>
      <c r="V415" s="49"/>
      <c r="W415" s="49"/>
      <c r="X415" s="49"/>
      <c r="Y415" s="49"/>
      <c r="Z415" s="49"/>
    </row>
    <row r="416" spans="1:26" ht="13">
      <c r="A416" s="49"/>
      <c r="B416" s="49"/>
      <c r="C416" s="49"/>
      <c r="D416" s="49"/>
      <c r="E416" s="49"/>
      <c r="F416" s="49"/>
      <c r="G416" s="49"/>
      <c r="H416" s="49"/>
      <c r="I416" s="49"/>
      <c r="J416" s="49"/>
      <c r="K416" s="49"/>
      <c r="L416" s="49"/>
      <c r="M416" s="49"/>
      <c r="N416" s="49"/>
      <c r="O416" s="49"/>
      <c r="P416" s="49"/>
      <c r="Q416" s="49"/>
      <c r="R416" s="49"/>
      <c r="S416" s="49"/>
      <c r="T416" s="49"/>
      <c r="U416" s="49"/>
      <c r="V416" s="49"/>
      <c r="W416" s="49"/>
      <c r="X416" s="49"/>
      <c r="Y416" s="49"/>
      <c r="Z416" s="49"/>
    </row>
    <row r="417" spans="1:26" ht="13">
      <c r="A417" s="49"/>
      <c r="B417" s="49"/>
      <c r="C417" s="49"/>
      <c r="D417" s="49"/>
      <c r="E417" s="49"/>
      <c r="F417" s="49"/>
      <c r="G417" s="49"/>
      <c r="H417" s="49"/>
      <c r="I417" s="49"/>
      <c r="J417" s="49"/>
      <c r="K417" s="49"/>
      <c r="L417" s="49"/>
      <c r="M417" s="49"/>
      <c r="N417" s="49"/>
      <c r="O417" s="49"/>
      <c r="P417" s="49"/>
      <c r="Q417" s="49"/>
      <c r="R417" s="49"/>
      <c r="S417" s="49"/>
      <c r="T417" s="49"/>
      <c r="U417" s="49"/>
      <c r="V417" s="49"/>
      <c r="W417" s="49"/>
      <c r="X417" s="49"/>
      <c r="Y417" s="49"/>
      <c r="Z417" s="49"/>
    </row>
    <row r="418" spans="1:26" ht="13">
      <c r="A418" s="49"/>
      <c r="B418" s="49"/>
      <c r="C418" s="49"/>
      <c r="D418" s="49"/>
      <c r="E418" s="49"/>
      <c r="F418" s="49"/>
      <c r="G418" s="49"/>
      <c r="H418" s="49"/>
      <c r="I418" s="49"/>
      <c r="J418" s="49"/>
      <c r="K418" s="49"/>
      <c r="L418" s="49"/>
      <c r="M418" s="49"/>
      <c r="N418" s="49"/>
      <c r="O418" s="49"/>
      <c r="P418" s="49"/>
      <c r="Q418" s="49"/>
      <c r="R418" s="49"/>
      <c r="S418" s="49"/>
      <c r="T418" s="49"/>
      <c r="U418" s="49"/>
      <c r="V418" s="49"/>
      <c r="W418" s="49"/>
      <c r="X418" s="49"/>
      <c r="Y418" s="49"/>
      <c r="Z418" s="49"/>
    </row>
    <row r="419" spans="1:26" ht="13">
      <c r="A419" s="49"/>
      <c r="B419" s="49"/>
      <c r="C419" s="49"/>
      <c r="D419" s="49"/>
      <c r="E419" s="49"/>
      <c r="F419" s="49"/>
      <c r="G419" s="49"/>
      <c r="H419" s="49"/>
      <c r="I419" s="49"/>
      <c r="J419" s="49"/>
      <c r="K419" s="49"/>
      <c r="L419" s="49"/>
      <c r="M419" s="49"/>
      <c r="N419" s="49"/>
      <c r="O419" s="49"/>
      <c r="P419" s="49"/>
      <c r="Q419" s="49"/>
      <c r="R419" s="49"/>
      <c r="S419" s="49"/>
      <c r="T419" s="49"/>
      <c r="U419" s="49"/>
      <c r="V419" s="49"/>
      <c r="W419" s="49"/>
      <c r="X419" s="49"/>
      <c r="Y419" s="49"/>
      <c r="Z419" s="49"/>
    </row>
    <row r="420" spans="1:26" ht="13">
      <c r="A420" s="49"/>
      <c r="B420" s="49"/>
      <c r="C420" s="49"/>
      <c r="D420" s="49"/>
      <c r="E420" s="49"/>
      <c r="F420" s="49"/>
      <c r="G420" s="49"/>
      <c r="H420" s="49"/>
      <c r="I420" s="49"/>
      <c r="J420" s="49"/>
      <c r="K420" s="49"/>
      <c r="L420" s="49"/>
      <c r="M420" s="49"/>
      <c r="N420" s="49"/>
      <c r="O420" s="49"/>
      <c r="P420" s="49"/>
      <c r="Q420" s="49"/>
      <c r="R420" s="49"/>
      <c r="S420" s="49"/>
      <c r="T420" s="49"/>
      <c r="U420" s="49"/>
      <c r="V420" s="49"/>
      <c r="W420" s="49"/>
      <c r="X420" s="49"/>
      <c r="Y420" s="49"/>
      <c r="Z420" s="49"/>
    </row>
    <row r="421" spans="1:26" ht="13">
      <c r="A421" s="49"/>
      <c r="B421" s="49"/>
      <c r="C421" s="49"/>
      <c r="D421" s="49"/>
      <c r="E421" s="49"/>
      <c r="F421" s="49"/>
      <c r="G421" s="49"/>
      <c r="H421" s="49"/>
      <c r="I421" s="49"/>
      <c r="J421" s="49"/>
      <c r="K421" s="49"/>
      <c r="L421" s="49"/>
      <c r="M421" s="49"/>
      <c r="N421" s="49"/>
      <c r="O421" s="49"/>
      <c r="P421" s="49"/>
      <c r="Q421" s="49"/>
      <c r="R421" s="49"/>
      <c r="S421" s="49"/>
      <c r="T421" s="49"/>
      <c r="U421" s="49"/>
      <c r="V421" s="49"/>
      <c r="W421" s="49"/>
      <c r="X421" s="49"/>
      <c r="Y421" s="49"/>
      <c r="Z421" s="49"/>
    </row>
    <row r="422" spans="1:26" ht="13">
      <c r="A422" s="49"/>
      <c r="B422" s="49"/>
      <c r="C422" s="49"/>
      <c r="D422" s="49"/>
      <c r="E422" s="49"/>
      <c r="F422" s="49"/>
      <c r="G422" s="49"/>
      <c r="H422" s="49"/>
      <c r="I422" s="49"/>
      <c r="J422" s="49"/>
      <c r="K422" s="49"/>
      <c r="L422" s="49"/>
      <c r="M422" s="49"/>
      <c r="N422" s="49"/>
      <c r="O422" s="49"/>
      <c r="P422" s="49"/>
      <c r="Q422" s="49"/>
      <c r="R422" s="49"/>
      <c r="S422" s="49"/>
      <c r="T422" s="49"/>
      <c r="U422" s="49"/>
      <c r="V422" s="49"/>
      <c r="W422" s="49"/>
      <c r="X422" s="49"/>
      <c r="Y422" s="49"/>
      <c r="Z422" s="49"/>
    </row>
    <row r="423" spans="1:26" ht="13">
      <c r="A423" s="49"/>
      <c r="B423" s="49"/>
      <c r="C423" s="49"/>
      <c r="D423" s="49"/>
      <c r="E423" s="49"/>
      <c r="F423" s="49"/>
      <c r="G423" s="49"/>
      <c r="H423" s="49"/>
      <c r="I423" s="49"/>
      <c r="J423" s="49"/>
      <c r="K423" s="49"/>
      <c r="L423" s="49"/>
      <c r="M423" s="49"/>
      <c r="N423" s="49"/>
      <c r="O423" s="49"/>
      <c r="P423" s="49"/>
      <c r="Q423" s="49"/>
      <c r="R423" s="49"/>
      <c r="S423" s="49"/>
      <c r="T423" s="49"/>
      <c r="U423" s="49"/>
      <c r="V423" s="49"/>
      <c r="W423" s="49"/>
      <c r="X423" s="49"/>
      <c r="Y423" s="49"/>
      <c r="Z423" s="49"/>
    </row>
    <row r="424" spans="1:26" ht="13">
      <c r="A424" s="49"/>
      <c r="B424" s="49"/>
      <c r="C424" s="49"/>
      <c r="D424" s="49"/>
      <c r="E424" s="49"/>
      <c r="F424" s="49"/>
      <c r="G424" s="49"/>
      <c r="H424" s="49"/>
      <c r="I424" s="49"/>
      <c r="J424" s="49"/>
      <c r="K424" s="49"/>
      <c r="L424" s="49"/>
      <c r="M424" s="49"/>
      <c r="N424" s="49"/>
      <c r="O424" s="49"/>
      <c r="P424" s="49"/>
      <c r="Q424" s="49"/>
      <c r="R424" s="49"/>
      <c r="S424" s="49"/>
      <c r="T424" s="49"/>
      <c r="U424" s="49"/>
      <c r="V424" s="49"/>
      <c r="W424" s="49"/>
      <c r="X424" s="49"/>
      <c r="Y424" s="49"/>
      <c r="Z424" s="49"/>
    </row>
    <row r="425" spans="1:26" ht="13">
      <c r="A425" s="49"/>
      <c r="B425" s="49"/>
      <c r="C425" s="49"/>
      <c r="D425" s="49"/>
      <c r="E425" s="49"/>
      <c r="F425" s="49"/>
      <c r="G425" s="49"/>
      <c r="H425" s="49"/>
      <c r="I425" s="49"/>
      <c r="J425" s="49"/>
      <c r="K425" s="49"/>
      <c r="L425" s="49"/>
      <c r="M425" s="49"/>
      <c r="N425" s="49"/>
      <c r="O425" s="49"/>
      <c r="P425" s="49"/>
      <c r="Q425" s="49"/>
      <c r="R425" s="49"/>
      <c r="S425" s="49"/>
      <c r="T425" s="49"/>
      <c r="U425" s="49"/>
      <c r="V425" s="49"/>
      <c r="W425" s="49"/>
      <c r="X425" s="49"/>
      <c r="Y425" s="49"/>
      <c r="Z425" s="49"/>
    </row>
    <row r="426" spans="1:26" ht="13">
      <c r="A426" s="49"/>
      <c r="B426" s="49"/>
      <c r="C426" s="49"/>
      <c r="D426" s="49"/>
      <c r="E426" s="49"/>
      <c r="F426" s="49"/>
      <c r="G426" s="49"/>
      <c r="H426" s="49"/>
      <c r="I426" s="49"/>
      <c r="J426" s="49"/>
      <c r="K426" s="49"/>
      <c r="L426" s="49"/>
      <c r="M426" s="49"/>
      <c r="N426" s="49"/>
      <c r="O426" s="49"/>
      <c r="P426" s="49"/>
      <c r="Q426" s="49"/>
      <c r="R426" s="49"/>
      <c r="S426" s="49"/>
      <c r="T426" s="49"/>
      <c r="U426" s="49"/>
      <c r="V426" s="49"/>
      <c r="W426" s="49"/>
      <c r="X426" s="49"/>
      <c r="Y426" s="49"/>
      <c r="Z426" s="49"/>
    </row>
    <row r="427" spans="1:26" ht="13">
      <c r="A427" s="49"/>
      <c r="B427" s="49"/>
      <c r="C427" s="49"/>
      <c r="D427" s="49"/>
      <c r="E427" s="49"/>
      <c r="F427" s="49"/>
      <c r="G427" s="49"/>
      <c r="H427" s="49"/>
      <c r="I427" s="49"/>
      <c r="J427" s="49"/>
      <c r="K427" s="49"/>
      <c r="L427" s="49"/>
      <c r="M427" s="49"/>
      <c r="N427" s="49"/>
      <c r="O427" s="49"/>
      <c r="P427" s="49"/>
      <c r="Q427" s="49"/>
      <c r="R427" s="49"/>
      <c r="S427" s="49"/>
      <c r="T427" s="49"/>
      <c r="U427" s="49"/>
      <c r="V427" s="49"/>
      <c r="W427" s="49"/>
      <c r="X427" s="49"/>
      <c r="Y427" s="49"/>
      <c r="Z427" s="49"/>
    </row>
    <row r="428" spans="1:26" ht="13">
      <c r="A428" s="49"/>
      <c r="B428" s="49"/>
      <c r="C428" s="49"/>
      <c r="D428" s="49"/>
      <c r="E428" s="49"/>
      <c r="F428" s="49"/>
      <c r="G428" s="49"/>
      <c r="H428" s="49"/>
      <c r="I428" s="49"/>
      <c r="J428" s="49"/>
      <c r="K428" s="49"/>
      <c r="L428" s="49"/>
      <c r="M428" s="49"/>
      <c r="N428" s="49"/>
      <c r="O428" s="49"/>
      <c r="P428" s="49"/>
      <c r="Q428" s="49"/>
      <c r="R428" s="49"/>
      <c r="S428" s="49"/>
      <c r="T428" s="49"/>
      <c r="U428" s="49"/>
      <c r="V428" s="49"/>
      <c r="W428" s="49"/>
      <c r="X428" s="49"/>
      <c r="Y428" s="49"/>
      <c r="Z428" s="49"/>
    </row>
    <row r="429" spans="1:26" ht="13">
      <c r="A429" s="49"/>
      <c r="B429" s="49"/>
      <c r="C429" s="49"/>
      <c r="D429" s="49"/>
      <c r="E429" s="49"/>
      <c r="F429" s="49"/>
      <c r="G429" s="49"/>
      <c r="H429" s="49"/>
      <c r="I429" s="49"/>
      <c r="J429" s="49"/>
      <c r="K429" s="49"/>
      <c r="L429" s="49"/>
      <c r="M429" s="49"/>
      <c r="N429" s="49"/>
      <c r="O429" s="49"/>
      <c r="P429" s="49"/>
      <c r="Q429" s="49"/>
      <c r="R429" s="49"/>
      <c r="S429" s="49"/>
      <c r="T429" s="49"/>
      <c r="U429" s="49"/>
      <c r="V429" s="49"/>
      <c r="W429" s="49"/>
      <c r="X429" s="49"/>
      <c r="Y429" s="49"/>
      <c r="Z429" s="49"/>
    </row>
    <row r="430" spans="1:26" ht="13">
      <c r="A430" s="49"/>
      <c r="B430" s="49"/>
      <c r="C430" s="49"/>
      <c r="D430" s="49"/>
      <c r="E430" s="49"/>
      <c r="F430" s="49"/>
      <c r="G430" s="49"/>
      <c r="H430" s="49"/>
      <c r="I430" s="49"/>
      <c r="J430" s="49"/>
      <c r="K430" s="49"/>
      <c r="L430" s="49"/>
      <c r="M430" s="49"/>
      <c r="N430" s="49"/>
      <c r="O430" s="49"/>
      <c r="P430" s="49"/>
      <c r="Q430" s="49"/>
      <c r="R430" s="49"/>
      <c r="S430" s="49"/>
      <c r="T430" s="49"/>
      <c r="U430" s="49"/>
      <c r="V430" s="49"/>
      <c r="W430" s="49"/>
      <c r="X430" s="49"/>
      <c r="Y430" s="49"/>
      <c r="Z430" s="49"/>
    </row>
    <row r="431" spans="1:26" ht="13">
      <c r="A431" s="49"/>
      <c r="B431" s="49"/>
      <c r="C431" s="49"/>
      <c r="D431" s="49"/>
      <c r="E431" s="49"/>
      <c r="F431" s="49"/>
      <c r="G431" s="49"/>
      <c r="H431" s="49"/>
      <c r="I431" s="49"/>
      <c r="J431" s="49"/>
      <c r="K431" s="49"/>
      <c r="L431" s="49"/>
      <c r="M431" s="49"/>
      <c r="N431" s="49"/>
      <c r="O431" s="49"/>
      <c r="P431" s="49"/>
      <c r="Q431" s="49"/>
      <c r="R431" s="49"/>
      <c r="S431" s="49"/>
      <c r="T431" s="49"/>
      <c r="U431" s="49"/>
      <c r="V431" s="49"/>
      <c r="W431" s="49"/>
      <c r="X431" s="49"/>
      <c r="Y431" s="49"/>
      <c r="Z431" s="49"/>
    </row>
    <row r="432" spans="1:26" ht="13">
      <c r="A432" s="49"/>
      <c r="B432" s="49"/>
      <c r="C432" s="49"/>
      <c r="D432" s="49"/>
      <c r="E432" s="49"/>
      <c r="F432" s="49"/>
      <c r="G432" s="49"/>
      <c r="H432" s="49"/>
      <c r="I432" s="49"/>
      <c r="J432" s="49"/>
      <c r="K432" s="49"/>
      <c r="L432" s="49"/>
      <c r="M432" s="49"/>
      <c r="N432" s="49"/>
      <c r="O432" s="49"/>
      <c r="P432" s="49"/>
      <c r="Q432" s="49"/>
      <c r="R432" s="49"/>
      <c r="S432" s="49"/>
      <c r="T432" s="49"/>
      <c r="U432" s="49"/>
      <c r="V432" s="49"/>
      <c r="W432" s="49"/>
      <c r="X432" s="49"/>
      <c r="Y432" s="49"/>
      <c r="Z432" s="49"/>
    </row>
    <row r="433" spans="1:26" ht="13">
      <c r="A433" s="49"/>
      <c r="B433" s="49"/>
      <c r="C433" s="49"/>
      <c r="D433" s="49"/>
      <c r="E433" s="49"/>
      <c r="F433" s="49"/>
      <c r="G433" s="49"/>
      <c r="H433" s="49"/>
      <c r="I433" s="49"/>
      <c r="J433" s="49"/>
      <c r="K433" s="49"/>
      <c r="L433" s="49"/>
      <c r="M433" s="49"/>
      <c r="N433" s="49"/>
      <c r="O433" s="49"/>
      <c r="P433" s="49"/>
      <c r="Q433" s="49"/>
      <c r="R433" s="49"/>
      <c r="S433" s="49"/>
      <c r="T433" s="49"/>
      <c r="U433" s="49"/>
      <c r="V433" s="49"/>
      <c r="W433" s="49"/>
      <c r="X433" s="49"/>
      <c r="Y433" s="49"/>
      <c r="Z433" s="49"/>
    </row>
    <row r="434" spans="1:26" ht="13">
      <c r="A434" s="49"/>
      <c r="B434" s="49"/>
      <c r="C434" s="49"/>
      <c r="D434" s="49"/>
      <c r="E434" s="49"/>
      <c r="F434" s="49"/>
      <c r="G434" s="49"/>
      <c r="H434" s="49"/>
      <c r="I434" s="49"/>
      <c r="J434" s="49"/>
      <c r="K434" s="49"/>
      <c r="L434" s="49"/>
      <c r="M434" s="49"/>
      <c r="N434" s="49"/>
      <c r="O434" s="49"/>
      <c r="P434" s="49"/>
      <c r="Q434" s="49"/>
      <c r="R434" s="49"/>
      <c r="S434" s="49"/>
      <c r="T434" s="49"/>
      <c r="U434" s="49"/>
      <c r="V434" s="49"/>
      <c r="W434" s="49"/>
      <c r="X434" s="49"/>
      <c r="Y434" s="49"/>
      <c r="Z434" s="49"/>
    </row>
    <row r="435" spans="1:26" ht="13">
      <c r="A435" s="49"/>
      <c r="B435" s="49"/>
      <c r="C435" s="49"/>
      <c r="D435" s="49"/>
      <c r="E435" s="49"/>
      <c r="F435" s="49"/>
      <c r="G435" s="49"/>
      <c r="H435" s="49"/>
      <c r="I435" s="49"/>
      <c r="J435" s="49"/>
      <c r="K435" s="49"/>
      <c r="L435" s="49"/>
      <c r="M435" s="49"/>
      <c r="N435" s="49"/>
      <c r="O435" s="49"/>
      <c r="P435" s="49"/>
      <c r="Q435" s="49"/>
      <c r="R435" s="49"/>
      <c r="S435" s="49"/>
      <c r="T435" s="49"/>
      <c r="U435" s="49"/>
      <c r="V435" s="49"/>
      <c r="W435" s="49"/>
      <c r="X435" s="49"/>
      <c r="Y435" s="49"/>
      <c r="Z435" s="49"/>
    </row>
    <row r="436" spans="1:26" ht="13">
      <c r="A436" s="49"/>
      <c r="B436" s="49"/>
      <c r="C436" s="49"/>
      <c r="D436" s="49"/>
      <c r="E436" s="49"/>
      <c r="F436" s="49"/>
      <c r="G436" s="49"/>
      <c r="H436" s="49"/>
      <c r="I436" s="49"/>
      <c r="J436" s="49"/>
      <c r="K436" s="49"/>
      <c r="L436" s="49"/>
      <c r="M436" s="49"/>
      <c r="N436" s="49"/>
      <c r="O436" s="49"/>
      <c r="P436" s="49"/>
      <c r="Q436" s="49"/>
      <c r="R436" s="49"/>
      <c r="S436" s="49"/>
      <c r="T436" s="49"/>
      <c r="U436" s="49"/>
      <c r="V436" s="49"/>
      <c r="W436" s="49"/>
      <c r="X436" s="49"/>
      <c r="Y436" s="49"/>
      <c r="Z436" s="49"/>
    </row>
    <row r="437" spans="1:26" ht="13">
      <c r="A437" s="49"/>
      <c r="B437" s="49"/>
      <c r="C437" s="49"/>
      <c r="D437" s="49"/>
      <c r="E437" s="49"/>
      <c r="F437" s="49"/>
      <c r="G437" s="49"/>
      <c r="H437" s="49"/>
      <c r="I437" s="49"/>
      <c r="J437" s="49"/>
      <c r="K437" s="49"/>
      <c r="L437" s="49"/>
      <c r="M437" s="49"/>
      <c r="N437" s="49"/>
      <c r="O437" s="49"/>
      <c r="P437" s="49"/>
      <c r="Q437" s="49"/>
      <c r="R437" s="49"/>
      <c r="S437" s="49"/>
      <c r="T437" s="49"/>
      <c r="U437" s="49"/>
      <c r="V437" s="49"/>
      <c r="W437" s="49"/>
      <c r="X437" s="49"/>
      <c r="Y437" s="49"/>
      <c r="Z437" s="49"/>
    </row>
    <row r="438" spans="1:26" ht="13">
      <c r="A438" s="49"/>
      <c r="B438" s="49"/>
      <c r="C438" s="49"/>
      <c r="D438" s="49"/>
      <c r="E438" s="49"/>
      <c r="F438" s="49"/>
      <c r="G438" s="49"/>
      <c r="H438" s="49"/>
      <c r="I438" s="49"/>
      <c r="J438" s="49"/>
      <c r="K438" s="49"/>
      <c r="L438" s="49"/>
      <c r="M438" s="49"/>
      <c r="N438" s="49"/>
      <c r="O438" s="49"/>
      <c r="P438" s="49"/>
      <c r="Q438" s="49"/>
      <c r="R438" s="49"/>
      <c r="S438" s="49"/>
      <c r="T438" s="49"/>
      <c r="U438" s="49"/>
      <c r="V438" s="49"/>
      <c r="W438" s="49"/>
      <c r="X438" s="49"/>
      <c r="Y438" s="49"/>
      <c r="Z438" s="49"/>
    </row>
    <row r="439" spans="1:26" ht="13">
      <c r="A439" s="49"/>
      <c r="B439" s="49"/>
      <c r="C439" s="49"/>
      <c r="D439" s="49"/>
      <c r="E439" s="49"/>
      <c r="F439" s="49"/>
      <c r="G439" s="49"/>
      <c r="H439" s="49"/>
      <c r="I439" s="49"/>
      <c r="J439" s="49"/>
      <c r="K439" s="49"/>
      <c r="L439" s="49"/>
      <c r="M439" s="49"/>
      <c r="N439" s="49"/>
      <c r="O439" s="49"/>
      <c r="P439" s="49"/>
      <c r="Q439" s="49"/>
      <c r="R439" s="49"/>
      <c r="S439" s="49"/>
      <c r="T439" s="49"/>
      <c r="U439" s="49"/>
      <c r="V439" s="49"/>
      <c r="W439" s="49"/>
      <c r="X439" s="49"/>
      <c r="Y439" s="49"/>
      <c r="Z439" s="49"/>
    </row>
    <row r="440" spans="1:26" ht="13">
      <c r="A440" s="49"/>
      <c r="B440" s="49"/>
      <c r="C440" s="49"/>
      <c r="D440" s="49"/>
      <c r="E440" s="49"/>
      <c r="F440" s="49"/>
      <c r="G440" s="49"/>
      <c r="H440" s="49"/>
      <c r="I440" s="49"/>
      <c r="J440" s="49"/>
      <c r="K440" s="49"/>
      <c r="L440" s="49"/>
      <c r="M440" s="49"/>
      <c r="N440" s="49"/>
      <c r="O440" s="49"/>
      <c r="P440" s="49"/>
      <c r="Q440" s="49"/>
      <c r="R440" s="49"/>
      <c r="S440" s="49"/>
      <c r="T440" s="49"/>
      <c r="U440" s="49"/>
      <c r="V440" s="49"/>
      <c r="W440" s="49"/>
      <c r="X440" s="49"/>
      <c r="Y440" s="49"/>
      <c r="Z440" s="49"/>
    </row>
    <row r="441" spans="1:26" ht="13">
      <c r="A441" s="49"/>
      <c r="B441" s="49"/>
      <c r="C441" s="49"/>
      <c r="D441" s="49"/>
      <c r="E441" s="49"/>
      <c r="F441" s="49"/>
      <c r="G441" s="49"/>
      <c r="H441" s="49"/>
      <c r="I441" s="49"/>
      <c r="J441" s="49"/>
      <c r="K441" s="49"/>
      <c r="L441" s="49"/>
      <c r="M441" s="49"/>
      <c r="N441" s="49"/>
      <c r="O441" s="49"/>
      <c r="P441" s="49"/>
      <c r="Q441" s="49"/>
      <c r="R441" s="49"/>
      <c r="S441" s="49"/>
      <c r="T441" s="49"/>
      <c r="U441" s="49"/>
      <c r="V441" s="49"/>
      <c r="W441" s="49"/>
      <c r="X441" s="49"/>
      <c r="Y441" s="49"/>
      <c r="Z441" s="49"/>
    </row>
    <row r="442" spans="1:26" ht="13">
      <c r="A442" s="49"/>
      <c r="B442" s="49"/>
      <c r="C442" s="49"/>
      <c r="D442" s="49"/>
      <c r="E442" s="49"/>
      <c r="F442" s="49"/>
      <c r="G442" s="49"/>
      <c r="H442" s="49"/>
      <c r="I442" s="49"/>
      <c r="J442" s="49"/>
      <c r="K442" s="49"/>
      <c r="L442" s="49"/>
      <c r="M442" s="49"/>
      <c r="N442" s="49"/>
      <c r="O442" s="49"/>
      <c r="P442" s="49"/>
      <c r="Q442" s="49"/>
      <c r="R442" s="49"/>
      <c r="S442" s="49"/>
      <c r="T442" s="49"/>
      <c r="U442" s="49"/>
      <c r="V442" s="49"/>
      <c r="W442" s="49"/>
      <c r="X442" s="49"/>
      <c r="Y442" s="49"/>
      <c r="Z442" s="49"/>
    </row>
    <row r="443" spans="1:26" ht="13">
      <c r="A443" s="49"/>
      <c r="B443" s="49"/>
      <c r="C443" s="49"/>
      <c r="D443" s="49"/>
      <c r="E443" s="49"/>
      <c r="F443" s="49"/>
      <c r="G443" s="49"/>
      <c r="H443" s="49"/>
      <c r="I443" s="49"/>
      <c r="J443" s="49"/>
      <c r="K443" s="49"/>
      <c r="L443" s="49"/>
      <c r="M443" s="49"/>
      <c r="N443" s="49"/>
      <c r="O443" s="49"/>
      <c r="P443" s="49"/>
      <c r="Q443" s="49"/>
      <c r="R443" s="49"/>
      <c r="S443" s="49"/>
      <c r="T443" s="49"/>
      <c r="U443" s="49"/>
      <c r="V443" s="49"/>
      <c r="W443" s="49"/>
      <c r="X443" s="49"/>
      <c r="Y443" s="49"/>
      <c r="Z443" s="49"/>
    </row>
    <row r="444" spans="1:26" ht="13">
      <c r="A444" s="49"/>
      <c r="B444" s="49"/>
      <c r="C444" s="49"/>
      <c r="D444" s="49"/>
      <c r="E444" s="49"/>
      <c r="F444" s="49"/>
      <c r="G444" s="49"/>
      <c r="H444" s="49"/>
      <c r="I444" s="49"/>
      <c r="J444" s="49"/>
      <c r="K444" s="49"/>
      <c r="L444" s="49"/>
      <c r="M444" s="49"/>
      <c r="N444" s="49"/>
      <c r="O444" s="49"/>
      <c r="P444" s="49"/>
      <c r="Q444" s="49"/>
      <c r="R444" s="49"/>
      <c r="S444" s="49"/>
      <c r="T444" s="49"/>
      <c r="U444" s="49"/>
      <c r="V444" s="49"/>
      <c r="W444" s="49"/>
      <c r="X444" s="49"/>
      <c r="Y444" s="49"/>
      <c r="Z444" s="49"/>
    </row>
    <row r="445" spans="1:26" ht="13">
      <c r="A445" s="49"/>
      <c r="B445" s="49"/>
      <c r="C445" s="49"/>
      <c r="D445" s="49"/>
      <c r="E445" s="49"/>
      <c r="F445" s="49"/>
      <c r="G445" s="49"/>
      <c r="H445" s="49"/>
      <c r="I445" s="49"/>
      <c r="J445" s="49"/>
      <c r="K445" s="49"/>
      <c r="L445" s="49"/>
      <c r="M445" s="49"/>
      <c r="N445" s="49"/>
      <c r="O445" s="49"/>
      <c r="P445" s="49"/>
      <c r="Q445" s="49"/>
      <c r="R445" s="49"/>
      <c r="S445" s="49"/>
      <c r="T445" s="49"/>
      <c r="U445" s="49"/>
      <c r="V445" s="49"/>
      <c r="W445" s="49"/>
      <c r="X445" s="49"/>
      <c r="Y445" s="49"/>
      <c r="Z445" s="49"/>
    </row>
    <row r="446" spans="1:26" ht="13">
      <c r="A446" s="49"/>
      <c r="B446" s="49"/>
      <c r="C446" s="49"/>
      <c r="D446" s="49"/>
      <c r="E446" s="49"/>
      <c r="F446" s="49"/>
      <c r="G446" s="49"/>
      <c r="H446" s="49"/>
      <c r="I446" s="49"/>
      <c r="J446" s="49"/>
      <c r="K446" s="49"/>
      <c r="L446" s="49"/>
      <c r="M446" s="49"/>
      <c r="N446" s="49"/>
      <c r="O446" s="49"/>
      <c r="P446" s="49"/>
      <c r="Q446" s="49"/>
      <c r="R446" s="49"/>
      <c r="S446" s="49"/>
      <c r="T446" s="49"/>
      <c r="U446" s="49"/>
      <c r="V446" s="49"/>
      <c r="W446" s="49"/>
      <c r="X446" s="49"/>
      <c r="Y446" s="49"/>
      <c r="Z446" s="49"/>
    </row>
    <row r="447" spans="1:26" ht="13">
      <c r="A447" s="49"/>
      <c r="B447" s="49"/>
      <c r="C447" s="49"/>
      <c r="D447" s="49"/>
      <c r="E447" s="49"/>
      <c r="F447" s="49"/>
      <c r="G447" s="49"/>
      <c r="H447" s="49"/>
      <c r="I447" s="49"/>
      <c r="J447" s="49"/>
      <c r="K447" s="49"/>
      <c r="L447" s="49"/>
      <c r="M447" s="49"/>
      <c r="N447" s="49"/>
      <c r="O447" s="49"/>
      <c r="P447" s="49"/>
      <c r="Q447" s="49"/>
      <c r="R447" s="49"/>
      <c r="S447" s="49"/>
      <c r="T447" s="49"/>
      <c r="U447" s="49"/>
      <c r="V447" s="49"/>
      <c r="W447" s="49"/>
      <c r="X447" s="49"/>
      <c r="Y447" s="49"/>
      <c r="Z447" s="49"/>
    </row>
    <row r="448" spans="1:26" ht="13">
      <c r="A448" s="49"/>
      <c r="B448" s="49"/>
      <c r="C448" s="49"/>
      <c r="D448" s="49"/>
      <c r="E448" s="49"/>
      <c r="F448" s="49"/>
      <c r="G448" s="49"/>
      <c r="H448" s="49"/>
      <c r="I448" s="49"/>
      <c r="J448" s="49"/>
      <c r="K448" s="49"/>
      <c r="L448" s="49"/>
      <c r="M448" s="49"/>
      <c r="N448" s="49"/>
      <c r="O448" s="49"/>
      <c r="P448" s="49"/>
      <c r="Q448" s="49"/>
      <c r="R448" s="49"/>
      <c r="S448" s="49"/>
      <c r="T448" s="49"/>
      <c r="U448" s="49"/>
      <c r="V448" s="49"/>
      <c r="W448" s="49"/>
      <c r="X448" s="49"/>
      <c r="Y448" s="49"/>
      <c r="Z448" s="49"/>
    </row>
    <row r="449" spans="1:26" ht="13">
      <c r="A449" s="49"/>
      <c r="B449" s="49"/>
      <c r="C449" s="49"/>
      <c r="D449" s="49"/>
      <c r="E449" s="49"/>
      <c r="F449" s="49"/>
      <c r="G449" s="49"/>
      <c r="H449" s="49"/>
      <c r="I449" s="49"/>
      <c r="J449" s="49"/>
      <c r="K449" s="49"/>
      <c r="L449" s="49"/>
      <c r="M449" s="49"/>
      <c r="N449" s="49"/>
      <c r="O449" s="49"/>
      <c r="P449" s="49"/>
      <c r="Q449" s="49"/>
      <c r="R449" s="49"/>
      <c r="S449" s="49"/>
      <c r="T449" s="49"/>
      <c r="U449" s="49"/>
      <c r="V449" s="49"/>
      <c r="W449" s="49"/>
      <c r="X449" s="49"/>
      <c r="Y449" s="49"/>
      <c r="Z449" s="49"/>
    </row>
    <row r="450" spans="1:26" ht="13">
      <c r="A450" s="49"/>
      <c r="B450" s="49"/>
      <c r="C450" s="49"/>
      <c r="D450" s="49"/>
      <c r="E450" s="49"/>
      <c r="F450" s="49"/>
      <c r="G450" s="49"/>
      <c r="H450" s="49"/>
      <c r="I450" s="49"/>
      <c r="J450" s="49"/>
      <c r="K450" s="49"/>
      <c r="L450" s="49"/>
      <c r="M450" s="49"/>
      <c r="N450" s="49"/>
      <c r="O450" s="49"/>
      <c r="P450" s="49"/>
      <c r="Q450" s="49"/>
      <c r="R450" s="49"/>
      <c r="S450" s="49"/>
      <c r="T450" s="49"/>
      <c r="U450" s="49"/>
      <c r="V450" s="49"/>
      <c r="W450" s="49"/>
      <c r="X450" s="49"/>
      <c r="Y450" s="49"/>
      <c r="Z450" s="49"/>
    </row>
    <row r="451" spans="1:26" ht="13">
      <c r="A451" s="49"/>
      <c r="B451" s="49"/>
      <c r="C451" s="49"/>
      <c r="D451" s="49"/>
      <c r="E451" s="49"/>
      <c r="F451" s="49"/>
      <c r="G451" s="49"/>
      <c r="H451" s="49"/>
      <c r="I451" s="49"/>
      <c r="J451" s="49"/>
      <c r="K451" s="49"/>
      <c r="L451" s="49"/>
      <c r="M451" s="49"/>
      <c r="N451" s="49"/>
      <c r="O451" s="49"/>
      <c r="P451" s="49"/>
      <c r="Q451" s="49"/>
      <c r="R451" s="49"/>
      <c r="S451" s="49"/>
      <c r="T451" s="49"/>
      <c r="U451" s="49"/>
      <c r="V451" s="49"/>
      <c r="W451" s="49"/>
      <c r="X451" s="49"/>
      <c r="Y451" s="49"/>
      <c r="Z451" s="49"/>
    </row>
    <row r="452" spans="1:26" ht="13">
      <c r="A452" s="49"/>
      <c r="B452" s="49"/>
      <c r="C452" s="49"/>
      <c r="D452" s="49"/>
      <c r="E452" s="49"/>
      <c r="F452" s="49"/>
      <c r="G452" s="49"/>
      <c r="H452" s="49"/>
      <c r="I452" s="49"/>
      <c r="J452" s="49"/>
      <c r="K452" s="49"/>
      <c r="L452" s="49"/>
      <c r="M452" s="49"/>
      <c r="N452" s="49"/>
      <c r="O452" s="49"/>
      <c r="P452" s="49"/>
      <c r="Q452" s="49"/>
      <c r="R452" s="49"/>
      <c r="S452" s="49"/>
      <c r="T452" s="49"/>
      <c r="U452" s="49"/>
      <c r="V452" s="49"/>
      <c r="W452" s="49"/>
      <c r="X452" s="49"/>
      <c r="Y452" s="49"/>
      <c r="Z452" s="49"/>
    </row>
    <row r="453" spans="1:26" ht="13">
      <c r="A453" s="49"/>
      <c r="B453" s="49"/>
      <c r="C453" s="49"/>
      <c r="D453" s="49"/>
      <c r="E453" s="49"/>
      <c r="F453" s="49"/>
      <c r="G453" s="49"/>
      <c r="H453" s="49"/>
      <c r="I453" s="49"/>
      <c r="J453" s="49"/>
      <c r="K453" s="49"/>
      <c r="L453" s="49"/>
      <c r="M453" s="49"/>
      <c r="N453" s="49"/>
      <c r="O453" s="49"/>
      <c r="P453" s="49"/>
      <c r="Q453" s="49"/>
      <c r="R453" s="49"/>
      <c r="S453" s="49"/>
      <c r="T453" s="49"/>
      <c r="U453" s="49"/>
      <c r="V453" s="49"/>
      <c r="W453" s="49"/>
      <c r="X453" s="49"/>
      <c r="Y453" s="49"/>
      <c r="Z453" s="49"/>
    </row>
    <row r="454" spans="1:26" ht="13">
      <c r="A454" s="49"/>
      <c r="B454" s="49"/>
      <c r="C454" s="49"/>
      <c r="D454" s="49"/>
      <c r="E454" s="49"/>
      <c r="F454" s="49"/>
      <c r="G454" s="49"/>
      <c r="H454" s="49"/>
      <c r="I454" s="49"/>
      <c r="J454" s="49"/>
      <c r="K454" s="49"/>
      <c r="L454" s="49"/>
      <c r="M454" s="49"/>
      <c r="N454" s="49"/>
      <c r="O454" s="49"/>
      <c r="P454" s="49"/>
      <c r="Q454" s="49"/>
      <c r="R454" s="49"/>
      <c r="S454" s="49"/>
      <c r="T454" s="49"/>
      <c r="U454" s="49"/>
      <c r="V454" s="49"/>
      <c r="W454" s="49"/>
      <c r="X454" s="49"/>
      <c r="Y454" s="49"/>
      <c r="Z454" s="49"/>
    </row>
    <row r="455" spans="1:26" ht="13">
      <c r="A455" s="49"/>
      <c r="B455" s="49"/>
      <c r="C455" s="49"/>
      <c r="D455" s="49"/>
      <c r="E455" s="49"/>
      <c r="F455" s="49"/>
      <c r="G455" s="49"/>
      <c r="H455" s="49"/>
      <c r="I455" s="49"/>
      <c r="J455" s="49"/>
      <c r="K455" s="49"/>
      <c r="L455" s="49"/>
      <c r="M455" s="49"/>
      <c r="N455" s="49"/>
      <c r="O455" s="49"/>
      <c r="P455" s="49"/>
      <c r="Q455" s="49"/>
      <c r="R455" s="49"/>
      <c r="S455" s="49"/>
      <c r="T455" s="49"/>
      <c r="U455" s="49"/>
      <c r="V455" s="49"/>
      <c r="W455" s="49"/>
      <c r="X455" s="49"/>
      <c r="Y455" s="49"/>
      <c r="Z455" s="49"/>
    </row>
    <row r="456" spans="1:26" ht="13">
      <c r="A456" s="49"/>
      <c r="B456" s="49"/>
      <c r="C456" s="49"/>
      <c r="D456" s="49"/>
      <c r="E456" s="49"/>
      <c r="F456" s="49"/>
      <c r="G456" s="49"/>
      <c r="H456" s="49"/>
      <c r="I456" s="49"/>
      <c r="J456" s="49"/>
      <c r="K456" s="49"/>
      <c r="L456" s="49"/>
      <c r="M456" s="49"/>
      <c r="N456" s="49"/>
      <c r="O456" s="49"/>
      <c r="P456" s="49"/>
      <c r="Q456" s="49"/>
      <c r="R456" s="49"/>
      <c r="S456" s="49"/>
      <c r="T456" s="49"/>
      <c r="U456" s="49"/>
      <c r="V456" s="49"/>
      <c r="W456" s="49"/>
      <c r="X456" s="49"/>
      <c r="Y456" s="49"/>
      <c r="Z456" s="49"/>
    </row>
    <row r="457" spans="1:26" ht="13">
      <c r="A457" s="49"/>
      <c r="B457" s="49"/>
      <c r="C457" s="49"/>
      <c r="D457" s="49"/>
      <c r="E457" s="49"/>
      <c r="F457" s="49"/>
      <c r="G457" s="49"/>
      <c r="H457" s="49"/>
      <c r="I457" s="49"/>
      <c r="J457" s="49"/>
      <c r="K457" s="49"/>
      <c r="L457" s="49"/>
      <c r="M457" s="49"/>
      <c r="N457" s="49"/>
      <c r="O457" s="49"/>
      <c r="P457" s="49"/>
      <c r="Q457" s="49"/>
      <c r="R457" s="49"/>
      <c r="S457" s="49"/>
      <c r="T457" s="49"/>
      <c r="U457" s="49"/>
      <c r="V457" s="49"/>
      <c r="W457" s="49"/>
      <c r="X457" s="49"/>
      <c r="Y457" s="49"/>
      <c r="Z457" s="49"/>
    </row>
    <row r="458" spans="1:26" ht="13">
      <c r="A458" s="49"/>
      <c r="B458" s="49"/>
      <c r="C458" s="49"/>
      <c r="D458" s="49"/>
      <c r="E458" s="49"/>
      <c r="F458" s="49"/>
      <c r="G458" s="49"/>
      <c r="H458" s="49"/>
      <c r="I458" s="49"/>
      <c r="J458" s="49"/>
      <c r="K458" s="49"/>
      <c r="L458" s="49"/>
      <c r="M458" s="49"/>
      <c r="N458" s="49"/>
      <c r="O458" s="49"/>
      <c r="P458" s="49"/>
      <c r="Q458" s="49"/>
      <c r="R458" s="49"/>
      <c r="S458" s="49"/>
      <c r="T458" s="49"/>
      <c r="U458" s="49"/>
      <c r="V458" s="49"/>
      <c r="W458" s="49"/>
      <c r="X458" s="49"/>
      <c r="Y458" s="49"/>
      <c r="Z458" s="49"/>
    </row>
    <row r="459" spans="1:26" ht="13">
      <c r="A459" s="49"/>
      <c r="B459" s="49"/>
      <c r="C459" s="49"/>
      <c r="D459" s="49"/>
      <c r="E459" s="49"/>
      <c r="F459" s="49"/>
      <c r="G459" s="49"/>
      <c r="H459" s="49"/>
      <c r="I459" s="49"/>
      <c r="J459" s="49"/>
      <c r="K459" s="49"/>
      <c r="L459" s="49"/>
      <c r="M459" s="49"/>
      <c r="N459" s="49"/>
      <c r="O459" s="49"/>
      <c r="P459" s="49"/>
      <c r="Q459" s="49"/>
      <c r="R459" s="49"/>
      <c r="S459" s="49"/>
      <c r="T459" s="49"/>
      <c r="U459" s="49"/>
      <c r="V459" s="49"/>
      <c r="W459" s="49"/>
      <c r="X459" s="49"/>
      <c r="Y459" s="49"/>
      <c r="Z459" s="49"/>
    </row>
    <row r="460" spans="1:26" ht="13">
      <c r="A460" s="49"/>
      <c r="B460" s="49"/>
      <c r="C460" s="49"/>
      <c r="D460" s="49"/>
      <c r="E460" s="49"/>
      <c r="F460" s="49"/>
      <c r="G460" s="49"/>
      <c r="H460" s="49"/>
      <c r="I460" s="49"/>
      <c r="J460" s="49"/>
      <c r="K460" s="49"/>
      <c r="L460" s="49"/>
      <c r="M460" s="49"/>
      <c r="N460" s="49"/>
      <c r="O460" s="49"/>
      <c r="P460" s="49"/>
      <c r="Q460" s="49"/>
      <c r="R460" s="49"/>
      <c r="S460" s="49"/>
      <c r="T460" s="49"/>
      <c r="U460" s="49"/>
      <c r="V460" s="49"/>
      <c r="W460" s="49"/>
      <c r="X460" s="49"/>
      <c r="Y460" s="49"/>
      <c r="Z460" s="49"/>
    </row>
    <row r="461" spans="1:26" ht="13">
      <c r="A461" s="49"/>
      <c r="B461" s="49"/>
      <c r="C461" s="49"/>
      <c r="D461" s="49"/>
      <c r="E461" s="49"/>
      <c r="F461" s="49"/>
      <c r="G461" s="49"/>
      <c r="H461" s="49"/>
      <c r="I461" s="49"/>
      <c r="J461" s="49"/>
      <c r="K461" s="49"/>
      <c r="L461" s="49"/>
      <c r="M461" s="49"/>
      <c r="N461" s="49"/>
      <c r="O461" s="49"/>
      <c r="P461" s="49"/>
      <c r="Q461" s="49"/>
      <c r="R461" s="49"/>
      <c r="S461" s="49"/>
      <c r="T461" s="49"/>
      <c r="U461" s="49"/>
      <c r="V461" s="49"/>
      <c r="W461" s="49"/>
      <c r="X461" s="49"/>
      <c r="Y461" s="49"/>
      <c r="Z461" s="49"/>
    </row>
    <row r="462" spans="1:26" ht="13">
      <c r="A462" s="49"/>
      <c r="B462" s="49"/>
      <c r="C462" s="49"/>
      <c r="D462" s="49"/>
      <c r="E462" s="49"/>
      <c r="F462" s="49"/>
      <c r="G462" s="49"/>
      <c r="H462" s="49"/>
      <c r="I462" s="49"/>
      <c r="J462" s="49"/>
      <c r="K462" s="49"/>
      <c r="L462" s="49"/>
      <c r="M462" s="49"/>
      <c r="N462" s="49"/>
      <c r="O462" s="49"/>
      <c r="P462" s="49"/>
      <c r="Q462" s="49"/>
      <c r="R462" s="49"/>
      <c r="S462" s="49"/>
      <c r="T462" s="49"/>
      <c r="U462" s="49"/>
      <c r="V462" s="49"/>
      <c r="W462" s="49"/>
      <c r="X462" s="49"/>
      <c r="Y462" s="49"/>
      <c r="Z462" s="49"/>
    </row>
    <row r="463" spans="1:26" ht="13">
      <c r="A463" s="49"/>
      <c r="B463" s="49"/>
      <c r="C463" s="49"/>
      <c r="D463" s="49"/>
      <c r="E463" s="49"/>
      <c r="F463" s="49"/>
      <c r="G463" s="49"/>
      <c r="H463" s="49"/>
      <c r="I463" s="49"/>
      <c r="J463" s="49"/>
      <c r="K463" s="49"/>
      <c r="L463" s="49"/>
      <c r="M463" s="49"/>
      <c r="N463" s="49"/>
      <c r="O463" s="49"/>
      <c r="P463" s="49"/>
      <c r="Q463" s="49"/>
      <c r="R463" s="49"/>
      <c r="S463" s="49"/>
      <c r="T463" s="49"/>
      <c r="U463" s="49"/>
      <c r="V463" s="49"/>
      <c r="W463" s="49"/>
      <c r="X463" s="49"/>
      <c r="Y463" s="49"/>
      <c r="Z463" s="49"/>
    </row>
    <row r="464" spans="1:26" ht="13">
      <c r="A464" s="49"/>
      <c r="B464" s="49"/>
      <c r="C464" s="49"/>
      <c r="D464" s="49"/>
      <c r="E464" s="49"/>
      <c r="F464" s="49"/>
      <c r="G464" s="49"/>
      <c r="H464" s="49"/>
      <c r="I464" s="49"/>
      <c r="J464" s="49"/>
      <c r="K464" s="49"/>
      <c r="L464" s="49"/>
      <c r="M464" s="49"/>
      <c r="N464" s="49"/>
      <c r="O464" s="49"/>
      <c r="P464" s="49"/>
      <c r="Q464" s="49"/>
      <c r="R464" s="49"/>
      <c r="S464" s="49"/>
      <c r="T464" s="49"/>
      <c r="U464" s="49"/>
      <c r="V464" s="49"/>
      <c r="W464" s="49"/>
      <c r="X464" s="49"/>
      <c r="Y464" s="49"/>
      <c r="Z464" s="49"/>
    </row>
    <row r="465" spans="1:26" ht="13">
      <c r="A465" s="49"/>
      <c r="B465" s="49"/>
      <c r="C465" s="49"/>
      <c r="D465" s="49"/>
      <c r="E465" s="49"/>
      <c r="F465" s="49"/>
      <c r="G465" s="49"/>
      <c r="H465" s="49"/>
      <c r="I465" s="49"/>
      <c r="J465" s="49"/>
      <c r="K465" s="49"/>
      <c r="L465" s="49"/>
      <c r="M465" s="49"/>
      <c r="N465" s="49"/>
      <c r="O465" s="49"/>
      <c r="P465" s="49"/>
      <c r="Q465" s="49"/>
      <c r="R465" s="49"/>
      <c r="S465" s="49"/>
      <c r="T465" s="49"/>
      <c r="U465" s="49"/>
      <c r="V465" s="49"/>
      <c r="W465" s="49"/>
      <c r="X465" s="49"/>
      <c r="Y465" s="49"/>
      <c r="Z465" s="49"/>
    </row>
    <row r="466" spans="1:26" ht="13">
      <c r="A466" s="49"/>
      <c r="B466" s="49"/>
      <c r="C466" s="49"/>
      <c r="D466" s="49"/>
      <c r="E466" s="49"/>
      <c r="F466" s="49"/>
      <c r="G466" s="49"/>
      <c r="H466" s="49"/>
      <c r="I466" s="49"/>
      <c r="J466" s="49"/>
      <c r="K466" s="49"/>
      <c r="L466" s="49"/>
      <c r="M466" s="49"/>
      <c r="N466" s="49"/>
      <c r="O466" s="49"/>
      <c r="P466" s="49"/>
      <c r="Q466" s="49"/>
      <c r="R466" s="49"/>
      <c r="S466" s="49"/>
      <c r="T466" s="49"/>
      <c r="U466" s="49"/>
      <c r="V466" s="49"/>
      <c r="W466" s="49"/>
      <c r="X466" s="49"/>
      <c r="Y466" s="49"/>
      <c r="Z466" s="49"/>
    </row>
    <row r="467" spans="1:26" ht="13">
      <c r="A467" s="49"/>
      <c r="B467" s="49"/>
      <c r="C467" s="49"/>
      <c r="D467" s="49"/>
      <c r="E467" s="49"/>
      <c r="F467" s="49"/>
      <c r="G467" s="49"/>
      <c r="H467" s="49"/>
      <c r="I467" s="49"/>
      <c r="J467" s="49"/>
      <c r="K467" s="49"/>
      <c r="L467" s="49"/>
      <c r="M467" s="49"/>
      <c r="N467" s="49"/>
      <c r="O467" s="49"/>
      <c r="P467" s="49"/>
      <c r="Q467" s="49"/>
      <c r="R467" s="49"/>
      <c r="S467" s="49"/>
      <c r="T467" s="49"/>
      <c r="U467" s="49"/>
      <c r="V467" s="49"/>
      <c r="W467" s="49"/>
      <c r="X467" s="49"/>
      <c r="Y467" s="49"/>
      <c r="Z467" s="49"/>
    </row>
    <row r="468" spans="1:26" ht="13">
      <c r="A468" s="49"/>
      <c r="B468" s="49"/>
      <c r="C468" s="49"/>
      <c r="D468" s="49"/>
      <c r="E468" s="49"/>
      <c r="F468" s="49"/>
      <c r="G468" s="49"/>
      <c r="H468" s="49"/>
      <c r="I468" s="49"/>
      <c r="J468" s="49"/>
      <c r="K468" s="49"/>
      <c r="L468" s="49"/>
      <c r="M468" s="49"/>
      <c r="N468" s="49"/>
      <c r="O468" s="49"/>
      <c r="P468" s="49"/>
      <c r="Q468" s="49"/>
      <c r="R468" s="49"/>
      <c r="S468" s="49"/>
      <c r="T468" s="49"/>
      <c r="U468" s="49"/>
      <c r="V468" s="49"/>
      <c r="W468" s="49"/>
      <c r="X468" s="49"/>
      <c r="Y468" s="49"/>
      <c r="Z468" s="49"/>
    </row>
    <row r="469" spans="1:26" ht="13">
      <c r="A469" s="49"/>
      <c r="B469" s="49"/>
      <c r="C469" s="49"/>
      <c r="D469" s="49"/>
      <c r="E469" s="49"/>
      <c r="F469" s="49"/>
      <c r="G469" s="49"/>
      <c r="H469" s="49"/>
      <c r="I469" s="49"/>
      <c r="J469" s="49"/>
      <c r="K469" s="49"/>
      <c r="L469" s="49"/>
      <c r="M469" s="49"/>
      <c r="N469" s="49"/>
      <c r="O469" s="49"/>
      <c r="P469" s="49"/>
      <c r="Q469" s="49"/>
      <c r="R469" s="49"/>
      <c r="S469" s="49"/>
      <c r="T469" s="49"/>
      <c r="U469" s="49"/>
      <c r="V469" s="49"/>
      <c r="W469" s="49"/>
      <c r="X469" s="49"/>
      <c r="Y469" s="49"/>
      <c r="Z469" s="49"/>
    </row>
    <row r="470" spans="1:26" ht="13">
      <c r="A470" s="49"/>
      <c r="B470" s="49"/>
      <c r="C470" s="49"/>
      <c r="D470" s="49"/>
      <c r="E470" s="49"/>
      <c r="F470" s="49"/>
      <c r="G470" s="49"/>
      <c r="H470" s="49"/>
      <c r="I470" s="49"/>
      <c r="J470" s="49"/>
      <c r="K470" s="49"/>
      <c r="L470" s="49"/>
      <c r="M470" s="49"/>
      <c r="N470" s="49"/>
      <c r="O470" s="49"/>
      <c r="P470" s="49"/>
      <c r="Q470" s="49"/>
      <c r="R470" s="49"/>
      <c r="S470" s="49"/>
      <c r="T470" s="49"/>
      <c r="U470" s="49"/>
      <c r="V470" s="49"/>
      <c r="W470" s="49"/>
      <c r="X470" s="49"/>
      <c r="Y470" s="49"/>
      <c r="Z470" s="49"/>
    </row>
    <row r="471" spans="1:26" ht="13">
      <c r="A471" s="49"/>
      <c r="B471" s="49"/>
      <c r="C471" s="49"/>
      <c r="D471" s="49"/>
      <c r="E471" s="49"/>
      <c r="F471" s="49"/>
      <c r="G471" s="49"/>
      <c r="H471" s="49"/>
      <c r="I471" s="49"/>
      <c r="J471" s="49"/>
      <c r="K471" s="49"/>
      <c r="L471" s="49"/>
      <c r="M471" s="49"/>
      <c r="N471" s="49"/>
      <c r="O471" s="49"/>
      <c r="P471" s="49"/>
      <c r="Q471" s="49"/>
      <c r="R471" s="49"/>
      <c r="S471" s="49"/>
      <c r="T471" s="49"/>
      <c r="U471" s="49"/>
      <c r="V471" s="49"/>
      <c r="W471" s="49"/>
      <c r="X471" s="49"/>
      <c r="Y471" s="49"/>
      <c r="Z471" s="49"/>
    </row>
    <row r="472" spans="1:26" ht="13">
      <c r="A472" s="49"/>
      <c r="B472" s="49"/>
      <c r="C472" s="49"/>
      <c r="D472" s="49"/>
      <c r="E472" s="49"/>
      <c r="F472" s="49"/>
      <c r="G472" s="49"/>
      <c r="H472" s="49"/>
      <c r="I472" s="49"/>
      <c r="J472" s="49"/>
      <c r="K472" s="49"/>
      <c r="L472" s="49"/>
      <c r="M472" s="49"/>
      <c r="N472" s="49"/>
      <c r="O472" s="49"/>
      <c r="P472" s="49"/>
      <c r="Q472" s="49"/>
      <c r="R472" s="49"/>
      <c r="S472" s="49"/>
      <c r="T472" s="49"/>
      <c r="U472" s="49"/>
      <c r="V472" s="49"/>
      <c r="W472" s="49"/>
      <c r="X472" s="49"/>
      <c r="Y472" s="49"/>
      <c r="Z472" s="49"/>
    </row>
    <row r="473" spans="1:26" ht="13">
      <c r="A473" s="49"/>
      <c r="B473" s="49"/>
      <c r="C473" s="49"/>
      <c r="D473" s="49"/>
      <c r="E473" s="49"/>
      <c r="F473" s="49"/>
      <c r="G473" s="49"/>
      <c r="H473" s="49"/>
      <c r="I473" s="49"/>
      <c r="J473" s="49"/>
      <c r="K473" s="49"/>
      <c r="L473" s="49"/>
      <c r="M473" s="49"/>
      <c r="N473" s="49"/>
      <c r="O473" s="49"/>
      <c r="P473" s="49"/>
      <c r="Q473" s="49"/>
      <c r="R473" s="49"/>
      <c r="S473" s="49"/>
      <c r="T473" s="49"/>
      <c r="U473" s="49"/>
      <c r="V473" s="49"/>
      <c r="W473" s="49"/>
      <c r="X473" s="49"/>
      <c r="Y473" s="49"/>
      <c r="Z473" s="49"/>
    </row>
    <row r="474" spans="1:26" ht="13">
      <c r="A474" s="49"/>
      <c r="B474" s="49"/>
      <c r="C474" s="49"/>
      <c r="D474" s="49"/>
      <c r="E474" s="49"/>
      <c r="F474" s="49"/>
      <c r="G474" s="49"/>
      <c r="H474" s="49"/>
      <c r="I474" s="49"/>
      <c r="J474" s="49"/>
      <c r="K474" s="49"/>
      <c r="L474" s="49"/>
      <c r="M474" s="49"/>
      <c r="N474" s="49"/>
      <c r="O474" s="49"/>
      <c r="P474" s="49"/>
      <c r="Q474" s="49"/>
      <c r="R474" s="49"/>
      <c r="S474" s="49"/>
      <c r="T474" s="49"/>
      <c r="U474" s="49"/>
      <c r="V474" s="49"/>
      <c r="W474" s="49"/>
      <c r="X474" s="49"/>
      <c r="Y474" s="49"/>
      <c r="Z474" s="49"/>
    </row>
    <row r="475" spans="1:26" ht="13">
      <c r="A475" s="49"/>
      <c r="B475" s="49"/>
      <c r="C475" s="49"/>
      <c r="D475" s="49"/>
      <c r="E475" s="49"/>
      <c r="F475" s="49"/>
      <c r="G475" s="49"/>
      <c r="H475" s="49"/>
      <c r="I475" s="49"/>
      <c r="J475" s="49"/>
      <c r="K475" s="49"/>
      <c r="L475" s="49"/>
      <c r="M475" s="49"/>
      <c r="N475" s="49"/>
      <c r="O475" s="49"/>
      <c r="P475" s="49"/>
      <c r="Q475" s="49"/>
      <c r="R475" s="49"/>
      <c r="S475" s="49"/>
      <c r="T475" s="49"/>
      <c r="U475" s="49"/>
      <c r="V475" s="49"/>
      <c r="W475" s="49"/>
      <c r="X475" s="49"/>
      <c r="Y475" s="49"/>
      <c r="Z475" s="49"/>
    </row>
    <row r="476" spans="1:26" ht="13">
      <c r="A476" s="49"/>
      <c r="B476" s="49"/>
      <c r="C476" s="49"/>
      <c r="D476" s="49"/>
      <c r="E476" s="49"/>
      <c r="F476" s="49"/>
      <c r="G476" s="49"/>
      <c r="H476" s="49"/>
      <c r="I476" s="49"/>
      <c r="J476" s="49"/>
      <c r="K476" s="49"/>
      <c r="L476" s="49"/>
      <c r="M476" s="49"/>
      <c r="N476" s="49"/>
      <c r="O476" s="49"/>
      <c r="P476" s="49"/>
      <c r="Q476" s="49"/>
      <c r="R476" s="49"/>
      <c r="S476" s="49"/>
      <c r="T476" s="49"/>
      <c r="U476" s="49"/>
      <c r="V476" s="49"/>
      <c r="W476" s="49"/>
      <c r="X476" s="49"/>
      <c r="Y476" s="49"/>
      <c r="Z476" s="49"/>
    </row>
    <row r="477" spans="1:26" ht="13">
      <c r="A477" s="49"/>
      <c r="B477" s="49"/>
      <c r="C477" s="49"/>
      <c r="D477" s="49"/>
      <c r="E477" s="49"/>
      <c r="F477" s="49"/>
      <c r="G477" s="49"/>
      <c r="H477" s="49"/>
      <c r="I477" s="49"/>
      <c r="J477" s="49"/>
      <c r="K477" s="49"/>
      <c r="L477" s="49"/>
      <c r="M477" s="49"/>
      <c r="N477" s="49"/>
      <c r="O477" s="49"/>
      <c r="P477" s="49"/>
      <c r="Q477" s="49"/>
      <c r="R477" s="49"/>
      <c r="S477" s="49"/>
      <c r="T477" s="49"/>
      <c r="U477" s="49"/>
      <c r="V477" s="49"/>
      <c r="W477" s="49"/>
      <c r="X477" s="49"/>
      <c r="Y477" s="49"/>
      <c r="Z477" s="49"/>
    </row>
    <row r="478" spans="1:26" ht="13">
      <c r="A478" s="49"/>
      <c r="B478" s="49"/>
      <c r="C478" s="49"/>
      <c r="D478" s="49"/>
      <c r="E478" s="49"/>
      <c r="F478" s="49"/>
      <c r="G478" s="49"/>
      <c r="H478" s="49"/>
      <c r="I478" s="49"/>
      <c r="J478" s="49"/>
      <c r="K478" s="49"/>
      <c r="L478" s="49"/>
      <c r="M478" s="49"/>
      <c r="N478" s="49"/>
      <c r="O478" s="49"/>
      <c r="P478" s="49"/>
      <c r="Q478" s="49"/>
      <c r="R478" s="49"/>
      <c r="S478" s="49"/>
      <c r="T478" s="49"/>
      <c r="U478" s="49"/>
      <c r="V478" s="49"/>
      <c r="W478" s="49"/>
      <c r="X478" s="49"/>
      <c r="Y478" s="49"/>
      <c r="Z478" s="49"/>
    </row>
    <row r="479" spans="1:26" ht="13">
      <c r="A479" s="49"/>
      <c r="B479" s="49"/>
      <c r="C479" s="49"/>
      <c r="D479" s="49"/>
      <c r="E479" s="49"/>
      <c r="F479" s="49"/>
      <c r="G479" s="49"/>
      <c r="H479" s="49"/>
      <c r="I479" s="49"/>
      <c r="J479" s="49"/>
      <c r="K479" s="49"/>
      <c r="L479" s="49"/>
      <c r="M479" s="49"/>
      <c r="N479" s="49"/>
      <c r="O479" s="49"/>
      <c r="P479" s="49"/>
      <c r="Q479" s="49"/>
      <c r="R479" s="49"/>
      <c r="S479" s="49"/>
      <c r="T479" s="49"/>
      <c r="U479" s="49"/>
      <c r="V479" s="49"/>
      <c r="W479" s="49"/>
      <c r="X479" s="49"/>
      <c r="Y479" s="49"/>
      <c r="Z479" s="49"/>
    </row>
    <row r="480" spans="1:26" ht="13">
      <c r="A480" s="49"/>
      <c r="B480" s="49"/>
      <c r="C480" s="49"/>
      <c r="D480" s="49"/>
      <c r="E480" s="49"/>
      <c r="F480" s="49"/>
      <c r="G480" s="49"/>
      <c r="H480" s="49"/>
      <c r="I480" s="49"/>
      <c r="J480" s="49"/>
      <c r="K480" s="49"/>
      <c r="L480" s="49"/>
      <c r="M480" s="49"/>
      <c r="N480" s="49"/>
      <c r="O480" s="49"/>
      <c r="P480" s="49"/>
      <c r="Q480" s="49"/>
      <c r="R480" s="49"/>
      <c r="S480" s="49"/>
      <c r="T480" s="49"/>
      <c r="U480" s="49"/>
      <c r="V480" s="49"/>
      <c r="W480" s="49"/>
      <c r="X480" s="49"/>
      <c r="Y480" s="49"/>
      <c r="Z480" s="49"/>
    </row>
    <row r="481" spans="1:26" ht="13">
      <c r="A481" s="49"/>
      <c r="B481" s="49"/>
      <c r="C481" s="49"/>
      <c r="D481" s="49"/>
      <c r="E481" s="49"/>
      <c r="F481" s="49"/>
      <c r="G481" s="49"/>
      <c r="H481" s="49"/>
      <c r="I481" s="49"/>
      <c r="J481" s="49"/>
      <c r="K481" s="49"/>
      <c r="L481" s="49"/>
      <c r="M481" s="49"/>
      <c r="N481" s="49"/>
      <c r="O481" s="49"/>
      <c r="P481" s="49"/>
      <c r="Q481" s="49"/>
      <c r="R481" s="49"/>
      <c r="S481" s="49"/>
      <c r="T481" s="49"/>
      <c r="U481" s="49"/>
      <c r="V481" s="49"/>
      <c r="W481" s="49"/>
      <c r="X481" s="49"/>
      <c r="Y481" s="49"/>
      <c r="Z481" s="49"/>
    </row>
    <row r="482" spans="1:26" ht="13">
      <c r="A482" s="49"/>
      <c r="B482" s="49"/>
      <c r="C482" s="49"/>
      <c r="D482" s="49"/>
      <c r="E482" s="49"/>
      <c r="F482" s="49"/>
      <c r="G482" s="49"/>
      <c r="H482" s="49"/>
      <c r="I482" s="49"/>
      <c r="J482" s="49"/>
      <c r="K482" s="49"/>
      <c r="L482" s="49"/>
      <c r="M482" s="49"/>
      <c r="N482" s="49"/>
      <c r="O482" s="49"/>
      <c r="P482" s="49"/>
      <c r="Q482" s="49"/>
      <c r="R482" s="49"/>
      <c r="S482" s="49"/>
      <c r="T482" s="49"/>
      <c r="U482" s="49"/>
      <c r="V482" s="49"/>
      <c r="W482" s="49"/>
      <c r="X482" s="49"/>
      <c r="Y482" s="49"/>
      <c r="Z482" s="49"/>
    </row>
    <row r="483" spans="1:26" ht="13">
      <c r="A483" s="49"/>
      <c r="B483" s="49"/>
      <c r="C483" s="49"/>
      <c r="D483" s="49"/>
      <c r="E483" s="49"/>
      <c r="F483" s="49"/>
      <c r="G483" s="49"/>
      <c r="H483" s="49"/>
      <c r="I483" s="49"/>
      <c r="J483" s="49"/>
      <c r="K483" s="49"/>
      <c r="L483" s="49"/>
      <c r="M483" s="49"/>
      <c r="N483" s="49"/>
      <c r="O483" s="49"/>
      <c r="P483" s="49"/>
      <c r="Q483" s="49"/>
      <c r="R483" s="49"/>
      <c r="S483" s="49"/>
      <c r="T483" s="49"/>
      <c r="U483" s="49"/>
      <c r="V483" s="49"/>
      <c r="W483" s="49"/>
      <c r="X483" s="49"/>
      <c r="Y483" s="49"/>
      <c r="Z483" s="49"/>
    </row>
    <row r="484" spans="1:26" ht="13">
      <c r="A484" s="49"/>
      <c r="B484" s="49"/>
      <c r="C484" s="49"/>
      <c r="D484" s="49"/>
      <c r="E484" s="49"/>
      <c r="F484" s="49"/>
      <c r="G484" s="49"/>
      <c r="H484" s="49"/>
      <c r="I484" s="49"/>
      <c r="J484" s="49"/>
      <c r="K484" s="49"/>
      <c r="L484" s="49"/>
      <c r="M484" s="49"/>
      <c r="N484" s="49"/>
      <c r="O484" s="49"/>
      <c r="P484" s="49"/>
      <c r="Q484" s="49"/>
      <c r="R484" s="49"/>
      <c r="S484" s="49"/>
      <c r="T484" s="49"/>
      <c r="U484" s="49"/>
      <c r="V484" s="49"/>
      <c r="W484" s="49"/>
      <c r="X484" s="49"/>
      <c r="Y484" s="49"/>
      <c r="Z484" s="49"/>
    </row>
    <row r="485" spans="1:26" ht="13">
      <c r="A485" s="49"/>
      <c r="B485" s="49"/>
      <c r="C485" s="49"/>
      <c r="D485" s="49"/>
      <c r="E485" s="49"/>
      <c r="F485" s="49"/>
      <c r="G485" s="49"/>
      <c r="H485" s="49"/>
      <c r="I485" s="49"/>
      <c r="J485" s="49"/>
      <c r="K485" s="49"/>
      <c r="L485" s="49"/>
      <c r="M485" s="49"/>
      <c r="N485" s="49"/>
      <c r="O485" s="49"/>
      <c r="P485" s="49"/>
      <c r="Q485" s="49"/>
      <c r="R485" s="49"/>
      <c r="S485" s="49"/>
      <c r="T485" s="49"/>
      <c r="U485" s="49"/>
      <c r="V485" s="49"/>
      <c r="W485" s="49"/>
      <c r="X485" s="49"/>
      <c r="Y485" s="49"/>
      <c r="Z485" s="49"/>
    </row>
    <row r="486" spans="1:26" ht="13">
      <c r="A486" s="49"/>
      <c r="B486" s="49"/>
      <c r="C486" s="49"/>
      <c r="D486" s="49"/>
      <c r="E486" s="49"/>
      <c r="F486" s="49"/>
      <c r="G486" s="49"/>
      <c r="H486" s="49"/>
      <c r="I486" s="49"/>
      <c r="J486" s="49"/>
      <c r="K486" s="49"/>
      <c r="L486" s="49"/>
      <c r="M486" s="49"/>
      <c r="N486" s="49"/>
      <c r="O486" s="49"/>
      <c r="P486" s="49"/>
      <c r="Q486" s="49"/>
      <c r="R486" s="49"/>
      <c r="S486" s="49"/>
      <c r="T486" s="49"/>
      <c r="U486" s="49"/>
      <c r="V486" s="49"/>
      <c r="W486" s="49"/>
      <c r="X486" s="49"/>
      <c r="Y486" s="49"/>
      <c r="Z486" s="49"/>
    </row>
    <row r="487" spans="1:26" ht="13">
      <c r="A487" s="49"/>
      <c r="B487" s="49"/>
      <c r="C487" s="49"/>
      <c r="D487" s="49"/>
      <c r="E487" s="49"/>
      <c r="F487" s="49"/>
      <c r="G487" s="49"/>
      <c r="H487" s="49"/>
      <c r="I487" s="49"/>
      <c r="J487" s="49"/>
      <c r="K487" s="49"/>
      <c r="L487" s="49"/>
      <c r="M487" s="49"/>
      <c r="N487" s="49"/>
      <c r="O487" s="49"/>
      <c r="P487" s="49"/>
      <c r="Q487" s="49"/>
      <c r="R487" s="49"/>
      <c r="S487" s="49"/>
      <c r="T487" s="49"/>
      <c r="U487" s="49"/>
      <c r="V487" s="49"/>
      <c r="W487" s="49"/>
      <c r="X487" s="49"/>
      <c r="Y487" s="49"/>
      <c r="Z487" s="49"/>
    </row>
    <row r="488" spans="1:26" ht="13">
      <c r="A488" s="49"/>
      <c r="B488" s="49"/>
      <c r="C488" s="49"/>
      <c r="D488" s="49"/>
      <c r="E488" s="49"/>
      <c r="F488" s="49"/>
      <c r="G488" s="49"/>
      <c r="H488" s="49"/>
      <c r="I488" s="49"/>
      <c r="J488" s="49"/>
      <c r="K488" s="49"/>
      <c r="L488" s="49"/>
      <c r="M488" s="49"/>
      <c r="N488" s="49"/>
      <c r="O488" s="49"/>
      <c r="P488" s="49"/>
      <c r="Q488" s="49"/>
      <c r="R488" s="49"/>
      <c r="S488" s="49"/>
      <c r="T488" s="49"/>
      <c r="U488" s="49"/>
      <c r="V488" s="49"/>
      <c r="W488" s="49"/>
      <c r="X488" s="49"/>
      <c r="Y488" s="49"/>
      <c r="Z488" s="49"/>
    </row>
    <row r="489" spans="1:26" ht="13">
      <c r="A489" s="49"/>
      <c r="B489" s="49"/>
      <c r="C489" s="49"/>
      <c r="D489" s="49"/>
      <c r="E489" s="49"/>
      <c r="F489" s="49"/>
      <c r="G489" s="49"/>
      <c r="H489" s="49"/>
      <c r="I489" s="49"/>
      <c r="J489" s="49"/>
      <c r="K489" s="49"/>
      <c r="L489" s="49"/>
      <c r="M489" s="49"/>
      <c r="N489" s="49"/>
      <c r="O489" s="49"/>
      <c r="P489" s="49"/>
      <c r="Q489" s="49"/>
      <c r="R489" s="49"/>
      <c r="S489" s="49"/>
      <c r="T489" s="49"/>
      <c r="U489" s="49"/>
      <c r="V489" s="49"/>
      <c r="W489" s="49"/>
      <c r="X489" s="49"/>
      <c r="Y489" s="49"/>
      <c r="Z489" s="49"/>
    </row>
    <row r="490" spans="1:26" ht="13">
      <c r="A490" s="49"/>
      <c r="B490" s="49"/>
      <c r="C490" s="49"/>
      <c r="D490" s="49"/>
      <c r="E490" s="49"/>
      <c r="F490" s="49"/>
      <c r="G490" s="49"/>
      <c r="H490" s="49"/>
      <c r="I490" s="49"/>
      <c r="J490" s="49"/>
      <c r="K490" s="49"/>
      <c r="L490" s="49"/>
      <c r="M490" s="49"/>
      <c r="N490" s="49"/>
      <c r="O490" s="49"/>
      <c r="P490" s="49"/>
      <c r="Q490" s="49"/>
      <c r="R490" s="49"/>
      <c r="S490" s="49"/>
      <c r="T490" s="49"/>
      <c r="U490" s="49"/>
      <c r="V490" s="49"/>
      <c r="W490" s="49"/>
      <c r="X490" s="49"/>
      <c r="Y490" s="49"/>
      <c r="Z490" s="49"/>
    </row>
    <row r="491" spans="1:26" ht="13">
      <c r="A491" s="49"/>
      <c r="B491" s="49"/>
      <c r="C491" s="49"/>
      <c r="D491" s="49"/>
      <c r="E491" s="49"/>
      <c r="F491" s="49"/>
      <c r="G491" s="49"/>
      <c r="H491" s="49"/>
      <c r="I491" s="49"/>
      <c r="J491" s="49"/>
      <c r="K491" s="49"/>
      <c r="L491" s="49"/>
      <c r="M491" s="49"/>
      <c r="N491" s="49"/>
      <c r="O491" s="49"/>
      <c r="P491" s="49"/>
      <c r="Q491" s="49"/>
      <c r="R491" s="49"/>
      <c r="S491" s="49"/>
      <c r="T491" s="49"/>
      <c r="U491" s="49"/>
      <c r="V491" s="49"/>
      <c r="W491" s="49"/>
      <c r="X491" s="49"/>
      <c r="Y491" s="49"/>
      <c r="Z491" s="49"/>
    </row>
    <row r="492" spans="1:26" ht="13">
      <c r="A492" s="49"/>
      <c r="B492" s="49"/>
      <c r="C492" s="49"/>
      <c r="D492" s="49"/>
      <c r="E492" s="49"/>
      <c r="F492" s="49"/>
      <c r="G492" s="49"/>
      <c r="H492" s="49"/>
      <c r="I492" s="49"/>
      <c r="J492" s="49"/>
      <c r="K492" s="49"/>
      <c r="L492" s="49"/>
      <c r="M492" s="49"/>
      <c r="N492" s="49"/>
      <c r="O492" s="49"/>
      <c r="P492" s="49"/>
      <c r="Q492" s="49"/>
      <c r="R492" s="49"/>
      <c r="S492" s="49"/>
      <c r="T492" s="49"/>
      <c r="U492" s="49"/>
      <c r="V492" s="49"/>
      <c r="W492" s="49"/>
      <c r="X492" s="49"/>
      <c r="Y492" s="49"/>
      <c r="Z492" s="49"/>
    </row>
    <row r="493" spans="1:26" ht="13">
      <c r="A493" s="49"/>
      <c r="B493" s="49"/>
      <c r="C493" s="49"/>
      <c r="D493" s="49"/>
      <c r="E493" s="49"/>
      <c r="F493" s="49"/>
      <c r="G493" s="49"/>
      <c r="H493" s="49"/>
      <c r="I493" s="49"/>
      <c r="J493" s="49"/>
      <c r="K493" s="49"/>
      <c r="L493" s="49"/>
      <c r="M493" s="49"/>
      <c r="N493" s="49"/>
      <c r="O493" s="49"/>
      <c r="P493" s="49"/>
      <c r="Q493" s="49"/>
      <c r="R493" s="49"/>
      <c r="S493" s="49"/>
      <c r="T493" s="49"/>
      <c r="U493" s="49"/>
      <c r="V493" s="49"/>
      <c r="W493" s="49"/>
      <c r="X493" s="49"/>
      <c r="Y493" s="49"/>
      <c r="Z493" s="49"/>
    </row>
    <row r="494" spans="1:26" ht="13">
      <c r="A494" s="49"/>
      <c r="B494" s="49"/>
      <c r="C494" s="49"/>
      <c r="D494" s="49"/>
      <c r="E494" s="49"/>
      <c r="F494" s="49"/>
      <c r="G494" s="49"/>
      <c r="H494" s="49"/>
      <c r="I494" s="49"/>
      <c r="J494" s="49"/>
      <c r="K494" s="49"/>
      <c r="L494" s="49"/>
      <c r="M494" s="49"/>
      <c r="N494" s="49"/>
      <c r="O494" s="49"/>
      <c r="P494" s="49"/>
      <c r="Q494" s="49"/>
      <c r="R494" s="49"/>
      <c r="S494" s="49"/>
      <c r="T494" s="49"/>
      <c r="U494" s="49"/>
      <c r="V494" s="49"/>
      <c r="W494" s="49"/>
      <c r="X494" s="49"/>
      <c r="Y494" s="49"/>
      <c r="Z494" s="49"/>
    </row>
    <row r="495" spans="1:26" ht="13">
      <c r="A495" s="49"/>
      <c r="B495" s="49"/>
      <c r="C495" s="49"/>
      <c r="D495" s="49"/>
      <c r="E495" s="49"/>
      <c r="F495" s="49"/>
      <c r="G495" s="49"/>
      <c r="H495" s="49"/>
      <c r="I495" s="49"/>
      <c r="J495" s="49"/>
      <c r="K495" s="49"/>
      <c r="L495" s="49"/>
      <c r="M495" s="49"/>
      <c r="N495" s="49"/>
      <c r="O495" s="49"/>
      <c r="P495" s="49"/>
      <c r="Q495" s="49"/>
      <c r="R495" s="49"/>
      <c r="S495" s="49"/>
      <c r="T495" s="49"/>
      <c r="U495" s="49"/>
      <c r="V495" s="49"/>
      <c r="W495" s="49"/>
      <c r="X495" s="49"/>
      <c r="Y495" s="49"/>
      <c r="Z495" s="49"/>
    </row>
    <row r="496" spans="1:26" ht="13">
      <c r="A496" s="49"/>
      <c r="B496" s="49"/>
      <c r="C496" s="49"/>
      <c r="D496" s="49"/>
      <c r="E496" s="49"/>
      <c r="F496" s="49"/>
      <c r="G496" s="49"/>
      <c r="H496" s="49"/>
      <c r="I496" s="49"/>
      <c r="J496" s="49"/>
      <c r="K496" s="49"/>
      <c r="L496" s="49"/>
      <c r="M496" s="49"/>
      <c r="N496" s="49"/>
      <c r="O496" s="49"/>
      <c r="P496" s="49"/>
      <c r="Q496" s="49"/>
      <c r="R496" s="49"/>
      <c r="S496" s="49"/>
      <c r="T496" s="49"/>
      <c r="U496" s="49"/>
      <c r="V496" s="49"/>
      <c r="W496" s="49"/>
      <c r="X496" s="49"/>
      <c r="Y496" s="49"/>
      <c r="Z496" s="49"/>
    </row>
    <row r="497" spans="1:26" ht="13">
      <c r="A497" s="49"/>
      <c r="B497" s="49"/>
      <c r="C497" s="49"/>
      <c r="D497" s="49"/>
      <c r="E497" s="49"/>
      <c r="F497" s="49"/>
      <c r="G497" s="49"/>
      <c r="H497" s="49"/>
      <c r="I497" s="49"/>
      <c r="J497" s="49"/>
      <c r="K497" s="49"/>
      <c r="L497" s="49"/>
      <c r="M497" s="49"/>
      <c r="N497" s="49"/>
      <c r="O497" s="49"/>
      <c r="P497" s="49"/>
      <c r="Q497" s="49"/>
      <c r="R497" s="49"/>
      <c r="S497" s="49"/>
      <c r="T497" s="49"/>
      <c r="U497" s="49"/>
      <c r="V497" s="49"/>
      <c r="W497" s="49"/>
      <c r="X497" s="49"/>
      <c r="Y497" s="49"/>
      <c r="Z497" s="49"/>
    </row>
    <row r="498" spans="1:26" ht="13">
      <c r="A498" s="49"/>
      <c r="B498" s="49"/>
      <c r="C498" s="49"/>
      <c r="D498" s="49"/>
      <c r="E498" s="49"/>
      <c r="F498" s="49"/>
      <c r="G498" s="49"/>
      <c r="H498" s="49"/>
      <c r="I498" s="49"/>
      <c r="J498" s="49"/>
      <c r="K498" s="49"/>
      <c r="L498" s="49"/>
      <c r="M498" s="49"/>
      <c r="N498" s="49"/>
      <c r="O498" s="49"/>
      <c r="P498" s="49"/>
      <c r="Q498" s="49"/>
      <c r="R498" s="49"/>
      <c r="S498" s="49"/>
      <c r="T498" s="49"/>
      <c r="U498" s="49"/>
      <c r="V498" s="49"/>
      <c r="W498" s="49"/>
      <c r="X498" s="49"/>
      <c r="Y498" s="49"/>
      <c r="Z498" s="49"/>
    </row>
    <row r="499" spans="1:26" ht="13">
      <c r="A499" s="49"/>
      <c r="B499" s="49"/>
      <c r="C499" s="49"/>
      <c r="D499" s="49"/>
      <c r="E499" s="49"/>
      <c r="F499" s="49"/>
      <c r="G499" s="49"/>
      <c r="H499" s="49"/>
      <c r="I499" s="49"/>
      <c r="J499" s="49"/>
      <c r="K499" s="49"/>
      <c r="L499" s="49"/>
      <c r="M499" s="49"/>
      <c r="N499" s="49"/>
      <c r="O499" s="49"/>
      <c r="P499" s="49"/>
      <c r="Q499" s="49"/>
      <c r="R499" s="49"/>
      <c r="S499" s="49"/>
      <c r="T499" s="49"/>
      <c r="U499" s="49"/>
      <c r="V499" s="49"/>
      <c r="W499" s="49"/>
      <c r="X499" s="49"/>
      <c r="Y499" s="49"/>
      <c r="Z499" s="49"/>
    </row>
    <row r="500" spans="1:26" ht="13">
      <c r="A500" s="49"/>
      <c r="B500" s="49"/>
      <c r="C500" s="49"/>
      <c r="D500" s="49"/>
      <c r="E500" s="49"/>
      <c r="F500" s="49"/>
      <c r="G500" s="49"/>
      <c r="H500" s="49"/>
      <c r="I500" s="49"/>
      <c r="J500" s="49"/>
      <c r="K500" s="49"/>
      <c r="L500" s="49"/>
      <c r="M500" s="49"/>
      <c r="N500" s="49"/>
      <c r="O500" s="49"/>
      <c r="P500" s="49"/>
      <c r="Q500" s="49"/>
      <c r="R500" s="49"/>
      <c r="S500" s="49"/>
      <c r="T500" s="49"/>
      <c r="U500" s="49"/>
      <c r="V500" s="49"/>
      <c r="W500" s="49"/>
      <c r="X500" s="49"/>
      <c r="Y500" s="49"/>
      <c r="Z500" s="49"/>
    </row>
    <row r="501" spans="1:26" ht="13">
      <c r="A501" s="49"/>
      <c r="B501" s="49"/>
      <c r="C501" s="49"/>
      <c r="D501" s="49"/>
      <c r="E501" s="49"/>
      <c r="F501" s="49"/>
      <c r="G501" s="49"/>
      <c r="H501" s="49"/>
      <c r="I501" s="49"/>
      <c r="J501" s="49"/>
      <c r="K501" s="49"/>
      <c r="L501" s="49"/>
      <c r="M501" s="49"/>
      <c r="N501" s="49"/>
      <c r="O501" s="49"/>
      <c r="P501" s="49"/>
      <c r="Q501" s="49"/>
      <c r="R501" s="49"/>
      <c r="S501" s="49"/>
      <c r="T501" s="49"/>
      <c r="U501" s="49"/>
      <c r="V501" s="49"/>
      <c r="W501" s="49"/>
      <c r="X501" s="49"/>
      <c r="Y501" s="49"/>
      <c r="Z501" s="49"/>
    </row>
    <row r="502" spans="1:26" ht="13">
      <c r="A502" s="49"/>
      <c r="B502" s="49"/>
      <c r="C502" s="49"/>
      <c r="D502" s="49"/>
      <c r="E502" s="49"/>
      <c r="F502" s="49"/>
      <c r="G502" s="49"/>
      <c r="H502" s="49"/>
      <c r="I502" s="49"/>
      <c r="J502" s="49"/>
      <c r="K502" s="49"/>
      <c r="L502" s="49"/>
      <c r="M502" s="49"/>
      <c r="N502" s="49"/>
      <c r="O502" s="49"/>
      <c r="P502" s="49"/>
      <c r="Q502" s="49"/>
      <c r="R502" s="49"/>
      <c r="S502" s="49"/>
      <c r="T502" s="49"/>
      <c r="U502" s="49"/>
      <c r="V502" s="49"/>
      <c r="W502" s="49"/>
      <c r="X502" s="49"/>
      <c r="Y502" s="49"/>
      <c r="Z502" s="49"/>
    </row>
    <row r="503" spans="1:26" ht="13">
      <c r="A503" s="49"/>
      <c r="B503" s="49"/>
      <c r="C503" s="49"/>
      <c r="D503" s="49"/>
      <c r="E503" s="49"/>
      <c r="F503" s="49"/>
      <c r="G503" s="49"/>
      <c r="H503" s="49"/>
      <c r="I503" s="49"/>
      <c r="J503" s="49"/>
      <c r="K503" s="49"/>
      <c r="L503" s="49"/>
      <c r="M503" s="49"/>
      <c r="N503" s="49"/>
      <c r="O503" s="49"/>
      <c r="P503" s="49"/>
      <c r="Q503" s="49"/>
      <c r="R503" s="49"/>
      <c r="S503" s="49"/>
      <c r="T503" s="49"/>
      <c r="U503" s="49"/>
      <c r="V503" s="49"/>
      <c r="W503" s="49"/>
      <c r="X503" s="49"/>
      <c r="Y503" s="49"/>
      <c r="Z503" s="49"/>
    </row>
    <row r="504" spans="1:26" ht="13">
      <c r="A504" s="49"/>
      <c r="B504" s="49"/>
      <c r="C504" s="49"/>
      <c r="D504" s="49"/>
      <c r="E504" s="49"/>
      <c r="F504" s="49"/>
      <c r="G504" s="49"/>
      <c r="H504" s="49"/>
      <c r="I504" s="49"/>
      <c r="J504" s="49"/>
      <c r="K504" s="49"/>
      <c r="L504" s="49"/>
      <c r="M504" s="49"/>
      <c r="N504" s="49"/>
      <c r="O504" s="49"/>
      <c r="P504" s="49"/>
      <c r="Q504" s="49"/>
      <c r="R504" s="49"/>
      <c r="S504" s="49"/>
      <c r="T504" s="49"/>
      <c r="U504" s="49"/>
      <c r="V504" s="49"/>
      <c r="W504" s="49"/>
      <c r="X504" s="49"/>
      <c r="Y504" s="49"/>
      <c r="Z504" s="49"/>
    </row>
    <row r="505" spans="1:26" ht="13">
      <c r="A505" s="49"/>
      <c r="B505" s="49"/>
      <c r="C505" s="49"/>
      <c r="D505" s="49"/>
      <c r="E505" s="49"/>
      <c r="F505" s="49"/>
      <c r="G505" s="49"/>
      <c r="H505" s="49"/>
      <c r="I505" s="49"/>
      <c r="J505" s="49"/>
      <c r="K505" s="49"/>
      <c r="L505" s="49"/>
      <c r="M505" s="49"/>
      <c r="N505" s="49"/>
      <c r="O505" s="49"/>
      <c r="P505" s="49"/>
      <c r="Q505" s="49"/>
      <c r="R505" s="49"/>
      <c r="S505" s="49"/>
      <c r="T505" s="49"/>
      <c r="U505" s="49"/>
      <c r="V505" s="49"/>
      <c r="W505" s="49"/>
      <c r="X505" s="49"/>
      <c r="Y505" s="49"/>
      <c r="Z505" s="49"/>
    </row>
    <row r="506" spans="1:26" ht="13">
      <c r="A506" s="49"/>
      <c r="B506" s="49"/>
      <c r="C506" s="49"/>
      <c r="D506" s="49"/>
      <c r="E506" s="49"/>
      <c r="F506" s="49"/>
      <c r="G506" s="49"/>
      <c r="H506" s="49"/>
      <c r="I506" s="49"/>
      <c r="J506" s="49"/>
      <c r="K506" s="49"/>
      <c r="L506" s="49"/>
      <c r="M506" s="49"/>
      <c r="N506" s="49"/>
      <c r="O506" s="49"/>
      <c r="P506" s="49"/>
      <c r="Q506" s="49"/>
      <c r="R506" s="49"/>
      <c r="S506" s="49"/>
      <c r="T506" s="49"/>
      <c r="U506" s="49"/>
      <c r="V506" s="49"/>
      <c r="W506" s="49"/>
      <c r="X506" s="49"/>
      <c r="Y506" s="49"/>
      <c r="Z506" s="49"/>
    </row>
    <row r="507" spans="1:26" ht="13">
      <c r="A507" s="49"/>
      <c r="B507" s="49"/>
      <c r="C507" s="49"/>
      <c r="D507" s="49"/>
      <c r="E507" s="49"/>
      <c r="F507" s="49"/>
      <c r="G507" s="49"/>
      <c r="H507" s="49"/>
      <c r="I507" s="49"/>
      <c r="J507" s="49"/>
      <c r="K507" s="49"/>
      <c r="L507" s="49"/>
      <c r="M507" s="49"/>
      <c r="N507" s="49"/>
      <c r="O507" s="49"/>
      <c r="P507" s="49"/>
      <c r="Q507" s="49"/>
      <c r="R507" s="49"/>
      <c r="S507" s="49"/>
      <c r="T507" s="49"/>
      <c r="U507" s="49"/>
      <c r="V507" s="49"/>
      <c r="W507" s="49"/>
      <c r="X507" s="49"/>
      <c r="Y507" s="49"/>
      <c r="Z507" s="49"/>
    </row>
    <row r="508" spans="1:26" ht="13">
      <c r="A508" s="49"/>
      <c r="B508" s="49"/>
      <c r="C508" s="49"/>
      <c r="D508" s="49"/>
      <c r="E508" s="49"/>
      <c r="F508" s="49"/>
      <c r="G508" s="49"/>
      <c r="H508" s="49"/>
      <c r="I508" s="49"/>
      <c r="J508" s="49"/>
      <c r="K508" s="49"/>
      <c r="L508" s="49"/>
      <c r="M508" s="49"/>
      <c r="N508" s="49"/>
      <c r="O508" s="49"/>
      <c r="P508" s="49"/>
      <c r="Q508" s="49"/>
      <c r="R508" s="49"/>
      <c r="S508" s="49"/>
      <c r="T508" s="49"/>
      <c r="U508" s="49"/>
      <c r="V508" s="49"/>
      <c r="W508" s="49"/>
      <c r="X508" s="49"/>
      <c r="Y508" s="49"/>
      <c r="Z508" s="49"/>
    </row>
    <row r="509" spans="1:26" ht="13">
      <c r="A509" s="49"/>
      <c r="B509" s="49"/>
      <c r="C509" s="49"/>
      <c r="D509" s="49"/>
      <c r="E509" s="49"/>
      <c r="F509" s="49"/>
      <c r="G509" s="49"/>
      <c r="H509" s="49"/>
      <c r="I509" s="49"/>
      <c r="J509" s="49"/>
      <c r="K509" s="49"/>
      <c r="L509" s="49"/>
      <c r="M509" s="49"/>
      <c r="N509" s="49"/>
      <c r="O509" s="49"/>
      <c r="P509" s="49"/>
      <c r="Q509" s="49"/>
      <c r="R509" s="49"/>
      <c r="S509" s="49"/>
      <c r="T509" s="49"/>
      <c r="U509" s="49"/>
      <c r="V509" s="49"/>
      <c r="W509" s="49"/>
      <c r="X509" s="49"/>
      <c r="Y509" s="49"/>
      <c r="Z509" s="49"/>
    </row>
    <row r="510" spans="1:26" ht="13">
      <c r="A510" s="49"/>
      <c r="B510" s="49"/>
      <c r="C510" s="49"/>
      <c r="D510" s="49"/>
      <c r="E510" s="49"/>
      <c r="F510" s="49"/>
      <c r="G510" s="49"/>
      <c r="H510" s="49"/>
      <c r="I510" s="49"/>
      <c r="J510" s="49"/>
      <c r="K510" s="49"/>
      <c r="L510" s="49"/>
      <c r="M510" s="49"/>
      <c r="N510" s="49"/>
      <c r="O510" s="49"/>
      <c r="P510" s="49"/>
      <c r="Q510" s="49"/>
      <c r="R510" s="49"/>
      <c r="S510" s="49"/>
      <c r="T510" s="49"/>
      <c r="U510" s="49"/>
      <c r="V510" s="49"/>
      <c r="W510" s="49"/>
      <c r="X510" s="49"/>
      <c r="Y510" s="49"/>
      <c r="Z510" s="49"/>
    </row>
    <row r="511" spans="1:26" ht="13">
      <c r="A511" s="49"/>
      <c r="B511" s="49"/>
      <c r="C511" s="49"/>
      <c r="D511" s="49"/>
      <c r="E511" s="49"/>
      <c r="F511" s="49"/>
      <c r="G511" s="49"/>
      <c r="H511" s="49"/>
      <c r="I511" s="49"/>
      <c r="J511" s="49"/>
      <c r="K511" s="49"/>
      <c r="L511" s="49"/>
      <c r="M511" s="49"/>
      <c r="N511" s="49"/>
      <c r="O511" s="49"/>
      <c r="P511" s="49"/>
      <c r="Q511" s="49"/>
      <c r="R511" s="49"/>
      <c r="S511" s="49"/>
      <c r="T511" s="49"/>
      <c r="U511" s="49"/>
      <c r="V511" s="49"/>
      <c r="W511" s="49"/>
      <c r="X511" s="49"/>
      <c r="Y511" s="49"/>
      <c r="Z511" s="49"/>
    </row>
    <row r="512" spans="1:26" ht="13">
      <c r="A512" s="49"/>
      <c r="B512" s="49"/>
      <c r="C512" s="49"/>
      <c r="D512" s="49"/>
      <c r="E512" s="49"/>
      <c r="F512" s="49"/>
      <c r="G512" s="49"/>
      <c r="H512" s="49"/>
      <c r="I512" s="49"/>
      <c r="J512" s="49"/>
      <c r="K512" s="49"/>
      <c r="L512" s="49"/>
      <c r="M512" s="49"/>
      <c r="N512" s="49"/>
      <c r="O512" s="49"/>
      <c r="P512" s="49"/>
      <c r="Q512" s="49"/>
      <c r="R512" s="49"/>
      <c r="S512" s="49"/>
      <c r="T512" s="49"/>
      <c r="U512" s="49"/>
      <c r="V512" s="49"/>
      <c r="W512" s="49"/>
      <c r="X512" s="49"/>
      <c r="Y512" s="49"/>
      <c r="Z512" s="49"/>
    </row>
    <row r="513" spans="1:26" ht="13">
      <c r="A513" s="49"/>
      <c r="B513" s="49"/>
      <c r="C513" s="49"/>
      <c r="D513" s="49"/>
      <c r="E513" s="49"/>
      <c r="F513" s="49"/>
      <c r="G513" s="49"/>
      <c r="H513" s="49"/>
      <c r="I513" s="49"/>
      <c r="J513" s="49"/>
      <c r="K513" s="49"/>
      <c r="L513" s="49"/>
      <c r="M513" s="49"/>
      <c r="N513" s="49"/>
      <c r="O513" s="49"/>
      <c r="P513" s="49"/>
      <c r="Q513" s="49"/>
      <c r="R513" s="49"/>
      <c r="S513" s="49"/>
      <c r="T513" s="49"/>
      <c r="U513" s="49"/>
      <c r="V513" s="49"/>
      <c r="W513" s="49"/>
      <c r="X513" s="49"/>
      <c r="Y513" s="49"/>
      <c r="Z513" s="49"/>
    </row>
    <row r="514" spans="1:26" ht="13">
      <c r="A514" s="49"/>
      <c r="B514" s="49"/>
      <c r="C514" s="49"/>
      <c r="D514" s="49"/>
      <c r="E514" s="49"/>
      <c r="F514" s="49"/>
      <c r="G514" s="49"/>
      <c r="H514" s="49"/>
      <c r="I514" s="49"/>
      <c r="J514" s="49"/>
      <c r="K514" s="49"/>
      <c r="L514" s="49"/>
      <c r="M514" s="49"/>
      <c r="N514" s="49"/>
      <c r="O514" s="49"/>
      <c r="P514" s="49"/>
      <c r="Q514" s="49"/>
      <c r="R514" s="49"/>
      <c r="S514" s="49"/>
      <c r="T514" s="49"/>
      <c r="U514" s="49"/>
      <c r="V514" s="49"/>
      <c r="W514" s="49"/>
      <c r="X514" s="49"/>
      <c r="Y514" s="49"/>
      <c r="Z514" s="49"/>
    </row>
    <row r="515" spans="1:26" ht="13">
      <c r="A515" s="49"/>
      <c r="B515" s="49"/>
      <c r="C515" s="49"/>
      <c r="D515" s="49"/>
      <c r="E515" s="49"/>
      <c r="F515" s="49"/>
      <c r="G515" s="49"/>
      <c r="H515" s="49"/>
      <c r="I515" s="49"/>
      <c r="J515" s="49"/>
      <c r="K515" s="49"/>
      <c r="L515" s="49"/>
      <c r="M515" s="49"/>
      <c r="N515" s="49"/>
      <c r="O515" s="49"/>
      <c r="P515" s="49"/>
      <c r="Q515" s="49"/>
      <c r="R515" s="49"/>
      <c r="S515" s="49"/>
      <c r="T515" s="49"/>
      <c r="U515" s="49"/>
      <c r="V515" s="49"/>
      <c r="W515" s="49"/>
      <c r="X515" s="49"/>
      <c r="Y515" s="49"/>
      <c r="Z515" s="49"/>
    </row>
    <row r="516" spans="1:26" ht="13">
      <c r="A516" s="49"/>
      <c r="B516" s="49"/>
      <c r="C516" s="49"/>
      <c r="D516" s="49"/>
      <c r="E516" s="49"/>
      <c r="F516" s="49"/>
      <c r="G516" s="49"/>
      <c r="H516" s="49"/>
      <c r="I516" s="49"/>
      <c r="J516" s="49"/>
      <c r="K516" s="49"/>
      <c r="L516" s="49"/>
      <c r="M516" s="49"/>
      <c r="N516" s="49"/>
      <c r="O516" s="49"/>
      <c r="P516" s="49"/>
      <c r="Q516" s="49"/>
      <c r="R516" s="49"/>
      <c r="S516" s="49"/>
      <c r="T516" s="49"/>
      <c r="U516" s="49"/>
      <c r="V516" s="49"/>
      <c r="W516" s="49"/>
      <c r="X516" s="49"/>
      <c r="Y516" s="49"/>
      <c r="Z516" s="49"/>
    </row>
    <row r="517" spans="1:26" ht="13">
      <c r="A517" s="49"/>
      <c r="B517" s="49"/>
      <c r="C517" s="49"/>
      <c r="D517" s="49"/>
      <c r="E517" s="49"/>
      <c r="F517" s="49"/>
      <c r="G517" s="49"/>
      <c r="H517" s="49"/>
      <c r="I517" s="49"/>
      <c r="J517" s="49"/>
      <c r="K517" s="49"/>
      <c r="L517" s="49"/>
      <c r="M517" s="49"/>
      <c r="N517" s="49"/>
      <c r="O517" s="49"/>
      <c r="P517" s="49"/>
      <c r="Q517" s="49"/>
      <c r="R517" s="49"/>
      <c r="S517" s="49"/>
      <c r="T517" s="49"/>
      <c r="U517" s="49"/>
      <c r="V517" s="49"/>
      <c r="W517" s="49"/>
      <c r="X517" s="49"/>
      <c r="Y517" s="49"/>
      <c r="Z517" s="49"/>
    </row>
    <row r="518" spans="1:26" ht="13">
      <c r="A518" s="49"/>
      <c r="B518" s="49"/>
      <c r="C518" s="49"/>
      <c r="D518" s="49"/>
      <c r="E518" s="49"/>
      <c r="F518" s="49"/>
      <c r="G518" s="49"/>
      <c r="H518" s="49"/>
      <c r="I518" s="49"/>
      <c r="J518" s="49"/>
      <c r="K518" s="49"/>
      <c r="L518" s="49"/>
      <c r="M518" s="49"/>
      <c r="N518" s="49"/>
      <c r="O518" s="49"/>
      <c r="P518" s="49"/>
      <c r="Q518" s="49"/>
      <c r="R518" s="49"/>
      <c r="S518" s="49"/>
      <c r="T518" s="49"/>
      <c r="U518" s="49"/>
      <c r="V518" s="49"/>
      <c r="W518" s="49"/>
      <c r="X518" s="49"/>
      <c r="Y518" s="49"/>
      <c r="Z518" s="49"/>
    </row>
    <row r="519" spans="1:26" ht="13">
      <c r="A519" s="49"/>
      <c r="B519" s="49"/>
      <c r="C519" s="49"/>
      <c r="D519" s="49"/>
      <c r="E519" s="49"/>
      <c r="F519" s="49"/>
      <c r="G519" s="49"/>
      <c r="H519" s="49"/>
      <c r="I519" s="49"/>
      <c r="J519" s="49"/>
      <c r="K519" s="49"/>
      <c r="L519" s="49"/>
      <c r="M519" s="49"/>
      <c r="N519" s="49"/>
      <c r="O519" s="49"/>
      <c r="P519" s="49"/>
      <c r="Q519" s="49"/>
      <c r="R519" s="49"/>
      <c r="S519" s="49"/>
      <c r="T519" s="49"/>
      <c r="U519" s="49"/>
      <c r="V519" s="49"/>
      <c r="W519" s="49"/>
      <c r="X519" s="49"/>
      <c r="Y519" s="49"/>
      <c r="Z519" s="49"/>
    </row>
    <row r="520" spans="1:26" ht="13">
      <c r="A520" s="49"/>
      <c r="B520" s="49"/>
      <c r="C520" s="49"/>
      <c r="D520" s="49"/>
      <c r="E520" s="49"/>
      <c r="F520" s="49"/>
      <c r="G520" s="49"/>
      <c r="H520" s="49"/>
      <c r="I520" s="49"/>
      <c r="J520" s="49"/>
      <c r="K520" s="49"/>
      <c r="L520" s="49"/>
      <c r="M520" s="49"/>
      <c r="N520" s="49"/>
      <c r="O520" s="49"/>
      <c r="P520" s="49"/>
      <c r="Q520" s="49"/>
      <c r="R520" s="49"/>
      <c r="S520" s="49"/>
      <c r="T520" s="49"/>
      <c r="U520" s="49"/>
      <c r="V520" s="49"/>
      <c r="W520" s="49"/>
      <c r="X520" s="49"/>
      <c r="Y520" s="49"/>
      <c r="Z520" s="49"/>
    </row>
    <row r="521" spans="1:26" ht="13">
      <c r="A521" s="49"/>
      <c r="B521" s="49"/>
      <c r="C521" s="49"/>
      <c r="D521" s="49"/>
      <c r="E521" s="49"/>
      <c r="F521" s="49"/>
      <c r="G521" s="49"/>
      <c r="H521" s="49"/>
      <c r="I521" s="49"/>
      <c r="J521" s="49"/>
      <c r="K521" s="49"/>
      <c r="L521" s="49"/>
      <c r="M521" s="49"/>
      <c r="N521" s="49"/>
      <c r="O521" s="49"/>
      <c r="P521" s="49"/>
      <c r="Q521" s="49"/>
      <c r="R521" s="49"/>
      <c r="S521" s="49"/>
      <c r="T521" s="49"/>
      <c r="U521" s="49"/>
      <c r="V521" s="49"/>
      <c r="W521" s="49"/>
      <c r="X521" s="49"/>
      <c r="Y521" s="49"/>
      <c r="Z521" s="49"/>
    </row>
    <row r="522" spans="1:26" ht="13">
      <c r="A522" s="49"/>
      <c r="B522" s="49"/>
      <c r="C522" s="49"/>
      <c r="D522" s="49"/>
      <c r="E522" s="49"/>
      <c r="F522" s="49"/>
      <c r="G522" s="49"/>
      <c r="H522" s="49"/>
      <c r="I522" s="49"/>
      <c r="J522" s="49"/>
      <c r="K522" s="49"/>
      <c r="L522" s="49"/>
      <c r="M522" s="49"/>
      <c r="N522" s="49"/>
      <c r="O522" s="49"/>
      <c r="P522" s="49"/>
      <c r="Q522" s="49"/>
      <c r="R522" s="49"/>
      <c r="S522" s="49"/>
      <c r="T522" s="49"/>
      <c r="U522" s="49"/>
      <c r="V522" s="49"/>
      <c r="W522" s="49"/>
      <c r="X522" s="49"/>
      <c r="Y522" s="49"/>
      <c r="Z522" s="49"/>
    </row>
    <row r="523" spans="1:26" ht="13">
      <c r="A523" s="49"/>
      <c r="B523" s="49"/>
      <c r="C523" s="49"/>
      <c r="D523" s="49"/>
      <c r="E523" s="49"/>
      <c r="F523" s="49"/>
      <c r="G523" s="49"/>
      <c r="H523" s="49"/>
      <c r="I523" s="49"/>
      <c r="J523" s="49"/>
      <c r="K523" s="49"/>
      <c r="L523" s="49"/>
      <c r="M523" s="49"/>
      <c r="N523" s="49"/>
      <c r="O523" s="49"/>
      <c r="P523" s="49"/>
      <c r="Q523" s="49"/>
      <c r="R523" s="49"/>
      <c r="S523" s="49"/>
      <c r="T523" s="49"/>
      <c r="U523" s="49"/>
      <c r="V523" s="49"/>
      <c r="W523" s="49"/>
      <c r="X523" s="49"/>
      <c r="Y523" s="49"/>
      <c r="Z523" s="49"/>
    </row>
    <row r="524" spans="1:26" ht="13">
      <c r="A524" s="49"/>
      <c r="B524" s="49"/>
      <c r="C524" s="49"/>
      <c r="D524" s="49"/>
      <c r="E524" s="49"/>
      <c r="F524" s="49"/>
      <c r="G524" s="49"/>
      <c r="H524" s="49"/>
      <c r="I524" s="49"/>
      <c r="J524" s="49"/>
      <c r="K524" s="49"/>
      <c r="L524" s="49"/>
      <c r="M524" s="49"/>
      <c r="N524" s="49"/>
      <c r="O524" s="49"/>
      <c r="P524" s="49"/>
      <c r="Q524" s="49"/>
      <c r="R524" s="49"/>
      <c r="S524" s="49"/>
      <c r="T524" s="49"/>
      <c r="U524" s="49"/>
      <c r="V524" s="49"/>
      <c r="W524" s="49"/>
      <c r="X524" s="49"/>
      <c r="Y524" s="49"/>
      <c r="Z524" s="49"/>
    </row>
    <row r="525" spans="1:26" ht="13">
      <c r="A525" s="49"/>
      <c r="B525" s="49"/>
      <c r="C525" s="49"/>
      <c r="D525" s="49"/>
      <c r="E525" s="49"/>
      <c r="F525" s="49"/>
      <c r="G525" s="49"/>
      <c r="H525" s="49"/>
      <c r="I525" s="49"/>
      <c r="J525" s="49"/>
      <c r="K525" s="49"/>
      <c r="L525" s="49"/>
      <c r="M525" s="49"/>
      <c r="N525" s="49"/>
      <c r="O525" s="49"/>
      <c r="P525" s="49"/>
      <c r="Q525" s="49"/>
      <c r="R525" s="49"/>
      <c r="S525" s="49"/>
      <c r="T525" s="49"/>
      <c r="U525" s="49"/>
      <c r="V525" s="49"/>
      <c r="W525" s="49"/>
      <c r="X525" s="49"/>
      <c r="Y525" s="49"/>
      <c r="Z525" s="49"/>
    </row>
    <row r="526" spans="1:26" ht="13">
      <c r="A526" s="49"/>
      <c r="B526" s="49"/>
      <c r="C526" s="49"/>
      <c r="D526" s="49"/>
      <c r="E526" s="49"/>
      <c r="F526" s="49"/>
      <c r="G526" s="49"/>
      <c r="H526" s="49"/>
      <c r="I526" s="49"/>
      <c r="J526" s="49"/>
      <c r="K526" s="49"/>
      <c r="L526" s="49"/>
      <c r="M526" s="49"/>
      <c r="N526" s="49"/>
      <c r="O526" s="49"/>
      <c r="P526" s="49"/>
      <c r="Q526" s="49"/>
      <c r="R526" s="49"/>
      <c r="S526" s="49"/>
      <c r="T526" s="49"/>
      <c r="U526" s="49"/>
      <c r="V526" s="49"/>
      <c r="W526" s="49"/>
      <c r="X526" s="49"/>
      <c r="Y526" s="49"/>
      <c r="Z526" s="49"/>
    </row>
    <row r="527" spans="1:26" ht="13">
      <c r="A527" s="49"/>
      <c r="B527" s="49"/>
      <c r="C527" s="49"/>
      <c r="D527" s="49"/>
      <c r="E527" s="49"/>
      <c r="F527" s="49"/>
      <c r="G527" s="49"/>
      <c r="H527" s="49"/>
      <c r="I527" s="49"/>
      <c r="J527" s="49"/>
      <c r="K527" s="49"/>
      <c r="L527" s="49"/>
      <c r="M527" s="49"/>
      <c r="N527" s="49"/>
      <c r="O527" s="49"/>
      <c r="P527" s="49"/>
      <c r="Q527" s="49"/>
      <c r="R527" s="49"/>
      <c r="S527" s="49"/>
      <c r="T527" s="49"/>
      <c r="U527" s="49"/>
      <c r="V527" s="49"/>
      <c r="W527" s="49"/>
      <c r="X527" s="49"/>
      <c r="Y527" s="49"/>
      <c r="Z527" s="49"/>
    </row>
    <row r="528" spans="1:26" ht="13">
      <c r="A528" s="49"/>
      <c r="B528" s="49"/>
      <c r="C528" s="49"/>
      <c r="D528" s="49"/>
      <c r="E528" s="49"/>
      <c r="F528" s="49"/>
      <c r="G528" s="49"/>
      <c r="H528" s="49"/>
      <c r="I528" s="49"/>
      <c r="J528" s="49"/>
      <c r="K528" s="49"/>
      <c r="L528" s="49"/>
      <c r="M528" s="49"/>
      <c r="N528" s="49"/>
      <c r="O528" s="49"/>
      <c r="P528" s="49"/>
      <c r="Q528" s="49"/>
      <c r="R528" s="49"/>
      <c r="S528" s="49"/>
      <c r="T528" s="49"/>
      <c r="U528" s="49"/>
      <c r="V528" s="49"/>
      <c r="W528" s="49"/>
      <c r="X528" s="49"/>
      <c r="Y528" s="49"/>
      <c r="Z528" s="49"/>
    </row>
    <row r="529" spans="1:26" ht="13">
      <c r="A529" s="49"/>
      <c r="B529" s="49"/>
      <c r="C529" s="49"/>
      <c r="D529" s="49"/>
      <c r="E529" s="49"/>
      <c r="F529" s="49"/>
      <c r="G529" s="49"/>
      <c r="H529" s="49"/>
      <c r="I529" s="49"/>
      <c r="J529" s="49"/>
      <c r="K529" s="49"/>
      <c r="L529" s="49"/>
      <c r="M529" s="49"/>
      <c r="N529" s="49"/>
      <c r="O529" s="49"/>
      <c r="P529" s="49"/>
      <c r="Q529" s="49"/>
      <c r="R529" s="49"/>
      <c r="S529" s="49"/>
      <c r="T529" s="49"/>
      <c r="U529" s="49"/>
      <c r="V529" s="49"/>
      <c r="W529" s="49"/>
      <c r="X529" s="49"/>
      <c r="Y529" s="49"/>
      <c r="Z529" s="49"/>
    </row>
    <row r="530" spans="1:26" ht="13">
      <c r="A530" s="49"/>
      <c r="B530" s="49"/>
      <c r="C530" s="49"/>
      <c r="D530" s="49"/>
      <c r="E530" s="49"/>
      <c r="F530" s="49"/>
      <c r="G530" s="49"/>
      <c r="H530" s="49"/>
      <c r="I530" s="49"/>
      <c r="J530" s="49"/>
      <c r="K530" s="49"/>
      <c r="L530" s="49"/>
      <c r="M530" s="49"/>
      <c r="N530" s="49"/>
      <c r="O530" s="49"/>
      <c r="P530" s="49"/>
      <c r="Q530" s="49"/>
      <c r="R530" s="49"/>
      <c r="S530" s="49"/>
      <c r="T530" s="49"/>
      <c r="U530" s="49"/>
      <c r="V530" s="49"/>
      <c r="W530" s="49"/>
      <c r="X530" s="49"/>
      <c r="Y530" s="49"/>
      <c r="Z530" s="49"/>
    </row>
    <row r="531" spans="1:26" ht="13">
      <c r="A531" s="49"/>
      <c r="B531" s="49"/>
      <c r="C531" s="49"/>
      <c r="D531" s="49"/>
      <c r="E531" s="49"/>
      <c r="F531" s="49"/>
      <c r="G531" s="49"/>
      <c r="H531" s="49"/>
      <c r="I531" s="49"/>
      <c r="J531" s="49"/>
      <c r="K531" s="49"/>
      <c r="L531" s="49"/>
      <c r="M531" s="49"/>
      <c r="N531" s="49"/>
      <c r="O531" s="49"/>
      <c r="P531" s="49"/>
      <c r="Q531" s="49"/>
      <c r="R531" s="49"/>
      <c r="S531" s="49"/>
      <c r="T531" s="49"/>
      <c r="U531" s="49"/>
      <c r="V531" s="49"/>
      <c r="W531" s="49"/>
      <c r="X531" s="49"/>
      <c r="Y531" s="49"/>
      <c r="Z531" s="49"/>
    </row>
    <row r="532" spans="1:26" ht="13">
      <c r="A532" s="49"/>
      <c r="B532" s="49"/>
      <c r="C532" s="49"/>
      <c r="D532" s="49"/>
      <c r="E532" s="49"/>
      <c r="F532" s="49"/>
      <c r="G532" s="49"/>
      <c r="H532" s="49"/>
      <c r="I532" s="49"/>
      <c r="J532" s="49"/>
      <c r="K532" s="49"/>
      <c r="L532" s="49"/>
      <c r="M532" s="49"/>
      <c r="N532" s="49"/>
      <c r="O532" s="49"/>
      <c r="P532" s="49"/>
      <c r="Q532" s="49"/>
      <c r="R532" s="49"/>
      <c r="S532" s="49"/>
      <c r="T532" s="49"/>
      <c r="U532" s="49"/>
      <c r="V532" s="49"/>
      <c r="W532" s="49"/>
      <c r="X532" s="49"/>
      <c r="Y532" s="49"/>
      <c r="Z532" s="49"/>
    </row>
    <row r="533" spans="1:26" ht="13">
      <c r="A533" s="49"/>
      <c r="B533" s="49"/>
      <c r="C533" s="49"/>
      <c r="D533" s="49"/>
      <c r="E533" s="49"/>
      <c r="F533" s="49"/>
      <c r="G533" s="49"/>
      <c r="H533" s="49"/>
      <c r="I533" s="49"/>
      <c r="J533" s="49"/>
      <c r="K533" s="49"/>
      <c r="L533" s="49"/>
      <c r="M533" s="49"/>
      <c r="N533" s="49"/>
      <c r="O533" s="49"/>
      <c r="P533" s="49"/>
      <c r="Q533" s="49"/>
      <c r="R533" s="49"/>
      <c r="S533" s="49"/>
      <c r="T533" s="49"/>
      <c r="U533" s="49"/>
      <c r="V533" s="49"/>
      <c r="W533" s="49"/>
      <c r="X533" s="49"/>
      <c r="Y533" s="49"/>
      <c r="Z533" s="49"/>
    </row>
    <row r="534" spans="1:26" ht="13">
      <c r="A534" s="49"/>
      <c r="B534" s="49"/>
      <c r="C534" s="49"/>
      <c r="D534" s="49"/>
      <c r="E534" s="49"/>
      <c r="F534" s="49"/>
      <c r="G534" s="49"/>
      <c r="H534" s="49"/>
      <c r="I534" s="49"/>
      <c r="J534" s="49"/>
      <c r="K534" s="49"/>
      <c r="L534" s="49"/>
      <c r="M534" s="49"/>
      <c r="N534" s="49"/>
      <c r="O534" s="49"/>
      <c r="P534" s="49"/>
      <c r="Q534" s="49"/>
      <c r="R534" s="49"/>
      <c r="S534" s="49"/>
      <c r="T534" s="49"/>
      <c r="U534" s="49"/>
      <c r="V534" s="49"/>
      <c r="W534" s="49"/>
      <c r="X534" s="49"/>
      <c r="Y534" s="49"/>
      <c r="Z534" s="49"/>
    </row>
    <row r="535" spans="1:26" ht="13">
      <c r="A535" s="49"/>
      <c r="B535" s="49"/>
      <c r="C535" s="49"/>
      <c r="D535" s="49"/>
      <c r="E535" s="49"/>
      <c r="F535" s="49"/>
      <c r="G535" s="49"/>
      <c r="H535" s="49"/>
      <c r="I535" s="49"/>
      <c r="J535" s="49"/>
      <c r="K535" s="49"/>
      <c r="L535" s="49"/>
      <c r="M535" s="49"/>
      <c r="N535" s="49"/>
      <c r="O535" s="49"/>
      <c r="P535" s="49"/>
      <c r="Q535" s="49"/>
      <c r="R535" s="49"/>
      <c r="S535" s="49"/>
      <c r="T535" s="49"/>
      <c r="U535" s="49"/>
      <c r="V535" s="49"/>
      <c r="W535" s="49"/>
      <c r="X535" s="49"/>
      <c r="Y535" s="49"/>
      <c r="Z535" s="49"/>
    </row>
    <row r="536" spans="1:26" ht="13">
      <c r="A536" s="49"/>
      <c r="B536" s="49"/>
      <c r="C536" s="49"/>
      <c r="D536" s="49"/>
      <c r="E536" s="49"/>
      <c r="F536" s="49"/>
      <c r="G536" s="49"/>
      <c r="H536" s="49"/>
      <c r="I536" s="49"/>
      <c r="J536" s="49"/>
      <c r="K536" s="49"/>
      <c r="L536" s="49"/>
      <c r="M536" s="49"/>
      <c r="N536" s="49"/>
      <c r="O536" s="49"/>
      <c r="P536" s="49"/>
      <c r="Q536" s="49"/>
      <c r="R536" s="49"/>
      <c r="S536" s="49"/>
      <c r="T536" s="49"/>
      <c r="U536" s="49"/>
      <c r="V536" s="49"/>
      <c r="W536" s="49"/>
      <c r="X536" s="49"/>
      <c r="Y536" s="49"/>
      <c r="Z536" s="49"/>
    </row>
    <row r="537" spans="1:26" ht="13">
      <c r="A537" s="49"/>
      <c r="B537" s="49"/>
      <c r="C537" s="49"/>
      <c r="D537" s="49"/>
      <c r="E537" s="49"/>
      <c r="F537" s="49"/>
      <c r="G537" s="49"/>
      <c r="H537" s="49"/>
      <c r="I537" s="49"/>
      <c r="J537" s="49"/>
      <c r="K537" s="49"/>
      <c r="L537" s="49"/>
      <c r="M537" s="49"/>
      <c r="N537" s="49"/>
      <c r="O537" s="49"/>
      <c r="P537" s="49"/>
      <c r="Q537" s="49"/>
      <c r="R537" s="49"/>
      <c r="S537" s="49"/>
      <c r="T537" s="49"/>
      <c r="U537" s="49"/>
      <c r="V537" s="49"/>
      <c r="W537" s="49"/>
      <c r="X537" s="49"/>
      <c r="Y537" s="49"/>
      <c r="Z537" s="49"/>
    </row>
    <row r="538" spans="1:26" ht="13">
      <c r="A538" s="49"/>
      <c r="B538" s="49"/>
      <c r="C538" s="49"/>
      <c r="D538" s="49"/>
      <c r="E538" s="49"/>
      <c r="F538" s="49"/>
      <c r="G538" s="49"/>
      <c r="H538" s="49"/>
      <c r="I538" s="49"/>
      <c r="J538" s="49"/>
      <c r="K538" s="49"/>
      <c r="L538" s="49"/>
      <c r="M538" s="49"/>
      <c r="N538" s="49"/>
      <c r="O538" s="49"/>
      <c r="P538" s="49"/>
      <c r="Q538" s="49"/>
      <c r="R538" s="49"/>
      <c r="S538" s="49"/>
      <c r="T538" s="49"/>
      <c r="U538" s="49"/>
      <c r="V538" s="49"/>
      <c r="W538" s="49"/>
      <c r="X538" s="49"/>
      <c r="Y538" s="49"/>
      <c r="Z538" s="49"/>
    </row>
    <row r="539" spans="1:26" ht="13">
      <c r="A539" s="49"/>
      <c r="B539" s="49"/>
      <c r="C539" s="49"/>
      <c r="D539" s="49"/>
      <c r="E539" s="49"/>
      <c r="F539" s="49"/>
      <c r="G539" s="49"/>
      <c r="H539" s="49"/>
      <c r="I539" s="49"/>
      <c r="J539" s="49"/>
      <c r="K539" s="49"/>
      <c r="L539" s="49"/>
      <c r="M539" s="49"/>
      <c r="N539" s="49"/>
      <c r="O539" s="49"/>
      <c r="P539" s="49"/>
      <c r="Q539" s="49"/>
      <c r="R539" s="49"/>
      <c r="S539" s="49"/>
      <c r="T539" s="49"/>
      <c r="U539" s="49"/>
      <c r="V539" s="49"/>
      <c r="W539" s="49"/>
      <c r="X539" s="49"/>
      <c r="Y539" s="49"/>
      <c r="Z539" s="49"/>
    </row>
    <row r="540" spans="1:26" ht="13">
      <c r="A540" s="49"/>
      <c r="B540" s="49"/>
      <c r="C540" s="49"/>
      <c r="D540" s="49"/>
      <c r="E540" s="49"/>
      <c r="F540" s="49"/>
      <c r="G540" s="49"/>
      <c r="H540" s="49"/>
      <c r="I540" s="49"/>
      <c r="J540" s="49"/>
      <c r="K540" s="49"/>
      <c r="L540" s="49"/>
      <c r="M540" s="49"/>
      <c r="N540" s="49"/>
      <c r="O540" s="49"/>
      <c r="P540" s="49"/>
      <c r="Q540" s="49"/>
      <c r="R540" s="49"/>
      <c r="S540" s="49"/>
      <c r="T540" s="49"/>
      <c r="U540" s="49"/>
      <c r="V540" s="49"/>
      <c r="W540" s="49"/>
      <c r="X540" s="49"/>
      <c r="Y540" s="49"/>
      <c r="Z540" s="49"/>
    </row>
    <row r="541" spans="1:26" ht="13">
      <c r="A541" s="49"/>
      <c r="B541" s="49"/>
      <c r="C541" s="49"/>
      <c r="D541" s="49"/>
      <c r="E541" s="49"/>
      <c r="F541" s="49"/>
      <c r="G541" s="49"/>
      <c r="H541" s="49"/>
      <c r="I541" s="49"/>
      <c r="J541" s="49"/>
      <c r="K541" s="49"/>
      <c r="L541" s="49"/>
      <c r="M541" s="49"/>
      <c r="N541" s="49"/>
      <c r="O541" s="49"/>
      <c r="P541" s="49"/>
      <c r="Q541" s="49"/>
      <c r="R541" s="49"/>
      <c r="S541" s="49"/>
      <c r="T541" s="49"/>
      <c r="U541" s="49"/>
      <c r="V541" s="49"/>
      <c r="W541" s="49"/>
      <c r="X541" s="49"/>
      <c r="Y541" s="49"/>
      <c r="Z541" s="49"/>
    </row>
    <row r="542" spans="1:26" ht="13">
      <c r="A542" s="49"/>
      <c r="B542" s="49"/>
      <c r="C542" s="49"/>
      <c r="D542" s="49"/>
      <c r="E542" s="49"/>
      <c r="F542" s="49"/>
      <c r="G542" s="49"/>
      <c r="H542" s="49"/>
      <c r="I542" s="49"/>
      <c r="J542" s="49"/>
      <c r="K542" s="49"/>
      <c r="L542" s="49"/>
      <c r="M542" s="49"/>
      <c r="N542" s="49"/>
      <c r="O542" s="49"/>
      <c r="P542" s="49"/>
      <c r="Q542" s="49"/>
      <c r="R542" s="49"/>
      <c r="S542" s="49"/>
      <c r="T542" s="49"/>
      <c r="U542" s="49"/>
      <c r="V542" s="49"/>
      <c r="W542" s="49"/>
      <c r="X542" s="49"/>
      <c r="Y542" s="49"/>
      <c r="Z542" s="49"/>
    </row>
    <row r="543" spans="1:26" ht="13">
      <c r="A543" s="49"/>
      <c r="B543" s="49"/>
      <c r="C543" s="49"/>
      <c r="D543" s="49"/>
      <c r="E543" s="49"/>
      <c r="F543" s="49"/>
      <c r="G543" s="49"/>
      <c r="H543" s="49"/>
      <c r="I543" s="49"/>
      <c r="J543" s="49"/>
      <c r="K543" s="49"/>
      <c r="L543" s="49"/>
      <c r="M543" s="49"/>
      <c r="N543" s="49"/>
      <c r="O543" s="49"/>
      <c r="P543" s="49"/>
      <c r="Q543" s="49"/>
      <c r="R543" s="49"/>
      <c r="S543" s="49"/>
      <c r="T543" s="49"/>
      <c r="U543" s="49"/>
      <c r="V543" s="49"/>
      <c r="W543" s="49"/>
      <c r="X543" s="49"/>
      <c r="Y543" s="49"/>
      <c r="Z543" s="49"/>
    </row>
    <row r="544" spans="1:26" ht="13">
      <c r="A544" s="49"/>
      <c r="B544" s="49"/>
      <c r="C544" s="49"/>
      <c r="D544" s="49"/>
      <c r="E544" s="49"/>
      <c r="F544" s="49"/>
      <c r="G544" s="49"/>
      <c r="H544" s="49"/>
      <c r="I544" s="49"/>
      <c r="J544" s="49"/>
      <c r="K544" s="49"/>
      <c r="L544" s="49"/>
      <c r="M544" s="49"/>
      <c r="N544" s="49"/>
      <c r="O544" s="49"/>
      <c r="P544" s="49"/>
      <c r="Q544" s="49"/>
      <c r="R544" s="49"/>
      <c r="S544" s="49"/>
      <c r="T544" s="49"/>
      <c r="U544" s="49"/>
      <c r="V544" s="49"/>
      <c r="W544" s="49"/>
      <c r="X544" s="49"/>
      <c r="Y544" s="49"/>
      <c r="Z544" s="49"/>
    </row>
    <row r="545" spans="1:26" ht="13">
      <c r="A545" s="49"/>
      <c r="B545" s="49"/>
      <c r="C545" s="49"/>
      <c r="D545" s="49"/>
      <c r="E545" s="49"/>
      <c r="F545" s="49"/>
      <c r="G545" s="49"/>
      <c r="H545" s="49"/>
      <c r="I545" s="49"/>
      <c r="J545" s="49"/>
      <c r="K545" s="49"/>
      <c r="L545" s="49"/>
      <c r="M545" s="49"/>
      <c r="N545" s="49"/>
      <c r="O545" s="49"/>
      <c r="P545" s="49"/>
      <c r="Q545" s="49"/>
      <c r="R545" s="49"/>
      <c r="S545" s="49"/>
      <c r="T545" s="49"/>
      <c r="U545" s="49"/>
      <c r="V545" s="49"/>
      <c r="W545" s="49"/>
      <c r="X545" s="49"/>
      <c r="Y545" s="49"/>
      <c r="Z545" s="49"/>
    </row>
    <row r="546" spans="1:26" ht="13">
      <c r="A546" s="49"/>
      <c r="B546" s="49"/>
      <c r="C546" s="49"/>
      <c r="D546" s="49"/>
      <c r="E546" s="49"/>
      <c r="F546" s="49"/>
      <c r="G546" s="49"/>
      <c r="H546" s="49"/>
      <c r="I546" s="49"/>
      <c r="J546" s="49"/>
      <c r="K546" s="49"/>
      <c r="L546" s="49"/>
      <c r="M546" s="49"/>
      <c r="N546" s="49"/>
      <c r="O546" s="49"/>
      <c r="P546" s="49"/>
      <c r="Q546" s="49"/>
      <c r="R546" s="49"/>
      <c r="S546" s="49"/>
      <c r="T546" s="49"/>
      <c r="U546" s="49"/>
      <c r="V546" s="49"/>
      <c r="W546" s="49"/>
      <c r="X546" s="49"/>
      <c r="Y546" s="49"/>
      <c r="Z546" s="49"/>
    </row>
    <row r="547" spans="1:26" ht="13">
      <c r="A547" s="49"/>
      <c r="B547" s="49"/>
      <c r="C547" s="49"/>
      <c r="D547" s="49"/>
      <c r="E547" s="49"/>
      <c r="F547" s="49"/>
      <c r="G547" s="49"/>
      <c r="H547" s="49"/>
      <c r="I547" s="49"/>
      <c r="J547" s="49"/>
      <c r="K547" s="49"/>
      <c r="L547" s="49"/>
      <c r="M547" s="49"/>
      <c r="N547" s="49"/>
      <c r="O547" s="49"/>
      <c r="P547" s="49"/>
      <c r="Q547" s="49"/>
      <c r="R547" s="49"/>
      <c r="S547" s="49"/>
      <c r="T547" s="49"/>
      <c r="U547" s="49"/>
      <c r="V547" s="49"/>
      <c r="W547" s="49"/>
      <c r="X547" s="49"/>
      <c r="Y547" s="49"/>
      <c r="Z547" s="49"/>
    </row>
    <row r="548" spans="1:26" ht="13">
      <c r="A548" s="49"/>
      <c r="B548" s="49"/>
      <c r="C548" s="49"/>
      <c r="D548" s="49"/>
      <c r="E548" s="49"/>
      <c r="F548" s="49"/>
      <c r="G548" s="49"/>
      <c r="H548" s="49"/>
      <c r="I548" s="49"/>
      <c r="J548" s="49"/>
      <c r="K548" s="49"/>
      <c r="L548" s="49"/>
      <c r="M548" s="49"/>
      <c r="N548" s="49"/>
      <c r="O548" s="49"/>
      <c r="P548" s="49"/>
      <c r="Q548" s="49"/>
      <c r="R548" s="49"/>
      <c r="S548" s="49"/>
      <c r="T548" s="49"/>
      <c r="U548" s="49"/>
      <c r="V548" s="49"/>
      <c r="W548" s="49"/>
      <c r="X548" s="49"/>
      <c r="Y548" s="49"/>
      <c r="Z548" s="49"/>
    </row>
    <row r="549" spans="1:26" ht="13">
      <c r="A549" s="49"/>
      <c r="B549" s="49"/>
      <c r="C549" s="49"/>
      <c r="D549" s="49"/>
      <c r="E549" s="49"/>
      <c r="F549" s="49"/>
      <c r="G549" s="49"/>
      <c r="H549" s="49"/>
      <c r="I549" s="49"/>
      <c r="J549" s="49"/>
      <c r="K549" s="49"/>
      <c r="L549" s="49"/>
      <c r="M549" s="49"/>
      <c r="N549" s="49"/>
      <c r="O549" s="49"/>
      <c r="P549" s="49"/>
      <c r="Q549" s="49"/>
      <c r="R549" s="49"/>
      <c r="S549" s="49"/>
      <c r="T549" s="49"/>
      <c r="U549" s="49"/>
      <c r="V549" s="49"/>
      <c r="W549" s="49"/>
      <c r="X549" s="49"/>
      <c r="Y549" s="49"/>
      <c r="Z549" s="49"/>
    </row>
    <row r="550" spans="1:26" ht="13">
      <c r="A550" s="49"/>
      <c r="B550" s="49"/>
      <c r="C550" s="49"/>
      <c r="D550" s="49"/>
      <c r="E550" s="49"/>
      <c r="F550" s="49"/>
      <c r="G550" s="49"/>
      <c r="H550" s="49"/>
      <c r="I550" s="49"/>
      <c r="J550" s="49"/>
      <c r="K550" s="49"/>
      <c r="L550" s="49"/>
      <c r="M550" s="49"/>
      <c r="N550" s="49"/>
      <c r="O550" s="49"/>
      <c r="P550" s="49"/>
      <c r="Q550" s="49"/>
      <c r="R550" s="49"/>
      <c r="S550" s="49"/>
      <c r="T550" s="49"/>
      <c r="U550" s="49"/>
      <c r="V550" s="49"/>
      <c r="W550" s="49"/>
      <c r="X550" s="49"/>
      <c r="Y550" s="49"/>
      <c r="Z550" s="49"/>
    </row>
    <row r="551" spans="1:26" ht="13">
      <c r="A551" s="49"/>
      <c r="B551" s="49"/>
      <c r="C551" s="49"/>
      <c r="D551" s="49"/>
      <c r="E551" s="49"/>
      <c r="F551" s="49"/>
      <c r="G551" s="49"/>
      <c r="H551" s="49"/>
      <c r="I551" s="49"/>
      <c r="J551" s="49"/>
      <c r="K551" s="49"/>
      <c r="L551" s="49"/>
      <c r="M551" s="49"/>
      <c r="N551" s="49"/>
      <c r="O551" s="49"/>
      <c r="P551" s="49"/>
      <c r="Q551" s="49"/>
      <c r="R551" s="49"/>
      <c r="S551" s="49"/>
      <c r="T551" s="49"/>
      <c r="U551" s="49"/>
      <c r="V551" s="49"/>
      <c r="W551" s="49"/>
      <c r="X551" s="49"/>
      <c r="Y551" s="49"/>
      <c r="Z551" s="49"/>
    </row>
    <row r="552" spans="1:26" ht="13">
      <c r="A552" s="49"/>
      <c r="B552" s="49"/>
      <c r="C552" s="49"/>
      <c r="D552" s="49"/>
      <c r="E552" s="49"/>
      <c r="F552" s="49"/>
      <c r="G552" s="49"/>
      <c r="H552" s="49"/>
      <c r="I552" s="49"/>
      <c r="J552" s="49"/>
      <c r="K552" s="49"/>
      <c r="L552" s="49"/>
      <c r="M552" s="49"/>
      <c r="N552" s="49"/>
      <c r="O552" s="49"/>
      <c r="P552" s="49"/>
      <c r="Q552" s="49"/>
      <c r="R552" s="49"/>
      <c r="S552" s="49"/>
      <c r="T552" s="49"/>
      <c r="U552" s="49"/>
      <c r="V552" s="49"/>
      <c r="W552" s="49"/>
      <c r="X552" s="49"/>
      <c r="Y552" s="49"/>
      <c r="Z552" s="49"/>
    </row>
    <row r="553" spans="1:26" ht="13">
      <c r="A553" s="49"/>
      <c r="B553" s="49"/>
      <c r="C553" s="49"/>
      <c r="D553" s="49"/>
      <c r="E553" s="49"/>
      <c r="F553" s="49"/>
      <c r="G553" s="49"/>
      <c r="H553" s="49"/>
      <c r="I553" s="49"/>
      <c r="J553" s="49"/>
      <c r="K553" s="49"/>
      <c r="L553" s="49"/>
      <c r="M553" s="49"/>
      <c r="N553" s="49"/>
      <c r="O553" s="49"/>
      <c r="P553" s="49"/>
      <c r="Q553" s="49"/>
      <c r="R553" s="49"/>
      <c r="S553" s="49"/>
      <c r="T553" s="49"/>
      <c r="U553" s="49"/>
      <c r="V553" s="49"/>
      <c r="W553" s="49"/>
      <c r="X553" s="49"/>
      <c r="Y553" s="49"/>
      <c r="Z553" s="49"/>
    </row>
    <row r="554" spans="1:26" ht="13">
      <c r="A554" s="49"/>
      <c r="B554" s="49"/>
      <c r="C554" s="49"/>
      <c r="D554" s="49"/>
      <c r="E554" s="49"/>
      <c r="F554" s="49"/>
      <c r="G554" s="49"/>
      <c r="H554" s="49"/>
      <c r="I554" s="49"/>
      <c r="J554" s="49"/>
      <c r="K554" s="49"/>
      <c r="L554" s="49"/>
      <c r="M554" s="49"/>
      <c r="N554" s="49"/>
      <c r="O554" s="49"/>
      <c r="P554" s="49"/>
      <c r="Q554" s="49"/>
      <c r="R554" s="49"/>
      <c r="S554" s="49"/>
      <c r="T554" s="49"/>
      <c r="U554" s="49"/>
      <c r="V554" s="49"/>
      <c r="W554" s="49"/>
      <c r="X554" s="49"/>
      <c r="Y554" s="49"/>
      <c r="Z554" s="49"/>
    </row>
    <row r="555" spans="1:26" ht="13">
      <c r="A555" s="49"/>
      <c r="B555" s="49"/>
      <c r="C555" s="49"/>
      <c r="D555" s="49"/>
      <c r="E555" s="49"/>
      <c r="F555" s="49"/>
      <c r="G555" s="49"/>
      <c r="H555" s="49"/>
      <c r="I555" s="49"/>
      <c r="J555" s="49"/>
      <c r="K555" s="49"/>
      <c r="L555" s="49"/>
      <c r="M555" s="49"/>
      <c r="N555" s="49"/>
      <c r="O555" s="49"/>
      <c r="P555" s="49"/>
      <c r="Q555" s="49"/>
      <c r="R555" s="49"/>
      <c r="S555" s="49"/>
      <c r="T555" s="49"/>
      <c r="U555" s="49"/>
      <c r="V555" s="49"/>
      <c r="W555" s="49"/>
      <c r="X555" s="49"/>
      <c r="Y555" s="49"/>
      <c r="Z555" s="49"/>
    </row>
    <row r="556" spans="1:26" ht="13">
      <c r="A556" s="49"/>
      <c r="B556" s="49"/>
      <c r="C556" s="49"/>
      <c r="D556" s="49"/>
      <c r="E556" s="49"/>
      <c r="F556" s="49"/>
      <c r="G556" s="49"/>
      <c r="H556" s="49"/>
      <c r="I556" s="49"/>
      <c r="J556" s="49"/>
      <c r="K556" s="49"/>
      <c r="L556" s="49"/>
      <c r="M556" s="49"/>
      <c r="N556" s="49"/>
      <c r="O556" s="49"/>
      <c r="P556" s="49"/>
      <c r="Q556" s="49"/>
      <c r="R556" s="49"/>
      <c r="S556" s="49"/>
      <c r="T556" s="49"/>
      <c r="U556" s="49"/>
      <c r="V556" s="49"/>
      <c r="W556" s="49"/>
      <c r="X556" s="49"/>
      <c r="Y556" s="49"/>
      <c r="Z556" s="49"/>
    </row>
    <row r="557" spans="1:26" ht="13">
      <c r="A557" s="49"/>
      <c r="B557" s="49"/>
      <c r="C557" s="49"/>
      <c r="D557" s="49"/>
      <c r="E557" s="49"/>
      <c r="F557" s="49"/>
      <c r="G557" s="49"/>
      <c r="H557" s="49"/>
      <c r="I557" s="49"/>
      <c r="J557" s="49"/>
      <c r="K557" s="49"/>
      <c r="L557" s="49"/>
      <c r="M557" s="49"/>
      <c r="N557" s="49"/>
      <c r="O557" s="49"/>
      <c r="P557" s="49"/>
      <c r="Q557" s="49"/>
      <c r="R557" s="49"/>
      <c r="S557" s="49"/>
      <c r="T557" s="49"/>
      <c r="U557" s="49"/>
      <c r="V557" s="49"/>
      <c r="W557" s="49"/>
      <c r="X557" s="49"/>
      <c r="Y557" s="49"/>
      <c r="Z557" s="49"/>
    </row>
    <row r="558" spans="1:26" ht="13">
      <c r="A558" s="49"/>
      <c r="B558" s="49"/>
      <c r="C558" s="49"/>
      <c r="D558" s="49"/>
      <c r="E558" s="49"/>
      <c r="F558" s="49"/>
      <c r="G558" s="49"/>
      <c r="H558" s="49"/>
      <c r="I558" s="49"/>
      <c r="J558" s="49"/>
      <c r="K558" s="49"/>
      <c r="L558" s="49"/>
      <c r="M558" s="49"/>
      <c r="N558" s="49"/>
      <c r="O558" s="49"/>
      <c r="P558" s="49"/>
      <c r="Q558" s="49"/>
      <c r="R558" s="49"/>
      <c r="S558" s="49"/>
      <c r="T558" s="49"/>
      <c r="U558" s="49"/>
      <c r="V558" s="49"/>
      <c r="W558" s="49"/>
      <c r="X558" s="49"/>
      <c r="Y558" s="49"/>
      <c r="Z558" s="49"/>
    </row>
    <row r="559" spans="1:26" ht="13">
      <c r="A559" s="49"/>
      <c r="B559" s="49"/>
      <c r="C559" s="49"/>
      <c r="D559" s="49"/>
      <c r="E559" s="49"/>
      <c r="F559" s="49"/>
      <c r="G559" s="49"/>
      <c r="H559" s="49"/>
      <c r="I559" s="49"/>
      <c r="J559" s="49"/>
      <c r="K559" s="49"/>
      <c r="L559" s="49"/>
      <c r="M559" s="49"/>
      <c r="N559" s="49"/>
      <c r="O559" s="49"/>
      <c r="P559" s="49"/>
      <c r="Q559" s="49"/>
      <c r="R559" s="49"/>
      <c r="S559" s="49"/>
      <c r="T559" s="49"/>
      <c r="U559" s="49"/>
      <c r="V559" s="49"/>
      <c r="W559" s="49"/>
      <c r="X559" s="49"/>
      <c r="Y559" s="49"/>
      <c r="Z559" s="49"/>
    </row>
    <row r="560" spans="1:26" ht="13">
      <c r="A560" s="49"/>
      <c r="B560" s="49"/>
      <c r="C560" s="49"/>
      <c r="D560" s="49"/>
      <c r="E560" s="49"/>
      <c r="F560" s="49"/>
      <c r="G560" s="49"/>
      <c r="H560" s="49"/>
      <c r="I560" s="49"/>
      <c r="J560" s="49"/>
      <c r="K560" s="49"/>
      <c r="L560" s="49"/>
      <c r="M560" s="49"/>
      <c r="N560" s="49"/>
      <c r="O560" s="49"/>
      <c r="P560" s="49"/>
      <c r="Q560" s="49"/>
      <c r="R560" s="49"/>
      <c r="S560" s="49"/>
      <c r="T560" s="49"/>
      <c r="U560" s="49"/>
      <c r="V560" s="49"/>
      <c r="W560" s="49"/>
      <c r="X560" s="49"/>
      <c r="Y560" s="49"/>
      <c r="Z560" s="49"/>
    </row>
    <row r="561" spans="1:26" ht="13">
      <c r="A561" s="49"/>
      <c r="B561" s="49"/>
      <c r="C561" s="49"/>
      <c r="D561" s="49"/>
      <c r="E561" s="49"/>
      <c r="F561" s="49"/>
      <c r="G561" s="49"/>
      <c r="H561" s="49"/>
      <c r="I561" s="49"/>
      <c r="J561" s="49"/>
      <c r="K561" s="49"/>
      <c r="L561" s="49"/>
      <c r="M561" s="49"/>
      <c r="N561" s="49"/>
      <c r="O561" s="49"/>
      <c r="P561" s="49"/>
      <c r="Q561" s="49"/>
      <c r="R561" s="49"/>
      <c r="S561" s="49"/>
      <c r="T561" s="49"/>
      <c r="U561" s="49"/>
      <c r="V561" s="49"/>
      <c r="W561" s="49"/>
      <c r="X561" s="49"/>
      <c r="Y561" s="49"/>
      <c r="Z561" s="49"/>
    </row>
    <row r="562" spans="1:26" ht="13">
      <c r="A562" s="49"/>
      <c r="B562" s="49"/>
      <c r="C562" s="49"/>
      <c r="D562" s="49"/>
      <c r="E562" s="49"/>
      <c r="F562" s="49"/>
      <c r="G562" s="49"/>
      <c r="H562" s="49"/>
      <c r="I562" s="49"/>
      <c r="J562" s="49"/>
      <c r="K562" s="49"/>
      <c r="L562" s="49"/>
      <c r="M562" s="49"/>
      <c r="N562" s="49"/>
      <c r="O562" s="49"/>
      <c r="P562" s="49"/>
      <c r="Q562" s="49"/>
      <c r="R562" s="49"/>
      <c r="S562" s="49"/>
      <c r="T562" s="49"/>
      <c r="U562" s="49"/>
      <c r="V562" s="49"/>
      <c r="W562" s="49"/>
      <c r="X562" s="49"/>
      <c r="Y562" s="49"/>
      <c r="Z562" s="49"/>
    </row>
    <row r="563" spans="1:26" ht="13">
      <c r="A563" s="49"/>
      <c r="B563" s="49"/>
      <c r="C563" s="49"/>
      <c r="D563" s="49"/>
      <c r="E563" s="49"/>
      <c r="F563" s="49"/>
      <c r="G563" s="49"/>
      <c r="H563" s="49"/>
      <c r="I563" s="49"/>
      <c r="J563" s="49"/>
      <c r="K563" s="49"/>
      <c r="L563" s="49"/>
      <c r="M563" s="49"/>
      <c r="N563" s="49"/>
      <c r="O563" s="49"/>
      <c r="P563" s="49"/>
      <c r="Q563" s="49"/>
      <c r="R563" s="49"/>
      <c r="S563" s="49"/>
      <c r="T563" s="49"/>
      <c r="U563" s="49"/>
      <c r="V563" s="49"/>
      <c r="W563" s="49"/>
      <c r="X563" s="49"/>
      <c r="Y563" s="49"/>
      <c r="Z563" s="49"/>
    </row>
    <row r="564" spans="1:26" ht="13">
      <c r="A564" s="49"/>
      <c r="B564" s="49"/>
      <c r="C564" s="49"/>
      <c r="D564" s="49"/>
      <c r="E564" s="49"/>
      <c r="F564" s="49"/>
      <c r="G564" s="49"/>
      <c r="H564" s="49"/>
      <c r="I564" s="49"/>
      <c r="J564" s="49"/>
      <c r="K564" s="49"/>
      <c r="L564" s="49"/>
      <c r="M564" s="49"/>
      <c r="N564" s="49"/>
      <c r="O564" s="49"/>
      <c r="P564" s="49"/>
      <c r="Q564" s="49"/>
      <c r="R564" s="49"/>
      <c r="S564" s="49"/>
      <c r="T564" s="49"/>
      <c r="U564" s="49"/>
      <c r="V564" s="49"/>
      <c r="W564" s="49"/>
      <c r="X564" s="49"/>
      <c r="Y564" s="49"/>
      <c r="Z564" s="49"/>
    </row>
    <row r="565" spans="1:26" ht="13">
      <c r="A565" s="49"/>
      <c r="B565" s="49"/>
      <c r="C565" s="49"/>
      <c r="D565" s="49"/>
      <c r="E565" s="49"/>
      <c r="F565" s="49"/>
      <c r="G565" s="49"/>
      <c r="H565" s="49"/>
      <c r="I565" s="49"/>
      <c r="J565" s="49"/>
      <c r="K565" s="49"/>
      <c r="L565" s="49"/>
      <c r="M565" s="49"/>
      <c r="N565" s="49"/>
      <c r="O565" s="49"/>
      <c r="P565" s="49"/>
      <c r="Q565" s="49"/>
      <c r="R565" s="49"/>
      <c r="S565" s="49"/>
      <c r="T565" s="49"/>
      <c r="U565" s="49"/>
      <c r="V565" s="49"/>
      <c r="W565" s="49"/>
      <c r="X565" s="49"/>
      <c r="Y565" s="49"/>
      <c r="Z565" s="49"/>
    </row>
    <row r="566" spans="1:26" ht="13">
      <c r="A566" s="49"/>
      <c r="B566" s="49"/>
      <c r="C566" s="49"/>
      <c r="D566" s="49"/>
      <c r="E566" s="49"/>
      <c r="F566" s="49"/>
      <c r="G566" s="49"/>
      <c r="H566" s="49"/>
      <c r="I566" s="49"/>
      <c r="J566" s="49"/>
      <c r="K566" s="49"/>
      <c r="L566" s="49"/>
      <c r="M566" s="49"/>
      <c r="N566" s="49"/>
      <c r="O566" s="49"/>
      <c r="P566" s="49"/>
      <c r="Q566" s="49"/>
      <c r="R566" s="49"/>
      <c r="S566" s="49"/>
      <c r="T566" s="49"/>
      <c r="U566" s="49"/>
      <c r="V566" s="49"/>
      <c r="W566" s="49"/>
      <c r="X566" s="49"/>
      <c r="Y566" s="49"/>
      <c r="Z566" s="49"/>
    </row>
    <row r="567" spans="1:26" ht="13">
      <c r="A567" s="49"/>
      <c r="B567" s="49"/>
      <c r="C567" s="49"/>
      <c r="D567" s="49"/>
      <c r="E567" s="49"/>
      <c r="F567" s="49"/>
      <c r="G567" s="49"/>
      <c r="H567" s="49"/>
      <c r="I567" s="49"/>
      <c r="J567" s="49"/>
      <c r="K567" s="49"/>
      <c r="L567" s="49"/>
      <c r="M567" s="49"/>
      <c r="N567" s="49"/>
      <c r="O567" s="49"/>
      <c r="P567" s="49"/>
      <c r="Q567" s="49"/>
      <c r="R567" s="49"/>
      <c r="S567" s="49"/>
      <c r="T567" s="49"/>
      <c r="U567" s="49"/>
      <c r="V567" s="49"/>
      <c r="W567" s="49"/>
      <c r="X567" s="49"/>
      <c r="Y567" s="49"/>
      <c r="Z567" s="49"/>
    </row>
    <row r="568" spans="1:26" ht="13">
      <c r="A568" s="49"/>
      <c r="B568" s="49"/>
      <c r="C568" s="49"/>
      <c r="D568" s="49"/>
      <c r="E568" s="49"/>
      <c r="F568" s="49"/>
      <c r="G568" s="49"/>
      <c r="H568" s="49"/>
      <c r="I568" s="49"/>
      <c r="J568" s="49"/>
      <c r="K568" s="49"/>
      <c r="L568" s="49"/>
      <c r="M568" s="49"/>
      <c r="N568" s="49"/>
      <c r="O568" s="49"/>
      <c r="P568" s="49"/>
      <c r="Q568" s="49"/>
      <c r="R568" s="49"/>
      <c r="S568" s="49"/>
      <c r="T568" s="49"/>
      <c r="U568" s="49"/>
      <c r="V568" s="49"/>
      <c r="W568" s="49"/>
      <c r="X568" s="49"/>
      <c r="Y568" s="49"/>
      <c r="Z568" s="49"/>
    </row>
    <row r="569" spans="1:26" ht="13">
      <c r="A569" s="49"/>
      <c r="B569" s="49"/>
      <c r="C569" s="49"/>
      <c r="D569" s="49"/>
      <c r="E569" s="49"/>
      <c r="F569" s="49"/>
      <c r="G569" s="49"/>
      <c r="H569" s="49"/>
      <c r="I569" s="49"/>
      <c r="J569" s="49"/>
      <c r="K569" s="49"/>
      <c r="L569" s="49"/>
      <c r="M569" s="49"/>
      <c r="N569" s="49"/>
      <c r="O569" s="49"/>
      <c r="P569" s="49"/>
      <c r="Q569" s="49"/>
      <c r="R569" s="49"/>
      <c r="S569" s="49"/>
      <c r="T569" s="49"/>
      <c r="U569" s="49"/>
      <c r="V569" s="49"/>
      <c r="W569" s="49"/>
      <c r="X569" s="49"/>
      <c r="Y569" s="49"/>
      <c r="Z569" s="49"/>
    </row>
    <row r="570" spans="1:26" ht="13">
      <c r="A570" s="49"/>
      <c r="B570" s="49"/>
      <c r="C570" s="49"/>
      <c r="D570" s="49"/>
      <c r="E570" s="49"/>
      <c r="F570" s="49"/>
      <c r="G570" s="49"/>
      <c r="H570" s="49"/>
      <c r="I570" s="49"/>
      <c r="J570" s="49"/>
      <c r="K570" s="49"/>
      <c r="L570" s="49"/>
      <c r="M570" s="49"/>
      <c r="N570" s="49"/>
      <c r="O570" s="49"/>
      <c r="P570" s="49"/>
      <c r="Q570" s="49"/>
      <c r="R570" s="49"/>
      <c r="S570" s="49"/>
      <c r="T570" s="49"/>
      <c r="U570" s="49"/>
      <c r="V570" s="49"/>
      <c r="W570" s="49"/>
      <c r="X570" s="49"/>
      <c r="Y570" s="49"/>
      <c r="Z570" s="49"/>
    </row>
    <row r="571" spans="1:26" ht="13">
      <c r="A571" s="49"/>
      <c r="B571" s="49"/>
      <c r="C571" s="49"/>
      <c r="D571" s="49"/>
      <c r="E571" s="49"/>
      <c r="F571" s="49"/>
      <c r="G571" s="49"/>
      <c r="H571" s="49"/>
      <c r="I571" s="49"/>
      <c r="J571" s="49"/>
      <c r="K571" s="49"/>
      <c r="L571" s="49"/>
      <c r="M571" s="49"/>
      <c r="N571" s="49"/>
      <c r="O571" s="49"/>
      <c r="P571" s="49"/>
      <c r="Q571" s="49"/>
      <c r="R571" s="49"/>
      <c r="S571" s="49"/>
      <c r="T571" s="49"/>
      <c r="U571" s="49"/>
      <c r="V571" s="49"/>
      <c r="W571" s="49"/>
      <c r="X571" s="49"/>
      <c r="Y571" s="49"/>
      <c r="Z571" s="49"/>
    </row>
    <row r="572" spans="1:26" ht="13">
      <c r="A572" s="49"/>
      <c r="B572" s="49"/>
      <c r="C572" s="49"/>
      <c r="D572" s="49"/>
      <c r="E572" s="49"/>
      <c r="F572" s="49"/>
      <c r="G572" s="49"/>
      <c r="H572" s="49"/>
      <c r="I572" s="49"/>
      <c r="J572" s="49"/>
      <c r="K572" s="49"/>
      <c r="L572" s="49"/>
      <c r="M572" s="49"/>
      <c r="N572" s="49"/>
      <c r="O572" s="49"/>
      <c r="P572" s="49"/>
      <c r="Q572" s="49"/>
      <c r="R572" s="49"/>
      <c r="S572" s="49"/>
      <c r="T572" s="49"/>
      <c r="U572" s="49"/>
      <c r="V572" s="49"/>
      <c r="W572" s="49"/>
      <c r="X572" s="49"/>
      <c r="Y572" s="49"/>
      <c r="Z572" s="49"/>
    </row>
    <row r="573" spans="1:26" ht="13">
      <c r="A573" s="49"/>
      <c r="B573" s="49"/>
      <c r="C573" s="49"/>
      <c r="D573" s="49"/>
      <c r="E573" s="49"/>
      <c r="F573" s="49"/>
      <c r="G573" s="49"/>
      <c r="H573" s="49"/>
      <c r="I573" s="49"/>
      <c r="J573" s="49"/>
      <c r="K573" s="49"/>
      <c r="L573" s="49"/>
      <c r="M573" s="49"/>
      <c r="N573" s="49"/>
      <c r="O573" s="49"/>
      <c r="P573" s="49"/>
      <c r="Q573" s="49"/>
      <c r="R573" s="49"/>
      <c r="S573" s="49"/>
      <c r="T573" s="49"/>
      <c r="U573" s="49"/>
      <c r="V573" s="49"/>
      <c r="W573" s="49"/>
      <c r="X573" s="49"/>
      <c r="Y573" s="49"/>
      <c r="Z573" s="49"/>
    </row>
    <row r="574" spans="1:26" ht="13">
      <c r="A574" s="49"/>
      <c r="B574" s="49"/>
      <c r="C574" s="49"/>
      <c r="D574" s="49"/>
      <c r="E574" s="49"/>
      <c r="F574" s="49"/>
      <c r="G574" s="49"/>
      <c r="H574" s="49"/>
      <c r="I574" s="49"/>
      <c r="J574" s="49"/>
      <c r="K574" s="49"/>
      <c r="L574" s="49"/>
      <c r="M574" s="49"/>
      <c r="N574" s="49"/>
      <c r="O574" s="49"/>
      <c r="P574" s="49"/>
      <c r="Q574" s="49"/>
      <c r="R574" s="49"/>
      <c r="S574" s="49"/>
      <c r="T574" s="49"/>
      <c r="U574" s="49"/>
      <c r="V574" s="49"/>
      <c r="W574" s="49"/>
      <c r="X574" s="49"/>
      <c r="Y574" s="49"/>
      <c r="Z574" s="49"/>
    </row>
    <row r="575" spans="1:26" ht="13">
      <c r="A575" s="49"/>
      <c r="B575" s="49"/>
      <c r="C575" s="49"/>
      <c r="D575" s="49"/>
      <c r="E575" s="49"/>
      <c r="F575" s="49"/>
      <c r="G575" s="49"/>
      <c r="H575" s="49"/>
      <c r="I575" s="49"/>
      <c r="J575" s="49"/>
      <c r="K575" s="49"/>
      <c r="L575" s="49"/>
      <c r="M575" s="49"/>
      <c r="N575" s="49"/>
      <c r="O575" s="49"/>
      <c r="P575" s="49"/>
      <c r="Q575" s="49"/>
      <c r="R575" s="49"/>
      <c r="S575" s="49"/>
      <c r="T575" s="49"/>
      <c r="U575" s="49"/>
      <c r="V575" s="49"/>
      <c r="W575" s="49"/>
      <c r="X575" s="49"/>
      <c r="Y575" s="49"/>
      <c r="Z575" s="49"/>
    </row>
    <row r="576" spans="1:26" ht="13">
      <c r="A576" s="49"/>
      <c r="B576" s="49"/>
      <c r="C576" s="49"/>
      <c r="D576" s="49"/>
      <c r="E576" s="49"/>
      <c r="F576" s="49"/>
      <c r="G576" s="49"/>
      <c r="H576" s="49"/>
      <c r="I576" s="49"/>
      <c r="J576" s="49"/>
      <c r="K576" s="49"/>
      <c r="L576" s="49"/>
      <c r="M576" s="49"/>
      <c r="N576" s="49"/>
      <c r="O576" s="49"/>
      <c r="P576" s="49"/>
      <c r="Q576" s="49"/>
      <c r="R576" s="49"/>
      <c r="S576" s="49"/>
      <c r="T576" s="49"/>
      <c r="U576" s="49"/>
      <c r="V576" s="49"/>
      <c r="W576" s="49"/>
      <c r="X576" s="49"/>
      <c r="Y576" s="49"/>
      <c r="Z576" s="49"/>
    </row>
    <row r="577" spans="1:26" ht="13">
      <c r="A577" s="49"/>
      <c r="B577" s="49"/>
      <c r="C577" s="49"/>
      <c r="D577" s="49"/>
      <c r="E577" s="49"/>
      <c r="F577" s="49"/>
      <c r="G577" s="49"/>
      <c r="H577" s="49"/>
      <c r="I577" s="49"/>
      <c r="J577" s="49"/>
      <c r="K577" s="49"/>
      <c r="L577" s="49"/>
      <c r="M577" s="49"/>
      <c r="N577" s="49"/>
      <c r="O577" s="49"/>
      <c r="P577" s="49"/>
      <c r="Q577" s="49"/>
      <c r="R577" s="49"/>
      <c r="S577" s="49"/>
      <c r="T577" s="49"/>
      <c r="U577" s="49"/>
      <c r="V577" s="49"/>
      <c r="W577" s="49"/>
      <c r="X577" s="49"/>
      <c r="Y577" s="49"/>
      <c r="Z577" s="49"/>
    </row>
    <row r="578" spans="1:26" ht="13">
      <c r="A578" s="49"/>
      <c r="B578" s="49"/>
      <c r="C578" s="49"/>
      <c r="D578" s="49"/>
      <c r="E578" s="49"/>
      <c r="F578" s="49"/>
      <c r="G578" s="49"/>
      <c r="H578" s="49"/>
      <c r="I578" s="49"/>
      <c r="J578" s="49"/>
      <c r="K578" s="49"/>
      <c r="L578" s="49"/>
      <c r="M578" s="49"/>
      <c r="N578" s="49"/>
      <c r="O578" s="49"/>
      <c r="P578" s="49"/>
      <c r="Q578" s="49"/>
      <c r="R578" s="49"/>
      <c r="S578" s="49"/>
      <c r="T578" s="49"/>
      <c r="U578" s="49"/>
      <c r="V578" s="49"/>
      <c r="W578" s="49"/>
      <c r="X578" s="49"/>
      <c r="Y578" s="49"/>
      <c r="Z578" s="49"/>
    </row>
    <row r="579" spans="1:26" ht="13">
      <c r="A579" s="49"/>
      <c r="B579" s="49"/>
      <c r="C579" s="49"/>
      <c r="D579" s="49"/>
      <c r="E579" s="49"/>
      <c r="F579" s="49"/>
      <c r="G579" s="49"/>
      <c r="H579" s="49"/>
      <c r="I579" s="49"/>
      <c r="J579" s="49"/>
      <c r="K579" s="49"/>
      <c r="L579" s="49"/>
      <c r="M579" s="49"/>
      <c r="N579" s="49"/>
      <c r="O579" s="49"/>
      <c r="P579" s="49"/>
      <c r="Q579" s="49"/>
      <c r="R579" s="49"/>
      <c r="S579" s="49"/>
      <c r="T579" s="49"/>
      <c r="U579" s="49"/>
      <c r="V579" s="49"/>
      <c r="W579" s="49"/>
      <c r="X579" s="49"/>
      <c r="Y579" s="49"/>
      <c r="Z579" s="49"/>
    </row>
    <row r="580" spans="1:26" ht="13">
      <c r="A580" s="49"/>
      <c r="B580" s="49"/>
      <c r="C580" s="49"/>
      <c r="D580" s="49"/>
      <c r="E580" s="49"/>
      <c r="F580" s="49"/>
      <c r="G580" s="49"/>
      <c r="H580" s="49"/>
      <c r="I580" s="49"/>
      <c r="J580" s="49"/>
      <c r="K580" s="49"/>
      <c r="L580" s="49"/>
      <c r="M580" s="49"/>
      <c r="N580" s="49"/>
      <c r="O580" s="49"/>
      <c r="P580" s="49"/>
      <c r="Q580" s="49"/>
      <c r="R580" s="49"/>
      <c r="S580" s="49"/>
      <c r="T580" s="49"/>
      <c r="U580" s="49"/>
      <c r="V580" s="49"/>
      <c r="W580" s="49"/>
      <c r="X580" s="49"/>
      <c r="Y580" s="49"/>
      <c r="Z580" s="49"/>
    </row>
    <row r="581" spans="1:26" ht="13">
      <c r="A581" s="49"/>
      <c r="B581" s="49"/>
      <c r="C581" s="49"/>
      <c r="D581" s="49"/>
      <c r="E581" s="49"/>
      <c r="F581" s="49"/>
      <c r="G581" s="49"/>
      <c r="H581" s="49"/>
      <c r="I581" s="49"/>
      <c r="J581" s="49"/>
      <c r="K581" s="49"/>
      <c r="L581" s="49"/>
      <c r="M581" s="49"/>
      <c r="N581" s="49"/>
      <c r="O581" s="49"/>
      <c r="P581" s="49"/>
      <c r="Q581" s="49"/>
      <c r="R581" s="49"/>
      <c r="S581" s="49"/>
      <c r="T581" s="49"/>
      <c r="U581" s="49"/>
      <c r="V581" s="49"/>
      <c r="W581" s="49"/>
      <c r="X581" s="49"/>
      <c r="Y581" s="49"/>
      <c r="Z581" s="49"/>
    </row>
    <row r="582" spans="1:26" ht="13">
      <c r="A582" s="49"/>
      <c r="B582" s="49"/>
      <c r="C582" s="49"/>
      <c r="D582" s="49"/>
      <c r="E582" s="49"/>
      <c r="F582" s="49"/>
      <c r="G582" s="49"/>
      <c r="H582" s="49"/>
      <c r="I582" s="49"/>
      <c r="J582" s="49"/>
      <c r="K582" s="49"/>
      <c r="L582" s="49"/>
      <c r="M582" s="49"/>
      <c r="N582" s="49"/>
      <c r="O582" s="49"/>
      <c r="P582" s="49"/>
      <c r="Q582" s="49"/>
      <c r="R582" s="49"/>
      <c r="S582" s="49"/>
      <c r="T582" s="49"/>
      <c r="U582" s="49"/>
      <c r="V582" s="49"/>
      <c r="W582" s="49"/>
      <c r="X582" s="49"/>
      <c r="Y582" s="49"/>
      <c r="Z582" s="49"/>
    </row>
    <row r="583" spans="1:26" ht="13">
      <c r="A583" s="49"/>
      <c r="B583" s="49"/>
      <c r="C583" s="49"/>
      <c r="D583" s="49"/>
      <c r="E583" s="49"/>
      <c r="F583" s="49"/>
      <c r="G583" s="49"/>
      <c r="H583" s="49"/>
      <c r="I583" s="49"/>
      <c r="J583" s="49"/>
      <c r="K583" s="49"/>
      <c r="L583" s="49"/>
      <c r="M583" s="49"/>
      <c r="N583" s="49"/>
      <c r="O583" s="49"/>
      <c r="P583" s="49"/>
      <c r="Q583" s="49"/>
      <c r="R583" s="49"/>
      <c r="S583" s="49"/>
      <c r="T583" s="49"/>
      <c r="U583" s="49"/>
      <c r="V583" s="49"/>
      <c r="W583" s="49"/>
      <c r="X583" s="49"/>
      <c r="Y583" s="49"/>
      <c r="Z583" s="49"/>
    </row>
    <row r="584" spans="1:26" ht="13">
      <c r="A584" s="49"/>
      <c r="B584" s="49"/>
      <c r="C584" s="49"/>
      <c r="D584" s="49"/>
      <c r="E584" s="49"/>
      <c r="F584" s="49"/>
      <c r="G584" s="49"/>
      <c r="H584" s="49"/>
      <c r="I584" s="49"/>
      <c r="J584" s="49"/>
      <c r="K584" s="49"/>
      <c r="L584" s="49"/>
      <c r="M584" s="49"/>
      <c r="N584" s="49"/>
      <c r="O584" s="49"/>
      <c r="P584" s="49"/>
      <c r="Q584" s="49"/>
      <c r="R584" s="49"/>
      <c r="S584" s="49"/>
      <c r="T584" s="49"/>
      <c r="U584" s="49"/>
      <c r="V584" s="49"/>
      <c r="W584" s="49"/>
      <c r="X584" s="49"/>
      <c r="Y584" s="49"/>
      <c r="Z584" s="49"/>
    </row>
    <row r="585" spans="1:26" ht="13">
      <c r="A585" s="49"/>
      <c r="B585" s="49"/>
      <c r="C585" s="49"/>
      <c r="D585" s="49"/>
      <c r="E585" s="49"/>
      <c r="F585" s="49"/>
      <c r="G585" s="49"/>
      <c r="H585" s="49"/>
      <c r="I585" s="49"/>
      <c r="J585" s="49"/>
      <c r="K585" s="49"/>
      <c r="L585" s="49"/>
      <c r="M585" s="49"/>
      <c r="N585" s="49"/>
      <c r="O585" s="49"/>
      <c r="P585" s="49"/>
      <c r="Q585" s="49"/>
      <c r="R585" s="49"/>
      <c r="S585" s="49"/>
      <c r="T585" s="49"/>
      <c r="U585" s="49"/>
      <c r="V585" s="49"/>
      <c r="W585" s="49"/>
      <c r="X585" s="49"/>
      <c r="Y585" s="49"/>
      <c r="Z585" s="49"/>
    </row>
    <row r="586" spans="1:26" ht="13">
      <c r="A586" s="49"/>
      <c r="B586" s="49"/>
      <c r="C586" s="49"/>
      <c r="D586" s="49"/>
      <c r="E586" s="49"/>
      <c r="F586" s="49"/>
      <c r="G586" s="49"/>
      <c r="H586" s="49"/>
      <c r="I586" s="49"/>
      <c r="J586" s="49"/>
      <c r="K586" s="49"/>
      <c r="L586" s="49"/>
      <c r="M586" s="49"/>
      <c r="N586" s="49"/>
      <c r="O586" s="49"/>
      <c r="P586" s="49"/>
      <c r="Q586" s="49"/>
      <c r="R586" s="49"/>
      <c r="S586" s="49"/>
      <c r="T586" s="49"/>
      <c r="U586" s="49"/>
      <c r="V586" s="49"/>
      <c r="W586" s="49"/>
      <c r="X586" s="49"/>
      <c r="Y586" s="49"/>
      <c r="Z586" s="49"/>
    </row>
    <row r="587" spans="1:26" ht="13">
      <c r="A587" s="49"/>
      <c r="B587" s="49"/>
      <c r="C587" s="49"/>
      <c r="D587" s="49"/>
      <c r="E587" s="49"/>
      <c r="F587" s="49"/>
      <c r="G587" s="49"/>
      <c r="H587" s="49"/>
      <c r="I587" s="49"/>
      <c r="J587" s="49"/>
      <c r="K587" s="49"/>
      <c r="L587" s="49"/>
      <c r="M587" s="49"/>
      <c r="N587" s="49"/>
      <c r="O587" s="49"/>
      <c r="P587" s="49"/>
      <c r="Q587" s="49"/>
      <c r="R587" s="49"/>
      <c r="S587" s="49"/>
      <c r="T587" s="49"/>
      <c r="U587" s="49"/>
      <c r="V587" s="49"/>
      <c r="W587" s="49"/>
      <c r="X587" s="49"/>
      <c r="Y587" s="49"/>
      <c r="Z587" s="49"/>
    </row>
    <row r="588" spans="1:26" ht="13">
      <c r="A588" s="49"/>
      <c r="B588" s="49"/>
      <c r="C588" s="49"/>
      <c r="D588" s="49"/>
      <c r="E588" s="49"/>
      <c r="F588" s="49"/>
      <c r="G588" s="49"/>
      <c r="H588" s="49"/>
      <c r="I588" s="49"/>
      <c r="J588" s="49"/>
      <c r="K588" s="49"/>
      <c r="L588" s="49"/>
      <c r="M588" s="49"/>
      <c r="N588" s="49"/>
      <c r="O588" s="49"/>
      <c r="P588" s="49"/>
      <c r="Q588" s="49"/>
      <c r="R588" s="49"/>
      <c r="S588" s="49"/>
      <c r="T588" s="49"/>
      <c r="U588" s="49"/>
      <c r="V588" s="49"/>
      <c r="W588" s="49"/>
      <c r="X588" s="49"/>
      <c r="Y588" s="49"/>
      <c r="Z588" s="49"/>
    </row>
    <row r="589" spans="1:26" ht="13">
      <c r="A589" s="49"/>
      <c r="B589" s="49"/>
      <c r="C589" s="49"/>
      <c r="D589" s="49"/>
      <c r="E589" s="49"/>
      <c r="F589" s="49"/>
      <c r="G589" s="49"/>
      <c r="H589" s="49"/>
      <c r="I589" s="49"/>
      <c r="J589" s="49"/>
      <c r="K589" s="49"/>
      <c r="L589" s="49"/>
      <c r="M589" s="49"/>
      <c r="N589" s="49"/>
      <c r="O589" s="49"/>
      <c r="P589" s="49"/>
      <c r="Q589" s="49"/>
      <c r="R589" s="49"/>
      <c r="S589" s="49"/>
      <c r="T589" s="49"/>
      <c r="U589" s="49"/>
      <c r="V589" s="49"/>
      <c r="W589" s="49"/>
      <c r="X589" s="49"/>
      <c r="Y589" s="49"/>
      <c r="Z589" s="49"/>
    </row>
    <row r="590" spans="1:26" ht="13">
      <c r="A590" s="49"/>
      <c r="B590" s="49"/>
      <c r="C590" s="49"/>
      <c r="D590" s="49"/>
      <c r="E590" s="49"/>
      <c r="F590" s="49"/>
      <c r="G590" s="49"/>
      <c r="H590" s="49"/>
      <c r="I590" s="49"/>
      <c r="J590" s="49"/>
      <c r="K590" s="49"/>
      <c r="L590" s="49"/>
      <c r="M590" s="49"/>
      <c r="N590" s="49"/>
      <c r="O590" s="49"/>
      <c r="P590" s="49"/>
      <c r="Q590" s="49"/>
      <c r="R590" s="49"/>
      <c r="S590" s="49"/>
      <c r="T590" s="49"/>
      <c r="U590" s="49"/>
      <c r="V590" s="49"/>
      <c r="W590" s="49"/>
      <c r="X590" s="49"/>
      <c r="Y590" s="49"/>
      <c r="Z590" s="49"/>
    </row>
    <row r="591" spans="1:26" ht="13">
      <c r="A591" s="49"/>
      <c r="B591" s="49"/>
      <c r="C591" s="49"/>
      <c r="D591" s="49"/>
      <c r="E591" s="49"/>
      <c r="F591" s="49"/>
      <c r="G591" s="49"/>
      <c r="H591" s="49"/>
      <c r="I591" s="49"/>
      <c r="J591" s="49"/>
      <c r="K591" s="49"/>
      <c r="L591" s="49"/>
      <c r="M591" s="49"/>
      <c r="N591" s="49"/>
      <c r="O591" s="49"/>
      <c r="P591" s="49"/>
      <c r="Q591" s="49"/>
      <c r="R591" s="49"/>
      <c r="S591" s="49"/>
      <c r="T591" s="49"/>
      <c r="U591" s="49"/>
      <c r="V591" s="49"/>
      <c r="W591" s="49"/>
      <c r="X591" s="49"/>
      <c r="Y591" s="49"/>
      <c r="Z591" s="49"/>
    </row>
    <row r="592" spans="1:26" ht="13">
      <c r="A592" s="49"/>
      <c r="B592" s="49"/>
      <c r="C592" s="49"/>
      <c r="D592" s="49"/>
      <c r="E592" s="49"/>
      <c r="F592" s="49"/>
      <c r="G592" s="49"/>
      <c r="H592" s="49"/>
      <c r="I592" s="49"/>
      <c r="J592" s="49"/>
      <c r="K592" s="49"/>
      <c r="L592" s="49"/>
      <c r="M592" s="49"/>
      <c r="N592" s="49"/>
      <c r="O592" s="49"/>
      <c r="P592" s="49"/>
      <c r="Q592" s="49"/>
      <c r="R592" s="49"/>
      <c r="S592" s="49"/>
      <c r="T592" s="49"/>
      <c r="U592" s="49"/>
      <c r="V592" s="49"/>
      <c r="W592" s="49"/>
      <c r="X592" s="49"/>
      <c r="Y592" s="49"/>
      <c r="Z592" s="49"/>
    </row>
    <row r="593" spans="1:26" ht="13">
      <c r="A593" s="49"/>
      <c r="B593" s="49"/>
      <c r="C593" s="49"/>
      <c r="D593" s="49"/>
      <c r="E593" s="49"/>
      <c r="F593" s="49"/>
      <c r="G593" s="49"/>
      <c r="H593" s="49"/>
      <c r="I593" s="49"/>
      <c r="J593" s="49"/>
      <c r="K593" s="49"/>
      <c r="L593" s="49"/>
      <c r="M593" s="49"/>
      <c r="N593" s="49"/>
      <c r="O593" s="49"/>
      <c r="P593" s="49"/>
      <c r="Q593" s="49"/>
      <c r="R593" s="49"/>
      <c r="S593" s="49"/>
      <c r="T593" s="49"/>
      <c r="U593" s="49"/>
      <c r="V593" s="49"/>
      <c r="W593" s="49"/>
      <c r="X593" s="49"/>
      <c r="Y593" s="49"/>
      <c r="Z593" s="49"/>
    </row>
    <row r="594" spans="1:26" ht="13">
      <c r="A594" s="49"/>
      <c r="B594" s="49"/>
      <c r="C594" s="49"/>
      <c r="D594" s="49"/>
      <c r="E594" s="49"/>
      <c r="F594" s="49"/>
      <c r="G594" s="49"/>
      <c r="H594" s="49"/>
      <c r="I594" s="49"/>
      <c r="J594" s="49"/>
      <c r="K594" s="49"/>
      <c r="L594" s="49"/>
      <c r="M594" s="49"/>
      <c r="N594" s="49"/>
      <c r="O594" s="49"/>
      <c r="P594" s="49"/>
      <c r="Q594" s="49"/>
      <c r="R594" s="49"/>
      <c r="S594" s="49"/>
      <c r="T594" s="49"/>
      <c r="U594" s="49"/>
      <c r="V594" s="49"/>
      <c r="W594" s="49"/>
      <c r="X594" s="49"/>
      <c r="Y594" s="49"/>
      <c r="Z594" s="49"/>
    </row>
    <row r="595" spans="1:26" ht="13">
      <c r="A595" s="49"/>
      <c r="B595" s="49"/>
      <c r="C595" s="49"/>
      <c r="D595" s="49"/>
      <c r="E595" s="49"/>
      <c r="F595" s="49"/>
      <c r="G595" s="49"/>
      <c r="H595" s="49"/>
      <c r="I595" s="49"/>
      <c r="J595" s="49"/>
      <c r="K595" s="49"/>
      <c r="L595" s="49"/>
      <c r="M595" s="49"/>
      <c r="N595" s="49"/>
      <c r="O595" s="49"/>
      <c r="P595" s="49"/>
      <c r="Q595" s="49"/>
      <c r="R595" s="49"/>
      <c r="S595" s="49"/>
      <c r="T595" s="49"/>
      <c r="U595" s="49"/>
      <c r="V595" s="49"/>
      <c r="W595" s="49"/>
      <c r="X595" s="49"/>
      <c r="Y595" s="49"/>
      <c r="Z595" s="49"/>
    </row>
    <row r="596" spans="1:26" ht="13">
      <c r="A596" s="49"/>
      <c r="B596" s="49"/>
      <c r="C596" s="49"/>
      <c r="D596" s="49"/>
      <c r="E596" s="49"/>
      <c r="F596" s="49"/>
      <c r="G596" s="49"/>
      <c r="H596" s="49"/>
      <c r="I596" s="49"/>
      <c r="J596" s="49"/>
      <c r="K596" s="49"/>
      <c r="L596" s="49"/>
      <c r="M596" s="49"/>
      <c r="N596" s="49"/>
      <c r="O596" s="49"/>
      <c r="P596" s="49"/>
      <c r="Q596" s="49"/>
      <c r="R596" s="49"/>
      <c r="S596" s="49"/>
      <c r="T596" s="49"/>
      <c r="U596" s="49"/>
      <c r="V596" s="49"/>
      <c r="W596" s="49"/>
      <c r="X596" s="49"/>
      <c r="Y596" s="49"/>
      <c r="Z596" s="49"/>
    </row>
    <row r="597" spans="1:26" ht="13">
      <c r="A597" s="49"/>
      <c r="B597" s="49"/>
      <c r="C597" s="49"/>
      <c r="D597" s="49"/>
      <c r="E597" s="49"/>
      <c r="F597" s="49"/>
      <c r="G597" s="49"/>
      <c r="H597" s="49"/>
      <c r="I597" s="49"/>
      <c r="J597" s="49"/>
      <c r="K597" s="49"/>
      <c r="L597" s="49"/>
      <c r="M597" s="49"/>
      <c r="N597" s="49"/>
      <c r="O597" s="49"/>
      <c r="P597" s="49"/>
      <c r="Q597" s="49"/>
      <c r="R597" s="49"/>
      <c r="S597" s="49"/>
      <c r="T597" s="49"/>
      <c r="U597" s="49"/>
      <c r="V597" s="49"/>
      <c r="W597" s="49"/>
      <c r="X597" s="49"/>
      <c r="Y597" s="49"/>
      <c r="Z597" s="49"/>
    </row>
    <row r="598" spans="1:26" ht="13">
      <c r="A598" s="49"/>
      <c r="B598" s="49"/>
      <c r="C598" s="49"/>
      <c r="D598" s="49"/>
      <c r="E598" s="49"/>
      <c r="F598" s="49"/>
      <c r="G598" s="49"/>
      <c r="H598" s="49"/>
      <c r="I598" s="49"/>
      <c r="J598" s="49"/>
      <c r="K598" s="49"/>
      <c r="L598" s="49"/>
      <c r="M598" s="49"/>
      <c r="N598" s="49"/>
      <c r="O598" s="49"/>
      <c r="P598" s="49"/>
      <c r="Q598" s="49"/>
      <c r="R598" s="49"/>
      <c r="S598" s="49"/>
      <c r="T598" s="49"/>
      <c r="U598" s="49"/>
      <c r="V598" s="49"/>
      <c r="W598" s="49"/>
      <c r="X598" s="49"/>
      <c r="Y598" s="49"/>
      <c r="Z598" s="49"/>
    </row>
    <row r="599" spans="1:26" ht="13">
      <c r="A599" s="49"/>
      <c r="B599" s="49"/>
      <c r="C599" s="49"/>
      <c r="D599" s="49"/>
      <c r="E599" s="49"/>
      <c r="F599" s="49"/>
      <c r="G599" s="49"/>
      <c r="H599" s="49"/>
      <c r="I599" s="49"/>
      <c r="J599" s="49"/>
      <c r="K599" s="49"/>
      <c r="L599" s="49"/>
      <c r="M599" s="49"/>
      <c r="N599" s="49"/>
      <c r="O599" s="49"/>
      <c r="P599" s="49"/>
      <c r="Q599" s="49"/>
      <c r="R599" s="49"/>
      <c r="S599" s="49"/>
      <c r="T599" s="49"/>
      <c r="U599" s="49"/>
      <c r="V599" s="49"/>
      <c r="W599" s="49"/>
      <c r="X599" s="49"/>
      <c r="Y599" s="49"/>
      <c r="Z599" s="49"/>
    </row>
    <row r="600" spans="1:26" ht="13">
      <c r="A600" s="49"/>
      <c r="B600" s="49"/>
      <c r="C600" s="49"/>
      <c r="D600" s="49"/>
      <c r="E600" s="49"/>
      <c r="F600" s="49"/>
      <c r="G600" s="49"/>
      <c r="H600" s="49"/>
      <c r="I600" s="49"/>
      <c r="J600" s="49"/>
      <c r="K600" s="49"/>
      <c r="L600" s="49"/>
      <c r="M600" s="49"/>
      <c r="N600" s="49"/>
      <c r="O600" s="49"/>
      <c r="P600" s="49"/>
      <c r="Q600" s="49"/>
      <c r="R600" s="49"/>
      <c r="S600" s="49"/>
      <c r="T600" s="49"/>
      <c r="U600" s="49"/>
      <c r="V600" s="49"/>
      <c r="W600" s="49"/>
      <c r="X600" s="49"/>
      <c r="Y600" s="49"/>
      <c r="Z600" s="49"/>
    </row>
    <row r="601" spans="1:26" ht="13">
      <c r="A601" s="49"/>
      <c r="B601" s="49"/>
      <c r="C601" s="49"/>
      <c r="D601" s="49"/>
      <c r="E601" s="49"/>
      <c r="F601" s="49"/>
      <c r="G601" s="49"/>
      <c r="H601" s="49"/>
      <c r="I601" s="49"/>
      <c r="J601" s="49"/>
      <c r="K601" s="49"/>
      <c r="L601" s="49"/>
      <c r="M601" s="49"/>
      <c r="N601" s="49"/>
      <c r="O601" s="49"/>
      <c r="P601" s="49"/>
      <c r="Q601" s="49"/>
      <c r="R601" s="49"/>
      <c r="S601" s="49"/>
      <c r="T601" s="49"/>
      <c r="U601" s="49"/>
      <c r="V601" s="49"/>
      <c r="W601" s="49"/>
      <c r="X601" s="49"/>
      <c r="Y601" s="49"/>
      <c r="Z601" s="49"/>
    </row>
    <row r="602" spans="1:26" ht="13">
      <c r="A602" s="49"/>
      <c r="B602" s="49"/>
      <c r="C602" s="49"/>
      <c r="D602" s="49"/>
      <c r="E602" s="49"/>
      <c r="F602" s="49"/>
      <c r="G602" s="49"/>
      <c r="H602" s="49"/>
      <c r="I602" s="49"/>
      <c r="J602" s="49"/>
      <c r="K602" s="49"/>
      <c r="L602" s="49"/>
      <c r="M602" s="49"/>
      <c r="N602" s="49"/>
      <c r="O602" s="49"/>
      <c r="P602" s="49"/>
      <c r="Q602" s="49"/>
      <c r="R602" s="49"/>
      <c r="S602" s="49"/>
      <c r="T602" s="49"/>
      <c r="U602" s="49"/>
      <c r="V602" s="49"/>
      <c r="W602" s="49"/>
      <c r="X602" s="49"/>
      <c r="Y602" s="49"/>
      <c r="Z602" s="49"/>
    </row>
    <row r="603" spans="1:26" ht="13">
      <c r="A603" s="49"/>
      <c r="B603" s="49"/>
      <c r="C603" s="49"/>
      <c r="D603" s="49"/>
      <c r="E603" s="49"/>
      <c r="F603" s="49"/>
      <c r="G603" s="49"/>
      <c r="H603" s="49"/>
      <c r="I603" s="49"/>
      <c r="J603" s="49"/>
      <c r="K603" s="49"/>
      <c r="L603" s="49"/>
      <c r="M603" s="49"/>
      <c r="N603" s="49"/>
      <c r="O603" s="49"/>
      <c r="P603" s="49"/>
      <c r="Q603" s="49"/>
      <c r="R603" s="49"/>
      <c r="S603" s="49"/>
      <c r="T603" s="49"/>
      <c r="U603" s="49"/>
      <c r="V603" s="49"/>
      <c r="W603" s="49"/>
      <c r="X603" s="49"/>
      <c r="Y603" s="49"/>
      <c r="Z603" s="49"/>
    </row>
    <row r="604" spans="1:26" ht="13">
      <c r="A604" s="49"/>
      <c r="B604" s="49"/>
      <c r="C604" s="49"/>
      <c r="D604" s="49"/>
      <c r="E604" s="49"/>
      <c r="F604" s="49"/>
      <c r="G604" s="49"/>
      <c r="H604" s="49"/>
      <c r="I604" s="49"/>
      <c r="J604" s="49"/>
      <c r="K604" s="49"/>
      <c r="L604" s="49"/>
      <c r="M604" s="49"/>
      <c r="N604" s="49"/>
      <c r="O604" s="49"/>
      <c r="P604" s="49"/>
      <c r="Q604" s="49"/>
      <c r="R604" s="49"/>
      <c r="S604" s="49"/>
      <c r="T604" s="49"/>
      <c r="U604" s="49"/>
      <c r="V604" s="49"/>
      <c r="W604" s="49"/>
      <c r="X604" s="49"/>
      <c r="Y604" s="49"/>
      <c r="Z604" s="49"/>
    </row>
    <row r="605" spans="1:26" ht="13">
      <c r="A605" s="49"/>
      <c r="B605" s="49"/>
      <c r="C605" s="49"/>
      <c r="D605" s="49"/>
      <c r="E605" s="49"/>
      <c r="F605" s="49"/>
      <c r="G605" s="49"/>
      <c r="H605" s="49"/>
      <c r="I605" s="49"/>
      <c r="J605" s="49"/>
      <c r="K605" s="49"/>
      <c r="L605" s="49"/>
      <c r="M605" s="49"/>
      <c r="N605" s="49"/>
      <c r="O605" s="49"/>
      <c r="P605" s="49"/>
      <c r="Q605" s="49"/>
      <c r="R605" s="49"/>
      <c r="S605" s="49"/>
      <c r="T605" s="49"/>
      <c r="U605" s="49"/>
      <c r="V605" s="49"/>
      <c r="W605" s="49"/>
      <c r="X605" s="49"/>
      <c r="Y605" s="49"/>
      <c r="Z605" s="49"/>
    </row>
    <row r="606" spans="1:26" ht="13">
      <c r="A606" s="49"/>
      <c r="B606" s="49"/>
      <c r="C606" s="49"/>
      <c r="D606" s="49"/>
      <c r="E606" s="49"/>
      <c r="F606" s="49"/>
      <c r="G606" s="49"/>
      <c r="H606" s="49"/>
      <c r="I606" s="49"/>
      <c r="J606" s="49"/>
      <c r="K606" s="49"/>
      <c r="L606" s="49"/>
      <c r="M606" s="49"/>
      <c r="N606" s="49"/>
      <c r="O606" s="49"/>
      <c r="P606" s="49"/>
      <c r="Q606" s="49"/>
      <c r="R606" s="49"/>
      <c r="S606" s="49"/>
      <c r="T606" s="49"/>
      <c r="U606" s="49"/>
      <c r="V606" s="49"/>
      <c r="W606" s="49"/>
      <c r="X606" s="49"/>
      <c r="Y606" s="49"/>
      <c r="Z606" s="49"/>
    </row>
    <row r="607" spans="1:26" ht="13">
      <c r="A607" s="49"/>
      <c r="B607" s="49"/>
      <c r="C607" s="49"/>
      <c r="D607" s="49"/>
      <c r="E607" s="49"/>
      <c r="F607" s="49"/>
      <c r="G607" s="49"/>
      <c r="H607" s="49"/>
      <c r="I607" s="49"/>
      <c r="J607" s="49"/>
      <c r="K607" s="49"/>
      <c r="L607" s="49"/>
      <c r="M607" s="49"/>
      <c r="N607" s="49"/>
      <c r="O607" s="49"/>
      <c r="P607" s="49"/>
      <c r="Q607" s="49"/>
      <c r="R607" s="49"/>
      <c r="S607" s="49"/>
      <c r="T607" s="49"/>
      <c r="U607" s="49"/>
      <c r="V607" s="49"/>
      <c r="W607" s="49"/>
      <c r="X607" s="49"/>
      <c r="Y607" s="49"/>
      <c r="Z607" s="49"/>
    </row>
    <row r="608" spans="1:26" ht="13">
      <c r="A608" s="49"/>
      <c r="B608" s="49"/>
      <c r="C608" s="49"/>
      <c r="D608" s="49"/>
      <c r="E608" s="49"/>
      <c r="F608" s="49"/>
      <c r="G608" s="49"/>
      <c r="H608" s="49"/>
      <c r="I608" s="49"/>
      <c r="J608" s="49"/>
      <c r="K608" s="49"/>
      <c r="L608" s="49"/>
      <c r="M608" s="49"/>
      <c r="N608" s="49"/>
      <c r="O608" s="49"/>
      <c r="P608" s="49"/>
      <c r="Q608" s="49"/>
      <c r="R608" s="49"/>
      <c r="S608" s="49"/>
      <c r="T608" s="49"/>
      <c r="U608" s="49"/>
      <c r="V608" s="49"/>
      <c r="W608" s="49"/>
      <c r="X608" s="49"/>
      <c r="Y608" s="49"/>
      <c r="Z608" s="49"/>
    </row>
    <row r="609" spans="1:26" ht="13">
      <c r="A609" s="49"/>
      <c r="B609" s="49"/>
      <c r="C609" s="49"/>
      <c r="D609" s="49"/>
      <c r="E609" s="49"/>
      <c r="F609" s="49"/>
      <c r="G609" s="49"/>
      <c r="H609" s="49"/>
      <c r="I609" s="49"/>
      <c r="J609" s="49"/>
      <c r="K609" s="49"/>
      <c r="L609" s="49"/>
      <c r="M609" s="49"/>
      <c r="N609" s="49"/>
      <c r="O609" s="49"/>
      <c r="P609" s="49"/>
      <c r="Q609" s="49"/>
      <c r="R609" s="49"/>
      <c r="S609" s="49"/>
      <c r="T609" s="49"/>
      <c r="U609" s="49"/>
      <c r="V609" s="49"/>
      <c r="W609" s="49"/>
      <c r="X609" s="49"/>
      <c r="Y609" s="49"/>
      <c r="Z609" s="49"/>
    </row>
    <row r="610" spans="1:26" ht="13">
      <c r="A610" s="49"/>
      <c r="B610" s="49"/>
      <c r="C610" s="49"/>
      <c r="D610" s="49"/>
      <c r="E610" s="49"/>
      <c r="F610" s="49"/>
      <c r="G610" s="49"/>
      <c r="H610" s="49"/>
      <c r="I610" s="49"/>
      <c r="J610" s="49"/>
      <c r="K610" s="49"/>
      <c r="L610" s="49"/>
      <c r="M610" s="49"/>
      <c r="N610" s="49"/>
      <c r="O610" s="49"/>
      <c r="P610" s="49"/>
      <c r="Q610" s="49"/>
      <c r="R610" s="49"/>
      <c r="S610" s="49"/>
      <c r="T610" s="49"/>
      <c r="U610" s="49"/>
      <c r="V610" s="49"/>
      <c r="W610" s="49"/>
      <c r="X610" s="49"/>
      <c r="Y610" s="49"/>
      <c r="Z610" s="49"/>
    </row>
    <row r="611" spans="1:26" ht="13">
      <c r="A611" s="49"/>
      <c r="B611" s="49"/>
      <c r="C611" s="49"/>
      <c r="D611" s="49"/>
      <c r="E611" s="49"/>
      <c r="F611" s="49"/>
      <c r="G611" s="49"/>
      <c r="H611" s="49"/>
      <c r="I611" s="49"/>
      <c r="J611" s="49"/>
      <c r="K611" s="49"/>
      <c r="L611" s="49"/>
      <c r="M611" s="49"/>
      <c r="N611" s="49"/>
      <c r="O611" s="49"/>
      <c r="P611" s="49"/>
      <c r="Q611" s="49"/>
      <c r="R611" s="49"/>
      <c r="S611" s="49"/>
      <c r="T611" s="49"/>
      <c r="U611" s="49"/>
      <c r="V611" s="49"/>
      <c r="W611" s="49"/>
      <c r="X611" s="49"/>
      <c r="Y611" s="49"/>
      <c r="Z611" s="49"/>
    </row>
    <row r="612" spans="1:26" ht="13">
      <c r="A612" s="49"/>
      <c r="B612" s="49"/>
      <c r="C612" s="49"/>
      <c r="D612" s="49"/>
      <c r="E612" s="49"/>
      <c r="F612" s="49"/>
      <c r="G612" s="49"/>
      <c r="H612" s="49"/>
      <c r="I612" s="49"/>
      <c r="J612" s="49"/>
      <c r="K612" s="49"/>
      <c r="L612" s="49"/>
      <c r="M612" s="49"/>
      <c r="N612" s="49"/>
      <c r="O612" s="49"/>
      <c r="P612" s="49"/>
      <c r="Q612" s="49"/>
      <c r="R612" s="49"/>
      <c r="S612" s="49"/>
      <c r="T612" s="49"/>
      <c r="U612" s="49"/>
      <c r="V612" s="49"/>
      <c r="W612" s="49"/>
      <c r="X612" s="49"/>
      <c r="Y612" s="49"/>
      <c r="Z612" s="49"/>
    </row>
    <row r="613" spans="1:26" ht="13">
      <c r="A613" s="49"/>
      <c r="B613" s="49"/>
      <c r="C613" s="49"/>
      <c r="D613" s="49"/>
      <c r="E613" s="49"/>
      <c r="F613" s="49"/>
      <c r="G613" s="49"/>
      <c r="H613" s="49"/>
      <c r="I613" s="49"/>
      <c r="J613" s="49"/>
      <c r="K613" s="49"/>
      <c r="L613" s="49"/>
      <c r="M613" s="49"/>
      <c r="N613" s="49"/>
      <c r="O613" s="49"/>
      <c r="P613" s="49"/>
      <c r="Q613" s="49"/>
      <c r="R613" s="49"/>
      <c r="S613" s="49"/>
      <c r="T613" s="49"/>
      <c r="U613" s="49"/>
      <c r="V613" s="49"/>
      <c r="W613" s="49"/>
      <c r="X613" s="49"/>
      <c r="Y613" s="49"/>
      <c r="Z613" s="49"/>
    </row>
    <row r="614" spans="1:26" ht="13">
      <c r="A614" s="49"/>
      <c r="B614" s="49"/>
      <c r="C614" s="49"/>
      <c r="D614" s="49"/>
      <c r="E614" s="49"/>
      <c r="F614" s="49"/>
      <c r="G614" s="49"/>
      <c r="H614" s="49"/>
      <c r="I614" s="49"/>
      <c r="J614" s="49"/>
      <c r="K614" s="49"/>
      <c r="L614" s="49"/>
      <c r="M614" s="49"/>
      <c r="N614" s="49"/>
      <c r="O614" s="49"/>
      <c r="P614" s="49"/>
      <c r="Q614" s="49"/>
      <c r="R614" s="49"/>
      <c r="S614" s="49"/>
      <c r="T614" s="49"/>
      <c r="U614" s="49"/>
      <c r="V614" s="49"/>
      <c r="W614" s="49"/>
      <c r="X614" s="49"/>
      <c r="Y614" s="49"/>
      <c r="Z614" s="49"/>
    </row>
    <row r="615" spans="1:26" ht="13">
      <c r="A615" s="49"/>
      <c r="B615" s="49"/>
      <c r="C615" s="49"/>
      <c r="D615" s="49"/>
      <c r="E615" s="49"/>
      <c r="F615" s="49"/>
      <c r="G615" s="49"/>
      <c r="H615" s="49"/>
      <c r="I615" s="49"/>
      <c r="J615" s="49"/>
      <c r="K615" s="49"/>
      <c r="L615" s="49"/>
      <c r="M615" s="49"/>
      <c r="N615" s="49"/>
      <c r="O615" s="49"/>
      <c r="P615" s="49"/>
      <c r="Q615" s="49"/>
      <c r="R615" s="49"/>
      <c r="S615" s="49"/>
      <c r="T615" s="49"/>
      <c r="U615" s="49"/>
      <c r="V615" s="49"/>
      <c r="W615" s="49"/>
      <c r="X615" s="49"/>
      <c r="Y615" s="49"/>
      <c r="Z615" s="49"/>
    </row>
    <row r="616" spans="1:26" ht="13">
      <c r="A616" s="49"/>
      <c r="B616" s="49"/>
      <c r="C616" s="49"/>
      <c r="D616" s="49"/>
      <c r="E616" s="49"/>
      <c r="F616" s="49"/>
      <c r="G616" s="49"/>
      <c r="H616" s="49"/>
      <c r="I616" s="49"/>
      <c r="J616" s="49"/>
      <c r="K616" s="49"/>
      <c r="L616" s="49"/>
      <c r="M616" s="49"/>
      <c r="N616" s="49"/>
      <c r="O616" s="49"/>
      <c r="P616" s="49"/>
      <c r="Q616" s="49"/>
      <c r="R616" s="49"/>
      <c r="S616" s="49"/>
      <c r="T616" s="49"/>
      <c r="U616" s="49"/>
      <c r="V616" s="49"/>
      <c r="W616" s="49"/>
      <c r="X616" s="49"/>
      <c r="Y616" s="49"/>
      <c r="Z616" s="49"/>
    </row>
    <row r="617" spans="1:26" ht="13">
      <c r="A617" s="49"/>
      <c r="B617" s="49"/>
      <c r="C617" s="49"/>
      <c r="D617" s="49"/>
      <c r="E617" s="49"/>
      <c r="F617" s="49"/>
      <c r="G617" s="49"/>
      <c r="H617" s="49"/>
      <c r="I617" s="49"/>
      <c r="J617" s="49"/>
      <c r="K617" s="49"/>
      <c r="L617" s="49"/>
      <c r="M617" s="49"/>
      <c r="N617" s="49"/>
      <c r="O617" s="49"/>
      <c r="P617" s="49"/>
      <c r="Q617" s="49"/>
      <c r="R617" s="49"/>
      <c r="S617" s="49"/>
      <c r="T617" s="49"/>
      <c r="U617" s="49"/>
      <c r="V617" s="49"/>
      <c r="W617" s="49"/>
      <c r="X617" s="49"/>
      <c r="Y617" s="49"/>
      <c r="Z617" s="49"/>
    </row>
    <row r="618" spans="1:26" ht="13">
      <c r="A618" s="49"/>
      <c r="B618" s="49"/>
      <c r="C618" s="49"/>
      <c r="D618" s="49"/>
      <c r="E618" s="49"/>
      <c r="F618" s="49"/>
      <c r="G618" s="49"/>
      <c r="H618" s="49"/>
      <c r="I618" s="49"/>
      <c r="J618" s="49"/>
      <c r="K618" s="49"/>
      <c r="L618" s="49"/>
      <c r="M618" s="49"/>
      <c r="N618" s="49"/>
      <c r="O618" s="49"/>
      <c r="P618" s="49"/>
      <c r="Q618" s="49"/>
      <c r="R618" s="49"/>
      <c r="S618" s="49"/>
      <c r="T618" s="49"/>
      <c r="U618" s="49"/>
      <c r="V618" s="49"/>
      <c r="W618" s="49"/>
      <c r="X618" s="49"/>
      <c r="Y618" s="49"/>
      <c r="Z618" s="49"/>
    </row>
    <row r="619" spans="1:26" ht="13">
      <c r="A619" s="49"/>
      <c r="B619" s="49"/>
      <c r="C619" s="49"/>
      <c r="D619" s="49"/>
      <c r="E619" s="49"/>
      <c r="F619" s="49"/>
      <c r="G619" s="49"/>
      <c r="H619" s="49"/>
      <c r="I619" s="49"/>
      <c r="J619" s="49"/>
      <c r="K619" s="49"/>
      <c r="L619" s="49"/>
      <c r="M619" s="49"/>
      <c r="N619" s="49"/>
      <c r="O619" s="49"/>
      <c r="P619" s="49"/>
      <c r="Q619" s="49"/>
      <c r="R619" s="49"/>
      <c r="S619" s="49"/>
      <c r="T619" s="49"/>
      <c r="U619" s="49"/>
      <c r="V619" s="49"/>
      <c r="W619" s="49"/>
      <c r="X619" s="49"/>
      <c r="Y619" s="49"/>
      <c r="Z619" s="49"/>
    </row>
    <row r="620" spans="1:26" ht="13">
      <c r="A620" s="49"/>
      <c r="B620" s="49"/>
      <c r="C620" s="49"/>
      <c r="D620" s="49"/>
      <c r="E620" s="49"/>
      <c r="F620" s="49"/>
      <c r="G620" s="49"/>
      <c r="H620" s="49"/>
      <c r="I620" s="49"/>
      <c r="J620" s="49"/>
      <c r="K620" s="49"/>
      <c r="L620" s="49"/>
      <c r="M620" s="49"/>
      <c r="N620" s="49"/>
      <c r="O620" s="49"/>
      <c r="P620" s="49"/>
      <c r="Q620" s="49"/>
      <c r="R620" s="49"/>
      <c r="S620" s="49"/>
      <c r="T620" s="49"/>
      <c r="U620" s="49"/>
      <c r="V620" s="49"/>
      <c r="W620" s="49"/>
      <c r="X620" s="49"/>
      <c r="Y620" s="49"/>
      <c r="Z620" s="49"/>
    </row>
    <row r="621" spans="1:26" ht="13">
      <c r="A621" s="49"/>
      <c r="B621" s="49"/>
      <c r="C621" s="49"/>
      <c r="D621" s="49"/>
      <c r="E621" s="49"/>
      <c r="F621" s="49"/>
      <c r="G621" s="49"/>
      <c r="H621" s="49"/>
      <c r="I621" s="49"/>
      <c r="J621" s="49"/>
      <c r="K621" s="49"/>
      <c r="L621" s="49"/>
      <c r="M621" s="49"/>
      <c r="N621" s="49"/>
      <c r="O621" s="49"/>
      <c r="P621" s="49"/>
      <c r="Q621" s="49"/>
      <c r="R621" s="49"/>
      <c r="S621" s="49"/>
      <c r="T621" s="49"/>
      <c r="U621" s="49"/>
      <c r="V621" s="49"/>
      <c r="W621" s="49"/>
      <c r="X621" s="49"/>
      <c r="Y621" s="49"/>
      <c r="Z621" s="49"/>
    </row>
    <row r="622" spans="1:26" ht="13">
      <c r="A622" s="49"/>
      <c r="B622" s="49"/>
      <c r="C622" s="49"/>
      <c r="D622" s="49"/>
      <c r="E622" s="49"/>
      <c r="F622" s="49"/>
      <c r="G622" s="49"/>
      <c r="H622" s="49"/>
      <c r="I622" s="49"/>
      <c r="J622" s="49"/>
      <c r="K622" s="49"/>
      <c r="L622" s="49"/>
      <c r="M622" s="49"/>
      <c r="N622" s="49"/>
      <c r="O622" s="49"/>
      <c r="P622" s="49"/>
      <c r="Q622" s="49"/>
      <c r="R622" s="49"/>
      <c r="S622" s="49"/>
      <c r="T622" s="49"/>
      <c r="U622" s="49"/>
      <c r="V622" s="49"/>
      <c r="W622" s="49"/>
      <c r="X622" s="49"/>
      <c r="Y622" s="49"/>
      <c r="Z622" s="49"/>
    </row>
    <row r="623" spans="1:26" ht="13">
      <c r="A623" s="49"/>
      <c r="B623" s="49"/>
      <c r="C623" s="49"/>
      <c r="D623" s="49"/>
      <c r="E623" s="49"/>
      <c r="F623" s="49"/>
      <c r="G623" s="49"/>
      <c r="H623" s="49"/>
      <c r="I623" s="49"/>
      <c r="J623" s="49"/>
      <c r="K623" s="49"/>
      <c r="L623" s="49"/>
      <c r="M623" s="49"/>
      <c r="N623" s="49"/>
      <c r="O623" s="49"/>
      <c r="P623" s="49"/>
      <c r="Q623" s="49"/>
      <c r="R623" s="49"/>
      <c r="S623" s="49"/>
      <c r="T623" s="49"/>
      <c r="U623" s="49"/>
      <c r="V623" s="49"/>
      <c r="W623" s="49"/>
      <c r="X623" s="49"/>
      <c r="Y623" s="49"/>
      <c r="Z623" s="49"/>
    </row>
    <row r="624" spans="1:26" ht="13">
      <c r="A624" s="49"/>
      <c r="B624" s="49"/>
      <c r="C624" s="49"/>
      <c r="D624" s="49"/>
      <c r="E624" s="49"/>
      <c r="F624" s="49"/>
      <c r="G624" s="49"/>
      <c r="H624" s="49"/>
      <c r="I624" s="49"/>
      <c r="J624" s="49"/>
      <c r="K624" s="49"/>
      <c r="L624" s="49"/>
      <c r="M624" s="49"/>
      <c r="N624" s="49"/>
      <c r="O624" s="49"/>
      <c r="P624" s="49"/>
      <c r="Q624" s="49"/>
      <c r="R624" s="49"/>
      <c r="S624" s="49"/>
      <c r="T624" s="49"/>
      <c r="U624" s="49"/>
      <c r="V624" s="49"/>
      <c r="W624" s="49"/>
      <c r="X624" s="49"/>
      <c r="Y624" s="49"/>
      <c r="Z624" s="49"/>
    </row>
    <row r="625" spans="1:26" ht="13">
      <c r="A625" s="49"/>
      <c r="B625" s="49"/>
      <c r="C625" s="49"/>
      <c r="D625" s="49"/>
      <c r="E625" s="49"/>
      <c r="F625" s="49"/>
      <c r="G625" s="49"/>
      <c r="H625" s="49"/>
      <c r="I625" s="49"/>
      <c r="J625" s="49"/>
      <c r="K625" s="49"/>
      <c r="L625" s="49"/>
      <c r="M625" s="49"/>
      <c r="N625" s="49"/>
      <c r="O625" s="49"/>
      <c r="P625" s="49"/>
      <c r="Q625" s="49"/>
      <c r="R625" s="49"/>
      <c r="S625" s="49"/>
      <c r="T625" s="49"/>
      <c r="U625" s="49"/>
      <c r="V625" s="49"/>
      <c r="W625" s="49"/>
      <c r="X625" s="49"/>
      <c r="Y625" s="49"/>
      <c r="Z625" s="49"/>
    </row>
    <row r="626" spans="1:26" ht="13">
      <c r="A626" s="49"/>
      <c r="B626" s="49"/>
      <c r="C626" s="49"/>
      <c r="D626" s="49"/>
      <c r="E626" s="49"/>
      <c r="F626" s="49"/>
      <c r="G626" s="49"/>
      <c r="H626" s="49"/>
      <c r="I626" s="49"/>
      <c r="J626" s="49"/>
      <c r="K626" s="49"/>
      <c r="L626" s="49"/>
      <c r="M626" s="49"/>
      <c r="N626" s="49"/>
      <c r="O626" s="49"/>
      <c r="P626" s="49"/>
      <c r="Q626" s="49"/>
      <c r="R626" s="49"/>
      <c r="S626" s="49"/>
      <c r="T626" s="49"/>
      <c r="U626" s="49"/>
      <c r="V626" s="49"/>
      <c r="W626" s="49"/>
      <c r="X626" s="49"/>
      <c r="Y626" s="49"/>
      <c r="Z626" s="49"/>
    </row>
    <row r="627" spans="1:26" ht="13">
      <c r="A627" s="49"/>
      <c r="B627" s="49"/>
      <c r="C627" s="49"/>
      <c r="D627" s="49"/>
      <c r="E627" s="49"/>
      <c r="F627" s="49"/>
      <c r="G627" s="49"/>
      <c r="H627" s="49"/>
      <c r="I627" s="49"/>
      <c r="J627" s="49"/>
      <c r="K627" s="49"/>
      <c r="L627" s="49"/>
      <c r="M627" s="49"/>
      <c r="N627" s="49"/>
      <c r="O627" s="49"/>
      <c r="P627" s="49"/>
      <c r="Q627" s="49"/>
      <c r="R627" s="49"/>
      <c r="S627" s="49"/>
      <c r="T627" s="49"/>
      <c r="U627" s="49"/>
      <c r="V627" s="49"/>
      <c r="W627" s="49"/>
      <c r="X627" s="49"/>
      <c r="Y627" s="49"/>
      <c r="Z627" s="49"/>
    </row>
    <row r="628" spans="1:26" ht="13">
      <c r="A628" s="49"/>
      <c r="B628" s="49"/>
      <c r="C628" s="49"/>
      <c r="D628" s="49"/>
      <c r="E628" s="49"/>
      <c r="F628" s="49"/>
      <c r="G628" s="49"/>
      <c r="H628" s="49"/>
      <c r="I628" s="49"/>
      <c r="J628" s="49"/>
      <c r="K628" s="49"/>
      <c r="L628" s="49"/>
      <c r="M628" s="49"/>
      <c r="N628" s="49"/>
      <c r="O628" s="49"/>
      <c r="P628" s="49"/>
      <c r="Q628" s="49"/>
      <c r="R628" s="49"/>
      <c r="S628" s="49"/>
      <c r="T628" s="49"/>
      <c r="U628" s="49"/>
      <c r="V628" s="49"/>
      <c r="W628" s="49"/>
      <c r="X628" s="49"/>
      <c r="Y628" s="49"/>
      <c r="Z628" s="49"/>
    </row>
    <row r="629" spans="1:26" ht="13">
      <c r="A629" s="49"/>
      <c r="B629" s="49"/>
      <c r="C629" s="49"/>
      <c r="D629" s="49"/>
      <c r="E629" s="49"/>
      <c r="F629" s="49"/>
      <c r="G629" s="49"/>
      <c r="H629" s="49"/>
      <c r="I629" s="49"/>
      <c r="J629" s="49"/>
      <c r="K629" s="49"/>
      <c r="L629" s="49"/>
      <c r="M629" s="49"/>
      <c r="N629" s="49"/>
      <c r="O629" s="49"/>
      <c r="P629" s="49"/>
      <c r="Q629" s="49"/>
      <c r="R629" s="49"/>
      <c r="S629" s="49"/>
      <c r="T629" s="49"/>
      <c r="U629" s="49"/>
      <c r="V629" s="49"/>
      <c r="W629" s="49"/>
      <c r="X629" s="49"/>
      <c r="Y629" s="49"/>
      <c r="Z629" s="49"/>
    </row>
    <row r="630" spans="1:26" ht="13">
      <c r="A630" s="49"/>
      <c r="B630" s="49"/>
      <c r="C630" s="49"/>
      <c r="D630" s="49"/>
      <c r="E630" s="49"/>
      <c r="F630" s="49"/>
      <c r="G630" s="49"/>
      <c r="H630" s="49"/>
      <c r="I630" s="49"/>
      <c r="J630" s="49"/>
      <c r="K630" s="49"/>
      <c r="L630" s="49"/>
      <c r="M630" s="49"/>
      <c r="N630" s="49"/>
      <c r="O630" s="49"/>
      <c r="P630" s="49"/>
      <c r="Q630" s="49"/>
      <c r="R630" s="49"/>
      <c r="S630" s="49"/>
      <c r="T630" s="49"/>
      <c r="U630" s="49"/>
      <c r="V630" s="49"/>
      <c r="W630" s="49"/>
      <c r="X630" s="49"/>
      <c r="Y630" s="49"/>
      <c r="Z630" s="49"/>
    </row>
    <row r="631" spans="1:26" ht="13">
      <c r="A631" s="49"/>
      <c r="B631" s="49"/>
      <c r="C631" s="49"/>
      <c r="D631" s="49"/>
      <c r="E631" s="49"/>
      <c r="F631" s="49"/>
      <c r="G631" s="49"/>
      <c r="H631" s="49"/>
      <c r="I631" s="49"/>
      <c r="J631" s="49"/>
      <c r="K631" s="49"/>
      <c r="L631" s="49"/>
      <c r="M631" s="49"/>
      <c r="N631" s="49"/>
      <c r="O631" s="49"/>
      <c r="P631" s="49"/>
      <c r="Q631" s="49"/>
      <c r="R631" s="49"/>
      <c r="S631" s="49"/>
      <c r="T631" s="49"/>
      <c r="U631" s="49"/>
      <c r="V631" s="49"/>
      <c r="W631" s="49"/>
      <c r="X631" s="49"/>
      <c r="Y631" s="49"/>
      <c r="Z631" s="49"/>
    </row>
    <row r="632" spans="1:26" ht="13">
      <c r="A632" s="49"/>
      <c r="B632" s="49"/>
      <c r="C632" s="49"/>
      <c r="D632" s="49"/>
      <c r="E632" s="49"/>
      <c r="F632" s="49"/>
      <c r="G632" s="49"/>
      <c r="H632" s="49"/>
      <c r="I632" s="49"/>
      <c r="J632" s="49"/>
      <c r="K632" s="49"/>
      <c r="L632" s="49"/>
      <c r="M632" s="49"/>
      <c r="N632" s="49"/>
      <c r="O632" s="49"/>
      <c r="P632" s="49"/>
      <c r="Q632" s="49"/>
      <c r="R632" s="49"/>
      <c r="S632" s="49"/>
      <c r="T632" s="49"/>
      <c r="U632" s="49"/>
      <c r="V632" s="49"/>
      <c r="W632" s="49"/>
      <c r="X632" s="49"/>
      <c r="Y632" s="49"/>
      <c r="Z632" s="49"/>
    </row>
    <row r="633" spans="1:26" ht="13">
      <c r="A633" s="49"/>
      <c r="B633" s="49"/>
      <c r="C633" s="49"/>
      <c r="D633" s="49"/>
      <c r="E633" s="49"/>
      <c r="F633" s="49"/>
      <c r="G633" s="49"/>
      <c r="H633" s="49"/>
      <c r="I633" s="49"/>
      <c r="J633" s="49"/>
      <c r="K633" s="49"/>
      <c r="L633" s="49"/>
      <c r="M633" s="49"/>
      <c r="N633" s="49"/>
      <c r="O633" s="49"/>
      <c r="P633" s="49"/>
      <c r="Q633" s="49"/>
      <c r="R633" s="49"/>
      <c r="S633" s="49"/>
      <c r="T633" s="49"/>
      <c r="U633" s="49"/>
      <c r="V633" s="49"/>
      <c r="W633" s="49"/>
      <c r="X633" s="49"/>
      <c r="Y633" s="49"/>
      <c r="Z633" s="49"/>
    </row>
    <row r="634" spans="1:26" ht="13">
      <c r="A634" s="49"/>
      <c r="B634" s="49"/>
      <c r="C634" s="49"/>
      <c r="D634" s="49"/>
      <c r="E634" s="49"/>
      <c r="F634" s="49"/>
      <c r="G634" s="49"/>
      <c r="H634" s="49"/>
      <c r="I634" s="49"/>
      <c r="J634" s="49"/>
      <c r="K634" s="49"/>
      <c r="L634" s="49"/>
      <c r="M634" s="49"/>
      <c r="N634" s="49"/>
      <c r="O634" s="49"/>
      <c r="P634" s="49"/>
      <c r="Q634" s="49"/>
      <c r="R634" s="49"/>
      <c r="S634" s="49"/>
      <c r="T634" s="49"/>
      <c r="U634" s="49"/>
      <c r="V634" s="49"/>
      <c r="W634" s="49"/>
      <c r="X634" s="49"/>
      <c r="Y634" s="49"/>
      <c r="Z634" s="49"/>
    </row>
    <row r="635" spans="1:26" ht="13">
      <c r="A635" s="49"/>
      <c r="B635" s="49"/>
      <c r="C635" s="49"/>
      <c r="D635" s="49"/>
      <c r="E635" s="49"/>
      <c r="F635" s="49"/>
      <c r="G635" s="49"/>
      <c r="H635" s="49"/>
      <c r="I635" s="49"/>
      <c r="J635" s="49"/>
      <c r="K635" s="49"/>
      <c r="L635" s="49"/>
      <c r="M635" s="49"/>
      <c r="N635" s="49"/>
      <c r="O635" s="49"/>
      <c r="P635" s="49"/>
      <c r="Q635" s="49"/>
      <c r="R635" s="49"/>
      <c r="S635" s="49"/>
      <c r="T635" s="49"/>
      <c r="U635" s="49"/>
      <c r="V635" s="49"/>
      <c r="W635" s="49"/>
      <c r="X635" s="49"/>
      <c r="Y635" s="49"/>
      <c r="Z635" s="49"/>
    </row>
    <row r="636" spans="1:26" ht="13">
      <c r="A636" s="49"/>
      <c r="B636" s="49"/>
      <c r="C636" s="49"/>
      <c r="D636" s="49"/>
      <c r="E636" s="49"/>
      <c r="F636" s="49"/>
      <c r="G636" s="49"/>
      <c r="H636" s="49"/>
      <c r="I636" s="49"/>
      <c r="J636" s="49"/>
      <c r="K636" s="49"/>
      <c r="L636" s="49"/>
      <c r="M636" s="49"/>
      <c r="N636" s="49"/>
      <c r="O636" s="49"/>
      <c r="P636" s="49"/>
      <c r="Q636" s="49"/>
      <c r="R636" s="49"/>
      <c r="S636" s="49"/>
      <c r="T636" s="49"/>
      <c r="U636" s="49"/>
      <c r="V636" s="49"/>
      <c r="W636" s="49"/>
      <c r="X636" s="49"/>
      <c r="Y636" s="49"/>
      <c r="Z636" s="49"/>
    </row>
    <row r="637" spans="1:26" ht="13">
      <c r="A637" s="49"/>
      <c r="B637" s="49"/>
      <c r="C637" s="49"/>
      <c r="D637" s="49"/>
      <c r="E637" s="49"/>
      <c r="F637" s="49"/>
      <c r="G637" s="49"/>
      <c r="H637" s="49"/>
      <c r="I637" s="49"/>
      <c r="J637" s="49"/>
      <c r="K637" s="49"/>
      <c r="L637" s="49"/>
      <c r="M637" s="49"/>
      <c r="N637" s="49"/>
      <c r="O637" s="49"/>
      <c r="P637" s="49"/>
      <c r="Q637" s="49"/>
      <c r="R637" s="49"/>
      <c r="S637" s="49"/>
      <c r="T637" s="49"/>
      <c r="U637" s="49"/>
      <c r="V637" s="49"/>
      <c r="W637" s="49"/>
      <c r="X637" s="49"/>
      <c r="Y637" s="49"/>
      <c r="Z637" s="49"/>
    </row>
    <row r="638" spans="1:26" ht="13">
      <c r="A638" s="49"/>
      <c r="B638" s="49"/>
      <c r="C638" s="49"/>
      <c r="D638" s="49"/>
      <c r="E638" s="49"/>
      <c r="F638" s="49"/>
      <c r="G638" s="49"/>
      <c r="H638" s="49"/>
      <c r="I638" s="49"/>
      <c r="J638" s="49"/>
      <c r="K638" s="49"/>
      <c r="L638" s="49"/>
      <c r="M638" s="49"/>
      <c r="N638" s="49"/>
      <c r="O638" s="49"/>
      <c r="P638" s="49"/>
      <c r="Q638" s="49"/>
      <c r="R638" s="49"/>
      <c r="S638" s="49"/>
      <c r="T638" s="49"/>
      <c r="U638" s="49"/>
      <c r="V638" s="49"/>
      <c r="W638" s="49"/>
      <c r="X638" s="49"/>
      <c r="Y638" s="49"/>
      <c r="Z638" s="49"/>
    </row>
    <row r="639" spans="1:26" ht="13">
      <c r="A639" s="49"/>
      <c r="B639" s="49"/>
      <c r="C639" s="49"/>
      <c r="D639" s="49"/>
      <c r="E639" s="49"/>
      <c r="F639" s="49"/>
      <c r="G639" s="49"/>
      <c r="H639" s="49"/>
      <c r="I639" s="49"/>
      <c r="J639" s="49"/>
      <c r="K639" s="49"/>
      <c r="L639" s="49"/>
      <c r="M639" s="49"/>
      <c r="N639" s="49"/>
      <c r="O639" s="49"/>
      <c r="P639" s="49"/>
      <c r="Q639" s="49"/>
      <c r="R639" s="49"/>
      <c r="S639" s="49"/>
      <c r="T639" s="49"/>
      <c r="U639" s="49"/>
      <c r="V639" s="49"/>
      <c r="W639" s="49"/>
      <c r="X639" s="49"/>
      <c r="Y639" s="49"/>
      <c r="Z639" s="49"/>
    </row>
    <row r="640" spans="1:26" ht="13">
      <c r="A640" s="49"/>
      <c r="B640" s="49"/>
      <c r="C640" s="49"/>
      <c r="D640" s="49"/>
      <c r="E640" s="49"/>
      <c r="F640" s="49"/>
      <c r="G640" s="49"/>
      <c r="H640" s="49"/>
      <c r="I640" s="49"/>
      <c r="J640" s="49"/>
      <c r="K640" s="49"/>
      <c r="L640" s="49"/>
      <c r="M640" s="49"/>
      <c r="N640" s="49"/>
      <c r="O640" s="49"/>
      <c r="P640" s="49"/>
      <c r="Q640" s="49"/>
      <c r="R640" s="49"/>
      <c r="S640" s="49"/>
      <c r="T640" s="49"/>
      <c r="U640" s="49"/>
      <c r="V640" s="49"/>
      <c r="W640" s="49"/>
      <c r="X640" s="49"/>
      <c r="Y640" s="49"/>
      <c r="Z640" s="49"/>
    </row>
    <row r="641" spans="1:26" ht="13">
      <c r="A641" s="49"/>
      <c r="B641" s="49"/>
      <c r="C641" s="49"/>
      <c r="D641" s="49"/>
      <c r="E641" s="49"/>
      <c r="F641" s="49"/>
      <c r="G641" s="49"/>
      <c r="H641" s="49"/>
      <c r="I641" s="49"/>
      <c r="J641" s="49"/>
      <c r="K641" s="49"/>
      <c r="L641" s="49"/>
      <c r="M641" s="49"/>
      <c r="N641" s="49"/>
      <c r="O641" s="49"/>
      <c r="P641" s="49"/>
      <c r="Q641" s="49"/>
      <c r="R641" s="49"/>
      <c r="S641" s="49"/>
      <c r="T641" s="49"/>
      <c r="U641" s="49"/>
      <c r="V641" s="49"/>
      <c r="W641" s="49"/>
      <c r="X641" s="49"/>
      <c r="Y641" s="49"/>
      <c r="Z641" s="49"/>
    </row>
    <row r="642" spans="1:26" ht="13">
      <c r="A642" s="49"/>
      <c r="B642" s="49"/>
      <c r="C642" s="49"/>
      <c r="D642" s="49"/>
      <c r="E642" s="49"/>
      <c r="F642" s="49"/>
      <c r="G642" s="49"/>
      <c r="H642" s="49"/>
      <c r="I642" s="49"/>
      <c r="J642" s="49"/>
      <c r="K642" s="49"/>
      <c r="L642" s="49"/>
      <c r="M642" s="49"/>
      <c r="N642" s="49"/>
      <c r="O642" s="49"/>
      <c r="P642" s="49"/>
      <c r="Q642" s="49"/>
      <c r="R642" s="49"/>
      <c r="S642" s="49"/>
      <c r="T642" s="49"/>
      <c r="U642" s="49"/>
      <c r="V642" s="49"/>
      <c r="W642" s="49"/>
      <c r="X642" s="49"/>
      <c r="Y642" s="49"/>
      <c r="Z642" s="49"/>
    </row>
    <row r="643" spans="1:26" ht="13">
      <c r="A643" s="49"/>
      <c r="B643" s="49"/>
      <c r="C643" s="49"/>
      <c r="D643" s="49"/>
      <c r="E643" s="49"/>
      <c r="F643" s="49"/>
      <c r="G643" s="49"/>
      <c r="H643" s="49"/>
      <c r="I643" s="49"/>
      <c r="J643" s="49"/>
      <c r="K643" s="49"/>
      <c r="L643" s="49"/>
      <c r="M643" s="49"/>
      <c r="N643" s="49"/>
      <c r="O643" s="49"/>
      <c r="P643" s="49"/>
      <c r="Q643" s="49"/>
      <c r="R643" s="49"/>
      <c r="S643" s="49"/>
      <c r="T643" s="49"/>
      <c r="U643" s="49"/>
      <c r="V643" s="49"/>
      <c r="W643" s="49"/>
      <c r="X643" s="49"/>
      <c r="Y643" s="49"/>
      <c r="Z643" s="49"/>
    </row>
    <row r="644" spans="1:26" ht="13">
      <c r="A644" s="49"/>
      <c r="B644" s="49"/>
      <c r="C644" s="49"/>
      <c r="D644" s="49"/>
      <c r="E644" s="49"/>
      <c r="F644" s="49"/>
      <c r="G644" s="49"/>
      <c r="H644" s="49"/>
      <c r="I644" s="49"/>
      <c r="J644" s="49"/>
      <c r="K644" s="49"/>
      <c r="L644" s="49"/>
      <c r="M644" s="49"/>
      <c r="N644" s="49"/>
      <c r="O644" s="49"/>
      <c r="P644" s="49"/>
      <c r="Q644" s="49"/>
      <c r="R644" s="49"/>
      <c r="S644" s="49"/>
      <c r="T644" s="49"/>
      <c r="U644" s="49"/>
      <c r="V644" s="49"/>
      <c r="W644" s="49"/>
      <c r="X644" s="49"/>
      <c r="Y644" s="49"/>
      <c r="Z644" s="49"/>
    </row>
    <row r="645" spans="1:26" ht="13">
      <c r="A645" s="49"/>
      <c r="B645" s="49"/>
      <c r="C645" s="49"/>
      <c r="D645" s="49"/>
      <c r="E645" s="49"/>
      <c r="F645" s="49"/>
      <c r="G645" s="49"/>
      <c r="H645" s="49"/>
      <c r="I645" s="49"/>
      <c r="J645" s="49"/>
      <c r="K645" s="49"/>
      <c r="L645" s="49"/>
      <c r="M645" s="49"/>
      <c r="N645" s="49"/>
      <c r="O645" s="49"/>
      <c r="P645" s="49"/>
      <c r="Q645" s="49"/>
      <c r="R645" s="49"/>
      <c r="S645" s="49"/>
      <c r="T645" s="49"/>
      <c r="U645" s="49"/>
      <c r="V645" s="49"/>
      <c r="W645" s="49"/>
      <c r="X645" s="49"/>
      <c r="Y645" s="49"/>
      <c r="Z645" s="49"/>
    </row>
    <row r="646" spans="1:26" ht="13">
      <c r="A646" s="49"/>
      <c r="B646" s="49"/>
      <c r="C646" s="49"/>
      <c r="D646" s="49"/>
      <c r="E646" s="49"/>
      <c r="F646" s="49"/>
      <c r="G646" s="49"/>
      <c r="H646" s="49"/>
      <c r="I646" s="49"/>
      <c r="J646" s="49"/>
      <c r="K646" s="49"/>
      <c r="L646" s="49"/>
      <c r="M646" s="49"/>
      <c r="N646" s="49"/>
      <c r="O646" s="49"/>
      <c r="P646" s="49"/>
      <c r="Q646" s="49"/>
      <c r="R646" s="49"/>
      <c r="S646" s="49"/>
      <c r="T646" s="49"/>
      <c r="U646" s="49"/>
      <c r="V646" s="49"/>
      <c r="W646" s="49"/>
      <c r="X646" s="49"/>
      <c r="Y646" s="49"/>
      <c r="Z646" s="49"/>
    </row>
    <row r="647" spans="1:26" ht="13">
      <c r="A647" s="49"/>
      <c r="B647" s="49"/>
      <c r="C647" s="49"/>
      <c r="D647" s="49"/>
      <c r="E647" s="49"/>
      <c r="F647" s="49"/>
      <c r="G647" s="49"/>
      <c r="H647" s="49"/>
      <c r="I647" s="49"/>
      <c r="J647" s="49"/>
      <c r="K647" s="49"/>
      <c r="L647" s="49"/>
      <c r="M647" s="49"/>
      <c r="N647" s="49"/>
      <c r="O647" s="49"/>
      <c r="P647" s="49"/>
      <c r="Q647" s="49"/>
      <c r="R647" s="49"/>
      <c r="S647" s="49"/>
      <c r="T647" s="49"/>
      <c r="U647" s="49"/>
      <c r="V647" s="49"/>
      <c r="W647" s="49"/>
      <c r="X647" s="49"/>
      <c r="Y647" s="49"/>
      <c r="Z647" s="49"/>
    </row>
    <row r="648" spans="1:26" ht="13">
      <c r="A648" s="49"/>
      <c r="B648" s="49"/>
      <c r="C648" s="49"/>
      <c r="D648" s="49"/>
      <c r="E648" s="49"/>
      <c r="F648" s="49"/>
      <c r="G648" s="49"/>
      <c r="H648" s="49"/>
      <c r="I648" s="49"/>
      <c r="J648" s="49"/>
      <c r="K648" s="49"/>
      <c r="L648" s="49"/>
      <c r="M648" s="49"/>
      <c r="N648" s="49"/>
      <c r="O648" s="49"/>
      <c r="P648" s="49"/>
      <c r="Q648" s="49"/>
      <c r="R648" s="49"/>
      <c r="S648" s="49"/>
      <c r="T648" s="49"/>
      <c r="U648" s="49"/>
      <c r="V648" s="49"/>
      <c r="W648" s="49"/>
      <c r="X648" s="49"/>
      <c r="Y648" s="49"/>
      <c r="Z648" s="49"/>
    </row>
    <row r="649" spans="1:26" ht="13">
      <c r="A649" s="49"/>
      <c r="B649" s="49"/>
      <c r="C649" s="49"/>
      <c r="D649" s="49"/>
      <c r="E649" s="49"/>
      <c r="F649" s="49"/>
      <c r="G649" s="49"/>
      <c r="H649" s="49"/>
      <c r="I649" s="49"/>
      <c r="J649" s="49"/>
      <c r="K649" s="49"/>
      <c r="L649" s="49"/>
      <c r="M649" s="49"/>
      <c r="N649" s="49"/>
      <c r="O649" s="49"/>
      <c r="P649" s="49"/>
      <c r="Q649" s="49"/>
      <c r="R649" s="49"/>
      <c r="S649" s="49"/>
      <c r="T649" s="49"/>
      <c r="U649" s="49"/>
      <c r="V649" s="49"/>
      <c r="W649" s="49"/>
      <c r="X649" s="49"/>
      <c r="Y649" s="49"/>
      <c r="Z649" s="49"/>
    </row>
    <row r="650" spans="1:26" ht="13">
      <c r="A650" s="49"/>
      <c r="B650" s="49"/>
      <c r="C650" s="49"/>
      <c r="D650" s="49"/>
      <c r="E650" s="49"/>
      <c r="F650" s="49"/>
      <c r="G650" s="49"/>
      <c r="H650" s="49"/>
      <c r="I650" s="49"/>
      <c r="J650" s="49"/>
      <c r="K650" s="49"/>
      <c r="L650" s="49"/>
      <c r="M650" s="49"/>
      <c r="N650" s="49"/>
      <c r="O650" s="49"/>
      <c r="P650" s="49"/>
      <c r="Q650" s="49"/>
      <c r="R650" s="49"/>
      <c r="S650" s="49"/>
      <c r="T650" s="49"/>
      <c r="U650" s="49"/>
      <c r="V650" s="49"/>
      <c r="W650" s="49"/>
      <c r="X650" s="49"/>
      <c r="Y650" s="49"/>
      <c r="Z650" s="49"/>
    </row>
    <row r="651" spans="1:26" ht="13">
      <c r="A651" s="49"/>
      <c r="B651" s="49"/>
      <c r="C651" s="49"/>
      <c r="D651" s="49"/>
      <c r="E651" s="49"/>
      <c r="F651" s="49"/>
      <c r="G651" s="49"/>
      <c r="H651" s="49"/>
      <c r="I651" s="49"/>
      <c r="J651" s="49"/>
      <c r="K651" s="49"/>
      <c r="L651" s="49"/>
      <c r="M651" s="49"/>
      <c r="N651" s="49"/>
      <c r="O651" s="49"/>
      <c r="P651" s="49"/>
      <c r="Q651" s="49"/>
      <c r="R651" s="49"/>
      <c r="S651" s="49"/>
      <c r="T651" s="49"/>
      <c r="U651" s="49"/>
      <c r="V651" s="49"/>
      <c r="W651" s="49"/>
      <c r="X651" s="49"/>
      <c r="Y651" s="49"/>
      <c r="Z651" s="49"/>
    </row>
    <row r="652" spans="1:26" ht="13">
      <c r="A652" s="49"/>
      <c r="B652" s="49"/>
      <c r="C652" s="49"/>
      <c r="D652" s="49"/>
      <c r="E652" s="49"/>
      <c r="F652" s="49"/>
      <c r="G652" s="49"/>
      <c r="H652" s="49"/>
      <c r="I652" s="49"/>
      <c r="J652" s="49"/>
      <c r="K652" s="49"/>
      <c r="L652" s="49"/>
      <c r="M652" s="49"/>
      <c r="N652" s="49"/>
      <c r="O652" s="49"/>
      <c r="P652" s="49"/>
      <c r="Q652" s="49"/>
      <c r="R652" s="49"/>
      <c r="S652" s="49"/>
      <c r="T652" s="49"/>
      <c r="U652" s="49"/>
      <c r="V652" s="49"/>
      <c r="W652" s="49"/>
      <c r="X652" s="49"/>
      <c r="Y652" s="49"/>
      <c r="Z652" s="49"/>
    </row>
    <row r="653" spans="1:26" ht="13">
      <c r="A653" s="49"/>
      <c r="B653" s="49"/>
      <c r="C653" s="49"/>
      <c r="D653" s="49"/>
      <c r="E653" s="49"/>
      <c r="F653" s="49"/>
      <c r="G653" s="49"/>
      <c r="H653" s="49"/>
      <c r="I653" s="49"/>
      <c r="J653" s="49"/>
      <c r="K653" s="49"/>
      <c r="L653" s="49"/>
      <c r="M653" s="49"/>
      <c r="N653" s="49"/>
      <c r="O653" s="49"/>
      <c r="P653" s="49"/>
      <c r="Q653" s="49"/>
      <c r="R653" s="49"/>
      <c r="S653" s="49"/>
      <c r="T653" s="49"/>
      <c r="U653" s="49"/>
      <c r="V653" s="49"/>
      <c r="W653" s="49"/>
      <c r="X653" s="49"/>
      <c r="Y653" s="49"/>
      <c r="Z653" s="49"/>
    </row>
    <row r="654" spans="1:26" ht="13">
      <c r="A654" s="49"/>
      <c r="B654" s="49"/>
      <c r="C654" s="49"/>
      <c r="D654" s="49"/>
      <c r="E654" s="49"/>
      <c r="F654" s="49"/>
      <c r="G654" s="49"/>
      <c r="H654" s="49"/>
      <c r="I654" s="49"/>
      <c r="J654" s="49"/>
      <c r="K654" s="49"/>
      <c r="L654" s="49"/>
      <c r="M654" s="49"/>
      <c r="N654" s="49"/>
      <c r="O654" s="49"/>
      <c r="P654" s="49"/>
      <c r="Q654" s="49"/>
      <c r="R654" s="49"/>
      <c r="S654" s="49"/>
      <c r="T654" s="49"/>
      <c r="U654" s="49"/>
      <c r="V654" s="49"/>
      <c r="W654" s="49"/>
      <c r="X654" s="49"/>
      <c r="Y654" s="49"/>
      <c r="Z654" s="49"/>
    </row>
    <row r="655" spans="1:26" ht="13">
      <c r="A655" s="49"/>
      <c r="B655" s="49"/>
      <c r="C655" s="49"/>
      <c r="D655" s="49"/>
      <c r="E655" s="49"/>
      <c r="F655" s="49"/>
      <c r="G655" s="49"/>
      <c r="H655" s="49"/>
      <c r="I655" s="49"/>
      <c r="J655" s="49"/>
      <c r="K655" s="49"/>
      <c r="L655" s="49"/>
      <c r="M655" s="49"/>
      <c r="N655" s="49"/>
      <c r="O655" s="49"/>
      <c r="P655" s="49"/>
      <c r="Q655" s="49"/>
      <c r="R655" s="49"/>
      <c r="S655" s="49"/>
      <c r="T655" s="49"/>
      <c r="U655" s="49"/>
      <c r="V655" s="49"/>
      <c r="W655" s="49"/>
      <c r="X655" s="49"/>
      <c r="Y655" s="49"/>
      <c r="Z655" s="49"/>
    </row>
    <row r="656" spans="1:26" ht="13">
      <c r="A656" s="49"/>
      <c r="B656" s="49"/>
      <c r="C656" s="49"/>
      <c r="D656" s="49"/>
      <c r="E656" s="49"/>
      <c r="F656" s="49"/>
      <c r="G656" s="49"/>
      <c r="H656" s="49"/>
      <c r="I656" s="49"/>
      <c r="J656" s="49"/>
      <c r="K656" s="49"/>
      <c r="L656" s="49"/>
      <c r="M656" s="49"/>
      <c r="N656" s="49"/>
      <c r="O656" s="49"/>
      <c r="P656" s="49"/>
      <c r="Q656" s="49"/>
      <c r="R656" s="49"/>
      <c r="S656" s="49"/>
      <c r="T656" s="49"/>
      <c r="U656" s="49"/>
      <c r="V656" s="49"/>
      <c r="W656" s="49"/>
      <c r="X656" s="49"/>
      <c r="Y656" s="49"/>
      <c r="Z656" s="49"/>
    </row>
    <row r="657" spans="1:26" ht="13">
      <c r="A657" s="49"/>
      <c r="B657" s="49"/>
      <c r="C657" s="49"/>
      <c r="D657" s="49"/>
      <c r="E657" s="49"/>
      <c r="F657" s="49"/>
      <c r="G657" s="49"/>
      <c r="H657" s="49"/>
      <c r="I657" s="49"/>
      <c r="J657" s="49"/>
      <c r="K657" s="49"/>
      <c r="L657" s="49"/>
      <c r="M657" s="49"/>
      <c r="N657" s="49"/>
      <c r="O657" s="49"/>
      <c r="P657" s="49"/>
      <c r="Q657" s="49"/>
      <c r="R657" s="49"/>
      <c r="S657" s="49"/>
      <c r="T657" s="49"/>
      <c r="U657" s="49"/>
      <c r="V657" s="49"/>
      <c r="W657" s="49"/>
      <c r="X657" s="49"/>
      <c r="Y657" s="49"/>
      <c r="Z657" s="49"/>
    </row>
    <row r="658" spans="1:26" ht="13">
      <c r="A658" s="49"/>
      <c r="B658" s="49"/>
      <c r="C658" s="49"/>
      <c r="D658" s="49"/>
      <c r="E658" s="49"/>
      <c r="F658" s="49"/>
      <c r="G658" s="49"/>
      <c r="H658" s="49"/>
      <c r="I658" s="49"/>
      <c r="J658" s="49"/>
      <c r="K658" s="49"/>
      <c r="L658" s="49"/>
      <c r="M658" s="49"/>
      <c r="N658" s="49"/>
      <c r="O658" s="49"/>
      <c r="P658" s="49"/>
      <c r="Q658" s="49"/>
      <c r="R658" s="49"/>
      <c r="S658" s="49"/>
      <c r="T658" s="49"/>
      <c r="U658" s="49"/>
      <c r="V658" s="49"/>
      <c r="W658" s="49"/>
      <c r="X658" s="49"/>
      <c r="Y658" s="49"/>
      <c r="Z658" s="49"/>
    </row>
    <row r="659" spans="1:26" ht="13">
      <c r="A659" s="49"/>
      <c r="B659" s="49"/>
      <c r="C659" s="49"/>
      <c r="D659" s="49"/>
      <c r="E659" s="49"/>
      <c r="F659" s="49"/>
      <c r="G659" s="49"/>
      <c r="H659" s="49"/>
      <c r="I659" s="49"/>
      <c r="J659" s="49"/>
      <c r="K659" s="49"/>
      <c r="L659" s="49"/>
      <c r="M659" s="49"/>
      <c r="N659" s="49"/>
      <c r="O659" s="49"/>
      <c r="P659" s="49"/>
      <c r="Q659" s="49"/>
      <c r="R659" s="49"/>
      <c r="S659" s="49"/>
      <c r="T659" s="49"/>
      <c r="U659" s="49"/>
      <c r="V659" s="49"/>
      <c r="W659" s="49"/>
      <c r="X659" s="49"/>
      <c r="Y659" s="49"/>
      <c r="Z659" s="49"/>
    </row>
    <row r="660" spans="1:26" ht="13">
      <c r="A660" s="49"/>
      <c r="B660" s="49"/>
      <c r="C660" s="49"/>
      <c r="D660" s="49"/>
      <c r="E660" s="49"/>
      <c r="F660" s="49"/>
      <c r="G660" s="49"/>
      <c r="H660" s="49"/>
      <c r="I660" s="49"/>
      <c r="J660" s="49"/>
      <c r="K660" s="49"/>
      <c r="L660" s="49"/>
      <c r="M660" s="49"/>
      <c r="N660" s="49"/>
      <c r="O660" s="49"/>
      <c r="P660" s="49"/>
      <c r="Q660" s="49"/>
      <c r="R660" s="49"/>
      <c r="S660" s="49"/>
      <c r="T660" s="49"/>
      <c r="U660" s="49"/>
      <c r="V660" s="49"/>
      <c r="W660" s="49"/>
      <c r="X660" s="49"/>
      <c r="Y660" s="49"/>
      <c r="Z660" s="49"/>
    </row>
    <row r="661" spans="1:26" ht="13">
      <c r="A661" s="49"/>
      <c r="B661" s="49"/>
      <c r="C661" s="49"/>
      <c r="D661" s="49"/>
      <c r="E661" s="49"/>
      <c r="F661" s="49"/>
      <c r="G661" s="49"/>
      <c r="H661" s="49"/>
      <c r="I661" s="49"/>
      <c r="J661" s="49"/>
      <c r="K661" s="49"/>
      <c r="L661" s="49"/>
      <c r="M661" s="49"/>
      <c r="N661" s="49"/>
      <c r="O661" s="49"/>
      <c r="P661" s="49"/>
      <c r="Q661" s="49"/>
      <c r="R661" s="49"/>
      <c r="S661" s="49"/>
      <c r="T661" s="49"/>
      <c r="U661" s="49"/>
      <c r="V661" s="49"/>
      <c r="W661" s="49"/>
      <c r="X661" s="49"/>
      <c r="Y661" s="49"/>
      <c r="Z661" s="49"/>
    </row>
    <row r="662" spans="1:26" ht="13">
      <c r="A662" s="49"/>
      <c r="B662" s="49"/>
      <c r="C662" s="49"/>
      <c r="D662" s="49"/>
      <c r="E662" s="49"/>
      <c r="F662" s="49"/>
      <c r="G662" s="49"/>
      <c r="H662" s="49"/>
      <c r="I662" s="49"/>
      <c r="J662" s="49"/>
      <c r="K662" s="49"/>
      <c r="L662" s="49"/>
      <c r="M662" s="49"/>
      <c r="N662" s="49"/>
      <c r="O662" s="49"/>
      <c r="P662" s="49"/>
      <c r="Q662" s="49"/>
      <c r="R662" s="49"/>
      <c r="S662" s="49"/>
      <c r="T662" s="49"/>
      <c r="U662" s="49"/>
      <c r="V662" s="49"/>
      <c r="W662" s="49"/>
      <c r="X662" s="49"/>
      <c r="Y662" s="49"/>
      <c r="Z662" s="49"/>
    </row>
    <row r="663" spans="1:26" ht="13">
      <c r="A663" s="49"/>
      <c r="B663" s="49"/>
      <c r="C663" s="49"/>
      <c r="D663" s="49"/>
      <c r="E663" s="49"/>
      <c r="F663" s="49"/>
      <c r="G663" s="49"/>
      <c r="H663" s="49"/>
      <c r="I663" s="49"/>
      <c r="J663" s="49"/>
      <c r="K663" s="49"/>
      <c r="L663" s="49"/>
      <c r="M663" s="49"/>
      <c r="N663" s="49"/>
      <c r="O663" s="49"/>
      <c r="P663" s="49"/>
      <c r="Q663" s="49"/>
      <c r="R663" s="49"/>
      <c r="S663" s="49"/>
      <c r="T663" s="49"/>
      <c r="U663" s="49"/>
      <c r="V663" s="49"/>
      <c r="W663" s="49"/>
      <c r="X663" s="49"/>
      <c r="Y663" s="49"/>
      <c r="Z663" s="49"/>
    </row>
    <row r="664" spans="1:26" ht="13">
      <c r="A664" s="49"/>
      <c r="B664" s="49"/>
      <c r="C664" s="49"/>
      <c r="D664" s="49"/>
      <c r="E664" s="49"/>
      <c r="F664" s="49"/>
      <c r="G664" s="49"/>
      <c r="H664" s="49"/>
      <c r="I664" s="49"/>
      <c r="J664" s="49"/>
      <c r="K664" s="49"/>
      <c r="L664" s="49"/>
      <c r="M664" s="49"/>
      <c r="N664" s="49"/>
      <c r="O664" s="49"/>
      <c r="P664" s="49"/>
      <c r="Q664" s="49"/>
      <c r="R664" s="49"/>
      <c r="S664" s="49"/>
      <c r="T664" s="49"/>
      <c r="U664" s="49"/>
      <c r="V664" s="49"/>
      <c r="W664" s="49"/>
      <c r="X664" s="49"/>
      <c r="Y664" s="49"/>
      <c r="Z664" s="49"/>
    </row>
    <row r="665" spans="1:26" ht="13">
      <c r="A665" s="49"/>
      <c r="B665" s="49"/>
      <c r="C665" s="49"/>
      <c r="D665" s="49"/>
      <c r="E665" s="49"/>
      <c r="F665" s="49"/>
      <c r="G665" s="49"/>
      <c r="H665" s="49"/>
      <c r="I665" s="49"/>
      <c r="J665" s="49"/>
      <c r="K665" s="49"/>
      <c r="L665" s="49"/>
      <c r="M665" s="49"/>
      <c r="N665" s="49"/>
      <c r="O665" s="49"/>
      <c r="P665" s="49"/>
      <c r="Q665" s="49"/>
      <c r="R665" s="49"/>
      <c r="S665" s="49"/>
      <c r="T665" s="49"/>
      <c r="U665" s="49"/>
      <c r="V665" s="49"/>
      <c r="W665" s="49"/>
      <c r="X665" s="49"/>
      <c r="Y665" s="49"/>
      <c r="Z665" s="49"/>
    </row>
    <row r="666" spans="1:26" ht="13">
      <c r="A666" s="49"/>
      <c r="B666" s="49"/>
      <c r="C666" s="49"/>
      <c r="D666" s="49"/>
      <c r="E666" s="49"/>
      <c r="F666" s="49"/>
      <c r="G666" s="49"/>
      <c r="H666" s="49"/>
      <c r="I666" s="49"/>
      <c r="J666" s="49"/>
      <c r="K666" s="49"/>
      <c r="L666" s="49"/>
      <c r="M666" s="49"/>
      <c r="N666" s="49"/>
      <c r="O666" s="49"/>
      <c r="P666" s="49"/>
      <c r="Q666" s="49"/>
      <c r="R666" s="49"/>
      <c r="S666" s="49"/>
      <c r="T666" s="49"/>
      <c r="U666" s="49"/>
      <c r="V666" s="49"/>
      <c r="W666" s="49"/>
      <c r="X666" s="49"/>
      <c r="Y666" s="49"/>
      <c r="Z666" s="49"/>
    </row>
    <row r="667" spans="1:26" ht="13">
      <c r="A667" s="49"/>
      <c r="B667" s="49"/>
      <c r="C667" s="49"/>
      <c r="D667" s="49"/>
      <c r="E667" s="49"/>
      <c r="F667" s="49"/>
      <c r="G667" s="49"/>
      <c r="H667" s="49"/>
      <c r="I667" s="49"/>
      <c r="J667" s="49"/>
      <c r="K667" s="49"/>
      <c r="L667" s="49"/>
      <c r="M667" s="49"/>
      <c r="N667" s="49"/>
      <c r="O667" s="49"/>
      <c r="P667" s="49"/>
      <c r="Q667" s="49"/>
      <c r="R667" s="49"/>
      <c r="S667" s="49"/>
      <c r="T667" s="49"/>
      <c r="U667" s="49"/>
      <c r="V667" s="49"/>
      <c r="W667" s="49"/>
      <c r="X667" s="49"/>
      <c r="Y667" s="49"/>
      <c r="Z667" s="49"/>
    </row>
    <row r="668" spans="1:26" ht="13">
      <c r="A668" s="49"/>
      <c r="B668" s="49"/>
      <c r="C668" s="49"/>
      <c r="D668" s="49"/>
      <c r="E668" s="49"/>
      <c r="F668" s="49"/>
      <c r="G668" s="49"/>
      <c r="H668" s="49"/>
      <c r="I668" s="49"/>
      <c r="J668" s="49"/>
      <c r="K668" s="49"/>
      <c r="L668" s="49"/>
      <c r="M668" s="49"/>
      <c r="N668" s="49"/>
      <c r="O668" s="49"/>
      <c r="P668" s="49"/>
      <c r="Q668" s="49"/>
      <c r="R668" s="49"/>
      <c r="S668" s="49"/>
      <c r="T668" s="49"/>
      <c r="U668" s="49"/>
      <c r="V668" s="49"/>
      <c r="W668" s="49"/>
      <c r="X668" s="49"/>
      <c r="Y668" s="49"/>
      <c r="Z668" s="49"/>
    </row>
    <row r="669" spans="1:26" ht="13">
      <c r="A669" s="49"/>
      <c r="B669" s="49"/>
      <c r="C669" s="49"/>
      <c r="D669" s="49"/>
      <c r="E669" s="49"/>
      <c r="F669" s="49"/>
      <c r="G669" s="49"/>
      <c r="H669" s="49"/>
      <c r="I669" s="49"/>
      <c r="J669" s="49"/>
      <c r="K669" s="49"/>
      <c r="L669" s="49"/>
      <c r="M669" s="49"/>
      <c r="N669" s="49"/>
      <c r="O669" s="49"/>
      <c r="P669" s="49"/>
      <c r="Q669" s="49"/>
      <c r="R669" s="49"/>
      <c r="S669" s="49"/>
      <c r="T669" s="49"/>
      <c r="U669" s="49"/>
      <c r="V669" s="49"/>
      <c r="W669" s="49"/>
      <c r="X669" s="49"/>
      <c r="Y669" s="49"/>
      <c r="Z669" s="49"/>
    </row>
    <row r="670" spans="1:26" ht="13">
      <c r="A670" s="49"/>
      <c r="B670" s="49"/>
      <c r="C670" s="49"/>
      <c r="D670" s="49"/>
      <c r="E670" s="49"/>
      <c r="F670" s="49"/>
      <c r="G670" s="49"/>
      <c r="H670" s="49"/>
      <c r="I670" s="49"/>
      <c r="J670" s="49"/>
      <c r="K670" s="49"/>
      <c r="L670" s="49"/>
      <c r="M670" s="49"/>
      <c r="N670" s="49"/>
      <c r="O670" s="49"/>
      <c r="P670" s="49"/>
      <c r="Q670" s="49"/>
      <c r="R670" s="49"/>
      <c r="S670" s="49"/>
      <c r="T670" s="49"/>
      <c r="U670" s="49"/>
      <c r="V670" s="49"/>
      <c r="W670" s="49"/>
      <c r="X670" s="49"/>
      <c r="Y670" s="49"/>
      <c r="Z670" s="49"/>
    </row>
    <row r="671" spans="1:26" ht="13">
      <c r="A671" s="49"/>
      <c r="B671" s="49"/>
      <c r="C671" s="49"/>
      <c r="D671" s="49"/>
      <c r="E671" s="49"/>
      <c r="F671" s="49"/>
      <c r="G671" s="49"/>
      <c r="H671" s="49"/>
      <c r="I671" s="49"/>
      <c r="J671" s="49"/>
      <c r="K671" s="49"/>
      <c r="L671" s="49"/>
      <c r="M671" s="49"/>
      <c r="N671" s="49"/>
      <c r="O671" s="49"/>
      <c r="P671" s="49"/>
      <c r="Q671" s="49"/>
      <c r="R671" s="49"/>
      <c r="S671" s="49"/>
      <c r="T671" s="49"/>
      <c r="U671" s="49"/>
      <c r="V671" s="49"/>
      <c r="W671" s="49"/>
      <c r="X671" s="49"/>
      <c r="Y671" s="49"/>
      <c r="Z671" s="49"/>
    </row>
    <row r="672" spans="1:26" ht="13">
      <c r="A672" s="49"/>
      <c r="B672" s="49"/>
      <c r="C672" s="49"/>
      <c r="D672" s="49"/>
      <c r="E672" s="49"/>
      <c r="F672" s="49"/>
      <c r="G672" s="49"/>
      <c r="H672" s="49"/>
      <c r="I672" s="49"/>
      <c r="J672" s="49"/>
      <c r="K672" s="49"/>
      <c r="L672" s="49"/>
      <c r="M672" s="49"/>
      <c r="N672" s="49"/>
      <c r="O672" s="49"/>
      <c r="P672" s="49"/>
      <c r="Q672" s="49"/>
      <c r="R672" s="49"/>
      <c r="S672" s="49"/>
      <c r="T672" s="49"/>
      <c r="U672" s="49"/>
      <c r="V672" s="49"/>
      <c r="W672" s="49"/>
      <c r="X672" s="49"/>
      <c r="Y672" s="49"/>
      <c r="Z672" s="49"/>
    </row>
    <row r="673" spans="1:26" ht="13">
      <c r="A673" s="49"/>
      <c r="B673" s="49"/>
      <c r="C673" s="49"/>
      <c r="D673" s="49"/>
      <c r="E673" s="49"/>
      <c r="F673" s="49"/>
      <c r="G673" s="49"/>
      <c r="H673" s="49"/>
      <c r="I673" s="49"/>
      <c r="J673" s="49"/>
      <c r="K673" s="49"/>
      <c r="L673" s="49"/>
      <c r="M673" s="49"/>
      <c r="N673" s="49"/>
      <c r="O673" s="49"/>
      <c r="P673" s="49"/>
      <c r="Q673" s="49"/>
      <c r="R673" s="49"/>
      <c r="S673" s="49"/>
      <c r="T673" s="49"/>
      <c r="U673" s="49"/>
      <c r="V673" s="49"/>
      <c r="W673" s="49"/>
      <c r="X673" s="49"/>
      <c r="Y673" s="49"/>
      <c r="Z673" s="49"/>
    </row>
    <row r="674" spans="1:26" ht="13">
      <c r="A674" s="49"/>
      <c r="B674" s="49"/>
      <c r="C674" s="49"/>
      <c r="D674" s="49"/>
      <c r="E674" s="49"/>
      <c r="F674" s="49"/>
      <c r="G674" s="49"/>
      <c r="H674" s="49"/>
      <c r="I674" s="49"/>
      <c r="J674" s="49"/>
      <c r="K674" s="49"/>
      <c r="L674" s="49"/>
      <c r="M674" s="49"/>
      <c r="N674" s="49"/>
      <c r="O674" s="49"/>
      <c r="P674" s="49"/>
      <c r="Q674" s="49"/>
      <c r="R674" s="49"/>
      <c r="S674" s="49"/>
      <c r="T674" s="49"/>
      <c r="U674" s="49"/>
      <c r="V674" s="49"/>
      <c r="W674" s="49"/>
      <c r="X674" s="49"/>
      <c r="Y674" s="49"/>
      <c r="Z674" s="49"/>
    </row>
    <row r="675" spans="1:26" ht="13">
      <c r="A675" s="49"/>
      <c r="B675" s="49"/>
      <c r="C675" s="49"/>
      <c r="D675" s="49"/>
      <c r="E675" s="49"/>
      <c r="F675" s="49"/>
      <c r="G675" s="49"/>
      <c r="H675" s="49"/>
      <c r="I675" s="49"/>
      <c r="J675" s="49"/>
      <c r="K675" s="49"/>
      <c r="L675" s="49"/>
      <c r="M675" s="49"/>
      <c r="N675" s="49"/>
      <c r="O675" s="49"/>
      <c r="P675" s="49"/>
      <c r="Q675" s="49"/>
      <c r="R675" s="49"/>
      <c r="S675" s="49"/>
      <c r="T675" s="49"/>
      <c r="U675" s="49"/>
      <c r="V675" s="49"/>
      <c r="W675" s="49"/>
      <c r="X675" s="49"/>
      <c r="Y675" s="49"/>
      <c r="Z675" s="49"/>
    </row>
    <row r="676" spans="1:26" ht="13">
      <c r="A676" s="49"/>
      <c r="B676" s="49"/>
      <c r="C676" s="49"/>
      <c r="D676" s="49"/>
      <c r="E676" s="49"/>
      <c r="F676" s="49"/>
      <c r="G676" s="49"/>
      <c r="H676" s="49"/>
      <c r="I676" s="49"/>
      <c r="J676" s="49"/>
      <c r="K676" s="49"/>
      <c r="L676" s="49"/>
      <c r="M676" s="49"/>
      <c r="N676" s="49"/>
      <c r="O676" s="49"/>
      <c r="P676" s="49"/>
      <c r="Q676" s="49"/>
      <c r="R676" s="49"/>
      <c r="S676" s="49"/>
      <c r="T676" s="49"/>
      <c r="U676" s="49"/>
      <c r="V676" s="49"/>
      <c r="W676" s="49"/>
      <c r="X676" s="49"/>
      <c r="Y676" s="49"/>
      <c r="Z676" s="49"/>
    </row>
    <row r="677" spans="1:26" ht="13">
      <c r="A677" s="49"/>
      <c r="B677" s="49"/>
      <c r="C677" s="49"/>
      <c r="D677" s="49"/>
      <c r="E677" s="49"/>
      <c r="F677" s="49"/>
      <c r="G677" s="49"/>
      <c r="H677" s="49"/>
      <c r="I677" s="49"/>
      <c r="J677" s="49"/>
      <c r="K677" s="49"/>
      <c r="L677" s="49"/>
      <c r="M677" s="49"/>
      <c r="N677" s="49"/>
      <c r="O677" s="49"/>
      <c r="P677" s="49"/>
      <c r="Q677" s="49"/>
      <c r="R677" s="49"/>
      <c r="S677" s="49"/>
      <c r="T677" s="49"/>
      <c r="U677" s="49"/>
      <c r="V677" s="49"/>
      <c r="W677" s="49"/>
      <c r="X677" s="49"/>
      <c r="Y677" s="49"/>
      <c r="Z677" s="49"/>
    </row>
    <row r="678" spans="1:26" ht="13">
      <c r="A678" s="49"/>
      <c r="B678" s="49"/>
      <c r="C678" s="49"/>
      <c r="D678" s="49"/>
      <c r="E678" s="49"/>
      <c r="F678" s="49"/>
      <c r="G678" s="49"/>
      <c r="H678" s="49"/>
      <c r="I678" s="49"/>
      <c r="J678" s="49"/>
      <c r="K678" s="49"/>
      <c r="L678" s="49"/>
      <c r="M678" s="49"/>
      <c r="N678" s="49"/>
      <c r="O678" s="49"/>
      <c r="P678" s="49"/>
      <c r="Q678" s="49"/>
      <c r="R678" s="49"/>
      <c r="S678" s="49"/>
      <c r="T678" s="49"/>
      <c r="U678" s="49"/>
      <c r="V678" s="49"/>
      <c r="W678" s="49"/>
      <c r="X678" s="49"/>
      <c r="Y678" s="49"/>
      <c r="Z678" s="49"/>
    </row>
    <row r="679" spans="1:26" ht="13">
      <c r="A679" s="49"/>
      <c r="B679" s="49"/>
      <c r="C679" s="49"/>
      <c r="D679" s="49"/>
      <c r="E679" s="49"/>
      <c r="F679" s="49"/>
      <c r="G679" s="49"/>
      <c r="H679" s="49"/>
      <c r="I679" s="49"/>
      <c r="J679" s="49"/>
      <c r="K679" s="49"/>
      <c r="L679" s="49"/>
      <c r="M679" s="49"/>
      <c r="N679" s="49"/>
      <c r="O679" s="49"/>
      <c r="P679" s="49"/>
      <c r="Q679" s="49"/>
      <c r="R679" s="49"/>
      <c r="S679" s="49"/>
      <c r="T679" s="49"/>
      <c r="U679" s="49"/>
      <c r="V679" s="49"/>
      <c r="W679" s="49"/>
      <c r="X679" s="49"/>
      <c r="Y679" s="49"/>
      <c r="Z679" s="49"/>
    </row>
    <row r="680" spans="1:26" ht="13">
      <c r="A680" s="49"/>
      <c r="B680" s="49"/>
      <c r="C680" s="49"/>
      <c r="D680" s="49"/>
      <c r="E680" s="49"/>
      <c r="F680" s="49"/>
      <c r="G680" s="49"/>
      <c r="H680" s="49"/>
      <c r="I680" s="49"/>
      <c r="J680" s="49"/>
      <c r="K680" s="49"/>
      <c r="L680" s="49"/>
      <c r="M680" s="49"/>
      <c r="N680" s="49"/>
      <c r="O680" s="49"/>
      <c r="P680" s="49"/>
      <c r="Q680" s="49"/>
      <c r="R680" s="49"/>
      <c r="S680" s="49"/>
      <c r="T680" s="49"/>
      <c r="U680" s="49"/>
      <c r="V680" s="49"/>
      <c r="W680" s="49"/>
      <c r="X680" s="49"/>
      <c r="Y680" s="49"/>
      <c r="Z680" s="49"/>
    </row>
    <row r="681" spans="1:26" ht="13">
      <c r="A681" s="49"/>
      <c r="B681" s="49"/>
      <c r="C681" s="49"/>
      <c r="D681" s="49"/>
      <c r="E681" s="49"/>
      <c r="F681" s="49"/>
      <c r="G681" s="49"/>
      <c r="H681" s="49"/>
      <c r="I681" s="49"/>
      <c r="J681" s="49"/>
      <c r="K681" s="49"/>
      <c r="L681" s="49"/>
      <c r="M681" s="49"/>
      <c r="N681" s="49"/>
      <c r="O681" s="49"/>
      <c r="P681" s="49"/>
      <c r="Q681" s="49"/>
      <c r="R681" s="49"/>
      <c r="S681" s="49"/>
      <c r="T681" s="49"/>
      <c r="U681" s="49"/>
      <c r="V681" s="49"/>
      <c r="W681" s="49"/>
      <c r="X681" s="49"/>
      <c r="Y681" s="49"/>
      <c r="Z681" s="49"/>
    </row>
    <row r="682" spans="1:26" ht="13">
      <c r="A682" s="49"/>
      <c r="B682" s="49"/>
      <c r="C682" s="49"/>
      <c r="D682" s="49"/>
      <c r="E682" s="49"/>
      <c r="F682" s="49"/>
      <c r="G682" s="49"/>
      <c r="H682" s="49"/>
      <c r="I682" s="49"/>
      <c r="J682" s="49"/>
      <c r="K682" s="49"/>
      <c r="L682" s="49"/>
      <c r="M682" s="49"/>
      <c r="N682" s="49"/>
      <c r="O682" s="49"/>
      <c r="P682" s="49"/>
      <c r="Q682" s="49"/>
      <c r="R682" s="49"/>
      <c r="S682" s="49"/>
      <c r="T682" s="49"/>
      <c r="U682" s="49"/>
      <c r="V682" s="49"/>
      <c r="W682" s="49"/>
      <c r="X682" s="49"/>
      <c r="Y682" s="49"/>
      <c r="Z682" s="49"/>
    </row>
    <row r="683" spans="1:26" ht="13">
      <c r="A683" s="49"/>
      <c r="B683" s="49"/>
      <c r="C683" s="49"/>
      <c r="D683" s="49"/>
      <c r="E683" s="49"/>
      <c r="F683" s="49"/>
      <c r="G683" s="49"/>
      <c r="H683" s="49"/>
      <c r="I683" s="49"/>
      <c r="J683" s="49"/>
      <c r="K683" s="49"/>
      <c r="L683" s="49"/>
      <c r="M683" s="49"/>
      <c r="N683" s="49"/>
      <c r="O683" s="49"/>
      <c r="P683" s="49"/>
      <c r="Q683" s="49"/>
      <c r="R683" s="49"/>
      <c r="S683" s="49"/>
      <c r="T683" s="49"/>
      <c r="U683" s="49"/>
      <c r="V683" s="49"/>
      <c r="W683" s="49"/>
      <c r="X683" s="49"/>
      <c r="Y683" s="49"/>
      <c r="Z683" s="49"/>
    </row>
    <row r="684" spans="1:26" ht="13">
      <c r="A684" s="49"/>
      <c r="B684" s="49"/>
      <c r="C684" s="49"/>
      <c r="D684" s="49"/>
      <c r="E684" s="49"/>
      <c r="F684" s="49"/>
      <c r="G684" s="49"/>
      <c r="H684" s="49"/>
      <c r="I684" s="49"/>
      <c r="J684" s="49"/>
      <c r="K684" s="49"/>
      <c r="L684" s="49"/>
      <c r="M684" s="49"/>
      <c r="N684" s="49"/>
      <c r="O684" s="49"/>
      <c r="P684" s="49"/>
      <c r="Q684" s="49"/>
      <c r="R684" s="49"/>
      <c r="S684" s="49"/>
      <c r="T684" s="49"/>
      <c r="U684" s="49"/>
      <c r="V684" s="49"/>
      <c r="W684" s="49"/>
      <c r="X684" s="49"/>
      <c r="Y684" s="49"/>
      <c r="Z684" s="49"/>
    </row>
    <row r="685" spans="1:26" ht="13">
      <c r="A685" s="49"/>
      <c r="B685" s="49"/>
      <c r="C685" s="49"/>
      <c r="D685" s="49"/>
      <c r="E685" s="49"/>
      <c r="F685" s="49"/>
      <c r="G685" s="49"/>
      <c r="H685" s="49"/>
      <c r="I685" s="49"/>
      <c r="J685" s="49"/>
      <c r="K685" s="49"/>
      <c r="L685" s="49"/>
      <c r="M685" s="49"/>
      <c r="N685" s="49"/>
      <c r="O685" s="49"/>
      <c r="P685" s="49"/>
      <c r="Q685" s="49"/>
      <c r="R685" s="49"/>
      <c r="S685" s="49"/>
      <c r="T685" s="49"/>
      <c r="U685" s="49"/>
      <c r="V685" s="49"/>
      <c r="W685" s="49"/>
      <c r="X685" s="49"/>
      <c r="Y685" s="49"/>
      <c r="Z685" s="49"/>
    </row>
    <row r="686" spans="1:26" ht="13">
      <c r="A686" s="49"/>
      <c r="B686" s="49"/>
      <c r="C686" s="49"/>
      <c r="D686" s="49"/>
      <c r="E686" s="49"/>
      <c r="F686" s="49"/>
      <c r="G686" s="49"/>
      <c r="H686" s="49"/>
      <c r="I686" s="49"/>
      <c r="J686" s="49"/>
      <c r="K686" s="49"/>
      <c r="L686" s="49"/>
      <c r="M686" s="49"/>
      <c r="N686" s="49"/>
      <c r="O686" s="49"/>
      <c r="P686" s="49"/>
      <c r="Q686" s="49"/>
      <c r="R686" s="49"/>
      <c r="S686" s="49"/>
      <c r="T686" s="49"/>
      <c r="U686" s="49"/>
      <c r="V686" s="49"/>
      <c r="W686" s="49"/>
      <c r="X686" s="49"/>
      <c r="Y686" s="49"/>
      <c r="Z686" s="49"/>
    </row>
    <row r="687" spans="1:26" ht="13">
      <c r="A687" s="49"/>
      <c r="B687" s="49"/>
      <c r="C687" s="49"/>
      <c r="D687" s="49"/>
      <c r="E687" s="49"/>
      <c r="F687" s="49"/>
      <c r="G687" s="49"/>
      <c r="H687" s="49"/>
      <c r="I687" s="49"/>
      <c r="J687" s="49"/>
      <c r="K687" s="49"/>
      <c r="L687" s="49"/>
      <c r="M687" s="49"/>
      <c r="N687" s="49"/>
      <c r="O687" s="49"/>
      <c r="P687" s="49"/>
      <c r="Q687" s="49"/>
      <c r="R687" s="49"/>
      <c r="S687" s="49"/>
      <c r="T687" s="49"/>
      <c r="U687" s="49"/>
      <c r="V687" s="49"/>
      <c r="W687" s="49"/>
      <c r="X687" s="49"/>
      <c r="Y687" s="49"/>
      <c r="Z687" s="49"/>
    </row>
    <row r="688" spans="1:26" ht="13">
      <c r="A688" s="49"/>
      <c r="B688" s="49"/>
      <c r="C688" s="49"/>
      <c r="D688" s="49"/>
      <c r="E688" s="49"/>
      <c r="F688" s="49"/>
      <c r="G688" s="49"/>
      <c r="H688" s="49"/>
      <c r="I688" s="49"/>
      <c r="J688" s="49"/>
      <c r="K688" s="49"/>
      <c r="L688" s="49"/>
      <c r="M688" s="49"/>
      <c r="N688" s="49"/>
      <c r="O688" s="49"/>
      <c r="P688" s="49"/>
      <c r="Q688" s="49"/>
      <c r="R688" s="49"/>
      <c r="S688" s="49"/>
      <c r="T688" s="49"/>
      <c r="U688" s="49"/>
      <c r="V688" s="49"/>
      <c r="W688" s="49"/>
      <c r="X688" s="49"/>
      <c r="Y688" s="49"/>
      <c r="Z688" s="49"/>
    </row>
    <row r="689" spans="1:26" ht="13">
      <c r="A689" s="49"/>
      <c r="B689" s="49"/>
      <c r="C689" s="49"/>
      <c r="D689" s="49"/>
      <c r="E689" s="49"/>
      <c r="F689" s="49"/>
      <c r="G689" s="49"/>
      <c r="H689" s="49"/>
      <c r="I689" s="49"/>
      <c r="J689" s="49"/>
      <c r="K689" s="49"/>
      <c r="L689" s="49"/>
      <c r="M689" s="49"/>
      <c r="N689" s="49"/>
      <c r="O689" s="49"/>
      <c r="P689" s="49"/>
      <c r="Q689" s="49"/>
      <c r="R689" s="49"/>
      <c r="S689" s="49"/>
      <c r="T689" s="49"/>
      <c r="U689" s="49"/>
      <c r="V689" s="49"/>
      <c r="W689" s="49"/>
      <c r="X689" s="49"/>
      <c r="Y689" s="49"/>
      <c r="Z689" s="49"/>
    </row>
    <row r="690" spans="1:26" ht="13">
      <c r="A690" s="49"/>
      <c r="B690" s="49"/>
      <c r="C690" s="49"/>
      <c r="D690" s="49"/>
      <c r="E690" s="49"/>
      <c r="F690" s="49"/>
      <c r="G690" s="49"/>
      <c r="H690" s="49"/>
      <c r="I690" s="49"/>
      <c r="J690" s="49"/>
      <c r="K690" s="49"/>
      <c r="L690" s="49"/>
      <c r="M690" s="49"/>
      <c r="N690" s="49"/>
      <c r="O690" s="49"/>
      <c r="P690" s="49"/>
      <c r="Q690" s="49"/>
      <c r="R690" s="49"/>
      <c r="S690" s="49"/>
      <c r="T690" s="49"/>
      <c r="U690" s="49"/>
      <c r="V690" s="49"/>
      <c r="W690" s="49"/>
      <c r="X690" s="49"/>
      <c r="Y690" s="49"/>
      <c r="Z690" s="49"/>
    </row>
    <row r="691" spans="1:26" ht="13">
      <c r="A691" s="49"/>
      <c r="B691" s="49"/>
      <c r="C691" s="49"/>
      <c r="D691" s="49"/>
      <c r="E691" s="49"/>
      <c r="F691" s="49"/>
      <c r="G691" s="49"/>
      <c r="H691" s="49"/>
      <c r="I691" s="49"/>
      <c r="J691" s="49"/>
      <c r="K691" s="49"/>
      <c r="L691" s="49"/>
      <c r="M691" s="49"/>
      <c r="N691" s="49"/>
      <c r="O691" s="49"/>
      <c r="P691" s="49"/>
      <c r="Q691" s="49"/>
      <c r="R691" s="49"/>
      <c r="S691" s="49"/>
      <c r="T691" s="49"/>
      <c r="U691" s="49"/>
      <c r="V691" s="49"/>
      <c r="W691" s="49"/>
      <c r="X691" s="49"/>
      <c r="Y691" s="49"/>
      <c r="Z691" s="49"/>
    </row>
    <row r="692" spans="1:26" ht="13">
      <c r="A692" s="49"/>
      <c r="B692" s="49"/>
      <c r="C692" s="49"/>
      <c r="D692" s="49"/>
      <c r="E692" s="49"/>
      <c r="F692" s="49"/>
      <c r="G692" s="49"/>
      <c r="H692" s="49"/>
      <c r="I692" s="49"/>
      <c r="J692" s="49"/>
      <c r="K692" s="49"/>
      <c r="L692" s="49"/>
      <c r="M692" s="49"/>
      <c r="N692" s="49"/>
      <c r="O692" s="49"/>
      <c r="P692" s="49"/>
      <c r="Q692" s="49"/>
      <c r="R692" s="49"/>
      <c r="S692" s="49"/>
      <c r="T692" s="49"/>
      <c r="U692" s="49"/>
      <c r="V692" s="49"/>
      <c r="W692" s="49"/>
      <c r="X692" s="49"/>
      <c r="Y692" s="49"/>
      <c r="Z692" s="49"/>
    </row>
    <row r="693" spans="1:26" ht="13">
      <c r="A693" s="49"/>
      <c r="B693" s="49"/>
      <c r="C693" s="49"/>
      <c r="D693" s="49"/>
      <c r="E693" s="49"/>
      <c r="F693" s="49"/>
      <c r="G693" s="49"/>
      <c r="H693" s="49"/>
      <c r="I693" s="49"/>
      <c r="J693" s="49"/>
      <c r="K693" s="49"/>
      <c r="L693" s="49"/>
      <c r="M693" s="49"/>
      <c r="N693" s="49"/>
      <c r="O693" s="49"/>
      <c r="P693" s="49"/>
      <c r="Q693" s="49"/>
      <c r="R693" s="49"/>
      <c r="S693" s="49"/>
      <c r="T693" s="49"/>
      <c r="U693" s="49"/>
      <c r="V693" s="49"/>
      <c r="W693" s="49"/>
      <c r="X693" s="49"/>
      <c r="Y693" s="49"/>
      <c r="Z693" s="49"/>
    </row>
    <row r="694" spans="1:26" ht="13">
      <c r="A694" s="49"/>
      <c r="B694" s="49"/>
      <c r="C694" s="49"/>
      <c r="D694" s="49"/>
      <c r="E694" s="49"/>
      <c r="F694" s="49"/>
      <c r="G694" s="49"/>
      <c r="H694" s="49"/>
      <c r="I694" s="49"/>
      <c r="J694" s="49"/>
      <c r="K694" s="49"/>
      <c r="L694" s="49"/>
      <c r="M694" s="49"/>
      <c r="N694" s="49"/>
      <c r="O694" s="49"/>
      <c r="P694" s="49"/>
      <c r="Q694" s="49"/>
      <c r="R694" s="49"/>
      <c r="S694" s="49"/>
      <c r="T694" s="49"/>
      <c r="U694" s="49"/>
      <c r="V694" s="49"/>
      <c r="W694" s="49"/>
      <c r="X694" s="49"/>
      <c r="Y694" s="49"/>
      <c r="Z694" s="49"/>
    </row>
    <row r="695" spans="1:26" ht="13">
      <c r="A695" s="49"/>
      <c r="B695" s="49"/>
      <c r="C695" s="49"/>
      <c r="D695" s="49"/>
      <c r="E695" s="49"/>
      <c r="F695" s="49"/>
      <c r="G695" s="49"/>
      <c r="H695" s="49"/>
      <c r="I695" s="49"/>
      <c r="J695" s="49"/>
      <c r="K695" s="49"/>
      <c r="L695" s="49"/>
      <c r="M695" s="49"/>
      <c r="N695" s="49"/>
      <c r="O695" s="49"/>
      <c r="P695" s="49"/>
      <c r="Q695" s="49"/>
      <c r="R695" s="49"/>
      <c r="S695" s="49"/>
      <c r="T695" s="49"/>
      <c r="U695" s="49"/>
      <c r="V695" s="49"/>
      <c r="W695" s="49"/>
      <c r="X695" s="49"/>
      <c r="Y695" s="49"/>
      <c r="Z695" s="49"/>
    </row>
    <row r="696" spans="1:26" ht="13">
      <c r="A696" s="49"/>
      <c r="B696" s="49"/>
      <c r="C696" s="49"/>
      <c r="D696" s="49"/>
      <c r="E696" s="49"/>
      <c r="F696" s="49"/>
      <c r="G696" s="49"/>
      <c r="H696" s="49"/>
      <c r="I696" s="49"/>
      <c r="J696" s="49"/>
      <c r="K696" s="49"/>
      <c r="L696" s="49"/>
      <c r="M696" s="49"/>
      <c r="N696" s="49"/>
      <c r="O696" s="49"/>
      <c r="P696" s="49"/>
      <c r="Q696" s="49"/>
      <c r="R696" s="49"/>
      <c r="S696" s="49"/>
      <c r="T696" s="49"/>
      <c r="U696" s="49"/>
      <c r="V696" s="49"/>
      <c r="W696" s="49"/>
      <c r="X696" s="49"/>
      <c r="Y696" s="49"/>
      <c r="Z696" s="49"/>
    </row>
    <row r="697" spans="1:26" ht="13">
      <c r="A697" s="49"/>
      <c r="B697" s="49"/>
      <c r="C697" s="49"/>
      <c r="D697" s="49"/>
      <c r="E697" s="49"/>
      <c r="F697" s="49"/>
      <c r="G697" s="49"/>
      <c r="H697" s="49"/>
      <c r="I697" s="49"/>
      <c r="J697" s="49"/>
      <c r="K697" s="49"/>
      <c r="L697" s="49"/>
      <c r="M697" s="49"/>
      <c r="N697" s="49"/>
      <c r="O697" s="49"/>
      <c r="P697" s="49"/>
      <c r="Q697" s="49"/>
      <c r="R697" s="49"/>
      <c r="S697" s="49"/>
      <c r="T697" s="49"/>
      <c r="U697" s="49"/>
      <c r="V697" s="49"/>
      <c r="W697" s="49"/>
      <c r="X697" s="49"/>
      <c r="Y697" s="49"/>
      <c r="Z697" s="49"/>
    </row>
    <row r="698" spans="1:26" ht="13">
      <c r="A698" s="49"/>
      <c r="B698" s="49"/>
      <c r="C698" s="49"/>
      <c r="D698" s="49"/>
      <c r="E698" s="49"/>
      <c r="F698" s="49"/>
      <c r="G698" s="49"/>
      <c r="H698" s="49"/>
      <c r="I698" s="49"/>
      <c r="J698" s="49"/>
      <c r="K698" s="49"/>
      <c r="L698" s="49"/>
      <c r="M698" s="49"/>
      <c r="N698" s="49"/>
      <c r="O698" s="49"/>
      <c r="P698" s="49"/>
      <c r="Q698" s="49"/>
      <c r="R698" s="49"/>
      <c r="S698" s="49"/>
      <c r="T698" s="49"/>
      <c r="U698" s="49"/>
      <c r="V698" s="49"/>
      <c r="W698" s="49"/>
      <c r="X698" s="49"/>
      <c r="Y698" s="49"/>
      <c r="Z698" s="49"/>
    </row>
    <row r="699" spans="1:26" ht="13">
      <c r="A699" s="49"/>
      <c r="B699" s="49"/>
      <c r="C699" s="49"/>
      <c r="D699" s="49"/>
      <c r="E699" s="49"/>
      <c r="F699" s="49"/>
      <c r="G699" s="49"/>
      <c r="H699" s="49"/>
      <c r="I699" s="49"/>
      <c r="J699" s="49"/>
      <c r="K699" s="49"/>
      <c r="L699" s="49"/>
      <c r="M699" s="49"/>
      <c r="N699" s="49"/>
      <c r="O699" s="49"/>
      <c r="P699" s="49"/>
      <c r="Q699" s="49"/>
      <c r="R699" s="49"/>
      <c r="S699" s="49"/>
      <c r="T699" s="49"/>
      <c r="U699" s="49"/>
      <c r="V699" s="49"/>
      <c r="W699" s="49"/>
      <c r="X699" s="49"/>
      <c r="Y699" s="49"/>
      <c r="Z699" s="49"/>
    </row>
    <row r="700" spans="1:26" ht="13">
      <c r="A700" s="49"/>
      <c r="B700" s="49"/>
      <c r="C700" s="49"/>
      <c r="D700" s="49"/>
      <c r="E700" s="49"/>
      <c r="F700" s="49"/>
      <c r="G700" s="49"/>
      <c r="H700" s="49"/>
      <c r="I700" s="49"/>
      <c r="J700" s="49"/>
      <c r="K700" s="49"/>
      <c r="L700" s="49"/>
      <c r="M700" s="49"/>
      <c r="N700" s="49"/>
      <c r="O700" s="49"/>
      <c r="P700" s="49"/>
      <c r="Q700" s="49"/>
      <c r="R700" s="49"/>
      <c r="S700" s="49"/>
      <c r="T700" s="49"/>
      <c r="U700" s="49"/>
      <c r="V700" s="49"/>
      <c r="W700" s="49"/>
      <c r="X700" s="49"/>
      <c r="Y700" s="49"/>
      <c r="Z700" s="49"/>
    </row>
    <row r="701" spans="1:26" ht="13">
      <c r="A701" s="49"/>
      <c r="B701" s="49"/>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row>
    <row r="702" spans="1:26" ht="13">
      <c r="A702" s="49"/>
      <c r="B702" s="49"/>
      <c r="C702" s="49"/>
      <c r="D702" s="49"/>
      <c r="E702" s="49"/>
      <c r="F702" s="49"/>
      <c r="G702" s="49"/>
      <c r="H702" s="49"/>
      <c r="I702" s="49"/>
      <c r="J702" s="49"/>
      <c r="K702" s="49"/>
      <c r="L702" s="49"/>
      <c r="M702" s="49"/>
      <c r="N702" s="49"/>
      <c r="O702" s="49"/>
      <c r="P702" s="49"/>
      <c r="Q702" s="49"/>
      <c r="R702" s="49"/>
      <c r="S702" s="49"/>
      <c r="T702" s="49"/>
      <c r="U702" s="49"/>
      <c r="V702" s="49"/>
      <c r="W702" s="49"/>
      <c r="X702" s="49"/>
      <c r="Y702" s="49"/>
      <c r="Z702" s="49"/>
    </row>
    <row r="703" spans="1:26" ht="13">
      <c r="A703" s="49"/>
      <c r="B703" s="49"/>
      <c r="C703" s="49"/>
      <c r="D703" s="49"/>
      <c r="E703" s="49"/>
      <c r="F703" s="49"/>
      <c r="G703" s="49"/>
      <c r="H703" s="49"/>
      <c r="I703" s="49"/>
      <c r="J703" s="49"/>
      <c r="K703" s="49"/>
      <c r="L703" s="49"/>
      <c r="M703" s="49"/>
      <c r="N703" s="49"/>
      <c r="O703" s="49"/>
      <c r="P703" s="49"/>
      <c r="Q703" s="49"/>
      <c r="R703" s="49"/>
      <c r="S703" s="49"/>
      <c r="T703" s="49"/>
      <c r="U703" s="49"/>
      <c r="V703" s="49"/>
      <c r="W703" s="49"/>
      <c r="X703" s="49"/>
      <c r="Y703" s="49"/>
      <c r="Z703" s="49"/>
    </row>
    <row r="704" spans="1:26" ht="13">
      <c r="A704" s="49"/>
      <c r="B704" s="49"/>
      <c r="C704" s="49"/>
      <c r="D704" s="49"/>
      <c r="E704" s="49"/>
      <c r="F704" s="49"/>
      <c r="G704" s="49"/>
      <c r="H704" s="49"/>
      <c r="I704" s="49"/>
      <c r="J704" s="49"/>
      <c r="K704" s="49"/>
      <c r="L704" s="49"/>
      <c r="M704" s="49"/>
      <c r="N704" s="49"/>
      <c r="O704" s="49"/>
      <c r="P704" s="49"/>
      <c r="Q704" s="49"/>
      <c r="R704" s="49"/>
      <c r="S704" s="49"/>
      <c r="T704" s="49"/>
      <c r="U704" s="49"/>
      <c r="V704" s="49"/>
      <c r="W704" s="49"/>
      <c r="X704" s="49"/>
      <c r="Y704" s="49"/>
      <c r="Z704" s="49"/>
    </row>
    <row r="705" spans="1:26" ht="13">
      <c r="A705" s="49"/>
      <c r="B705" s="49"/>
      <c r="C705" s="49"/>
      <c r="D705" s="49"/>
      <c r="E705" s="49"/>
      <c r="F705" s="49"/>
      <c r="G705" s="49"/>
      <c r="H705" s="49"/>
      <c r="I705" s="49"/>
      <c r="J705" s="49"/>
      <c r="K705" s="49"/>
      <c r="L705" s="49"/>
      <c r="M705" s="49"/>
      <c r="N705" s="49"/>
      <c r="O705" s="49"/>
      <c r="P705" s="49"/>
      <c r="Q705" s="49"/>
      <c r="R705" s="49"/>
      <c r="S705" s="49"/>
      <c r="T705" s="49"/>
      <c r="U705" s="49"/>
      <c r="V705" s="49"/>
      <c r="W705" s="49"/>
      <c r="X705" s="49"/>
      <c r="Y705" s="49"/>
      <c r="Z705" s="49"/>
    </row>
    <row r="706" spans="1:26" ht="13">
      <c r="A706" s="49"/>
      <c r="B706" s="49"/>
      <c r="C706" s="49"/>
      <c r="D706" s="49"/>
      <c r="E706" s="49"/>
      <c r="F706" s="49"/>
      <c r="G706" s="49"/>
      <c r="H706" s="49"/>
      <c r="I706" s="49"/>
      <c r="J706" s="49"/>
      <c r="K706" s="49"/>
      <c r="L706" s="49"/>
      <c r="M706" s="49"/>
      <c r="N706" s="49"/>
      <c r="O706" s="49"/>
      <c r="P706" s="49"/>
      <c r="Q706" s="49"/>
      <c r="R706" s="49"/>
      <c r="S706" s="49"/>
      <c r="T706" s="49"/>
      <c r="U706" s="49"/>
      <c r="V706" s="49"/>
      <c r="W706" s="49"/>
      <c r="X706" s="49"/>
      <c r="Y706" s="49"/>
      <c r="Z706" s="49"/>
    </row>
    <row r="707" spans="1:26" ht="13">
      <c r="A707" s="49"/>
      <c r="B707" s="49"/>
      <c r="C707" s="49"/>
      <c r="D707" s="49"/>
      <c r="E707" s="49"/>
      <c r="F707" s="49"/>
      <c r="G707" s="49"/>
      <c r="H707" s="49"/>
      <c r="I707" s="49"/>
      <c r="J707" s="49"/>
      <c r="K707" s="49"/>
      <c r="L707" s="49"/>
      <c r="M707" s="49"/>
      <c r="N707" s="49"/>
      <c r="O707" s="49"/>
      <c r="P707" s="49"/>
      <c r="Q707" s="49"/>
      <c r="R707" s="49"/>
      <c r="S707" s="49"/>
      <c r="T707" s="49"/>
      <c r="U707" s="49"/>
      <c r="V707" s="49"/>
      <c r="W707" s="49"/>
      <c r="X707" s="49"/>
      <c r="Y707" s="49"/>
      <c r="Z707" s="49"/>
    </row>
    <row r="708" spans="1:26" ht="13">
      <c r="A708" s="49"/>
      <c r="B708" s="49"/>
      <c r="C708" s="49"/>
      <c r="D708" s="49"/>
      <c r="E708" s="49"/>
      <c r="F708" s="49"/>
      <c r="G708" s="49"/>
      <c r="H708" s="49"/>
      <c r="I708" s="49"/>
      <c r="J708" s="49"/>
      <c r="K708" s="49"/>
      <c r="L708" s="49"/>
      <c r="M708" s="49"/>
      <c r="N708" s="49"/>
      <c r="O708" s="49"/>
      <c r="P708" s="49"/>
      <c r="Q708" s="49"/>
      <c r="R708" s="49"/>
      <c r="S708" s="49"/>
      <c r="T708" s="49"/>
      <c r="U708" s="49"/>
      <c r="V708" s="49"/>
      <c r="W708" s="49"/>
      <c r="X708" s="49"/>
      <c r="Y708" s="49"/>
      <c r="Z708" s="49"/>
    </row>
    <row r="709" spans="1:26" ht="13">
      <c r="A709" s="49"/>
      <c r="B709" s="49"/>
      <c r="C709" s="49"/>
      <c r="D709" s="49"/>
      <c r="E709" s="49"/>
      <c r="F709" s="49"/>
      <c r="G709" s="49"/>
      <c r="H709" s="49"/>
      <c r="I709" s="49"/>
      <c r="J709" s="49"/>
      <c r="K709" s="49"/>
      <c r="L709" s="49"/>
      <c r="M709" s="49"/>
      <c r="N709" s="49"/>
      <c r="O709" s="49"/>
      <c r="P709" s="49"/>
      <c r="Q709" s="49"/>
      <c r="R709" s="49"/>
      <c r="S709" s="49"/>
      <c r="T709" s="49"/>
      <c r="U709" s="49"/>
      <c r="V709" s="49"/>
      <c r="W709" s="49"/>
      <c r="X709" s="49"/>
      <c r="Y709" s="49"/>
      <c r="Z709" s="49"/>
    </row>
    <row r="710" spans="1:26" ht="13">
      <c r="A710" s="49"/>
      <c r="B710" s="49"/>
      <c r="C710" s="49"/>
      <c r="D710" s="49"/>
      <c r="E710" s="49"/>
      <c r="F710" s="49"/>
      <c r="G710" s="49"/>
      <c r="H710" s="49"/>
      <c r="I710" s="49"/>
      <c r="J710" s="49"/>
      <c r="K710" s="49"/>
      <c r="L710" s="49"/>
      <c r="M710" s="49"/>
      <c r="N710" s="49"/>
      <c r="O710" s="49"/>
      <c r="P710" s="49"/>
      <c r="Q710" s="49"/>
      <c r="R710" s="49"/>
      <c r="S710" s="49"/>
      <c r="T710" s="49"/>
      <c r="U710" s="49"/>
      <c r="V710" s="49"/>
      <c r="W710" s="49"/>
      <c r="X710" s="49"/>
      <c r="Y710" s="49"/>
      <c r="Z710" s="49"/>
    </row>
    <row r="711" spans="1:26" ht="13">
      <c r="A711" s="49"/>
      <c r="B711" s="49"/>
      <c r="C711" s="49"/>
      <c r="D711" s="49"/>
      <c r="E711" s="49"/>
      <c r="F711" s="49"/>
      <c r="G711" s="49"/>
      <c r="H711" s="49"/>
      <c r="I711" s="49"/>
      <c r="J711" s="49"/>
      <c r="K711" s="49"/>
      <c r="L711" s="49"/>
      <c r="M711" s="49"/>
      <c r="N711" s="49"/>
      <c r="O711" s="49"/>
      <c r="P711" s="49"/>
      <c r="Q711" s="49"/>
      <c r="R711" s="49"/>
      <c r="S711" s="49"/>
      <c r="T711" s="49"/>
      <c r="U711" s="49"/>
      <c r="V711" s="49"/>
      <c r="W711" s="49"/>
      <c r="X711" s="49"/>
      <c r="Y711" s="49"/>
      <c r="Z711" s="49"/>
    </row>
    <row r="712" spans="1:26" ht="13">
      <c r="A712" s="49"/>
      <c r="B712" s="49"/>
      <c r="C712" s="49"/>
      <c r="D712" s="49"/>
      <c r="E712" s="49"/>
      <c r="F712" s="49"/>
      <c r="G712" s="49"/>
      <c r="H712" s="49"/>
      <c r="I712" s="49"/>
      <c r="J712" s="49"/>
      <c r="K712" s="49"/>
      <c r="L712" s="49"/>
      <c r="M712" s="49"/>
      <c r="N712" s="49"/>
      <c r="O712" s="49"/>
      <c r="P712" s="49"/>
      <c r="Q712" s="49"/>
      <c r="R712" s="49"/>
      <c r="S712" s="49"/>
      <c r="T712" s="49"/>
      <c r="U712" s="49"/>
      <c r="V712" s="49"/>
      <c r="W712" s="49"/>
      <c r="X712" s="49"/>
      <c r="Y712" s="49"/>
      <c r="Z712" s="49"/>
    </row>
    <row r="713" spans="1:26" ht="13">
      <c r="A713" s="49"/>
      <c r="B713" s="49"/>
      <c r="C713" s="49"/>
      <c r="D713" s="49"/>
      <c r="E713" s="49"/>
      <c r="F713" s="49"/>
      <c r="G713" s="49"/>
      <c r="H713" s="49"/>
      <c r="I713" s="49"/>
      <c r="J713" s="49"/>
      <c r="K713" s="49"/>
      <c r="L713" s="49"/>
      <c r="M713" s="49"/>
      <c r="N713" s="49"/>
      <c r="O713" s="49"/>
      <c r="P713" s="49"/>
      <c r="Q713" s="49"/>
      <c r="R713" s="49"/>
      <c r="S713" s="49"/>
      <c r="T713" s="49"/>
      <c r="U713" s="49"/>
      <c r="V713" s="49"/>
      <c r="W713" s="49"/>
      <c r="X713" s="49"/>
      <c r="Y713" s="49"/>
      <c r="Z713" s="49"/>
    </row>
    <row r="714" spans="1:26" ht="13">
      <c r="A714" s="49"/>
      <c r="B714" s="49"/>
      <c r="C714" s="49"/>
      <c r="D714" s="49"/>
      <c r="E714" s="49"/>
      <c r="F714" s="49"/>
      <c r="G714" s="49"/>
      <c r="H714" s="49"/>
      <c r="I714" s="49"/>
      <c r="J714" s="49"/>
      <c r="K714" s="49"/>
      <c r="L714" s="49"/>
      <c r="M714" s="49"/>
      <c r="N714" s="49"/>
      <c r="O714" s="49"/>
      <c r="P714" s="49"/>
      <c r="Q714" s="49"/>
      <c r="R714" s="49"/>
      <c r="S714" s="49"/>
      <c r="T714" s="49"/>
      <c r="U714" s="49"/>
      <c r="V714" s="49"/>
      <c r="W714" s="49"/>
      <c r="X714" s="49"/>
      <c r="Y714" s="49"/>
      <c r="Z714" s="49"/>
    </row>
    <row r="715" spans="1:26" ht="13">
      <c r="A715" s="49"/>
      <c r="B715" s="49"/>
      <c r="C715" s="49"/>
      <c r="D715" s="49"/>
      <c r="E715" s="49"/>
      <c r="F715" s="49"/>
      <c r="G715" s="49"/>
      <c r="H715" s="49"/>
      <c r="I715" s="49"/>
      <c r="J715" s="49"/>
      <c r="K715" s="49"/>
      <c r="L715" s="49"/>
      <c r="M715" s="49"/>
      <c r="N715" s="49"/>
      <c r="O715" s="49"/>
      <c r="P715" s="49"/>
      <c r="Q715" s="49"/>
      <c r="R715" s="49"/>
      <c r="S715" s="49"/>
      <c r="T715" s="49"/>
      <c r="U715" s="49"/>
      <c r="V715" s="49"/>
      <c r="W715" s="49"/>
      <c r="X715" s="49"/>
      <c r="Y715" s="49"/>
      <c r="Z715" s="49"/>
    </row>
    <row r="716" spans="1:26" ht="13">
      <c r="A716" s="49"/>
      <c r="B716" s="49"/>
      <c r="C716" s="49"/>
      <c r="D716" s="49"/>
      <c r="E716" s="49"/>
      <c r="F716" s="49"/>
      <c r="G716" s="49"/>
      <c r="H716" s="49"/>
      <c r="I716" s="49"/>
      <c r="J716" s="49"/>
      <c r="K716" s="49"/>
      <c r="L716" s="49"/>
      <c r="M716" s="49"/>
      <c r="N716" s="49"/>
      <c r="O716" s="49"/>
      <c r="P716" s="49"/>
      <c r="Q716" s="49"/>
      <c r="R716" s="49"/>
      <c r="S716" s="49"/>
      <c r="T716" s="49"/>
      <c r="U716" s="49"/>
      <c r="V716" s="49"/>
      <c r="W716" s="49"/>
      <c r="X716" s="49"/>
      <c r="Y716" s="49"/>
      <c r="Z716" s="49"/>
    </row>
    <row r="717" spans="1:26" ht="13">
      <c r="A717" s="49"/>
      <c r="B717" s="49"/>
      <c r="C717" s="49"/>
      <c r="D717" s="49"/>
      <c r="E717" s="49"/>
      <c r="F717" s="49"/>
      <c r="G717" s="49"/>
      <c r="H717" s="49"/>
      <c r="I717" s="49"/>
      <c r="J717" s="49"/>
      <c r="K717" s="49"/>
      <c r="L717" s="49"/>
      <c r="M717" s="49"/>
      <c r="N717" s="49"/>
      <c r="O717" s="49"/>
      <c r="P717" s="49"/>
      <c r="Q717" s="49"/>
      <c r="R717" s="49"/>
      <c r="S717" s="49"/>
      <c r="T717" s="49"/>
      <c r="U717" s="49"/>
      <c r="V717" s="49"/>
      <c r="W717" s="49"/>
      <c r="X717" s="49"/>
      <c r="Y717" s="49"/>
      <c r="Z717" s="49"/>
    </row>
    <row r="718" spans="1:26" ht="13">
      <c r="A718" s="49"/>
      <c r="B718" s="49"/>
      <c r="C718" s="49"/>
      <c r="D718" s="49"/>
      <c r="E718" s="49"/>
      <c r="F718" s="49"/>
      <c r="G718" s="49"/>
      <c r="H718" s="49"/>
      <c r="I718" s="49"/>
      <c r="J718" s="49"/>
      <c r="K718" s="49"/>
      <c r="L718" s="49"/>
      <c r="M718" s="49"/>
      <c r="N718" s="49"/>
      <c r="O718" s="49"/>
      <c r="P718" s="49"/>
      <c r="Q718" s="49"/>
      <c r="R718" s="49"/>
      <c r="S718" s="49"/>
      <c r="T718" s="49"/>
      <c r="U718" s="49"/>
      <c r="V718" s="49"/>
      <c r="W718" s="49"/>
      <c r="X718" s="49"/>
      <c r="Y718" s="49"/>
      <c r="Z718" s="49"/>
    </row>
    <row r="719" spans="1:26" ht="13">
      <c r="A719" s="49"/>
      <c r="B719" s="49"/>
      <c r="C719" s="49"/>
      <c r="D719" s="49"/>
      <c r="E719" s="49"/>
      <c r="F719" s="49"/>
      <c r="G719" s="49"/>
      <c r="H719" s="49"/>
      <c r="I719" s="49"/>
      <c r="J719" s="49"/>
      <c r="K719" s="49"/>
      <c r="L719" s="49"/>
      <c r="M719" s="49"/>
      <c r="N719" s="49"/>
      <c r="O719" s="49"/>
      <c r="P719" s="49"/>
      <c r="Q719" s="49"/>
      <c r="R719" s="49"/>
      <c r="S719" s="49"/>
      <c r="T719" s="49"/>
      <c r="U719" s="49"/>
      <c r="V719" s="49"/>
      <c r="W719" s="49"/>
      <c r="X719" s="49"/>
      <c r="Y719" s="49"/>
      <c r="Z719" s="49"/>
    </row>
    <row r="720" spans="1:26" ht="13">
      <c r="A720" s="49"/>
      <c r="B720" s="49"/>
      <c r="C720" s="49"/>
      <c r="D720" s="49"/>
      <c r="E720" s="49"/>
      <c r="F720" s="49"/>
      <c r="G720" s="49"/>
      <c r="H720" s="49"/>
      <c r="I720" s="49"/>
      <c r="J720" s="49"/>
      <c r="K720" s="49"/>
      <c r="L720" s="49"/>
      <c r="M720" s="49"/>
      <c r="N720" s="49"/>
      <c r="O720" s="49"/>
      <c r="P720" s="49"/>
      <c r="Q720" s="49"/>
      <c r="R720" s="49"/>
      <c r="S720" s="49"/>
      <c r="T720" s="49"/>
      <c r="U720" s="49"/>
      <c r="V720" s="49"/>
      <c r="W720" s="49"/>
      <c r="X720" s="49"/>
      <c r="Y720" s="49"/>
      <c r="Z720" s="49"/>
    </row>
    <row r="721" spans="1:26" ht="13">
      <c r="A721" s="49"/>
      <c r="B721" s="49"/>
      <c r="C721" s="49"/>
      <c r="D721" s="49"/>
      <c r="E721" s="49"/>
      <c r="F721" s="49"/>
      <c r="G721" s="49"/>
      <c r="H721" s="49"/>
      <c r="I721" s="49"/>
      <c r="J721" s="49"/>
      <c r="K721" s="49"/>
      <c r="L721" s="49"/>
      <c r="M721" s="49"/>
      <c r="N721" s="49"/>
      <c r="O721" s="49"/>
      <c r="P721" s="49"/>
      <c r="Q721" s="49"/>
      <c r="R721" s="49"/>
      <c r="S721" s="49"/>
      <c r="T721" s="49"/>
      <c r="U721" s="49"/>
      <c r="V721" s="49"/>
      <c r="W721" s="49"/>
      <c r="X721" s="49"/>
      <c r="Y721" s="49"/>
      <c r="Z721" s="49"/>
    </row>
    <row r="722" spans="1:26" ht="13">
      <c r="A722" s="49"/>
      <c r="B722" s="49"/>
      <c r="C722" s="49"/>
      <c r="D722" s="49"/>
      <c r="E722" s="49"/>
      <c r="F722" s="49"/>
      <c r="G722" s="49"/>
      <c r="H722" s="49"/>
      <c r="I722" s="49"/>
      <c r="J722" s="49"/>
      <c r="K722" s="49"/>
      <c r="L722" s="49"/>
      <c r="M722" s="49"/>
      <c r="N722" s="49"/>
      <c r="O722" s="49"/>
      <c r="P722" s="49"/>
      <c r="Q722" s="49"/>
      <c r="R722" s="49"/>
      <c r="S722" s="49"/>
      <c r="T722" s="49"/>
      <c r="U722" s="49"/>
      <c r="V722" s="49"/>
      <c r="W722" s="49"/>
      <c r="X722" s="49"/>
      <c r="Y722" s="49"/>
      <c r="Z722" s="49"/>
    </row>
    <row r="723" spans="1:26" ht="13">
      <c r="A723" s="49"/>
      <c r="B723" s="49"/>
      <c r="C723" s="49"/>
      <c r="D723" s="49"/>
      <c r="E723" s="49"/>
      <c r="F723" s="49"/>
      <c r="G723" s="49"/>
      <c r="H723" s="49"/>
      <c r="I723" s="49"/>
      <c r="J723" s="49"/>
      <c r="K723" s="49"/>
      <c r="L723" s="49"/>
      <c r="M723" s="49"/>
      <c r="N723" s="49"/>
      <c r="O723" s="49"/>
      <c r="P723" s="49"/>
      <c r="Q723" s="49"/>
      <c r="R723" s="49"/>
      <c r="S723" s="49"/>
      <c r="T723" s="49"/>
      <c r="U723" s="49"/>
      <c r="V723" s="49"/>
      <c r="W723" s="49"/>
      <c r="X723" s="49"/>
      <c r="Y723" s="49"/>
      <c r="Z723" s="49"/>
    </row>
    <row r="724" spans="1:26" ht="13">
      <c r="A724" s="49"/>
      <c r="B724" s="49"/>
      <c r="C724" s="49"/>
      <c r="D724" s="49"/>
      <c r="E724" s="49"/>
      <c r="F724" s="49"/>
      <c r="G724" s="49"/>
      <c r="H724" s="49"/>
      <c r="I724" s="49"/>
      <c r="J724" s="49"/>
      <c r="K724" s="49"/>
      <c r="L724" s="49"/>
      <c r="M724" s="49"/>
      <c r="N724" s="49"/>
      <c r="O724" s="49"/>
      <c r="P724" s="49"/>
      <c r="Q724" s="49"/>
      <c r="R724" s="49"/>
      <c r="S724" s="49"/>
      <c r="T724" s="49"/>
      <c r="U724" s="49"/>
      <c r="V724" s="49"/>
      <c r="W724" s="49"/>
      <c r="X724" s="49"/>
      <c r="Y724" s="49"/>
      <c r="Z724" s="49"/>
    </row>
    <row r="725" spans="1:26" ht="13">
      <c r="A725" s="49"/>
      <c r="B725" s="49"/>
      <c r="C725" s="49"/>
      <c r="D725" s="49"/>
      <c r="E725" s="49"/>
      <c r="F725" s="49"/>
      <c r="G725" s="49"/>
      <c r="H725" s="49"/>
      <c r="I725" s="49"/>
      <c r="J725" s="49"/>
      <c r="K725" s="49"/>
      <c r="L725" s="49"/>
      <c r="M725" s="49"/>
      <c r="N725" s="49"/>
      <c r="O725" s="49"/>
      <c r="P725" s="49"/>
      <c r="Q725" s="49"/>
      <c r="R725" s="49"/>
      <c r="S725" s="49"/>
      <c r="T725" s="49"/>
      <c r="U725" s="49"/>
      <c r="V725" s="49"/>
      <c r="W725" s="49"/>
      <c r="X725" s="49"/>
      <c r="Y725" s="49"/>
      <c r="Z725" s="49"/>
    </row>
    <row r="726" spans="1:26" ht="13">
      <c r="A726" s="49"/>
      <c r="B726" s="49"/>
      <c r="C726" s="49"/>
      <c r="D726" s="49"/>
      <c r="E726" s="49"/>
      <c r="F726" s="49"/>
      <c r="G726" s="49"/>
      <c r="H726" s="49"/>
      <c r="I726" s="49"/>
      <c r="J726" s="49"/>
      <c r="K726" s="49"/>
      <c r="L726" s="49"/>
      <c r="M726" s="49"/>
      <c r="N726" s="49"/>
      <c r="O726" s="49"/>
      <c r="P726" s="49"/>
      <c r="Q726" s="49"/>
      <c r="R726" s="49"/>
      <c r="S726" s="49"/>
      <c r="T726" s="49"/>
      <c r="U726" s="49"/>
      <c r="V726" s="49"/>
      <c r="W726" s="49"/>
      <c r="X726" s="49"/>
      <c r="Y726" s="49"/>
      <c r="Z726" s="49"/>
    </row>
    <row r="727" spans="1:26" ht="13">
      <c r="A727" s="49"/>
      <c r="B727" s="49"/>
      <c r="C727" s="49"/>
      <c r="D727" s="49"/>
      <c r="E727" s="49"/>
      <c r="F727" s="49"/>
      <c r="G727" s="49"/>
      <c r="H727" s="49"/>
      <c r="I727" s="49"/>
      <c r="J727" s="49"/>
      <c r="K727" s="49"/>
      <c r="L727" s="49"/>
      <c r="M727" s="49"/>
      <c r="N727" s="49"/>
      <c r="O727" s="49"/>
      <c r="P727" s="49"/>
      <c r="Q727" s="49"/>
      <c r="R727" s="49"/>
      <c r="S727" s="49"/>
      <c r="T727" s="49"/>
      <c r="U727" s="49"/>
      <c r="V727" s="49"/>
      <c r="W727" s="49"/>
      <c r="X727" s="49"/>
      <c r="Y727" s="49"/>
      <c r="Z727" s="49"/>
    </row>
    <row r="728" spans="1:26" ht="13">
      <c r="A728" s="49"/>
      <c r="B728" s="49"/>
      <c r="C728" s="49"/>
      <c r="D728" s="49"/>
      <c r="E728" s="49"/>
      <c r="F728" s="49"/>
      <c r="G728" s="49"/>
      <c r="H728" s="49"/>
      <c r="I728" s="49"/>
      <c r="J728" s="49"/>
      <c r="K728" s="49"/>
      <c r="L728" s="49"/>
      <c r="M728" s="49"/>
      <c r="N728" s="49"/>
      <c r="O728" s="49"/>
      <c r="P728" s="49"/>
      <c r="Q728" s="49"/>
      <c r="R728" s="49"/>
      <c r="S728" s="49"/>
      <c r="T728" s="49"/>
      <c r="U728" s="49"/>
      <c r="V728" s="49"/>
      <c r="W728" s="49"/>
      <c r="X728" s="49"/>
      <c r="Y728" s="49"/>
      <c r="Z728" s="49"/>
    </row>
    <row r="729" spans="1:26" ht="13">
      <c r="A729" s="49"/>
      <c r="B729" s="49"/>
      <c r="C729" s="49"/>
      <c r="D729" s="49"/>
      <c r="E729" s="49"/>
      <c r="F729" s="49"/>
      <c r="G729" s="49"/>
      <c r="H729" s="49"/>
      <c r="I729" s="49"/>
      <c r="J729" s="49"/>
      <c r="K729" s="49"/>
      <c r="L729" s="49"/>
      <c r="M729" s="49"/>
      <c r="N729" s="49"/>
      <c r="O729" s="49"/>
      <c r="P729" s="49"/>
      <c r="Q729" s="49"/>
      <c r="R729" s="49"/>
      <c r="S729" s="49"/>
      <c r="T729" s="49"/>
      <c r="U729" s="49"/>
      <c r="V729" s="49"/>
      <c r="W729" s="49"/>
      <c r="X729" s="49"/>
      <c r="Y729" s="49"/>
      <c r="Z729" s="49"/>
    </row>
    <row r="730" spans="1:26" ht="13">
      <c r="A730" s="49"/>
      <c r="B730" s="49"/>
      <c r="C730" s="49"/>
      <c r="D730" s="49"/>
      <c r="E730" s="49"/>
      <c r="F730" s="49"/>
      <c r="G730" s="49"/>
      <c r="H730" s="49"/>
      <c r="I730" s="49"/>
      <c r="J730" s="49"/>
      <c r="K730" s="49"/>
      <c r="L730" s="49"/>
      <c r="M730" s="49"/>
      <c r="N730" s="49"/>
      <c r="O730" s="49"/>
      <c r="P730" s="49"/>
      <c r="Q730" s="49"/>
      <c r="R730" s="49"/>
      <c r="S730" s="49"/>
      <c r="T730" s="49"/>
      <c r="U730" s="49"/>
      <c r="V730" s="49"/>
      <c r="W730" s="49"/>
      <c r="X730" s="49"/>
      <c r="Y730" s="49"/>
      <c r="Z730" s="49"/>
    </row>
    <row r="731" spans="1:26" ht="13">
      <c r="A731" s="49"/>
      <c r="B731" s="49"/>
      <c r="C731" s="49"/>
      <c r="D731" s="49"/>
      <c r="E731" s="49"/>
      <c r="F731" s="49"/>
      <c r="G731" s="49"/>
      <c r="H731" s="49"/>
      <c r="I731" s="49"/>
      <c r="J731" s="49"/>
      <c r="K731" s="49"/>
      <c r="L731" s="49"/>
      <c r="M731" s="49"/>
      <c r="N731" s="49"/>
      <c r="O731" s="49"/>
      <c r="P731" s="49"/>
      <c r="Q731" s="49"/>
      <c r="R731" s="49"/>
      <c r="S731" s="49"/>
      <c r="T731" s="49"/>
      <c r="U731" s="49"/>
      <c r="V731" s="49"/>
      <c r="W731" s="49"/>
      <c r="X731" s="49"/>
      <c r="Y731" s="49"/>
      <c r="Z731" s="49"/>
    </row>
    <row r="732" spans="1:26" ht="13">
      <c r="A732" s="49"/>
      <c r="B732" s="49"/>
      <c r="C732" s="49"/>
      <c r="D732" s="49"/>
      <c r="E732" s="49"/>
      <c r="F732" s="49"/>
      <c r="G732" s="49"/>
      <c r="H732" s="49"/>
      <c r="I732" s="49"/>
      <c r="J732" s="49"/>
      <c r="K732" s="49"/>
      <c r="L732" s="49"/>
      <c r="M732" s="49"/>
      <c r="N732" s="49"/>
      <c r="O732" s="49"/>
      <c r="P732" s="49"/>
      <c r="Q732" s="49"/>
      <c r="R732" s="49"/>
      <c r="S732" s="49"/>
      <c r="T732" s="49"/>
      <c r="U732" s="49"/>
      <c r="V732" s="49"/>
      <c r="W732" s="49"/>
      <c r="X732" s="49"/>
      <c r="Y732" s="49"/>
      <c r="Z732" s="49"/>
    </row>
    <row r="733" spans="1:26" ht="13">
      <c r="A733" s="49"/>
      <c r="B733" s="49"/>
      <c r="C733" s="49"/>
      <c r="D733" s="49"/>
      <c r="E733" s="49"/>
      <c r="F733" s="49"/>
      <c r="G733" s="49"/>
      <c r="H733" s="49"/>
      <c r="I733" s="49"/>
      <c r="J733" s="49"/>
      <c r="K733" s="49"/>
      <c r="L733" s="49"/>
      <c r="M733" s="49"/>
      <c r="N733" s="49"/>
      <c r="O733" s="49"/>
      <c r="P733" s="49"/>
      <c r="Q733" s="49"/>
      <c r="R733" s="49"/>
      <c r="S733" s="49"/>
      <c r="T733" s="49"/>
      <c r="U733" s="49"/>
      <c r="V733" s="49"/>
      <c r="W733" s="49"/>
      <c r="X733" s="49"/>
      <c r="Y733" s="49"/>
      <c r="Z733" s="49"/>
    </row>
    <row r="734" spans="1:26" ht="13">
      <c r="A734" s="49"/>
      <c r="B734" s="49"/>
      <c r="C734" s="49"/>
      <c r="D734" s="49"/>
      <c r="E734" s="49"/>
      <c r="F734" s="49"/>
      <c r="G734" s="49"/>
      <c r="H734" s="49"/>
      <c r="I734" s="49"/>
      <c r="J734" s="49"/>
      <c r="K734" s="49"/>
      <c r="L734" s="49"/>
      <c r="M734" s="49"/>
      <c r="N734" s="49"/>
      <c r="O734" s="49"/>
      <c r="P734" s="49"/>
      <c r="Q734" s="49"/>
      <c r="R734" s="49"/>
      <c r="S734" s="49"/>
      <c r="T734" s="49"/>
      <c r="U734" s="49"/>
      <c r="V734" s="49"/>
      <c r="W734" s="49"/>
      <c r="X734" s="49"/>
      <c r="Y734" s="49"/>
      <c r="Z734" s="49"/>
    </row>
    <row r="735" spans="1:26" ht="13">
      <c r="A735" s="49"/>
      <c r="B735" s="49"/>
      <c r="C735" s="49"/>
      <c r="D735" s="49"/>
      <c r="E735" s="49"/>
      <c r="F735" s="49"/>
      <c r="G735" s="49"/>
      <c r="H735" s="49"/>
      <c r="I735" s="49"/>
      <c r="J735" s="49"/>
      <c r="K735" s="49"/>
      <c r="L735" s="49"/>
      <c r="M735" s="49"/>
      <c r="N735" s="49"/>
      <c r="O735" s="49"/>
      <c r="P735" s="49"/>
      <c r="Q735" s="49"/>
      <c r="R735" s="49"/>
      <c r="S735" s="49"/>
      <c r="T735" s="49"/>
      <c r="U735" s="49"/>
      <c r="V735" s="49"/>
      <c r="W735" s="49"/>
      <c r="X735" s="49"/>
      <c r="Y735" s="49"/>
      <c r="Z735" s="49"/>
    </row>
    <row r="736" spans="1:26" ht="13">
      <c r="A736" s="49"/>
      <c r="B736" s="49"/>
      <c r="C736" s="49"/>
      <c r="D736" s="49"/>
      <c r="E736" s="49"/>
      <c r="F736" s="49"/>
      <c r="G736" s="49"/>
      <c r="H736" s="49"/>
      <c r="I736" s="49"/>
      <c r="J736" s="49"/>
      <c r="K736" s="49"/>
      <c r="L736" s="49"/>
      <c r="M736" s="49"/>
      <c r="N736" s="49"/>
      <c r="O736" s="49"/>
      <c r="P736" s="49"/>
      <c r="Q736" s="49"/>
      <c r="R736" s="49"/>
      <c r="S736" s="49"/>
      <c r="T736" s="49"/>
      <c r="U736" s="49"/>
      <c r="V736" s="49"/>
      <c r="W736" s="49"/>
      <c r="X736" s="49"/>
      <c r="Y736" s="49"/>
      <c r="Z736" s="49"/>
    </row>
    <row r="737" spans="1:26" ht="13">
      <c r="A737" s="49"/>
      <c r="B737" s="49"/>
      <c r="C737" s="49"/>
      <c r="D737" s="49"/>
      <c r="E737" s="49"/>
      <c r="F737" s="49"/>
      <c r="G737" s="49"/>
      <c r="H737" s="49"/>
      <c r="I737" s="49"/>
      <c r="J737" s="49"/>
      <c r="K737" s="49"/>
      <c r="L737" s="49"/>
      <c r="M737" s="49"/>
      <c r="N737" s="49"/>
      <c r="O737" s="49"/>
      <c r="P737" s="49"/>
      <c r="Q737" s="49"/>
      <c r="R737" s="49"/>
      <c r="S737" s="49"/>
      <c r="T737" s="49"/>
      <c r="U737" s="49"/>
      <c r="V737" s="49"/>
      <c r="W737" s="49"/>
      <c r="X737" s="49"/>
      <c r="Y737" s="49"/>
      <c r="Z737" s="49"/>
    </row>
    <row r="738" spans="1:26" ht="13">
      <c r="A738" s="49"/>
      <c r="B738" s="49"/>
      <c r="C738" s="49"/>
      <c r="D738" s="49"/>
      <c r="E738" s="49"/>
      <c r="F738" s="49"/>
      <c r="G738" s="49"/>
      <c r="H738" s="49"/>
      <c r="I738" s="49"/>
      <c r="J738" s="49"/>
      <c r="K738" s="49"/>
      <c r="L738" s="49"/>
      <c r="M738" s="49"/>
      <c r="N738" s="49"/>
      <c r="O738" s="49"/>
      <c r="P738" s="49"/>
      <c r="Q738" s="49"/>
      <c r="R738" s="49"/>
      <c r="S738" s="49"/>
      <c r="T738" s="49"/>
      <c r="U738" s="49"/>
      <c r="V738" s="49"/>
      <c r="W738" s="49"/>
      <c r="X738" s="49"/>
      <c r="Y738" s="49"/>
      <c r="Z738" s="49"/>
    </row>
    <row r="739" spans="1:26" ht="13">
      <c r="A739" s="49"/>
      <c r="B739" s="49"/>
      <c r="C739" s="49"/>
      <c r="D739" s="49"/>
      <c r="E739" s="49"/>
      <c r="F739" s="49"/>
      <c r="G739" s="49"/>
      <c r="H739" s="49"/>
      <c r="I739" s="49"/>
      <c r="J739" s="49"/>
      <c r="K739" s="49"/>
      <c r="L739" s="49"/>
      <c r="M739" s="49"/>
      <c r="N739" s="49"/>
      <c r="O739" s="49"/>
      <c r="P739" s="49"/>
      <c r="Q739" s="49"/>
      <c r="R739" s="49"/>
      <c r="S739" s="49"/>
      <c r="T739" s="49"/>
      <c r="U739" s="49"/>
      <c r="V739" s="49"/>
      <c r="W739" s="49"/>
      <c r="X739" s="49"/>
      <c r="Y739" s="49"/>
      <c r="Z739" s="49"/>
    </row>
    <row r="740" spans="1:26" ht="13">
      <c r="A740" s="49"/>
      <c r="B740" s="49"/>
      <c r="C740" s="49"/>
      <c r="D740" s="49"/>
      <c r="E740" s="49"/>
      <c r="F740" s="49"/>
      <c r="G740" s="49"/>
      <c r="H740" s="49"/>
      <c r="I740" s="49"/>
      <c r="J740" s="49"/>
      <c r="K740" s="49"/>
      <c r="L740" s="49"/>
      <c r="M740" s="49"/>
      <c r="N740" s="49"/>
      <c r="O740" s="49"/>
      <c r="P740" s="49"/>
      <c r="Q740" s="49"/>
      <c r="R740" s="49"/>
      <c r="S740" s="49"/>
      <c r="T740" s="49"/>
      <c r="U740" s="49"/>
      <c r="V740" s="49"/>
      <c r="W740" s="49"/>
      <c r="X740" s="49"/>
      <c r="Y740" s="49"/>
      <c r="Z740" s="49"/>
    </row>
    <row r="741" spans="1:26" ht="13">
      <c r="A741" s="49"/>
      <c r="B741" s="49"/>
      <c r="C741" s="49"/>
      <c r="D741" s="49"/>
      <c r="E741" s="49"/>
      <c r="F741" s="49"/>
      <c r="G741" s="49"/>
      <c r="H741" s="49"/>
      <c r="I741" s="49"/>
      <c r="J741" s="49"/>
      <c r="K741" s="49"/>
      <c r="L741" s="49"/>
      <c r="M741" s="49"/>
      <c r="N741" s="49"/>
      <c r="O741" s="49"/>
      <c r="P741" s="49"/>
      <c r="Q741" s="49"/>
      <c r="R741" s="49"/>
      <c r="S741" s="49"/>
      <c r="T741" s="49"/>
      <c r="U741" s="49"/>
      <c r="V741" s="49"/>
      <c r="W741" s="49"/>
      <c r="X741" s="49"/>
      <c r="Y741" s="49"/>
      <c r="Z741" s="49"/>
    </row>
    <row r="742" spans="1:26" ht="13">
      <c r="A742" s="49"/>
      <c r="B742" s="49"/>
      <c r="C742" s="49"/>
      <c r="D742" s="49"/>
      <c r="E742" s="49"/>
      <c r="F742" s="49"/>
      <c r="G742" s="49"/>
      <c r="H742" s="49"/>
      <c r="I742" s="49"/>
      <c r="J742" s="49"/>
      <c r="K742" s="49"/>
      <c r="L742" s="49"/>
      <c r="M742" s="49"/>
      <c r="N742" s="49"/>
      <c r="O742" s="49"/>
      <c r="P742" s="49"/>
      <c r="Q742" s="49"/>
      <c r="R742" s="49"/>
      <c r="S742" s="49"/>
      <c r="T742" s="49"/>
      <c r="U742" s="49"/>
      <c r="V742" s="49"/>
      <c r="W742" s="49"/>
      <c r="X742" s="49"/>
      <c r="Y742" s="49"/>
      <c r="Z742" s="49"/>
    </row>
    <row r="743" spans="1:26" ht="13">
      <c r="A743" s="49"/>
      <c r="B743" s="49"/>
      <c r="C743" s="49"/>
      <c r="D743" s="49"/>
      <c r="E743" s="49"/>
      <c r="F743" s="49"/>
      <c r="G743" s="49"/>
      <c r="H743" s="49"/>
      <c r="I743" s="49"/>
      <c r="J743" s="49"/>
      <c r="K743" s="49"/>
      <c r="L743" s="49"/>
      <c r="M743" s="49"/>
      <c r="N743" s="49"/>
      <c r="O743" s="49"/>
      <c r="P743" s="49"/>
      <c r="Q743" s="49"/>
      <c r="R743" s="49"/>
      <c r="S743" s="49"/>
      <c r="T743" s="49"/>
      <c r="U743" s="49"/>
      <c r="V743" s="49"/>
      <c r="W743" s="49"/>
      <c r="X743" s="49"/>
      <c r="Y743" s="49"/>
      <c r="Z743" s="49"/>
    </row>
    <row r="744" spans="1:26" ht="13">
      <c r="A744" s="49"/>
      <c r="B744" s="49"/>
      <c r="C744" s="49"/>
      <c r="D744" s="49"/>
      <c r="E744" s="49"/>
      <c r="F744" s="49"/>
      <c r="G744" s="49"/>
      <c r="H744" s="49"/>
      <c r="I744" s="49"/>
      <c r="J744" s="49"/>
      <c r="K744" s="49"/>
      <c r="L744" s="49"/>
      <c r="M744" s="49"/>
      <c r="N744" s="49"/>
      <c r="O744" s="49"/>
      <c r="P744" s="49"/>
      <c r="Q744" s="49"/>
      <c r="R744" s="49"/>
      <c r="S744" s="49"/>
      <c r="T744" s="49"/>
      <c r="U744" s="49"/>
      <c r="V744" s="49"/>
      <c r="W744" s="49"/>
      <c r="X744" s="49"/>
      <c r="Y744" s="49"/>
      <c r="Z744" s="49"/>
    </row>
    <row r="745" spans="1:26" ht="13">
      <c r="A745" s="49"/>
      <c r="B745" s="49"/>
      <c r="C745" s="49"/>
      <c r="D745" s="49"/>
      <c r="E745" s="49"/>
      <c r="F745" s="49"/>
      <c r="G745" s="49"/>
      <c r="H745" s="49"/>
      <c r="I745" s="49"/>
      <c r="J745" s="49"/>
      <c r="K745" s="49"/>
      <c r="L745" s="49"/>
      <c r="M745" s="49"/>
      <c r="N745" s="49"/>
      <c r="O745" s="49"/>
      <c r="P745" s="49"/>
      <c r="Q745" s="49"/>
      <c r="R745" s="49"/>
      <c r="S745" s="49"/>
      <c r="T745" s="49"/>
      <c r="U745" s="49"/>
      <c r="V745" s="49"/>
      <c r="W745" s="49"/>
      <c r="X745" s="49"/>
      <c r="Y745" s="49"/>
      <c r="Z745" s="49"/>
    </row>
    <row r="746" spans="1:26" ht="13">
      <c r="A746" s="49"/>
      <c r="B746" s="49"/>
      <c r="C746" s="49"/>
      <c r="D746" s="49"/>
      <c r="E746" s="49"/>
      <c r="F746" s="49"/>
      <c r="G746" s="49"/>
      <c r="H746" s="49"/>
      <c r="I746" s="49"/>
      <c r="J746" s="49"/>
      <c r="K746" s="49"/>
      <c r="L746" s="49"/>
      <c r="M746" s="49"/>
      <c r="N746" s="49"/>
      <c r="O746" s="49"/>
      <c r="P746" s="49"/>
      <c r="Q746" s="49"/>
      <c r="R746" s="49"/>
      <c r="S746" s="49"/>
      <c r="T746" s="49"/>
      <c r="U746" s="49"/>
      <c r="V746" s="49"/>
      <c r="W746" s="49"/>
      <c r="X746" s="49"/>
      <c r="Y746" s="49"/>
      <c r="Z746" s="49"/>
    </row>
    <row r="747" spans="1:26" ht="13">
      <c r="A747" s="49"/>
      <c r="B747" s="49"/>
      <c r="C747" s="49"/>
      <c r="D747" s="49"/>
      <c r="E747" s="49"/>
      <c r="F747" s="49"/>
      <c r="G747" s="49"/>
      <c r="H747" s="49"/>
      <c r="I747" s="49"/>
      <c r="J747" s="49"/>
      <c r="K747" s="49"/>
      <c r="L747" s="49"/>
      <c r="M747" s="49"/>
      <c r="N747" s="49"/>
      <c r="O747" s="49"/>
      <c r="P747" s="49"/>
      <c r="Q747" s="49"/>
      <c r="R747" s="49"/>
      <c r="S747" s="49"/>
      <c r="T747" s="49"/>
      <c r="U747" s="49"/>
      <c r="V747" s="49"/>
      <c r="W747" s="49"/>
      <c r="X747" s="49"/>
      <c r="Y747" s="49"/>
      <c r="Z747" s="49"/>
    </row>
    <row r="748" spans="1:26" ht="13">
      <c r="A748" s="49"/>
      <c r="B748" s="49"/>
      <c r="C748" s="49"/>
      <c r="D748" s="49"/>
      <c r="E748" s="49"/>
      <c r="F748" s="49"/>
      <c r="G748" s="49"/>
      <c r="H748" s="49"/>
      <c r="I748" s="49"/>
      <c r="J748" s="49"/>
      <c r="K748" s="49"/>
      <c r="L748" s="49"/>
      <c r="M748" s="49"/>
      <c r="N748" s="49"/>
      <c r="O748" s="49"/>
      <c r="P748" s="49"/>
      <c r="Q748" s="49"/>
      <c r="R748" s="49"/>
      <c r="S748" s="49"/>
      <c r="T748" s="49"/>
      <c r="U748" s="49"/>
      <c r="V748" s="49"/>
      <c r="W748" s="49"/>
      <c r="X748" s="49"/>
      <c r="Y748" s="49"/>
      <c r="Z748" s="49"/>
    </row>
    <row r="749" spans="1:26" ht="13">
      <c r="A749" s="49"/>
      <c r="B749" s="49"/>
      <c r="C749" s="49"/>
      <c r="D749" s="49"/>
      <c r="E749" s="49"/>
      <c r="F749" s="49"/>
      <c r="G749" s="49"/>
      <c r="H749" s="49"/>
      <c r="I749" s="49"/>
      <c r="J749" s="49"/>
      <c r="K749" s="49"/>
      <c r="L749" s="49"/>
      <c r="M749" s="49"/>
      <c r="N749" s="49"/>
      <c r="O749" s="49"/>
      <c r="P749" s="49"/>
      <c r="Q749" s="49"/>
      <c r="R749" s="49"/>
      <c r="S749" s="49"/>
      <c r="T749" s="49"/>
      <c r="U749" s="49"/>
      <c r="V749" s="49"/>
      <c r="W749" s="49"/>
      <c r="X749" s="49"/>
      <c r="Y749" s="49"/>
      <c r="Z749" s="49"/>
    </row>
    <row r="750" spans="1:26" ht="13">
      <c r="A750" s="49"/>
      <c r="B750" s="49"/>
      <c r="C750" s="49"/>
      <c r="D750" s="49"/>
      <c r="E750" s="49"/>
      <c r="F750" s="49"/>
      <c r="G750" s="49"/>
      <c r="H750" s="49"/>
      <c r="I750" s="49"/>
      <c r="J750" s="49"/>
      <c r="K750" s="49"/>
      <c r="L750" s="49"/>
      <c r="M750" s="49"/>
      <c r="N750" s="49"/>
      <c r="O750" s="49"/>
      <c r="P750" s="49"/>
      <c r="Q750" s="49"/>
      <c r="R750" s="49"/>
      <c r="S750" s="49"/>
      <c r="T750" s="49"/>
      <c r="U750" s="49"/>
      <c r="V750" s="49"/>
      <c r="W750" s="49"/>
      <c r="X750" s="49"/>
      <c r="Y750" s="49"/>
      <c r="Z750" s="49"/>
    </row>
    <row r="751" spans="1:26" ht="13">
      <c r="A751" s="49"/>
      <c r="B751" s="49"/>
      <c r="C751" s="49"/>
      <c r="D751" s="49"/>
      <c r="E751" s="49"/>
      <c r="F751" s="49"/>
      <c r="G751" s="49"/>
      <c r="H751" s="49"/>
      <c r="I751" s="49"/>
      <c r="J751" s="49"/>
      <c r="K751" s="49"/>
      <c r="L751" s="49"/>
      <c r="M751" s="49"/>
      <c r="N751" s="49"/>
      <c r="O751" s="49"/>
      <c r="P751" s="49"/>
      <c r="Q751" s="49"/>
      <c r="R751" s="49"/>
      <c r="S751" s="49"/>
      <c r="T751" s="49"/>
      <c r="U751" s="49"/>
      <c r="V751" s="49"/>
      <c r="W751" s="49"/>
      <c r="X751" s="49"/>
      <c r="Y751" s="49"/>
      <c r="Z751" s="49"/>
    </row>
    <row r="752" spans="1:26" ht="13">
      <c r="A752" s="49"/>
      <c r="B752" s="49"/>
      <c r="C752" s="49"/>
      <c r="D752" s="49"/>
      <c r="E752" s="49"/>
      <c r="F752" s="49"/>
      <c r="G752" s="49"/>
      <c r="H752" s="49"/>
      <c r="I752" s="49"/>
      <c r="J752" s="49"/>
      <c r="K752" s="49"/>
      <c r="L752" s="49"/>
      <c r="M752" s="49"/>
      <c r="N752" s="49"/>
      <c r="O752" s="49"/>
      <c r="P752" s="49"/>
      <c r="Q752" s="49"/>
      <c r="R752" s="49"/>
      <c r="S752" s="49"/>
      <c r="T752" s="49"/>
      <c r="U752" s="49"/>
      <c r="V752" s="49"/>
      <c r="W752" s="49"/>
      <c r="X752" s="49"/>
      <c r="Y752" s="49"/>
      <c r="Z752" s="49"/>
    </row>
    <row r="753" spans="1:26" ht="13">
      <c r="A753" s="49"/>
      <c r="B753" s="49"/>
      <c r="C753" s="49"/>
      <c r="D753" s="49"/>
      <c r="E753" s="49"/>
      <c r="F753" s="49"/>
      <c r="G753" s="49"/>
      <c r="H753" s="49"/>
      <c r="I753" s="49"/>
      <c r="J753" s="49"/>
      <c r="K753" s="49"/>
      <c r="L753" s="49"/>
      <c r="M753" s="49"/>
      <c r="N753" s="49"/>
      <c r="O753" s="49"/>
      <c r="P753" s="49"/>
      <c r="Q753" s="49"/>
      <c r="R753" s="49"/>
      <c r="S753" s="49"/>
      <c r="T753" s="49"/>
      <c r="U753" s="49"/>
      <c r="V753" s="49"/>
      <c r="W753" s="49"/>
      <c r="X753" s="49"/>
      <c r="Y753" s="49"/>
      <c r="Z753" s="49"/>
    </row>
    <row r="754" spans="1:26" ht="13">
      <c r="A754" s="49"/>
      <c r="B754" s="49"/>
      <c r="C754" s="49"/>
      <c r="D754" s="49"/>
      <c r="E754" s="49"/>
      <c r="F754" s="49"/>
      <c r="G754" s="49"/>
      <c r="H754" s="49"/>
      <c r="I754" s="49"/>
      <c r="J754" s="49"/>
      <c r="K754" s="49"/>
      <c r="L754" s="49"/>
      <c r="M754" s="49"/>
      <c r="N754" s="49"/>
      <c r="O754" s="49"/>
      <c r="P754" s="49"/>
      <c r="Q754" s="49"/>
      <c r="R754" s="49"/>
      <c r="S754" s="49"/>
      <c r="T754" s="49"/>
      <c r="U754" s="49"/>
      <c r="V754" s="49"/>
      <c r="W754" s="49"/>
      <c r="X754" s="49"/>
      <c r="Y754" s="49"/>
      <c r="Z754" s="49"/>
    </row>
    <row r="755" spans="1:26" ht="13">
      <c r="A755" s="49"/>
      <c r="B755" s="49"/>
      <c r="C755" s="49"/>
      <c r="D755" s="49"/>
      <c r="E755" s="49"/>
      <c r="F755" s="49"/>
      <c r="G755" s="49"/>
      <c r="H755" s="49"/>
      <c r="I755" s="49"/>
      <c r="J755" s="49"/>
      <c r="K755" s="49"/>
      <c r="L755" s="49"/>
      <c r="M755" s="49"/>
      <c r="N755" s="49"/>
      <c r="O755" s="49"/>
      <c r="P755" s="49"/>
      <c r="Q755" s="49"/>
      <c r="R755" s="49"/>
      <c r="S755" s="49"/>
      <c r="T755" s="49"/>
      <c r="U755" s="49"/>
      <c r="V755" s="49"/>
      <c r="W755" s="49"/>
      <c r="X755" s="49"/>
      <c r="Y755" s="49"/>
      <c r="Z755" s="49"/>
    </row>
    <row r="756" spans="1:26" ht="13">
      <c r="A756" s="49"/>
      <c r="B756" s="49"/>
      <c r="C756" s="49"/>
      <c r="D756" s="49"/>
      <c r="E756" s="49"/>
      <c r="F756" s="49"/>
      <c r="G756" s="49"/>
      <c r="H756" s="49"/>
      <c r="I756" s="49"/>
      <c r="J756" s="49"/>
      <c r="K756" s="49"/>
      <c r="L756" s="49"/>
      <c r="M756" s="49"/>
      <c r="N756" s="49"/>
      <c r="O756" s="49"/>
      <c r="P756" s="49"/>
      <c r="Q756" s="49"/>
      <c r="R756" s="49"/>
      <c r="S756" s="49"/>
      <c r="T756" s="49"/>
      <c r="U756" s="49"/>
      <c r="V756" s="49"/>
      <c r="W756" s="49"/>
      <c r="X756" s="49"/>
      <c r="Y756" s="49"/>
      <c r="Z756" s="49"/>
    </row>
    <row r="757" spans="1:26" ht="13">
      <c r="A757" s="49"/>
      <c r="B757" s="49"/>
      <c r="C757" s="49"/>
      <c r="D757" s="49"/>
      <c r="E757" s="49"/>
      <c r="F757" s="49"/>
      <c r="G757" s="49"/>
      <c r="H757" s="49"/>
      <c r="I757" s="49"/>
      <c r="J757" s="49"/>
      <c r="K757" s="49"/>
      <c r="L757" s="49"/>
      <c r="M757" s="49"/>
      <c r="N757" s="49"/>
      <c r="O757" s="49"/>
      <c r="P757" s="49"/>
      <c r="Q757" s="49"/>
      <c r="R757" s="49"/>
      <c r="S757" s="49"/>
      <c r="T757" s="49"/>
      <c r="U757" s="49"/>
      <c r="V757" s="49"/>
      <c r="W757" s="49"/>
      <c r="X757" s="49"/>
      <c r="Y757" s="49"/>
      <c r="Z757" s="49"/>
    </row>
    <row r="758" spans="1:26" ht="13">
      <c r="A758" s="49"/>
      <c r="B758" s="49"/>
      <c r="C758" s="49"/>
      <c r="D758" s="49"/>
      <c r="E758" s="49"/>
      <c r="F758" s="49"/>
      <c r="G758" s="49"/>
      <c r="H758" s="49"/>
      <c r="I758" s="49"/>
      <c r="J758" s="49"/>
      <c r="K758" s="49"/>
      <c r="L758" s="49"/>
      <c r="M758" s="49"/>
      <c r="N758" s="49"/>
      <c r="O758" s="49"/>
      <c r="P758" s="49"/>
      <c r="Q758" s="49"/>
      <c r="R758" s="49"/>
      <c r="S758" s="49"/>
      <c r="T758" s="49"/>
      <c r="U758" s="49"/>
      <c r="V758" s="49"/>
      <c r="W758" s="49"/>
      <c r="X758" s="49"/>
      <c r="Y758" s="49"/>
      <c r="Z758" s="49"/>
    </row>
    <row r="759" spans="1:26" ht="13">
      <c r="A759" s="49"/>
      <c r="B759" s="49"/>
      <c r="C759" s="49"/>
      <c r="D759" s="49"/>
      <c r="E759" s="49"/>
      <c r="F759" s="49"/>
      <c r="G759" s="49"/>
      <c r="H759" s="49"/>
      <c r="I759" s="49"/>
      <c r="J759" s="49"/>
      <c r="K759" s="49"/>
      <c r="L759" s="49"/>
      <c r="M759" s="49"/>
      <c r="N759" s="49"/>
      <c r="O759" s="49"/>
      <c r="P759" s="49"/>
      <c r="Q759" s="49"/>
      <c r="R759" s="49"/>
      <c r="S759" s="49"/>
      <c r="T759" s="49"/>
      <c r="U759" s="49"/>
      <c r="V759" s="49"/>
      <c r="W759" s="49"/>
      <c r="X759" s="49"/>
      <c r="Y759" s="49"/>
      <c r="Z759" s="49"/>
    </row>
    <row r="760" spans="1:26" ht="13">
      <c r="A760" s="49"/>
      <c r="B760" s="49"/>
      <c r="C760" s="49"/>
      <c r="D760" s="49"/>
      <c r="E760" s="49"/>
      <c r="F760" s="49"/>
      <c r="G760" s="49"/>
      <c r="H760" s="49"/>
      <c r="I760" s="49"/>
      <c r="J760" s="49"/>
      <c r="K760" s="49"/>
      <c r="L760" s="49"/>
      <c r="M760" s="49"/>
      <c r="N760" s="49"/>
      <c r="O760" s="49"/>
      <c r="P760" s="49"/>
      <c r="Q760" s="49"/>
      <c r="R760" s="49"/>
      <c r="S760" s="49"/>
      <c r="T760" s="49"/>
      <c r="U760" s="49"/>
      <c r="V760" s="49"/>
      <c r="W760" s="49"/>
      <c r="X760" s="49"/>
      <c r="Y760" s="49"/>
      <c r="Z760" s="49"/>
    </row>
    <row r="761" spans="1:26" ht="13">
      <c r="A761" s="49"/>
      <c r="B761" s="49"/>
      <c r="C761" s="49"/>
      <c r="D761" s="49"/>
      <c r="E761" s="49"/>
      <c r="F761" s="49"/>
      <c r="G761" s="49"/>
      <c r="H761" s="49"/>
      <c r="I761" s="49"/>
      <c r="J761" s="49"/>
      <c r="K761" s="49"/>
      <c r="L761" s="49"/>
      <c r="M761" s="49"/>
      <c r="N761" s="49"/>
      <c r="O761" s="49"/>
      <c r="P761" s="49"/>
      <c r="Q761" s="49"/>
      <c r="R761" s="49"/>
      <c r="S761" s="49"/>
      <c r="T761" s="49"/>
      <c r="U761" s="49"/>
      <c r="V761" s="49"/>
      <c r="W761" s="49"/>
      <c r="X761" s="49"/>
      <c r="Y761" s="49"/>
      <c r="Z761" s="49"/>
    </row>
    <row r="762" spans="1:26" ht="13">
      <c r="A762" s="49"/>
      <c r="B762" s="49"/>
      <c r="C762" s="49"/>
      <c r="D762" s="49"/>
      <c r="E762" s="49"/>
      <c r="F762" s="49"/>
      <c r="G762" s="49"/>
      <c r="H762" s="49"/>
      <c r="I762" s="49"/>
      <c r="J762" s="49"/>
      <c r="K762" s="49"/>
      <c r="L762" s="49"/>
      <c r="M762" s="49"/>
      <c r="N762" s="49"/>
      <c r="O762" s="49"/>
      <c r="P762" s="49"/>
      <c r="Q762" s="49"/>
      <c r="R762" s="49"/>
      <c r="S762" s="49"/>
      <c r="T762" s="49"/>
      <c r="U762" s="49"/>
      <c r="V762" s="49"/>
      <c r="W762" s="49"/>
      <c r="X762" s="49"/>
      <c r="Y762" s="49"/>
      <c r="Z762" s="49"/>
    </row>
    <row r="763" spans="1:26" ht="13">
      <c r="A763" s="49"/>
      <c r="B763" s="49"/>
      <c r="C763" s="49"/>
      <c r="D763" s="49"/>
      <c r="E763" s="49"/>
      <c r="F763" s="49"/>
      <c r="G763" s="49"/>
      <c r="H763" s="49"/>
      <c r="I763" s="49"/>
      <c r="J763" s="49"/>
      <c r="K763" s="49"/>
      <c r="L763" s="49"/>
      <c r="M763" s="49"/>
      <c r="N763" s="49"/>
      <c r="O763" s="49"/>
      <c r="P763" s="49"/>
      <c r="Q763" s="49"/>
      <c r="R763" s="49"/>
      <c r="S763" s="49"/>
      <c r="T763" s="49"/>
      <c r="U763" s="49"/>
      <c r="V763" s="49"/>
      <c r="W763" s="49"/>
      <c r="X763" s="49"/>
      <c r="Y763" s="49"/>
      <c r="Z763" s="49"/>
    </row>
    <row r="764" spans="1:26" ht="13">
      <c r="A764" s="49"/>
      <c r="B764" s="49"/>
      <c r="C764" s="49"/>
      <c r="D764" s="49"/>
      <c r="E764" s="49"/>
      <c r="F764" s="49"/>
      <c r="G764" s="49"/>
      <c r="H764" s="49"/>
      <c r="I764" s="49"/>
      <c r="J764" s="49"/>
      <c r="K764" s="49"/>
      <c r="L764" s="49"/>
      <c r="M764" s="49"/>
      <c r="N764" s="49"/>
      <c r="O764" s="49"/>
      <c r="P764" s="49"/>
      <c r="Q764" s="49"/>
      <c r="R764" s="49"/>
      <c r="S764" s="49"/>
      <c r="T764" s="49"/>
      <c r="U764" s="49"/>
      <c r="V764" s="49"/>
      <c r="W764" s="49"/>
      <c r="X764" s="49"/>
      <c r="Y764" s="49"/>
      <c r="Z764" s="49"/>
    </row>
    <row r="765" spans="1:26" ht="13">
      <c r="A765" s="49"/>
      <c r="B765" s="49"/>
      <c r="C765" s="49"/>
      <c r="D765" s="49"/>
      <c r="E765" s="49"/>
      <c r="F765" s="49"/>
      <c r="G765" s="49"/>
      <c r="H765" s="49"/>
      <c r="I765" s="49"/>
      <c r="J765" s="49"/>
      <c r="K765" s="49"/>
      <c r="L765" s="49"/>
      <c r="M765" s="49"/>
      <c r="N765" s="49"/>
      <c r="O765" s="49"/>
      <c r="P765" s="49"/>
      <c r="Q765" s="49"/>
      <c r="R765" s="49"/>
      <c r="S765" s="49"/>
      <c r="T765" s="49"/>
      <c r="U765" s="49"/>
      <c r="V765" s="49"/>
      <c r="W765" s="49"/>
      <c r="X765" s="49"/>
      <c r="Y765" s="49"/>
      <c r="Z765" s="49"/>
    </row>
    <row r="766" spans="1:26" ht="13">
      <c r="A766" s="49"/>
      <c r="B766" s="49"/>
      <c r="C766" s="49"/>
      <c r="D766" s="49"/>
      <c r="E766" s="49"/>
      <c r="F766" s="49"/>
      <c r="G766" s="49"/>
      <c r="H766" s="49"/>
      <c r="I766" s="49"/>
      <c r="J766" s="49"/>
      <c r="K766" s="49"/>
      <c r="L766" s="49"/>
      <c r="M766" s="49"/>
      <c r="N766" s="49"/>
      <c r="O766" s="49"/>
      <c r="P766" s="49"/>
      <c r="Q766" s="49"/>
      <c r="R766" s="49"/>
      <c r="S766" s="49"/>
      <c r="T766" s="49"/>
      <c r="U766" s="49"/>
      <c r="V766" s="49"/>
      <c r="W766" s="49"/>
      <c r="X766" s="49"/>
      <c r="Y766" s="49"/>
      <c r="Z766" s="49"/>
    </row>
    <row r="767" spans="1:26" ht="13">
      <c r="A767" s="49"/>
      <c r="B767" s="49"/>
      <c r="C767" s="49"/>
      <c r="D767" s="49"/>
      <c r="E767" s="49"/>
      <c r="F767" s="49"/>
      <c r="G767" s="49"/>
      <c r="H767" s="49"/>
      <c r="I767" s="49"/>
      <c r="J767" s="49"/>
      <c r="K767" s="49"/>
      <c r="L767" s="49"/>
      <c r="M767" s="49"/>
      <c r="N767" s="49"/>
      <c r="O767" s="49"/>
      <c r="P767" s="49"/>
      <c r="Q767" s="49"/>
      <c r="R767" s="49"/>
      <c r="S767" s="49"/>
      <c r="T767" s="49"/>
      <c r="U767" s="49"/>
      <c r="V767" s="49"/>
      <c r="W767" s="49"/>
      <c r="X767" s="49"/>
      <c r="Y767" s="49"/>
      <c r="Z767" s="49"/>
    </row>
    <row r="768" spans="1:26" ht="13">
      <c r="A768" s="49"/>
      <c r="B768" s="49"/>
      <c r="C768" s="49"/>
      <c r="D768" s="49"/>
      <c r="E768" s="49"/>
      <c r="F768" s="49"/>
      <c r="G768" s="49"/>
      <c r="H768" s="49"/>
      <c r="I768" s="49"/>
      <c r="J768" s="49"/>
      <c r="K768" s="49"/>
      <c r="L768" s="49"/>
      <c r="M768" s="49"/>
      <c r="N768" s="49"/>
      <c r="O768" s="49"/>
      <c r="P768" s="49"/>
      <c r="Q768" s="49"/>
      <c r="R768" s="49"/>
      <c r="S768" s="49"/>
      <c r="T768" s="49"/>
      <c r="U768" s="49"/>
      <c r="V768" s="49"/>
      <c r="W768" s="49"/>
      <c r="X768" s="49"/>
      <c r="Y768" s="49"/>
      <c r="Z768" s="49"/>
    </row>
    <row r="769" spans="1:26" ht="13">
      <c r="A769" s="49"/>
      <c r="B769" s="49"/>
      <c r="C769" s="49"/>
      <c r="D769" s="49"/>
      <c r="E769" s="49"/>
      <c r="F769" s="49"/>
      <c r="G769" s="49"/>
      <c r="H769" s="49"/>
      <c r="I769" s="49"/>
      <c r="J769" s="49"/>
      <c r="K769" s="49"/>
      <c r="L769" s="49"/>
      <c r="M769" s="49"/>
      <c r="N769" s="49"/>
      <c r="O769" s="49"/>
      <c r="P769" s="49"/>
      <c r="Q769" s="49"/>
      <c r="R769" s="49"/>
      <c r="S769" s="49"/>
      <c r="T769" s="49"/>
      <c r="U769" s="49"/>
      <c r="V769" s="49"/>
      <c r="W769" s="49"/>
      <c r="X769" s="49"/>
      <c r="Y769" s="49"/>
      <c r="Z769" s="49"/>
    </row>
    <row r="770" spans="1:26" ht="13">
      <c r="A770" s="49"/>
      <c r="B770" s="49"/>
      <c r="C770" s="49"/>
      <c r="D770" s="49"/>
      <c r="E770" s="49"/>
      <c r="F770" s="49"/>
      <c r="G770" s="49"/>
      <c r="H770" s="49"/>
      <c r="I770" s="49"/>
      <c r="J770" s="49"/>
      <c r="K770" s="49"/>
      <c r="L770" s="49"/>
      <c r="M770" s="49"/>
      <c r="N770" s="49"/>
      <c r="O770" s="49"/>
      <c r="P770" s="49"/>
      <c r="Q770" s="49"/>
      <c r="R770" s="49"/>
      <c r="S770" s="49"/>
      <c r="T770" s="49"/>
      <c r="U770" s="49"/>
      <c r="V770" s="49"/>
      <c r="W770" s="49"/>
      <c r="X770" s="49"/>
      <c r="Y770" s="49"/>
      <c r="Z770" s="49"/>
    </row>
    <row r="771" spans="1:26" ht="13">
      <c r="A771" s="49"/>
      <c r="B771" s="49"/>
      <c r="C771" s="49"/>
      <c r="D771" s="49"/>
      <c r="E771" s="49"/>
      <c r="F771" s="49"/>
      <c r="G771" s="49"/>
      <c r="H771" s="49"/>
      <c r="I771" s="49"/>
      <c r="J771" s="49"/>
      <c r="K771" s="49"/>
      <c r="L771" s="49"/>
      <c r="M771" s="49"/>
      <c r="N771" s="49"/>
      <c r="O771" s="49"/>
      <c r="P771" s="49"/>
      <c r="Q771" s="49"/>
      <c r="R771" s="49"/>
      <c r="S771" s="49"/>
      <c r="T771" s="49"/>
      <c r="U771" s="49"/>
      <c r="V771" s="49"/>
      <c r="W771" s="49"/>
      <c r="X771" s="49"/>
      <c r="Y771" s="49"/>
      <c r="Z771" s="49"/>
    </row>
    <row r="772" spans="1:26" ht="13">
      <c r="A772" s="49"/>
      <c r="B772" s="49"/>
      <c r="C772" s="49"/>
      <c r="D772" s="49"/>
      <c r="E772" s="49"/>
      <c r="F772" s="49"/>
      <c r="G772" s="49"/>
      <c r="H772" s="49"/>
      <c r="I772" s="49"/>
      <c r="J772" s="49"/>
      <c r="K772" s="49"/>
      <c r="L772" s="49"/>
      <c r="M772" s="49"/>
      <c r="N772" s="49"/>
      <c r="O772" s="49"/>
      <c r="P772" s="49"/>
      <c r="Q772" s="49"/>
      <c r="R772" s="49"/>
      <c r="S772" s="49"/>
      <c r="T772" s="49"/>
      <c r="U772" s="49"/>
      <c r="V772" s="49"/>
      <c r="W772" s="49"/>
      <c r="X772" s="49"/>
      <c r="Y772" s="49"/>
      <c r="Z772" s="49"/>
    </row>
    <row r="773" spans="1:26" ht="13">
      <c r="A773" s="49"/>
      <c r="B773" s="49"/>
      <c r="C773" s="49"/>
      <c r="D773" s="49"/>
      <c r="E773" s="49"/>
      <c r="F773" s="49"/>
      <c r="G773" s="49"/>
      <c r="H773" s="49"/>
      <c r="I773" s="49"/>
      <c r="J773" s="49"/>
      <c r="K773" s="49"/>
      <c r="L773" s="49"/>
      <c r="M773" s="49"/>
      <c r="N773" s="49"/>
      <c r="O773" s="49"/>
      <c r="P773" s="49"/>
      <c r="Q773" s="49"/>
      <c r="R773" s="49"/>
      <c r="S773" s="49"/>
      <c r="T773" s="49"/>
      <c r="U773" s="49"/>
      <c r="V773" s="49"/>
      <c r="W773" s="49"/>
      <c r="X773" s="49"/>
      <c r="Y773" s="49"/>
      <c r="Z773" s="49"/>
    </row>
    <row r="774" spans="1:26" ht="13">
      <c r="A774" s="49"/>
      <c r="B774" s="49"/>
      <c r="C774" s="49"/>
      <c r="D774" s="49"/>
      <c r="E774" s="49"/>
      <c r="F774" s="49"/>
      <c r="G774" s="49"/>
      <c r="H774" s="49"/>
      <c r="I774" s="49"/>
      <c r="J774" s="49"/>
      <c r="K774" s="49"/>
      <c r="L774" s="49"/>
      <c r="M774" s="49"/>
      <c r="N774" s="49"/>
      <c r="O774" s="49"/>
      <c r="P774" s="49"/>
      <c r="Q774" s="49"/>
      <c r="R774" s="49"/>
      <c r="S774" s="49"/>
      <c r="T774" s="49"/>
      <c r="U774" s="49"/>
      <c r="V774" s="49"/>
      <c r="W774" s="49"/>
      <c r="X774" s="49"/>
      <c r="Y774" s="49"/>
      <c r="Z774" s="49"/>
    </row>
    <row r="775" spans="1:26" ht="13">
      <c r="A775" s="49"/>
      <c r="B775" s="49"/>
      <c r="C775" s="49"/>
      <c r="D775" s="49"/>
      <c r="E775" s="49"/>
      <c r="F775" s="49"/>
      <c r="G775" s="49"/>
      <c r="H775" s="49"/>
      <c r="I775" s="49"/>
      <c r="J775" s="49"/>
      <c r="K775" s="49"/>
      <c r="L775" s="49"/>
      <c r="M775" s="49"/>
      <c r="N775" s="49"/>
      <c r="O775" s="49"/>
      <c r="P775" s="49"/>
      <c r="Q775" s="49"/>
      <c r="R775" s="49"/>
      <c r="S775" s="49"/>
      <c r="T775" s="49"/>
      <c r="U775" s="49"/>
      <c r="V775" s="49"/>
      <c r="W775" s="49"/>
      <c r="X775" s="49"/>
      <c r="Y775" s="49"/>
      <c r="Z775" s="49"/>
    </row>
    <row r="776" spans="1:26" ht="13">
      <c r="A776" s="49"/>
      <c r="B776" s="49"/>
      <c r="C776" s="49"/>
      <c r="D776" s="49"/>
      <c r="E776" s="49"/>
      <c r="F776" s="49"/>
      <c r="G776" s="49"/>
      <c r="H776" s="49"/>
      <c r="I776" s="49"/>
      <c r="J776" s="49"/>
      <c r="K776" s="49"/>
      <c r="L776" s="49"/>
      <c r="M776" s="49"/>
      <c r="N776" s="49"/>
      <c r="O776" s="49"/>
      <c r="P776" s="49"/>
      <c r="Q776" s="49"/>
      <c r="R776" s="49"/>
      <c r="S776" s="49"/>
      <c r="T776" s="49"/>
      <c r="U776" s="49"/>
      <c r="V776" s="49"/>
      <c r="W776" s="49"/>
      <c r="X776" s="49"/>
      <c r="Y776" s="49"/>
      <c r="Z776" s="49"/>
    </row>
    <row r="777" spans="1:26" ht="13">
      <c r="A777" s="49"/>
      <c r="B777" s="49"/>
      <c r="C777" s="49"/>
      <c r="D777" s="49"/>
      <c r="E777" s="49"/>
      <c r="F777" s="49"/>
      <c r="G777" s="49"/>
      <c r="H777" s="49"/>
      <c r="I777" s="49"/>
      <c r="J777" s="49"/>
      <c r="K777" s="49"/>
      <c r="L777" s="49"/>
      <c r="M777" s="49"/>
      <c r="N777" s="49"/>
      <c r="O777" s="49"/>
      <c r="P777" s="49"/>
      <c r="Q777" s="49"/>
      <c r="R777" s="49"/>
      <c r="S777" s="49"/>
      <c r="T777" s="49"/>
      <c r="U777" s="49"/>
      <c r="V777" s="49"/>
      <c r="W777" s="49"/>
      <c r="X777" s="49"/>
      <c r="Y777" s="49"/>
      <c r="Z777" s="49"/>
    </row>
    <row r="778" spans="1:26" ht="13">
      <c r="A778" s="49"/>
      <c r="B778" s="49"/>
      <c r="C778" s="49"/>
      <c r="D778" s="49"/>
      <c r="E778" s="49"/>
      <c r="F778" s="49"/>
      <c r="G778" s="49"/>
      <c r="H778" s="49"/>
      <c r="I778" s="49"/>
      <c r="J778" s="49"/>
      <c r="K778" s="49"/>
      <c r="L778" s="49"/>
      <c r="M778" s="49"/>
      <c r="N778" s="49"/>
      <c r="O778" s="49"/>
      <c r="P778" s="49"/>
      <c r="Q778" s="49"/>
      <c r="R778" s="49"/>
      <c r="S778" s="49"/>
      <c r="T778" s="49"/>
      <c r="U778" s="49"/>
      <c r="V778" s="49"/>
      <c r="W778" s="49"/>
      <c r="X778" s="49"/>
      <c r="Y778" s="49"/>
      <c r="Z778" s="49"/>
    </row>
    <row r="779" spans="1:26" ht="13">
      <c r="A779" s="49"/>
      <c r="B779" s="49"/>
      <c r="C779" s="49"/>
      <c r="D779" s="49"/>
      <c r="E779" s="49"/>
      <c r="F779" s="49"/>
      <c r="G779" s="49"/>
      <c r="H779" s="49"/>
      <c r="I779" s="49"/>
      <c r="J779" s="49"/>
      <c r="K779" s="49"/>
      <c r="L779" s="49"/>
      <c r="M779" s="49"/>
      <c r="N779" s="49"/>
      <c r="O779" s="49"/>
      <c r="P779" s="49"/>
      <c r="Q779" s="49"/>
      <c r="R779" s="49"/>
      <c r="S779" s="49"/>
      <c r="T779" s="49"/>
      <c r="U779" s="49"/>
      <c r="V779" s="49"/>
      <c r="W779" s="49"/>
      <c r="X779" s="49"/>
      <c r="Y779" s="49"/>
      <c r="Z779" s="49"/>
    </row>
    <row r="780" spans="1:26" ht="13">
      <c r="A780" s="49"/>
      <c r="B780" s="49"/>
      <c r="C780" s="49"/>
      <c r="D780" s="49"/>
      <c r="E780" s="49"/>
      <c r="F780" s="49"/>
      <c r="G780" s="49"/>
      <c r="H780" s="49"/>
      <c r="I780" s="49"/>
      <c r="J780" s="49"/>
      <c r="K780" s="49"/>
      <c r="L780" s="49"/>
      <c r="M780" s="49"/>
      <c r="N780" s="49"/>
      <c r="O780" s="49"/>
      <c r="P780" s="49"/>
      <c r="Q780" s="49"/>
      <c r="R780" s="49"/>
      <c r="S780" s="49"/>
      <c r="T780" s="49"/>
      <c r="U780" s="49"/>
      <c r="V780" s="49"/>
      <c r="W780" s="49"/>
      <c r="X780" s="49"/>
      <c r="Y780" s="49"/>
      <c r="Z780" s="49"/>
    </row>
    <row r="781" spans="1:26" ht="13">
      <c r="A781" s="49"/>
      <c r="B781" s="49"/>
      <c r="C781" s="49"/>
      <c r="D781" s="49"/>
      <c r="E781" s="49"/>
      <c r="F781" s="49"/>
      <c r="G781" s="49"/>
      <c r="H781" s="49"/>
      <c r="I781" s="49"/>
      <c r="J781" s="49"/>
      <c r="K781" s="49"/>
      <c r="L781" s="49"/>
      <c r="M781" s="49"/>
      <c r="N781" s="49"/>
      <c r="O781" s="49"/>
      <c r="P781" s="49"/>
      <c r="Q781" s="49"/>
      <c r="R781" s="49"/>
      <c r="S781" s="49"/>
      <c r="T781" s="49"/>
      <c r="U781" s="49"/>
      <c r="V781" s="49"/>
      <c r="W781" s="49"/>
      <c r="X781" s="49"/>
      <c r="Y781" s="49"/>
      <c r="Z781" s="49"/>
    </row>
    <row r="782" spans="1:26" ht="13">
      <c r="A782" s="49"/>
      <c r="B782" s="49"/>
      <c r="C782" s="49"/>
      <c r="D782" s="49"/>
      <c r="E782" s="49"/>
      <c r="F782" s="49"/>
      <c r="G782" s="49"/>
      <c r="H782" s="49"/>
      <c r="I782" s="49"/>
      <c r="J782" s="49"/>
      <c r="K782" s="49"/>
      <c r="L782" s="49"/>
      <c r="M782" s="49"/>
      <c r="N782" s="49"/>
      <c r="O782" s="49"/>
      <c r="P782" s="49"/>
      <c r="Q782" s="49"/>
      <c r="R782" s="49"/>
      <c r="S782" s="49"/>
      <c r="T782" s="49"/>
      <c r="U782" s="49"/>
      <c r="V782" s="49"/>
      <c r="W782" s="49"/>
      <c r="X782" s="49"/>
      <c r="Y782" s="49"/>
      <c r="Z782" s="49"/>
    </row>
    <row r="783" spans="1:26" ht="13">
      <c r="A783" s="49"/>
      <c r="B783" s="49"/>
      <c r="C783" s="49"/>
      <c r="D783" s="49"/>
      <c r="E783" s="49"/>
      <c r="F783" s="49"/>
      <c r="G783" s="49"/>
      <c r="H783" s="49"/>
      <c r="I783" s="49"/>
      <c r="J783" s="49"/>
      <c r="K783" s="49"/>
      <c r="L783" s="49"/>
      <c r="M783" s="49"/>
      <c r="N783" s="49"/>
      <c r="O783" s="49"/>
      <c r="P783" s="49"/>
      <c r="Q783" s="49"/>
      <c r="R783" s="49"/>
      <c r="S783" s="49"/>
      <c r="T783" s="49"/>
      <c r="U783" s="49"/>
      <c r="V783" s="49"/>
      <c r="W783" s="49"/>
      <c r="X783" s="49"/>
      <c r="Y783" s="49"/>
      <c r="Z783" s="49"/>
    </row>
    <row r="784" spans="1:26" ht="13">
      <c r="A784" s="49"/>
      <c r="B784" s="49"/>
      <c r="C784" s="49"/>
      <c r="D784" s="49"/>
      <c r="E784" s="49"/>
      <c r="F784" s="49"/>
      <c r="G784" s="49"/>
      <c r="H784" s="49"/>
      <c r="I784" s="49"/>
      <c r="J784" s="49"/>
      <c r="K784" s="49"/>
      <c r="L784" s="49"/>
      <c r="M784" s="49"/>
      <c r="N784" s="49"/>
      <c r="O784" s="49"/>
      <c r="P784" s="49"/>
      <c r="Q784" s="49"/>
      <c r="R784" s="49"/>
      <c r="S784" s="49"/>
      <c r="T784" s="49"/>
      <c r="U784" s="49"/>
      <c r="V784" s="49"/>
      <c r="W784" s="49"/>
      <c r="X784" s="49"/>
      <c r="Y784" s="49"/>
      <c r="Z784" s="49"/>
    </row>
    <row r="785" spans="1:26" ht="13">
      <c r="A785" s="49"/>
      <c r="B785" s="49"/>
      <c r="C785" s="49"/>
      <c r="D785" s="49"/>
      <c r="E785" s="49"/>
      <c r="F785" s="49"/>
      <c r="G785" s="49"/>
      <c r="H785" s="49"/>
      <c r="I785" s="49"/>
      <c r="J785" s="49"/>
      <c r="K785" s="49"/>
      <c r="L785" s="49"/>
      <c r="M785" s="49"/>
      <c r="N785" s="49"/>
      <c r="O785" s="49"/>
      <c r="P785" s="49"/>
      <c r="Q785" s="49"/>
      <c r="R785" s="49"/>
      <c r="S785" s="49"/>
      <c r="T785" s="49"/>
      <c r="U785" s="49"/>
      <c r="V785" s="49"/>
      <c r="W785" s="49"/>
      <c r="X785" s="49"/>
      <c r="Y785" s="49"/>
      <c r="Z785" s="49"/>
    </row>
    <row r="786" spans="1:26" ht="13">
      <c r="A786" s="49"/>
      <c r="B786" s="49"/>
      <c r="C786" s="49"/>
      <c r="D786" s="49"/>
      <c r="E786" s="49"/>
      <c r="F786" s="49"/>
      <c r="G786" s="49"/>
      <c r="H786" s="49"/>
      <c r="I786" s="49"/>
      <c r="J786" s="49"/>
      <c r="K786" s="49"/>
      <c r="L786" s="49"/>
      <c r="M786" s="49"/>
      <c r="N786" s="49"/>
      <c r="O786" s="49"/>
      <c r="P786" s="49"/>
      <c r="Q786" s="49"/>
      <c r="R786" s="49"/>
      <c r="S786" s="49"/>
      <c r="T786" s="49"/>
      <c r="U786" s="49"/>
      <c r="V786" s="49"/>
      <c r="W786" s="49"/>
      <c r="X786" s="49"/>
      <c r="Y786" s="49"/>
      <c r="Z786" s="49"/>
    </row>
    <row r="787" spans="1:26" ht="13">
      <c r="A787" s="49"/>
      <c r="B787" s="49"/>
      <c r="C787" s="49"/>
      <c r="D787" s="49"/>
      <c r="E787" s="49"/>
      <c r="F787" s="49"/>
      <c r="G787" s="49"/>
      <c r="H787" s="49"/>
      <c r="I787" s="49"/>
      <c r="J787" s="49"/>
      <c r="K787" s="49"/>
      <c r="L787" s="49"/>
      <c r="M787" s="49"/>
      <c r="N787" s="49"/>
      <c r="O787" s="49"/>
      <c r="P787" s="49"/>
      <c r="Q787" s="49"/>
      <c r="R787" s="49"/>
      <c r="S787" s="49"/>
      <c r="T787" s="49"/>
      <c r="U787" s="49"/>
      <c r="V787" s="49"/>
      <c r="W787" s="49"/>
      <c r="X787" s="49"/>
      <c r="Y787" s="49"/>
      <c r="Z787" s="49"/>
    </row>
    <row r="788" spans="1:26" ht="13">
      <c r="A788" s="49"/>
      <c r="B788" s="49"/>
      <c r="C788" s="49"/>
      <c r="D788" s="49"/>
      <c r="E788" s="49"/>
      <c r="F788" s="49"/>
      <c r="G788" s="49"/>
      <c r="H788" s="49"/>
      <c r="I788" s="49"/>
      <c r="J788" s="49"/>
      <c r="K788" s="49"/>
      <c r="L788" s="49"/>
      <c r="M788" s="49"/>
      <c r="N788" s="49"/>
      <c r="O788" s="49"/>
      <c r="P788" s="49"/>
      <c r="Q788" s="49"/>
      <c r="R788" s="49"/>
      <c r="S788" s="49"/>
      <c r="T788" s="49"/>
      <c r="U788" s="49"/>
      <c r="V788" s="49"/>
      <c r="W788" s="49"/>
      <c r="X788" s="49"/>
      <c r="Y788" s="49"/>
      <c r="Z788" s="49"/>
    </row>
    <row r="789" spans="1:26" ht="13">
      <c r="A789" s="49"/>
      <c r="B789" s="49"/>
      <c r="C789" s="49"/>
      <c r="D789" s="49"/>
      <c r="E789" s="49"/>
      <c r="F789" s="49"/>
      <c r="G789" s="49"/>
      <c r="H789" s="49"/>
      <c r="I789" s="49"/>
      <c r="J789" s="49"/>
      <c r="K789" s="49"/>
      <c r="L789" s="49"/>
      <c r="M789" s="49"/>
      <c r="N789" s="49"/>
      <c r="O789" s="49"/>
      <c r="P789" s="49"/>
      <c r="Q789" s="49"/>
      <c r="R789" s="49"/>
      <c r="S789" s="49"/>
      <c r="T789" s="49"/>
      <c r="U789" s="49"/>
      <c r="V789" s="49"/>
      <c r="W789" s="49"/>
      <c r="X789" s="49"/>
      <c r="Y789" s="49"/>
      <c r="Z789" s="49"/>
    </row>
    <row r="790" spans="1:26" ht="13">
      <c r="A790" s="49"/>
      <c r="B790" s="49"/>
      <c r="C790" s="49"/>
      <c r="D790" s="49"/>
      <c r="E790" s="49"/>
      <c r="F790" s="49"/>
      <c r="G790" s="49"/>
      <c r="H790" s="49"/>
      <c r="I790" s="49"/>
      <c r="J790" s="49"/>
      <c r="K790" s="49"/>
      <c r="L790" s="49"/>
      <c r="M790" s="49"/>
      <c r="N790" s="49"/>
      <c r="O790" s="49"/>
      <c r="P790" s="49"/>
      <c r="Q790" s="49"/>
      <c r="R790" s="49"/>
      <c r="S790" s="49"/>
      <c r="T790" s="49"/>
      <c r="U790" s="49"/>
      <c r="V790" s="49"/>
      <c r="W790" s="49"/>
      <c r="X790" s="49"/>
      <c r="Y790" s="49"/>
      <c r="Z790" s="49"/>
    </row>
    <row r="791" spans="1:26" ht="13">
      <c r="A791" s="49"/>
      <c r="B791" s="49"/>
      <c r="C791" s="49"/>
      <c r="D791" s="49"/>
      <c r="E791" s="49"/>
      <c r="F791" s="49"/>
      <c r="G791" s="49"/>
      <c r="H791" s="49"/>
      <c r="I791" s="49"/>
      <c r="J791" s="49"/>
      <c r="K791" s="49"/>
      <c r="L791" s="49"/>
      <c r="M791" s="49"/>
      <c r="N791" s="49"/>
      <c r="O791" s="49"/>
      <c r="P791" s="49"/>
      <c r="Q791" s="49"/>
      <c r="R791" s="49"/>
      <c r="S791" s="49"/>
      <c r="T791" s="49"/>
      <c r="U791" s="49"/>
      <c r="V791" s="49"/>
      <c r="W791" s="49"/>
      <c r="X791" s="49"/>
      <c r="Y791" s="49"/>
      <c r="Z791" s="49"/>
    </row>
    <row r="792" spans="1:26" ht="13">
      <c r="A792" s="49"/>
      <c r="B792" s="49"/>
      <c r="C792" s="49"/>
      <c r="D792" s="49"/>
      <c r="E792" s="49"/>
      <c r="F792" s="49"/>
      <c r="G792" s="49"/>
      <c r="H792" s="49"/>
      <c r="I792" s="49"/>
      <c r="J792" s="49"/>
      <c r="K792" s="49"/>
      <c r="L792" s="49"/>
      <c r="M792" s="49"/>
      <c r="N792" s="49"/>
      <c r="O792" s="49"/>
      <c r="P792" s="49"/>
      <c r="Q792" s="49"/>
      <c r="R792" s="49"/>
      <c r="S792" s="49"/>
      <c r="T792" s="49"/>
      <c r="U792" s="49"/>
      <c r="V792" s="49"/>
      <c r="W792" s="49"/>
      <c r="X792" s="49"/>
      <c r="Y792" s="49"/>
      <c r="Z792" s="49"/>
    </row>
    <row r="793" spans="1:26" ht="13">
      <c r="A793" s="49"/>
      <c r="B793" s="49"/>
      <c r="C793" s="49"/>
      <c r="D793" s="49"/>
      <c r="E793" s="49"/>
      <c r="F793" s="49"/>
      <c r="G793" s="49"/>
      <c r="H793" s="49"/>
      <c r="I793" s="49"/>
      <c r="J793" s="49"/>
      <c r="K793" s="49"/>
      <c r="L793" s="49"/>
      <c r="M793" s="49"/>
      <c r="N793" s="49"/>
      <c r="O793" s="49"/>
      <c r="P793" s="49"/>
      <c r="Q793" s="49"/>
      <c r="R793" s="49"/>
      <c r="S793" s="49"/>
      <c r="T793" s="49"/>
      <c r="U793" s="49"/>
      <c r="V793" s="49"/>
      <c r="W793" s="49"/>
      <c r="X793" s="49"/>
      <c r="Y793" s="49"/>
      <c r="Z793" s="49"/>
    </row>
    <row r="794" spans="1:26" ht="13">
      <c r="A794" s="49"/>
      <c r="B794" s="49"/>
      <c r="C794" s="49"/>
      <c r="D794" s="49"/>
      <c r="E794" s="49"/>
      <c r="F794" s="49"/>
      <c r="G794" s="49"/>
      <c r="H794" s="49"/>
      <c r="I794" s="49"/>
      <c r="J794" s="49"/>
      <c r="K794" s="49"/>
      <c r="L794" s="49"/>
      <c r="M794" s="49"/>
      <c r="N794" s="49"/>
      <c r="O794" s="49"/>
      <c r="P794" s="49"/>
      <c r="Q794" s="49"/>
      <c r="R794" s="49"/>
      <c r="S794" s="49"/>
      <c r="T794" s="49"/>
      <c r="U794" s="49"/>
      <c r="V794" s="49"/>
      <c r="W794" s="49"/>
      <c r="X794" s="49"/>
      <c r="Y794" s="49"/>
      <c r="Z794" s="49"/>
    </row>
    <row r="795" spans="1:26" ht="13">
      <c r="A795" s="49"/>
      <c r="B795" s="49"/>
      <c r="C795" s="49"/>
      <c r="D795" s="49"/>
      <c r="E795" s="49"/>
      <c r="F795" s="49"/>
      <c r="G795" s="49"/>
      <c r="H795" s="49"/>
      <c r="I795" s="49"/>
      <c r="J795" s="49"/>
      <c r="K795" s="49"/>
      <c r="L795" s="49"/>
      <c r="M795" s="49"/>
      <c r="N795" s="49"/>
      <c r="O795" s="49"/>
      <c r="P795" s="49"/>
      <c r="Q795" s="49"/>
      <c r="R795" s="49"/>
      <c r="S795" s="49"/>
      <c r="T795" s="49"/>
      <c r="U795" s="49"/>
      <c r="V795" s="49"/>
      <c r="W795" s="49"/>
      <c r="X795" s="49"/>
      <c r="Y795" s="49"/>
      <c r="Z795" s="49"/>
    </row>
    <row r="796" spans="1:26" ht="13">
      <c r="A796" s="49"/>
      <c r="B796" s="49"/>
      <c r="C796" s="49"/>
      <c r="D796" s="49"/>
      <c r="E796" s="49"/>
      <c r="F796" s="49"/>
      <c r="G796" s="49"/>
      <c r="H796" s="49"/>
      <c r="I796" s="49"/>
      <c r="J796" s="49"/>
      <c r="K796" s="49"/>
      <c r="L796" s="49"/>
      <c r="M796" s="49"/>
      <c r="N796" s="49"/>
      <c r="O796" s="49"/>
      <c r="P796" s="49"/>
      <c r="Q796" s="49"/>
      <c r="R796" s="49"/>
      <c r="S796" s="49"/>
      <c r="T796" s="49"/>
      <c r="U796" s="49"/>
      <c r="V796" s="49"/>
      <c r="W796" s="49"/>
      <c r="X796" s="49"/>
      <c r="Y796" s="49"/>
      <c r="Z796" s="49"/>
    </row>
    <row r="797" spans="1:26" ht="13">
      <c r="A797" s="49"/>
      <c r="B797" s="49"/>
      <c r="C797" s="49"/>
      <c r="D797" s="49"/>
      <c r="E797" s="49"/>
      <c r="F797" s="49"/>
      <c r="G797" s="49"/>
      <c r="H797" s="49"/>
      <c r="I797" s="49"/>
      <c r="J797" s="49"/>
      <c r="K797" s="49"/>
      <c r="L797" s="49"/>
      <c r="M797" s="49"/>
      <c r="N797" s="49"/>
      <c r="O797" s="49"/>
      <c r="P797" s="49"/>
      <c r="Q797" s="49"/>
      <c r="R797" s="49"/>
      <c r="S797" s="49"/>
      <c r="T797" s="49"/>
      <c r="U797" s="49"/>
      <c r="V797" s="49"/>
      <c r="W797" s="49"/>
      <c r="X797" s="49"/>
      <c r="Y797" s="49"/>
      <c r="Z797" s="49"/>
    </row>
    <row r="798" spans="1:26" ht="13">
      <c r="A798" s="49"/>
      <c r="B798" s="49"/>
      <c r="C798" s="49"/>
      <c r="D798" s="49"/>
      <c r="E798" s="49"/>
      <c r="F798" s="49"/>
      <c r="G798" s="49"/>
      <c r="H798" s="49"/>
      <c r="I798" s="49"/>
      <c r="J798" s="49"/>
      <c r="K798" s="49"/>
      <c r="L798" s="49"/>
      <c r="M798" s="49"/>
      <c r="N798" s="49"/>
      <c r="O798" s="49"/>
      <c r="P798" s="49"/>
      <c r="Q798" s="49"/>
      <c r="R798" s="49"/>
      <c r="S798" s="49"/>
      <c r="T798" s="49"/>
      <c r="U798" s="49"/>
      <c r="V798" s="49"/>
      <c r="W798" s="49"/>
      <c r="X798" s="49"/>
      <c r="Y798" s="49"/>
      <c r="Z798" s="49"/>
    </row>
    <row r="799" spans="1:26" ht="13">
      <c r="A799" s="49"/>
      <c r="B799" s="49"/>
      <c r="C799" s="49"/>
      <c r="D799" s="49"/>
      <c r="E799" s="49"/>
      <c r="F799" s="49"/>
      <c r="G799" s="49"/>
      <c r="H799" s="49"/>
      <c r="I799" s="49"/>
      <c r="J799" s="49"/>
      <c r="K799" s="49"/>
      <c r="L799" s="49"/>
      <c r="M799" s="49"/>
      <c r="N799" s="49"/>
      <c r="O799" s="49"/>
      <c r="P799" s="49"/>
      <c r="Q799" s="49"/>
      <c r="R799" s="49"/>
      <c r="S799" s="49"/>
      <c r="T799" s="49"/>
      <c r="U799" s="49"/>
      <c r="V799" s="49"/>
      <c r="W799" s="49"/>
      <c r="X799" s="49"/>
      <c r="Y799" s="49"/>
      <c r="Z799" s="49"/>
    </row>
    <row r="800" spans="1:26" ht="13">
      <c r="A800" s="49"/>
      <c r="B800" s="49"/>
      <c r="C800" s="49"/>
      <c r="D800" s="49"/>
      <c r="E800" s="49"/>
      <c r="F800" s="49"/>
      <c r="G800" s="49"/>
      <c r="H800" s="49"/>
      <c r="I800" s="49"/>
      <c r="J800" s="49"/>
      <c r="K800" s="49"/>
      <c r="L800" s="49"/>
      <c r="M800" s="49"/>
      <c r="N800" s="49"/>
      <c r="O800" s="49"/>
      <c r="P800" s="49"/>
      <c r="Q800" s="49"/>
      <c r="R800" s="49"/>
      <c r="S800" s="49"/>
      <c r="T800" s="49"/>
      <c r="U800" s="49"/>
      <c r="V800" s="49"/>
      <c r="W800" s="49"/>
      <c r="X800" s="49"/>
      <c r="Y800" s="49"/>
      <c r="Z800" s="49"/>
    </row>
    <row r="801" spans="1:26" ht="13">
      <c r="A801" s="49"/>
      <c r="B801" s="49"/>
      <c r="C801" s="49"/>
      <c r="D801" s="49"/>
      <c r="E801" s="49"/>
      <c r="F801" s="49"/>
      <c r="G801" s="49"/>
      <c r="H801" s="49"/>
      <c r="I801" s="49"/>
      <c r="J801" s="49"/>
      <c r="K801" s="49"/>
      <c r="L801" s="49"/>
      <c r="M801" s="49"/>
      <c r="N801" s="49"/>
      <c r="O801" s="49"/>
      <c r="P801" s="49"/>
      <c r="Q801" s="49"/>
      <c r="R801" s="49"/>
      <c r="S801" s="49"/>
      <c r="T801" s="49"/>
      <c r="U801" s="49"/>
      <c r="V801" s="49"/>
      <c r="W801" s="49"/>
      <c r="X801" s="49"/>
      <c r="Y801" s="49"/>
      <c r="Z801" s="49"/>
    </row>
    <row r="802" spans="1:26" ht="13">
      <c r="A802" s="49"/>
      <c r="B802" s="49"/>
      <c r="C802" s="49"/>
      <c r="D802" s="49"/>
      <c r="E802" s="49"/>
      <c r="F802" s="49"/>
      <c r="G802" s="49"/>
      <c r="H802" s="49"/>
      <c r="I802" s="49"/>
      <c r="J802" s="49"/>
      <c r="K802" s="49"/>
      <c r="L802" s="49"/>
      <c r="M802" s="49"/>
      <c r="N802" s="49"/>
      <c r="O802" s="49"/>
      <c r="P802" s="49"/>
      <c r="Q802" s="49"/>
      <c r="R802" s="49"/>
      <c r="S802" s="49"/>
      <c r="T802" s="49"/>
      <c r="U802" s="49"/>
      <c r="V802" s="49"/>
      <c r="W802" s="49"/>
      <c r="X802" s="49"/>
      <c r="Y802" s="49"/>
      <c r="Z802" s="49"/>
    </row>
    <row r="803" spans="1:26" ht="13">
      <c r="A803" s="49"/>
      <c r="B803" s="49"/>
      <c r="C803" s="49"/>
      <c r="D803" s="49"/>
      <c r="E803" s="49"/>
      <c r="F803" s="49"/>
      <c r="G803" s="49"/>
      <c r="H803" s="49"/>
      <c r="I803" s="49"/>
      <c r="J803" s="49"/>
      <c r="K803" s="49"/>
      <c r="L803" s="49"/>
      <c r="M803" s="49"/>
      <c r="N803" s="49"/>
      <c r="O803" s="49"/>
      <c r="P803" s="49"/>
      <c r="Q803" s="49"/>
      <c r="R803" s="49"/>
      <c r="S803" s="49"/>
      <c r="T803" s="49"/>
      <c r="U803" s="49"/>
      <c r="V803" s="49"/>
      <c r="W803" s="49"/>
      <c r="X803" s="49"/>
      <c r="Y803" s="49"/>
      <c r="Z803" s="49"/>
    </row>
    <row r="804" spans="1:26" ht="13">
      <c r="A804" s="49"/>
      <c r="B804" s="49"/>
      <c r="C804" s="49"/>
      <c r="D804" s="49"/>
      <c r="E804" s="49"/>
      <c r="F804" s="49"/>
      <c r="G804" s="49"/>
      <c r="H804" s="49"/>
      <c r="I804" s="49"/>
      <c r="J804" s="49"/>
      <c r="K804" s="49"/>
      <c r="L804" s="49"/>
      <c r="M804" s="49"/>
      <c r="N804" s="49"/>
      <c r="O804" s="49"/>
      <c r="P804" s="49"/>
      <c r="Q804" s="49"/>
      <c r="R804" s="49"/>
      <c r="S804" s="49"/>
      <c r="T804" s="49"/>
      <c r="U804" s="49"/>
      <c r="V804" s="49"/>
      <c r="W804" s="49"/>
      <c r="X804" s="49"/>
      <c r="Y804" s="49"/>
      <c r="Z804" s="49"/>
    </row>
    <row r="805" spans="1:26" ht="13">
      <c r="A805" s="49"/>
      <c r="B805" s="49"/>
      <c r="C805" s="49"/>
      <c r="D805" s="49"/>
      <c r="E805" s="49"/>
      <c r="F805" s="49"/>
      <c r="G805" s="49"/>
      <c r="H805" s="49"/>
      <c r="I805" s="49"/>
      <c r="J805" s="49"/>
      <c r="K805" s="49"/>
      <c r="L805" s="49"/>
      <c r="M805" s="49"/>
      <c r="N805" s="49"/>
      <c r="O805" s="49"/>
      <c r="P805" s="49"/>
      <c r="Q805" s="49"/>
      <c r="R805" s="49"/>
      <c r="S805" s="49"/>
      <c r="T805" s="49"/>
      <c r="U805" s="49"/>
      <c r="V805" s="49"/>
      <c r="W805" s="49"/>
      <c r="X805" s="49"/>
      <c r="Y805" s="49"/>
      <c r="Z805" s="49"/>
    </row>
    <row r="806" spans="1:26" ht="13">
      <c r="A806" s="49"/>
      <c r="B806" s="49"/>
      <c r="C806" s="49"/>
      <c r="D806" s="49"/>
      <c r="E806" s="49"/>
      <c r="F806" s="49"/>
      <c r="G806" s="49"/>
      <c r="H806" s="49"/>
      <c r="I806" s="49"/>
      <c r="J806" s="49"/>
      <c r="K806" s="49"/>
      <c r="L806" s="49"/>
      <c r="M806" s="49"/>
      <c r="N806" s="49"/>
      <c r="O806" s="49"/>
      <c r="P806" s="49"/>
      <c r="Q806" s="49"/>
      <c r="R806" s="49"/>
      <c r="S806" s="49"/>
      <c r="T806" s="49"/>
      <c r="U806" s="49"/>
      <c r="V806" s="49"/>
      <c r="W806" s="49"/>
      <c r="X806" s="49"/>
      <c r="Y806" s="49"/>
      <c r="Z806" s="49"/>
    </row>
    <row r="807" spans="1:26" ht="13">
      <c r="A807" s="49"/>
      <c r="B807" s="49"/>
      <c r="C807" s="49"/>
      <c r="D807" s="49"/>
      <c r="E807" s="49"/>
      <c r="F807" s="49"/>
      <c r="G807" s="49"/>
      <c r="H807" s="49"/>
      <c r="I807" s="49"/>
      <c r="J807" s="49"/>
      <c r="K807" s="49"/>
      <c r="L807" s="49"/>
      <c r="M807" s="49"/>
      <c r="N807" s="49"/>
      <c r="O807" s="49"/>
      <c r="P807" s="49"/>
      <c r="Q807" s="49"/>
      <c r="R807" s="49"/>
      <c r="S807" s="49"/>
      <c r="T807" s="49"/>
      <c r="U807" s="49"/>
      <c r="V807" s="49"/>
      <c r="W807" s="49"/>
      <c r="X807" s="49"/>
      <c r="Y807" s="49"/>
      <c r="Z807" s="49"/>
    </row>
    <row r="808" spans="1:26" ht="13">
      <c r="A808" s="49"/>
      <c r="B808" s="49"/>
      <c r="C808" s="49"/>
      <c r="D808" s="49"/>
      <c r="E808" s="49"/>
      <c r="F808" s="49"/>
      <c r="G808" s="49"/>
      <c r="H808" s="49"/>
      <c r="I808" s="49"/>
      <c r="J808" s="49"/>
      <c r="K808" s="49"/>
      <c r="L808" s="49"/>
      <c r="M808" s="49"/>
      <c r="N808" s="49"/>
      <c r="O808" s="49"/>
      <c r="P808" s="49"/>
      <c r="Q808" s="49"/>
      <c r="R808" s="49"/>
      <c r="S808" s="49"/>
      <c r="T808" s="49"/>
      <c r="U808" s="49"/>
      <c r="V808" s="49"/>
      <c r="W808" s="49"/>
      <c r="X808" s="49"/>
      <c r="Y808" s="49"/>
      <c r="Z808" s="49"/>
    </row>
    <row r="809" spans="1:26" ht="13">
      <c r="A809" s="49"/>
      <c r="B809" s="49"/>
      <c r="C809" s="49"/>
      <c r="D809" s="49"/>
      <c r="E809" s="49"/>
      <c r="F809" s="49"/>
      <c r="G809" s="49"/>
      <c r="H809" s="49"/>
      <c r="I809" s="49"/>
      <c r="J809" s="49"/>
      <c r="K809" s="49"/>
      <c r="L809" s="49"/>
      <c r="M809" s="49"/>
      <c r="N809" s="49"/>
      <c r="O809" s="49"/>
      <c r="P809" s="49"/>
      <c r="Q809" s="49"/>
      <c r="R809" s="49"/>
      <c r="S809" s="49"/>
      <c r="T809" s="49"/>
      <c r="U809" s="49"/>
      <c r="V809" s="49"/>
      <c r="W809" s="49"/>
      <c r="X809" s="49"/>
      <c r="Y809" s="49"/>
      <c r="Z809" s="49"/>
    </row>
    <row r="810" spans="1:26" ht="13">
      <c r="A810" s="49"/>
      <c r="B810" s="49"/>
      <c r="C810" s="49"/>
      <c r="D810" s="49"/>
      <c r="E810" s="49"/>
      <c r="F810" s="49"/>
      <c r="G810" s="49"/>
      <c r="H810" s="49"/>
      <c r="I810" s="49"/>
      <c r="J810" s="49"/>
      <c r="K810" s="49"/>
      <c r="L810" s="49"/>
      <c r="M810" s="49"/>
      <c r="N810" s="49"/>
      <c r="O810" s="49"/>
      <c r="P810" s="49"/>
      <c r="Q810" s="49"/>
      <c r="R810" s="49"/>
      <c r="S810" s="49"/>
      <c r="T810" s="49"/>
      <c r="U810" s="49"/>
      <c r="V810" s="49"/>
      <c r="W810" s="49"/>
      <c r="X810" s="49"/>
      <c r="Y810" s="49"/>
      <c r="Z810" s="49"/>
    </row>
    <row r="811" spans="1:26" ht="13">
      <c r="A811" s="49"/>
      <c r="B811" s="49"/>
      <c r="C811" s="49"/>
      <c r="D811" s="49"/>
      <c r="E811" s="49"/>
      <c r="F811" s="49"/>
      <c r="G811" s="49"/>
      <c r="H811" s="49"/>
      <c r="I811" s="49"/>
      <c r="J811" s="49"/>
      <c r="K811" s="49"/>
      <c r="L811" s="49"/>
      <c r="M811" s="49"/>
      <c r="N811" s="49"/>
      <c r="O811" s="49"/>
      <c r="P811" s="49"/>
      <c r="Q811" s="49"/>
      <c r="R811" s="49"/>
      <c r="S811" s="49"/>
      <c r="T811" s="49"/>
      <c r="U811" s="49"/>
      <c r="V811" s="49"/>
      <c r="W811" s="49"/>
      <c r="X811" s="49"/>
      <c r="Y811" s="49"/>
      <c r="Z811" s="49"/>
    </row>
    <row r="812" spans="1:26" ht="13">
      <c r="A812" s="49"/>
      <c r="B812" s="49"/>
      <c r="C812" s="49"/>
      <c r="D812" s="49"/>
      <c r="E812" s="49"/>
      <c r="F812" s="49"/>
      <c r="G812" s="49"/>
      <c r="H812" s="49"/>
      <c r="I812" s="49"/>
      <c r="J812" s="49"/>
      <c r="K812" s="49"/>
      <c r="L812" s="49"/>
      <c r="M812" s="49"/>
      <c r="N812" s="49"/>
      <c r="O812" s="49"/>
      <c r="P812" s="49"/>
      <c r="Q812" s="49"/>
      <c r="R812" s="49"/>
      <c r="S812" s="49"/>
      <c r="T812" s="49"/>
      <c r="U812" s="49"/>
      <c r="V812" s="49"/>
      <c r="W812" s="49"/>
      <c r="X812" s="49"/>
      <c r="Y812" s="49"/>
      <c r="Z812" s="49"/>
    </row>
    <row r="813" spans="1:26" ht="13">
      <c r="A813" s="49"/>
      <c r="B813" s="49"/>
      <c r="C813" s="49"/>
      <c r="D813" s="49"/>
      <c r="E813" s="49"/>
      <c r="F813" s="49"/>
      <c r="G813" s="49"/>
      <c r="H813" s="49"/>
      <c r="I813" s="49"/>
      <c r="J813" s="49"/>
      <c r="K813" s="49"/>
      <c r="L813" s="49"/>
      <c r="M813" s="49"/>
      <c r="N813" s="49"/>
      <c r="O813" s="49"/>
      <c r="P813" s="49"/>
      <c r="Q813" s="49"/>
      <c r="R813" s="49"/>
      <c r="S813" s="49"/>
      <c r="T813" s="49"/>
      <c r="U813" s="49"/>
      <c r="V813" s="49"/>
      <c r="W813" s="49"/>
      <c r="X813" s="49"/>
      <c r="Y813" s="49"/>
      <c r="Z813" s="49"/>
    </row>
    <row r="814" spans="1:26" ht="13">
      <c r="A814" s="49"/>
      <c r="B814" s="49"/>
      <c r="C814" s="49"/>
      <c r="D814" s="49"/>
      <c r="E814" s="49"/>
      <c r="F814" s="49"/>
      <c r="G814" s="49"/>
      <c r="H814" s="49"/>
      <c r="I814" s="49"/>
      <c r="J814" s="49"/>
      <c r="K814" s="49"/>
      <c r="L814" s="49"/>
      <c r="M814" s="49"/>
      <c r="N814" s="49"/>
      <c r="O814" s="49"/>
      <c r="P814" s="49"/>
      <c r="Q814" s="49"/>
      <c r="R814" s="49"/>
      <c r="S814" s="49"/>
      <c r="T814" s="49"/>
      <c r="U814" s="49"/>
      <c r="V814" s="49"/>
      <c r="W814" s="49"/>
      <c r="X814" s="49"/>
      <c r="Y814" s="49"/>
      <c r="Z814" s="49"/>
    </row>
    <row r="815" spans="1:26" ht="13">
      <c r="A815" s="49"/>
      <c r="B815" s="49"/>
      <c r="C815" s="49"/>
      <c r="D815" s="49"/>
      <c r="E815" s="49"/>
      <c r="F815" s="49"/>
      <c r="G815" s="49"/>
      <c r="H815" s="49"/>
      <c r="I815" s="49"/>
      <c r="J815" s="49"/>
      <c r="K815" s="49"/>
      <c r="L815" s="49"/>
      <c r="M815" s="49"/>
      <c r="N815" s="49"/>
      <c r="O815" s="49"/>
      <c r="P815" s="49"/>
      <c r="Q815" s="49"/>
      <c r="R815" s="49"/>
      <c r="S815" s="49"/>
      <c r="T815" s="49"/>
      <c r="U815" s="49"/>
      <c r="V815" s="49"/>
      <c r="W815" s="49"/>
      <c r="X815" s="49"/>
      <c r="Y815" s="49"/>
      <c r="Z815" s="49"/>
    </row>
    <row r="816" spans="1:26" ht="13">
      <c r="A816" s="49"/>
      <c r="B816" s="49"/>
      <c r="C816" s="49"/>
      <c r="D816" s="49"/>
      <c r="E816" s="49"/>
      <c r="F816" s="49"/>
      <c r="G816" s="49"/>
      <c r="H816" s="49"/>
      <c r="I816" s="49"/>
      <c r="J816" s="49"/>
      <c r="K816" s="49"/>
      <c r="L816" s="49"/>
      <c r="M816" s="49"/>
      <c r="N816" s="49"/>
      <c r="O816" s="49"/>
      <c r="P816" s="49"/>
      <c r="Q816" s="49"/>
      <c r="R816" s="49"/>
      <c r="S816" s="49"/>
      <c r="T816" s="49"/>
      <c r="U816" s="49"/>
      <c r="V816" s="49"/>
      <c r="W816" s="49"/>
      <c r="X816" s="49"/>
      <c r="Y816" s="49"/>
      <c r="Z816" s="49"/>
    </row>
    <row r="817" spans="1:26" ht="13">
      <c r="A817" s="49"/>
      <c r="B817" s="49"/>
      <c r="C817" s="49"/>
      <c r="D817" s="49"/>
      <c r="E817" s="49"/>
      <c r="F817" s="49"/>
      <c r="G817" s="49"/>
      <c r="H817" s="49"/>
      <c r="I817" s="49"/>
      <c r="J817" s="49"/>
      <c r="K817" s="49"/>
      <c r="L817" s="49"/>
      <c r="M817" s="49"/>
      <c r="N817" s="49"/>
      <c r="O817" s="49"/>
      <c r="P817" s="49"/>
      <c r="Q817" s="49"/>
      <c r="R817" s="49"/>
      <c r="S817" s="49"/>
      <c r="T817" s="49"/>
      <c r="U817" s="49"/>
      <c r="V817" s="49"/>
      <c r="W817" s="49"/>
      <c r="X817" s="49"/>
      <c r="Y817" s="49"/>
      <c r="Z817" s="49"/>
    </row>
    <row r="818" spans="1:26" ht="13">
      <c r="A818" s="49"/>
      <c r="B818" s="49"/>
      <c r="C818" s="49"/>
      <c r="D818" s="49"/>
      <c r="E818" s="49"/>
      <c r="F818" s="49"/>
      <c r="G818" s="49"/>
      <c r="H818" s="49"/>
      <c r="I818" s="49"/>
      <c r="J818" s="49"/>
      <c r="K818" s="49"/>
      <c r="L818" s="49"/>
      <c r="M818" s="49"/>
      <c r="N818" s="49"/>
      <c r="O818" s="49"/>
      <c r="P818" s="49"/>
      <c r="Q818" s="49"/>
      <c r="R818" s="49"/>
      <c r="S818" s="49"/>
      <c r="T818" s="49"/>
      <c r="U818" s="49"/>
      <c r="V818" s="49"/>
      <c r="W818" s="49"/>
      <c r="X818" s="49"/>
      <c r="Y818" s="49"/>
      <c r="Z818" s="49"/>
    </row>
    <row r="819" spans="1:26" ht="13">
      <c r="A819" s="49"/>
      <c r="B819" s="49"/>
      <c r="C819" s="49"/>
      <c r="D819" s="49"/>
      <c r="E819" s="49"/>
      <c r="F819" s="49"/>
      <c r="G819" s="49"/>
      <c r="H819" s="49"/>
      <c r="I819" s="49"/>
      <c r="J819" s="49"/>
      <c r="K819" s="49"/>
      <c r="L819" s="49"/>
      <c r="M819" s="49"/>
      <c r="N819" s="49"/>
      <c r="O819" s="49"/>
      <c r="P819" s="49"/>
      <c r="Q819" s="49"/>
      <c r="R819" s="49"/>
      <c r="S819" s="49"/>
      <c r="T819" s="49"/>
      <c r="U819" s="49"/>
      <c r="V819" s="49"/>
      <c r="W819" s="49"/>
      <c r="X819" s="49"/>
      <c r="Y819" s="49"/>
      <c r="Z819" s="49"/>
    </row>
    <row r="820" spans="1:26" ht="13">
      <c r="A820" s="49"/>
      <c r="B820" s="49"/>
      <c r="C820" s="49"/>
      <c r="D820" s="49"/>
      <c r="E820" s="49"/>
      <c r="F820" s="49"/>
      <c r="G820" s="49"/>
      <c r="H820" s="49"/>
      <c r="I820" s="49"/>
      <c r="J820" s="49"/>
      <c r="K820" s="49"/>
      <c r="L820" s="49"/>
      <c r="M820" s="49"/>
      <c r="N820" s="49"/>
      <c r="O820" s="49"/>
      <c r="P820" s="49"/>
      <c r="Q820" s="49"/>
      <c r="R820" s="49"/>
      <c r="S820" s="49"/>
      <c r="T820" s="49"/>
      <c r="U820" s="49"/>
      <c r="V820" s="49"/>
      <c r="W820" s="49"/>
      <c r="X820" s="49"/>
      <c r="Y820" s="49"/>
      <c r="Z820" s="49"/>
    </row>
    <row r="821" spans="1:26" ht="13">
      <c r="A821" s="49"/>
      <c r="B821" s="49"/>
      <c r="C821" s="49"/>
      <c r="D821" s="49"/>
      <c r="E821" s="49"/>
      <c r="F821" s="49"/>
      <c r="G821" s="49"/>
      <c r="H821" s="49"/>
      <c r="I821" s="49"/>
      <c r="J821" s="49"/>
      <c r="K821" s="49"/>
      <c r="L821" s="49"/>
      <c r="M821" s="49"/>
      <c r="N821" s="49"/>
      <c r="O821" s="49"/>
      <c r="P821" s="49"/>
      <c r="Q821" s="49"/>
      <c r="R821" s="49"/>
      <c r="S821" s="49"/>
      <c r="T821" s="49"/>
      <c r="U821" s="49"/>
      <c r="V821" s="49"/>
      <c r="W821" s="49"/>
      <c r="X821" s="49"/>
      <c r="Y821" s="49"/>
      <c r="Z821" s="49"/>
    </row>
    <row r="822" spans="1:26" ht="13">
      <c r="A822" s="49"/>
      <c r="B822" s="49"/>
      <c r="C822" s="49"/>
      <c r="D822" s="49"/>
      <c r="E822" s="49"/>
      <c r="F822" s="49"/>
      <c r="G822" s="49"/>
      <c r="H822" s="49"/>
      <c r="I822" s="49"/>
      <c r="J822" s="49"/>
      <c r="K822" s="49"/>
      <c r="L822" s="49"/>
      <c r="M822" s="49"/>
      <c r="N822" s="49"/>
      <c r="O822" s="49"/>
      <c r="P822" s="49"/>
      <c r="Q822" s="49"/>
      <c r="R822" s="49"/>
      <c r="S822" s="49"/>
      <c r="T822" s="49"/>
      <c r="U822" s="49"/>
      <c r="V822" s="49"/>
      <c r="W822" s="49"/>
      <c r="X822" s="49"/>
      <c r="Y822" s="49"/>
      <c r="Z822" s="49"/>
    </row>
    <row r="823" spans="1:26" ht="13">
      <c r="A823" s="49"/>
      <c r="B823" s="49"/>
      <c r="C823" s="49"/>
      <c r="D823" s="49"/>
      <c r="E823" s="49"/>
      <c r="F823" s="49"/>
      <c r="G823" s="49"/>
      <c r="H823" s="49"/>
      <c r="I823" s="49"/>
      <c r="J823" s="49"/>
      <c r="K823" s="49"/>
      <c r="L823" s="49"/>
      <c r="M823" s="49"/>
      <c r="N823" s="49"/>
      <c r="O823" s="49"/>
      <c r="P823" s="49"/>
      <c r="Q823" s="49"/>
      <c r="R823" s="49"/>
      <c r="S823" s="49"/>
      <c r="T823" s="49"/>
      <c r="U823" s="49"/>
      <c r="V823" s="49"/>
      <c r="W823" s="49"/>
      <c r="X823" s="49"/>
      <c r="Y823" s="49"/>
      <c r="Z823" s="49"/>
    </row>
    <row r="824" spans="1:26" ht="13">
      <c r="A824" s="49"/>
      <c r="B824" s="49"/>
      <c r="C824" s="49"/>
      <c r="D824" s="49"/>
      <c r="E824" s="49"/>
      <c r="F824" s="49"/>
      <c r="G824" s="49"/>
      <c r="H824" s="49"/>
      <c r="I824" s="49"/>
      <c r="J824" s="49"/>
      <c r="K824" s="49"/>
      <c r="L824" s="49"/>
      <c r="M824" s="49"/>
      <c r="N824" s="49"/>
      <c r="O824" s="49"/>
      <c r="P824" s="49"/>
      <c r="Q824" s="49"/>
      <c r="R824" s="49"/>
      <c r="S824" s="49"/>
      <c r="T824" s="49"/>
      <c r="U824" s="49"/>
      <c r="V824" s="49"/>
      <c r="W824" s="49"/>
      <c r="X824" s="49"/>
      <c r="Y824" s="49"/>
      <c r="Z824" s="49"/>
    </row>
    <row r="825" spans="1:26" ht="13">
      <c r="A825" s="49"/>
      <c r="B825" s="49"/>
      <c r="C825" s="49"/>
      <c r="D825" s="49"/>
      <c r="E825" s="49"/>
      <c r="F825" s="49"/>
      <c r="G825" s="49"/>
      <c r="H825" s="49"/>
      <c r="I825" s="49"/>
      <c r="J825" s="49"/>
      <c r="K825" s="49"/>
      <c r="L825" s="49"/>
      <c r="M825" s="49"/>
      <c r="N825" s="49"/>
      <c r="O825" s="49"/>
      <c r="P825" s="49"/>
      <c r="Q825" s="49"/>
      <c r="R825" s="49"/>
      <c r="S825" s="49"/>
      <c r="T825" s="49"/>
      <c r="U825" s="49"/>
      <c r="V825" s="49"/>
      <c r="W825" s="49"/>
      <c r="X825" s="49"/>
      <c r="Y825" s="49"/>
      <c r="Z825" s="49"/>
    </row>
    <row r="826" spans="1:26" ht="13">
      <c r="A826" s="49"/>
      <c r="B826" s="49"/>
      <c r="C826" s="49"/>
      <c r="D826" s="49"/>
      <c r="E826" s="49"/>
      <c r="F826" s="49"/>
      <c r="G826" s="49"/>
      <c r="H826" s="49"/>
      <c r="I826" s="49"/>
      <c r="J826" s="49"/>
      <c r="K826" s="49"/>
      <c r="L826" s="49"/>
      <c r="M826" s="49"/>
      <c r="N826" s="49"/>
      <c r="O826" s="49"/>
      <c r="P826" s="49"/>
      <c r="Q826" s="49"/>
      <c r="R826" s="49"/>
      <c r="S826" s="49"/>
      <c r="T826" s="49"/>
      <c r="U826" s="49"/>
      <c r="V826" s="49"/>
      <c r="W826" s="49"/>
      <c r="X826" s="49"/>
      <c r="Y826" s="49"/>
      <c r="Z826" s="49"/>
    </row>
    <row r="827" spans="1:26" ht="13">
      <c r="A827" s="49"/>
      <c r="B827" s="49"/>
      <c r="C827" s="49"/>
      <c r="D827" s="49"/>
      <c r="E827" s="49"/>
      <c r="F827" s="49"/>
      <c r="G827" s="49"/>
      <c r="H827" s="49"/>
      <c r="I827" s="49"/>
      <c r="J827" s="49"/>
      <c r="K827" s="49"/>
      <c r="L827" s="49"/>
      <c r="M827" s="49"/>
      <c r="N827" s="49"/>
      <c r="O827" s="49"/>
      <c r="P827" s="49"/>
      <c r="Q827" s="49"/>
      <c r="R827" s="49"/>
      <c r="S827" s="49"/>
      <c r="T827" s="49"/>
      <c r="U827" s="49"/>
      <c r="V827" s="49"/>
      <c r="W827" s="49"/>
      <c r="X827" s="49"/>
      <c r="Y827" s="49"/>
      <c r="Z827" s="49"/>
    </row>
    <row r="828" spans="1:26" ht="13">
      <c r="A828" s="49"/>
      <c r="B828" s="49"/>
      <c r="C828" s="49"/>
      <c r="D828" s="49"/>
      <c r="E828" s="49"/>
      <c r="F828" s="49"/>
      <c r="G828" s="49"/>
      <c r="H828" s="49"/>
      <c r="I828" s="49"/>
      <c r="J828" s="49"/>
      <c r="K828" s="49"/>
      <c r="L828" s="49"/>
      <c r="M828" s="49"/>
      <c r="N828" s="49"/>
      <c r="O828" s="49"/>
      <c r="P828" s="49"/>
      <c r="Q828" s="49"/>
      <c r="R828" s="49"/>
      <c r="S828" s="49"/>
      <c r="T828" s="49"/>
      <c r="U828" s="49"/>
      <c r="V828" s="49"/>
      <c r="W828" s="49"/>
      <c r="X828" s="49"/>
      <c r="Y828" s="49"/>
      <c r="Z828" s="49"/>
    </row>
    <row r="829" spans="1:26" ht="13">
      <c r="A829" s="49"/>
      <c r="B829" s="49"/>
      <c r="C829" s="49"/>
      <c r="D829" s="49"/>
      <c r="E829" s="49"/>
      <c r="F829" s="49"/>
      <c r="G829" s="49"/>
      <c r="H829" s="49"/>
      <c r="I829" s="49"/>
      <c r="J829" s="49"/>
      <c r="K829" s="49"/>
      <c r="L829" s="49"/>
      <c r="M829" s="49"/>
      <c r="N829" s="49"/>
      <c r="O829" s="49"/>
      <c r="P829" s="49"/>
      <c r="Q829" s="49"/>
      <c r="R829" s="49"/>
      <c r="S829" s="49"/>
      <c r="T829" s="49"/>
      <c r="U829" s="49"/>
      <c r="V829" s="49"/>
      <c r="W829" s="49"/>
      <c r="X829" s="49"/>
      <c r="Y829" s="49"/>
      <c r="Z829" s="49"/>
    </row>
    <row r="830" spans="1:26" ht="13">
      <c r="A830" s="49"/>
      <c r="B830" s="49"/>
      <c r="C830" s="49"/>
      <c r="D830" s="49"/>
      <c r="E830" s="49"/>
      <c r="F830" s="49"/>
      <c r="G830" s="49"/>
      <c r="H830" s="49"/>
      <c r="I830" s="49"/>
      <c r="J830" s="49"/>
      <c r="K830" s="49"/>
      <c r="L830" s="49"/>
      <c r="M830" s="49"/>
      <c r="N830" s="49"/>
      <c r="O830" s="49"/>
      <c r="P830" s="49"/>
      <c r="Q830" s="49"/>
      <c r="R830" s="49"/>
      <c r="S830" s="49"/>
      <c r="T830" s="49"/>
      <c r="U830" s="49"/>
      <c r="V830" s="49"/>
      <c r="W830" s="49"/>
      <c r="X830" s="49"/>
      <c r="Y830" s="49"/>
      <c r="Z830" s="49"/>
    </row>
    <row r="831" spans="1:26" ht="13">
      <c r="A831" s="49"/>
      <c r="B831" s="49"/>
      <c r="C831" s="49"/>
      <c r="D831" s="49"/>
      <c r="E831" s="49"/>
      <c r="F831" s="49"/>
      <c r="G831" s="49"/>
      <c r="H831" s="49"/>
      <c r="I831" s="49"/>
      <c r="J831" s="49"/>
      <c r="K831" s="49"/>
      <c r="L831" s="49"/>
      <c r="M831" s="49"/>
      <c r="N831" s="49"/>
      <c r="O831" s="49"/>
      <c r="P831" s="49"/>
      <c r="Q831" s="49"/>
      <c r="R831" s="49"/>
      <c r="S831" s="49"/>
      <c r="T831" s="49"/>
      <c r="U831" s="49"/>
      <c r="V831" s="49"/>
      <c r="W831" s="49"/>
      <c r="X831" s="49"/>
      <c r="Y831" s="49"/>
      <c r="Z831" s="49"/>
    </row>
    <row r="832" spans="1:26" ht="13">
      <c r="A832" s="49"/>
      <c r="B832" s="49"/>
      <c r="C832" s="49"/>
      <c r="D832" s="49"/>
      <c r="E832" s="49"/>
      <c r="F832" s="49"/>
      <c r="G832" s="49"/>
      <c r="H832" s="49"/>
      <c r="I832" s="49"/>
      <c r="J832" s="49"/>
      <c r="K832" s="49"/>
      <c r="L832" s="49"/>
      <c r="M832" s="49"/>
      <c r="N832" s="49"/>
      <c r="O832" s="49"/>
      <c r="P832" s="49"/>
      <c r="Q832" s="49"/>
      <c r="R832" s="49"/>
      <c r="S832" s="49"/>
      <c r="T832" s="49"/>
      <c r="U832" s="49"/>
      <c r="V832" s="49"/>
      <c r="W832" s="49"/>
      <c r="X832" s="49"/>
      <c r="Y832" s="49"/>
      <c r="Z832" s="49"/>
    </row>
    <row r="833" spans="1:26" ht="13">
      <c r="A833" s="49"/>
      <c r="B833" s="49"/>
      <c r="C833" s="49"/>
      <c r="D833" s="49"/>
      <c r="E833" s="49"/>
      <c r="F833" s="49"/>
      <c r="G833" s="49"/>
      <c r="H833" s="49"/>
      <c r="I833" s="49"/>
      <c r="J833" s="49"/>
      <c r="K833" s="49"/>
      <c r="L833" s="49"/>
      <c r="M833" s="49"/>
      <c r="N833" s="49"/>
      <c r="O833" s="49"/>
      <c r="P833" s="49"/>
      <c r="Q833" s="49"/>
      <c r="R833" s="49"/>
      <c r="S833" s="49"/>
      <c r="T833" s="49"/>
      <c r="U833" s="49"/>
      <c r="V833" s="49"/>
      <c r="W833" s="49"/>
      <c r="X833" s="49"/>
      <c r="Y833" s="49"/>
      <c r="Z833" s="49"/>
    </row>
    <row r="834" spans="1:26" ht="13">
      <c r="A834" s="49"/>
      <c r="B834" s="49"/>
      <c r="C834" s="49"/>
      <c r="D834" s="49"/>
      <c r="E834" s="49"/>
      <c r="F834" s="49"/>
      <c r="G834" s="49"/>
      <c r="H834" s="49"/>
      <c r="I834" s="49"/>
      <c r="J834" s="49"/>
      <c r="K834" s="49"/>
      <c r="L834" s="49"/>
      <c r="M834" s="49"/>
      <c r="N834" s="49"/>
      <c r="O834" s="49"/>
      <c r="P834" s="49"/>
      <c r="Q834" s="49"/>
      <c r="R834" s="49"/>
      <c r="S834" s="49"/>
      <c r="T834" s="49"/>
      <c r="U834" s="49"/>
      <c r="V834" s="49"/>
      <c r="W834" s="49"/>
      <c r="X834" s="49"/>
      <c r="Y834" s="49"/>
      <c r="Z834" s="49"/>
    </row>
    <row r="835" spans="1:26" ht="13">
      <c r="A835" s="49"/>
      <c r="B835" s="49"/>
      <c r="C835" s="49"/>
      <c r="D835" s="49"/>
      <c r="E835" s="49"/>
      <c r="F835" s="49"/>
      <c r="G835" s="49"/>
      <c r="H835" s="49"/>
      <c r="I835" s="49"/>
      <c r="J835" s="49"/>
      <c r="K835" s="49"/>
      <c r="L835" s="49"/>
      <c r="M835" s="49"/>
      <c r="N835" s="49"/>
      <c r="O835" s="49"/>
      <c r="P835" s="49"/>
      <c r="Q835" s="49"/>
      <c r="R835" s="49"/>
      <c r="S835" s="49"/>
      <c r="T835" s="49"/>
      <c r="U835" s="49"/>
      <c r="V835" s="49"/>
      <c r="W835" s="49"/>
      <c r="X835" s="49"/>
      <c r="Y835" s="49"/>
      <c r="Z835" s="49"/>
    </row>
    <row r="836" spans="1:26" ht="13">
      <c r="A836" s="49"/>
      <c r="B836" s="49"/>
      <c r="C836" s="49"/>
      <c r="D836" s="49"/>
      <c r="E836" s="49"/>
      <c r="F836" s="49"/>
      <c r="G836" s="49"/>
      <c r="H836" s="49"/>
      <c r="I836" s="49"/>
      <c r="J836" s="49"/>
      <c r="K836" s="49"/>
      <c r="L836" s="49"/>
      <c r="M836" s="49"/>
      <c r="N836" s="49"/>
      <c r="O836" s="49"/>
      <c r="P836" s="49"/>
      <c r="Q836" s="49"/>
      <c r="R836" s="49"/>
      <c r="S836" s="49"/>
      <c r="T836" s="49"/>
      <c r="U836" s="49"/>
      <c r="V836" s="49"/>
      <c r="W836" s="49"/>
      <c r="X836" s="49"/>
      <c r="Y836" s="49"/>
      <c r="Z836" s="49"/>
    </row>
    <row r="837" spans="1:26" ht="13">
      <c r="A837" s="49"/>
      <c r="B837" s="49"/>
      <c r="C837" s="49"/>
      <c r="D837" s="49"/>
      <c r="E837" s="49"/>
      <c r="F837" s="49"/>
      <c r="G837" s="49"/>
      <c r="H837" s="49"/>
      <c r="I837" s="49"/>
      <c r="J837" s="49"/>
      <c r="K837" s="49"/>
      <c r="L837" s="49"/>
      <c r="M837" s="49"/>
      <c r="N837" s="49"/>
      <c r="O837" s="49"/>
      <c r="P837" s="49"/>
      <c r="Q837" s="49"/>
      <c r="R837" s="49"/>
      <c r="S837" s="49"/>
      <c r="T837" s="49"/>
      <c r="U837" s="49"/>
      <c r="V837" s="49"/>
      <c r="W837" s="49"/>
      <c r="X837" s="49"/>
      <c r="Y837" s="49"/>
      <c r="Z837" s="49"/>
    </row>
    <row r="838" spans="1:26" ht="13">
      <c r="A838" s="49"/>
      <c r="B838" s="49"/>
      <c r="C838" s="49"/>
      <c r="D838" s="49"/>
      <c r="E838" s="49"/>
      <c r="F838" s="49"/>
      <c r="G838" s="49"/>
      <c r="H838" s="49"/>
      <c r="I838" s="49"/>
      <c r="J838" s="49"/>
      <c r="K838" s="49"/>
      <c r="L838" s="49"/>
      <c r="M838" s="49"/>
      <c r="N838" s="49"/>
      <c r="O838" s="49"/>
      <c r="P838" s="49"/>
      <c r="Q838" s="49"/>
      <c r="R838" s="49"/>
      <c r="S838" s="49"/>
      <c r="T838" s="49"/>
      <c r="U838" s="49"/>
      <c r="V838" s="49"/>
      <c r="W838" s="49"/>
      <c r="X838" s="49"/>
      <c r="Y838" s="49"/>
      <c r="Z838" s="49"/>
    </row>
    <row r="839" spans="1:26" ht="13">
      <c r="A839" s="49"/>
      <c r="B839" s="49"/>
      <c r="C839" s="49"/>
      <c r="D839" s="49"/>
      <c r="E839" s="49"/>
      <c r="F839" s="49"/>
      <c r="G839" s="49"/>
      <c r="H839" s="49"/>
      <c r="I839" s="49"/>
      <c r="J839" s="49"/>
      <c r="K839" s="49"/>
      <c r="L839" s="49"/>
      <c r="M839" s="49"/>
      <c r="N839" s="49"/>
      <c r="O839" s="49"/>
      <c r="P839" s="49"/>
      <c r="Q839" s="49"/>
      <c r="R839" s="49"/>
      <c r="S839" s="49"/>
      <c r="T839" s="49"/>
      <c r="U839" s="49"/>
      <c r="V839" s="49"/>
      <c r="W839" s="49"/>
      <c r="X839" s="49"/>
      <c r="Y839" s="49"/>
      <c r="Z839" s="49"/>
    </row>
    <row r="840" spans="1:26" ht="13">
      <c r="A840" s="49"/>
      <c r="B840" s="49"/>
      <c r="C840" s="49"/>
      <c r="D840" s="49"/>
      <c r="E840" s="49"/>
      <c r="F840" s="49"/>
      <c r="G840" s="49"/>
      <c r="H840" s="49"/>
      <c r="I840" s="49"/>
      <c r="J840" s="49"/>
      <c r="K840" s="49"/>
      <c r="L840" s="49"/>
      <c r="M840" s="49"/>
      <c r="N840" s="49"/>
      <c r="O840" s="49"/>
      <c r="P840" s="49"/>
      <c r="Q840" s="49"/>
      <c r="R840" s="49"/>
      <c r="S840" s="49"/>
      <c r="T840" s="49"/>
      <c r="U840" s="49"/>
      <c r="V840" s="49"/>
      <c r="W840" s="49"/>
      <c r="X840" s="49"/>
      <c r="Y840" s="49"/>
      <c r="Z840" s="49"/>
    </row>
    <row r="841" spans="1:26" ht="13">
      <c r="A841" s="49"/>
      <c r="B841" s="49"/>
      <c r="C841" s="49"/>
      <c r="D841" s="49"/>
      <c r="E841" s="49"/>
      <c r="F841" s="49"/>
      <c r="G841" s="49"/>
      <c r="H841" s="49"/>
      <c r="I841" s="49"/>
      <c r="J841" s="49"/>
      <c r="K841" s="49"/>
      <c r="L841" s="49"/>
      <c r="M841" s="49"/>
      <c r="N841" s="49"/>
      <c r="O841" s="49"/>
      <c r="P841" s="49"/>
      <c r="Q841" s="49"/>
      <c r="R841" s="49"/>
      <c r="S841" s="49"/>
      <c r="T841" s="49"/>
      <c r="U841" s="49"/>
      <c r="V841" s="49"/>
      <c r="W841" s="49"/>
      <c r="X841" s="49"/>
      <c r="Y841" s="49"/>
      <c r="Z841" s="49"/>
    </row>
    <row r="842" spans="1:26" ht="13">
      <c r="A842" s="49"/>
      <c r="B842" s="49"/>
      <c r="C842" s="49"/>
      <c r="D842" s="49"/>
      <c r="E842" s="49"/>
      <c r="F842" s="49"/>
      <c r="G842" s="49"/>
      <c r="H842" s="49"/>
      <c r="I842" s="49"/>
      <c r="J842" s="49"/>
      <c r="K842" s="49"/>
      <c r="L842" s="49"/>
      <c r="M842" s="49"/>
      <c r="N842" s="49"/>
      <c r="O842" s="49"/>
      <c r="P842" s="49"/>
      <c r="Q842" s="49"/>
      <c r="R842" s="49"/>
      <c r="S842" s="49"/>
      <c r="T842" s="49"/>
      <c r="U842" s="49"/>
      <c r="V842" s="49"/>
      <c r="W842" s="49"/>
      <c r="X842" s="49"/>
      <c r="Y842" s="49"/>
      <c r="Z842" s="49"/>
    </row>
    <row r="843" spans="1:26" ht="13">
      <c r="A843" s="49"/>
      <c r="B843" s="49"/>
      <c r="C843" s="49"/>
      <c r="D843" s="49"/>
      <c r="E843" s="49"/>
      <c r="F843" s="49"/>
      <c r="G843" s="49"/>
      <c r="H843" s="49"/>
      <c r="I843" s="49"/>
      <c r="J843" s="49"/>
      <c r="K843" s="49"/>
      <c r="L843" s="49"/>
      <c r="M843" s="49"/>
      <c r="N843" s="49"/>
      <c r="O843" s="49"/>
      <c r="P843" s="49"/>
      <c r="Q843" s="49"/>
      <c r="R843" s="49"/>
      <c r="S843" s="49"/>
      <c r="T843" s="49"/>
      <c r="U843" s="49"/>
      <c r="V843" s="49"/>
      <c r="W843" s="49"/>
      <c r="X843" s="49"/>
      <c r="Y843" s="49"/>
      <c r="Z843" s="49"/>
    </row>
    <row r="844" spans="1:26" ht="13">
      <c r="A844" s="49"/>
      <c r="B844" s="49"/>
      <c r="C844" s="49"/>
      <c r="D844" s="49"/>
      <c r="E844" s="49"/>
      <c r="F844" s="49"/>
      <c r="G844" s="49"/>
      <c r="H844" s="49"/>
      <c r="I844" s="49"/>
      <c r="J844" s="49"/>
      <c r="K844" s="49"/>
      <c r="L844" s="49"/>
      <c r="M844" s="49"/>
      <c r="N844" s="49"/>
      <c r="O844" s="49"/>
      <c r="P844" s="49"/>
      <c r="Q844" s="49"/>
      <c r="R844" s="49"/>
      <c r="S844" s="49"/>
      <c r="T844" s="49"/>
      <c r="U844" s="49"/>
      <c r="V844" s="49"/>
      <c r="W844" s="49"/>
      <c r="X844" s="49"/>
      <c r="Y844" s="49"/>
      <c r="Z844" s="49"/>
    </row>
    <row r="845" spans="1:26" ht="13">
      <c r="A845" s="49"/>
      <c r="B845" s="49"/>
      <c r="C845" s="49"/>
      <c r="D845" s="49"/>
      <c r="E845" s="49"/>
      <c r="F845" s="49"/>
      <c r="G845" s="49"/>
      <c r="H845" s="49"/>
      <c r="I845" s="49"/>
      <c r="J845" s="49"/>
      <c r="K845" s="49"/>
      <c r="L845" s="49"/>
      <c r="M845" s="49"/>
      <c r="N845" s="49"/>
      <c r="O845" s="49"/>
      <c r="P845" s="49"/>
      <c r="Q845" s="49"/>
      <c r="R845" s="49"/>
      <c r="S845" s="49"/>
      <c r="T845" s="49"/>
      <c r="U845" s="49"/>
      <c r="V845" s="49"/>
      <c r="W845" s="49"/>
      <c r="X845" s="49"/>
      <c r="Y845" s="49"/>
      <c r="Z845" s="49"/>
    </row>
    <row r="846" spans="1:26" ht="13">
      <c r="A846" s="49"/>
      <c r="B846" s="49"/>
      <c r="C846" s="49"/>
      <c r="D846" s="49"/>
      <c r="E846" s="49"/>
      <c r="F846" s="49"/>
      <c r="G846" s="49"/>
      <c r="H846" s="49"/>
      <c r="I846" s="49"/>
      <c r="J846" s="49"/>
      <c r="K846" s="49"/>
      <c r="L846" s="49"/>
      <c r="M846" s="49"/>
      <c r="N846" s="49"/>
      <c r="O846" s="49"/>
      <c r="P846" s="49"/>
      <c r="Q846" s="49"/>
      <c r="R846" s="49"/>
      <c r="S846" s="49"/>
      <c r="T846" s="49"/>
      <c r="U846" s="49"/>
      <c r="V846" s="49"/>
      <c r="W846" s="49"/>
      <c r="X846" s="49"/>
      <c r="Y846" s="49"/>
      <c r="Z846" s="49"/>
    </row>
    <row r="847" spans="1:26" ht="13">
      <c r="A847" s="49"/>
      <c r="B847" s="49"/>
      <c r="C847" s="49"/>
      <c r="D847" s="49"/>
      <c r="E847" s="49"/>
      <c r="F847" s="49"/>
      <c r="G847" s="49"/>
      <c r="H847" s="49"/>
      <c r="I847" s="49"/>
      <c r="J847" s="49"/>
      <c r="K847" s="49"/>
      <c r="L847" s="49"/>
      <c r="M847" s="49"/>
      <c r="N847" s="49"/>
      <c r="O847" s="49"/>
      <c r="P847" s="49"/>
      <c r="Q847" s="49"/>
      <c r="R847" s="49"/>
      <c r="S847" s="49"/>
      <c r="T847" s="49"/>
      <c r="U847" s="49"/>
      <c r="V847" s="49"/>
      <c r="W847" s="49"/>
      <c r="X847" s="49"/>
      <c r="Y847" s="49"/>
      <c r="Z847" s="49"/>
    </row>
    <row r="848" spans="1:26" ht="13">
      <c r="A848" s="49"/>
      <c r="B848" s="49"/>
      <c r="C848" s="49"/>
      <c r="D848" s="49"/>
      <c r="E848" s="49"/>
      <c r="F848" s="49"/>
      <c r="G848" s="49"/>
      <c r="H848" s="49"/>
      <c r="I848" s="49"/>
      <c r="J848" s="49"/>
      <c r="K848" s="49"/>
      <c r="L848" s="49"/>
      <c r="M848" s="49"/>
      <c r="N848" s="49"/>
      <c r="O848" s="49"/>
      <c r="P848" s="49"/>
      <c r="Q848" s="49"/>
      <c r="R848" s="49"/>
      <c r="S848" s="49"/>
      <c r="T848" s="49"/>
      <c r="U848" s="49"/>
      <c r="V848" s="49"/>
      <c r="W848" s="49"/>
      <c r="X848" s="49"/>
      <c r="Y848" s="49"/>
      <c r="Z848" s="49"/>
    </row>
    <row r="849" spans="1:26" ht="13">
      <c r="A849" s="49"/>
      <c r="B849" s="49"/>
      <c r="C849" s="49"/>
      <c r="D849" s="49"/>
      <c r="E849" s="49"/>
      <c r="F849" s="49"/>
      <c r="G849" s="49"/>
      <c r="H849" s="49"/>
      <c r="I849" s="49"/>
      <c r="J849" s="49"/>
      <c r="K849" s="49"/>
      <c r="L849" s="49"/>
      <c r="M849" s="49"/>
      <c r="N849" s="49"/>
      <c r="O849" s="49"/>
      <c r="P849" s="49"/>
      <c r="Q849" s="49"/>
      <c r="R849" s="49"/>
      <c r="S849" s="49"/>
      <c r="T849" s="49"/>
      <c r="U849" s="49"/>
      <c r="V849" s="49"/>
      <c r="W849" s="49"/>
      <c r="X849" s="49"/>
      <c r="Y849" s="49"/>
      <c r="Z849" s="49"/>
    </row>
    <row r="850" spans="1:26" ht="13">
      <c r="A850" s="49"/>
      <c r="B850" s="49"/>
      <c r="C850" s="49"/>
      <c r="D850" s="49"/>
      <c r="E850" s="49"/>
      <c r="F850" s="49"/>
      <c r="G850" s="49"/>
      <c r="H850" s="49"/>
      <c r="I850" s="49"/>
      <c r="J850" s="49"/>
      <c r="K850" s="49"/>
      <c r="L850" s="49"/>
      <c r="M850" s="49"/>
      <c r="N850" s="49"/>
      <c r="O850" s="49"/>
      <c r="P850" s="49"/>
      <c r="Q850" s="49"/>
      <c r="R850" s="49"/>
      <c r="S850" s="49"/>
      <c r="T850" s="49"/>
      <c r="U850" s="49"/>
      <c r="V850" s="49"/>
      <c r="W850" s="49"/>
      <c r="X850" s="49"/>
      <c r="Y850" s="49"/>
      <c r="Z850" s="49"/>
    </row>
    <row r="851" spans="1:26" ht="13">
      <c r="A851" s="49"/>
      <c r="B851" s="49"/>
      <c r="C851" s="49"/>
      <c r="D851" s="49"/>
      <c r="E851" s="49"/>
      <c r="F851" s="49"/>
      <c r="G851" s="49"/>
      <c r="H851" s="49"/>
      <c r="I851" s="49"/>
      <c r="J851" s="49"/>
      <c r="K851" s="49"/>
      <c r="L851" s="49"/>
      <c r="M851" s="49"/>
      <c r="N851" s="49"/>
      <c r="O851" s="49"/>
      <c r="P851" s="49"/>
      <c r="Q851" s="49"/>
      <c r="R851" s="49"/>
      <c r="S851" s="49"/>
      <c r="T851" s="49"/>
      <c r="U851" s="49"/>
      <c r="V851" s="49"/>
      <c r="W851" s="49"/>
      <c r="X851" s="49"/>
      <c r="Y851" s="49"/>
      <c r="Z851" s="49"/>
    </row>
    <row r="852" spans="1:26" ht="13">
      <c r="A852" s="49"/>
      <c r="B852" s="49"/>
      <c r="C852" s="49"/>
      <c r="D852" s="49"/>
      <c r="E852" s="49"/>
      <c r="F852" s="49"/>
      <c r="G852" s="49"/>
      <c r="H852" s="49"/>
      <c r="I852" s="49"/>
      <c r="J852" s="49"/>
      <c r="K852" s="49"/>
      <c r="L852" s="49"/>
      <c r="M852" s="49"/>
      <c r="N852" s="49"/>
      <c r="O852" s="49"/>
      <c r="P852" s="49"/>
      <c r="Q852" s="49"/>
      <c r="R852" s="49"/>
      <c r="S852" s="49"/>
      <c r="T852" s="49"/>
      <c r="U852" s="49"/>
      <c r="V852" s="49"/>
      <c r="W852" s="49"/>
      <c r="X852" s="49"/>
      <c r="Y852" s="49"/>
      <c r="Z852" s="49"/>
    </row>
    <row r="853" spans="1:26" ht="13">
      <c r="A853" s="49"/>
      <c r="B853" s="49"/>
      <c r="C853" s="49"/>
      <c r="D853" s="49"/>
      <c r="E853" s="49"/>
      <c r="F853" s="49"/>
      <c r="G853" s="49"/>
      <c r="H853" s="49"/>
      <c r="I853" s="49"/>
      <c r="J853" s="49"/>
      <c r="K853" s="49"/>
      <c r="L853" s="49"/>
      <c r="M853" s="49"/>
      <c r="N853" s="49"/>
      <c r="O853" s="49"/>
      <c r="P853" s="49"/>
      <c r="Q853" s="49"/>
      <c r="R853" s="49"/>
      <c r="S853" s="49"/>
      <c r="T853" s="49"/>
      <c r="U853" s="49"/>
      <c r="V853" s="49"/>
      <c r="W853" s="49"/>
      <c r="X853" s="49"/>
      <c r="Y853" s="49"/>
      <c r="Z853" s="49"/>
    </row>
    <row r="854" spans="1:26" ht="13">
      <c r="A854" s="49"/>
      <c r="B854" s="49"/>
      <c r="C854" s="49"/>
      <c r="D854" s="49"/>
      <c r="E854" s="49"/>
      <c r="F854" s="49"/>
      <c r="G854" s="49"/>
      <c r="H854" s="49"/>
      <c r="I854" s="49"/>
      <c r="J854" s="49"/>
      <c r="K854" s="49"/>
      <c r="L854" s="49"/>
      <c r="M854" s="49"/>
      <c r="N854" s="49"/>
      <c r="O854" s="49"/>
      <c r="P854" s="49"/>
      <c r="Q854" s="49"/>
      <c r="R854" s="49"/>
      <c r="S854" s="49"/>
      <c r="T854" s="49"/>
      <c r="U854" s="49"/>
      <c r="V854" s="49"/>
      <c r="W854" s="49"/>
      <c r="X854" s="49"/>
      <c r="Y854" s="49"/>
      <c r="Z854" s="49"/>
    </row>
    <row r="855" spans="1:26" ht="13">
      <c r="A855" s="49"/>
      <c r="B855" s="49"/>
      <c r="C855" s="49"/>
      <c r="D855" s="49"/>
      <c r="E855" s="49"/>
      <c r="F855" s="49"/>
      <c r="G855" s="49"/>
      <c r="H855" s="49"/>
      <c r="I855" s="49"/>
      <c r="J855" s="49"/>
      <c r="K855" s="49"/>
      <c r="L855" s="49"/>
      <c r="M855" s="49"/>
      <c r="N855" s="49"/>
      <c r="O855" s="49"/>
      <c r="P855" s="49"/>
      <c r="Q855" s="49"/>
      <c r="R855" s="49"/>
      <c r="S855" s="49"/>
      <c r="T855" s="49"/>
      <c r="U855" s="49"/>
      <c r="V855" s="49"/>
      <c r="W855" s="49"/>
      <c r="X855" s="49"/>
      <c r="Y855" s="49"/>
      <c r="Z855" s="49"/>
    </row>
    <row r="856" spans="1:26" ht="13">
      <c r="A856" s="49"/>
      <c r="B856" s="49"/>
      <c r="C856" s="49"/>
      <c r="D856" s="49"/>
      <c r="E856" s="49"/>
      <c r="F856" s="49"/>
      <c r="G856" s="49"/>
      <c r="H856" s="49"/>
      <c r="I856" s="49"/>
      <c r="J856" s="49"/>
      <c r="K856" s="49"/>
      <c r="L856" s="49"/>
      <c r="M856" s="49"/>
      <c r="N856" s="49"/>
      <c r="O856" s="49"/>
      <c r="P856" s="49"/>
      <c r="Q856" s="49"/>
      <c r="R856" s="49"/>
      <c r="S856" s="49"/>
      <c r="T856" s="49"/>
      <c r="U856" s="49"/>
      <c r="V856" s="49"/>
      <c r="W856" s="49"/>
      <c r="X856" s="49"/>
      <c r="Y856" s="49"/>
      <c r="Z856" s="49"/>
    </row>
    <row r="857" spans="1:26" ht="13">
      <c r="A857" s="49"/>
      <c r="B857" s="49"/>
      <c r="C857" s="49"/>
      <c r="D857" s="49"/>
      <c r="E857" s="49"/>
      <c r="F857" s="49"/>
      <c r="G857" s="49"/>
      <c r="H857" s="49"/>
      <c r="I857" s="49"/>
      <c r="J857" s="49"/>
      <c r="K857" s="49"/>
      <c r="L857" s="49"/>
      <c r="M857" s="49"/>
      <c r="N857" s="49"/>
      <c r="O857" s="49"/>
      <c r="P857" s="49"/>
      <c r="Q857" s="49"/>
      <c r="R857" s="49"/>
      <c r="S857" s="49"/>
      <c r="T857" s="49"/>
      <c r="U857" s="49"/>
      <c r="V857" s="49"/>
      <c r="W857" s="49"/>
      <c r="X857" s="49"/>
      <c r="Y857" s="49"/>
      <c r="Z857" s="49"/>
    </row>
    <row r="858" spans="1:26" ht="13">
      <c r="A858" s="49"/>
      <c r="B858" s="49"/>
      <c r="C858" s="49"/>
      <c r="D858" s="49"/>
      <c r="E858" s="49"/>
      <c r="F858" s="49"/>
      <c r="G858" s="49"/>
      <c r="H858" s="49"/>
      <c r="I858" s="49"/>
      <c r="J858" s="49"/>
      <c r="K858" s="49"/>
      <c r="L858" s="49"/>
      <c r="M858" s="49"/>
      <c r="N858" s="49"/>
      <c r="O858" s="49"/>
      <c r="P858" s="49"/>
      <c r="Q858" s="49"/>
      <c r="R858" s="49"/>
      <c r="S858" s="49"/>
      <c r="T858" s="49"/>
      <c r="U858" s="49"/>
      <c r="V858" s="49"/>
      <c r="W858" s="49"/>
      <c r="X858" s="49"/>
      <c r="Y858" s="49"/>
      <c r="Z858" s="49"/>
    </row>
    <row r="859" spans="1:26" ht="13">
      <c r="A859" s="49"/>
      <c r="B859" s="49"/>
      <c r="C859" s="49"/>
      <c r="D859" s="49"/>
      <c r="E859" s="49"/>
      <c r="F859" s="49"/>
      <c r="G859" s="49"/>
      <c r="H859" s="49"/>
      <c r="I859" s="49"/>
      <c r="J859" s="49"/>
      <c r="K859" s="49"/>
      <c r="L859" s="49"/>
      <c r="M859" s="49"/>
      <c r="N859" s="49"/>
      <c r="O859" s="49"/>
      <c r="P859" s="49"/>
      <c r="Q859" s="49"/>
      <c r="R859" s="49"/>
      <c r="S859" s="49"/>
      <c r="T859" s="49"/>
      <c r="U859" s="49"/>
      <c r="V859" s="49"/>
      <c r="W859" s="49"/>
      <c r="X859" s="49"/>
      <c r="Y859" s="49"/>
      <c r="Z859" s="49"/>
    </row>
    <row r="860" spans="1:26" ht="13">
      <c r="A860" s="49"/>
      <c r="B860" s="49"/>
      <c r="C860" s="49"/>
      <c r="D860" s="49"/>
      <c r="E860" s="49"/>
      <c r="F860" s="49"/>
      <c r="G860" s="49"/>
      <c r="H860" s="49"/>
      <c r="I860" s="49"/>
      <c r="J860" s="49"/>
      <c r="K860" s="49"/>
      <c r="L860" s="49"/>
      <c r="M860" s="49"/>
      <c r="N860" s="49"/>
      <c r="O860" s="49"/>
      <c r="P860" s="49"/>
      <c r="Q860" s="49"/>
      <c r="R860" s="49"/>
      <c r="S860" s="49"/>
      <c r="T860" s="49"/>
      <c r="U860" s="49"/>
      <c r="V860" s="49"/>
      <c r="W860" s="49"/>
      <c r="X860" s="49"/>
      <c r="Y860" s="49"/>
      <c r="Z860" s="49"/>
    </row>
    <row r="861" spans="1:26" ht="13">
      <c r="A861" s="49"/>
      <c r="B861" s="49"/>
      <c r="C861" s="49"/>
      <c r="D861" s="49"/>
      <c r="E861" s="49"/>
      <c r="F861" s="49"/>
      <c r="G861" s="49"/>
      <c r="H861" s="49"/>
      <c r="I861" s="49"/>
      <c r="J861" s="49"/>
      <c r="K861" s="49"/>
      <c r="L861" s="49"/>
      <c r="M861" s="49"/>
      <c r="N861" s="49"/>
      <c r="O861" s="49"/>
      <c r="P861" s="49"/>
      <c r="Q861" s="49"/>
      <c r="R861" s="49"/>
      <c r="S861" s="49"/>
      <c r="T861" s="49"/>
      <c r="U861" s="49"/>
      <c r="V861" s="49"/>
      <c r="W861" s="49"/>
      <c r="X861" s="49"/>
      <c r="Y861" s="49"/>
      <c r="Z861" s="49"/>
    </row>
    <row r="862" spans="1:26" ht="13">
      <c r="A862" s="49"/>
      <c r="B862" s="49"/>
      <c r="C862" s="49"/>
      <c r="D862" s="49"/>
      <c r="E862" s="49"/>
      <c r="F862" s="49"/>
      <c r="G862" s="49"/>
      <c r="H862" s="49"/>
      <c r="I862" s="49"/>
      <c r="J862" s="49"/>
      <c r="K862" s="49"/>
      <c r="L862" s="49"/>
      <c r="M862" s="49"/>
      <c r="N862" s="49"/>
      <c r="O862" s="49"/>
      <c r="P862" s="49"/>
      <c r="Q862" s="49"/>
      <c r="R862" s="49"/>
      <c r="S862" s="49"/>
      <c r="T862" s="49"/>
      <c r="U862" s="49"/>
      <c r="V862" s="49"/>
      <c r="W862" s="49"/>
      <c r="X862" s="49"/>
      <c r="Y862" s="49"/>
      <c r="Z862" s="49"/>
    </row>
    <row r="863" spans="1:26" ht="13">
      <c r="A863" s="49"/>
      <c r="B863" s="49"/>
      <c r="C863" s="49"/>
      <c r="D863" s="49"/>
      <c r="E863" s="49"/>
      <c r="F863" s="49"/>
      <c r="G863" s="49"/>
      <c r="H863" s="49"/>
      <c r="I863" s="49"/>
      <c r="J863" s="49"/>
      <c r="K863" s="49"/>
      <c r="L863" s="49"/>
      <c r="M863" s="49"/>
      <c r="N863" s="49"/>
      <c r="O863" s="49"/>
      <c r="P863" s="49"/>
      <c r="Q863" s="49"/>
      <c r="R863" s="49"/>
      <c r="S863" s="49"/>
      <c r="T863" s="49"/>
      <c r="U863" s="49"/>
      <c r="V863" s="49"/>
      <c r="W863" s="49"/>
      <c r="X863" s="49"/>
      <c r="Y863" s="49"/>
      <c r="Z863" s="49"/>
    </row>
    <row r="864" spans="1:26" ht="13">
      <c r="A864" s="49"/>
      <c r="B864" s="49"/>
      <c r="C864" s="49"/>
      <c r="D864" s="49"/>
      <c r="E864" s="49"/>
      <c r="F864" s="49"/>
      <c r="G864" s="49"/>
      <c r="H864" s="49"/>
      <c r="I864" s="49"/>
      <c r="J864" s="49"/>
      <c r="K864" s="49"/>
      <c r="L864" s="49"/>
      <c r="M864" s="49"/>
      <c r="N864" s="49"/>
      <c r="O864" s="49"/>
      <c r="P864" s="49"/>
      <c r="Q864" s="49"/>
      <c r="R864" s="49"/>
      <c r="S864" s="49"/>
      <c r="T864" s="49"/>
      <c r="U864" s="49"/>
      <c r="V864" s="49"/>
      <c r="W864" s="49"/>
      <c r="X864" s="49"/>
      <c r="Y864" s="49"/>
      <c r="Z864" s="49"/>
    </row>
    <row r="865" spans="1:26" ht="13">
      <c r="A865" s="49"/>
      <c r="B865" s="49"/>
      <c r="C865" s="49"/>
      <c r="D865" s="49"/>
      <c r="E865" s="49"/>
      <c r="F865" s="49"/>
      <c r="G865" s="49"/>
      <c r="H865" s="49"/>
      <c r="I865" s="49"/>
      <c r="J865" s="49"/>
      <c r="K865" s="49"/>
      <c r="L865" s="49"/>
      <c r="M865" s="49"/>
      <c r="N865" s="49"/>
      <c r="O865" s="49"/>
      <c r="P865" s="49"/>
      <c r="Q865" s="49"/>
      <c r="R865" s="49"/>
      <c r="S865" s="49"/>
      <c r="T865" s="49"/>
      <c r="U865" s="49"/>
      <c r="V865" s="49"/>
      <c r="W865" s="49"/>
      <c r="X865" s="49"/>
      <c r="Y865" s="49"/>
      <c r="Z865" s="49"/>
    </row>
    <row r="866" spans="1:26" ht="13">
      <c r="A866" s="49"/>
      <c r="B866" s="49"/>
      <c r="C866" s="49"/>
      <c r="D866" s="49"/>
      <c r="E866" s="49"/>
      <c r="F866" s="49"/>
      <c r="G866" s="49"/>
      <c r="H866" s="49"/>
      <c r="I866" s="49"/>
      <c r="J866" s="49"/>
      <c r="K866" s="49"/>
      <c r="L866" s="49"/>
      <c r="M866" s="49"/>
      <c r="N866" s="49"/>
      <c r="O866" s="49"/>
      <c r="P866" s="49"/>
      <c r="Q866" s="49"/>
      <c r="R866" s="49"/>
      <c r="S866" s="49"/>
      <c r="T866" s="49"/>
      <c r="U866" s="49"/>
      <c r="V866" s="49"/>
      <c r="W866" s="49"/>
      <c r="X866" s="49"/>
      <c r="Y866" s="49"/>
      <c r="Z866" s="49"/>
    </row>
    <row r="867" spans="1:26" ht="13">
      <c r="A867" s="49"/>
      <c r="B867" s="49"/>
      <c r="C867" s="49"/>
      <c r="D867" s="49"/>
      <c r="E867" s="49"/>
      <c r="F867" s="49"/>
      <c r="G867" s="49"/>
      <c r="H867" s="49"/>
      <c r="I867" s="49"/>
      <c r="J867" s="49"/>
      <c r="K867" s="49"/>
      <c r="L867" s="49"/>
      <c r="M867" s="49"/>
      <c r="N867" s="49"/>
      <c r="O867" s="49"/>
      <c r="P867" s="49"/>
      <c r="Q867" s="49"/>
      <c r="R867" s="49"/>
      <c r="S867" s="49"/>
      <c r="T867" s="49"/>
      <c r="U867" s="49"/>
      <c r="V867" s="49"/>
      <c r="W867" s="49"/>
      <c r="X867" s="49"/>
      <c r="Y867" s="49"/>
      <c r="Z867" s="49"/>
    </row>
    <row r="868" spans="1:26" ht="13">
      <c r="A868" s="49"/>
      <c r="B868" s="49"/>
      <c r="C868" s="49"/>
      <c r="D868" s="49"/>
      <c r="E868" s="49"/>
      <c r="F868" s="49"/>
      <c r="G868" s="49"/>
      <c r="H868" s="49"/>
      <c r="I868" s="49"/>
      <c r="J868" s="49"/>
      <c r="K868" s="49"/>
      <c r="L868" s="49"/>
      <c r="M868" s="49"/>
      <c r="N868" s="49"/>
      <c r="O868" s="49"/>
      <c r="P868" s="49"/>
      <c r="Q868" s="49"/>
      <c r="R868" s="49"/>
      <c r="S868" s="49"/>
      <c r="T868" s="49"/>
      <c r="U868" s="49"/>
      <c r="V868" s="49"/>
      <c r="W868" s="49"/>
      <c r="X868" s="49"/>
      <c r="Y868" s="49"/>
      <c r="Z868" s="49"/>
    </row>
    <row r="869" spans="1:26" ht="13">
      <c r="A869" s="49"/>
      <c r="B869" s="49"/>
      <c r="C869" s="49"/>
      <c r="D869" s="49"/>
      <c r="E869" s="49"/>
      <c r="F869" s="49"/>
      <c r="G869" s="49"/>
      <c r="H869" s="49"/>
      <c r="I869" s="49"/>
      <c r="J869" s="49"/>
      <c r="K869" s="49"/>
      <c r="L869" s="49"/>
      <c r="M869" s="49"/>
      <c r="N869" s="49"/>
      <c r="O869" s="49"/>
      <c r="P869" s="49"/>
      <c r="Q869" s="49"/>
      <c r="R869" s="49"/>
      <c r="S869" s="49"/>
      <c r="T869" s="49"/>
      <c r="U869" s="49"/>
      <c r="V869" s="49"/>
      <c r="W869" s="49"/>
      <c r="X869" s="49"/>
      <c r="Y869" s="49"/>
      <c r="Z869" s="49"/>
    </row>
    <row r="870" spans="1:26" ht="13">
      <c r="A870" s="49"/>
      <c r="B870" s="49"/>
      <c r="C870" s="49"/>
      <c r="D870" s="49"/>
      <c r="E870" s="49"/>
      <c r="F870" s="49"/>
      <c r="G870" s="49"/>
      <c r="H870" s="49"/>
      <c r="I870" s="49"/>
      <c r="J870" s="49"/>
      <c r="K870" s="49"/>
      <c r="L870" s="49"/>
      <c r="M870" s="49"/>
      <c r="N870" s="49"/>
      <c r="O870" s="49"/>
      <c r="P870" s="49"/>
      <c r="Q870" s="49"/>
      <c r="R870" s="49"/>
      <c r="S870" s="49"/>
      <c r="T870" s="49"/>
      <c r="U870" s="49"/>
      <c r="V870" s="49"/>
      <c r="W870" s="49"/>
      <c r="X870" s="49"/>
      <c r="Y870" s="49"/>
      <c r="Z870" s="49"/>
    </row>
    <row r="871" spans="1:26" ht="13">
      <c r="A871" s="49"/>
      <c r="B871" s="49"/>
      <c r="C871" s="49"/>
      <c r="D871" s="49"/>
      <c r="E871" s="49"/>
      <c r="F871" s="49"/>
      <c r="G871" s="49"/>
      <c r="H871" s="49"/>
      <c r="I871" s="49"/>
      <c r="J871" s="49"/>
      <c r="K871" s="49"/>
      <c r="L871" s="49"/>
      <c r="M871" s="49"/>
      <c r="N871" s="49"/>
      <c r="O871" s="49"/>
      <c r="P871" s="49"/>
      <c r="Q871" s="49"/>
      <c r="R871" s="49"/>
      <c r="S871" s="49"/>
      <c r="T871" s="49"/>
      <c r="U871" s="49"/>
      <c r="V871" s="49"/>
      <c r="W871" s="49"/>
      <c r="X871" s="49"/>
      <c r="Y871" s="49"/>
      <c r="Z871" s="49"/>
    </row>
    <row r="872" spans="1:26" ht="13">
      <c r="A872" s="49"/>
      <c r="B872" s="49"/>
      <c r="C872" s="49"/>
      <c r="D872" s="49"/>
      <c r="E872" s="49"/>
      <c r="F872" s="49"/>
      <c r="G872" s="49"/>
      <c r="H872" s="49"/>
      <c r="I872" s="49"/>
      <c r="J872" s="49"/>
      <c r="K872" s="49"/>
      <c r="L872" s="49"/>
      <c r="M872" s="49"/>
      <c r="N872" s="49"/>
      <c r="O872" s="49"/>
      <c r="P872" s="49"/>
      <c r="Q872" s="49"/>
      <c r="R872" s="49"/>
      <c r="S872" s="49"/>
      <c r="T872" s="49"/>
      <c r="U872" s="49"/>
      <c r="V872" s="49"/>
      <c r="W872" s="49"/>
      <c r="X872" s="49"/>
      <c r="Y872" s="49"/>
      <c r="Z872" s="49"/>
    </row>
    <row r="873" spans="1:26" ht="13">
      <c r="A873" s="49"/>
      <c r="B873" s="49"/>
      <c r="C873" s="49"/>
      <c r="D873" s="49"/>
      <c r="E873" s="49"/>
      <c r="F873" s="49"/>
      <c r="G873" s="49"/>
      <c r="H873" s="49"/>
      <c r="I873" s="49"/>
      <c r="J873" s="49"/>
      <c r="K873" s="49"/>
      <c r="L873" s="49"/>
      <c r="M873" s="49"/>
      <c r="N873" s="49"/>
      <c r="O873" s="49"/>
      <c r="P873" s="49"/>
      <c r="Q873" s="49"/>
      <c r="R873" s="49"/>
      <c r="S873" s="49"/>
      <c r="T873" s="49"/>
      <c r="U873" s="49"/>
      <c r="V873" s="49"/>
      <c r="W873" s="49"/>
      <c r="X873" s="49"/>
      <c r="Y873" s="49"/>
      <c r="Z873" s="49"/>
    </row>
    <row r="874" spans="1:26" ht="13">
      <c r="A874" s="49"/>
      <c r="B874" s="49"/>
      <c r="C874" s="49"/>
      <c r="D874" s="49"/>
      <c r="E874" s="49"/>
      <c r="F874" s="49"/>
      <c r="G874" s="49"/>
      <c r="H874" s="49"/>
      <c r="I874" s="49"/>
      <c r="J874" s="49"/>
      <c r="K874" s="49"/>
      <c r="L874" s="49"/>
      <c r="M874" s="49"/>
      <c r="N874" s="49"/>
      <c r="O874" s="49"/>
      <c r="P874" s="49"/>
      <c r="Q874" s="49"/>
      <c r="R874" s="49"/>
      <c r="S874" s="49"/>
      <c r="T874" s="49"/>
      <c r="U874" s="49"/>
      <c r="V874" s="49"/>
      <c r="W874" s="49"/>
      <c r="X874" s="49"/>
      <c r="Y874" s="49"/>
      <c r="Z874" s="49"/>
    </row>
    <row r="875" spans="1:26" ht="13">
      <c r="A875" s="49"/>
      <c r="B875" s="49"/>
      <c r="C875" s="49"/>
      <c r="D875" s="49"/>
      <c r="E875" s="49"/>
      <c r="F875" s="49"/>
      <c r="G875" s="49"/>
      <c r="H875" s="49"/>
      <c r="I875" s="49"/>
      <c r="J875" s="49"/>
      <c r="K875" s="49"/>
      <c r="L875" s="49"/>
      <c r="M875" s="49"/>
      <c r="N875" s="49"/>
      <c r="O875" s="49"/>
      <c r="P875" s="49"/>
      <c r="Q875" s="49"/>
      <c r="R875" s="49"/>
      <c r="S875" s="49"/>
      <c r="T875" s="49"/>
      <c r="U875" s="49"/>
      <c r="V875" s="49"/>
      <c r="W875" s="49"/>
      <c r="X875" s="49"/>
      <c r="Y875" s="49"/>
      <c r="Z875" s="49"/>
    </row>
    <row r="876" spans="1:26" ht="13">
      <c r="A876" s="49"/>
      <c r="B876" s="49"/>
      <c r="C876" s="49"/>
      <c r="D876" s="49"/>
      <c r="E876" s="49"/>
      <c r="F876" s="49"/>
      <c r="G876" s="49"/>
      <c r="H876" s="49"/>
      <c r="I876" s="49"/>
      <c r="J876" s="49"/>
      <c r="K876" s="49"/>
      <c r="L876" s="49"/>
      <c r="M876" s="49"/>
      <c r="N876" s="49"/>
      <c r="O876" s="49"/>
      <c r="P876" s="49"/>
      <c r="Q876" s="49"/>
      <c r="R876" s="49"/>
      <c r="S876" s="49"/>
      <c r="T876" s="49"/>
      <c r="U876" s="49"/>
      <c r="V876" s="49"/>
      <c r="W876" s="49"/>
      <c r="X876" s="49"/>
      <c r="Y876" s="49"/>
      <c r="Z876" s="49"/>
    </row>
    <row r="877" spans="1:26" ht="13">
      <c r="A877" s="49"/>
      <c r="B877" s="49"/>
      <c r="C877" s="49"/>
      <c r="D877" s="49"/>
      <c r="E877" s="49"/>
      <c r="F877" s="49"/>
      <c r="G877" s="49"/>
      <c r="H877" s="49"/>
      <c r="I877" s="49"/>
      <c r="J877" s="49"/>
      <c r="K877" s="49"/>
      <c r="L877" s="49"/>
      <c r="M877" s="49"/>
      <c r="N877" s="49"/>
      <c r="O877" s="49"/>
      <c r="P877" s="49"/>
      <c r="Q877" s="49"/>
      <c r="R877" s="49"/>
      <c r="S877" s="49"/>
      <c r="T877" s="49"/>
      <c r="U877" s="49"/>
      <c r="V877" s="49"/>
      <c r="W877" s="49"/>
      <c r="X877" s="49"/>
      <c r="Y877" s="49"/>
      <c r="Z877" s="49"/>
    </row>
    <row r="878" spans="1:26" ht="13">
      <c r="A878" s="49"/>
      <c r="B878" s="49"/>
      <c r="C878" s="49"/>
      <c r="D878" s="49"/>
      <c r="E878" s="49"/>
      <c r="F878" s="49"/>
      <c r="G878" s="49"/>
      <c r="H878" s="49"/>
      <c r="I878" s="49"/>
      <c r="J878" s="49"/>
      <c r="K878" s="49"/>
      <c r="L878" s="49"/>
      <c r="M878" s="49"/>
      <c r="N878" s="49"/>
      <c r="O878" s="49"/>
      <c r="P878" s="49"/>
      <c r="Q878" s="49"/>
      <c r="R878" s="49"/>
      <c r="S878" s="49"/>
      <c r="T878" s="49"/>
      <c r="U878" s="49"/>
      <c r="V878" s="49"/>
      <c r="W878" s="49"/>
      <c r="X878" s="49"/>
      <c r="Y878" s="49"/>
      <c r="Z878" s="49"/>
    </row>
    <row r="879" spans="1:26" ht="13">
      <c r="A879" s="49"/>
      <c r="B879" s="49"/>
      <c r="C879" s="49"/>
      <c r="D879" s="49"/>
      <c r="E879" s="49"/>
      <c r="F879" s="49"/>
      <c r="G879" s="49"/>
      <c r="H879" s="49"/>
      <c r="I879" s="49"/>
      <c r="J879" s="49"/>
      <c r="K879" s="49"/>
      <c r="L879" s="49"/>
      <c r="M879" s="49"/>
      <c r="N879" s="49"/>
      <c r="O879" s="49"/>
      <c r="P879" s="49"/>
      <c r="Q879" s="49"/>
      <c r="R879" s="49"/>
      <c r="S879" s="49"/>
      <c r="T879" s="49"/>
      <c r="U879" s="49"/>
      <c r="V879" s="49"/>
      <c r="W879" s="49"/>
      <c r="X879" s="49"/>
      <c r="Y879" s="49"/>
      <c r="Z879" s="49"/>
    </row>
    <row r="880" spans="1:26" ht="13">
      <c r="A880" s="49"/>
      <c r="B880" s="49"/>
      <c r="C880" s="49"/>
      <c r="D880" s="49"/>
      <c r="E880" s="49"/>
      <c r="F880" s="49"/>
      <c r="G880" s="49"/>
      <c r="H880" s="49"/>
      <c r="I880" s="49"/>
      <c r="J880" s="49"/>
      <c r="K880" s="49"/>
      <c r="L880" s="49"/>
      <c r="M880" s="49"/>
      <c r="N880" s="49"/>
      <c r="O880" s="49"/>
      <c r="P880" s="49"/>
      <c r="Q880" s="49"/>
      <c r="R880" s="49"/>
      <c r="S880" s="49"/>
      <c r="T880" s="49"/>
      <c r="U880" s="49"/>
      <c r="V880" s="49"/>
      <c r="W880" s="49"/>
      <c r="X880" s="49"/>
      <c r="Y880" s="49"/>
      <c r="Z880" s="49"/>
    </row>
    <row r="881" spans="1:26" ht="13">
      <c r="A881" s="49"/>
      <c r="B881" s="49"/>
      <c r="C881" s="49"/>
      <c r="D881" s="49"/>
      <c r="E881" s="49"/>
      <c r="F881" s="49"/>
      <c r="G881" s="49"/>
      <c r="H881" s="49"/>
      <c r="I881" s="49"/>
      <c r="J881" s="49"/>
      <c r="K881" s="49"/>
      <c r="L881" s="49"/>
      <c r="M881" s="49"/>
      <c r="N881" s="49"/>
      <c r="O881" s="49"/>
      <c r="P881" s="49"/>
      <c r="Q881" s="49"/>
      <c r="R881" s="49"/>
      <c r="S881" s="49"/>
      <c r="T881" s="49"/>
      <c r="U881" s="49"/>
      <c r="V881" s="49"/>
      <c r="W881" s="49"/>
      <c r="X881" s="49"/>
      <c r="Y881" s="49"/>
      <c r="Z881" s="49"/>
    </row>
    <row r="882" spans="1:26" ht="13">
      <c r="A882" s="49"/>
      <c r="B882" s="49"/>
      <c r="C882" s="49"/>
      <c r="D882" s="49"/>
      <c r="E882" s="49"/>
      <c r="F882" s="49"/>
      <c r="G882" s="49"/>
      <c r="H882" s="49"/>
      <c r="I882" s="49"/>
      <c r="J882" s="49"/>
      <c r="K882" s="49"/>
      <c r="L882" s="49"/>
      <c r="M882" s="49"/>
      <c r="N882" s="49"/>
      <c r="O882" s="49"/>
      <c r="P882" s="49"/>
      <c r="Q882" s="49"/>
      <c r="R882" s="49"/>
      <c r="S882" s="49"/>
      <c r="T882" s="49"/>
      <c r="U882" s="49"/>
      <c r="V882" s="49"/>
      <c r="W882" s="49"/>
      <c r="X882" s="49"/>
      <c r="Y882" s="49"/>
      <c r="Z882" s="49"/>
    </row>
    <row r="883" spans="1:26" ht="13">
      <c r="A883" s="49"/>
      <c r="B883" s="49"/>
      <c r="C883" s="49"/>
      <c r="D883" s="49"/>
      <c r="E883" s="49"/>
      <c r="F883" s="49"/>
      <c r="G883" s="49"/>
      <c r="H883" s="49"/>
      <c r="I883" s="49"/>
      <c r="J883" s="49"/>
      <c r="K883" s="49"/>
      <c r="L883" s="49"/>
      <c r="M883" s="49"/>
      <c r="N883" s="49"/>
      <c r="O883" s="49"/>
      <c r="P883" s="49"/>
      <c r="Q883" s="49"/>
      <c r="R883" s="49"/>
      <c r="S883" s="49"/>
      <c r="T883" s="49"/>
      <c r="U883" s="49"/>
      <c r="V883" s="49"/>
      <c r="W883" s="49"/>
      <c r="X883" s="49"/>
      <c r="Y883" s="49"/>
      <c r="Z883" s="49"/>
    </row>
    <row r="884" spans="1:26" ht="13">
      <c r="A884" s="49"/>
      <c r="B884" s="49"/>
      <c r="C884" s="49"/>
      <c r="D884" s="49"/>
      <c r="E884" s="49"/>
      <c r="F884" s="49"/>
      <c r="G884" s="49"/>
      <c r="H884" s="49"/>
      <c r="I884" s="49"/>
      <c r="J884" s="49"/>
      <c r="K884" s="49"/>
      <c r="L884" s="49"/>
      <c r="M884" s="49"/>
      <c r="N884" s="49"/>
      <c r="O884" s="49"/>
      <c r="P884" s="49"/>
      <c r="Q884" s="49"/>
      <c r="R884" s="49"/>
      <c r="S884" s="49"/>
      <c r="T884" s="49"/>
      <c r="U884" s="49"/>
      <c r="V884" s="49"/>
      <c r="W884" s="49"/>
      <c r="X884" s="49"/>
      <c r="Y884" s="49"/>
      <c r="Z884" s="49"/>
    </row>
    <row r="885" spans="1:26" ht="13">
      <c r="A885" s="49"/>
      <c r="B885" s="49"/>
      <c r="C885" s="49"/>
      <c r="D885" s="49"/>
      <c r="E885" s="49"/>
      <c r="F885" s="49"/>
      <c r="G885" s="49"/>
      <c r="H885" s="49"/>
      <c r="I885" s="49"/>
      <c r="J885" s="49"/>
      <c r="K885" s="49"/>
      <c r="L885" s="49"/>
      <c r="M885" s="49"/>
      <c r="N885" s="49"/>
      <c r="O885" s="49"/>
      <c r="P885" s="49"/>
      <c r="Q885" s="49"/>
      <c r="R885" s="49"/>
      <c r="S885" s="49"/>
      <c r="T885" s="49"/>
      <c r="U885" s="49"/>
      <c r="V885" s="49"/>
      <c r="W885" s="49"/>
      <c r="X885" s="49"/>
      <c r="Y885" s="49"/>
      <c r="Z885" s="49"/>
    </row>
    <row r="886" spans="1:26" ht="13">
      <c r="A886" s="49"/>
      <c r="B886" s="49"/>
      <c r="C886" s="49"/>
      <c r="D886" s="49"/>
      <c r="E886" s="49"/>
      <c r="F886" s="49"/>
      <c r="G886" s="49"/>
      <c r="H886" s="49"/>
      <c r="I886" s="49"/>
      <c r="J886" s="49"/>
      <c r="K886" s="49"/>
      <c r="L886" s="49"/>
      <c r="M886" s="49"/>
      <c r="N886" s="49"/>
      <c r="O886" s="49"/>
      <c r="P886" s="49"/>
      <c r="Q886" s="49"/>
      <c r="R886" s="49"/>
      <c r="S886" s="49"/>
      <c r="T886" s="49"/>
      <c r="U886" s="49"/>
      <c r="V886" s="49"/>
      <c r="W886" s="49"/>
      <c r="X886" s="49"/>
      <c r="Y886" s="49"/>
      <c r="Z886" s="49"/>
    </row>
    <row r="887" spans="1:26" ht="13">
      <c r="A887" s="49"/>
      <c r="B887" s="49"/>
      <c r="C887" s="49"/>
      <c r="D887" s="49"/>
      <c r="E887" s="49"/>
      <c r="F887" s="49"/>
      <c r="G887" s="49"/>
      <c r="H887" s="49"/>
      <c r="I887" s="49"/>
      <c r="J887" s="49"/>
      <c r="K887" s="49"/>
      <c r="L887" s="49"/>
      <c r="M887" s="49"/>
      <c r="N887" s="49"/>
      <c r="O887" s="49"/>
      <c r="P887" s="49"/>
      <c r="Q887" s="49"/>
      <c r="R887" s="49"/>
      <c r="S887" s="49"/>
      <c r="T887" s="49"/>
      <c r="U887" s="49"/>
      <c r="V887" s="49"/>
      <c r="W887" s="49"/>
      <c r="X887" s="49"/>
      <c r="Y887" s="49"/>
      <c r="Z887" s="49"/>
    </row>
    <row r="888" spans="1:26" ht="13">
      <c r="A888" s="49"/>
      <c r="B888" s="49"/>
      <c r="C888" s="49"/>
      <c r="D888" s="49"/>
      <c r="E888" s="49"/>
      <c r="F888" s="49"/>
      <c r="G888" s="49"/>
      <c r="H888" s="49"/>
      <c r="I888" s="49"/>
      <c r="J888" s="49"/>
      <c r="K888" s="49"/>
      <c r="L888" s="49"/>
      <c r="M888" s="49"/>
      <c r="N888" s="49"/>
      <c r="O888" s="49"/>
      <c r="P888" s="49"/>
      <c r="Q888" s="49"/>
      <c r="R888" s="49"/>
      <c r="S888" s="49"/>
      <c r="T888" s="49"/>
      <c r="U888" s="49"/>
      <c r="V888" s="49"/>
      <c r="W888" s="49"/>
      <c r="X888" s="49"/>
      <c r="Y888" s="49"/>
      <c r="Z888" s="49"/>
    </row>
    <row r="889" spans="1:26" ht="13">
      <c r="A889" s="49"/>
      <c r="B889" s="49"/>
      <c r="C889" s="49"/>
      <c r="D889" s="49"/>
      <c r="E889" s="49"/>
      <c r="F889" s="49"/>
      <c r="G889" s="49"/>
      <c r="H889" s="49"/>
      <c r="I889" s="49"/>
      <c r="J889" s="49"/>
      <c r="K889" s="49"/>
      <c r="L889" s="49"/>
      <c r="M889" s="49"/>
      <c r="N889" s="49"/>
      <c r="O889" s="49"/>
      <c r="P889" s="49"/>
      <c r="Q889" s="49"/>
      <c r="R889" s="49"/>
      <c r="S889" s="49"/>
      <c r="T889" s="49"/>
      <c r="U889" s="49"/>
      <c r="V889" s="49"/>
      <c r="W889" s="49"/>
      <c r="X889" s="49"/>
      <c r="Y889" s="49"/>
      <c r="Z889" s="49"/>
    </row>
    <row r="890" spans="1:26" ht="13">
      <c r="A890" s="49"/>
      <c r="B890" s="49"/>
      <c r="C890" s="49"/>
      <c r="D890" s="49"/>
      <c r="E890" s="49"/>
      <c r="F890" s="49"/>
      <c r="G890" s="49"/>
      <c r="H890" s="49"/>
      <c r="I890" s="49"/>
      <c r="J890" s="49"/>
      <c r="K890" s="49"/>
      <c r="L890" s="49"/>
      <c r="M890" s="49"/>
      <c r="N890" s="49"/>
      <c r="O890" s="49"/>
      <c r="P890" s="49"/>
      <c r="Q890" s="49"/>
      <c r="R890" s="49"/>
      <c r="S890" s="49"/>
      <c r="T890" s="49"/>
      <c r="U890" s="49"/>
      <c r="V890" s="49"/>
      <c r="W890" s="49"/>
      <c r="X890" s="49"/>
      <c r="Y890" s="49"/>
      <c r="Z890" s="49"/>
    </row>
    <row r="891" spans="1:26" ht="13">
      <c r="A891" s="49"/>
      <c r="B891" s="49"/>
      <c r="C891" s="49"/>
      <c r="D891" s="49"/>
      <c r="E891" s="49"/>
      <c r="F891" s="49"/>
      <c r="G891" s="49"/>
      <c r="H891" s="49"/>
      <c r="I891" s="49"/>
      <c r="J891" s="49"/>
      <c r="K891" s="49"/>
      <c r="L891" s="49"/>
      <c r="M891" s="49"/>
      <c r="N891" s="49"/>
      <c r="O891" s="49"/>
      <c r="P891" s="49"/>
      <c r="Q891" s="49"/>
      <c r="R891" s="49"/>
      <c r="S891" s="49"/>
      <c r="T891" s="49"/>
      <c r="U891" s="49"/>
      <c r="V891" s="49"/>
      <c r="W891" s="49"/>
      <c r="X891" s="49"/>
      <c r="Y891" s="49"/>
      <c r="Z891" s="49"/>
    </row>
    <row r="892" spans="1:26" ht="13">
      <c r="A892" s="49"/>
      <c r="B892" s="49"/>
      <c r="C892" s="49"/>
      <c r="D892" s="49"/>
      <c r="E892" s="49"/>
      <c r="F892" s="49"/>
      <c r="G892" s="49"/>
      <c r="H892" s="49"/>
      <c r="I892" s="49"/>
      <c r="J892" s="49"/>
      <c r="K892" s="49"/>
      <c r="L892" s="49"/>
      <c r="M892" s="49"/>
      <c r="N892" s="49"/>
      <c r="O892" s="49"/>
      <c r="P892" s="49"/>
      <c r="Q892" s="49"/>
      <c r="R892" s="49"/>
      <c r="S892" s="49"/>
      <c r="T892" s="49"/>
      <c r="U892" s="49"/>
      <c r="V892" s="49"/>
      <c r="W892" s="49"/>
      <c r="X892" s="49"/>
      <c r="Y892" s="49"/>
      <c r="Z892" s="49"/>
    </row>
    <row r="893" spans="1:26" ht="13">
      <c r="A893" s="49"/>
      <c r="B893" s="49"/>
      <c r="C893" s="49"/>
      <c r="D893" s="49"/>
      <c r="E893" s="49"/>
      <c r="F893" s="49"/>
      <c r="G893" s="49"/>
      <c r="H893" s="49"/>
      <c r="I893" s="49"/>
      <c r="J893" s="49"/>
      <c r="K893" s="49"/>
      <c r="L893" s="49"/>
      <c r="M893" s="49"/>
      <c r="N893" s="49"/>
      <c r="O893" s="49"/>
      <c r="P893" s="49"/>
      <c r="Q893" s="49"/>
      <c r="R893" s="49"/>
      <c r="S893" s="49"/>
      <c r="T893" s="49"/>
      <c r="U893" s="49"/>
      <c r="V893" s="49"/>
      <c r="W893" s="49"/>
      <c r="X893" s="49"/>
      <c r="Y893" s="49"/>
      <c r="Z893" s="49"/>
    </row>
    <row r="894" spans="1:26" ht="13">
      <c r="A894" s="49"/>
      <c r="B894" s="49"/>
      <c r="C894" s="49"/>
      <c r="D894" s="49"/>
      <c r="E894" s="49"/>
      <c r="F894" s="49"/>
      <c r="G894" s="49"/>
      <c r="H894" s="49"/>
      <c r="I894" s="49"/>
      <c r="J894" s="49"/>
      <c r="K894" s="49"/>
      <c r="L894" s="49"/>
      <c r="M894" s="49"/>
      <c r="N894" s="49"/>
      <c r="O894" s="49"/>
      <c r="P894" s="49"/>
      <c r="Q894" s="49"/>
      <c r="R894" s="49"/>
      <c r="S894" s="49"/>
      <c r="T894" s="49"/>
      <c r="U894" s="49"/>
      <c r="V894" s="49"/>
      <c r="W894" s="49"/>
      <c r="X894" s="49"/>
      <c r="Y894" s="49"/>
      <c r="Z894" s="49"/>
    </row>
    <row r="895" spans="1:26" ht="13">
      <c r="A895" s="49"/>
      <c r="B895" s="49"/>
      <c r="C895" s="49"/>
      <c r="D895" s="49"/>
      <c r="E895" s="49"/>
      <c r="F895" s="49"/>
      <c r="G895" s="49"/>
      <c r="H895" s="49"/>
      <c r="I895" s="49"/>
      <c r="J895" s="49"/>
      <c r="K895" s="49"/>
      <c r="L895" s="49"/>
      <c r="M895" s="49"/>
      <c r="N895" s="49"/>
      <c r="O895" s="49"/>
      <c r="P895" s="49"/>
      <c r="Q895" s="49"/>
      <c r="R895" s="49"/>
      <c r="S895" s="49"/>
      <c r="T895" s="49"/>
      <c r="U895" s="49"/>
      <c r="V895" s="49"/>
      <c r="W895" s="49"/>
      <c r="X895" s="49"/>
      <c r="Y895" s="49"/>
      <c r="Z895" s="49"/>
    </row>
    <row r="896" spans="1:26" ht="13">
      <c r="A896" s="49"/>
      <c r="B896" s="49"/>
      <c r="C896" s="49"/>
      <c r="D896" s="49"/>
      <c r="E896" s="49"/>
      <c r="F896" s="49"/>
      <c r="G896" s="49"/>
      <c r="H896" s="49"/>
      <c r="I896" s="49"/>
      <c r="J896" s="49"/>
      <c r="K896" s="49"/>
      <c r="L896" s="49"/>
      <c r="M896" s="49"/>
      <c r="N896" s="49"/>
      <c r="O896" s="49"/>
      <c r="P896" s="49"/>
      <c r="Q896" s="49"/>
      <c r="R896" s="49"/>
      <c r="S896" s="49"/>
      <c r="T896" s="49"/>
      <c r="U896" s="49"/>
      <c r="V896" s="49"/>
      <c r="W896" s="49"/>
      <c r="X896" s="49"/>
      <c r="Y896" s="49"/>
      <c r="Z896" s="49"/>
    </row>
    <row r="897" spans="1:26" ht="13">
      <c r="A897" s="49"/>
      <c r="B897" s="49"/>
      <c r="C897" s="49"/>
      <c r="D897" s="49"/>
      <c r="E897" s="49"/>
      <c r="F897" s="49"/>
      <c r="G897" s="49"/>
      <c r="H897" s="49"/>
      <c r="I897" s="49"/>
      <c r="J897" s="49"/>
      <c r="K897" s="49"/>
      <c r="L897" s="49"/>
      <c r="M897" s="49"/>
      <c r="N897" s="49"/>
      <c r="O897" s="49"/>
      <c r="P897" s="49"/>
      <c r="Q897" s="49"/>
      <c r="R897" s="49"/>
      <c r="S897" s="49"/>
      <c r="T897" s="49"/>
      <c r="U897" s="49"/>
      <c r="V897" s="49"/>
      <c r="W897" s="49"/>
      <c r="X897" s="49"/>
      <c r="Y897" s="49"/>
      <c r="Z897" s="49"/>
    </row>
    <row r="898" spans="1:26" ht="13">
      <c r="A898" s="49"/>
      <c r="B898" s="49"/>
      <c r="C898" s="49"/>
      <c r="D898" s="49"/>
      <c r="E898" s="49"/>
      <c r="F898" s="49"/>
      <c r="G898" s="49"/>
      <c r="H898" s="49"/>
      <c r="I898" s="49"/>
      <c r="J898" s="49"/>
      <c r="K898" s="49"/>
      <c r="L898" s="49"/>
      <c r="M898" s="49"/>
      <c r="N898" s="49"/>
      <c r="O898" s="49"/>
      <c r="P898" s="49"/>
      <c r="Q898" s="49"/>
      <c r="R898" s="49"/>
      <c r="S898" s="49"/>
      <c r="T898" s="49"/>
      <c r="U898" s="49"/>
      <c r="V898" s="49"/>
      <c r="W898" s="49"/>
      <c r="X898" s="49"/>
      <c r="Y898" s="49"/>
      <c r="Z898" s="49"/>
    </row>
    <row r="899" spans="1:26" ht="13">
      <c r="A899" s="49"/>
      <c r="B899" s="49"/>
      <c r="C899" s="49"/>
      <c r="D899" s="49"/>
      <c r="E899" s="49"/>
      <c r="F899" s="49"/>
      <c r="G899" s="49"/>
      <c r="H899" s="49"/>
      <c r="I899" s="49"/>
      <c r="J899" s="49"/>
      <c r="K899" s="49"/>
      <c r="L899" s="49"/>
      <c r="M899" s="49"/>
      <c r="N899" s="49"/>
      <c r="O899" s="49"/>
      <c r="P899" s="49"/>
      <c r="Q899" s="49"/>
      <c r="R899" s="49"/>
      <c r="S899" s="49"/>
      <c r="T899" s="49"/>
      <c r="U899" s="49"/>
      <c r="V899" s="49"/>
      <c r="W899" s="49"/>
      <c r="X899" s="49"/>
      <c r="Y899" s="49"/>
      <c r="Z899" s="49"/>
    </row>
    <row r="900" spans="1:26" ht="13">
      <c r="A900" s="49"/>
      <c r="B900" s="49"/>
      <c r="C900" s="49"/>
      <c r="D900" s="49"/>
      <c r="E900" s="49"/>
      <c r="F900" s="49"/>
      <c r="G900" s="49"/>
      <c r="H900" s="49"/>
      <c r="I900" s="49"/>
      <c r="J900" s="49"/>
      <c r="K900" s="49"/>
      <c r="L900" s="49"/>
      <c r="M900" s="49"/>
      <c r="N900" s="49"/>
      <c r="O900" s="49"/>
      <c r="P900" s="49"/>
      <c r="Q900" s="49"/>
      <c r="R900" s="49"/>
      <c r="S900" s="49"/>
      <c r="T900" s="49"/>
      <c r="U900" s="49"/>
      <c r="V900" s="49"/>
      <c r="W900" s="49"/>
      <c r="X900" s="49"/>
      <c r="Y900" s="49"/>
      <c r="Z900" s="49"/>
    </row>
    <row r="901" spans="1:26" ht="13">
      <c r="A901" s="49"/>
      <c r="B901" s="49"/>
      <c r="C901" s="49"/>
      <c r="D901" s="49"/>
      <c r="E901" s="49"/>
      <c r="F901" s="49"/>
      <c r="G901" s="49"/>
      <c r="H901" s="49"/>
      <c r="I901" s="49"/>
      <c r="J901" s="49"/>
      <c r="K901" s="49"/>
      <c r="L901" s="49"/>
      <c r="M901" s="49"/>
      <c r="N901" s="49"/>
      <c r="O901" s="49"/>
      <c r="P901" s="49"/>
      <c r="Q901" s="49"/>
      <c r="R901" s="49"/>
      <c r="S901" s="49"/>
      <c r="T901" s="49"/>
      <c r="U901" s="49"/>
      <c r="V901" s="49"/>
      <c r="W901" s="49"/>
      <c r="X901" s="49"/>
      <c r="Y901" s="49"/>
      <c r="Z901" s="49"/>
    </row>
    <row r="902" spans="1:26" ht="13">
      <c r="A902" s="49"/>
      <c r="B902" s="49"/>
      <c r="C902" s="49"/>
      <c r="D902" s="49"/>
      <c r="E902" s="49"/>
      <c r="F902" s="49"/>
      <c r="G902" s="49"/>
      <c r="H902" s="49"/>
      <c r="I902" s="49"/>
      <c r="J902" s="49"/>
      <c r="K902" s="49"/>
      <c r="L902" s="49"/>
      <c r="M902" s="49"/>
      <c r="N902" s="49"/>
      <c r="O902" s="49"/>
      <c r="P902" s="49"/>
      <c r="Q902" s="49"/>
      <c r="R902" s="49"/>
      <c r="S902" s="49"/>
      <c r="T902" s="49"/>
      <c r="U902" s="49"/>
      <c r="V902" s="49"/>
      <c r="W902" s="49"/>
      <c r="X902" s="49"/>
      <c r="Y902" s="49"/>
      <c r="Z902" s="49"/>
    </row>
    <row r="903" spans="1:26" ht="13">
      <c r="A903" s="49"/>
      <c r="B903" s="49"/>
      <c r="C903" s="49"/>
      <c r="D903" s="49"/>
      <c r="E903" s="49"/>
      <c r="F903" s="49"/>
      <c r="G903" s="49"/>
      <c r="H903" s="49"/>
      <c r="I903" s="49"/>
      <c r="J903" s="49"/>
      <c r="K903" s="49"/>
      <c r="L903" s="49"/>
      <c r="M903" s="49"/>
      <c r="N903" s="49"/>
      <c r="O903" s="49"/>
      <c r="P903" s="49"/>
      <c r="Q903" s="49"/>
      <c r="R903" s="49"/>
      <c r="S903" s="49"/>
      <c r="T903" s="49"/>
      <c r="U903" s="49"/>
      <c r="V903" s="49"/>
      <c r="W903" s="49"/>
      <c r="X903" s="49"/>
      <c r="Y903" s="49"/>
      <c r="Z903" s="49"/>
    </row>
    <row r="904" spans="1:26" ht="13">
      <c r="A904" s="49"/>
      <c r="B904" s="49"/>
      <c r="C904" s="49"/>
      <c r="D904" s="49"/>
      <c r="E904" s="49"/>
      <c r="F904" s="49"/>
      <c r="G904" s="49"/>
      <c r="H904" s="49"/>
      <c r="I904" s="49"/>
      <c r="J904" s="49"/>
      <c r="K904" s="49"/>
      <c r="L904" s="49"/>
      <c r="M904" s="49"/>
      <c r="N904" s="49"/>
      <c r="O904" s="49"/>
      <c r="P904" s="49"/>
      <c r="Q904" s="49"/>
      <c r="R904" s="49"/>
      <c r="S904" s="49"/>
      <c r="T904" s="49"/>
      <c r="U904" s="49"/>
      <c r="V904" s="49"/>
      <c r="W904" s="49"/>
      <c r="X904" s="49"/>
      <c r="Y904" s="49"/>
      <c r="Z904" s="49"/>
    </row>
    <row r="905" spans="1:26" ht="13">
      <c r="A905" s="49"/>
      <c r="B905" s="49"/>
      <c r="C905" s="49"/>
      <c r="D905" s="49"/>
      <c r="E905" s="49"/>
      <c r="F905" s="49"/>
      <c r="G905" s="49"/>
      <c r="H905" s="49"/>
      <c r="I905" s="49"/>
      <c r="J905" s="49"/>
      <c r="K905" s="49"/>
      <c r="L905" s="49"/>
      <c r="M905" s="49"/>
      <c r="N905" s="49"/>
      <c r="O905" s="49"/>
      <c r="P905" s="49"/>
      <c r="Q905" s="49"/>
      <c r="R905" s="49"/>
      <c r="S905" s="49"/>
      <c r="T905" s="49"/>
      <c r="U905" s="49"/>
      <c r="V905" s="49"/>
      <c r="W905" s="49"/>
      <c r="X905" s="49"/>
      <c r="Y905" s="49"/>
      <c r="Z905" s="49"/>
    </row>
    <row r="906" spans="1:26" ht="13">
      <c r="A906" s="49"/>
      <c r="B906" s="49"/>
      <c r="C906" s="49"/>
      <c r="D906" s="49"/>
      <c r="E906" s="49"/>
      <c r="F906" s="49"/>
      <c r="G906" s="49"/>
      <c r="H906" s="49"/>
      <c r="I906" s="49"/>
      <c r="J906" s="49"/>
      <c r="K906" s="49"/>
      <c r="L906" s="49"/>
      <c r="M906" s="49"/>
      <c r="N906" s="49"/>
      <c r="O906" s="49"/>
      <c r="P906" s="49"/>
      <c r="Q906" s="49"/>
      <c r="R906" s="49"/>
      <c r="S906" s="49"/>
      <c r="T906" s="49"/>
      <c r="U906" s="49"/>
      <c r="V906" s="49"/>
      <c r="W906" s="49"/>
      <c r="X906" s="49"/>
      <c r="Y906" s="49"/>
      <c r="Z906" s="49"/>
    </row>
    <row r="907" spans="1:26" ht="13">
      <c r="A907" s="49"/>
      <c r="B907" s="49"/>
      <c r="C907" s="49"/>
      <c r="D907" s="49"/>
      <c r="E907" s="49"/>
      <c r="F907" s="49"/>
      <c r="G907" s="49"/>
      <c r="H907" s="49"/>
      <c r="I907" s="49"/>
      <c r="J907" s="49"/>
      <c r="K907" s="49"/>
      <c r="L907" s="49"/>
      <c r="M907" s="49"/>
      <c r="N907" s="49"/>
      <c r="O907" s="49"/>
      <c r="P907" s="49"/>
      <c r="Q907" s="49"/>
      <c r="R907" s="49"/>
      <c r="S907" s="49"/>
      <c r="T907" s="49"/>
      <c r="U907" s="49"/>
      <c r="V907" s="49"/>
      <c r="W907" s="49"/>
      <c r="X907" s="49"/>
      <c r="Y907" s="49"/>
      <c r="Z907" s="49"/>
    </row>
    <row r="908" spans="1:26" ht="13">
      <c r="A908" s="49"/>
      <c r="B908" s="49"/>
      <c r="C908" s="49"/>
      <c r="D908" s="49"/>
      <c r="E908" s="49"/>
      <c r="F908" s="49"/>
      <c r="G908" s="49"/>
      <c r="H908" s="49"/>
      <c r="I908" s="49"/>
      <c r="J908" s="49"/>
      <c r="K908" s="49"/>
      <c r="L908" s="49"/>
      <c r="M908" s="49"/>
      <c r="N908" s="49"/>
      <c r="O908" s="49"/>
      <c r="P908" s="49"/>
      <c r="Q908" s="49"/>
      <c r="R908" s="49"/>
      <c r="S908" s="49"/>
      <c r="T908" s="49"/>
      <c r="U908" s="49"/>
      <c r="V908" s="49"/>
      <c r="W908" s="49"/>
      <c r="X908" s="49"/>
      <c r="Y908" s="49"/>
      <c r="Z908" s="49"/>
    </row>
    <row r="909" spans="1:26" ht="13">
      <c r="A909" s="49"/>
      <c r="B909" s="49"/>
      <c r="C909" s="49"/>
      <c r="D909" s="49"/>
      <c r="E909" s="49"/>
      <c r="F909" s="49"/>
      <c r="G909" s="49"/>
      <c r="H909" s="49"/>
      <c r="I909" s="49"/>
      <c r="J909" s="49"/>
      <c r="K909" s="49"/>
      <c r="L909" s="49"/>
      <c r="M909" s="49"/>
      <c r="N909" s="49"/>
      <c r="O909" s="49"/>
      <c r="P909" s="49"/>
      <c r="Q909" s="49"/>
      <c r="R909" s="49"/>
      <c r="S909" s="49"/>
      <c r="T909" s="49"/>
      <c r="U909" s="49"/>
      <c r="V909" s="49"/>
      <c r="W909" s="49"/>
      <c r="X909" s="49"/>
      <c r="Y909" s="49"/>
      <c r="Z909" s="49"/>
    </row>
    <row r="910" spans="1:26" ht="13">
      <c r="A910" s="49"/>
      <c r="B910" s="49"/>
      <c r="C910" s="49"/>
      <c r="D910" s="49"/>
      <c r="E910" s="49"/>
      <c r="F910" s="49"/>
      <c r="G910" s="49"/>
      <c r="H910" s="49"/>
      <c r="I910" s="49"/>
      <c r="J910" s="49"/>
      <c r="K910" s="49"/>
      <c r="L910" s="49"/>
      <c r="M910" s="49"/>
      <c r="N910" s="49"/>
      <c r="O910" s="49"/>
      <c r="P910" s="49"/>
      <c r="Q910" s="49"/>
      <c r="R910" s="49"/>
      <c r="S910" s="49"/>
      <c r="T910" s="49"/>
      <c r="U910" s="49"/>
      <c r="V910" s="49"/>
      <c r="W910" s="49"/>
      <c r="X910" s="49"/>
      <c r="Y910" s="49"/>
      <c r="Z910" s="49"/>
    </row>
    <row r="911" spans="1:26" ht="13">
      <c r="A911" s="49"/>
      <c r="B911" s="49"/>
      <c r="C911" s="49"/>
      <c r="D911" s="49"/>
      <c r="E911" s="49"/>
      <c r="F911" s="49"/>
      <c r="G911" s="49"/>
      <c r="H911" s="49"/>
      <c r="I911" s="49"/>
      <c r="J911" s="49"/>
      <c r="K911" s="49"/>
      <c r="L911" s="49"/>
      <c r="M911" s="49"/>
      <c r="N911" s="49"/>
      <c r="O911" s="49"/>
      <c r="P911" s="49"/>
      <c r="Q911" s="49"/>
      <c r="R911" s="49"/>
      <c r="S911" s="49"/>
      <c r="T911" s="49"/>
      <c r="U911" s="49"/>
      <c r="V911" s="49"/>
      <c r="W911" s="49"/>
      <c r="X911" s="49"/>
      <c r="Y911" s="49"/>
      <c r="Z911" s="49"/>
    </row>
    <row r="912" spans="1:26" ht="13">
      <c r="A912" s="49"/>
      <c r="B912" s="49"/>
      <c r="C912" s="49"/>
      <c r="D912" s="49"/>
      <c r="E912" s="49"/>
      <c r="F912" s="49"/>
      <c r="G912" s="49"/>
      <c r="H912" s="49"/>
      <c r="I912" s="49"/>
      <c r="J912" s="49"/>
      <c r="K912" s="49"/>
      <c r="L912" s="49"/>
      <c r="M912" s="49"/>
      <c r="N912" s="49"/>
      <c r="O912" s="49"/>
      <c r="P912" s="49"/>
      <c r="Q912" s="49"/>
      <c r="R912" s="49"/>
      <c r="S912" s="49"/>
      <c r="T912" s="49"/>
      <c r="U912" s="49"/>
      <c r="V912" s="49"/>
      <c r="W912" s="49"/>
      <c r="X912" s="49"/>
      <c r="Y912" s="49"/>
      <c r="Z912" s="49"/>
    </row>
    <row r="913" spans="1:26" ht="13">
      <c r="A913" s="49"/>
      <c r="B913" s="49"/>
      <c r="C913" s="49"/>
      <c r="D913" s="49"/>
      <c r="E913" s="49"/>
      <c r="F913" s="49"/>
      <c r="G913" s="49"/>
      <c r="H913" s="49"/>
      <c r="I913" s="49"/>
      <c r="J913" s="49"/>
      <c r="K913" s="49"/>
      <c r="L913" s="49"/>
      <c r="M913" s="49"/>
      <c r="N913" s="49"/>
      <c r="O913" s="49"/>
      <c r="P913" s="49"/>
      <c r="Q913" s="49"/>
      <c r="R913" s="49"/>
      <c r="S913" s="49"/>
      <c r="T913" s="49"/>
      <c r="U913" s="49"/>
      <c r="V913" s="49"/>
      <c r="W913" s="49"/>
      <c r="X913" s="49"/>
      <c r="Y913" s="49"/>
      <c r="Z913" s="49"/>
    </row>
    <row r="914" spans="1:26" ht="13">
      <c r="A914" s="49"/>
      <c r="B914" s="49"/>
      <c r="C914" s="49"/>
      <c r="D914" s="49"/>
      <c r="E914" s="49"/>
      <c r="F914" s="49"/>
      <c r="G914" s="49"/>
      <c r="H914" s="49"/>
      <c r="I914" s="49"/>
      <c r="J914" s="49"/>
      <c r="K914" s="49"/>
      <c r="L914" s="49"/>
      <c r="M914" s="49"/>
      <c r="N914" s="49"/>
      <c r="O914" s="49"/>
      <c r="P914" s="49"/>
      <c r="Q914" s="49"/>
      <c r="R914" s="49"/>
      <c r="S914" s="49"/>
      <c r="T914" s="49"/>
      <c r="U914" s="49"/>
      <c r="V914" s="49"/>
      <c r="W914" s="49"/>
      <c r="X914" s="49"/>
      <c r="Y914" s="49"/>
      <c r="Z914" s="49"/>
    </row>
    <row r="915" spans="1:26" ht="13">
      <c r="A915" s="49"/>
      <c r="B915" s="49"/>
      <c r="C915" s="49"/>
      <c r="D915" s="49"/>
      <c r="E915" s="49"/>
      <c r="F915" s="49"/>
      <c r="G915" s="49"/>
      <c r="H915" s="49"/>
      <c r="I915" s="49"/>
      <c r="J915" s="49"/>
      <c r="K915" s="49"/>
      <c r="L915" s="49"/>
      <c r="M915" s="49"/>
      <c r="N915" s="49"/>
      <c r="O915" s="49"/>
      <c r="P915" s="49"/>
      <c r="Q915" s="49"/>
      <c r="R915" s="49"/>
      <c r="S915" s="49"/>
      <c r="T915" s="49"/>
      <c r="U915" s="49"/>
      <c r="V915" s="49"/>
      <c r="W915" s="49"/>
      <c r="X915" s="49"/>
      <c r="Y915" s="49"/>
      <c r="Z915" s="49"/>
    </row>
    <row r="916" spans="1:26" ht="13">
      <c r="A916" s="49"/>
      <c r="B916" s="49"/>
      <c r="C916" s="49"/>
      <c r="D916" s="49"/>
      <c r="E916" s="49"/>
      <c r="F916" s="49"/>
      <c r="G916" s="49"/>
      <c r="H916" s="49"/>
      <c r="I916" s="49"/>
      <c r="J916" s="49"/>
      <c r="K916" s="49"/>
      <c r="L916" s="49"/>
      <c r="M916" s="49"/>
      <c r="N916" s="49"/>
      <c r="O916" s="49"/>
      <c r="P916" s="49"/>
      <c r="Q916" s="49"/>
      <c r="R916" s="49"/>
      <c r="S916" s="49"/>
      <c r="T916" s="49"/>
      <c r="U916" s="49"/>
      <c r="V916" s="49"/>
      <c r="W916" s="49"/>
      <c r="X916" s="49"/>
      <c r="Y916" s="49"/>
      <c r="Z916" s="49"/>
    </row>
    <row r="917" spans="1:26" ht="13">
      <c r="A917" s="49"/>
      <c r="B917" s="49"/>
      <c r="C917" s="49"/>
      <c r="D917" s="49"/>
      <c r="E917" s="49"/>
      <c r="F917" s="49"/>
      <c r="G917" s="49"/>
      <c r="H917" s="49"/>
      <c r="I917" s="49"/>
      <c r="J917" s="49"/>
      <c r="K917" s="49"/>
      <c r="L917" s="49"/>
      <c r="M917" s="49"/>
      <c r="N917" s="49"/>
      <c r="O917" s="49"/>
      <c r="P917" s="49"/>
      <c r="Q917" s="49"/>
      <c r="R917" s="49"/>
      <c r="S917" s="49"/>
      <c r="T917" s="49"/>
      <c r="U917" s="49"/>
      <c r="V917" s="49"/>
      <c r="W917" s="49"/>
      <c r="X917" s="49"/>
      <c r="Y917" s="49"/>
      <c r="Z917" s="49"/>
    </row>
    <row r="918" spans="1:26" ht="13">
      <c r="A918" s="49"/>
      <c r="B918" s="49"/>
      <c r="C918" s="49"/>
      <c r="D918" s="49"/>
      <c r="E918" s="49"/>
      <c r="F918" s="49"/>
      <c r="G918" s="49"/>
      <c r="H918" s="49"/>
      <c r="I918" s="49"/>
      <c r="J918" s="49"/>
      <c r="K918" s="49"/>
      <c r="L918" s="49"/>
      <c r="M918" s="49"/>
      <c r="N918" s="49"/>
      <c r="O918" s="49"/>
      <c r="P918" s="49"/>
      <c r="Q918" s="49"/>
      <c r="R918" s="49"/>
      <c r="S918" s="49"/>
      <c r="T918" s="49"/>
      <c r="U918" s="49"/>
      <c r="V918" s="49"/>
      <c r="W918" s="49"/>
      <c r="X918" s="49"/>
      <c r="Y918" s="49"/>
      <c r="Z918" s="49"/>
    </row>
    <row r="919" spans="1:26" ht="13">
      <c r="A919" s="49"/>
      <c r="B919" s="49"/>
      <c r="C919" s="49"/>
      <c r="D919" s="49"/>
      <c r="E919" s="49"/>
      <c r="F919" s="49"/>
      <c r="G919" s="49"/>
      <c r="H919" s="49"/>
      <c r="I919" s="49"/>
      <c r="J919" s="49"/>
      <c r="K919" s="49"/>
      <c r="L919" s="49"/>
      <c r="M919" s="49"/>
      <c r="N919" s="49"/>
      <c r="O919" s="49"/>
      <c r="P919" s="49"/>
      <c r="Q919" s="49"/>
      <c r="R919" s="49"/>
      <c r="S919" s="49"/>
      <c r="T919" s="49"/>
      <c r="U919" s="49"/>
      <c r="V919" s="49"/>
      <c r="W919" s="49"/>
      <c r="X919" s="49"/>
      <c r="Y919" s="49"/>
      <c r="Z919" s="49"/>
    </row>
    <row r="920" spans="1:26" ht="13">
      <c r="A920" s="49"/>
      <c r="B920" s="49"/>
      <c r="C920" s="49"/>
      <c r="D920" s="49"/>
      <c r="E920" s="49"/>
      <c r="F920" s="49"/>
      <c r="G920" s="49"/>
      <c r="H920" s="49"/>
      <c r="I920" s="49"/>
      <c r="J920" s="49"/>
      <c r="K920" s="49"/>
      <c r="L920" s="49"/>
      <c r="M920" s="49"/>
      <c r="N920" s="49"/>
      <c r="O920" s="49"/>
      <c r="P920" s="49"/>
      <c r="Q920" s="49"/>
      <c r="R920" s="49"/>
      <c r="S920" s="49"/>
      <c r="T920" s="49"/>
      <c r="U920" s="49"/>
      <c r="V920" s="49"/>
      <c r="W920" s="49"/>
      <c r="X920" s="49"/>
      <c r="Y920" s="49"/>
      <c r="Z920" s="49"/>
    </row>
    <row r="921" spans="1:26" ht="13">
      <c r="A921" s="49"/>
      <c r="B921" s="49"/>
      <c r="C921" s="49"/>
      <c r="D921" s="49"/>
      <c r="E921" s="49"/>
      <c r="F921" s="49"/>
      <c r="G921" s="49"/>
      <c r="H921" s="49"/>
      <c r="I921" s="49"/>
      <c r="J921" s="49"/>
      <c r="K921" s="49"/>
      <c r="L921" s="49"/>
      <c r="M921" s="49"/>
      <c r="N921" s="49"/>
      <c r="O921" s="49"/>
      <c r="P921" s="49"/>
      <c r="Q921" s="49"/>
      <c r="R921" s="49"/>
      <c r="S921" s="49"/>
      <c r="T921" s="49"/>
      <c r="U921" s="49"/>
      <c r="V921" s="49"/>
      <c r="W921" s="49"/>
      <c r="X921" s="49"/>
      <c r="Y921" s="49"/>
      <c r="Z921" s="49"/>
    </row>
    <row r="922" spans="1:26" ht="13">
      <c r="A922" s="49"/>
      <c r="B922" s="49"/>
      <c r="C922" s="49"/>
      <c r="D922" s="49"/>
      <c r="E922" s="49"/>
      <c r="F922" s="49"/>
      <c r="G922" s="49"/>
      <c r="H922" s="49"/>
      <c r="I922" s="49"/>
      <c r="J922" s="49"/>
      <c r="K922" s="49"/>
      <c r="L922" s="49"/>
      <c r="M922" s="49"/>
      <c r="N922" s="49"/>
      <c r="O922" s="49"/>
      <c r="P922" s="49"/>
      <c r="Q922" s="49"/>
      <c r="R922" s="49"/>
      <c r="S922" s="49"/>
      <c r="T922" s="49"/>
      <c r="U922" s="49"/>
      <c r="V922" s="49"/>
      <c r="W922" s="49"/>
      <c r="X922" s="49"/>
      <c r="Y922" s="49"/>
      <c r="Z922" s="49"/>
    </row>
    <row r="923" spans="1:26" ht="13">
      <c r="A923" s="49"/>
      <c r="B923" s="49"/>
      <c r="C923" s="49"/>
      <c r="D923" s="49"/>
      <c r="E923" s="49"/>
      <c r="F923" s="49"/>
      <c r="G923" s="49"/>
      <c r="H923" s="49"/>
      <c r="I923" s="49"/>
      <c r="J923" s="49"/>
      <c r="K923" s="49"/>
      <c r="L923" s="49"/>
      <c r="M923" s="49"/>
      <c r="N923" s="49"/>
      <c r="O923" s="49"/>
      <c r="P923" s="49"/>
      <c r="Q923" s="49"/>
      <c r="R923" s="49"/>
      <c r="S923" s="49"/>
      <c r="T923" s="49"/>
      <c r="U923" s="49"/>
      <c r="V923" s="49"/>
      <c r="W923" s="49"/>
      <c r="X923" s="49"/>
      <c r="Y923" s="49"/>
      <c r="Z923" s="49"/>
    </row>
    <row r="924" spans="1:26" ht="13">
      <c r="A924" s="49"/>
      <c r="B924" s="49"/>
      <c r="C924" s="49"/>
      <c r="D924" s="49"/>
      <c r="E924" s="49"/>
      <c r="F924" s="49"/>
      <c r="G924" s="49"/>
      <c r="H924" s="49"/>
      <c r="I924" s="49"/>
      <c r="J924" s="49"/>
      <c r="K924" s="49"/>
      <c r="L924" s="49"/>
      <c r="M924" s="49"/>
      <c r="N924" s="49"/>
      <c r="O924" s="49"/>
      <c r="P924" s="49"/>
      <c r="Q924" s="49"/>
      <c r="R924" s="49"/>
      <c r="S924" s="49"/>
      <c r="T924" s="49"/>
      <c r="U924" s="49"/>
      <c r="V924" s="49"/>
      <c r="W924" s="49"/>
      <c r="X924" s="49"/>
      <c r="Y924" s="49"/>
      <c r="Z924" s="49"/>
    </row>
    <row r="925" spans="1:26" ht="13">
      <c r="A925" s="49"/>
      <c r="B925" s="49"/>
      <c r="C925" s="49"/>
      <c r="D925" s="49"/>
      <c r="E925" s="49"/>
      <c r="F925" s="49"/>
      <c r="G925" s="49"/>
      <c r="H925" s="49"/>
      <c r="I925" s="49"/>
      <c r="J925" s="49"/>
      <c r="K925" s="49"/>
      <c r="L925" s="49"/>
      <c r="M925" s="49"/>
      <c r="N925" s="49"/>
      <c r="O925" s="49"/>
      <c r="P925" s="49"/>
      <c r="Q925" s="49"/>
      <c r="R925" s="49"/>
      <c r="S925" s="49"/>
      <c r="T925" s="49"/>
      <c r="U925" s="49"/>
      <c r="V925" s="49"/>
      <c r="W925" s="49"/>
      <c r="X925" s="49"/>
      <c r="Y925" s="49"/>
      <c r="Z925" s="49"/>
    </row>
    <row r="926" spans="1:26" ht="13">
      <c r="A926" s="49"/>
      <c r="B926" s="49"/>
      <c r="C926" s="49"/>
      <c r="D926" s="49"/>
      <c r="E926" s="49"/>
      <c r="F926" s="49"/>
      <c r="G926" s="49"/>
      <c r="H926" s="49"/>
      <c r="I926" s="49"/>
      <c r="J926" s="49"/>
      <c r="K926" s="49"/>
      <c r="L926" s="49"/>
      <c r="M926" s="49"/>
      <c r="N926" s="49"/>
      <c r="O926" s="49"/>
      <c r="P926" s="49"/>
      <c r="Q926" s="49"/>
      <c r="R926" s="49"/>
      <c r="S926" s="49"/>
      <c r="T926" s="49"/>
      <c r="U926" s="49"/>
      <c r="V926" s="49"/>
      <c r="W926" s="49"/>
      <c r="X926" s="49"/>
      <c r="Y926" s="49"/>
      <c r="Z926" s="49"/>
    </row>
    <row r="927" spans="1:26" ht="13">
      <c r="A927" s="49"/>
      <c r="B927" s="49"/>
      <c r="C927" s="49"/>
      <c r="D927" s="49"/>
      <c r="E927" s="49"/>
      <c r="F927" s="49"/>
      <c r="G927" s="49"/>
      <c r="H927" s="49"/>
      <c r="I927" s="49"/>
      <c r="J927" s="49"/>
      <c r="K927" s="49"/>
      <c r="L927" s="49"/>
      <c r="M927" s="49"/>
      <c r="N927" s="49"/>
      <c r="O927" s="49"/>
      <c r="P927" s="49"/>
      <c r="Q927" s="49"/>
      <c r="R927" s="49"/>
      <c r="S927" s="49"/>
      <c r="T927" s="49"/>
      <c r="U927" s="49"/>
      <c r="V927" s="49"/>
      <c r="W927" s="49"/>
      <c r="X927" s="49"/>
      <c r="Y927" s="49"/>
      <c r="Z927" s="49"/>
    </row>
    <row r="928" spans="1:26" ht="13">
      <c r="A928" s="49"/>
      <c r="B928" s="49"/>
      <c r="C928" s="49"/>
      <c r="D928" s="49"/>
      <c r="E928" s="49"/>
      <c r="F928" s="49"/>
      <c r="G928" s="49"/>
      <c r="H928" s="49"/>
      <c r="I928" s="49"/>
      <c r="J928" s="49"/>
      <c r="K928" s="49"/>
      <c r="L928" s="49"/>
      <c r="M928" s="49"/>
      <c r="N928" s="49"/>
      <c r="O928" s="49"/>
      <c r="P928" s="49"/>
      <c r="Q928" s="49"/>
      <c r="R928" s="49"/>
      <c r="S928" s="49"/>
      <c r="T928" s="49"/>
      <c r="U928" s="49"/>
      <c r="V928" s="49"/>
      <c r="W928" s="49"/>
      <c r="X928" s="49"/>
      <c r="Y928" s="49"/>
      <c r="Z928" s="49"/>
    </row>
    <row r="929" spans="1:26" ht="13">
      <c r="A929" s="49"/>
      <c r="B929" s="49"/>
      <c r="C929" s="49"/>
      <c r="D929" s="49"/>
      <c r="E929" s="49"/>
      <c r="F929" s="49"/>
      <c r="G929" s="49"/>
      <c r="H929" s="49"/>
      <c r="I929" s="49"/>
      <c r="J929" s="49"/>
      <c r="K929" s="49"/>
      <c r="L929" s="49"/>
      <c r="M929" s="49"/>
      <c r="N929" s="49"/>
      <c r="O929" s="49"/>
      <c r="P929" s="49"/>
      <c r="Q929" s="49"/>
      <c r="R929" s="49"/>
      <c r="S929" s="49"/>
      <c r="T929" s="49"/>
      <c r="U929" s="49"/>
      <c r="V929" s="49"/>
      <c r="W929" s="49"/>
      <c r="X929" s="49"/>
      <c r="Y929" s="49"/>
      <c r="Z929" s="49"/>
    </row>
    <row r="930" spans="1:26" ht="13">
      <c r="A930" s="49"/>
      <c r="B930" s="49"/>
      <c r="C930" s="49"/>
      <c r="D930" s="49"/>
      <c r="E930" s="49"/>
      <c r="F930" s="49"/>
      <c r="G930" s="49"/>
      <c r="H930" s="49"/>
      <c r="I930" s="49"/>
      <c r="J930" s="49"/>
      <c r="K930" s="49"/>
      <c r="L930" s="49"/>
      <c r="M930" s="49"/>
      <c r="N930" s="49"/>
      <c r="O930" s="49"/>
      <c r="P930" s="49"/>
      <c r="Q930" s="49"/>
      <c r="R930" s="49"/>
      <c r="S930" s="49"/>
      <c r="T930" s="49"/>
      <c r="U930" s="49"/>
      <c r="V930" s="49"/>
      <c r="W930" s="49"/>
      <c r="X930" s="49"/>
      <c r="Y930" s="49"/>
      <c r="Z930" s="49"/>
    </row>
    <row r="931" spans="1:26" ht="13">
      <c r="A931" s="49"/>
      <c r="B931" s="49"/>
      <c r="C931" s="49"/>
      <c r="D931" s="49"/>
      <c r="E931" s="49"/>
      <c r="F931" s="49"/>
      <c r="G931" s="49"/>
      <c r="H931" s="49"/>
      <c r="I931" s="49"/>
      <c r="J931" s="49"/>
      <c r="K931" s="49"/>
      <c r="L931" s="49"/>
      <c r="M931" s="49"/>
      <c r="N931" s="49"/>
      <c r="O931" s="49"/>
      <c r="P931" s="49"/>
      <c r="Q931" s="49"/>
      <c r="R931" s="49"/>
      <c r="S931" s="49"/>
      <c r="T931" s="49"/>
      <c r="U931" s="49"/>
      <c r="V931" s="49"/>
      <c r="W931" s="49"/>
      <c r="X931" s="49"/>
      <c r="Y931" s="49"/>
      <c r="Z931" s="49"/>
    </row>
    <row r="932" spans="1:26" ht="13">
      <c r="A932" s="49"/>
      <c r="B932" s="49"/>
      <c r="C932" s="49"/>
      <c r="D932" s="49"/>
      <c r="E932" s="49"/>
      <c r="F932" s="49"/>
      <c r="G932" s="49"/>
      <c r="H932" s="49"/>
      <c r="I932" s="49"/>
      <c r="J932" s="49"/>
      <c r="K932" s="49"/>
      <c r="L932" s="49"/>
      <c r="M932" s="49"/>
      <c r="N932" s="49"/>
      <c r="O932" s="49"/>
      <c r="P932" s="49"/>
      <c r="Q932" s="49"/>
      <c r="R932" s="49"/>
      <c r="S932" s="49"/>
      <c r="T932" s="49"/>
      <c r="U932" s="49"/>
      <c r="V932" s="49"/>
      <c r="W932" s="49"/>
      <c r="X932" s="49"/>
      <c r="Y932" s="49"/>
      <c r="Z932" s="49"/>
    </row>
    <row r="933" spans="1:26" ht="13">
      <c r="A933" s="49"/>
      <c r="B933" s="49"/>
      <c r="C933" s="49"/>
      <c r="D933" s="49"/>
      <c r="E933" s="49"/>
      <c r="F933" s="49"/>
      <c r="G933" s="49"/>
      <c r="H933" s="49"/>
      <c r="I933" s="49"/>
      <c r="J933" s="49"/>
      <c r="K933" s="49"/>
      <c r="L933" s="49"/>
      <c r="M933" s="49"/>
      <c r="N933" s="49"/>
      <c r="O933" s="49"/>
      <c r="P933" s="49"/>
      <c r="Q933" s="49"/>
      <c r="R933" s="49"/>
      <c r="S933" s="49"/>
      <c r="T933" s="49"/>
      <c r="U933" s="49"/>
      <c r="V933" s="49"/>
      <c r="W933" s="49"/>
      <c r="X933" s="49"/>
      <c r="Y933" s="49"/>
      <c r="Z933" s="49"/>
    </row>
    <row r="934" spans="1:26" ht="13">
      <c r="A934" s="49"/>
      <c r="B934" s="49"/>
      <c r="C934" s="49"/>
      <c r="D934" s="49"/>
      <c r="E934" s="49"/>
      <c r="F934" s="49"/>
      <c r="G934" s="49"/>
      <c r="H934" s="49"/>
      <c r="I934" s="49"/>
      <c r="J934" s="49"/>
      <c r="K934" s="49"/>
      <c r="L934" s="49"/>
      <c r="M934" s="49"/>
      <c r="N934" s="49"/>
      <c r="O934" s="49"/>
      <c r="P934" s="49"/>
      <c r="Q934" s="49"/>
      <c r="R934" s="49"/>
      <c r="S934" s="49"/>
      <c r="T934" s="49"/>
      <c r="U934" s="49"/>
      <c r="V934" s="49"/>
      <c r="W934" s="49"/>
      <c r="X934" s="49"/>
      <c r="Y934" s="49"/>
      <c r="Z934" s="49"/>
    </row>
    <row r="935" spans="1:26" ht="13">
      <c r="A935" s="49"/>
      <c r="B935" s="49"/>
      <c r="C935" s="49"/>
      <c r="D935" s="49"/>
      <c r="E935" s="49"/>
      <c r="F935" s="49"/>
      <c r="G935" s="49"/>
      <c r="H935" s="49"/>
      <c r="I935" s="49"/>
      <c r="J935" s="49"/>
      <c r="K935" s="49"/>
      <c r="L935" s="49"/>
      <c r="M935" s="49"/>
      <c r="N935" s="49"/>
      <c r="O935" s="49"/>
      <c r="P935" s="49"/>
      <c r="Q935" s="49"/>
      <c r="R935" s="49"/>
      <c r="S935" s="49"/>
      <c r="T935" s="49"/>
      <c r="U935" s="49"/>
      <c r="V935" s="49"/>
      <c r="W935" s="49"/>
      <c r="X935" s="49"/>
      <c r="Y935" s="49"/>
      <c r="Z935" s="49"/>
    </row>
    <row r="936" spans="1:26" ht="13">
      <c r="A936" s="49"/>
      <c r="B936" s="49"/>
      <c r="C936" s="49"/>
      <c r="D936" s="49"/>
      <c r="E936" s="49"/>
      <c r="F936" s="49"/>
      <c r="G936" s="49"/>
      <c r="H936" s="49"/>
      <c r="I936" s="49"/>
      <c r="J936" s="49"/>
      <c r="K936" s="49"/>
      <c r="L936" s="49"/>
      <c r="M936" s="49"/>
      <c r="N936" s="49"/>
      <c r="O936" s="49"/>
      <c r="P936" s="49"/>
      <c r="Q936" s="49"/>
      <c r="R936" s="49"/>
      <c r="S936" s="49"/>
      <c r="T936" s="49"/>
      <c r="U936" s="49"/>
      <c r="V936" s="49"/>
      <c r="W936" s="49"/>
      <c r="X936" s="49"/>
      <c r="Y936" s="49"/>
      <c r="Z936" s="49"/>
    </row>
    <row r="937" spans="1:26" ht="13">
      <c r="A937" s="49"/>
      <c r="B937" s="49"/>
      <c r="C937" s="49"/>
      <c r="D937" s="49"/>
      <c r="E937" s="49"/>
      <c r="F937" s="49"/>
      <c r="G937" s="49"/>
      <c r="H937" s="49"/>
      <c r="I937" s="49"/>
      <c r="J937" s="49"/>
      <c r="K937" s="49"/>
      <c r="L937" s="49"/>
      <c r="M937" s="49"/>
      <c r="N937" s="49"/>
      <c r="O937" s="49"/>
      <c r="P937" s="49"/>
      <c r="Q937" s="49"/>
      <c r="R937" s="49"/>
      <c r="S937" s="49"/>
      <c r="T937" s="49"/>
      <c r="U937" s="49"/>
      <c r="V937" s="49"/>
      <c r="W937" s="49"/>
      <c r="X937" s="49"/>
      <c r="Y937" s="49"/>
      <c r="Z937" s="49"/>
    </row>
    <row r="938" spans="1:26" ht="13">
      <c r="A938" s="49"/>
      <c r="B938" s="49"/>
      <c r="C938" s="49"/>
      <c r="D938" s="49"/>
      <c r="E938" s="49"/>
      <c r="F938" s="49"/>
      <c r="G938" s="49"/>
      <c r="H938" s="49"/>
      <c r="I938" s="49"/>
      <c r="J938" s="49"/>
      <c r="K938" s="49"/>
      <c r="L938" s="49"/>
      <c r="M938" s="49"/>
      <c r="N938" s="49"/>
      <c r="O938" s="49"/>
      <c r="P938" s="49"/>
      <c r="Q938" s="49"/>
      <c r="R938" s="49"/>
      <c r="S938" s="49"/>
      <c r="T938" s="49"/>
      <c r="U938" s="49"/>
      <c r="V938" s="49"/>
      <c r="W938" s="49"/>
      <c r="X938" s="49"/>
      <c r="Y938" s="49"/>
      <c r="Z938" s="49"/>
    </row>
    <row r="939" spans="1:26" ht="13">
      <c r="A939" s="49"/>
      <c r="B939" s="49"/>
      <c r="C939" s="49"/>
      <c r="D939" s="49"/>
      <c r="E939" s="49"/>
      <c r="F939" s="49"/>
      <c r="G939" s="49"/>
      <c r="H939" s="49"/>
      <c r="I939" s="49"/>
      <c r="J939" s="49"/>
      <c r="K939" s="49"/>
      <c r="L939" s="49"/>
      <c r="M939" s="49"/>
      <c r="N939" s="49"/>
      <c r="O939" s="49"/>
      <c r="P939" s="49"/>
      <c r="Q939" s="49"/>
      <c r="R939" s="49"/>
      <c r="S939" s="49"/>
      <c r="T939" s="49"/>
      <c r="U939" s="49"/>
      <c r="V939" s="49"/>
      <c r="W939" s="49"/>
      <c r="X939" s="49"/>
      <c r="Y939" s="49"/>
      <c r="Z939" s="49"/>
    </row>
    <row r="940" spans="1:26" ht="13">
      <c r="A940" s="49"/>
      <c r="B940" s="49"/>
      <c r="C940" s="49"/>
      <c r="D940" s="49"/>
      <c r="E940" s="49"/>
      <c r="F940" s="49"/>
      <c r="G940" s="49"/>
      <c r="H940" s="49"/>
      <c r="I940" s="49"/>
      <c r="J940" s="49"/>
      <c r="K940" s="49"/>
      <c r="L940" s="49"/>
      <c r="M940" s="49"/>
      <c r="N940" s="49"/>
      <c r="O940" s="49"/>
      <c r="P940" s="49"/>
      <c r="Q940" s="49"/>
      <c r="R940" s="49"/>
      <c r="S940" s="49"/>
      <c r="T940" s="49"/>
      <c r="U940" s="49"/>
      <c r="V940" s="49"/>
      <c r="W940" s="49"/>
      <c r="X940" s="49"/>
      <c r="Y940" s="49"/>
      <c r="Z940" s="49"/>
    </row>
    <row r="941" spans="1:26" ht="13">
      <c r="A941" s="49"/>
      <c r="B941" s="49"/>
      <c r="C941" s="49"/>
      <c r="D941" s="49"/>
      <c r="E941" s="49"/>
      <c r="F941" s="49"/>
      <c r="G941" s="49"/>
      <c r="H941" s="49"/>
      <c r="I941" s="49"/>
      <c r="J941" s="49"/>
      <c r="K941" s="49"/>
      <c r="L941" s="49"/>
      <c r="M941" s="49"/>
      <c r="N941" s="49"/>
      <c r="O941" s="49"/>
      <c r="P941" s="49"/>
      <c r="Q941" s="49"/>
      <c r="R941" s="49"/>
      <c r="S941" s="49"/>
      <c r="T941" s="49"/>
      <c r="U941" s="49"/>
      <c r="V941" s="49"/>
      <c r="W941" s="49"/>
      <c r="X941" s="49"/>
      <c r="Y941" s="49"/>
      <c r="Z941" s="49"/>
    </row>
    <row r="942" spans="1:26" ht="13">
      <c r="A942" s="49"/>
      <c r="B942" s="49"/>
      <c r="C942" s="49"/>
      <c r="D942" s="49"/>
      <c r="E942" s="49"/>
      <c r="F942" s="49"/>
      <c r="G942" s="49"/>
      <c r="H942" s="49"/>
      <c r="I942" s="49"/>
      <c r="J942" s="49"/>
      <c r="K942" s="49"/>
      <c r="L942" s="49"/>
      <c r="M942" s="49"/>
      <c r="N942" s="49"/>
      <c r="O942" s="49"/>
      <c r="P942" s="49"/>
      <c r="Q942" s="49"/>
      <c r="R942" s="49"/>
      <c r="S942" s="49"/>
      <c r="T942" s="49"/>
      <c r="U942" s="49"/>
      <c r="V942" s="49"/>
      <c r="W942" s="49"/>
      <c r="X942" s="49"/>
      <c r="Y942" s="49"/>
      <c r="Z942" s="49"/>
    </row>
    <row r="943" spans="1:26" ht="13">
      <c r="A943" s="49"/>
      <c r="B943" s="49"/>
      <c r="C943" s="49"/>
      <c r="D943" s="49"/>
      <c r="E943" s="49"/>
      <c r="F943" s="49"/>
      <c r="G943" s="49"/>
      <c r="H943" s="49"/>
      <c r="I943" s="49"/>
      <c r="J943" s="49"/>
      <c r="K943" s="49"/>
      <c r="L943" s="49"/>
      <c r="M943" s="49"/>
      <c r="N943" s="49"/>
      <c r="O943" s="49"/>
      <c r="P943" s="49"/>
      <c r="Q943" s="49"/>
      <c r="R943" s="49"/>
      <c r="S943" s="49"/>
      <c r="T943" s="49"/>
      <c r="U943" s="49"/>
      <c r="V943" s="49"/>
      <c r="W943" s="49"/>
      <c r="X943" s="49"/>
      <c r="Y943" s="49"/>
      <c r="Z943" s="49"/>
    </row>
    <row r="944" spans="1:26" ht="13">
      <c r="A944" s="49"/>
      <c r="B944" s="49"/>
      <c r="C944" s="49"/>
      <c r="D944" s="49"/>
      <c r="E944" s="49"/>
      <c r="F944" s="49"/>
      <c r="G944" s="49"/>
      <c r="H944" s="49"/>
      <c r="I944" s="49"/>
      <c r="J944" s="49"/>
      <c r="K944" s="49"/>
      <c r="L944" s="49"/>
      <c r="M944" s="49"/>
      <c r="N944" s="49"/>
      <c r="O944" s="49"/>
      <c r="P944" s="49"/>
      <c r="Q944" s="49"/>
      <c r="R944" s="49"/>
      <c r="S944" s="49"/>
      <c r="T944" s="49"/>
      <c r="U944" s="49"/>
      <c r="V944" s="49"/>
      <c r="W944" s="49"/>
      <c r="X944" s="49"/>
      <c r="Y944" s="49"/>
      <c r="Z944" s="49"/>
    </row>
    <row r="945" spans="1:26" ht="13">
      <c r="A945" s="49"/>
      <c r="B945" s="49"/>
      <c r="C945" s="49"/>
      <c r="D945" s="49"/>
      <c r="E945" s="49"/>
      <c r="F945" s="49"/>
      <c r="G945" s="49"/>
      <c r="H945" s="49"/>
      <c r="I945" s="49"/>
      <c r="J945" s="49"/>
      <c r="K945" s="49"/>
      <c r="L945" s="49"/>
      <c r="M945" s="49"/>
      <c r="N945" s="49"/>
      <c r="O945" s="49"/>
      <c r="P945" s="49"/>
      <c r="Q945" s="49"/>
      <c r="R945" s="49"/>
      <c r="S945" s="49"/>
      <c r="T945" s="49"/>
      <c r="U945" s="49"/>
      <c r="V945" s="49"/>
      <c r="W945" s="49"/>
      <c r="X945" s="49"/>
      <c r="Y945" s="49"/>
      <c r="Z945" s="49"/>
    </row>
    <row r="946" spans="1:26" ht="13">
      <c r="A946" s="49"/>
      <c r="B946" s="49"/>
      <c r="C946" s="49"/>
      <c r="D946" s="49"/>
      <c r="E946" s="49"/>
      <c r="F946" s="49"/>
      <c r="G946" s="49"/>
      <c r="H946" s="49"/>
      <c r="I946" s="49"/>
      <c r="J946" s="49"/>
      <c r="K946" s="49"/>
      <c r="L946" s="49"/>
      <c r="M946" s="49"/>
      <c r="N946" s="49"/>
      <c r="O946" s="49"/>
      <c r="P946" s="49"/>
      <c r="Q946" s="49"/>
      <c r="R946" s="49"/>
      <c r="S946" s="49"/>
      <c r="T946" s="49"/>
      <c r="U946" s="49"/>
      <c r="V946" s="49"/>
      <c r="W946" s="49"/>
      <c r="X946" s="49"/>
      <c r="Y946" s="49"/>
      <c r="Z946" s="49"/>
    </row>
    <row r="947" spans="1:26" ht="13">
      <c r="A947" s="49"/>
      <c r="B947" s="49"/>
      <c r="C947" s="49"/>
      <c r="D947" s="49"/>
      <c r="E947" s="49"/>
      <c r="F947" s="49"/>
      <c r="G947" s="49"/>
      <c r="H947" s="49"/>
      <c r="I947" s="49"/>
      <c r="J947" s="49"/>
      <c r="K947" s="49"/>
      <c r="L947" s="49"/>
      <c r="M947" s="49"/>
      <c r="N947" s="49"/>
      <c r="O947" s="49"/>
      <c r="P947" s="49"/>
      <c r="Q947" s="49"/>
      <c r="R947" s="49"/>
      <c r="S947" s="49"/>
      <c r="T947" s="49"/>
      <c r="U947" s="49"/>
      <c r="V947" s="49"/>
      <c r="W947" s="49"/>
      <c r="X947" s="49"/>
      <c r="Y947" s="49"/>
      <c r="Z947" s="49"/>
    </row>
    <row r="948" spans="1:26" ht="13">
      <c r="A948" s="49"/>
      <c r="B948" s="49"/>
      <c r="C948" s="49"/>
      <c r="D948" s="49"/>
      <c r="E948" s="49"/>
      <c r="F948" s="49"/>
      <c r="G948" s="49"/>
      <c r="H948" s="49"/>
      <c r="I948" s="49"/>
      <c r="J948" s="49"/>
      <c r="K948" s="49"/>
      <c r="L948" s="49"/>
      <c r="M948" s="49"/>
      <c r="N948" s="49"/>
      <c r="O948" s="49"/>
      <c r="P948" s="49"/>
      <c r="Q948" s="49"/>
      <c r="R948" s="49"/>
      <c r="S948" s="49"/>
      <c r="T948" s="49"/>
      <c r="U948" s="49"/>
      <c r="V948" s="49"/>
      <c r="W948" s="49"/>
      <c r="X948" s="49"/>
      <c r="Y948" s="49"/>
      <c r="Z948" s="49"/>
    </row>
    <row r="949" spans="1:26" ht="13">
      <c r="A949" s="49"/>
      <c r="B949" s="49"/>
      <c r="C949" s="49"/>
      <c r="D949" s="49"/>
      <c r="E949" s="49"/>
      <c r="F949" s="49"/>
      <c r="G949" s="49"/>
      <c r="H949" s="49"/>
      <c r="I949" s="49"/>
      <c r="J949" s="49"/>
      <c r="K949" s="49"/>
      <c r="L949" s="49"/>
      <c r="M949" s="49"/>
      <c r="N949" s="49"/>
      <c r="O949" s="49"/>
      <c r="P949" s="49"/>
      <c r="Q949" s="49"/>
      <c r="R949" s="49"/>
      <c r="S949" s="49"/>
      <c r="T949" s="49"/>
      <c r="U949" s="49"/>
      <c r="V949" s="49"/>
      <c r="W949" s="49"/>
      <c r="X949" s="49"/>
      <c r="Y949" s="49"/>
      <c r="Z949" s="49"/>
    </row>
    <row r="950" spans="1:26" ht="13">
      <c r="A950" s="49"/>
      <c r="B950" s="49"/>
      <c r="C950" s="49"/>
      <c r="D950" s="49"/>
      <c r="E950" s="49"/>
      <c r="F950" s="49"/>
      <c r="G950" s="49"/>
      <c r="H950" s="49"/>
      <c r="I950" s="49"/>
      <c r="J950" s="49"/>
      <c r="K950" s="49"/>
      <c r="L950" s="49"/>
      <c r="M950" s="49"/>
      <c r="N950" s="49"/>
      <c r="O950" s="49"/>
      <c r="P950" s="49"/>
      <c r="Q950" s="49"/>
      <c r="R950" s="49"/>
      <c r="S950" s="49"/>
      <c r="T950" s="49"/>
      <c r="U950" s="49"/>
      <c r="V950" s="49"/>
      <c r="W950" s="49"/>
      <c r="X950" s="49"/>
      <c r="Y950" s="49"/>
      <c r="Z950" s="49"/>
    </row>
    <row r="951" spans="1:26" ht="13">
      <c r="A951" s="49"/>
      <c r="B951" s="49"/>
      <c r="C951" s="49"/>
      <c r="D951" s="49"/>
      <c r="E951" s="49"/>
      <c r="F951" s="49"/>
      <c r="G951" s="49"/>
      <c r="H951" s="49"/>
      <c r="I951" s="49"/>
      <c r="J951" s="49"/>
      <c r="K951" s="49"/>
      <c r="L951" s="49"/>
      <c r="M951" s="49"/>
      <c r="N951" s="49"/>
      <c r="O951" s="49"/>
      <c r="P951" s="49"/>
      <c r="Q951" s="49"/>
      <c r="R951" s="49"/>
      <c r="S951" s="49"/>
      <c r="T951" s="49"/>
      <c r="U951" s="49"/>
      <c r="V951" s="49"/>
      <c r="W951" s="49"/>
      <c r="X951" s="49"/>
      <c r="Y951" s="49"/>
      <c r="Z951" s="49"/>
    </row>
    <row r="952" spans="1:26" ht="13">
      <c r="A952" s="49"/>
      <c r="B952" s="49"/>
      <c r="C952" s="49"/>
      <c r="D952" s="49"/>
      <c r="E952" s="49"/>
      <c r="F952" s="49"/>
      <c r="G952" s="49"/>
      <c r="H952" s="49"/>
      <c r="I952" s="49"/>
      <c r="J952" s="49"/>
      <c r="K952" s="49"/>
      <c r="L952" s="49"/>
      <c r="M952" s="49"/>
      <c r="N952" s="49"/>
      <c r="O952" s="49"/>
      <c r="P952" s="49"/>
      <c r="Q952" s="49"/>
      <c r="R952" s="49"/>
      <c r="S952" s="49"/>
      <c r="T952" s="49"/>
      <c r="U952" s="49"/>
      <c r="V952" s="49"/>
      <c r="W952" s="49"/>
      <c r="X952" s="49"/>
      <c r="Y952" s="49"/>
      <c r="Z952" s="49"/>
    </row>
    <row r="953" spans="1:26" ht="13">
      <c r="A953" s="49"/>
      <c r="B953" s="49"/>
      <c r="C953" s="49"/>
      <c r="D953" s="49"/>
      <c r="E953" s="49"/>
      <c r="F953" s="49"/>
      <c r="G953" s="49"/>
      <c r="H953" s="49"/>
      <c r="I953" s="49"/>
      <c r="J953" s="49"/>
      <c r="K953" s="49"/>
      <c r="L953" s="49"/>
      <c r="M953" s="49"/>
      <c r="N953" s="49"/>
      <c r="O953" s="49"/>
      <c r="P953" s="49"/>
      <c r="Q953" s="49"/>
      <c r="R953" s="49"/>
      <c r="S953" s="49"/>
      <c r="T953" s="49"/>
      <c r="U953" s="49"/>
      <c r="V953" s="49"/>
      <c r="W953" s="49"/>
      <c r="X953" s="49"/>
      <c r="Y953" s="49"/>
      <c r="Z953" s="49"/>
    </row>
    <row r="954" spans="1:26" ht="13">
      <c r="A954" s="49"/>
      <c r="B954" s="49"/>
      <c r="C954" s="49"/>
      <c r="D954" s="49"/>
      <c r="E954" s="49"/>
      <c r="F954" s="49"/>
      <c r="G954" s="49"/>
      <c r="H954" s="49"/>
      <c r="I954" s="49"/>
      <c r="J954" s="49"/>
      <c r="K954" s="49"/>
      <c r="L954" s="49"/>
      <c r="M954" s="49"/>
      <c r="N954" s="49"/>
      <c r="O954" s="49"/>
      <c r="P954" s="49"/>
      <c r="Q954" s="49"/>
      <c r="R954" s="49"/>
      <c r="S954" s="49"/>
      <c r="T954" s="49"/>
      <c r="U954" s="49"/>
      <c r="V954" s="49"/>
      <c r="W954" s="49"/>
      <c r="X954" s="49"/>
      <c r="Y954" s="49"/>
      <c r="Z954" s="49"/>
    </row>
    <row r="955" spans="1:26" ht="13">
      <c r="A955" s="49"/>
      <c r="B955" s="49"/>
      <c r="C955" s="49"/>
      <c r="D955" s="49"/>
      <c r="E955" s="49"/>
      <c r="F955" s="49"/>
      <c r="G955" s="49"/>
      <c r="H955" s="49"/>
      <c r="I955" s="49"/>
      <c r="J955" s="49"/>
      <c r="K955" s="49"/>
      <c r="L955" s="49"/>
      <c r="M955" s="49"/>
      <c r="N955" s="49"/>
      <c r="O955" s="49"/>
      <c r="P955" s="49"/>
      <c r="Q955" s="49"/>
      <c r="R955" s="49"/>
      <c r="S955" s="49"/>
      <c r="T955" s="49"/>
      <c r="U955" s="49"/>
      <c r="V955" s="49"/>
      <c r="W955" s="49"/>
      <c r="X955" s="49"/>
      <c r="Y955" s="49"/>
      <c r="Z955" s="49"/>
    </row>
    <row r="956" spans="1:26" ht="13">
      <c r="A956" s="49"/>
      <c r="B956" s="49"/>
      <c r="C956" s="49"/>
      <c r="D956" s="49"/>
      <c r="E956" s="49"/>
      <c r="F956" s="49"/>
      <c r="G956" s="49"/>
      <c r="H956" s="49"/>
      <c r="I956" s="49"/>
      <c r="J956" s="49"/>
      <c r="K956" s="49"/>
      <c r="L956" s="49"/>
      <c r="M956" s="49"/>
      <c r="N956" s="49"/>
      <c r="O956" s="49"/>
      <c r="P956" s="49"/>
      <c r="Q956" s="49"/>
      <c r="R956" s="49"/>
      <c r="S956" s="49"/>
      <c r="T956" s="49"/>
      <c r="U956" s="49"/>
      <c r="V956" s="49"/>
      <c r="W956" s="49"/>
      <c r="X956" s="49"/>
      <c r="Y956" s="49"/>
      <c r="Z956" s="49"/>
    </row>
    <row r="957" spans="1:26" ht="13">
      <c r="A957" s="49"/>
      <c r="B957" s="49"/>
      <c r="C957" s="49"/>
      <c r="D957" s="49"/>
      <c r="E957" s="49"/>
      <c r="F957" s="49"/>
      <c r="G957" s="49"/>
      <c r="H957" s="49"/>
      <c r="I957" s="49"/>
      <c r="J957" s="49"/>
      <c r="K957" s="49"/>
      <c r="L957" s="49"/>
      <c r="M957" s="49"/>
      <c r="N957" s="49"/>
      <c r="O957" s="49"/>
      <c r="P957" s="49"/>
      <c r="Q957" s="49"/>
      <c r="R957" s="49"/>
      <c r="S957" s="49"/>
      <c r="T957" s="49"/>
      <c r="U957" s="49"/>
      <c r="V957" s="49"/>
      <c r="W957" s="49"/>
      <c r="X957" s="49"/>
      <c r="Y957" s="49"/>
      <c r="Z957" s="49"/>
    </row>
    <row r="958" spans="1:26" ht="13">
      <c r="A958" s="49"/>
      <c r="B958" s="49"/>
      <c r="C958" s="49"/>
      <c r="D958" s="49"/>
      <c r="E958" s="49"/>
      <c r="F958" s="49"/>
      <c r="G958" s="49"/>
      <c r="H958" s="49"/>
      <c r="I958" s="49"/>
      <c r="J958" s="49"/>
      <c r="K958" s="49"/>
      <c r="L958" s="49"/>
      <c r="M958" s="49"/>
      <c r="N958" s="49"/>
      <c r="O958" s="49"/>
      <c r="P958" s="49"/>
      <c r="Q958" s="49"/>
      <c r="R958" s="49"/>
      <c r="S958" s="49"/>
      <c r="T958" s="49"/>
      <c r="U958" s="49"/>
      <c r="V958" s="49"/>
      <c r="W958" s="49"/>
      <c r="X958" s="49"/>
      <c r="Y958" s="49"/>
      <c r="Z958" s="49"/>
    </row>
    <row r="959" spans="1:26" ht="13">
      <c r="A959" s="49"/>
      <c r="B959" s="49"/>
      <c r="C959" s="49"/>
      <c r="D959" s="49"/>
      <c r="E959" s="49"/>
      <c r="F959" s="49"/>
      <c r="G959" s="49"/>
      <c r="H959" s="49"/>
      <c r="I959" s="49"/>
      <c r="J959" s="49"/>
      <c r="K959" s="49"/>
      <c r="L959" s="49"/>
      <c r="M959" s="49"/>
      <c r="N959" s="49"/>
      <c r="O959" s="49"/>
      <c r="P959" s="49"/>
      <c r="Q959" s="49"/>
      <c r="R959" s="49"/>
      <c r="S959" s="49"/>
      <c r="T959" s="49"/>
      <c r="U959" s="49"/>
      <c r="V959" s="49"/>
      <c r="W959" s="49"/>
      <c r="X959" s="49"/>
      <c r="Y959" s="49"/>
      <c r="Z959" s="49"/>
    </row>
    <row r="960" spans="1:26" ht="13">
      <c r="A960" s="49"/>
      <c r="B960" s="49"/>
      <c r="C960" s="49"/>
      <c r="D960" s="49"/>
      <c r="E960" s="49"/>
      <c r="F960" s="49"/>
      <c r="G960" s="49"/>
      <c r="H960" s="49"/>
      <c r="I960" s="49"/>
      <c r="J960" s="49"/>
      <c r="K960" s="49"/>
      <c r="L960" s="49"/>
      <c r="M960" s="49"/>
      <c r="N960" s="49"/>
      <c r="O960" s="49"/>
      <c r="P960" s="49"/>
      <c r="Q960" s="49"/>
      <c r="R960" s="49"/>
      <c r="S960" s="49"/>
      <c r="T960" s="49"/>
      <c r="U960" s="49"/>
      <c r="V960" s="49"/>
      <c r="W960" s="49"/>
      <c r="X960" s="49"/>
      <c r="Y960" s="49"/>
      <c r="Z960" s="49"/>
    </row>
    <row r="961" spans="1:26" ht="13">
      <c r="A961" s="49"/>
      <c r="B961" s="49"/>
      <c r="C961" s="49"/>
      <c r="D961" s="49"/>
      <c r="E961" s="49"/>
      <c r="F961" s="49"/>
      <c r="G961" s="49"/>
      <c r="H961" s="49"/>
      <c r="I961" s="49"/>
      <c r="J961" s="49"/>
      <c r="K961" s="49"/>
      <c r="L961" s="49"/>
      <c r="M961" s="49"/>
      <c r="N961" s="49"/>
      <c r="O961" s="49"/>
      <c r="P961" s="49"/>
      <c r="Q961" s="49"/>
      <c r="R961" s="49"/>
      <c r="S961" s="49"/>
      <c r="T961" s="49"/>
      <c r="U961" s="49"/>
      <c r="V961" s="49"/>
      <c r="W961" s="49"/>
      <c r="X961" s="49"/>
      <c r="Y961" s="49"/>
      <c r="Z961" s="49"/>
    </row>
    <row r="962" spans="1:26" ht="13">
      <c r="A962" s="49"/>
      <c r="B962" s="49"/>
      <c r="C962" s="49"/>
      <c r="D962" s="49"/>
      <c r="E962" s="49"/>
      <c r="F962" s="49"/>
      <c r="G962" s="49"/>
      <c r="H962" s="49"/>
      <c r="I962" s="49"/>
      <c r="J962" s="49"/>
      <c r="K962" s="49"/>
      <c r="L962" s="49"/>
      <c r="M962" s="49"/>
      <c r="N962" s="49"/>
      <c r="O962" s="49"/>
      <c r="P962" s="49"/>
      <c r="Q962" s="49"/>
      <c r="R962" s="49"/>
      <c r="S962" s="49"/>
      <c r="T962" s="49"/>
      <c r="U962" s="49"/>
      <c r="V962" s="49"/>
      <c r="W962" s="49"/>
      <c r="X962" s="49"/>
      <c r="Y962" s="49"/>
      <c r="Z962" s="49"/>
    </row>
    <row r="963" spans="1:26" ht="13">
      <c r="A963" s="49"/>
      <c r="B963" s="49"/>
      <c r="C963" s="49"/>
      <c r="D963" s="49"/>
      <c r="E963" s="49"/>
      <c r="F963" s="49"/>
      <c r="G963" s="49"/>
      <c r="H963" s="49"/>
      <c r="I963" s="49"/>
      <c r="J963" s="49"/>
      <c r="K963" s="49"/>
      <c r="L963" s="49"/>
      <c r="M963" s="49"/>
      <c r="N963" s="49"/>
      <c r="O963" s="49"/>
      <c r="P963" s="49"/>
      <c r="Q963" s="49"/>
      <c r="R963" s="49"/>
      <c r="S963" s="49"/>
      <c r="T963" s="49"/>
      <c r="U963" s="49"/>
      <c r="V963" s="49"/>
      <c r="W963" s="49"/>
      <c r="X963" s="49"/>
      <c r="Y963" s="49"/>
      <c r="Z963" s="49"/>
    </row>
    <row r="964" spans="1:26" ht="13">
      <c r="A964" s="49"/>
      <c r="B964" s="49"/>
      <c r="C964" s="49"/>
      <c r="D964" s="49"/>
      <c r="E964" s="49"/>
      <c r="F964" s="49"/>
      <c r="G964" s="49"/>
      <c r="H964" s="49"/>
      <c r="I964" s="49"/>
      <c r="J964" s="49"/>
      <c r="K964" s="49"/>
      <c r="L964" s="49"/>
      <c r="M964" s="49"/>
      <c r="N964" s="49"/>
      <c r="O964" s="49"/>
      <c r="P964" s="49"/>
      <c r="Q964" s="49"/>
      <c r="R964" s="49"/>
      <c r="S964" s="49"/>
      <c r="T964" s="49"/>
      <c r="U964" s="49"/>
      <c r="V964" s="49"/>
      <c r="W964" s="49"/>
      <c r="X964" s="49"/>
      <c r="Y964" s="49"/>
      <c r="Z964" s="49"/>
    </row>
    <row r="965" spans="1:26" ht="13">
      <c r="A965" s="49"/>
      <c r="B965" s="49"/>
      <c r="C965" s="49"/>
      <c r="D965" s="49"/>
      <c r="E965" s="49"/>
      <c r="F965" s="49"/>
      <c r="G965" s="49"/>
      <c r="H965" s="49"/>
      <c r="I965" s="49"/>
      <c r="J965" s="49"/>
      <c r="K965" s="49"/>
      <c r="L965" s="49"/>
      <c r="M965" s="49"/>
      <c r="N965" s="49"/>
      <c r="O965" s="49"/>
      <c r="P965" s="49"/>
      <c r="Q965" s="49"/>
      <c r="R965" s="49"/>
      <c r="S965" s="49"/>
      <c r="T965" s="49"/>
      <c r="U965" s="49"/>
      <c r="V965" s="49"/>
      <c r="W965" s="49"/>
      <c r="X965" s="49"/>
      <c r="Y965" s="49"/>
      <c r="Z965" s="49"/>
    </row>
    <row r="966" spans="1:26" ht="13">
      <c r="A966" s="49"/>
      <c r="B966" s="49"/>
      <c r="C966" s="49"/>
      <c r="D966" s="49"/>
      <c r="E966" s="49"/>
      <c r="F966" s="49"/>
      <c r="G966" s="49"/>
      <c r="H966" s="49"/>
      <c r="I966" s="49"/>
      <c r="J966" s="49"/>
      <c r="K966" s="49"/>
      <c r="L966" s="49"/>
      <c r="M966" s="49"/>
      <c r="N966" s="49"/>
      <c r="O966" s="49"/>
      <c r="P966" s="49"/>
      <c r="Q966" s="49"/>
      <c r="R966" s="49"/>
      <c r="S966" s="49"/>
      <c r="T966" s="49"/>
      <c r="U966" s="49"/>
      <c r="V966" s="49"/>
      <c r="W966" s="49"/>
      <c r="X966" s="49"/>
      <c r="Y966" s="49"/>
      <c r="Z966" s="49"/>
    </row>
    <row r="967" spans="1:26" ht="13">
      <c r="A967" s="49"/>
      <c r="B967" s="49"/>
      <c r="C967" s="49"/>
      <c r="D967" s="49"/>
      <c r="E967" s="49"/>
      <c r="F967" s="49"/>
      <c r="G967" s="49"/>
      <c r="H967" s="49"/>
      <c r="I967" s="49"/>
      <c r="J967" s="49"/>
      <c r="K967" s="49"/>
      <c r="L967" s="49"/>
      <c r="M967" s="49"/>
      <c r="N967" s="49"/>
      <c r="O967" s="49"/>
      <c r="P967" s="49"/>
      <c r="Q967" s="49"/>
      <c r="R967" s="49"/>
      <c r="S967" s="49"/>
      <c r="T967" s="49"/>
      <c r="U967" s="49"/>
      <c r="V967" s="49"/>
      <c r="W967" s="49"/>
      <c r="X967" s="49"/>
      <c r="Y967" s="49"/>
      <c r="Z967" s="49"/>
    </row>
    <row r="968" spans="1:26" ht="13">
      <c r="A968" s="49"/>
      <c r="B968" s="49"/>
      <c r="C968" s="49"/>
      <c r="D968" s="49"/>
      <c r="E968" s="49"/>
      <c r="F968" s="49"/>
      <c r="G968" s="49"/>
      <c r="H968" s="49"/>
      <c r="I968" s="49"/>
      <c r="J968" s="49"/>
      <c r="K968" s="49"/>
      <c r="L968" s="49"/>
      <c r="M968" s="49"/>
      <c r="N968" s="49"/>
      <c r="O968" s="49"/>
      <c r="P968" s="49"/>
      <c r="Q968" s="49"/>
      <c r="R968" s="49"/>
      <c r="S968" s="49"/>
      <c r="T968" s="49"/>
      <c r="U968" s="49"/>
      <c r="V968" s="49"/>
      <c r="W968" s="49"/>
      <c r="X968" s="49"/>
      <c r="Y968" s="49"/>
      <c r="Z968" s="49"/>
    </row>
    <row r="969" spans="1:26" ht="13">
      <c r="A969" s="49"/>
      <c r="B969" s="49"/>
      <c r="C969" s="49"/>
      <c r="D969" s="49"/>
      <c r="E969" s="49"/>
      <c r="F969" s="49"/>
      <c r="G969" s="49"/>
      <c r="H969" s="49"/>
      <c r="I969" s="49"/>
      <c r="J969" s="49"/>
      <c r="K969" s="49"/>
      <c r="L969" s="49"/>
      <c r="M969" s="49"/>
      <c r="N969" s="49"/>
      <c r="O969" s="49"/>
      <c r="P969" s="49"/>
      <c r="Q969" s="49"/>
      <c r="R969" s="49"/>
      <c r="S969" s="49"/>
      <c r="T969" s="49"/>
      <c r="U969" s="49"/>
      <c r="V969" s="49"/>
      <c r="W969" s="49"/>
      <c r="X969" s="49"/>
      <c r="Y969" s="49"/>
      <c r="Z969" s="49"/>
    </row>
    <row r="970" spans="1:26" ht="13">
      <c r="A970" s="49"/>
      <c r="B970" s="49"/>
      <c r="C970" s="49"/>
      <c r="D970" s="49"/>
      <c r="E970" s="49"/>
      <c r="F970" s="49"/>
      <c r="G970" s="49"/>
      <c r="H970" s="49"/>
      <c r="I970" s="49"/>
      <c r="J970" s="49"/>
      <c r="K970" s="49"/>
      <c r="L970" s="49"/>
      <c r="M970" s="49"/>
      <c r="N970" s="49"/>
      <c r="O970" s="49"/>
      <c r="P970" s="49"/>
      <c r="Q970" s="49"/>
      <c r="R970" s="49"/>
      <c r="S970" s="49"/>
      <c r="T970" s="49"/>
      <c r="U970" s="49"/>
      <c r="V970" s="49"/>
      <c r="W970" s="49"/>
      <c r="X970" s="49"/>
      <c r="Y970" s="49"/>
      <c r="Z970" s="49"/>
    </row>
    <row r="971" spans="1:26" ht="13">
      <c r="A971" s="49"/>
      <c r="B971" s="49"/>
      <c r="C971" s="49"/>
      <c r="D971" s="49"/>
      <c r="E971" s="49"/>
      <c r="F971" s="49"/>
      <c r="G971" s="49"/>
      <c r="H971" s="49"/>
      <c r="I971" s="49"/>
      <c r="J971" s="49"/>
      <c r="K971" s="49"/>
      <c r="L971" s="49"/>
      <c r="M971" s="49"/>
      <c r="N971" s="49"/>
      <c r="O971" s="49"/>
      <c r="P971" s="49"/>
      <c r="Q971" s="49"/>
      <c r="R971" s="49"/>
      <c r="S971" s="49"/>
      <c r="T971" s="49"/>
      <c r="U971" s="49"/>
      <c r="V971" s="49"/>
      <c r="W971" s="49"/>
      <c r="X971" s="49"/>
      <c r="Y971" s="49"/>
      <c r="Z971" s="49"/>
    </row>
    <row r="972" spans="1:26" ht="13">
      <c r="A972" s="49"/>
      <c r="B972" s="49"/>
      <c r="C972" s="49"/>
      <c r="D972" s="49"/>
      <c r="E972" s="49"/>
      <c r="F972" s="49"/>
      <c r="G972" s="49"/>
      <c r="H972" s="49"/>
      <c r="I972" s="49"/>
      <c r="J972" s="49"/>
      <c r="K972" s="49"/>
      <c r="L972" s="49"/>
      <c r="M972" s="49"/>
      <c r="N972" s="49"/>
      <c r="O972" s="49"/>
      <c r="P972" s="49"/>
      <c r="Q972" s="49"/>
      <c r="R972" s="49"/>
      <c r="S972" s="49"/>
      <c r="T972" s="49"/>
      <c r="U972" s="49"/>
      <c r="V972" s="49"/>
      <c r="W972" s="49"/>
      <c r="X972" s="49"/>
      <c r="Y972" s="49"/>
      <c r="Z972" s="49"/>
    </row>
    <row r="973" spans="1:26" ht="13">
      <c r="A973" s="49"/>
      <c r="B973" s="49"/>
      <c r="C973" s="49"/>
      <c r="D973" s="49"/>
      <c r="E973" s="49"/>
      <c r="F973" s="49"/>
      <c r="G973" s="49"/>
      <c r="H973" s="49"/>
      <c r="I973" s="49"/>
      <c r="J973" s="49"/>
      <c r="K973" s="49"/>
      <c r="L973" s="49"/>
      <c r="M973" s="49"/>
      <c r="N973" s="49"/>
      <c r="O973" s="49"/>
      <c r="P973" s="49"/>
      <c r="Q973" s="49"/>
      <c r="R973" s="49"/>
      <c r="S973" s="49"/>
      <c r="T973" s="49"/>
      <c r="U973" s="49"/>
      <c r="V973" s="49"/>
      <c r="W973" s="49"/>
      <c r="X973" s="49"/>
      <c r="Y973" s="49"/>
      <c r="Z973" s="49"/>
    </row>
    <row r="974" spans="1:26" ht="13">
      <c r="A974" s="49"/>
      <c r="B974" s="49"/>
      <c r="C974" s="49"/>
      <c r="D974" s="49"/>
      <c r="E974" s="49"/>
      <c r="F974" s="49"/>
      <c r="G974" s="49"/>
      <c r="H974" s="49"/>
      <c r="I974" s="49"/>
      <c r="J974" s="49"/>
      <c r="K974" s="49"/>
      <c r="L974" s="49"/>
      <c r="M974" s="49"/>
      <c r="N974" s="49"/>
      <c r="O974" s="49"/>
      <c r="P974" s="49"/>
      <c r="Q974" s="49"/>
      <c r="R974" s="49"/>
      <c r="S974" s="49"/>
      <c r="T974" s="49"/>
      <c r="U974" s="49"/>
      <c r="V974" s="49"/>
      <c r="W974" s="49"/>
      <c r="X974" s="49"/>
      <c r="Y974" s="49"/>
      <c r="Z974" s="49"/>
    </row>
    <row r="975" spans="1:26" ht="13">
      <c r="A975" s="49"/>
      <c r="B975" s="49"/>
      <c r="C975" s="49"/>
      <c r="D975" s="49"/>
      <c r="E975" s="49"/>
      <c r="F975" s="49"/>
      <c r="G975" s="49"/>
      <c r="H975" s="49"/>
      <c r="I975" s="49"/>
      <c r="J975" s="49"/>
      <c r="K975" s="49"/>
      <c r="L975" s="49"/>
      <c r="M975" s="49"/>
      <c r="N975" s="49"/>
      <c r="O975" s="49"/>
      <c r="P975" s="49"/>
      <c r="Q975" s="49"/>
      <c r="R975" s="49"/>
      <c r="S975" s="49"/>
      <c r="T975" s="49"/>
      <c r="U975" s="49"/>
      <c r="V975" s="49"/>
      <c r="W975" s="49"/>
      <c r="X975" s="49"/>
      <c r="Y975" s="49"/>
      <c r="Z975" s="49"/>
    </row>
    <row r="976" spans="1:26" ht="13">
      <c r="A976" s="49"/>
      <c r="B976" s="49"/>
      <c r="C976" s="49"/>
      <c r="D976" s="49"/>
      <c r="E976" s="49"/>
      <c r="F976" s="49"/>
      <c r="G976" s="49"/>
      <c r="H976" s="49"/>
      <c r="I976" s="49"/>
      <c r="J976" s="49"/>
      <c r="K976" s="49"/>
      <c r="L976" s="49"/>
      <c r="M976" s="49"/>
      <c r="N976" s="49"/>
      <c r="O976" s="49"/>
      <c r="P976" s="49"/>
      <c r="Q976" s="49"/>
      <c r="R976" s="49"/>
      <c r="S976" s="49"/>
      <c r="T976" s="49"/>
      <c r="U976" s="49"/>
      <c r="V976" s="49"/>
      <c r="W976" s="49"/>
      <c r="X976" s="49"/>
      <c r="Y976" s="49"/>
      <c r="Z976" s="49"/>
    </row>
    <row r="977" spans="1:26" ht="13">
      <c r="A977" s="49"/>
      <c r="B977" s="49"/>
      <c r="C977" s="49"/>
      <c r="D977" s="49"/>
      <c r="E977" s="49"/>
      <c r="F977" s="49"/>
      <c r="G977" s="49"/>
      <c r="H977" s="49"/>
      <c r="I977" s="49"/>
      <c r="J977" s="49"/>
      <c r="K977" s="49"/>
      <c r="L977" s="49"/>
      <c r="M977" s="49"/>
      <c r="N977" s="49"/>
      <c r="O977" s="49"/>
      <c r="P977" s="49"/>
      <c r="Q977" s="49"/>
      <c r="R977" s="49"/>
      <c r="S977" s="49"/>
      <c r="T977" s="49"/>
      <c r="U977" s="49"/>
      <c r="V977" s="49"/>
      <c r="W977" s="49"/>
      <c r="X977" s="49"/>
      <c r="Y977" s="49"/>
      <c r="Z977" s="49"/>
    </row>
    <row r="978" spans="1:26" ht="13">
      <c r="A978" s="49"/>
      <c r="B978" s="49"/>
      <c r="C978" s="49"/>
      <c r="D978" s="49"/>
      <c r="E978" s="49"/>
      <c r="F978" s="49"/>
      <c r="G978" s="49"/>
      <c r="H978" s="49"/>
      <c r="I978" s="49"/>
      <c r="J978" s="49"/>
      <c r="K978" s="49"/>
      <c r="L978" s="49"/>
      <c r="M978" s="49"/>
      <c r="N978" s="49"/>
      <c r="O978" s="49"/>
      <c r="P978" s="49"/>
      <c r="Q978" s="49"/>
      <c r="R978" s="49"/>
      <c r="S978" s="49"/>
      <c r="T978" s="49"/>
      <c r="U978" s="49"/>
      <c r="V978" s="49"/>
      <c r="W978" s="49"/>
      <c r="X978" s="49"/>
      <c r="Y978" s="49"/>
      <c r="Z978" s="49"/>
    </row>
    <row r="979" spans="1:26" ht="13">
      <c r="A979" s="49"/>
      <c r="B979" s="49"/>
      <c r="C979" s="49"/>
      <c r="D979" s="49"/>
      <c r="E979" s="49"/>
      <c r="F979" s="49"/>
      <c r="G979" s="49"/>
      <c r="H979" s="49"/>
      <c r="I979" s="49"/>
      <c r="J979" s="49"/>
      <c r="K979" s="49"/>
      <c r="L979" s="49"/>
      <c r="M979" s="49"/>
      <c r="N979" s="49"/>
      <c r="O979" s="49"/>
      <c r="P979" s="49"/>
      <c r="Q979" s="49"/>
      <c r="R979" s="49"/>
      <c r="S979" s="49"/>
      <c r="T979" s="49"/>
      <c r="U979" s="49"/>
      <c r="V979" s="49"/>
      <c r="W979" s="49"/>
      <c r="X979" s="49"/>
      <c r="Y979" s="49"/>
      <c r="Z979" s="49"/>
    </row>
    <row r="980" spans="1:26" ht="13">
      <c r="A980" s="49"/>
      <c r="B980" s="49"/>
      <c r="C980" s="49"/>
      <c r="D980" s="49"/>
      <c r="E980" s="49"/>
      <c r="F980" s="49"/>
      <c r="G980" s="49"/>
      <c r="H980" s="49"/>
      <c r="I980" s="49"/>
      <c r="J980" s="49"/>
      <c r="K980" s="49"/>
      <c r="L980" s="49"/>
      <c r="M980" s="49"/>
      <c r="N980" s="49"/>
      <c r="O980" s="49"/>
      <c r="P980" s="49"/>
      <c r="Q980" s="49"/>
      <c r="R980" s="49"/>
      <c r="S980" s="49"/>
      <c r="T980" s="49"/>
      <c r="U980" s="49"/>
      <c r="V980" s="49"/>
      <c r="W980" s="49"/>
      <c r="X980" s="49"/>
      <c r="Y980" s="49"/>
      <c r="Z980" s="49"/>
    </row>
    <row r="981" spans="1:26" ht="13">
      <c r="A981" s="49"/>
      <c r="B981" s="49"/>
      <c r="C981" s="49"/>
      <c r="D981" s="49"/>
      <c r="E981" s="49"/>
      <c r="F981" s="49"/>
      <c r="G981" s="49"/>
      <c r="H981" s="49"/>
      <c r="I981" s="49"/>
      <c r="J981" s="49"/>
      <c r="K981" s="49"/>
      <c r="L981" s="49"/>
      <c r="M981" s="49"/>
      <c r="N981" s="49"/>
      <c r="O981" s="49"/>
      <c r="P981" s="49"/>
      <c r="Q981" s="49"/>
      <c r="R981" s="49"/>
      <c r="S981" s="49"/>
      <c r="T981" s="49"/>
      <c r="U981" s="49"/>
      <c r="V981" s="49"/>
      <c r="W981" s="49"/>
      <c r="X981" s="49"/>
      <c r="Y981" s="49"/>
      <c r="Z981" s="49"/>
    </row>
    <row r="982" spans="1:26" ht="13">
      <c r="A982" s="49"/>
      <c r="B982" s="49"/>
      <c r="C982" s="49"/>
      <c r="D982" s="49"/>
      <c r="E982" s="49"/>
      <c r="F982" s="49"/>
      <c r="G982" s="49"/>
      <c r="H982" s="49"/>
      <c r="I982" s="49"/>
      <c r="J982" s="49"/>
      <c r="K982" s="49"/>
      <c r="L982" s="49"/>
      <c r="M982" s="49"/>
      <c r="N982" s="49"/>
      <c r="O982" s="49"/>
      <c r="P982" s="49"/>
      <c r="Q982" s="49"/>
      <c r="R982" s="49"/>
      <c r="S982" s="49"/>
      <c r="T982" s="49"/>
      <c r="U982" s="49"/>
      <c r="V982" s="49"/>
      <c r="W982" s="49"/>
      <c r="X982" s="49"/>
      <c r="Y982" s="49"/>
      <c r="Z982" s="49"/>
    </row>
    <row r="983" spans="1:26" ht="13">
      <c r="A983" s="49"/>
      <c r="B983" s="49"/>
      <c r="C983" s="49"/>
      <c r="D983" s="49"/>
      <c r="E983" s="49"/>
      <c r="F983" s="49"/>
      <c r="G983" s="49"/>
      <c r="H983" s="49"/>
      <c r="I983" s="49"/>
      <c r="J983" s="49"/>
      <c r="K983" s="49"/>
      <c r="L983" s="49"/>
      <c r="M983" s="49"/>
      <c r="N983" s="49"/>
      <c r="O983" s="49"/>
      <c r="P983" s="49"/>
      <c r="Q983" s="49"/>
      <c r="R983" s="49"/>
      <c r="S983" s="49"/>
      <c r="T983" s="49"/>
      <c r="U983" s="49"/>
      <c r="V983" s="49"/>
      <c r="W983" s="49"/>
      <c r="X983" s="49"/>
      <c r="Y983" s="49"/>
      <c r="Z983" s="49"/>
    </row>
    <row r="984" spans="1:26" ht="13">
      <c r="A984" s="49"/>
      <c r="B984" s="49"/>
      <c r="C984" s="49"/>
      <c r="D984" s="49"/>
      <c r="E984" s="49"/>
      <c r="F984" s="49"/>
      <c r="G984" s="49"/>
      <c r="H984" s="49"/>
      <c r="I984" s="49"/>
      <c r="J984" s="49"/>
      <c r="K984" s="49"/>
      <c r="L984" s="49"/>
      <c r="M984" s="49"/>
      <c r="N984" s="49"/>
      <c r="O984" s="49"/>
      <c r="P984" s="49"/>
      <c r="Q984" s="49"/>
      <c r="R984" s="49"/>
      <c r="S984" s="49"/>
      <c r="T984" s="49"/>
      <c r="U984" s="49"/>
      <c r="V984" s="49"/>
      <c r="W984" s="49"/>
      <c r="X984" s="49"/>
      <c r="Y984" s="49"/>
      <c r="Z984" s="49"/>
    </row>
    <row r="985" spans="1:26" ht="13">
      <c r="A985" s="49"/>
      <c r="B985" s="49"/>
      <c r="C985" s="49"/>
      <c r="D985" s="49"/>
      <c r="E985" s="49"/>
      <c r="F985" s="49"/>
      <c r="G985" s="49"/>
      <c r="H985" s="49"/>
      <c r="I985" s="49"/>
      <c r="J985" s="49"/>
      <c r="K985" s="49"/>
      <c r="L985" s="49"/>
      <c r="M985" s="49"/>
      <c r="N985" s="49"/>
      <c r="O985" s="49"/>
      <c r="P985" s="49"/>
      <c r="Q985" s="49"/>
      <c r="R985" s="49"/>
      <c r="S985" s="49"/>
      <c r="T985" s="49"/>
      <c r="U985" s="49"/>
      <c r="V985" s="49"/>
      <c r="W985" s="49"/>
      <c r="X985" s="49"/>
      <c r="Y985" s="49"/>
      <c r="Z985" s="49"/>
    </row>
    <row r="986" spans="1:26" ht="13">
      <c r="A986" s="49"/>
      <c r="B986" s="49"/>
      <c r="C986" s="49"/>
      <c r="D986" s="49"/>
      <c r="E986" s="49"/>
      <c r="F986" s="49"/>
      <c r="G986" s="49"/>
      <c r="H986" s="49"/>
      <c r="I986" s="49"/>
      <c r="J986" s="49"/>
      <c r="K986" s="49"/>
      <c r="L986" s="49"/>
      <c r="M986" s="49"/>
      <c r="N986" s="49"/>
      <c r="O986" s="49"/>
      <c r="P986" s="49"/>
      <c r="Q986" s="49"/>
      <c r="R986" s="49"/>
      <c r="S986" s="49"/>
      <c r="T986" s="49"/>
      <c r="U986" s="49"/>
      <c r="V986" s="49"/>
      <c r="W986" s="49"/>
      <c r="X986" s="49"/>
      <c r="Y986" s="49"/>
      <c r="Z986" s="49"/>
    </row>
    <row r="987" spans="1:26" ht="13">
      <c r="A987" s="49"/>
      <c r="B987" s="49"/>
      <c r="C987" s="49"/>
      <c r="D987" s="49"/>
      <c r="E987" s="49"/>
      <c r="F987" s="49"/>
      <c r="G987" s="49"/>
      <c r="H987" s="49"/>
      <c r="I987" s="49"/>
      <c r="J987" s="49"/>
      <c r="K987" s="49"/>
      <c r="L987" s="49"/>
      <c r="M987" s="49"/>
      <c r="N987" s="49"/>
      <c r="O987" s="49"/>
      <c r="P987" s="49"/>
      <c r="Q987" s="49"/>
      <c r="R987" s="49"/>
      <c r="S987" s="49"/>
      <c r="T987" s="49"/>
      <c r="U987" s="49"/>
      <c r="V987" s="49"/>
      <c r="W987" s="49"/>
      <c r="X987" s="49"/>
      <c r="Y987" s="49"/>
      <c r="Z987" s="49"/>
    </row>
    <row r="988" spans="1:26" ht="13">
      <c r="A988" s="49"/>
      <c r="B988" s="49"/>
      <c r="C988" s="49"/>
      <c r="D988" s="49"/>
      <c r="E988" s="49"/>
      <c r="F988" s="49"/>
      <c r="G988" s="49"/>
      <c r="H988" s="49"/>
      <c r="I988" s="49"/>
      <c r="J988" s="49"/>
      <c r="K988" s="49"/>
      <c r="L988" s="49"/>
      <c r="M988" s="49"/>
      <c r="N988" s="49"/>
      <c r="O988" s="49"/>
      <c r="P988" s="49"/>
      <c r="Q988" s="49"/>
      <c r="R988" s="49"/>
      <c r="S988" s="49"/>
      <c r="T988" s="49"/>
      <c r="U988" s="49"/>
      <c r="V988" s="49"/>
      <c r="W988" s="49"/>
      <c r="X988" s="49"/>
      <c r="Y988" s="49"/>
      <c r="Z988" s="49"/>
    </row>
    <row r="989" spans="1:26" ht="13">
      <c r="A989" s="49"/>
      <c r="B989" s="49"/>
      <c r="C989" s="49"/>
      <c r="D989" s="49"/>
      <c r="E989" s="49"/>
      <c r="F989" s="49"/>
      <c r="G989" s="49"/>
      <c r="H989" s="49"/>
      <c r="I989" s="49"/>
      <c r="J989" s="49"/>
      <c r="K989" s="49"/>
      <c r="L989" s="49"/>
      <c r="M989" s="49"/>
      <c r="N989" s="49"/>
      <c r="O989" s="49"/>
      <c r="P989" s="49"/>
      <c r="Q989" s="49"/>
      <c r="R989" s="49"/>
      <c r="S989" s="49"/>
      <c r="T989" s="49"/>
      <c r="U989" s="49"/>
      <c r="V989" s="49"/>
      <c r="W989" s="49"/>
      <c r="X989" s="49"/>
      <c r="Y989" s="49"/>
      <c r="Z989" s="49"/>
    </row>
    <row r="990" spans="1:26" ht="13">
      <c r="A990" s="49"/>
      <c r="B990" s="49"/>
      <c r="C990" s="49"/>
      <c r="D990" s="49"/>
      <c r="E990" s="49"/>
      <c r="F990" s="49"/>
      <c r="G990" s="49"/>
      <c r="H990" s="49"/>
      <c r="I990" s="49"/>
      <c r="J990" s="49"/>
      <c r="K990" s="49"/>
      <c r="L990" s="49"/>
      <c r="M990" s="49"/>
      <c r="N990" s="49"/>
      <c r="O990" s="49"/>
      <c r="P990" s="49"/>
      <c r="Q990" s="49"/>
      <c r="R990" s="49"/>
      <c r="S990" s="49"/>
      <c r="T990" s="49"/>
      <c r="U990" s="49"/>
      <c r="V990" s="49"/>
      <c r="W990" s="49"/>
      <c r="X990" s="49"/>
      <c r="Y990" s="49"/>
      <c r="Z990" s="49"/>
    </row>
    <row r="991" spans="1:26" ht="13">
      <c r="A991" s="49"/>
      <c r="B991" s="49"/>
      <c r="C991" s="49"/>
      <c r="D991" s="49"/>
      <c r="E991" s="49"/>
      <c r="F991" s="49"/>
      <c r="G991" s="49"/>
      <c r="H991" s="49"/>
      <c r="I991" s="49"/>
      <c r="J991" s="49"/>
      <c r="K991" s="49"/>
      <c r="L991" s="49"/>
      <c r="M991" s="49"/>
      <c r="N991" s="49"/>
      <c r="O991" s="49"/>
      <c r="P991" s="49"/>
      <c r="Q991" s="49"/>
      <c r="R991" s="49"/>
      <c r="S991" s="49"/>
      <c r="T991" s="49"/>
      <c r="U991" s="49"/>
      <c r="V991" s="49"/>
      <c r="W991" s="49"/>
      <c r="X991" s="49"/>
      <c r="Y991" s="49"/>
      <c r="Z991" s="49"/>
    </row>
    <row r="992" spans="1:26" ht="13">
      <c r="A992" s="49"/>
      <c r="B992" s="49"/>
      <c r="C992" s="49"/>
      <c r="D992" s="49"/>
      <c r="E992" s="49"/>
      <c r="F992" s="49"/>
      <c r="G992" s="49"/>
      <c r="H992" s="49"/>
      <c r="I992" s="49"/>
      <c r="J992" s="49"/>
      <c r="K992" s="49"/>
      <c r="L992" s="49"/>
      <c r="M992" s="49"/>
      <c r="N992" s="49"/>
      <c r="O992" s="49"/>
      <c r="P992" s="49"/>
      <c r="Q992" s="49"/>
      <c r="R992" s="49"/>
      <c r="S992" s="49"/>
      <c r="T992" s="49"/>
      <c r="U992" s="49"/>
      <c r="V992" s="49"/>
      <c r="W992" s="49"/>
      <c r="X992" s="49"/>
      <c r="Y992" s="49"/>
      <c r="Z992" s="49"/>
    </row>
    <row r="993" spans="1:26" ht="13">
      <c r="A993" s="49"/>
      <c r="B993" s="49"/>
      <c r="C993" s="49"/>
      <c r="D993" s="49"/>
      <c r="E993" s="49"/>
      <c r="F993" s="49"/>
      <c r="G993" s="49"/>
      <c r="H993" s="49"/>
      <c r="I993" s="49"/>
      <c r="J993" s="49"/>
      <c r="K993" s="49"/>
      <c r="L993" s="49"/>
      <c r="M993" s="49"/>
      <c r="N993" s="49"/>
      <c r="O993" s="49"/>
      <c r="P993" s="49"/>
      <c r="Q993" s="49"/>
      <c r="R993" s="49"/>
      <c r="S993" s="49"/>
      <c r="T993" s="49"/>
      <c r="U993" s="49"/>
      <c r="V993" s="49"/>
      <c r="W993" s="49"/>
      <c r="X993" s="49"/>
      <c r="Y993" s="49"/>
      <c r="Z993" s="49"/>
    </row>
    <row r="994" spans="1:26" ht="13">
      <c r="A994" s="49"/>
      <c r="B994" s="49"/>
      <c r="C994" s="49"/>
      <c r="D994" s="49"/>
      <c r="E994" s="49"/>
      <c r="F994" s="49"/>
      <c r="G994" s="49"/>
      <c r="H994" s="49"/>
      <c r="I994" s="49"/>
      <c r="J994" s="49"/>
      <c r="K994" s="49"/>
      <c r="L994" s="49"/>
      <c r="M994" s="49"/>
      <c r="N994" s="49"/>
      <c r="O994" s="49"/>
      <c r="P994" s="49"/>
      <c r="Q994" s="49"/>
      <c r="R994" s="49"/>
      <c r="S994" s="49"/>
      <c r="T994" s="49"/>
      <c r="U994" s="49"/>
      <c r="V994" s="49"/>
      <c r="W994" s="49"/>
      <c r="X994" s="49"/>
      <c r="Y994" s="49"/>
      <c r="Z994" s="49"/>
    </row>
    <row r="995" spans="1:26" ht="13">
      <c r="A995" s="49"/>
      <c r="B995" s="49"/>
      <c r="C995" s="49"/>
      <c r="D995" s="49"/>
      <c r="E995" s="49"/>
      <c r="F995" s="49"/>
      <c r="G995" s="49"/>
      <c r="H995" s="49"/>
      <c r="I995" s="49"/>
      <c r="J995" s="49"/>
      <c r="K995" s="49"/>
      <c r="L995" s="49"/>
      <c r="M995" s="49"/>
      <c r="N995" s="49"/>
      <c r="O995" s="49"/>
      <c r="P995" s="49"/>
      <c r="Q995" s="49"/>
      <c r="R995" s="49"/>
      <c r="S995" s="49"/>
      <c r="T995" s="49"/>
      <c r="U995" s="49"/>
      <c r="V995" s="49"/>
      <c r="W995" s="49"/>
      <c r="X995" s="49"/>
      <c r="Y995" s="49"/>
      <c r="Z995" s="49"/>
    </row>
    <row r="996" spans="1:26" ht="13">
      <c r="A996" s="49"/>
      <c r="B996" s="49"/>
      <c r="C996" s="49"/>
      <c r="D996" s="49"/>
      <c r="E996" s="49"/>
      <c r="F996" s="49"/>
      <c r="G996" s="49"/>
      <c r="H996" s="49"/>
      <c r="I996" s="49"/>
      <c r="J996" s="49"/>
      <c r="K996" s="49"/>
      <c r="L996" s="49"/>
      <c r="M996" s="49"/>
      <c r="N996" s="49"/>
      <c r="O996" s="49"/>
      <c r="P996" s="49"/>
      <c r="Q996" s="49"/>
      <c r="R996" s="49"/>
      <c r="S996" s="49"/>
      <c r="T996" s="49"/>
      <c r="U996" s="49"/>
      <c r="V996" s="49"/>
      <c r="W996" s="49"/>
      <c r="X996" s="49"/>
      <c r="Y996" s="49"/>
      <c r="Z996" s="49"/>
    </row>
    <row r="997" spans="1:26" ht="13">
      <c r="A997" s="49"/>
      <c r="B997" s="49"/>
      <c r="C997" s="49"/>
      <c r="D997" s="49"/>
      <c r="E997" s="49"/>
      <c r="F997" s="49"/>
      <c r="G997" s="49"/>
      <c r="H997" s="49"/>
      <c r="I997" s="49"/>
      <c r="J997" s="49"/>
      <c r="K997" s="49"/>
      <c r="L997" s="49"/>
      <c r="M997" s="49"/>
      <c r="N997" s="49"/>
      <c r="O997" s="49"/>
      <c r="P997" s="49"/>
      <c r="Q997" s="49"/>
      <c r="R997" s="49"/>
      <c r="S997" s="49"/>
      <c r="T997" s="49"/>
      <c r="U997" s="49"/>
      <c r="V997" s="49"/>
      <c r="W997" s="49"/>
      <c r="X997" s="49"/>
      <c r="Y997" s="49"/>
      <c r="Z997" s="49"/>
    </row>
    <row r="998" spans="1:26" ht="13">
      <c r="A998" s="49"/>
      <c r="B998" s="49"/>
      <c r="C998" s="49"/>
      <c r="D998" s="49"/>
      <c r="E998" s="49"/>
      <c r="F998" s="49"/>
      <c r="G998" s="49"/>
      <c r="H998" s="49"/>
      <c r="I998" s="49"/>
      <c r="J998" s="49"/>
      <c r="K998" s="49"/>
      <c r="L998" s="49"/>
      <c r="M998" s="49"/>
      <c r="N998" s="49"/>
      <c r="O998" s="49"/>
      <c r="P998" s="49"/>
      <c r="Q998" s="49"/>
      <c r="R998" s="49"/>
      <c r="S998" s="49"/>
      <c r="T998" s="49"/>
      <c r="U998" s="49"/>
      <c r="V998" s="49"/>
      <c r="W998" s="49"/>
      <c r="X998" s="49"/>
      <c r="Y998" s="49"/>
      <c r="Z998" s="49"/>
    </row>
    <row r="999" spans="1:26" ht="13">
      <c r="A999" s="49"/>
      <c r="B999" s="49"/>
      <c r="C999" s="49"/>
      <c r="D999" s="49"/>
      <c r="E999" s="49"/>
      <c r="F999" s="49"/>
      <c r="G999" s="49"/>
      <c r="H999" s="49"/>
      <c r="I999" s="49"/>
      <c r="J999" s="49"/>
      <c r="K999" s="49"/>
      <c r="L999" s="49"/>
      <c r="M999" s="49"/>
      <c r="N999" s="49"/>
      <c r="O999" s="49"/>
      <c r="P999" s="49"/>
      <c r="Q999" s="49"/>
      <c r="R999" s="49"/>
      <c r="S999" s="49"/>
      <c r="T999" s="49"/>
      <c r="U999" s="49"/>
      <c r="V999" s="49"/>
      <c r="W999" s="49"/>
      <c r="X999" s="49"/>
      <c r="Y999" s="49"/>
      <c r="Z999" s="49"/>
    </row>
    <row r="1000" spans="1:26" ht="13">
      <c r="A1000" s="49"/>
      <c r="B1000" s="49"/>
      <c r="C1000" s="49"/>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row>
  </sheetData>
  <mergeCells count="2">
    <mergeCell ref="A1:F1"/>
    <mergeCell ref="G1:H1"/>
  </mergeCells>
  <conditionalFormatting sqref="A1:A1000">
    <cfRule type="containsText" dxfId="9" priority="1" operator="containsText" text="Unassigned">
      <formula>NOT(ISERROR(SEARCH(("Unassigned"),(A1))))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K1000"/>
  <sheetViews>
    <sheetView workbookViewId="0"/>
  </sheetViews>
  <sheetFormatPr baseColWidth="10" defaultColWidth="14.5" defaultRowHeight="15.75" customHeight="1"/>
  <cols>
    <col min="1" max="1" width="11.33203125" customWidth="1"/>
    <col min="2" max="2" width="15.5" customWidth="1"/>
    <col min="3" max="3" width="14.5" customWidth="1"/>
    <col min="4" max="4" width="19" customWidth="1"/>
    <col min="5" max="5" width="20" customWidth="1"/>
    <col min="6" max="6" width="28.5" customWidth="1"/>
    <col min="7" max="7" width="13.5" customWidth="1"/>
    <col min="8" max="8" width="17.83203125" customWidth="1"/>
    <col min="9" max="9" width="23" customWidth="1"/>
    <col min="10" max="10" width="28.83203125" customWidth="1"/>
    <col min="11" max="11" width="60" customWidth="1"/>
  </cols>
  <sheetData>
    <row r="1" spans="1:11" ht="15.75" customHeight="1">
      <c r="A1" s="177" t="s">
        <v>7</v>
      </c>
      <c r="B1" s="178"/>
      <c r="C1" s="178"/>
      <c r="D1" s="178"/>
      <c r="E1" s="178"/>
      <c r="F1" s="178"/>
      <c r="G1" s="179"/>
      <c r="H1" s="182" t="s">
        <v>38</v>
      </c>
      <c r="I1" s="183"/>
      <c r="J1" s="183"/>
      <c r="K1" s="183"/>
    </row>
    <row r="2" spans="1:11" ht="15.75" customHeight="1">
      <c r="A2" s="100" t="s">
        <v>0</v>
      </c>
      <c r="B2" s="101" t="s">
        <v>72</v>
      </c>
      <c r="C2" s="101" t="s">
        <v>73</v>
      </c>
      <c r="D2" s="102" t="s">
        <v>74</v>
      </c>
      <c r="E2" s="102" t="s">
        <v>333</v>
      </c>
      <c r="F2" s="102" t="s">
        <v>334</v>
      </c>
      <c r="G2" s="101" t="s">
        <v>327</v>
      </c>
      <c r="H2" s="103" t="s">
        <v>335</v>
      </c>
      <c r="I2" s="104" t="s">
        <v>336</v>
      </c>
      <c r="J2" s="104" t="s">
        <v>337</v>
      </c>
      <c r="K2" s="105" t="s">
        <v>338</v>
      </c>
    </row>
    <row r="3" spans="1:11" ht="15.75" customHeight="1">
      <c r="A3" t="str">
        <f ca="1">IFERROR(__xludf.DUMMYFUNCTION("filter(Assignments!B3:B1000,Assignments!P3:P1000=""Clinical Actionability"", Assignments!O3:O1000=""Comprehensive"")"),"Unresponsive")</f>
        <v>Unresponsive</v>
      </c>
      <c r="B3" t="str">
        <f ca="1">IFERROR(__xludf.DUMMYFUNCTION("filter(Assignments!C3:C1000,Assignments!P3:P1000=""Clinical Actionability"",Assignments!O3:O1000=""Comprehensive"")"),"")</f>
        <v/>
      </c>
      <c r="C3" t="str">
        <f ca="1">IFERROR(__xludf.DUMMYFUNCTION("filter(Assignments!D3:D1000,Assignments!P3:P1000=""Clinical Actionability"",Assignments!O3:O1000=""Comprehensive"")"),"")</f>
        <v/>
      </c>
      <c r="D3" s="62" t="str">
        <f ca="1">IFERROR(__xludf.DUMMYFUNCTION("filter(Assignments!E3:E1000,Assignments!P3:P1000=""Clinical Actionability"",Assignments!O3:O1000=""Comprehensive"")"),"No")</f>
        <v>No</v>
      </c>
      <c r="E3" s="62" t="str">
        <f ca="1">IFERROR(__xludf.DUMMYFUNCTION("filter(Assignments!F3:F1000,Assignments!P3:P1000=""Clinical Actionability"",Assignments!O3:O1000=""Comprehensive"")"),"No")</f>
        <v>No</v>
      </c>
      <c r="F3" s="49" t="str">
        <f ca="1">IFERROR(__xludf.DUMMYFUNCTION("filter(Assignments!G3:G1000,Assignments!P3:P1000=""Clinical Actionability"",Assignments!O3:O1000=""Comprehensive"")"),"Actionability")</f>
        <v>Actionability</v>
      </c>
      <c r="G3" t="str">
        <f ca="1">IFERROR(__xludf.DUMMYFUNCTION("filter(Assignments!H3:H1000,Assignments!P3:P1000=""Clinical Actionability"",Assignments!O3:O1000=""Comprehensive"")"),"")</f>
        <v/>
      </c>
      <c r="H3" t="str">
        <f ca="1">IFERROR(__xludf.DUMMYFUNCTION("filter(Assignments!L3:L1000,Assignments!P3:P1000=""Clinical Actionability"",Assignments!O3:O1000=""Comprehensive"")"),"Edwin Kim")</f>
        <v>Edwin Kim</v>
      </c>
      <c r="I3" t="str">
        <f ca="1">IFERROR(__xludf.DUMMYFUNCTION("filter(Assignments!M3:M1000,Assignments!P3:P1000=""Clinical Actionability"",Assignments!O3:O1000=""Comprehensive"")"),"Edwinkimmd@gmail.com")</f>
        <v>Edwinkimmd@gmail.com</v>
      </c>
      <c r="J3" s="49" t="str">
        <f ca="1">IFERROR(__xludf.DUMMYFUNCTION("filter(Assignments!O3:O1000,Assignments!P3:P1000=""Clinical Actionability"",Assignments!O3:O1000=""Comprehensive"")"),"Comprehensive")</f>
        <v>Comprehensive</v>
      </c>
      <c r="K3" t="str">
        <f ca="1">IFERROR(__xludf.DUMMYFUNCTION("filter(Assignments!W3:W1000,Assignments!P3:P1000=""Clinical Actionability"",Assignments!O3:O1000=""Comprehensive"")"),"Possibly after gaining some more exposure and increasing experience.")</f>
        <v>Possibly after gaining some more exposure and increasing experience.</v>
      </c>
    </row>
    <row r="4" spans="1:11" ht="15.75" customHeight="1">
      <c r="A4" t="str">
        <f ca="1">IFERROR(__xludf.DUMMYFUNCTION("""COMPUTED_VALUE"""),"Contacted")</f>
        <v>Contacted</v>
      </c>
      <c r="B4" t="str">
        <f ca="1">IFERROR(__xludf.DUMMYFUNCTION("""COMPUTED_VALUE"""),"")</f>
        <v/>
      </c>
      <c r="C4" s="106">
        <f ca="1">IFERROR(__xludf.DUMMYFUNCTION("""COMPUTED_VALUE"""),43678)</f>
        <v>43678</v>
      </c>
      <c r="D4" s="49" t="str">
        <f ca="1">IFERROR(__xludf.DUMMYFUNCTION("""COMPUTED_VALUE"""),"Yes")</f>
        <v>Yes</v>
      </c>
      <c r="E4" s="49" t="str">
        <f ca="1">IFERROR(__xludf.DUMMYFUNCTION("""COMPUTED_VALUE"""),"No")</f>
        <v>No</v>
      </c>
      <c r="F4" s="49" t="str">
        <f ca="1">IFERROR(__xludf.DUMMYFUNCTION("""COMPUTED_VALUE"""),"Actionability")</f>
        <v>Actionability</v>
      </c>
      <c r="G4" t="str">
        <f ca="1">IFERROR(__xludf.DUMMYFUNCTION("""COMPUTED_VALUE"""),"")</f>
        <v/>
      </c>
      <c r="H4" t="str">
        <f ca="1">IFERROR(__xludf.DUMMYFUNCTION("""COMPUTED_VALUE"""),"Juan Carlos Diaz ")</f>
        <v xml:space="preserve">Juan Carlos Diaz </v>
      </c>
      <c r="I4" t="str">
        <f ca="1">IFERROR(__xludf.DUMMYFUNCTION("""COMPUTED_VALUE"""),"cuallijuan@hotmail.com ")</f>
        <v xml:space="preserve">cuallijuan@hotmail.com </v>
      </c>
      <c r="J4" s="49" t="str">
        <f ca="1">IFERROR(__xludf.DUMMYFUNCTION("""COMPUTED_VALUE"""),"Comprehensive")</f>
        <v>Comprehensive</v>
      </c>
      <c r="K4" t="str">
        <f ca="1">IFERROR(__xludf.DUMMYFUNCTION("""COMPUTED_VALUE"""),"Gene Curation Expert Panels")</f>
        <v>Gene Curation Expert Panels</v>
      </c>
    </row>
    <row r="5" spans="1:11" ht="15.75" customHeight="1">
      <c r="A5" t="str">
        <f ca="1">IFERROR(__xludf.DUMMYFUNCTION("""COMPUTED_VALUE"""),"Contacted")</f>
        <v>Contacted</v>
      </c>
      <c r="B5" t="str">
        <f ca="1">IFERROR(__xludf.DUMMYFUNCTION("""COMPUTED_VALUE"""),"")</f>
        <v/>
      </c>
      <c r="C5" s="106">
        <f ca="1">IFERROR(__xludf.DUMMYFUNCTION("""COMPUTED_VALUE"""),43678)</f>
        <v>43678</v>
      </c>
      <c r="D5" s="49" t="str">
        <f ca="1">IFERROR(__xludf.DUMMYFUNCTION("""COMPUTED_VALUE"""),"Yes")</f>
        <v>Yes</v>
      </c>
      <c r="E5" s="49" t="str">
        <f ca="1">IFERROR(__xludf.DUMMYFUNCTION("""COMPUTED_VALUE"""),"No")</f>
        <v>No</v>
      </c>
      <c r="F5" s="49" t="str">
        <f ca="1">IFERROR(__xludf.DUMMYFUNCTION("""COMPUTED_VALUE"""),"Actionability")</f>
        <v>Actionability</v>
      </c>
      <c r="G5" t="str">
        <f ca="1">IFERROR(__xludf.DUMMYFUNCTION("""COMPUTED_VALUE"""),"")</f>
        <v/>
      </c>
      <c r="H5" t="str">
        <f ca="1">IFERROR(__xludf.DUMMYFUNCTION("""COMPUTED_VALUE"""),"Rhea Vallente")</f>
        <v>Rhea Vallente</v>
      </c>
      <c r="I5" t="str">
        <f ca="1">IFERROR(__xludf.DUMMYFUNCTION("""COMPUTED_VALUE"""),"rvallente@fulgentgenetics.com")</f>
        <v>rvallente@fulgentgenetics.com</v>
      </c>
      <c r="J5" s="49" t="str">
        <f ca="1">IFERROR(__xludf.DUMMYFUNCTION("""COMPUTED_VALUE"""),"Comprehensive")</f>
        <v>Comprehensive</v>
      </c>
      <c r="K5" t="str">
        <f ca="1">IFERROR(__xludf.DUMMYFUNCTION("""COMPUTED_VALUE"""),"Hearing loss")</f>
        <v>Hearing loss</v>
      </c>
    </row>
    <row r="6" spans="1:11" ht="15.75" customHeight="1">
      <c r="A6" t="str">
        <f ca="1">IFERROR(__xludf.DUMMYFUNCTION("""COMPUTED_VALUE"""),"Contacted")</f>
        <v>Contacted</v>
      </c>
      <c r="B6" t="str">
        <f ca="1">IFERROR(__xludf.DUMMYFUNCTION("""COMPUTED_VALUE"""),"")</f>
        <v/>
      </c>
      <c r="C6" s="107">
        <f ca="1">IFERROR(__xludf.DUMMYFUNCTION("""COMPUTED_VALUE"""),43567)</f>
        <v>43567</v>
      </c>
      <c r="D6" s="49" t="str">
        <f ca="1">IFERROR(__xludf.DUMMYFUNCTION("""COMPUTED_VALUE"""),"Yes")</f>
        <v>Yes</v>
      </c>
      <c r="E6" s="49" t="str">
        <f ca="1">IFERROR(__xludf.DUMMYFUNCTION("""COMPUTED_VALUE"""),"Yes")</f>
        <v>Yes</v>
      </c>
      <c r="F6" s="49" t="str">
        <f ca="1">IFERROR(__xludf.DUMMYFUNCTION("""COMPUTED_VALUE"""),"Actionability")</f>
        <v>Actionability</v>
      </c>
      <c r="G6" t="str">
        <f ca="1">IFERROR(__xludf.DUMMYFUNCTION("""COMPUTED_VALUE"""),"Actionability")</f>
        <v>Actionability</v>
      </c>
      <c r="H6" t="str">
        <f ca="1">IFERROR(__xludf.DUMMYFUNCTION("""COMPUTED_VALUE"""),"Melissa Murfin")</f>
        <v>Melissa Murfin</v>
      </c>
      <c r="I6" t="str">
        <f ca="1">IFERROR(__xludf.DUMMYFUNCTION("""COMPUTED_VALUE"""),"mmurfin@elon.edu")</f>
        <v>mmurfin@elon.edu</v>
      </c>
      <c r="J6" s="49" t="str">
        <f ca="1">IFERROR(__xludf.DUMMYFUNCTION("""COMPUTED_VALUE"""),"Comprehensive")</f>
        <v>Comprehensive</v>
      </c>
      <c r="K6" t="str">
        <f ca="1">IFERROR(__xludf.DUMMYFUNCTION("""COMPUTED_VALUE"""),"I am open to any opportunity")</f>
        <v>I am open to any opportunity</v>
      </c>
    </row>
    <row r="7" spans="1:11" ht="15.75" customHeight="1">
      <c r="A7" t="str">
        <f ca="1">IFERROR(__xludf.DUMMYFUNCTION("""COMPUTED_VALUE"""),"Contacted")</f>
        <v>Contacted</v>
      </c>
      <c r="B7" t="str">
        <f ca="1">IFERROR(__xludf.DUMMYFUNCTION("""COMPUTED_VALUE"""),"")</f>
        <v/>
      </c>
      <c r="C7" s="107">
        <f ca="1">IFERROR(__xludf.DUMMYFUNCTION("""COMPUTED_VALUE"""),43567)</f>
        <v>43567</v>
      </c>
      <c r="D7" s="49" t="str">
        <f ca="1">IFERROR(__xludf.DUMMYFUNCTION("""COMPUTED_VALUE"""),"Yes")</f>
        <v>Yes</v>
      </c>
      <c r="E7" s="49" t="str">
        <f ca="1">IFERROR(__xludf.DUMMYFUNCTION("""COMPUTED_VALUE"""),"No")</f>
        <v>No</v>
      </c>
      <c r="F7" s="49" t="str">
        <f ca="1">IFERROR(__xludf.DUMMYFUNCTION("""COMPUTED_VALUE"""),"Actionability")</f>
        <v>Actionability</v>
      </c>
      <c r="G7" t="str">
        <f ca="1">IFERROR(__xludf.DUMMYFUNCTION("""COMPUTED_VALUE"""),"")</f>
        <v/>
      </c>
      <c r="H7" t="str">
        <f ca="1">IFERROR(__xludf.DUMMYFUNCTION("""COMPUTED_VALUE"""),"Marwan Shinawi")</f>
        <v>Marwan Shinawi</v>
      </c>
      <c r="I7" t="str">
        <f ca="1">IFERROR(__xludf.DUMMYFUNCTION("""COMPUTED_VALUE"""),"mshinawi@wustl.edu")</f>
        <v>mshinawi@wustl.edu</v>
      </c>
      <c r="J7" s="49" t="str">
        <f ca="1">IFERROR(__xludf.DUMMYFUNCTION("""COMPUTED_VALUE"""),"Comprehensive")</f>
        <v>Comprehensive</v>
      </c>
      <c r="K7" t="str">
        <f ca="1">IFERROR(__xludf.DUMMYFUNCTION("""COMPUTED_VALUE"""),"Autism and Intellectual Disability Gene Curation Expert Panel")</f>
        <v>Autism and Intellectual Disability Gene Curation Expert Panel</v>
      </c>
    </row>
    <row r="8" spans="1:11" ht="15.75" customHeight="1">
      <c r="A8" t="str">
        <f ca="1">IFERROR(__xludf.DUMMYFUNCTION("""COMPUTED_VALUE"""),"Assigned")</f>
        <v>Assigned</v>
      </c>
      <c r="B8" s="108">
        <f ca="1">IFERROR(__xludf.DUMMYFUNCTION("""COMPUTED_VALUE"""),43434)</f>
        <v>43434</v>
      </c>
      <c r="C8" s="107">
        <f ca="1">IFERROR(__xludf.DUMMYFUNCTION("""COMPUTED_VALUE"""),43522)</f>
        <v>43522</v>
      </c>
      <c r="D8" s="49" t="str">
        <f ca="1">IFERROR(__xludf.DUMMYFUNCTION("""COMPUTED_VALUE"""),"Yes")</f>
        <v>Yes</v>
      </c>
      <c r="E8" s="49" t="str">
        <f ca="1">IFERROR(__xludf.DUMMYFUNCTION("""COMPUTED_VALUE"""),"Yes")</f>
        <v>Yes</v>
      </c>
      <c r="F8" s="49" t="str">
        <f ca="1">IFERROR(__xludf.DUMMYFUNCTION("""COMPUTED_VALUE"""),"Actionability")</f>
        <v>Actionability</v>
      </c>
      <c r="G8" t="str">
        <f ca="1">IFERROR(__xludf.DUMMYFUNCTION("""COMPUTED_VALUE"""),"Actionability")</f>
        <v>Actionability</v>
      </c>
      <c r="H8" t="str">
        <f ca="1">IFERROR(__xludf.DUMMYFUNCTION("""COMPUTED_VALUE"""),"Kylin Boehler")</f>
        <v>Kylin Boehler</v>
      </c>
      <c r="I8" t="str">
        <f ca="1">IFERROR(__xludf.DUMMYFUNCTION("""COMPUTED_VALUE"""),"kylin.y.boehler@questdiagnostics.com")</f>
        <v>kylin.y.boehler@questdiagnostics.com</v>
      </c>
      <c r="J8" s="49" t="str">
        <f ca="1">IFERROR(__xludf.DUMMYFUNCTION("""COMPUTED_VALUE"""),"Comprehensive")</f>
        <v>Comprehensive</v>
      </c>
      <c r="K8" t="str">
        <f ca="1">IFERROR(__xludf.DUMMYFUNCTION("""COMPUTED_VALUE"""),"I am mainly interested in the Hereditary Cancer Gene Dosage Sensitivity Curation group.")</f>
        <v>I am mainly interested in the Hereditary Cancer Gene Dosage Sensitivity Curation group.</v>
      </c>
    </row>
    <row r="9" spans="1:11" ht="15.75" customHeight="1">
      <c r="A9" t="str">
        <f ca="1">IFERROR(__xludf.DUMMYFUNCTION("""COMPUTED_VALUE"""),"Unresponsive")</f>
        <v>Unresponsive</v>
      </c>
      <c r="B9" s="108">
        <f ca="1">IFERROR(__xludf.DUMMYFUNCTION("""COMPUTED_VALUE"""),43434)</f>
        <v>43434</v>
      </c>
      <c r="C9" t="str">
        <f ca="1">IFERROR(__xludf.DUMMYFUNCTION("""COMPUTED_VALUE"""),"")</f>
        <v/>
      </c>
      <c r="D9" s="49" t="str">
        <f ca="1">IFERROR(__xludf.DUMMYFUNCTION("""COMPUTED_VALUE"""),"No")</f>
        <v>No</v>
      </c>
      <c r="E9" s="49" t="str">
        <f ca="1">IFERROR(__xludf.DUMMYFUNCTION("""COMPUTED_VALUE"""),"No")</f>
        <v>No</v>
      </c>
      <c r="F9" s="49" t="str">
        <f ca="1">IFERROR(__xludf.DUMMYFUNCTION("""COMPUTED_VALUE"""),"Actionability")</f>
        <v>Actionability</v>
      </c>
      <c r="G9" t="str">
        <f ca="1">IFERROR(__xludf.DUMMYFUNCTION("""COMPUTED_VALUE"""),"")</f>
        <v/>
      </c>
      <c r="H9" t="str">
        <f ca="1">IFERROR(__xludf.DUMMYFUNCTION("""COMPUTED_VALUE"""),"Lisa Diller")</f>
        <v>Lisa Diller</v>
      </c>
      <c r="I9" t="str">
        <f ca="1">IFERROR(__xludf.DUMMYFUNCTION("""COMPUTED_VALUE"""),"lisa_diller@dfci.harvard.edu")</f>
        <v>lisa_diller@dfci.harvard.edu</v>
      </c>
      <c r="J9" s="49" t="str">
        <f ca="1">IFERROR(__xludf.DUMMYFUNCTION("""COMPUTED_VALUE"""),"Comprehensive")</f>
        <v>Comprehensive</v>
      </c>
      <c r="K9" t="str">
        <f ca="1">IFERROR(__xludf.DUMMYFUNCTION("""COMPUTED_VALUE"""),"Hereditary Cancer")</f>
        <v>Hereditary Cancer</v>
      </c>
    </row>
    <row r="10" spans="1:11" ht="15.75" customHeight="1">
      <c r="A10" t="str">
        <f ca="1">IFERROR(__xludf.DUMMYFUNCTION("""COMPUTED_VALUE"""),"Unresponsive")</f>
        <v>Unresponsive</v>
      </c>
      <c r="B10" s="108">
        <f ca="1">IFERROR(__xludf.DUMMYFUNCTION("""COMPUTED_VALUE"""),43434)</f>
        <v>43434</v>
      </c>
      <c r="C10" s="107">
        <f ca="1">IFERROR(__xludf.DUMMYFUNCTION("""COMPUTED_VALUE"""),43567)</f>
        <v>43567</v>
      </c>
      <c r="D10" s="49" t="str">
        <f ca="1">IFERROR(__xludf.DUMMYFUNCTION("""COMPUTED_VALUE"""),"Yes")</f>
        <v>Yes</v>
      </c>
      <c r="E10" s="49" t="str">
        <f ca="1">IFERROR(__xludf.DUMMYFUNCTION("""COMPUTED_VALUE"""),"No")</f>
        <v>No</v>
      </c>
      <c r="F10" s="49" t="str">
        <f ca="1">IFERROR(__xludf.DUMMYFUNCTION("""COMPUTED_VALUE"""),"Actionability")</f>
        <v>Actionability</v>
      </c>
      <c r="G10" t="str">
        <f ca="1">IFERROR(__xludf.DUMMYFUNCTION("""COMPUTED_VALUE"""),"")</f>
        <v/>
      </c>
      <c r="H10" t="str">
        <f ca="1">IFERROR(__xludf.DUMMYFUNCTION("""COMPUTED_VALUE"""),"Nharimann Azima")</f>
        <v>Nharimann Azima</v>
      </c>
      <c r="I10" t="str">
        <f ca="1">IFERROR(__xludf.DUMMYFUNCTION("""COMPUTED_VALUE"""),"naa3f@gwu.edu")</f>
        <v>naa3f@gwu.edu</v>
      </c>
      <c r="J10" s="49" t="str">
        <f ca="1">IFERROR(__xludf.DUMMYFUNCTION("""COMPUTED_VALUE"""),"Comprehensive")</f>
        <v>Comprehensive</v>
      </c>
      <c r="K10" t="str">
        <f ca="1">IFERROR(__xludf.DUMMYFUNCTION("""COMPUTED_VALUE"""),"I am flexible")</f>
        <v>I am flexible</v>
      </c>
    </row>
    <row r="11" spans="1:11" ht="15.75" customHeight="1">
      <c r="A11" t="str">
        <f ca="1">IFERROR(__xludf.DUMMYFUNCTION("""COMPUTED_VALUE"""),"Assigned")</f>
        <v>Assigned</v>
      </c>
      <c r="B11" s="108">
        <f ca="1">IFERROR(__xludf.DUMMYFUNCTION("""COMPUTED_VALUE"""),43434)</f>
        <v>43434</v>
      </c>
      <c r="C11" s="106">
        <f ca="1">IFERROR(__xludf.DUMMYFUNCTION("""COMPUTED_VALUE"""),43678)</f>
        <v>43678</v>
      </c>
      <c r="D11" s="49" t="str">
        <f ca="1">IFERROR(__xludf.DUMMYFUNCTION("""COMPUTED_VALUE"""),"Yes")</f>
        <v>Yes</v>
      </c>
      <c r="E11" s="49" t="str">
        <f ca="1">IFERROR(__xludf.DUMMYFUNCTION("""COMPUTED_VALUE"""),"Yes")</f>
        <v>Yes</v>
      </c>
      <c r="F11" s="49" t="str">
        <f ca="1">IFERROR(__xludf.DUMMYFUNCTION("""COMPUTED_VALUE"""),"Actionability")</f>
        <v>Actionability</v>
      </c>
      <c r="G11" t="str">
        <f ca="1">IFERROR(__xludf.DUMMYFUNCTION("""COMPUTED_VALUE"""),"Actionability")</f>
        <v>Actionability</v>
      </c>
      <c r="H11" t="str">
        <f ca="1">IFERROR(__xludf.DUMMYFUNCTION("""COMPUTED_VALUE"""),"Krzysztof Szczaluba")</f>
        <v>Krzysztof Szczaluba</v>
      </c>
      <c r="I11" t="str">
        <f ca="1">IFERROR(__xludf.DUMMYFUNCTION("""COMPUTED_VALUE"""),"krzysztof.szczaluba@gmail.com")</f>
        <v>krzysztof.szczaluba@gmail.com</v>
      </c>
      <c r="J11" s="49" t="str">
        <f ca="1">IFERROR(__xludf.DUMMYFUNCTION("""COMPUTED_VALUE"""),"Comprehensive")</f>
        <v>Comprehensive</v>
      </c>
      <c r="K11" t="str">
        <f ca="1">IFERROR(__xludf.DUMMYFUNCTION("""COMPUTED_VALUE"""),"autism/ID, epi, brovca")</f>
        <v>autism/ID, epi, brovca</v>
      </c>
    </row>
    <row r="12" spans="1:11" ht="15.75" customHeight="1">
      <c r="A12" t="str">
        <f ca="1">IFERROR(__xludf.DUMMYFUNCTION("""COMPUTED_VALUE"""),"Unresponsive")</f>
        <v>Unresponsive</v>
      </c>
      <c r="B12" s="108">
        <f ca="1">IFERROR(__xludf.DUMMYFUNCTION("""COMPUTED_VALUE"""),43434)</f>
        <v>43434</v>
      </c>
      <c r="C12" t="str">
        <f ca="1">IFERROR(__xludf.DUMMYFUNCTION("""COMPUTED_VALUE"""),"")</f>
        <v/>
      </c>
      <c r="D12" s="49" t="str">
        <f ca="1">IFERROR(__xludf.DUMMYFUNCTION("""COMPUTED_VALUE"""),"No")</f>
        <v>No</v>
      </c>
      <c r="E12" s="49" t="str">
        <f ca="1">IFERROR(__xludf.DUMMYFUNCTION("""COMPUTED_VALUE"""),"No")</f>
        <v>No</v>
      </c>
      <c r="F12" s="49" t="str">
        <f ca="1">IFERROR(__xludf.DUMMYFUNCTION("""COMPUTED_VALUE"""),"Actionability")</f>
        <v>Actionability</v>
      </c>
      <c r="G12" t="str">
        <f ca="1">IFERROR(__xludf.DUMMYFUNCTION("""COMPUTED_VALUE"""),"")</f>
        <v/>
      </c>
      <c r="H12" t="str">
        <f ca="1">IFERROR(__xludf.DUMMYFUNCTION("""COMPUTED_VALUE"""),"Robin Bennett")</f>
        <v>Robin Bennett</v>
      </c>
      <c r="I12" t="str">
        <f ca="1">IFERROR(__xludf.DUMMYFUNCTION("""COMPUTED_VALUE"""),"robinb@uw.edu")</f>
        <v>robinb@uw.edu</v>
      </c>
      <c r="J12" s="49" t="str">
        <f ca="1">IFERROR(__xludf.DUMMYFUNCTION("""COMPUTED_VALUE"""),"Comprehensive")</f>
        <v>Comprehensive</v>
      </c>
      <c r="K12" t="str">
        <f ca="1">IFERROR(__xludf.DUMMYFUNCTION("""COMPUTED_VALUE"""),"Variant curation expert panels: PTEN, VHL, CDH1, Colorectal cancer, breast-ovarian")</f>
        <v>Variant curation expert panels: PTEN, VHL, CDH1, Colorectal cancer, breast-ovarian</v>
      </c>
    </row>
    <row r="13" spans="1:11" ht="15.75" customHeight="1">
      <c r="A13" t="str">
        <f ca="1">IFERROR(__xludf.DUMMYFUNCTION("""COMPUTED_VALUE"""),"Unresponsive")</f>
        <v>Unresponsive</v>
      </c>
      <c r="B13" s="108">
        <f ca="1">IFERROR(__xludf.DUMMYFUNCTION("""COMPUTED_VALUE"""),43434)</f>
        <v>43434</v>
      </c>
      <c r="C13" s="107">
        <f ca="1">IFERROR(__xludf.DUMMYFUNCTION("""COMPUTED_VALUE"""),43522)</f>
        <v>43522</v>
      </c>
      <c r="D13" s="49" t="str">
        <f ca="1">IFERROR(__xludf.DUMMYFUNCTION("""COMPUTED_VALUE"""),"Yes")</f>
        <v>Yes</v>
      </c>
      <c r="E13" s="49" t="str">
        <f ca="1">IFERROR(__xludf.DUMMYFUNCTION("""COMPUTED_VALUE"""),"No")</f>
        <v>No</v>
      </c>
      <c r="F13" s="49" t="str">
        <f ca="1">IFERROR(__xludf.DUMMYFUNCTION("""COMPUTED_VALUE"""),"Actionability")</f>
        <v>Actionability</v>
      </c>
      <c r="G13" t="str">
        <f ca="1">IFERROR(__xludf.DUMMYFUNCTION("""COMPUTED_VALUE"""),"Actionability")</f>
        <v>Actionability</v>
      </c>
      <c r="H13" t="str">
        <f ca="1">IFERROR(__xludf.DUMMYFUNCTION("""COMPUTED_VALUE"""),"Fiona Curtis")</f>
        <v>Fiona Curtis</v>
      </c>
      <c r="I13" t="str">
        <f ca="1">IFERROR(__xludf.DUMMYFUNCTION("""COMPUTED_VALUE"""),"fionakatherinecurtis@yahoo.ca")</f>
        <v>fionakatherinecurtis@yahoo.ca</v>
      </c>
      <c r="J13" s="49" t="str">
        <f ca="1">IFERROR(__xludf.DUMMYFUNCTION("""COMPUTED_VALUE"""),"Comprehensive")</f>
        <v>Comprehensive</v>
      </c>
      <c r="K13" t="str">
        <f ca="1">IFERROR(__xludf.DUMMYFUNCTION("""COMPUTED_VALUE"""),"inherited cardiomyopathy or other CV diseases")</f>
        <v>inherited cardiomyopathy or other CV diseases</v>
      </c>
    </row>
    <row r="14" spans="1:11" ht="15.75" customHeight="1">
      <c r="A14" t="str">
        <f ca="1">IFERROR(__xludf.DUMMYFUNCTION("""COMPUTED_VALUE"""),"Unresponsive")</f>
        <v>Unresponsive</v>
      </c>
      <c r="B14" s="108">
        <f ca="1">IFERROR(__xludf.DUMMYFUNCTION("""COMPUTED_VALUE"""),43434)</f>
        <v>43434</v>
      </c>
      <c r="C14" t="str">
        <f ca="1">IFERROR(__xludf.DUMMYFUNCTION("""COMPUTED_VALUE"""),"")</f>
        <v/>
      </c>
      <c r="D14" s="49" t="str">
        <f ca="1">IFERROR(__xludf.DUMMYFUNCTION("""COMPUTED_VALUE"""),"No")</f>
        <v>No</v>
      </c>
      <c r="E14" s="49" t="str">
        <f ca="1">IFERROR(__xludf.DUMMYFUNCTION("""COMPUTED_VALUE"""),"No")</f>
        <v>No</v>
      </c>
      <c r="F14" s="49" t="str">
        <f ca="1">IFERROR(__xludf.DUMMYFUNCTION("""COMPUTED_VALUE"""),"Actionability")</f>
        <v>Actionability</v>
      </c>
      <c r="G14" t="str">
        <f ca="1">IFERROR(__xludf.DUMMYFUNCTION("""COMPUTED_VALUE"""),"")</f>
        <v/>
      </c>
      <c r="H14" t="str">
        <f ca="1">IFERROR(__xludf.DUMMYFUNCTION("""COMPUTED_VALUE"""),"Jennifer Marie Lee")</f>
        <v>Jennifer Marie Lee</v>
      </c>
      <c r="I14" t="str">
        <f ca="1">IFERROR(__xludf.DUMMYFUNCTION("""COMPUTED_VALUE"""),"Jennifer.Lee2@nih.gov")</f>
        <v>Jennifer.Lee2@nih.gov</v>
      </c>
      <c r="J14" s="49" t="str">
        <f ca="1">IFERROR(__xludf.DUMMYFUNCTION("""COMPUTED_VALUE"""),"Comprehensive")</f>
        <v>Comprehensive</v>
      </c>
      <c r="K14" t="str">
        <f ca="1">IFERROR(__xludf.DUMMYFUNCTION("""COMPUTED_VALUE"""),"NA")</f>
        <v>NA</v>
      </c>
    </row>
    <row r="15" spans="1:11" ht="15.75" customHeight="1">
      <c r="A15" t="str">
        <f ca="1">IFERROR(__xludf.DUMMYFUNCTION("""COMPUTED_VALUE"""),"Follow up email")</f>
        <v>Follow up email</v>
      </c>
      <c r="B15" t="str">
        <f ca="1">IFERROR(__xludf.DUMMYFUNCTION("""COMPUTED_VALUE"""),"12/18/18 (assigned)
declined(5-2-19)
Renewed interest 8/12/19")</f>
        <v>12/18/18 (assigned)
declined(5-2-19)
Renewed interest 8/12/19</v>
      </c>
      <c r="C15" s="106">
        <f ca="1">IFERROR(__xludf.DUMMYFUNCTION("""COMPUTED_VALUE"""),43769)</f>
        <v>43769</v>
      </c>
      <c r="D15" s="49" t="str">
        <f ca="1">IFERROR(__xludf.DUMMYFUNCTION("""COMPUTED_VALUE"""),"Yes")</f>
        <v>Yes</v>
      </c>
      <c r="E15" s="49" t="str">
        <f ca="1">IFERROR(__xludf.DUMMYFUNCTION("""COMPUTED_VALUE"""),"Yes")</f>
        <v>Yes</v>
      </c>
      <c r="F15" s="49" t="str">
        <f ca="1">IFERROR(__xludf.DUMMYFUNCTION("""COMPUTED_VALUE"""),"Actionability")</f>
        <v>Actionability</v>
      </c>
      <c r="G15" t="str">
        <f ca="1">IFERROR(__xludf.DUMMYFUNCTION("""COMPUTED_VALUE"""),"Actionability")</f>
        <v>Actionability</v>
      </c>
      <c r="H15" t="str">
        <f ca="1">IFERROR(__xludf.DUMMYFUNCTION("""COMPUTED_VALUE"""),"Morgan Similuk")</f>
        <v>Morgan Similuk</v>
      </c>
      <c r="I15" t="str">
        <f ca="1">IFERROR(__xludf.DUMMYFUNCTION("""COMPUTED_VALUE"""),"Morgan.similuk@nih.gov")</f>
        <v>Morgan.similuk@nih.gov</v>
      </c>
      <c r="J15" s="49"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s="108">
        <f ca="1">IFERROR(__xludf.DUMMYFUNCTION("""COMPUTED_VALUE"""),43452)</f>
        <v>43452</v>
      </c>
      <c r="C16" s="106">
        <f ca="1">IFERROR(__xludf.DUMMYFUNCTION("""COMPUTED_VALUE"""),43678)</f>
        <v>43678</v>
      </c>
      <c r="D16" s="49" t="str">
        <f ca="1">IFERROR(__xludf.DUMMYFUNCTION("""COMPUTED_VALUE"""),"Yes")</f>
        <v>Yes</v>
      </c>
      <c r="E16" s="49" t="str">
        <f ca="1">IFERROR(__xludf.DUMMYFUNCTION("""COMPUTED_VALUE"""),"No")</f>
        <v>No</v>
      </c>
      <c r="F16" s="49" t="str">
        <f ca="1">IFERROR(__xludf.DUMMYFUNCTION("""COMPUTED_VALUE"""),"Actionability")</f>
        <v>Actionability</v>
      </c>
      <c r="G16" t="str">
        <f ca="1">IFERROR(__xludf.DUMMYFUNCTION("""COMPUTED_VALUE"""),"")</f>
        <v/>
      </c>
      <c r="H16" t="str">
        <f ca="1">IFERROR(__xludf.DUMMYFUNCTION("""COMPUTED_VALUE"""),"Sandra P Smieszek")</f>
        <v>Sandra P Smieszek</v>
      </c>
      <c r="I16" t="str">
        <f ca="1">IFERROR(__xludf.DUMMYFUNCTION("""COMPUTED_VALUE"""),"sps92@case.edu")</f>
        <v>sps92@case.edu</v>
      </c>
      <c r="J16" s="49" t="str">
        <f ca="1">IFERROR(__xludf.DUMMYFUNCTION("""COMPUTED_VALUE"""),"Comprehensive")</f>
        <v>Comprehensive</v>
      </c>
      <c r="K16" t="str">
        <f ca="1">IFERROR(__xludf.DUMMYFUNCTION("""COMPUTED_VALUE"""),"Autism")</f>
        <v>Autism</v>
      </c>
    </row>
    <row r="17" spans="1:11" ht="15.75" customHeight="1">
      <c r="A17" t="str">
        <f ca="1">IFERROR(__xludf.DUMMYFUNCTION("""COMPUTED_VALUE"""),"Unresponsive")</f>
        <v>Unresponsive</v>
      </c>
      <c r="B17" t="str">
        <f ca="1">IFERROR(__xludf.DUMMYFUNCTION("""COMPUTED_VALUE"""),"")</f>
        <v/>
      </c>
      <c r="C17" t="str">
        <f ca="1">IFERROR(__xludf.DUMMYFUNCTION("""COMPUTED_VALUE"""),"")</f>
        <v/>
      </c>
      <c r="D17" s="49" t="str">
        <f ca="1">IFERROR(__xludf.DUMMYFUNCTION("""COMPUTED_VALUE"""),"No")</f>
        <v>No</v>
      </c>
      <c r="E17" s="49" t="str">
        <f ca="1">IFERROR(__xludf.DUMMYFUNCTION("""COMPUTED_VALUE"""),"No")</f>
        <v>No</v>
      </c>
      <c r="F17" s="49" t="str">
        <f ca="1">IFERROR(__xludf.DUMMYFUNCTION("""COMPUTED_VALUE"""),"Actionability")</f>
        <v>Actionability</v>
      </c>
      <c r="G17" t="str">
        <f ca="1">IFERROR(__xludf.DUMMYFUNCTION("""COMPUTED_VALUE"""),"")</f>
        <v/>
      </c>
      <c r="H17" t="str">
        <f ca="1">IFERROR(__xludf.DUMMYFUNCTION("""COMPUTED_VALUE"""),"Samata Singhi")</f>
        <v>Samata Singhi</v>
      </c>
      <c r="I17" t="str">
        <f ca="1">IFERROR(__xludf.DUMMYFUNCTION("""COMPUTED_VALUE"""),"samata.singhi@gmail.com")</f>
        <v>samata.singhi@gmail.com</v>
      </c>
      <c r="J17" s="49" t="str">
        <f ca="1">IFERROR(__xludf.DUMMYFUNCTION("""COMPUTED_VALUE"""),"Comprehensive")</f>
        <v>Comprehensive</v>
      </c>
      <c r="K17" t="str">
        <f ca="1">IFERROR(__xludf.DUMMYFUNCTION("""COMPUTED_VALUE"""),"Epilepsy")</f>
        <v>Epilepsy</v>
      </c>
    </row>
    <row r="18" spans="1:11" ht="15.75" customHeight="1">
      <c r="A18" t="str">
        <f ca="1">IFERROR(__xludf.DUMMYFUNCTION("""COMPUTED_VALUE"""),"Unresponsive")</f>
        <v>Unresponsive</v>
      </c>
      <c r="B18" t="str">
        <f ca="1">IFERROR(__xludf.DUMMYFUNCTION("""COMPUTED_VALUE"""),"")</f>
        <v/>
      </c>
      <c r="C18" s="107">
        <f ca="1">IFERROR(__xludf.DUMMYFUNCTION("""COMPUTED_VALUE"""),43567)</f>
        <v>43567</v>
      </c>
      <c r="D18" s="49" t="str">
        <f ca="1">IFERROR(__xludf.DUMMYFUNCTION("""COMPUTED_VALUE"""),"Yes")</f>
        <v>Yes</v>
      </c>
      <c r="E18" s="49" t="str">
        <f ca="1">IFERROR(__xludf.DUMMYFUNCTION("""COMPUTED_VALUE"""),"Yes")</f>
        <v>Yes</v>
      </c>
      <c r="F18" s="49" t="str">
        <f ca="1">IFERROR(__xludf.DUMMYFUNCTION("""COMPUTED_VALUE"""),"Actionability")</f>
        <v>Actionability</v>
      </c>
      <c r="G18" t="str">
        <f ca="1">IFERROR(__xludf.DUMMYFUNCTION("""COMPUTED_VALUE"""),"Actionability")</f>
        <v>Actionability</v>
      </c>
      <c r="H18" t="str">
        <f ca="1">IFERROR(__xludf.DUMMYFUNCTION("""COMPUTED_VALUE"""),"Ramesh Vaidyanathan")</f>
        <v>Ramesh Vaidyanathan</v>
      </c>
      <c r="I18" t="str">
        <f ca="1">IFERROR(__xludf.DUMMYFUNCTION("""COMPUTED_VALUE"""),"vaid@rocketmail.com")</f>
        <v>vaid@rocketmail.com</v>
      </c>
      <c r="J18" s="49" t="str">
        <f ca="1">IFERROR(__xludf.DUMMYFUNCTION("""COMPUTED_VALUE"""),"Comprehensive")</f>
        <v>Comprehensive</v>
      </c>
      <c r="K18" t="str">
        <f ca="1">IFERROR(__xludf.DUMMYFUNCTION("""COMPUTED_VALUE"""),"")</f>
        <v/>
      </c>
    </row>
    <row r="19" spans="1:11" ht="15.75" customHeight="1">
      <c r="A19" t="str">
        <f ca="1">IFERROR(__xludf.DUMMYFUNCTION("""COMPUTED_VALUE"""),"Unresponsive")</f>
        <v>Unresponsive</v>
      </c>
      <c r="B19" t="str">
        <f ca="1">IFERROR(__xludf.DUMMYFUNCTION("""COMPUTED_VALUE"""),"")</f>
        <v/>
      </c>
      <c r="C19" s="107">
        <f ca="1">IFERROR(__xludf.DUMMYFUNCTION("""COMPUTED_VALUE"""),43567)</f>
        <v>43567</v>
      </c>
      <c r="D19" s="49" t="str">
        <f ca="1">IFERROR(__xludf.DUMMYFUNCTION("""COMPUTED_VALUE"""),"Yes")</f>
        <v>Yes</v>
      </c>
      <c r="E19" s="49" t="str">
        <f ca="1">IFERROR(__xludf.DUMMYFUNCTION("""COMPUTED_VALUE"""),"Yes")</f>
        <v>Yes</v>
      </c>
      <c r="F19" s="49" t="str">
        <f ca="1">IFERROR(__xludf.DUMMYFUNCTION("""COMPUTED_VALUE"""),"Actionability")</f>
        <v>Actionability</v>
      </c>
      <c r="G19" t="str">
        <f ca="1">IFERROR(__xludf.DUMMYFUNCTION("""COMPUTED_VALUE"""),"Actionability")</f>
        <v>Actionability</v>
      </c>
      <c r="H19" t="str">
        <f ca="1">IFERROR(__xludf.DUMMYFUNCTION("""COMPUTED_VALUE"""),"Lesley Northrop")</f>
        <v>Lesley Northrop</v>
      </c>
      <c r="I19" t="str">
        <f ca="1">IFERROR(__xludf.DUMMYFUNCTION("""COMPUTED_VALUE"""),"lesleyenorthrop@gmail.com")</f>
        <v>lesleyenorthrop@gmail.com</v>
      </c>
      <c r="J19" s="49" t="str">
        <f ca="1">IFERROR(__xludf.DUMMYFUNCTION("""COMPUTED_VALUE"""),"Comprehensive")</f>
        <v>Comprehensive</v>
      </c>
      <c r="K19" t="str">
        <f ca="1">IFERROR(__xludf.DUMMYFUNCTION("""COMPUTED_VALUE"""),"Gene Curation - Epilepsy or Autism &amp; ID")</f>
        <v>Gene Curation - Epilepsy or Autism &amp; ID</v>
      </c>
    </row>
    <row r="20" spans="1:11" ht="15.75" customHeight="1">
      <c r="A20" t="str">
        <f ca="1">IFERROR(__xludf.DUMMYFUNCTION("""COMPUTED_VALUE"""),"Unresponsive")</f>
        <v>Unresponsive</v>
      </c>
      <c r="B20" t="str">
        <f ca="1">IFERROR(__xludf.DUMMYFUNCTION("""COMPUTED_VALUE"""),"7-9-19 (status changed to unresponsive)")</f>
        <v>7-9-19 (status changed to unresponsive)</v>
      </c>
      <c r="C20" t="str">
        <f ca="1">IFERROR(__xludf.DUMMYFUNCTION("""COMPUTED_VALUE"""),"")</f>
        <v/>
      </c>
      <c r="D20" s="49" t="str">
        <f ca="1">IFERROR(__xludf.DUMMYFUNCTION("""COMPUTED_VALUE"""),"No")</f>
        <v>No</v>
      </c>
      <c r="E20" s="49" t="str">
        <f ca="1">IFERROR(__xludf.DUMMYFUNCTION("""COMPUTED_VALUE"""),"No")</f>
        <v>No</v>
      </c>
      <c r="F20" s="49" t="str">
        <f ca="1">IFERROR(__xludf.DUMMYFUNCTION("""COMPUTED_VALUE"""),"Actionability")</f>
        <v>Actionability</v>
      </c>
      <c r="G20" t="str">
        <f ca="1">IFERROR(__xludf.DUMMYFUNCTION("""COMPUTED_VALUE"""),"")</f>
        <v/>
      </c>
      <c r="H20" t="str">
        <f ca="1">IFERROR(__xludf.DUMMYFUNCTION("""COMPUTED_VALUE"""),"Alka Chaubey")</f>
        <v>Alka Chaubey</v>
      </c>
      <c r="I20" t="str">
        <f ca="1">IFERROR(__xludf.DUMMYFUNCTION("""COMPUTED_VALUE"""),"")</f>
        <v/>
      </c>
      <c r="J20" s="49" t="str">
        <f ca="1">IFERROR(__xludf.DUMMYFUNCTION("""COMPUTED_VALUE"""),"Comprehensive")</f>
        <v>Comprehensive</v>
      </c>
      <c r="K20" t="str">
        <f ca="1">IFERROR(__xludf.DUMMYFUNCTION("""COMPUTED_VALUE"""),"Dosage sensitivity and somatic cancer ")</f>
        <v xml:space="preserve">Dosage sensitivity and somatic cancer </v>
      </c>
    </row>
    <row r="21" spans="1:11" ht="15.75" customHeight="1">
      <c r="A21" t="str">
        <f ca="1">IFERROR(__xludf.DUMMYFUNCTION("""COMPUTED_VALUE"""),"Contacted")</f>
        <v>Contacted</v>
      </c>
      <c r="B21" t="str">
        <f ca="1">IFERROR(__xludf.DUMMYFUNCTION("""COMPUTED_VALUE"""),"")</f>
        <v/>
      </c>
      <c r="C21" s="106">
        <f ca="1">IFERROR(__xludf.DUMMYFUNCTION("""COMPUTED_VALUE"""),43594)</f>
        <v>43594</v>
      </c>
      <c r="D21" s="49" t="str">
        <f ca="1">IFERROR(__xludf.DUMMYFUNCTION("""COMPUTED_VALUE"""),"Yes")</f>
        <v>Yes</v>
      </c>
      <c r="E21" s="49" t="str">
        <f ca="1">IFERROR(__xludf.DUMMYFUNCTION("""COMPUTED_VALUE"""),"Yes")</f>
        <v>Yes</v>
      </c>
      <c r="F21" s="49" t="str">
        <f ca="1">IFERROR(__xludf.DUMMYFUNCTION("""COMPUTED_VALUE"""),"Actionability")</f>
        <v>Actionability</v>
      </c>
      <c r="G21" t="str">
        <f ca="1">IFERROR(__xludf.DUMMYFUNCTION("""COMPUTED_VALUE"""),"Actionability")</f>
        <v>Actionability</v>
      </c>
      <c r="H21" t="str">
        <f ca="1">IFERROR(__xludf.DUMMYFUNCTION("""COMPUTED_VALUE"""),"Karen Hanson")</f>
        <v>Karen Hanson</v>
      </c>
      <c r="I21" t="str">
        <f ca="1">IFERROR(__xludf.DUMMYFUNCTION("""COMPUTED_VALUE"""),"krhms3@gmail.com")</f>
        <v>krhms3@gmail.com</v>
      </c>
      <c r="J21" s="49" t="str">
        <f ca="1">IFERROR(__xludf.DUMMYFUNCTION("""COMPUTED_VALUE"""),"Comprehensive")</f>
        <v>Comprehensive</v>
      </c>
      <c r="K21" t="str">
        <f ca="1">IFERROR(__xludf.DUMMYFUNCTION("""COMPUTED_VALUE"""),"brain malformations, cancer")</f>
        <v>brain malformations, cancer</v>
      </c>
    </row>
    <row r="22" spans="1:11" ht="15.75" customHeight="1">
      <c r="A22" t="str">
        <f ca="1">IFERROR(__xludf.DUMMYFUNCTION("""COMPUTED_VALUE"""),"Assigned")</f>
        <v>Assigned</v>
      </c>
      <c r="B22" s="106">
        <f ca="1">IFERROR(__xludf.DUMMYFUNCTION("""COMPUTED_VALUE"""),43787)</f>
        <v>43787</v>
      </c>
      <c r="C22" t="str">
        <f ca="1">IFERROR(__xludf.DUMMYFUNCTION("""COMPUTED_VALUE"""),"")</f>
        <v/>
      </c>
      <c r="D22" s="49" t="str">
        <f ca="1">IFERROR(__xludf.DUMMYFUNCTION("""COMPUTED_VALUE"""),"No")</f>
        <v>No</v>
      </c>
      <c r="E22" s="49" t="str">
        <f ca="1">IFERROR(__xludf.DUMMYFUNCTION("""COMPUTED_VALUE"""),"No")</f>
        <v>No</v>
      </c>
      <c r="F22" s="49" t="str">
        <f ca="1">IFERROR(__xludf.DUMMYFUNCTION("""COMPUTED_VALUE"""),"Actionability")</f>
        <v>Actionability</v>
      </c>
      <c r="G22" t="str">
        <f ca="1">IFERROR(__xludf.DUMMYFUNCTION("""COMPUTED_VALUE"""),"")</f>
        <v/>
      </c>
      <c r="H22" t="str">
        <f ca="1">IFERROR(__xludf.DUMMYFUNCTION("""COMPUTED_VALUE"""),"Fareed Al Qusous")</f>
        <v>Fareed Al Qusous</v>
      </c>
      <c r="I22" t="str">
        <f ca="1">IFERROR(__xludf.DUMMYFUNCTION("""COMPUTED_VALUE"""),"Fareedh.al.qusous@hotmail.com")</f>
        <v>Fareedh.al.qusous@hotmail.com</v>
      </c>
      <c r="J22" s="49"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s="108">
        <f ca="1">IFERROR(__xludf.DUMMYFUNCTION("""COMPUTED_VALUE"""),43689)</f>
        <v>43689</v>
      </c>
      <c r="C23" s="108">
        <f ca="1">IFERROR(__xludf.DUMMYFUNCTION("""COMPUTED_VALUE"""),43768)</f>
        <v>43768</v>
      </c>
      <c r="D23" s="49" t="str">
        <f ca="1">IFERROR(__xludf.DUMMYFUNCTION("""COMPUTED_VALUE"""),"Yes")</f>
        <v>Yes</v>
      </c>
      <c r="E23" s="49" t="str">
        <f ca="1">IFERROR(__xludf.DUMMYFUNCTION("""COMPUTED_VALUE"""),"Yes")</f>
        <v>Yes</v>
      </c>
      <c r="F23" s="49" t="str">
        <f ca="1">IFERROR(__xludf.DUMMYFUNCTION("""COMPUTED_VALUE"""),"Actionability")</f>
        <v>Actionability</v>
      </c>
      <c r="G23" t="str">
        <f ca="1">IFERROR(__xludf.DUMMYFUNCTION("""COMPUTED_VALUE"""),"Actionability")</f>
        <v>Actionability</v>
      </c>
      <c r="H23" t="str">
        <f ca="1">IFERROR(__xludf.DUMMYFUNCTION("""COMPUTED_VALUE"""),"Gifty Bhat")</f>
        <v>Gifty Bhat</v>
      </c>
      <c r="I23" t="str">
        <f ca="1">IFERROR(__xludf.DUMMYFUNCTION("""COMPUTED_VALUE"""),"drgiftybhat@gmail.com")</f>
        <v>drgiftybhat@gmail.com</v>
      </c>
      <c r="J23" s="49" t="str">
        <f ca="1">IFERROR(__xludf.DUMMYFUNCTION("""COMPUTED_VALUE"""),"Comprehensive")</f>
        <v>Comprehensive</v>
      </c>
      <c r="K23" t="str">
        <f ca="1">IFERROR(__xludf.DUMMYFUNCTION("""COMPUTED_VALUE"""),"Intellectual disability and autism")</f>
        <v>Intellectual disability and autism</v>
      </c>
    </row>
    <row r="24" spans="1:11" ht="15.75" customHeight="1">
      <c r="A24" t="str">
        <f ca="1">IFERROR(__xludf.DUMMYFUNCTION("""COMPUTED_VALUE"""),"Contacted")</f>
        <v>Contacted</v>
      </c>
      <c r="B24" s="108">
        <f ca="1">IFERROR(__xludf.DUMMYFUNCTION("""COMPUTED_VALUE"""),43689)</f>
        <v>43689</v>
      </c>
      <c r="C24" t="str">
        <f ca="1">IFERROR(__xludf.DUMMYFUNCTION("""COMPUTED_VALUE"""),"")</f>
        <v/>
      </c>
      <c r="D24" s="49" t="str">
        <f ca="1">IFERROR(__xludf.DUMMYFUNCTION("""COMPUTED_VALUE"""),"")</f>
        <v/>
      </c>
      <c r="E24" s="49" t="str">
        <f ca="1">IFERROR(__xludf.DUMMYFUNCTION("""COMPUTED_VALUE"""),"No")</f>
        <v>No</v>
      </c>
      <c r="F24" s="49" t="str">
        <f ca="1">IFERROR(__xludf.DUMMYFUNCTION("""COMPUTED_VALUE"""),"Actionability")</f>
        <v>Actionability</v>
      </c>
      <c r="G24" t="str">
        <f ca="1">IFERROR(__xludf.DUMMYFUNCTION("""COMPUTED_VALUE"""),"")</f>
        <v/>
      </c>
      <c r="H24" t="str">
        <f ca="1">IFERROR(__xludf.DUMMYFUNCTION("""COMPUTED_VALUE"""),"Léon Tshilolo")</f>
        <v>Léon Tshilolo</v>
      </c>
      <c r="I24" t="str">
        <f ca="1">IFERROR(__xludf.DUMMYFUNCTION("""COMPUTED_VALUE"""),"leon.tshilolo2012@gmail.com")</f>
        <v>leon.tshilolo2012@gmail.com</v>
      </c>
      <c r="J24" s="49" t="str">
        <f ca="1">IFERROR(__xludf.DUMMYFUNCTION("""COMPUTED_VALUE"""),"Comprehensive")</f>
        <v>Comprehensive</v>
      </c>
      <c r="K24" t="str">
        <f ca="1">IFERROR(__xludf.DUMMYFUNCTION("""COMPUTED_VALUE"""),"hemoglobinopathies")</f>
        <v>hemoglobinopathies</v>
      </c>
    </row>
    <row r="25" spans="1:11" ht="15.75" customHeight="1">
      <c r="A25" t="str">
        <f ca="1">IFERROR(__xludf.DUMMYFUNCTION("""COMPUTED_VALUE"""),"Unresponsive")</f>
        <v>Unresponsive</v>
      </c>
      <c r="B25" s="108">
        <f ca="1">IFERROR(__xludf.DUMMYFUNCTION("""COMPUTED_VALUE"""),43689)</f>
        <v>43689</v>
      </c>
      <c r="C25" t="str">
        <f ca="1">IFERROR(__xludf.DUMMYFUNCTION("""COMPUTED_VALUE"""),"")</f>
        <v/>
      </c>
      <c r="D25" s="49" t="str">
        <f ca="1">IFERROR(__xludf.DUMMYFUNCTION("""COMPUTED_VALUE"""),"")</f>
        <v/>
      </c>
      <c r="E25" s="49" t="str">
        <f ca="1">IFERROR(__xludf.DUMMYFUNCTION("""COMPUTED_VALUE"""),"No")</f>
        <v>No</v>
      </c>
      <c r="F25" s="49" t="str">
        <f ca="1">IFERROR(__xludf.DUMMYFUNCTION("""COMPUTED_VALUE"""),"Actionability")</f>
        <v>Actionability</v>
      </c>
      <c r="G25" t="str">
        <f ca="1">IFERROR(__xludf.DUMMYFUNCTION("""COMPUTED_VALUE"""),"")</f>
        <v/>
      </c>
      <c r="H25" t="str">
        <f ca="1">IFERROR(__xludf.DUMMYFUNCTION("""COMPUTED_VALUE"""),"Altovise Ewing")</f>
        <v>Altovise Ewing</v>
      </c>
      <c r="I25" t="str">
        <f ca="1">IFERROR(__xludf.DUMMYFUNCTION("""COMPUTED_VALUE"""),"altovisee@gmail.com")</f>
        <v>altovisee@gmail.com</v>
      </c>
      <c r="J25" s="49" t="str">
        <f ca="1">IFERROR(__xludf.DUMMYFUNCTION("""COMPUTED_VALUE"""),"Comprehensive")</f>
        <v>Comprehensive</v>
      </c>
      <c r="K25" t="str">
        <f ca="1">IFERROR(__xludf.DUMMYFUNCTION("""COMPUTED_VALUE"""),"Hereditary cancer")</f>
        <v>Hereditary cancer</v>
      </c>
    </row>
    <row r="26" spans="1:11" ht="15.75" customHeight="1">
      <c r="A26" t="str">
        <f ca="1">IFERROR(__xludf.DUMMYFUNCTION("""COMPUTED_VALUE"""),"Contacted")</f>
        <v>Contacted</v>
      </c>
      <c r="B26" s="108">
        <f ca="1">IFERROR(__xludf.DUMMYFUNCTION("""COMPUTED_VALUE"""),43689)</f>
        <v>43689</v>
      </c>
      <c r="C26" s="106">
        <f ca="1">IFERROR(__xludf.DUMMYFUNCTION("""COMPUTED_VALUE"""),43768)</f>
        <v>43768</v>
      </c>
      <c r="D26" s="49" t="str">
        <f ca="1">IFERROR(__xludf.DUMMYFUNCTION("""COMPUTED_VALUE"""),"Yes")</f>
        <v>Yes</v>
      </c>
      <c r="E26" s="49" t="str">
        <f ca="1">IFERROR(__xludf.DUMMYFUNCTION("""COMPUTED_VALUE"""),"Yes")</f>
        <v>Yes</v>
      </c>
      <c r="F26" s="49" t="str">
        <f ca="1">IFERROR(__xludf.DUMMYFUNCTION("""COMPUTED_VALUE"""),"Actionability")</f>
        <v>Actionability</v>
      </c>
      <c r="G26" t="str">
        <f ca="1">IFERROR(__xludf.DUMMYFUNCTION("""COMPUTED_VALUE"""),"Actionability")</f>
        <v>Actionability</v>
      </c>
      <c r="H26" t="str">
        <f ca="1">IFERROR(__xludf.DUMMYFUNCTION("""COMPUTED_VALUE"""),"Greg Lennon")</f>
        <v>Greg Lennon</v>
      </c>
      <c r="I26" t="str">
        <f ca="1">IFERROR(__xludf.DUMMYFUNCTION("""COMPUTED_VALUE"""),"greg.lennon@gmail.com")</f>
        <v>greg.lennon@gmail.com</v>
      </c>
      <c r="J26" s="49" t="str">
        <f ca="1">IFERROR(__xludf.DUMMYFUNCTION("""COMPUTED_VALUE"""),"Comprehensive")</f>
        <v>Comprehensive</v>
      </c>
      <c r="K26" t="str">
        <f ca="1">IFERROR(__xludf.DUMMYFUNCTION("""COMPUTED_VALUE"""),"Actionability Working Group")</f>
        <v>Actionability Working Group</v>
      </c>
    </row>
    <row r="27" spans="1:11" ht="15.75" customHeight="1">
      <c r="A27" t="str">
        <f ca="1">IFERROR(__xludf.DUMMYFUNCTION("""COMPUTED_VALUE"""),"Contacted")</f>
        <v>Contacted</v>
      </c>
      <c r="B27" s="108">
        <f ca="1">IFERROR(__xludf.DUMMYFUNCTION("""COMPUTED_VALUE"""),43689)</f>
        <v>43689</v>
      </c>
      <c r="C27" t="str">
        <f ca="1">IFERROR(__xludf.DUMMYFUNCTION("""COMPUTED_VALUE"""),"")</f>
        <v/>
      </c>
      <c r="D27" s="49" t="str">
        <f ca="1">IFERROR(__xludf.DUMMYFUNCTION("""COMPUTED_VALUE"""),"Yes")</f>
        <v>Yes</v>
      </c>
      <c r="E27" s="49" t="str">
        <f ca="1">IFERROR(__xludf.DUMMYFUNCTION("""COMPUTED_VALUE"""),"No")</f>
        <v>No</v>
      </c>
      <c r="F27" s="49" t="str">
        <f ca="1">IFERROR(__xludf.DUMMYFUNCTION("""COMPUTED_VALUE"""),"Actionability")</f>
        <v>Actionability</v>
      </c>
      <c r="G27" t="str">
        <f ca="1">IFERROR(__xludf.DUMMYFUNCTION("""COMPUTED_VALUE"""),"")</f>
        <v/>
      </c>
      <c r="H27" t="str">
        <f ca="1">IFERROR(__xludf.DUMMYFUNCTION("""COMPUTED_VALUE"""),"Generoso")</f>
        <v>Generoso</v>
      </c>
      <c r="I27" t="str">
        <f ca="1">IFERROR(__xludf.DUMMYFUNCTION("""COMPUTED_VALUE"""),"generoso@dantelabs.com")</f>
        <v>generoso@dantelabs.com</v>
      </c>
      <c r="J27" s="49"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8">
        <f ca="1">IFERROR(__xludf.DUMMYFUNCTION("""COMPUTED_VALUE"""),43689)</f>
        <v>43689</v>
      </c>
      <c r="C28" s="106">
        <f ca="1">IFERROR(__xludf.DUMMYFUNCTION("""COMPUTED_VALUE"""),43769)</f>
        <v>43769</v>
      </c>
      <c r="D28" s="49" t="str">
        <f ca="1">IFERROR(__xludf.DUMMYFUNCTION("""COMPUTED_VALUE"""),"Yes")</f>
        <v>Yes</v>
      </c>
      <c r="E28" s="49" t="str">
        <f ca="1">IFERROR(__xludf.DUMMYFUNCTION("""COMPUTED_VALUE"""),"Yes")</f>
        <v>Yes</v>
      </c>
      <c r="F28" s="49" t="str">
        <f ca="1">IFERROR(__xludf.DUMMYFUNCTION("""COMPUTED_VALUE"""),"Actionability")</f>
        <v>Actionability</v>
      </c>
      <c r="G28" t="str">
        <f ca="1">IFERROR(__xludf.DUMMYFUNCTION("""COMPUTED_VALUE"""),"Actionability")</f>
        <v>Actionability</v>
      </c>
      <c r="H28" t="str">
        <f ca="1">IFERROR(__xludf.DUMMYFUNCTION("""COMPUTED_VALUE"""),"Abul Kalam Azad")</f>
        <v>Abul Kalam Azad</v>
      </c>
      <c r="I28" t="str">
        <f ca="1">IFERROR(__xludf.DUMMYFUNCTION("""COMPUTED_VALUE"""),"azadak@gmail.com")</f>
        <v>azadak@gmail.com</v>
      </c>
      <c r="J28" s="49" t="str">
        <f ca="1">IFERROR(__xludf.DUMMYFUNCTION("""COMPUTED_VALUE"""),"Comprehensive")</f>
        <v>Comprehensive</v>
      </c>
      <c r="K28" t="str">
        <f ca="1">IFERROR(__xludf.DUMMYFUNCTION("""COMPUTED_VALUE"""),"")</f>
        <v/>
      </c>
    </row>
    <row r="29" spans="1:11" ht="15.75" customHeight="1">
      <c r="A29" t="str">
        <f ca="1">IFERROR(__xludf.DUMMYFUNCTION("""COMPUTED_VALUE"""),"Contacted")</f>
        <v>Contacted</v>
      </c>
      <c r="B29" s="108">
        <f ca="1">IFERROR(__xludf.DUMMYFUNCTION("""COMPUTED_VALUE"""),43689)</f>
        <v>43689</v>
      </c>
      <c r="C29" t="str">
        <f ca="1">IFERROR(__xludf.DUMMYFUNCTION("""COMPUTED_VALUE"""),"")</f>
        <v/>
      </c>
      <c r="D29" s="49" t="str">
        <f ca="1">IFERROR(__xludf.DUMMYFUNCTION("""COMPUTED_VALUE"""),"")</f>
        <v/>
      </c>
      <c r="E29" s="49" t="str">
        <f ca="1">IFERROR(__xludf.DUMMYFUNCTION("""COMPUTED_VALUE"""),"No")</f>
        <v>No</v>
      </c>
      <c r="F29" s="49" t="str">
        <f ca="1">IFERROR(__xludf.DUMMYFUNCTION("""COMPUTED_VALUE"""),"Actionability")</f>
        <v>Actionability</v>
      </c>
      <c r="G29" t="str">
        <f ca="1">IFERROR(__xludf.DUMMYFUNCTION("""COMPUTED_VALUE"""),"")</f>
        <v/>
      </c>
      <c r="H29" t="str">
        <f ca="1">IFERROR(__xludf.DUMMYFUNCTION("""COMPUTED_VALUE"""),"Agnes Sebastian")</f>
        <v>Agnes Sebastian</v>
      </c>
      <c r="I29" t="str">
        <f ca="1">IFERROR(__xludf.DUMMYFUNCTION("""COMPUTED_VALUE"""),"agnes.sebastian@mail.utoronto.ca")</f>
        <v>agnes.sebastian@mail.utoronto.ca</v>
      </c>
      <c r="J29" s="49" t="str">
        <f ca="1">IFERROR(__xludf.DUMMYFUNCTION("""COMPUTED_VALUE"""),"Comprehensive")</f>
        <v>Comprehensive</v>
      </c>
      <c r="K29" t="str">
        <f ca="1">IFERROR(__xludf.DUMMYFUNCTION("""COMPUTED_VALUE"""),"No - any group related to cancer or hearing loss is preferable")</f>
        <v>No - any group related to cancer or hearing loss is preferable</v>
      </c>
    </row>
    <row r="30" spans="1:11" ht="15.75" customHeight="1">
      <c r="A30" t="str">
        <f ca="1">IFERROR(__xludf.DUMMYFUNCTION("""COMPUTED_VALUE"""),"Contacted")</f>
        <v>Contacted</v>
      </c>
      <c r="B30" s="108">
        <f ca="1">IFERROR(__xludf.DUMMYFUNCTION("""COMPUTED_VALUE"""),43689)</f>
        <v>43689</v>
      </c>
      <c r="C30" t="str">
        <f ca="1">IFERROR(__xludf.DUMMYFUNCTION("""COMPUTED_VALUE"""),"")</f>
        <v/>
      </c>
      <c r="D30" s="49" t="str">
        <f ca="1">IFERROR(__xludf.DUMMYFUNCTION("""COMPUTED_VALUE"""),"")</f>
        <v/>
      </c>
      <c r="E30" s="49" t="str">
        <f ca="1">IFERROR(__xludf.DUMMYFUNCTION("""COMPUTED_VALUE"""),"No")</f>
        <v>No</v>
      </c>
      <c r="F30" s="49" t="str">
        <f ca="1">IFERROR(__xludf.DUMMYFUNCTION("""COMPUTED_VALUE"""),"Actionability")</f>
        <v>Actionability</v>
      </c>
      <c r="G30" t="str">
        <f ca="1">IFERROR(__xludf.DUMMYFUNCTION("""COMPUTED_VALUE"""),"")</f>
        <v/>
      </c>
      <c r="H30" t="str">
        <f ca="1">IFERROR(__xludf.DUMMYFUNCTION("""COMPUTED_VALUE"""),"Terri McVeigh")</f>
        <v>Terri McVeigh</v>
      </c>
      <c r="I30" t="str">
        <f ca="1">IFERROR(__xludf.DUMMYFUNCTION("""COMPUTED_VALUE"""),"terri.mcveigh@rmh.nhs.uk")</f>
        <v>terri.mcveigh@rmh.nhs.uk</v>
      </c>
      <c r="J30" s="49" t="str">
        <f ca="1">IFERROR(__xludf.DUMMYFUNCTION("""COMPUTED_VALUE"""),"Comprehensive")</f>
        <v>Comprehensive</v>
      </c>
      <c r="K30" t="str">
        <f ca="1">IFERROR(__xludf.DUMMYFUNCTION("""COMPUTED_VALUE"""),"")</f>
        <v/>
      </c>
    </row>
    <row r="31" spans="1:11" ht="15.75" customHeight="1">
      <c r="A31" t="str">
        <f ca="1">IFERROR(__xludf.DUMMYFUNCTION("""COMPUTED_VALUE"""),"Contacted")</f>
        <v>Contacted</v>
      </c>
      <c r="B31" s="108">
        <f ca="1">IFERROR(__xludf.DUMMYFUNCTION("""COMPUTED_VALUE"""),43689)</f>
        <v>43689</v>
      </c>
      <c r="C31" t="str">
        <f ca="1">IFERROR(__xludf.DUMMYFUNCTION("""COMPUTED_VALUE"""),"")</f>
        <v/>
      </c>
      <c r="D31" s="49" t="str">
        <f ca="1">IFERROR(__xludf.DUMMYFUNCTION("""COMPUTED_VALUE"""),"")</f>
        <v/>
      </c>
      <c r="E31" s="49" t="str">
        <f ca="1">IFERROR(__xludf.DUMMYFUNCTION("""COMPUTED_VALUE"""),"No")</f>
        <v>No</v>
      </c>
      <c r="F31" s="49" t="str">
        <f ca="1">IFERROR(__xludf.DUMMYFUNCTION("""COMPUTED_VALUE"""),"Actionability")</f>
        <v>Actionability</v>
      </c>
      <c r="G31" t="str">
        <f ca="1">IFERROR(__xludf.DUMMYFUNCTION("""COMPUTED_VALUE"""),"")</f>
        <v/>
      </c>
      <c r="H31" t="str">
        <f ca="1">IFERROR(__xludf.DUMMYFUNCTION("""COMPUTED_VALUE"""),"Rawan Awwad")</f>
        <v>Rawan Awwad</v>
      </c>
      <c r="I31" t="str">
        <f ca="1">IFERROR(__xludf.DUMMYFUNCTION("""COMPUTED_VALUE"""),"rawan.awwad@gmail.com")</f>
        <v>rawan.awwad@gmail.com</v>
      </c>
      <c r="J31" s="49" t="str">
        <f ca="1">IFERROR(__xludf.DUMMYFUNCTION("""COMPUTED_VALUE"""),"Comprehensive")</f>
        <v>Comprehensive</v>
      </c>
      <c r="K31" t="str">
        <f ca="1">IFERROR(__xludf.DUMMYFUNCTION("""COMPUTED_VALUE"""),"Clinical actionability for Peds ")</f>
        <v xml:space="preserve">Clinical actionability for Peds </v>
      </c>
    </row>
    <row r="32" spans="1:11" ht="15.75" customHeight="1">
      <c r="A32" t="str">
        <f ca="1">IFERROR(__xludf.DUMMYFUNCTION("""COMPUTED_VALUE"""),"Contacted")</f>
        <v>Contacted</v>
      </c>
      <c r="B32" s="108">
        <f ca="1">IFERROR(__xludf.DUMMYFUNCTION("""COMPUTED_VALUE"""),43689)</f>
        <v>43689</v>
      </c>
      <c r="C32" t="str">
        <f ca="1">IFERROR(__xludf.DUMMYFUNCTION("""COMPUTED_VALUE"""),"")</f>
        <v/>
      </c>
      <c r="D32" s="49" t="str">
        <f ca="1">IFERROR(__xludf.DUMMYFUNCTION("""COMPUTED_VALUE"""),"")</f>
        <v/>
      </c>
      <c r="E32" s="49" t="str">
        <f ca="1">IFERROR(__xludf.DUMMYFUNCTION("""COMPUTED_VALUE"""),"No")</f>
        <v>No</v>
      </c>
      <c r="F32" s="49" t="str">
        <f ca="1">IFERROR(__xludf.DUMMYFUNCTION("""COMPUTED_VALUE"""),"Actionability")</f>
        <v>Actionability</v>
      </c>
      <c r="G32" t="str">
        <f ca="1">IFERROR(__xludf.DUMMYFUNCTION("""COMPUTED_VALUE"""),"")</f>
        <v/>
      </c>
      <c r="H32" t="str">
        <f ca="1">IFERROR(__xludf.DUMMYFUNCTION("""COMPUTED_VALUE"""),"Leila Jamal")</f>
        <v>Leila Jamal</v>
      </c>
      <c r="I32" t="str">
        <f ca="1">IFERROR(__xludf.DUMMYFUNCTION("""COMPUTED_VALUE"""),"leila.jamal@nih.gov")</f>
        <v>leila.jamal@nih.gov</v>
      </c>
      <c r="J32" s="49" t="str">
        <f ca="1">IFERROR(__xludf.DUMMYFUNCTION("""COMPUTED_VALUE"""),"Comprehensive")</f>
        <v>Comprehensive</v>
      </c>
      <c r="K32" t="str">
        <f ca="1">IFERROR(__xludf.DUMMYFUNCTION("""COMPUTED_VALUE"""),"I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row>
    <row r="33" spans="1:11" ht="15.75" customHeight="1">
      <c r="A33" t="str">
        <f ca="1">IFERROR(__xludf.DUMMYFUNCTION("""COMPUTED_VALUE"""),"Declined")</f>
        <v>Declined</v>
      </c>
      <c r="B33" s="108">
        <f ca="1">IFERROR(__xludf.DUMMYFUNCTION("""COMPUTED_VALUE"""),43689)</f>
        <v>43689</v>
      </c>
      <c r="C33" t="str">
        <f ca="1">IFERROR(__xludf.DUMMYFUNCTION("""COMPUTED_VALUE"""),"")</f>
        <v/>
      </c>
      <c r="D33" s="49" t="str">
        <f ca="1">IFERROR(__xludf.DUMMYFUNCTION("""COMPUTED_VALUE"""),"")</f>
        <v/>
      </c>
      <c r="E33" s="49" t="str">
        <f ca="1">IFERROR(__xludf.DUMMYFUNCTION("""COMPUTED_VALUE"""),"No")</f>
        <v>No</v>
      </c>
      <c r="F33" s="49" t="str">
        <f ca="1">IFERROR(__xludf.DUMMYFUNCTION("""COMPUTED_VALUE"""),"Actionability")</f>
        <v>Actionability</v>
      </c>
      <c r="G33" t="str">
        <f ca="1">IFERROR(__xludf.DUMMYFUNCTION("""COMPUTED_VALUE"""),"")</f>
        <v/>
      </c>
      <c r="H33" t="str">
        <f ca="1">IFERROR(__xludf.DUMMYFUNCTION("""COMPUTED_VALUE"""),"Parham Habibzadeh")</f>
        <v>Parham Habibzadeh</v>
      </c>
      <c r="I33" t="str">
        <f ca="1">IFERROR(__xludf.DUMMYFUNCTION("""COMPUTED_VALUE"""),"parham.habibzadeh@yahoo.com")</f>
        <v>parham.habibzadeh@yahoo.com</v>
      </c>
      <c r="J33" s="49" t="str">
        <f ca="1">IFERROR(__xludf.DUMMYFUNCTION("""COMPUTED_VALUE"""),"Comprehensive")</f>
        <v>Comprehensive</v>
      </c>
      <c r="K33" t="str">
        <f ca="1">IFERROR(__xludf.DUMMYFUNCTION("""COMPUTED_VALUE"""),"Cardiomyopathy, Brain Malformations")</f>
        <v>Cardiomyopathy, Brain Malformations</v>
      </c>
    </row>
    <row r="34" spans="1:11" ht="15.75" customHeight="1">
      <c r="A34" t="str">
        <f ca="1">IFERROR(__xludf.DUMMYFUNCTION("""COMPUTED_VALUE"""),"Contacted")</f>
        <v>Contacted</v>
      </c>
      <c r="B34" s="108">
        <f ca="1">IFERROR(__xludf.DUMMYFUNCTION("""COMPUTED_VALUE"""),43717)</f>
        <v>43717</v>
      </c>
      <c r="C34" s="106">
        <f ca="1">IFERROR(__xludf.DUMMYFUNCTION("""COMPUTED_VALUE"""),43769)</f>
        <v>43769</v>
      </c>
      <c r="D34" s="49" t="str">
        <f ca="1">IFERROR(__xludf.DUMMYFUNCTION("""COMPUTED_VALUE"""),"Yes")</f>
        <v>Yes</v>
      </c>
      <c r="E34" s="49" t="str">
        <f ca="1">IFERROR(__xludf.DUMMYFUNCTION("""COMPUTED_VALUE"""),"Yes")</f>
        <v>Yes</v>
      </c>
      <c r="F34" s="49" t="str">
        <f ca="1">IFERROR(__xludf.DUMMYFUNCTION("""COMPUTED_VALUE"""),"Actionability")</f>
        <v>Actionability</v>
      </c>
      <c r="G34" t="str">
        <f ca="1">IFERROR(__xludf.DUMMYFUNCTION("""COMPUTED_VALUE"""),"Actionability")</f>
        <v>Actionability</v>
      </c>
      <c r="H34" t="str">
        <f ca="1">IFERROR(__xludf.DUMMYFUNCTION("""COMPUTED_VALUE"""),"Xiaolin Hu")</f>
        <v>Xiaolin Hu</v>
      </c>
      <c r="I34" t="str">
        <f ca="1">IFERROR(__xludf.DUMMYFUNCTION("""COMPUTED_VALUE"""),"xiaolin.hu@cchmc.org")</f>
        <v>xiaolin.hu@cchmc.org</v>
      </c>
      <c r="J34" s="49" t="str">
        <f ca="1">IFERROR(__xludf.DUMMYFUNCTION("""COMPUTED_VALUE"""),"Comprehensive")</f>
        <v>Comprehensive</v>
      </c>
      <c r="K34" t="str">
        <f ca="1">IFERROR(__xludf.DUMMYFUNCTION("""COMPUTED_VALUE"""),"hereditary cancer, somatic cancer, Mitochondrial Diseases")</f>
        <v>hereditary cancer, somatic cancer, Mitochondrial Diseases</v>
      </c>
    </row>
    <row r="35" spans="1:11" ht="15.75" customHeight="1">
      <c r="A35" t="str">
        <f ca="1">IFERROR(__xludf.DUMMYFUNCTION("""COMPUTED_VALUE"""),"Declined")</f>
        <v>Declined</v>
      </c>
      <c r="B35" s="108">
        <f ca="1">IFERROR(__xludf.DUMMYFUNCTION("""COMPUTED_VALUE"""),43717)</f>
        <v>43717</v>
      </c>
      <c r="C35" t="str">
        <f ca="1">IFERROR(__xludf.DUMMYFUNCTION("""COMPUTED_VALUE"""),"")</f>
        <v/>
      </c>
      <c r="D35" s="49" t="str">
        <f ca="1">IFERROR(__xludf.DUMMYFUNCTION("""COMPUTED_VALUE"""),"")</f>
        <v/>
      </c>
      <c r="E35" s="49" t="str">
        <f ca="1">IFERROR(__xludf.DUMMYFUNCTION("""COMPUTED_VALUE"""),"No")</f>
        <v>No</v>
      </c>
      <c r="F35" s="49" t="str">
        <f ca="1">IFERROR(__xludf.DUMMYFUNCTION("""COMPUTED_VALUE"""),"Actionability")</f>
        <v>Actionability</v>
      </c>
      <c r="G35" t="str">
        <f ca="1">IFERROR(__xludf.DUMMYFUNCTION("""COMPUTED_VALUE"""),"")</f>
        <v/>
      </c>
      <c r="H35" t="str">
        <f ca="1">IFERROR(__xludf.DUMMYFUNCTION("""COMPUTED_VALUE"""),"Ellie Jhun")</f>
        <v>Ellie Jhun</v>
      </c>
      <c r="I35" t="str">
        <f ca="1">IFERROR(__xludf.DUMMYFUNCTION("""COMPUTED_VALUE"""),"ejhun@base10genetics.com")</f>
        <v>ejhun@base10genetics.com</v>
      </c>
      <c r="J35" s="49" t="str">
        <f ca="1">IFERROR(__xludf.DUMMYFUNCTION("""COMPUTED_VALUE"""),"Comprehensive")</f>
        <v>Comprehensive</v>
      </c>
      <c r="K35" t="str">
        <f ca="1">IFERROR(__xludf.DUMMYFUNCTION("""COMPUTED_VALUE"""),"")</f>
        <v/>
      </c>
    </row>
    <row r="36" spans="1:11" ht="15.75" customHeight="1">
      <c r="A36" t="str">
        <f ca="1">IFERROR(__xludf.DUMMYFUNCTION("""COMPUTED_VALUE"""),"Assigned")</f>
        <v>Assigned</v>
      </c>
      <c r="B36" s="108">
        <f ca="1">IFERROR(__xludf.DUMMYFUNCTION("""COMPUTED_VALUE"""),43717)</f>
        <v>43717</v>
      </c>
      <c r="C36" s="106">
        <f ca="1">IFERROR(__xludf.DUMMYFUNCTION("""COMPUTED_VALUE"""),43678)</f>
        <v>43678</v>
      </c>
      <c r="D36" s="49" t="str">
        <f ca="1">IFERROR(__xludf.DUMMYFUNCTION("""COMPUTED_VALUE"""),"Yes")</f>
        <v>Yes</v>
      </c>
      <c r="E36" s="49" t="str">
        <f ca="1">IFERROR(__xludf.DUMMYFUNCTION("""COMPUTED_VALUE"""),"Yes")</f>
        <v>Yes</v>
      </c>
      <c r="F36" s="49" t="str">
        <f ca="1">IFERROR(__xludf.DUMMYFUNCTION("""COMPUTED_VALUE"""),"Actionability")</f>
        <v>Actionability</v>
      </c>
      <c r="G36" t="str">
        <f ca="1">IFERROR(__xludf.DUMMYFUNCTION("""COMPUTED_VALUE"""),"")</f>
        <v/>
      </c>
      <c r="H36" t="str">
        <f ca="1">IFERROR(__xludf.DUMMYFUNCTION("""COMPUTED_VALUE"""),"Andrew Stergachis")</f>
        <v>Andrew Stergachis</v>
      </c>
      <c r="I36" t="str">
        <f ca="1">IFERROR(__xludf.DUMMYFUNCTION("""COMPUTED_VALUE"""),"astergachis@bwh.harvard.edu")</f>
        <v>astergachis@bwh.harvard.edu</v>
      </c>
      <c r="J36" s="49" t="str">
        <f ca="1">IFERROR(__xludf.DUMMYFUNCTION("""COMPUTED_VALUE"""),"Comprehensive")</f>
        <v>Comprehensive</v>
      </c>
      <c r="K36" t="str">
        <f ca="1">IFERROR(__xludf.DUMMYFUNCTION("""COMPUTED_VALUE"""),"Possibly ")</f>
        <v xml:space="preserve">Possibly </v>
      </c>
    </row>
    <row r="37" spans="1:11" ht="15.75" customHeight="1">
      <c r="A37" t="str">
        <f ca="1">IFERROR(__xludf.DUMMYFUNCTION("""COMPUTED_VALUE"""),"Contacted")</f>
        <v>Contacted</v>
      </c>
      <c r="B37" s="108">
        <f ca="1">IFERROR(__xludf.DUMMYFUNCTION("""COMPUTED_VALUE"""),43717)</f>
        <v>43717</v>
      </c>
      <c r="C37" t="str">
        <f ca="1">IFERROR(__xludf.DUMMYFUNCTION("""COMPUTED_VALUE"""),"")</f>
        <v/>
      </c>
      <c r="D37" s="49" t="str">
        <f ca="1">IFERROR(__xludf.DUMMYFUNCTION("""COMPUTED_VALUE"""),"")</f>
        <v/>
      </c>
      <c r="E37" s="49" t="str">
        <f ca="1">IFERROR(__xludf.DUMMYFUNCTION("""COMPUTED_VALUE"""),"No")</f>
        <v>No</v>
      </c>
      <c r="F37" s="49" t="str">
        <f ca="1">IFERROR(__xludf.DUMMYFUNCTION("""COMPUTED_VALUE"""),"Actionability")</f>
        <v>Actionability</v>
      </c>
      <c r="G37" t="str">
        <f ca="1">IFERROR(__xludf.DUMMYFUNCTION("""COMPUTED_VALUE"""),"")</f>
        <v/>
      </c>
      <c r="H37" t="str">
        <f ca="1">IFERROR(__xludf.DUMMYFUNCTION("""COMPUTED_VALUE"""),"Lalitha Venkateswaran")</f>
        <v>Lalitha Venkateswaran</v>
      </c>
      <c r="I37" t="str">
        <f ca="1">IFERROR(__xludf.DUMMYFUNCTION("""COMPUTED_VALUE"""),"lalithapv19@gmail.com")</f>
        <v>lalithapv19@gmail.com</v>
      </c>
      <c r="J37" s="49" t="str">
        <f ca="1">IFERROR(__xludf.DUMMYFUNCTION("""COMPUTED_VALUE"""),"Comprehensive")</f>
        <v>Comprehensive</v>
      </c>
      <c r="K37" t="str">
        <f ca="1">IFERROR(__xludf.DUMMYFUNCTION("""COMPUTED_VALUE"""),"")</f>
        <v/>
      </c>
    </row>
    <row r="38" spans="1:11" ht="15.75" customHeight="1">
      <c r="A38" t="str">
        <f ca="1">IFERROR(__xludf.DUMMYFUNCTION("""COMPUTED_VALUE"""),"Unresponsive")</f>
        <v>Unresponsive</v>
      </c>
      <c r="B38" t="str">
        <f ca="1">IFERROR(__xludf.DUMMYFUNCTION("""COMPUTED_VALUE"""),"")</f>
        <v/>
      </c>
      <c r="C38" t="str">
        <f ca="1">IFERROR(__xludf.DUMMYFUNCTION("""COMPUTED_VALUE"""),"")</f>
        <v/>
      </c>
      <c r="D38" s="49" t="str">
        <f ca="1">IFERROR(__xludf.DUMMYFUNCTION("""COMPUTED_VALUE"""),"")</f>
        <v/>
      </c>
      <c r="E38" s="49" t="str">
        <f ca="1">IFERROR(__xludf.DUMMYFUNCTION("""COMPUTED_VALUE"""),"No")</f>
        <v>No</v>
      </c>
      <c r="F38" s="49" t="str">
        <f ca="1">IFERROR(__xludf.DUMMYFUNCTION("""COMPUTED_VALUE"""),"Actionability")</f>
        <v>Actionability</v>
      </c>
      <c r="G38" t="str">
        <f ca="1">IFERROR(__xludf.DUMMYFUNCTION("""COMPUTED_VALUE"""),"")</f>
        <v/>
      </c>
      <c r="H38" t="str">
        <f ca="1">IFERROR(__xludf.DUMMYFUNCTION("""COMPUTED_VALUE"""),"Andrew Langlois")</f>
        <v>Andrew Langlois</v>
      </c>
      <c r="I38" t="str">
        <f ca="1">IFERROR(__xludf.DUMMYFUNCTION("""COMPUTED_VALUE"""),"andrewlanglois001@gmail.com")</f>
        <v>andrewlanglois001@gmail.com</v>
      </c>
      <c r="J38" s="49" t="str">
        <f ca="1">IFERROR(__xludf.DUMMYFUNCTION("""COMPUTED_VALUE"""),"Comprehensive")</f>
        <v>Comprehensive</v>
      </c>
      <c r="K38" t="str">
        <f ca="1">IFERROR(__xludf.DUMMYFUNCTION("""COMPUTED_VALUE"""),"")</f>
        <v/>
      </c>
    </row>
    <row r="39" spans="1:11" ht="15.75" customHeight="1">
      <c r="A39" t="str">
        <f ca="1">IFERROR(__xludf.DUMMYFUNCTION("""COMPUTED_VALUE"""),"Unresponsive")</f>
        <v>Unresponsive</v>
      </c>
      <c r="B39" t="str">
        <f ca="1">IFERROR(__xludf.DUMMYFUNCTION("""COMPUTED_VALUE"""),"")</f>
        <v/>
      </c>
      <c r="C39" t="str">
        <f ca="1">IFERROR(__xludf.DUMMYFUNCTION("""COMPUTED_VALUE"""),"")</f>
        <v/>
      </c>
      <c r="D39" s="49" t="str">
        <f ca="1">IFERROR(__xludf.DUMMYFUNCTION("""COMPUTED_VALUE"""),"")</f>
        <v/>
      </c>
      <c r="E39" s="49" t="str">
        <f ca="1">IFERROR(__xludf.DUMMYFUNCTION("""COMPUTED_VALUE"""),"No")</f>
        <v>No</v>
      </c>
      <c r="F39" s="49" t="str">
        <f ca="1">IFERROR(__xludf.DUMMYFUNCTION("""COMPUTED_VALUE"""),"Actionability")</f>
        <v>Actionability</v>
      </c>
      <c r="G39" t="str">
        <f ca="1">IFERROR(__xludf.DUMMYFUNCTION("""COMPUTED_VALUE"""),"")</f>
        <v/>
      </c>
      <c r="H39" t="str">
        <f ca="1">IFERROR(__xludf.DUMMYFUNCTION("""COMPUTED_VALUE"""),"Sally Pea ")</f>
        <v xml:space="preserve">Sally Pea </v>
      </c>
      <c r="I39" t="str">
        <f ca="1">IFERROR(__xludf.DUMMYFUNCTION("""COMPUTED_VALUE"""),"spea@live.com")</f>
        <v>spea@live.com</v>
      </c>
      <c r="J39" s="49" t="str">
        <f ca="1">IFERROR(__xludf.DUMMYFUNCTION("""COMPUTED_VALUE"""),"Comprehensive")</f>
        <v>Comprehensive</v>
      </c>
      <c r="K39" t="str">
        <f ca="1">IFERROR(__xludf.DUMMYFUNCTION("""COMPUTED_VALUE"""),"Congenital Myopathies or Limb Girdle Dystrophies or anywhere needed")</f>
        <v>Congenital Myopathies or Limb Girdle Dystrophies or anywhere needed</v>
      </c>
    </row>
    <row r="40" spans="1:11" ht="15.75" customHeight="1">
      <c r="A40" t="str">
        <f ca="1">IFERROR(__xludf.DUMMYFUNCTION("""COMPUTED_VALUE"""),"Assigned")</f>
        <v>Assigned</v>
      </c>
      <c r="B40" s="106">
        <f ca="1">IFERROR(__xludf.DUMMYFUNCTION("""COMPUTED_VALUE"""),44160)</f>
        <v>44160</v>
      </c>
      <c r="C40" s="106">
        <f ca="1">IFERROR(__xludf.DUMMYFUNCTION("""COMPUTED_VALUE"""),43859)</f>
        <v>43859</v>
      </c>
      <c r="D40" s="49" t="str">
        <f ca="1">IFERROR(__xludf.DUMMYFUNCTION("""COMPUTED_VALUE"""),"Yes")</f>
        <v>Yes</v>
      </c>
      <c r="E40" s="49" t="str">
        <f ca="1">IFERROR(__xludf.DUMMYFUNCTION("""COMPUTED_VALUE"""),"No")</f>
        <v>No</v>
      </c>
      <c r="F40" s="49" t="str">
        <f ca="1">IFERROR(__xludf.DUMMYFUNCTION("""COMPUTED_VALUE"""),"Actionability")</f>
        <v>Actionability</v>
      </c>
      <c r="G40" t="str">
        <f ca="1">IFERROR(__xludf.DUMMYFUNCTION("""COMPUTED_VALUE"""),"")</f>
        <v/>
      </c>
      <c r="H40" t="str">
        <f ca="1">IFERROR(__xludf.DUMMYFUNCTION("""COMPUTED_VALUE"""),"Larissa Waldman")</f>
        <v>Larissa Waldman</v>
      </c>
      <c r="I40" t="str">
        <f ca="1">IFERROR(__xludf.DUMMYFUNCTION("""COMPUTED_VALUE"""),"larissa.waldman@gmail.com")</f>
        <v>larissa.waldman@gmail.com</v>
      </c>
      <c r="J40" s="49" t="str">
        <f ca="1">IFERROR(__xludf.DUMMYFUNCTION("""COMPUTED_VALUE"""),"Comprehensive")</f>
        <v>Comprehensive</v>
      </c>
      <c r="K40" t="str">
        <f ca="1">IFERROR(__xludf.DUMMYFUNCTION("""COMPUTED_VALUE"""),"Hereditary cancer, myeloid malignancy, pediatric somatic")</f>
        <v>Hereditary cancer, myeloid malignancy, pediatric somatic</v>
      </c>
    </row>
    <row r="41" spans="1:11" ht="15.75" customHeight="1">
      <c r="A41" t="str">
        <f ca="1">IFERROR(__xludf.DUMMYFUNCTION("""COMPUTED_VALUE"""),"Assigned")</f>
        <v>Assigned</v>
      </c>
      <c r="B41" s="106">
        <f ca="1">IFERROR(__xludf.DUMMYFUNCTION("""COMPUTED_VALUE"""),43808)</f>
        <v>43808</v>
      </c>
      <c r="C41" s="106">
        <f ca="1">IFERROR(__xludf.DUMMYFUNCTION("""COMPUTED_VALUE"""),43859)</f>
        <v>43859</v>
      </c>
      <c r="D41" s="49" t="str">
        <f ca="1">IFERROR(__xludf.DUMMYFUNCTION("""COMPUTED_VALUE"""),"Yes")</f>
        <v>Yes</v>
      </c>
      <c r="E41" s="49" t="str">
        <f ca="1">IFERROR(__xludf.DUMMYFUNCTION("""COMPUTED_VALUE"""),"No")</f>
        <v>No</v>
      </c>
      <c r="F41" s="49" t="str">
        <f ca="1">IFERROR(__xludf.DUMMYFUNCTION("""COMPUTED_VALUE"""),"Actionability")</f>
        <v>Actionability</v>
      </c>
      <c r="G41" t="str">
        <f ca="1">IFERROR(__xludf.DUMMYFUNCTION("""COMPUTED_VALUE"""),"")</f>
        <v/>
      </c>
      <c r="H41" t="str">
        <f ca="1">IFERROR(__xludf.DUMMYFUNCTION("""COMPUTED_VALUE"""),"Mark Shlapobersky")</f>
        <v>Mark Shlapobersky</v>
      </c>
      <c r="I41" t="str">
        <f ca="1">IFERROR(__xludf.DUMMYFUNCTION("""COMPUTED_VALUE"""),"marks@bmc.gov.il")</f>
        <v>marks@bmc.gov.il</v>
      </c>
      <c r="J41" s="49" t="str">
        <f ca="1">IFERROR(__xludf.DUMMYFUNCTION("""COMPUTED_VALUE"""),"Comprehensive")</f>
        <v>Comprehensive</v>
      </c>
      <c r="K41" t="str">
        <f ca="1">IFERROR(__xludf.DUMMYFUNCTION("""COMPUTED_VALUE"""),"")</f>
        <v/>
      </c>
    </row>
    <row r="42" spans="1:11" ht="15.75" customHeight="1">
      <c r="A42" t="str">
        <f ca="1">IFERROR(__xludf.DUMMYFUNCTION("""COMPUTED_VALUE"""),"Contacted")</f>
        <v>Contacted</v>
      </c>
      <c r="B42" t="str">
        <f ca="1">IFERROR(__xludf.DUMMYFUNCTION("""COMPUTED_VALUE"""),"")</f>
        <v/>
      </c>
      <c r="C42" t="str">
        <f ca="1">IFERROR(__xludf.DUMMYFUNCTION("""COMPUTED_VALUE"""),"")</f>
        <v/>
      </c>
      <c r="D42" s="49" t="str">
        <f ca="1">IFERROR(__xludf.DUMMYFUNCTION("""COMPUTED_VALUE"""),"")</f>
        <v/>
      </c>
      <c r="E42" s="49" t="str">
        <f ca="1">IFERROR(__xludf.DUMMYFUNCTION("""COMPUTED_VALUE"""),"No")</f>
        <v>No</v>
      </c>
      <c r="F42" s="49" t="str">
        <f ca="1">IFERROR(__xludf.DUMMYFUNCTION("""COMPUTED_VALUE"""),"Actionability")</f>
        <v>Actionability</v>
      </c>
      <c r="G42" t="str">
        <f ca="1">IFERROR(__xludf.DUMMYFUNCTION("""COMPUTED_VALUE"""),"")</f>
        <v/>
      </c>
      <c r="H42" t="str">
        <f ca="1">IFERROR(__xludf.DUMMYFUNCTION("""COMPUTED_VALUE"""),"Laurie Connors")</f>
        <v>Laurie Connors</v>
      </c>
      <c r="I42" t="str">
        <f ca="1">IFERROR(__xludf.DUMMYFUNCTION("""COMPUTED_VALUE"""),"laurie.m.connors@vanderbilt.edu")</f>
        <v>laurie.m.connors@vanderbilt.edu</v>
      </c>
      <c r="J42" s="49" t="str">
        <f ca="1">IFERROR(__xludf.DUMMYFUNCTION("""COMPUTED_VALUE"""),"Comprehensive")</f>
        <v>Comprehensive</v>
      </c>
      <c r="K42" t="str">
        <f ca="1">IFERROR(__xludf.DUMMYFUNCTION("""COMPUTED_VALUE"""),"Hereditary Cancer, PTEN, VHL")</f>
        <v>Hereditary Cancer, PTEN, VHL</v>
      </c>
    </row>
    <row r="43" spans="1:11" ht="15.75" customHeight="1">
      <c r="A43" t="str">
        <f ca="1">IFERROR(__xludf.DUMMYFUNCTION("""COMPUTED_VALUE"""),"Assigned")</f>
        <v>Assigned</v>
      </c>
      <c r="B43" s="106">
        <f ca="1">IFERROR(__xludf.DUMMYFUNCTION("""COMPUTED_VALUE"""),43860)</f>
        <v>43860</v>
      </c>
      <c r="C43" t="str">
        <f ca="1">IFERROR(__xludf.DUMMYFUNCTION("""COMPUTED_VALUE"""),"")</f>
        <v/>
      </c>
      <c r="D43" s="49" t="str">
        <f ca="1">IFERROR(__xludf.DUMMYFUNCTION("""COMPUTED_VALUE"""),"")</f>
        <v/>
      </c>
      <c r="E43" s="49" t="str">
        <f ca="1">IFERROR(__xludf.DUMMYFUNCTION("""COMPUTED_VALUE"""),"No")</f>
        <v>No</v>
      </c>
      <c r="F43" s="49" t="str">
        <f ca="1">IFERROR(__xludf.DUMMYFUNCTION("""COMPUTED_VALUE"""),"Actionability")</f>
        <v>Actionability</v>
      </c>
      <c r="G43" t="str">
        <f ca="1">IFERROR(__xludf.DUMMYFUNCTION("""COMPUTED_VALUE"""),"")</f>
        <v/>
      </c>
      <c r="H43" t="str">
        <f ca="1">IFERROR(__xludf.DUMMYFUNCTION("""COMPUTED_VALUE"""),"Shrutika Jadhav")</f>
        <v>Shrutika Jadhav</v>
      </c>
      <c r="I43" t="str">
        <f ca="1">IFERROR(__xludf.DUMMYFUNCTION("""COMPUTED_VALUE"""),"shrutikajadhav18@gmail.com")</f>
        <v>shrutikajadhav18@gmail.com</v>
      </c>
      <c r="J43" s="49" t="str">
        <f ca="1">IFERROR(__xludf.DUMMYFUNCTION("""COMPUTED_VALUE"""),"Comprehensive")</f>
        <v>Comprehensive</v>
      </c>
      <c r="K43" t="str">
        <f ca="1">IFERROR(__xludf.DUMMYFUNCTION("""COMPUTED_VALUE"""),"Brain Malformations, Intellectual Disability and Autism, Pediatric ")</f>
        <v xml:space="preserve">Brain Malformations, Intellectual Disability and Autism, Pediatric </v>
      </c>
    </row>
    <row r="44" spans="1:11" ht="15.75" customHeight="1">
      <c r="D44" s="49"/>
      <c r="E44" s="49"/>
      <c r="F44" s="49"/>
      <c r="J44" s="49"/>
    </row>
    <row r="45" spans="1:11" ht="15.75" customHeight="1">
      <c r="D45" s="49"/>
      <c r="E45" s="49"/>
      <c r="F45" s="49"/>
      <c r="J45" s="49"/>
    </row>
    <row r="46" spans="1:11" ht="15.75" customHeight="1">
      <c r="D46" s="49"/>
      <c r="E46" s="49"/>
      <c r="F46" s="49"/>
      <c r="J46" s="49"/>
    </row>
    <row r="47" spans="1:11" ht="15.75" customHeight="1">
      <c r="D47" s="49"/>
      <c r="E47" s="49"/>
      <c r="F47" s="49"/>
      <c r="J47" s="49"/>
    </row>
    <row r="48" spans="1:11" ht="15.75" customHeight="1">
      <c r="D48" s="49"/>
      <c r="E48" s="49"/>
      <c r="F48" s="49"/>
      <c r="J48" s="49"/>
    </row>
    <row r="49" spans="4:10" ht="15.75" customHeight="1">
      <c r="D49" s="49"/>
      <c r="E49" s="49"/>
      <c r="F49" s="49"/>
      <c r="J49" s="49"/>
    </row>
    <row r="50" spans="4:10" ht="15.75" customHeight="1">
      <c r="D50" s="49"/>
      <c r="E50" s="49"/>
      <c r="F50" s="49"/>
      <c r="J50" s="49"/>
    </row>
    <row r="51" spans="4:10" ht="15.75" customHeight="1">
      <c r="D51" s="49"/>
      <c r="E51" s="49"/>
      <c r="F51" s="49"/>
      <c r="J51" s="49"/>
    </row>
    <row r="52" spans="4:10" ht="15.75" customHeight="1">
      <c r="D52" s="49"/>
      <c r="E52" s="49"/>
      <c r="F52" s="49"/>
      <c r="J52" s="49"/>
    </row>
    <row r="53" spans="4:10" ht="15.75" customHeight="1">
      <c r="D53" s="49"/>
      <c r="E53" s="49"/>
      <c r="F53" s="49"/>
      <c r="J53" s="49"/>
    </row>
    <row r="54" spans="4:10" ht="15.75" customHeight="1">
      <c r="D54" s="49"/>
      <c r="E54" s="49"/>
      <c r="F54" s="49"/>
      <c r="J54" s="49"/>
    </row>
    <row r="55" spans="4:10" ht="15.75" customHeight="1">
      <c r="D55" s="49"/>
      <c r="E55" s="49"/>
      <c r="F55" s="49"/>
      <c r="J55" s="49"/>
    </row>
    <row r="56" spans="4:10" ht="15.75" customHeight="1">
      <c r="D56" s="49"/>
      <c r="E56" s="49"/>
      <c r="F56" s="49"/>
      <c r="J56" s="49"/>
    </row>
    <row r="57" spans="4:10" ht="15.75" customHeight="1">
      <c r="D57" s="49"/>
      <c r="E57" s="49"/>
      <c r="F57" s="49"/>
      <c r="J57" s="49"/>
    </row>
    <row r="58" spans="4:10" ht="15.75" customHeight="1">
      <c r="D58" s="49"/>
      <c r="E58" s="49"/>
      <c r="F58" s="49"/>
      <c r="J58" s="49"/>
    </row>
    <row r="59" spans="4:10" ht="15.75" customHeight="1">
      <c r="D59" s="49"/>
      <c r="E59" s="49"/>
      <c r="F59" s="49"/>
      <c r="J59" s="49"/>
    </row>
    <row r="60" spans="4:10" ht="15.75" customHeight="1">
      <c r="D60" s="49"/>
      <c r="E60" s="49"/>
      <c r="F60" s="49"/>
      <c r="J60" s="49"/>
    </row>
    <row r="61" spans="4:10" ht="15.75" customHeight="1">
      <c r="D61" s="49"/>
      <c r="E61" s="49"/>
      <c r="F61" s="49"/>
      <c r="J61" s="49"/>
    </row>
    <row r="62" spans="4:10" ht="15.75" customHeight="1">
      <c r="D62" s="49"/>
      <c r="E62" s="49"/>
      <c r="F62" s="49"/>
      <c r="J62" s="49"/>
    </row>
    <row r="63" spans="4:10" ht="15.75" customHeight="1">
      <c r="D63" s="49"/>
      <c r="E63" s="49"/>
      <c r="F63" s="49"/>
      <c r="J63" s="49"/>
    </row>
    <row r="64" spans="4:10" ht="15.75" customHeight="1">
      <c r="D64" s="49"/>
      <c r="E64" s="49"/>
      <c r="F64" s="49"/>
      <c r="J64" s="49"/>
    </row>
    <row r="65" spans="4:10" ht="15.75" customHeight="1">
      <c r="D65" s="49"/>
      <c r="E65" s="49"/>
      <c r="F65" s="49"/>
      <c r="J65" s="49"/>
    </row>
    <row r="66" spans="4:10" ht="13">
      <c r="D66" s="49"/>
      <c r="E66" s="49"/>
      <c r="F66" s="49"/>
      <c r="J66" s="49"/>
    </row>
    <row r="67" spans="4:10" ht="13">
      <c r="D67" s="49"/>
      <c r="E67" s="49"/>
      <c r="F67" s="49"/>
      <c r="J67" s="49"/>
    </row>
    <row r="68" spans="4:10" ht="13">
      <c r="D68" s="49"/>
      <c r="E68" s="49"/>
      <c r="F68" s="49"/>
      <c r="J68" s="49"/>
    </row>
    <row r="69" spans="4:10" ht="13">
      <c r="D69" s="49"/>
      <c r="E69" s="49"/>
      <c r="F69" s="49"/>
      <c r="J69" s="49"/>
    </row>
    <row r="70" spans="4:10" ht="13">
      <c r="D70" s="49"/>
      <c r="E70" s="49"/>
      <c r="F70" s="49"/>
      <c r="J70" s="49"/>
    </row>
    <row r="71" spans="4:10" ht="13">
      <c r="D71" s="49"/>
      <c r="E71" s="49"/>
      <c r="F71" s="49"/>
      <c r="J71" s="49"/>
    </row>
    <row r="72" spans="4:10" ht="13">
      <c r="D72" s="49"/>
      <c r="E72" s="49"/>
      <c r="F72" s="49"/>
      <c r="J72" s="49"/>
    </row>
    <row r="73" spans="4:10" ht="13">
      <c r="D73" s="49"/>
      <c r="E73" s="49"/>
      <c r="F73" s="49"/>
      <c r="J73" s="49"/>
    </row>
    <row r="74" spans="4:10" ht="13">
      <c r="D74" s="49"/>
      <c r="E74" s="49"/>
      <c r="F74" s="49"/>
      <c r="J74" s="49"/>
    </row>
    <row r="75" spans="4:10" ht="13">
      <c r="D75" s="49"/>
      <c r="E75" s="49"/>
      <c r="F75" s="49"/>
      <c r="J75" s="49"/>
    </row>
    <row r="76" spans="4:10" ht="13">
      <c r="D76" s="49"/>
      <c r="E76" s="49"/>
      <c r="F76" s="49"/>
      <c r="J76" s="49"/>
    </row>
    <row r="77" spans="4:10" ht="13">
      <c r="D77" s="49"/>
      <c r="E77" s="49"/>
      <c r="F77" s="49"/>
      <c r="J77" s="49"/>
    </row>
    <row r="78" spans="4:10" ht="13">
      <c r="D78" s="49"/>
      <c r="E78" s="49"/>
      <c r="F78" s="49"/>
      <c r="J78" s="49"/>
    </row>
    <row r="79" spans="4:10" ht="13">
      <c r="D79" s="49"/>
      <c r="E79" s="49"/>
      <c r="F79" s="49"/>
      <c r="J79" s="49"/>
    </row>
    <row r="80" spans="4:10" ht="13">
      <c r="D80" s="49"/>
      <c r="E80" s="49"/>
      <c r="F80" s="49"/>
      <c r="J80" s="49"/>
    </row>
    <row r="81" spans="4:10" ht="13">
      <c r="D81" s="49"/>
      <c r="E81" s="49"/>
      <c r="F81" s="49"/>
      <c r="J81" s="49"/>
    </row>
    <row r="82" spans="4:10" ht="13">
      <c r="D82" s="49"/>
      <c r="E82" s="49"/>
      <c r="F82" s="49"/>
      <c r="J82" s="49"/>
    </row>
    <row r="83" spans="4:10" ht="13">
      <c r="D83" s="49"/>
      <c r="E83" s="49"/>
      <c r="F83" s="49"/>
      <c r="J83" s="49"/>
    </row>
    <row r="84" spans="4:10" ht="13">
      <c r="D84" s="49"/>
      <c r="E84" s="49"/>
      <c r="F84" s="49"/>
      <c r="J84" s="49"/>
    </row>
    <row r="85" spans="4:10" ht="13">
      <c r="D85" s="49"/>
      <c r="E85" s="49"/>
      <c r="F85" s="49"/>
      <c r="J85" s="49"/>
    </row>
    <row r="86" spans="4:10" ht="13">
      <c r="D86" s="49"/>
      <c r="E86" s="49"/>
      <c r="F86" s="49"/>
      <c r="J86" s="49"/>
    </row>
    <row r="87" spans="4:10" ht="13">
      <c r="D87" s="49"/>
      <c r="E87" s="49"/>
      <c r="F87" s="49"/>
      <c r="J87" s="49"/>
    </row>
    <row r="88" spans="4:10" ht="13">
      <c r="D88" s="49"/>
      <c r="E88" s="49"/>
      <c r="F88" s="49"/>
      <c r="J88" s="49"/>
    </row>
    <row r="89" spans="4:10" ht="13">
      <c r="D89" s="49"/>
      <c r="E89" s="49"/>
      <c r="F89" s="49"/>
      <c r="J89" s="49"/>
    </row>
    <row r="90" spans="4:10" ht="13">
      <c r="D90" s="49"/>
      <c r="E90" s="49"/>
      <c r="F90" s="49"/>
      <c r="J90" s="49"/>
    </row>
    <row r="91" spans="4:10" ht="13">
      <c r="D91" s="49"/>
      <c r="E91" s="49"/>
      <c r="F91" s="49"/>
      <c r="J91" s="49"/>
    </row>
    <row r="92" spans="4:10" ht="13">
      <c r="D92" s="49"/>
      <c r="E92" s="49"/>
      <c r="F92" s="49"/>
      <c r="J92" s="49"/>
    </row>
    <row r="93" spans="4:10" ht="13">
      <c r="D93" s="49"/>
      <c r="E93" s="49"/>
      <c r="F93" s="49"/>
      <c r="J93" s="49"/>
    </row>
    <row r="94" spans="4:10" ht="13">
      <c r="D94" s="49"/>
      <c r="E94" s="49"/>
      <c r="F94" s="49"/>
      <c r="J94" s="49"/>
    </row>
    <row r="95" spans="4:10" ht="13">
      <c r="D95" s="49"/>
      <c r="E95" s="49"/>
      <c r="F95" s="49"/>
      <c r="J95" s="49"/>
    </row>
    <row r="96" spans="4:10" ht="13">
      <c r="D96" s="49"/>
      <c r="E96" s="49"/>
      <c r="F96" s="49"/>
      <c r="J96" s="49"/>
    </row>
    <row r="97" spans="4:10" ht="13">
      <c r="D97" s="49"/>
      <c r="E97" s="49"/>
      <c r="F97" s="49"/>
      <c r="J97" s="49"/>
    </row>
    <row r="98" spans="4:10" ht="13">
      <c r="D98" s="49"/>
      <c r="E98" s="49"/>
      <c r="F98" s="49"/>
      <c r="J98" s="49"/>
    </row>
    <row r="99" spans="4:10" ht="13">
      <c r="D99" s="49"/>
      <c r="E99" s="49"/>
      <c r="F99" s="49"/>
      <c r="J99" s="49"/>
    </row>
    <row r="100" spans="4:10" ht="13">
      <c r="D100" s="49"/>
      <c r="E100" s="49"/>
      <c r="F100" s="49"/>
      <c r="J100" s="49"/>
    </row>
    <row r="101" spans="4:10" ht="13">
      <c r="D101" s="49"/>
      <c r="E101" s="49"/>
      <c r="F101" s="49"/>
      <c r="J101" s="49"/>
    </row>
    <row r="102" spans="4:10" ht="13">
      <c r="D102" s="49"/>
      <c r="E102" s="49"/>
      <c r="F102" s="49"/>
      <c r="J102" s="49"/>
    </row>
    <row r="103" spans="4:10" ht="13">
      <c r="D103" s="49"/>
      <c r="E103" s="49"/>
      <c r="F103" s="49"/>
      <c r="J103" s="49"/>
    </row>
    <row r="104" spans="4:10" ht="13">
      <c r="D104" s="49"/>
      <c r="E104" s="49"/>
      <c r="F104" s="49"/>
      <c r="J104" s="49"/>
    </row>
    <row r="105" spans="4:10" ht="13">
      <c r="D105" s="49"/>
      <c r="E105" s="49"/>
      <c r="F105" s="49"/>
      <c r="J105" s="49"/>
    </row>
    <row r="106" spans="4:10" ht="13">
      <c r="D106" s="49"/>
      <c r="E106" s="49"/>
      <c r="F106" s="49"/>
      <c r="J106" s="49"/>
    </row>
    <row r="107" spans="4:10" ht="13">
      <c r="D107" s="49"/>
      <c r="E107" s="49"/>
      <c r="F107" s="49"/>
      <c r="J107" s="49"/>
    </row>
    <row r="108" spans="4:10" ht="13">
      <c r="D108" s="49"/>
      <c r="E108" s="49"/>
      <c r="F108" s="49"/>
      <c r="J108" s="49"/>
    </row>
    <row r="109" spans="4:10" ht="13">
      <c r="D109" s="49"/>
      <c r="E109" s="49"/>
      <c r="F109" s="49"/>
      <c r="J109" s="49"/>
    </row>
    <row r="110" spans="4:10" ht="13">
      <c r="D110" s="49"/>
      <c r="E110" s="49"/>
      <c r="F110" s="49"/>
      <c r="J110" s="49"/>
    </row>
    <row r="111" spans="4:10" ht="13">
      <c r="D111" s="49"/>
      <c r="E111" s="49"/>
      <c r="F111" s="49"/>
      <c r="J111" s="49"/>
    </row>
    <row r="112" spans="4:10" ht="13">
      <c r="D112" s="49"/>
      <c r="E112" s="49"/>
      <c r="F112" s="49"/>
      <c r="J112" s="49"/>
    </row>
    <row r="113" spans="4:10" ht="13">
      <c r="D113" s="49"/>
      <c r="E113" s="49"/>
      <c r="F113" s="49"/>
      <c r="J113" s="49"/>
    </row>
    <row r="114" spans="4:10" ht="13">
      <c r="D114" s="49"/>
      <c r="E114" s="49"/>
      <c r="F114" s="49"/>
      <c r="J114" s="49"/>
    </row>
    <row r="115" spans="4:10" ht="13">
      <c r="D115" s="49"/>
      <c r="E115" s="49"/>
      <c r="F115" s="49"/>
      <c r="J115" s="49"/>
    </row>
    <row r="116" spans="4:10" ht="13">
      <c r="D116" s="49"/>
      <c r="E116" s="49"/>
      <c r="F116" s="49"/>
      <c r="J116" s="49"/>
    </row>
    <row r="117" spans="4:10" ht="13">
      <c r="D117" s="49"/>
      <c r="E117" s="49"/>
      <c r="F117" s="49"/>
      <c r="J117" s="49"/>
    </row>
    <row r="118" spans="4:10" ht="13">
      <c r="D118" s="49"/>
      <c r="E118" s="49"/>
      <c r="F118" s="49"/>
      <c r="J118" s="49"/>
    </row>
    <row r="119" spans="4:10" ht="13">
      <c r="D119" s="49"/>
      <c r="E119" s="49"/>
      <c r="F119" s="49"/>
      <c r="J119" s="49"/>
    </row>
    <row r="120" spans="4:10" ht="13">
      <c r="D120" s="49"/>
      <c r="E120" s="49"/>
      <c r="F120" s="49"/>
      <c r="J120" s="49"/>
    </row>
    <row r="121" spans="4:10" ht="13">
      <c r="D121" s="49"/>
      <c r="E121" s="49"/>
      <c r="F121" s="49"/>
      <c r="J121" s="49"/>
    </row>
    <row r="122" spans="4:10" ht="13">
      <c r="D122" s="49"/>
      <c r="E122" s="49"/>
      <c r="F122" s="49"/>
      <c r="J122" s="49"/>
    </row>
    <row r="123" spans="4:10" ht="13">
      <c r="D123" s="49"/>
      <c r="E123" s="49"/>
      <c r="F123" s="49"/>
      <c r="J123" s="49"/>
    </row>
    <row r="124" spans="4:10" ht="13">
      <c r="D124" s="49"/>
      <c r="E124" s="49"/>
      <c r="F124" s="49"/>
      <c r="J124" s="49"/>
    </row>
    <row r="125" spans="4:10" ht="13">
      <c r="D125" s="49"/>
      <c r="E125" s="49"/>
      <c r="F125" s="49"/>
      <c r="J125" s="49"/>
    </row>
    <row r="126" spans="4:10" ht="13">
      <c r="D126" s="49"/>
      <c r="E126" s="49"/>
      <c r="F126" s="49"/>
      <c r="J126" s="49"/>
    </row>
    <row r="127" spans="4:10" ht="13">
      <c r="D127" s="49"/>
      <c r="E127" s="49"/>
      <c r="F127" s="49"/>
      <c r="J127" s="49"/>
    </row>
    <row r="128" spans="4:10" ht="13">
      <c r="D128" s="49"/>
      <c r="E128" s="49"/>
      <c r="F128" s="49"/>
      <c r="J128" s="49"/>
    </row>
    <row r="129" spans="4:10" ht="13">
      <c r="D129" s="49"/>
      <c r="E129" s="49"/>
      <c r="F129" s="49"/>
      <c r="J129" s="49"/>
    </row>
    <row r="130" spans="4:10" ht="13">
      <c r="D130" s="49"/>
      <c r="E130" s="49"/>
      <c r="F130" s="49"/>
      <c r="J130" s="49"/>
    </row>
    <row r="131" spans="4:10" ht="13">
      <c r="D131" s="49"/>
      <c r="E131" s="49"/>
      <c r="F131" s="49"/>
      <c r="J131" s="49"/>
    </row>
    <row r="132" spans="4:10" ht="13">
      <c r="D132" s="49"/>
      <c r="E132" s="49"/>
      <c r="F132" s="49"/>
      <c r="J132" s="49"/>
    </row>
    <row r="133" spans="4:10" ht="13">
      <c r="D133" s="49"/>
      <c r="E133" s="49"/>
      <c r="F133" s="49"/>
      <c r="J133" s="49"/>
    </row>
    <row r="134" spans="4:10" ht="13">
      <c r="D134" s="49"/>
      <c r="E134" s="49"/>
      <c r="F134" s="49"/>
      <c r="J134" s="49"/>
    </row>
    <row r="135" spans="4:10" ht="13">
      <c r="D135" s="49"/>
      <c r="E135" s="49"/>
      <c r="F135" s="49"/>
      <c r="J135" s="49"/>
    </row>
    <row r="136" spans="4:10" ht="13">
      <c r="D136" s="49"/>
      <c r="E136" s="49"/>
      <c r="F136" s="49"/>
      <c r="J136" s="49"/>
    </row>
    <row r="137" spans="4:10" ht="13">
      <c r="D137" s="49"/>
      <c r="E137" s="49"/>
      <c r="F137" s="49"/>
      <c r="J137" s="49"/>
    </row>
    <row r="138" spans="4:10" ht="13">
      <c r="D138" s="49"/>
      <c r="E138" s="49"/>
      <c r="F138" s="49"/>
      <c r="J138" s="49"/>
    </row>
    <row r="139" spans="4:10" ht="13">
      <c r="D139" s="49"/>
      <c r="E139" s="49"/>
      <c r="F139" s="49"/>
      <c r="J139" s="49"/>
    </row>
    <row r="140" spans="4:10" ht="13">
      <c r="D140" s="49"/>
      <c r="E140" s="49"/>
      <c r="F140" s="49"/>
      <c r="J140" s="49"/>
    </row>
    <row r="141" spans="4:10" ht="13">
      <c r="D141" s="49"/>
      <c r="E141" s="49"/>
      <c r="F141" s="49"/>
      <c r="J141" s="49"/>
    </row>
    <row r="142" spans="4:10" ht="13">
      <c r="D142" s="49"/>
      <c r="E142" s="49"/>
      <c r="F142" s="49"/>
      <c r="J142" s="49"/>
    </row>
    <row r="143" spans="4:10" ht="13">
      <c r="D143" s="49"/>
      <c r="E143" s="49"/>
      <c r="F143" s="49"/>
      <c r="J143" s="49"/>
    </row>
    <row r="144" spans="4:10" ht="13">
      <c r="D144" s="49"/>
      <c r="E144" s="49"/>
      <c r="F144" s="49"/>
      <c r="J144" s="49"/>
    </row>
    <row r="145" spans="4:10" ht="13">
      <c r="D145" s="49"/>
      <c r="E145" s="49"/>
      <c r="F145" s="49"/>
      <c r="J145" s="49"/>
    </row>
    <row r="146" spans="4:10" ht="13">
      <c r="D146" s="49"/>
      <c r="E146" s="49"/>
      <c r="F146" s="49"/>
      <c r="J146" s="49"/>
    </row>
    <row r="147" spans="4:10" ht="13">
      <c r="D147" s="49"/>
      <c r="E147" s="49"/>
      <c r="F147" s="49"/>
      <c r="J147" s="49"/>
    </row>
    <row r="148" spans="4:10" ht="13">
      <c r="D148" s="49"/>
      <c r="E148" s="49"/>
      <c r="F148" s="49"/>
      <c r="J148" s="49"/>
    </row>
    <row r="149" spans="4:10" ht="13">
      <c r="D149" s="49"/>
      <c r="E149" s="49"/>
      <c r="F149" s="49"/>
      <c r="J149" s="49"/>
    </row>
    <row r="150" spans="4:10" ht="13">
      <c r="D150" s="49"/>
      <c r="E150" s="49"/>
      <c r="F150" s="49"/>
      <c r="J150" s="49"/>
    </row>
    <row r="151" spans="4:10" ht="13">
      <c r="D151" s="49"/>
      <c r="E151" s="49"/>
      <c r="F151" s="49"/>
      <c r="J151" s="49"/>
    </row>
    <row r="152" spans="4:10" ht="13">
      <c r="D152" s="49"/>
      <c r="E152" s="49"/>
      <c r="F152" s="49"/>
      <c r="J152" s="49"/>
    </row>
    <row r="153" spans="4:10" ht="13">
      <c r="D153" s="49"/>
      <c r="E153" s="49"/>
      <c r="F153" s="49"/>
      <c r="J153" s="49"/>
    </row>
    <row r="154" spans="4:10" ht="13">
      <c r="D154" s="49"/>
      <c r="E154" s="49"/>
      <c r="F154" s="49"/>
      <c r="J154" s="49"/>
    </row>
    <row r="155" spans="4:10" ht="13">
      <c r="D155" s="49"/>
      <c r="E155" s="49"/>
      <c r="F155" s="49"/>
      <c r="J155" s="49"/>
    </row>
    <row r="156" spans="4:10" ht="13">
      <c r="D156" s="49"/>
      <c r="E156" s="49"/>
      <c r="F156" s="49"/>
      <c r="J156" s="49"/>
    </row>
    <row r="157" spans="4:10" ht="13">
      <c r="D157" s="49"/>
      <c r="E157" s="49"/>
      <c r="F157" s="49"/>
      <c r="J157" s="49"/>
    </row>
    <row r="158" spans="4:10" ht="13">
      <c r="D158" s="49"/>
      <c r="E158" s="49"/>
      <c r="F158" s="49"/>
      <c r="J158" s="49"/>
    </row>
    <row r="159" spans="4:10" ht="13">
      <c r="D159" s="49"/>
      <c r="E159" s="49"/>
      <c r="F159" s="49"/>
      <c r="J159" s="49"/>
    </row>
    <row r="160" spans="4:10" ht="13">
      <c r="D160" s="49"/>
      <c r="E160" s="49"/>
      <c r="F160" s="49"/>
      <c r="J160" s="49"/>
    </row>
    <row r="161" spans="4:10" ht="13">
      <c r="D161" s="49"/>
      <c r="E161" s="49"/>
      <c r="F161" s="49"/>
      <c r="J161" s="49"/>
    </row>
    <row r="162" spans="4:10" ht="13">
      <c r="D162" s="49"/>
      <c r="E162" s="49"/>
      <c r="F162" s="49"/>
      <c r="J162" s="49"/>
    </row>
    <row r="163" spans="4:10" ht="13">
      <c r="D163" s="49"/>
      <c r="E163" s="49"/>
      <c r="F163" s="49"/>
      <c r="J163" s="49"/>
    </row>
    <row r="164" spans="4:10" ht="13">
      <c r="D164" s="49"/>
      <c r="E164" s="49"/>
      <c r="F164" s="49"/>
      <c r="J164" s="49"/>
    </row>
    <row r="165" spans="4:10" ht="13">
      <c r="D165" s="49"/>
      <c r="E165" s="49"/>
      <c r="F165" s="49"/>
      <c r="J165" s="49"/>
    </row>
    <row r="166" spans="4:10" ht="13">
      <c r="D166" s="49"/>
      <c r="E166" s="49"/>
      <c r="F166" s="49"/>
      <c r="J166" s="49"/>
    </row>
    <row r="167" spans="4:10" ht="13">
      <c r="D167" s="49"/>
      <c r="E167" s="49"/>
      <c r="F167" s="49"/>
      <c r="J167" s="49"/>
    </row>
    <row r="168" spans="4:10" ht="13">
      <c r="D168" s="49"/>
      <c r="E168" s="49"/>
      <c r="F168" s="49"/>
      <c r="J168" s="49"/>
    </row>
    <row r="169" spans="4:10" ht="13">
      <c r="D169" s="49"/>
      <c r="E169" s="49"/>
      <c r="F169" s="49"/>
      <c r="J169" s="49"/>
    </row>
    <row r="170" spans="4:10" ht="13">
      <c r="D170" s="49"/>
      <c r="E170" s="49"/>
      <c r="F170" s="49"/>
      <c r="J170" s="49"/>
    </row>
    <row r="171" spans="4:10" ht="13">
      <c r="D171" s="49"/>
      <c r="E171" s="49"/>
      <c r="F171" s="49"/>
      <c r="J171" s="49"/>
    </row>
    <row r="172" spans="4:10" ht="13">
      <c r="D172" s="49"/>
      <c r="E172" s="49"/>
      <c r="F172" s="49"/>
      <c r="J172" s="49"/>
    </row>
    <row r="173" spans="4:10" ht="13">
      <c r="D173" s="49"/>
      <c r="E173" s="49"/>
      <c r="F173" s="49"/>
      <c r="J173" s="49"/>
    </row>
    <row r="174" spans="4:10" ht="13">
      <c r="D174" s="49"/>
      <c r="E174" s="49"/>
      <c r="F174" s="49"/>
      <c r="J174" s="49"/>
    </row>
    <row r="175" spans="4:10" ht="13">
      <c r="D175" s="49"/>
      <c r="E175" s="49"/>
      <c r="F175" s="49"/>
      <c r="J175" s="49"/>
    </row>
    <row r="176" spans="4:10" ht="13">
      <c r="D176" s="49"/>
      <c r="E176" s="49"/>
      <c r="F176" s="49"/>
      <c r="J176" s="49"/>
    </row>
    <row r="177" spans="4:10" ht="13">
      <c r="D177" s="49"/>
      <c r="E177" s="49"/>
      <c r="F177" s="49"/>
      <c r="J177" s="49"/>
    </row>
    <row r="178" spans="4:10" ht="13">
      <c r="D178" s="49"/>
      <c r="E178" s="49"/>
      <c r="F178" s="49"/>
      <c r="J178" s="49"/>
    </row>
    <row r="179" spans="4:10" ht="13">
      <c r="D179" s="49"/>
      <c r="E179" s="49"/>
      <c r="F179" s="49"/>
      <c r="J179" s="49"/>
    </row>
    <row r="180" spans="4:10" ht="13">
      <c r="D180" s="49"/>
      <c r="E180" s="49"/>
      <c r="F180" s="49"/>
      <c r="J180" s="49"/>
    </row>
    <row r="181" spans="4:10" ht="13">
      <c r="D181" s="49"/>
      <c r="E181" s="49"/>
      <c r="F181" s="49"/>
      <c r="J181" s="49"/>
    </row>
    <row r="182" spans="4:10" ht="13">
      <c r="D182" s="49"/>
      <c r="E182" s="49"/>
      <c r="F182" s="49"/>
      <c r="J182" s="49"/>
    </row>
    <row r="183" spans="4:10" ht="13">
      <c r="D183" s="49"/>
      <c r="E183" s="49"/>
      <c r="F183" s="49"/>
      <c r="J183" s="49"/>
    </row>
    <row r="184" spans="4:10" ht="13">
      <c r="D184" s="49"/>
      <c r="E184" s="49"/>
      <c r="F184" s="49"/>
      <c r="J184" s="49"/>
    </row>
    <row r="185" spans="4:10" ht="13">
      <c r="D185" s="49"/>
      <c r="E185" s="49"/>
      <c r="F185" s="49"/>
      <c r="J185" s="49"/>
    </row>
    <row r="186" spans="4:10" ht="13">
      <c r="D186" s="49"/>
      <c r="E186" s="49"/>
      <c r="F186" s="49"/>
      <c r="J186" s="49"/>
    </row>
    <row r="187" spans="4:10" ht="13">
      <c r="D187" s="49"/>
      <c r="E187" s="49"/>
      <c r="F187" s="49"/>
      <c r="J187" s="49"/>
    </row>
    <row r="188" spans="4:10" ht="13">
      <c r="D188" s="49"/>
      <c r="E188" s="49"/>
      <c r="F188" s="49"/>
      <c r="J188" s="49"/>
    </row>
    <row r="189" spans="4:10" ht="13">
      <c r="D189" s="49"/>
      <c r="E189" s="49"/>
      <c r="F189" s="49"/>
      <c r="J189" s="49"/>
    </row>
    <row r="190" spans="4:10" ht="13">
      <c r="D190" s="49"/>
      <c r="E190" s="49"/>
      <c r="F190" s="49"/>
      <c r="J190" s="49"/>
    </row>
    <row r="191" spans="4:10" ht="13">
      <c r="D191" s="49"/>
      <c r="E191" s="49"/>
      <c r="F191" s="49"/>
      <c r="J191" s="49"/>
    </row>
    <row r="192" spans="4:10" ht="13">
      <c r="D192" s="49"/>
      <c r="E192" s="49"/>
      <c r="F192" s="49"/>
      <c r="J192" s="49"/>
    </row>
    <row r="193" spans="4:10" ht="13">
      <c r="D193" s="49"/>
      <c r="E193" s="49"/>
      <c r="F193" s="49"/>
      <c r="J193" s="49"/>
    </row>
    <row r="194" spans="4:10" ht="13">
      <c r="D194" s="49"/>
      <c r="E194" s="49"/>
      <c r="F194" s="49"/>
      <c r="J194" s="49"/>
    </row>
    <row r="195" spans="4:10" ht="13">
      <c r="D195" s="49"/>
      <c r="E195" s="49"/>
      <c r="F195" s="49"/>
      <c r="J195" s="49"/>
    </row>
    <row r="196" spans="4:10" ht="13">
      <c r="D196" s="49"/>
      <c r="E196" s="49"/>
      <c r="F196" s="49"/>
      <c r="J196" s="49"/>
    </row>
    <row r="197" spans="4:10" ht="13">
      <c r="D197" s="49"/>
      <c r="E197" s="49"/>
      <c r="F197" s="49"/>
      <c r="J197" s="49"/>
    </row>
    <row r="198" spans="4:10" ht="13">
      <c r="D198" s="49"/>
      <c r="E198" s="49"/>
      <c r="F198" s="49"/>
      <c r="J198" s="49"/>
    </row>
    <row r="199" spans="4:10" ht="13">
      <c r="D199" s="49"/>
      <c r="E199" s="49"/>
      <c r="F199" s="49"/>
      <c r="J199" s="49"/>
    </row>
    <row r="200" spans="4:10" ht="13">
      <c r="D200" s="49"/>
      <c r="E200" s="49"/>
      <c r="F200" s="49"/>
      <c r="J200" s="49"/>
    </row>
    <row r="201" spans="4:10" ht="13">
      <c r="D201" s="49"/>
      <c r="E201" s="49"/>
      <c r="F201" s="49"/>
      <c r="J201" s="49"/>
    </row>
    <row r="202" spans="4:10" ht="13">
      <c r="D202" s="49"/>
      <c r="E202" s="49"/>
      <c r="F202" s="49"/>
      <c r="J202" s="49"/>
    </row>
    <row r="203" spans="4:10" ht="13">
      <c r="D203" s="49"/>
      <c r="E203" s="49"/>
      <c r="F203" s="49"/>
      <c r="J203" s="49"/>
    </row>
    <row r="204" spans="4:10" ht="13">
      <c r="D204" s="49"/>
      <c r="E204" s="49"/>
      <c r="F204" s="49"/>
      <c r="J204" s="49"/>
    </row>
    <row r="205" spans="4:10" ht="13">
      <c r="D205" s="49"/>
      <c r="E205" s="49"/>
      <c r="F205" s="49"/>
      <c r="J205" s="49"/>
    </row>
    <row r="206" spans="4:10" ht="13">
      <c r="D206" s="49"/>
      <c r="E206" s="49"/>
      <c r="F206" s="49"/>
      <c r="J206" s="49"/>
    </row>
    <row r="207" spans="4:10" ht="13">
      <c r="D207" s="49"/>
      <c r="E207" s="49"/>
      <c r="F207" s="49"/>
      <c r="J207" s="49"/>
    </row>
    <row r="208" spans="4:10" ht="13">
      <c r="D208" s="49"/>
      <c r="E208" s="49"/>
      <c r="F208" s="49"/>
      <c r="J208" s="49"/>
    </row>
    <row r="209" spans="4:10" ht="13">
      <c r="D209" s="49"/>
      <c r="E209" s="49"/>
      <c r="F209" s="49"/>
      <c r="J209" s="49"/>
    </row>
    <row r="210" spans="4:10" ht="13">
      <c r="D210" s="49"/>
      <c r="E210" s="49"/>
      <c r="F210" s="49"/>
      <c r="J210" s="49"/>
    </row>
    <row r="211" spans="4:10" ht="13">
      <c r="D211" s="49"/>
      <c r="E211" s="49"/>
      <c r="F211" s="49"/>
      <c r="J211" s="49"/>
    </row>
    <row r="212" spans="4:10" ht="13">
      <c r="D212" s="49"/>
      <c r="E212" s="49"/>
      <c r="F212" s="49"/>
      <c r="J212" s="49"/>
    </row>
    <row r="213" spans="4:10" ht="13">
      <c r="D213" s="49"/>
      <c r="E213" s="49"/>
      <c r="F213" s="49"/>
      <c r="J213" s="49"/>
    </row>
    <row r="214" spans="4:10" ht="13">
      <c r="D214" s="49"/>
      <c r="E214" s="49"/>
      <c r="F214" s="49"/>
      <c r="J214" s="49"/>
    </row>
    <row r="215" spans="4:10" ht="13">
      <c r="D215" s="49"/>
      <c r="E215" s="49"/>
      <c r="F215" s="49"/>
      <c r="J215" s="49"/>
    </row>
    <row r="216" spans="4:10" ht="13">
      <c r="D216" s="49"/>
      <c r="E216" s="49"/>
      <c r="F216" s="49"/>
      <c r="J216" s="49"/>
    </row>
    <row r="217" spans="4:10" ht="13">
      <c r="D217" s="49"/>
      <c r="E217" s="49"/>
      <c r="F217" s="49"/>
      <c r="J217" s="49"/>
    </row>
    <row r="218" spans="4:10" ht="13">
      <c r="D218" s="49"/>
      <c r="E218" s="49"/>
      <c r="F218" s="49"/>
      <c r="J218" s="49"/>
    </row>
    <row r="219" spans="4:10" ht="13">
      <c r="D219" s="49"/>
      <c r="E219" s="49"/>
      <c r="F219" s="49"/>
      <c r="J219" s="49"/>
    </row>
    <row r="220" spans="4:10" ht="13">
      <c r="D220" s="49"/>
      <c r="E220" s="49"/>
      <c r="F220" s="49"/>
      <c r="J220" s="49"/>
    </row>
    <row r="221" spans="4:10" ht="13">
      <c r="D221" s="49"/>
      <c r="E221" s="49"/>
      <c r="F221" s="49"/>
      <c r="J221" s="49"/>
    </row>
    <row r="222" spans="4:10" ht="13">
      <c r="D222" s="49"/>
      <c r="E222" s="49"/>
      <c r="F222" s="49"/>
      <c r="J222" s="49"/>
    </row>
    <row r="223" spans="4:10" ht="13">
      <c r="D223" s="49"/>
      <c r="E223" s="49"/>
      <c r="F223" s="49"/>
      <c r="J223" s="49"/>
    </row>
    <row r="224" spans="4:10" ht="13">
      <c r="D224" s="49"/>
      <c r="E224" s="49"/>
      <c r="F224" s="49"/>
      <c r="J224" s="49"/>
    </row>
    <row r="225" spans="4:10" ht="13">
      <c r="D225" s="49"/>
      <c r="E225" s="49"/>
      <c r="F225" s="49"/>
      <c r="J225" s="49"/>
    </row>
    <row r="226" spans="4:10" ht="13">
      <c r="D226" s="49"/>
      <c r="E226" s="49"/>
      <c r="F226" s="49"/>
      <c r="J226" s="49"/>
    </row>
    <row r="227" spans="4:10" ht="13">
      <c r="D227" s="49"/>
      <c r="E227" s="49"/>
      <c r="F227" s="49"/>
      <c r="J227" s="49"/>
    </row>
    <row r="228" spans="4:10" ht="13">
      <c r="D228" s="49"/>
      <c r="E228" s="49"/>
      <c r="F228" s="49"/>
      <c r="J228" s="49"/>
    </row>
    <row r="229" spans="4:10" ht="13">
      <c r="D229" s="49"/>
      <c r="E229" s="49"/>
      <c r="F229" s="49"/>
      <c r="J229" s="49"/>
    </row>
    <row r="230" spans="4:10" ht="13">
      <c r="D230" s="49"/>
      <c r="E230" s="49"/>
      <c r="F230" s="49"/>
      <c r="J230" s="49"/>
    </row>
    <row r="231" spans="4:10" ht="13">
      <c r="D231" s="49"/>
      <c r="E231" s="49"/>
      <c r="F231" s="49"/>
      <c r="J231" s="49"/>
    </row>
    <row r="232" spans="4:10" ht="13">
      <c r="D232" s="49"/>
      <c r="E232" s="49"/>
      <c r="F232" s="49"/>
      <c r="J232" s="49"/>
    </row>
    <row r="233" spans="4:10" ht="13">
      <c r="D233" s="49"/>
      <c r="E233" s="49"/>
      <c r="F233" s="49"/>
      <c r="J233" s="49"/>
    </row>
    <row r="234" spans="4:10" ht="13">
      <c r="D234" s="49"/>
      <c r="E234" s="49"/>
      <c r="F234" s="49"/>
      <c r="J234" s="49"/>
    </row>
    <row r="235" spans="4:10" ht="13">
      <c r="D235" s="49"/>
      <c r="E235" s="49"/>
      <c r="F235" s="49"/>
      <c r="J235" s="49"/>
    </row>
    <row r="236" spans="4:10" ht="13">
      <c r="D236" s="49"/>
      <c r="E236" s="49"/>
      <c r="F236" s="49"/>
      <c r="J236" s="49"/>
    </row>
    <row r="237" spans="4:10" ht="13">
      <c r="D237" s="49"/>
      <c r="E237" s="49"/>
      <c r="F237" s="49"/>
      <c r="J237" s="49"/>
    </row>
    <row r="238" spans="4:10" ht="13">
      <c r="D238" s="49"/>
      <c r="E238" s="49"/>
      <c r="F238" s="49"/>
      <c r="J238" s="49"/>
    </row>
    <row r="239" spans="4:10" ht="13">
      <c r="D239" s="49"/>
      <c r="E239" s="49"/>
      <c r="F239" s="49"/>
      <c r="J239" s="49"/>
    </row>
    <row r="240" spans="4:10" ht="13">
      <c r="D240" s="49"/>
      <c r="E240" s="49"/>
      <c r="F240" s="49"/>
      <c r="J240" s="49"/>
    </row>
    <row r="241" spans="4:10" ht="13">
      <c r="D241" s="49"/>
      <c r="E241" s="49"/>
      <c r="F241" s="49"/>
      <c r="J241" s="49"/>
    </row>
    <row r="242" spans="4:10" ht="13">
      <c r="D242" s="49"/>
      <c r="E242" s="49"/>
      <c r="F242" s="49"/>
      <c r="J242" s="49"/>
    </row>
    <row r="243" spans="4:10" ht="13">
      <c r="D243" s="49"/>
      <c r="E243" s="49"/>
      <c r="F243" s="49"/>
      <c r="J243" s="49"/>
    </row>
    <row r="244" spans="4:10" ht="13">
      <c r="D244" s="49"/>
      <c r="E244" s="49"/>
      <c r="F244" s="49"/>
      <c r="J244" s="49"/>
    </row>
    <row r="245" spans="4:10" ht="13">
      <c r="D245" s="49"/>
      <c r="E245" s="49"/>
      <c r="F245" s="49"/>
      <c r="J245" s="49"/>
    </row>
    <row r="246" spans="4:10" ht="13">
      <c r="D246" s="49"/>
      <c r="E246" s="49"/>
      <c r="F246" s="49"/>
      <c r="J246" s="49"/>
    </row>
    <row r="247" spans="4:10" ht="13">
      <c r="D247" s="49"/>
      <c r="E247" s="49"/>
      <c r="F247" s="49"/>
      <c r="J247" s="49"/>
    </row>
    <row r="248" spans="4:10" ht="13">
      <c r="D248" s="49"/>
      <c r="E248" s="49"/>
      <c r="F248" s="49"/>
      <c r="J248" s="49"/>
    </row>
    <row r="249" spans="4:10" ht="13">
      <c r="D249" s="49"/>
      <c r="E249" s="49"/>
      <c r="F249" s="49"/>
      <c r="J249" s="49"/>
    </row>
    <row r="250" spans="4:10" ht="13">
      <c r="D250" s="49"/>
      <c r="E250" s="49"/>
      <c r="F250" s="49"/>
      <c r="J250" s="49"/>
    </row>
    <row r="251" spans="4:10" ht="13">
      <c r="D251" s="49"/>
      <c r="E251" s="49"/>
      <c r="F251" s="49"/>
      <c r="J251" s="49"/>
    </row>
    <row r="252" spans="4:10" ht="13">
      <c r="D252" s="49"/>
      <c r="E252" s="49"/>
      <c r="F252" s="49"/>
      <c r="J252" s="49"/>
    </row>
    <row r="253" spans="4:10" ht="13">
      <c r="D253" s="49"/>
      <c r="E253" s="49"/>
      <c r="F253" s="49"/>
      <c r="J253" s="49"/>
    </row>
    <row r="254" spans="4:10" ht="13">
      <c r="D254" s="49"/>
      <c r="E254" s="49"/>
      <c r="F254" s="49"/>
      <c r="J254" s="49"/>
    </row>
    <row r="255" spans="4:10" ht="13">
      <c r="D255" s="49"/>
      <c r="E255" s="49"/>
      <c r="F255" s="49"/>
      <c r="J255" s="49"/>
    </row>
    <row r="256" spans="4:10" ht="13">
      <c r="D256" s="49"/>
      <c r="E256" s="49"/>
      <c r="F256" s="49"/>
      <c r="J256" s="49"/>
    </row>
    <row r="257" spans="4:10" ht="13">
      <c r="D257" s="49"/>
      <c r="E257" s="49"/>
      <c r="F257" s="49"/>
      <c r="J257" s="49"/>
    </row>
    <row r="258" spans="4:10" ht="13">
      <c r="D258" s="49"/>
      <c r="E258" s="49"/>
      <c r="F258" s="49"/>
      <c r="J258" s="49"/>
    </row>
    <row r="259" spans="4:10" ht="13">
      <c r="D259" s="49"/>
      <c r="E259" s="49"/>
      <c r="F259" s="49"/>
      <c r="J259" s="49"/>
    </row>
    <row r="260" spans="4:10" ht="13">
      <c r="D260" s="49"/>
      <c r="E260" s="49"/>
      <c r="F260" s="49"/>
      <c r="J260" s="49"/>
    </row>
    <row r="261" spans="4:10" ht="13">
      <c r="D261" s="49"/>
      <c r="E261" s="49"/>
      <c r="F261" s="49"/>
      <c r="J261" s="49"/>
    </row>
    <row r="262" spans="4:10" ht="13">
      <c r="D262" s="49"/>
      <c r="E262" s="49"/>
      <c r="F262" s="49"/>
      <c r="J262" s="49"/>
    </row>
    <row r="263" spans="4:10" ht="13">
      <c r="D263" s="49"/>
      <c r="E263" s="49"/>
      <c r="F263" s="49"/>
      <c r="J263" s="49"/>
    </row>
    <row r="264" spans="4:10" ht="13">
      <c r="D264" s="49"/>
      <c r="E264" s="49"/>
      <c r="F264" s="49"/>
      <c r="J264" s="49"/>
    </row>
    <row r="265" spans="4:10" ht="13">
      <c r="D265" s="49"/>
      <c r="E265" s="49"/>
      <c r="F265" s="49"/>
      <c r="J265" s="49"/>
    </row>
    <row r="266" spans="4:10" ht="13">
      <c r="D266" s="49"/>
      <c r="E266" s="49"/>
      <c r="F266" s="49"/>
      <c r="J266" s="49"/>
    </row>
    <row r="267" spans="4:10" ht="13">
      <c r="D267" s="49"/>
      <c r="E267" s="49"/>
      <c r="F267" s="49"/>
      <c r="J267" s="49"/>
    </row>
    <row r="268" spans="4:10" ht="13">
      <c r="D268" s="49"/>
      <c r="E268" s="49"/>
      <c r="F268" s="49"/>
      <c r="J268" s="49"/>
    </row>
    <row r="269" spans="4:10" ht="13">
      <c r="D269" s="49"/>
      <c r="E269" s="49"/>
      <c r="F269" s="49"/>
      <c r="J269" s="49"/>
    </row>
    <row r="270" spans="4:10" ht="13">
      <c r="D270" s="49"/>
      <c r="E270" s="49"/>
      <c r="F270" s="49"/>
      <c r="J270" s="49"/>
    </row>
    <row r="271" spans="4:10" ht="13">
      <c r="D271" s="49"/>
      <c r="E271" s="49"/>
      <c r="F271" s="49"/>
      <c r="J271" s="49"/>
    </row>
    <row r="272" spans="4:10" ht="13">
      <c r="D272" s="49"/>
      <c r="E272" s="49"/>
      <c r="F272" s="49"/>
      <c r="J272" s="49"/>
    </row>
    <row r="273" spans="4:10" ht="13">
      <c r="D273" s="49"/>
      <c r="E273" s="49"/>
      <c r="F273" s="49"/>
      <c r="J273" s="49"/>
    </row>
    <row r="274" spans="4:10" ht="13">
      <c r="D274" s="49"/>
      <c r="E274" s="49"/>
      <c r="F274" s="49"/>
      <c r="J274" s="49"/>
    </row>
    <row r="275" spans="4:10" ht="13">
      <c r="D275" s="49"/>
      <c r="E275" s="49"/>
      <c r="F275" s="49"/>
      <c r="J275" s="49"/>
    </row>
    <row r="276" spans="4:10" ht="13">
      <c r="D276" s="49"/>
      <c r="E276" s="49"/>
      <c r="F276" s="49"/>
      <c r="J276" s="49"/>
    </row>
    <row r="277" spans="4:10" ht="13">
      <c r="D277" s="49"/>
      <c r="E277" s="49"/>
      <c r="F277" s="49"/>
      <c r="J277" s="49"/>
    </row>
    <row r="278" spans="4:10" ht="13">
      <c r="D278" s="49"/>
      <c r="E278" s="49"/>
      <c r="F278" s="49"/>
      <c r="J278" s="49"/>
    </row>
    <row r="279" spans="4:10" ht="13">
      <c r="D279" s="49"/>
      <c r="E279" s="49"/>
      <c r="F279" s="49"/>
      <c r="J279" s="49"/>
    </row>
    <row r="280" spans="4:10" ht="13">
      <c r="D280" s="49"/>
      <c r="E280" s="49"/>
      <c r="F280" s="49"/>
      <c r="J280" s="49"/>
    </row>
    <row r="281" spans="4:10" ht="13">
      <c r="D281" s="49"/>
      <c r="E281" s="49"/>
      <c r="F281" s="49"/>
      <c r="J281" s="49"/>
    </row>
    <row r="282" spans="4:10" ht="13">
      <c r="D282" s="49"/>
      <c r="E282" s="49"/>
      <c r="F282" s="49"/>
      <c r="J282" s="49"/>
    </row>
    <row r="283" spans="4:10" ht="13">
      <c r="D283" s="49"/>
      <c r="E283" s="49"/>
      <c r="F283" s="49"/>
      <c r="J283" s="49"/>
    </row>
    <row r="284" spans="4:10" ht="13">
      <c r="D284" s="49"/>
      <c r="E284" s="49"/>
      <c r="F284" s="49"/>
      <c r="J284" s="49"/>
    </row>
    <row r="285" spans="4:10" ht="13">
      <c r="D285" s="49"/>
      <c r="E285" s="49"/>
      <c r="F285" s="49"/>
      <c r="J285" s="49"/>
    </row>
    <row r="286" spans="4:10" ht="13">
      <c r="D286" s="49"/>
      <c r="E286" s="49"/>
      <c r="F286" s="49"/>
      <c r="J286" s="49"/>
    </row>
    <row r="287" spans="4:10" ht="13">
      <c r="D287" s="49"/>
      <c r="E287" s="49"/>
      <c r="F287" s="49"/>
      <c r="J287" s="49"/>
    </row>
    <row r="288" spans="4:10" ht="13">
      <c r="D288" s="49"/>
      <c r="E288" s="49"/>
      <c r="F288" s="49"/>
      <c r="J288" s="49"/>
    </row>
    <row r="289" spans="4:10" ht="13">
      <c r="D289" s="49"/>
      <c r="E289" s="49"/>
      <c r="F289" s="49"/>
      <c r="J289" s="49"/>
    </row>
    <row r="290" spans="4:10" ht="13">
      <c r="D290" s="49"/>
      <c r="E290" s="49"/>
      <c r="F290" s="49"/>
      <c r="J290" s="49"/>
    </row>
    <row r="291" spans="4:10" ht="13">
      <c r="D291" s="49"/>
      <c r="E291" s="49"/>
      <c r="F291" s="49"/>
      <c r="J291" s="49"/>
    </row>
    <row r="292" spans="4:10" ht="13">
      <c r="D292" s="49"/>
      <c r="E292" s="49"/>
      <c r="F292" s="49"/>
      <c r="J292" s="49"/>
    </row>
    <row r="293" spans="4:10" ht="13">
      <c r="D293" s="49"/>
      <c r="E293" s="49"/>
      <c r="F293" s="49"/>
      <c r="J293" s="49"/>
    </row>
    <row r="294" spans="4:10" ht="13">
      <c r="D294" s="49"/>
      <c r="E294" s="49"/>
      <c r="F294" s="49"/>
      <c r="J294" s="49"/>
    </row>
    <row r="295" spans="4:10" ht="13">
      <c r="D295" s="49"/>
      <c r="E295" s="49"/>
      <c r="F295" s="49"/>
      <c r="J295" s="49"/>
    </row>
    <row r="296" spans="4:10" ht="13">
      <c r="D296" s="49"/>
      <c r="E296" s="49"/>
      <c r="F296" s="49"/>
      <c r="J296" s="49"/>
    </row>
    <row r="297" spans="4:10" ht="13">
      <c r="D297" s="49"/>
      <c r="E297" s="49"/>
      <c r="F297" s="49"/>
      <c r="J297" s="49"/>
    </row>
    <row r="298" spans="4:10" ht="13">
      <c r="D298" s="49"/>
      <c r="E298" s="49"/>
      <c r="F298" s="49"/>
      <c r="J298" s="49"/>
    </row>
    <row r="299" spans="4:10" ht="13">
      <c r="D299" s="49"/>
      <c r="E299" s="49"/>
      <c r="F299" s="49"/>
      <c r="J299" s="49"/>
    </row>
    <row r="300" spans="4:10" ht="13">
      <c r="D300" s="49"/>
      <c r="E300" s="49"/>
      <c r="F300" s="49"/>
      <c r="J300" s="49"/>
    </row>
    <row r="301" spans="4:10" ht="13">
      <c r="D301" s="49"/>
      <c r="E301" s="49"/>
      <c r="F301" s="49"/>
      <c r="J301" s="49"/>
    </row>
    <row r="302" spans="4:10" ht="13">
      <c r="D302" s="49"/>
      <c r="E302" s="49"/>
      <c r="F302" s="49"/>
      <c r="J302" s="49"/>
    </row>
    <row r="303" spans="4:10" ht="13">
      <c r="D303" s="49"/>
      <c r="E303" s="49"/>
      <c r="F303" s="49"/>
      <c r="J303" s="49"/>
    </row>
    <row r="304" spans="4:10" ht="13">
      <c r="D304" s="49"/>
      <c r="E304" s="49"/>
      <c r="F304" s="49"/>
      <c r="J304" s="49"/>
    </row>
    <row r="305" spans="4:10" ht="13">
      <c r="D305" s="49"/>
      <c r="E305" s="49"/>
      <c r="F305" s="49"/>
      <c r="J305" s="49"/>
    </row>
    <row r="306" spans="4:10" ht="13">
      <c r="D306" s="49"/>
      <c r="E306" s="49"/>
      <c r="F306" s="49"/>
      <c r="J306" s="49"/>
    </row>
    <row r="307" spans="4:10" ht="13">
      <c r="D307" s="49"/>
      <c r="E307" s="49"/>
      <c r="F307" s="49"/>
      <c r="J307" s="49"/>
    </row>
    <row r="308" spans="4:10" ht="13">
      <c r="D308" s="49"/>
      <c r="E308" s="49"/>
      <c r="F308" s="49"/>
      <c r="J308" s="49"/>
    </row>
    <row r="309" spans="4:10" ht="13">
      <c r="D309" s="49"/>
      <c r="E309" s="49"/>
      <c r="F309" s="49"/>
      <c r="J309" s="49"/>
    </row>
    <row r="310" spans="4:10" ht="13">
      <c r="D310" s="49"/>
      <c r="E310" s="49"/>
      <c r="F310" s="49"/>
      <c r="J310" s="49"/>
    </row>
    <row r="311" spans="4:10" ht="13">
      <c r="D311" s="49"/>
      <c r="E311" s="49"/>
      <c r="F311" s="49"/>
      <c r="J311" s="49"/>
    </row>
    <row r="312" spans="4:10" ht="13">
      <c r="D312" s="49"/>
      <c r="E312" s="49"/>
      <c r="F312" s="49"/>
      <c r="J312" s="49"/>
    </row>
    <row r="313" spans="4:10" ht="13">
      <c r="D313" s="49"/>
      <c r="E313" s="49"/>
      <c r="F313" s="49"/>
      <c r="J313" s="49"/>
    </row>
    <row r="314" spans="4:10" ht="13">
      <c r="D314" s="49"/>
      <c r="E314" s="49"/>
      <c r="F314" s="49"/>
      <c r="J314" s="49"/>
    </row>
    <row r="315" spans="4:10" ht="13">
      <c r="D315" s="49"/>
      <c r="E315" s="49"/>
      <c r="F315" s="49"/>
      <c r="J315" s="49"/>
    </row>
    <row r="316" spans="4:10" ht="13">
      <c r="D316" s="49"/>
      <c r="E316" s="49"/>
      <c r="F316" s="49"/>
      <c r="J316" s="49"/>
    </row>
    <row r="317" spans="4:10" ht="13">
      <c r="D317" s="49"/>
      <c r="E317" s="49"/>
      <c r="F317" s="49"/>
      <c r="J317" s="49"/>
    </row>
    <row r="318" spans="4:10" ht="13">
      <c r="D318" s="49"/>
      <c r="E318" s="49"/>
      <c r="F318" s="49"/>
      <c r="J318" s="49"/>
    </row>
    <row r="319" spans="4:10" ht="13">
      <c r="D319" s="49"/>
      <c r="E319" s="49"/>
      <c r="F319" s="49"/>
      <c r="J319" s="49"/>
    </row>
    <row r="320" spans="4:10" ht="13">
      <c r="D320" s="49"/>
      <c r="E320" s="49"/>
      <c r="F320" s="49"/>
      <c r="J320" s="49"/>
    </row>
    <row r="321" spans="4:10" ht="13">
      <c r="D321" s="49"/>
      <c r="E321" s="49"/>
      <c r="F321" s="49"/>
      <c r="J321" s="49"/>
    </row>
    <row r="322" spans="4:10" ht="13">
      <c r="D322" s="49"/>
      <c r="E322" s="49"/>
      <c r="F322" s="49"/>
      <c r="J322" s="49"/>
    </row>
    <row r="323" spans="4:10" ht="13">
      <c r="D323" s="49"/>
      <c r="E323" s="49"/>
      <c r="F323" s="49"/>
      <c r="J323" s="49"/>
    </row>
    <row r="324" spans="4:10" ht="13">
      <c r="D324" s="49"/>
      <c r="E324" s="49"/>
      <c r="F324" s="49"/>
      <c r="J324" s="49"/>
    </row>
    <row r="325" spans="4:10" ht="13">
      <c r="D325" s="49"/>
      <c r="E325" s="49"/>
      <c r="F325" s="49"/>
      <c r="J325" s="49"/>
    </row>
    <row r="326" spans="4:10" ht="13">
      <c r="D326" s="49"/>
      <c r="E326" s="49"/>
      <c r="F326" s="49"/>
      <c r="J326" s="49"/>
    </row>
    <row r="327" spans="4:10" ht="13">
      <c r="D327" s="49"/>
      <c r="E327" s="49"/>
      <c r="F327" s="49"/>
      <c r="J327" s="49"/>
    </row>
    <row r="328" spans="4:10" ht="13">
      <c r="D328" s="49"/>
      <c r="E328" s="49"/>
      <c r="F328" s="49"/>
      <c r="J328" s="49"/>
    </row>
    <row r="329" spans="4:10" ht="13">
      <c r="D329" s="49"/>
      <c r="E329" s="49"/>
      <c r="F329" s="49"/>
      <c r="J329" s="49"/>
    </row>
    <row r="330" spans="4:10" ht="13">
      <c r="D330" s="49"/>
      <c r="E330" s="49"/>
      <c r="F330" s="49"/>
      <c r="J330" s="49"/>
    </row>
    <row r="331" spans="4:10" ht="13">
      <c r="D331" s="49"/>
      <c r="E331" s="49"/>
      <c r="F331" s="49"/>
      <c r="J331" s="49"/>
    </row>
    <row r="332" spans="4:10" ht="13">
      <c r="D332" s="49"/>
      <c r="E332" s="49"/>
      <c r="F332" s="49"/>
      <c r="J332" s="49"/>
    </row>
    <row r="333" spans="4:10" ht="13">
      <c r="D333" s="49"/>
      <c r="E333" s="49"/>
      <c r="F333" s="49"/>
      <c r="J333" s="49"/>
    </row>
    <row r="334" spans="4:10" ht="13">
      <c r="D334" s="49"/>
      <c r="E334" s="49"/>
      <c r="F334" s="49"/>
      <c r="J334" s="49"/>
    </row>
    <row r="335" spans="4:10" ht="13">
      <c r="D335" s="49"/>
      <c r="E335" s="49"/>
      <c r="F335" s="49"/>
      <c r="J335" s="49"/>
    </row>
    <row r="336" spans="4:10" ht="13">
      <c r="D336" s="49"/>
      <c r="E336" s="49"/>
      <c r="F336" s="49"/>
      <c r="J336" s="49"/>
    </row>
    <row r="337" spans="4:10" ht="13">
      <c r="D337" s="49"/>
      <c r="E337" s="49"/>
      <c r="F337" s="49"/>
      <c r="J337" s="49"/>
    </row>
    <row r="338" spans="4:10" ht="13">
      <c r="D338" s="49"/>
      <c r="E338" s="49"/>
      <c r="F338" s="49"/>
      <c r="J338" s="49"/>
    </row>
    <row r="339" spans="4:10" ht="13">
      <c r="D339" s="49"/>
      <c r="E339" s="49"/>
      <c r="F339" s="49"/>
      <c r="J339" s="49"/>
    </row>
    <row r="340" spans="4:10" ht="13">
      <c r="D340" s="49"/>
      <c r="E340" s="49"/>
      <c r="F340" s="49"/>
      <c r="J340" s="49"/>
    </row>
    <row r="341" spans="4:10" ht="13">
      <c r="D341" s="49"/>
      <c r="E341" s="49"/>
      <c r="F341" s="49"/>
      <c r="J341" s="49"/>
    </row>
    <row r="342" spans="4:10" ht="13">
      <c r="D342" s="49"/>
      <c r="E342" s="49"/>
      <c r="F342" s="49"/>
      <c r="J342" s="49"/>
    </row>
    <row r="343" spans="4:10" ht="13">
      <c r="D343" s="49"/>
      <c r="E343" s="49"/>
      <c r="F343" s="49"/>
      <c r="J343" s="49"/>
    </row>
    <row r="344" spans="4:10" ht="13">
      <c r="D344" s="49"/>
      <c r="E344" s="49"/>
      <c r="F344" s="49"/>
      <c r="J344" s="49"/>
    </row>
    <row r="345" spans="4:10" ht="13">
      <c r="D345" s="49"/>
      <c r="E345" s="49"/>
      <c r="F345" s="49"/>
      <c r="J345" s="49"/>
    </row>
    <row r="346" spans="4:10" ht="13">
      <c r="D346" s="49"/>
      <c r="E346" s="49"/>
      <c r="F346" s="49"/>
      <c r="J346" s="49"/>
    </row>
    <row r="347" spans="4:10" ht="13">
      <c r="D347" s="49"/>
      <c r="E347" s="49"/>
      <c r="F347" s="49"/>
      <c r="J347" s="49"/>
    </row>
    <row r="348" spans="4:10" ht="13">
      <c r="D348" s="49"/>
      <c r="E348" s="49"/>
      <c r="F348" s="49"/>
      <c r="J348" s="49"/>
    </row>
    <row r="349" spans="4:10" ht="13">
      <c r="D349" s="49"/>
      <c r="E349" s="49"/>
      <c r="F349" s="49"/>
      <c r="J349" s="49"/>
    </row>
    <row r="350" spans="4:10" ht="13">
      <c r="D350" s="49"/>
      <c r="E350" s="49"/>
      <c r="F350" s="49"/>
      <c r="J350" s="49"/>
    </row>
    <row r="351" spans="4:10" ht="13">
      <c r="D351" s="49"/>
      <c r="E351" s="49"/>
      <c r="F351" s="49"/>
      <c r="J351" s="49"/>
    </row>
    <row r="352" spans="4:10" ht="13">
      <c r="D352" s="49"/>
      <c r="E352" s="49"/>
      <c r="F352" s="49"/>
      <c r="J352" s="49"/>
    </row>
    <row r="353" spans="4:10" ht="13">
      <c r="D353" s="49"/>
      <c r="E353" s="49"/>
      <c r="F353" s="49"/>
      <c r="J353" s="49"/>
    </row>
    <row r="354" spans="4:10" ht="13">
      <c r="D354" s="49"/>
      <c r="E354" s="49"/>
      <c r="F354" s="49"/>
      <c r="J354" s="49"/>
    </row>
    <row r="355" spans="4:10" ht="13">
      <c r="D355" s="49"/>
      <c r="E355" s="49"/>
      <c r="F355" s="49"/>
      <c r="J355" s="49"/>
    </row>
    <row r="356" spans="4:10" ht="13">
      <c r="D356" s="49"/>
      <c r="E356" s="49"/>
      <c r="F356" s="49"/>
      <c r="J356" s="49"/>
    </row>
    <row r="357" spans="4:10" ht="13">
      <c r="D357" s="49"/>
      <c r="E357" s="49"/>
      <c r="F357" s="49"/>
      <c r="J357" s="49"/>
    </row>
    <row r="358" spans="4:10" ht="13">
      <c r="D358" s="49"/>
      <c r="E358" s="49"/>
      <c r="F358" s="49"/>
      <c r="J358" s="49"/>
    </row>
    <row r="359" spans="4:10" ht="13">
      <c r="D359" s="49"/>
      <c r="E359" s="49"/>
      <c r="F359" s="49"/>
      <c r="J359" s="49"/>
    </row>
    <row r="360" spans="4:10" ht="13">
      <c r="D360" s="49"/>
      <c r="E360" s="49"/>
      <c r="F360" s="49"/>
      <c r="J360" s="49"/>
    </row>
    <row r="361" spans="4:10" ht="13">
      <c r="D361" s="49"/>
      <c r="E361" s="49"/>
      <c r="F361" s="49"/>
      <c r="J361" s="49"/>
    </row>
    <row r="362" spans="4:10" ht="13">
      <c r="D362" s="49"/>
      <c r="E362" s="49"/>
      <c r="F362" s="49"/>
      <c r="J362" s="49"/>
    </row>
    <row r="363" spans="4:10" ht="13">
      <c r="D363" s="49"/>
      <c r="E363" s="49"/>
      <c r="F363" s="49"/>
      <c r="J363" s="49"/>
    </row>
    <row r="364" spans="4:10" ht="13">
      <c r="D364" s="49"/>
      <c r="E364" s="49"/>
      <c r="F364" s="49"/>
      <c r="J364" s="49"/>
    </row>
    <row r="365" spans="4:10" ht="13">
      <c r="D365" s="49"/>
      <c r="E365" s="49"/>
      <c r="F365" s="49"/>
      <c r="J365" s="49"/>
    </row>
    <row r="366" spans="4:10" ht="13">
      <c r="D366" s="49"/>
      <c r="E366" s="49"/>
      <c r="F366" s="49"/>
      <c r="J366" s="49"/>
    </row>
    <row r="367" spans="4:10" ht="13">
      <c r="D367" s="49"/>
      <c r="E367" s="49"/>
      <c r="F367" s="49"/>
      <c r="J367" s="49"/>
    </row>
    <row r="368" spans="4:10" ht="13">
      <c r="D368" s="49"/>
      <c r="E368" s="49"/>
      <c r="F368" s="49"/>
      <c r="J368" s="49"/>
    </row>
    <row r="369" spans="4:10" ht="13">
      <c r="D369" s="49"/>
      <c r="E369" s="49"/>
      <c r="F369" s="49"/>
      <c r="J369" s="49"/>
    </row>
    <row r="370" spans="4:10" ht="13">
      <c r="D370" s="49"/>
      <c r="E370" s="49"/>
      <c r="F370" s="49"/>
      <c r="J370" s="49"/>
    </row>
    <row r="371" spans="4:10" ht="13">
      <c r="D371" s="49"/>
      <c r="E371" s="49"/>
      <c r="F371" s="49"/>
      <c r="J371" s="49"/>
    </row>
    <row r="372" spans="4:10" ht="13">
      <c r="D372" s="49"/>
      <c r="E372" s="49"/>
      <c r="F372" s="49"/>
      <c r="J372" s="49"/>
    </row>
    <row r="373" spans="4:10" ht="13">
      <c r="D373" s="49"/>
      <c r="E373" s="49"/>
      <c r="F373" s="49"/>
      <c r="J373" s="49"/>
    </row>
    <row r="374" spans="4:10" ht="13">
      <c r="D374" s="49"/>
      <c r="E374" s="49"/>
      <c r="F374" s="49"/>
      <c r="J374" s="49"/>
    </row>
    <row r="375" spans="4:10" ht="13">
      <c r="D375" s="49"/>
      <c r="E375" s="49"/>
      <c r="F375" s="49"/>
      <c r="J375" s="49"/>
    </row>
    <row r="376" spans="4:10" ht="13">
      <c r="D376" s="49"/>
      <c r="E376" s="49"/>
      <c r="F376" s="49"/>
      <c r="J376" s="49"/>
    </row>
    <row r="377" spans="4:10" ht="13">
      <c r="D377" s="49"/>
      <c r="E377" s="49"/>
      <c r="F377" s="49"/>
      <c r="J377" s="49"/>
    </row>
    <row r="378" spans="4:10" ht="13">
      <c r="D378" s="49"/>
      <c r="E378" s="49"/>
      <c r="F378" s="49"/>
      <c r="J378" s="49"/>
    </row>
    <row r="379" spans="4:10" ht="13">
      <c r="D379" s="49"/>
      <c r="E379" s="49"/>
      <c r="F379" s="49"/>
      <c r="J379" s="49"/>
    </row>
    <row r="380" spans="4:10" ht="13">
      <c r="D380" s="49"/>
      <c r="E380" s="49"/>
      <c r="F380" s="49"/>
      <c r="J380" s="49"/>
    </row>
    <row r="381" spans="4:10" ht="13">
      <c r="D381" s="49"/>
      <c r="E381" s="49"/>
      <c r="F381" s="49"/>
      <c r="J381" s="49"/>
    </row>
    <row r="382" spans="4:10" ht="13">
      <c r="D382" s="49"/>
      <c r="E382" s="49"/>
      <c r="F382" s="49"/>
      <c r="J382" s="49"/>
    </row>
    <row r="383" spans="4:10" ht="13">
      <c r="D383" s="49"/>
      <c r="E383" s="49"/>
      <c r="F383" s="49"/>
      <c r="J383" s="49"/>
    </row>
    <row r="384" spans="4:10" ht="13">
      <c r="D384" s="49"/>
      <c r="E384" s="49"/>
      <c r="F384" s="49"/>
      <c r="J384" s="49"/>
    </row>
    <row r="385" spans="4:10" ht="13">
      <c r="D385" s="49"/>
      <c r="E385" s="49"/>
      <c r="F385" s="49"/>
      <c r="J385" s="49"/>
    </row>
    <row r="386" spans="4:10" ht="13">
      <c r="D386" s="49"/>
      <c r="E386" s="49"/>
      <c r="F386" s="49"/>
      <c r="J386" s="49"/>
    </row>
    <row r="387" spans="4:10" ht="13">
      <c r="D387" s="49"/>
      <c r="E387" s="49"/>
      <c r="F387" s="49"/>
      <c r="J387" s="49"/>
    </row>
    <row r="388" spans="4:10" ht="13">
      <c r="D388" s="49"/>
      <c r="E388" s="49"/>
      <c r="F388" s="49"/>
      <c r="J388" s="49"/>
    </row>
    <row r="389" spans="4:10" ht="13">
      <c r="D389" s="49"/>
      <c r="E389" s="49"/>
      <c r="F389" s="49"/>
      <c r="J389" s="49"/>
    </row>
    <row r="390" spans="4:10" ht="13">
      <c r="D390" s="49"/>
      <c r="E390" s="49"/>
      <c r="F390" s="49"/>
      <c r="J390" s="49"/>
    </row>
    <row r="391" spans="4:10" ht="13">
      <c r="D391" s="49"/>
      <c r="E391" s="49"/>
      <c r="F391" s="49"/>
      <c r="J391" s="49"/>
    </row>
    <row r="392" spans="4:10" ht="13">
      <c r="D392" s="49"/>
      <c r="E392" s="49"/>
      <c r="F392" s="49"/>
      <c r="J392" s="49"/>
    </row>
    <row r="393" spans="4:10" ht="13">
      <c r="D393" s="49"/>
      <c r="E393" s="49"/>
      <c r="F393" s="49"/>
      <c r="J393" s="49"/>
    </row>
    <row r="394" spans="4:10" ht="13">
      <c r="D394" s="49"/>
      <c r="E394" s="49"/>
      <c r="F394" s="49"/>
      <c r="J394" s="49"/>
    </row>
    <row r="395" spans="4:10" ht="13">
      <c r="D395" s="49"/>
      <c r="E395" s="49"/>
      <c r="F395" s="49"/>
      <c r="J395" s="49"/>
    </row>
    <row r="396" spans="4:10" ht="13">
      <c r="D396" s="49"/>
      <c r="E396" s="49"/>
      <c r="F396" s="49"/>
      <c r="J396" s="49"/>
    </row>
    <row r="397" spans="4:10" ht="13">
      <c r="D397" s="49"/>
      <c r="E397" s="49"/>
      <c r="F397" s="49"/>
      <c r="J397" s="49"/>
    </row>
    <row r="398" spans="4:10" ht="13">
      <c r="D398" s="49"/>
      <c r="E398" s="49"/>
      <c r="F398" s="49"/>
      <c r="J398" s="49"/>
    </row>
    <row r="399" spans="4:10" ht="13">
      <c r="D399" s="49"/>
      <c r="E399" s="49"/>
      <c r="F399" s="49"/>
      <c r="J399" s="49"/>
    </row>
    <row r="400" spans="4:10" ht="13">
      <c r="D400" s="49"/>
      <c r="E400" s="49"/>
      <c r="F400" s="49"/>
      <c r="J400" s="49"/>
    </row>
    <row r="401" spans="4:10" ht="13">
      <c r="D401" s="49"/>
      <c r="E401" s="49"/>
      <c r="F401" s="49"/>
      <c r="J401" s="49"/>
    </row>
    <row r="402" spans="4:10" ht="13">
      <c r="D402" s="49"/>
      <c r="E402" s="49"/>
      <c r="F402" s="49"/>
      <c r="J402" s="49"/>
    </row>
    <row r="403" spans="4:10" ht="13">
      <c r="D403" s="49"/>
      <c r="E403" s="49"/>
      <c r="F403" s="49"/>
      <c r="J403" s="49"/>
    </row>
    <row r="404" spans="4:10" ht="13">
      <c r="D404" s="49"/>
      <c r="E404" s="49"/>
      <c r="F404" s="49"/>
      <c r="J404" s="49"/>
    </row>
    <row r="405" spans="4:10" ht="13">
      <c r="D405" s="49"/>
      <c r="E405" s="49"/>
      <c r="F405" s="49"/>
      <c r="J405" s="49"/>
    </row>
    <row r="406" spans="4:10" ht="13">
      <c r="D406" s="49"/>
      <c r="E406" s="49"/>
      <c r="F406" s="49"/>
      <c r="J406" s="49"/>
    </row>
    <row r="407" spans="4:10" ht="13">
      <c r="D407" s="49"/>
      <c r="E407" s="49"/>
      <c r="F407" s="49"/>
      <c r="J407" s="49"/>
    </row>
    <row r="408" spans="4:10" ht="13">
      <c r="D408" s="49"/>
      <c r="E408" s="49"/>
      <c r="F408" s="49"/>
      <c r="J408" s="49"/>
    </row>
    <row r="409" spans="4:10" ht="13">
      <c r="D409" s="49"/>
      <c r="E409" s="49"/>
      <c r="F409" s="49"/>
      <c r="J409" s="49"/>
    </row>
    <row r="410" spans="4:10" ht="13">
      <c r="D410" s="49"/>
      <c r="E410" s="49"/>
      <c r="F410" s="49"/>
      <c r="J410" s="49"/>
    </row>
    <row r="411" spans="4:10" ht="13">
      <c r="D411" s="49"/>
      <c r="E411" s="49"/>
      <c r="F411" s="49"/>
      <c r="J411" s="49"/>
    </row>
    <row r="412" spans="4:10" ht="13">
      <c r="D412" s="49"/>
      <c r="E412" s="49"/>
      <c r="F412" s="49"/>
      <c r="J412" s="49"/>
    </row>
    <row r="413" spans="4:10" ht="13">
      <c r="D413" s="49"/>
      <c r="E413" s="49"/>
      <c r="F413" s="49"/>
      <c r="J413" s="49"/>
    </row>
    <row r="414" spans="4:10" ht="13">
      <c r="D414" s="49"/>
      <c r="E414" s="49"/>
      <c r="F414" s="49"/>
      <c r="J414" s="49"/>
    </row>
    <row r="415" spans="4:10" ht="13">
      <c r="D415" s="49"/>
      <c r="E415" s="49"/>
      <c r="F415" s="49"/>
      <c r="J415" s="49"/>
    </row>
    <row r="416" spans="4:10" ht="13">
      <c r="D416" s="49"/>
      <c r="E416" s="49"/>
      <c r="F416" s="49"/>
      <c r="J416" s="49"/>
    </row>
    <row r="417" spans="4:10" ht="13">
      <c r="D417" s="49"/>
      <c r="E417" s="49"/>
      <c r="F417" s="49"/>
      <c r="J417" s="49"/>
    </row>
    <row r="418" spans="4:10" ht="13">
      <c r="D418" s="49"/>
      <c r="E418" s="49"/>
      <c r="F418" s="49"/>
      <c r="J418" s="49"/>
    </row>
    <row r="419" spans="4:10" ht="13">
      <c r="D419" s="49"/>
      <c r="E419" s="49"/>
      <c r="F419" s="49"/>
      <c r="J419" s="49"/>
    </row>
    <row r="420" spans="4:10" ht="13">
      <c r="D420" s="49"/>
      <c r="E420" s="49"/>
      <c r="F420" s="49"/>
      <c r="J420" s="49"/>
    </row>
    <row r="421" spans="4:10" ht="13">
      <c r="D421" s="49"/>
      <c r="E421" s="49"/>
      <c r="F421" s="49"/>
      <c r="J421" s="49"/>
    </row>
    <row r="422" spans="4:10" ht="13">
      <c r="D422" s="49"/>
      <c r="E422" s="49"/>
      <c r="F422" s="49"/>
      <c r="J422" s="49"/>
    </row>
    <row r="423" spans="4:10" ht="13">
      <c r="D423" s="49"/>
      <c r="E423" s="49"/>
      <c r="F423" s="49"/>
      <c r="J423" s="49"/>
    </row>
    <row r="424" spans="4:10" ht="13">
      <c r="D424" s="49"/>
      <c r="E424" s="49"/>
      <c r="F424" s="49"/>
      <c r="J424" s="49"/>
    </row>
    <row r="425" spans="4:10" ht="13">
      <c r="D425" s="49"/>
      <c r="E425" s="49"/>
      <c r="F425" s="49"/>
      <c r="J425" s="49"/>
    </row>
    <row r="426" spans="4:10" ht="13">
      <c r="D426" s="49"/>
      <c r="E426" s="49"/>
      <c r="F426" s="49"/>
      <c r="J426" s="49"/>
    </row>
    <row r="427" spans="4:10" ht="13">
      <c r="D427" s="49"/>
      <c r="E427" s="49"/>
      <c r="F427" s="49"/>
      <c r="J427" s="49"/>
    </row>
    <row r="428" spans="4:10" ht="13">
      <c r="D428" s="49"/>
      <c r="E428" s="49"/>
      <c r="F428" s="49"/>
      <c r="J428" s="49"/>
    </row>
    <row r="429" spans="4:10" ht="13">
      <c r="D429" s="49"/>
      <c r="E429" s="49"/>
      <c r="F429" s="49"/>
      <c r="J429" s="49"/>
    </row>
    <row r="430" spans="4:10" ht="13">
      <c r="D430" s="49"/>
      <c r="E430" s="49"/>
      <c r="F430" s="49"/>
      <c r="J430" s="49"/>
    </row>
    <row r="431" spans="4:10" ht="13">
      <c r="D431" s="49"/>
      <c r="E431" s="49"/>
      <c r="F431" s="49"/>
      <c r="J431" s="49"/>
    </row>
    <row r="432" spans="4:10" ht="13">
      <c r="D432" s="49"/>
      <c r="E432" s="49"/>
      <c r="F432" s="49"/>
      <c r="J432" s="49"/>
    </row>
    <row r="433" spans="4:10" ht="13">
      <c r="D433" s="49"/>
      <c r="E433" s="49"/>
      <c r="F433" s="49"/>
      <c r="J433" s="49"/>
    </row>
    <row r="434" spans="4:10" ht="13">
      <c r="D434" s="49"/>
      <c r="E434" s="49"/>
      <c r="F434" s="49"/>
      <c r="J434" s="49"/>
    </row>
    <row r="435" spans="4:10" ht="13">
      <c r="D435" s="49"/>
      <c r="E435" s="49"/>
      <c r="F435" s="49"/>
      <c r="J435" s="49"/>
    </row>
    <row r="436" spans="4:10" ht="13">
      <c r="D436" s="49"/>
      <c r="E436" s="49"/>
      <c r="F436" s="49"/>
      <c r="J436" s="49"/>
    </row>
    <row r="437" spans="4:10" ht="13">
      <c r="D437" s="49"/>
      <c r="E437" s="49"/>
      <c r="F437" s="49"/>
      <c r="J437" s="49"/>
    </row>
    <row r="438" spans="4:10" ht="13">
      <c r="D438" s="49"/>
      <c r="E438" s="49"/>
      <c r="F438" s="49"/>
      <c r="J438" s="49"/>
    </row>
    <row r="439" spans="4:10" ht="13">
      <c r="D439" s="49"/>
      <c r="E439" s="49"/>
      <c r="F439" s="49"/>
      <c r="J439" s="49"/>
    </row>
    <row r="440" spans="4:10" ht="13">
      <c r="D440" s="49"/>
      <c r="E440" s="49"/>
      <c r="F440" s="49"/>
      <c r="J440" s="49"/>
    </row>
    <row r="441" spans="4:10" ht="13">
      <c r="D441" s="49"/>
      <c r="E441" s="49"/>
      <c r="F441" s="49"/>
      <c r="J441" s="49"/>
    </row>
    <row r="442" spans="4:10" ht="13">
      <c r="D442" s="49"/>
      <c r="E442" s="49"/>
      <c r="F442" s="49"/>
      <c r="J442" s="49"/>
    </row>
    <row r="443" spans="4:10" ht="13">
      <c r="D443" s="49"/>
      <c r="E443" s="49"/>
      <c r="F443" s="49"/>
      <c r="J443" s="49"/>
    </row>
    <row r="444" spans="4:10" ht="13">
      <c r="D444" s="49"/>
      <c r="E444" s="49"/>
      <c r="F444" s="49"/>
      <c r="J444" s="49"/>
    </row>
    <row r="445" spans="4:10" ht="13">
      <c r="D445" s="49"/>
      <c r="E445" s="49"/>
      <c r="F445" s="49"/>
      <c r="J445" s="49"/>
    </row>
    <row r="446" spans="4:10" ht="13">
      <c r="D446" s="49"/>
      <c r="E446" s="49"/>
      <c r="F446" s="49"/>
      <c r="J446" s="49"/>
    </row>
    <row r="447" spans="4:10" ht="13">
      <c r="D447" s="49"/>
      <c r="E447" s="49"/>
      <c r="F447" s="49"/>
      <c r="J447" s="49"/>
    </row>
    <row r="448" spans="4:10" ht="13">
      <c r="D448" s="49"/>
      <c r="E448" s="49"/>
      <c r="F448" s="49"/>
      <c r="J448" s="49"/>
    </row>
    <row r="449" spans="4:10" ht="13">
      <c r="D449" s="49"/>
      <c r="E449" s="49"/>
      <c r="F449" s="49"/>
      <c r="J449" s="49"/>
    </row>
    <row r="450" spans="4:10" ht="13">
      <c r="D450" s="49"/>
      <c r="E450" s="49"/>
      <c r="F450" s="49"/>
      <c r="J450" s="49"/>
    </row>
    <row r="451" spans="4:10" ht="13">
      <c r="D451" s="49"/>
      <c r="E451" s="49"/>
      <c r="F451" s="49"/>
      <c r="J451" s="49"/>
    </row>
    <row r="452" spans="4:10" ht="13">
      <c r="D452" s="49"/>
      <c r="E452" s="49"/>
      <c r="F452" s="49"/>
      <c r="J452" s="49"/>
    </row>
    <row r="453" spans="4:10" ht="13">
      <c r="D453" s="49"/>
      <c r="E453" s="49"/>
      <c r="F453" s="49"/>
      <c r="J453" s="49"/>
    </row>
    <row r="454" spans="4:10" ht="13">
      <c r="D454" s="49"/>
      <c r="E454" s="49"/>
      <c r="F454" s="49"/>
      <c r="J454" s="49"/>
    </row>
    <row r="455" spans="4:10" ht="13">
      <c r="D455" s="49"/>
      <c r="E455" s="49"/>
      <c r="F455" s="49"/>
      <c r="J455" s="49"/>
    </row>
    <row r="456" spans="4:10" ht="13">
      <c r="D456" s="49"/>
      <c r="E456" s="49"/>
      <c r="F456" s="49"/>
      <c r="J456" s="49"/>
    </row>
    <row r="457" spans="4:10" ht="13">
      <c r="D457" s="49"/>
      <c r="E457" s="49"/>
      <c r="F457" s="49"/>
      <c r="J457" s="49"/>
    </row>
    <row r="458" spans="4:10" ht="13">
      <c r="D458" s="49"/>
      <c r="E458" s="49"/>
      <c r="F458" s="49"/>
      <c r="J458" s="49"/>
    </row>
    <row r="459" spans="4:10" ht="13">
      <c r="D459" s="49"/>
      <c r="E459" s="49"/>
      <c r="F459" s="49"/>
      <c r="J459" s="49"/>
    </row>
    <row r="460" spans="4:10" ht="13">
      <c r="D460" s="49"/>
      <c r="E460" s="49"/>
      <c r="F460" s="49"/>
      <c r="J460" s="49"/>
    </row>
    <row r="461" spans="4:10" ht="13">
      <c r="D461" s="49"/>
      <c r="E461" s="49"/>
      <c r="F461" s="49"/>
      <c r="J461" s="49"/>
    </row>
    <row r="462" spans="4:10" ht="13">
      <c r="D462" s="49"/>
      <c r="E462" s="49"/>
      <c r="F462" s="49"/>
      <c r="J462" s="49"/>
    </row>
    <row r="463" spans="4:10" ht="13">
      <c r="D463" s="49"/>
      <c r="E463" s="49"/>
      <c r="F463" s="49"/>
      <c r="J463" s="49"/>
    </row>
    <row r="464" spans="4:10" ht="13">
      <c r="D464" s="49"/>
      <c r="E464" s="49"/>
      <c r="F464" s="49"/>
      <c r="J464" s="49"/>
    </row>
    <row r="465" spans="4:10" ht="13">
      <c r="D465" s="49"/>
      <c r="E465" s="49"/>
      <c r="F465" s="49"/>
      <c r="J465" s="49"/>
    </row>
    <row r="466" spans="4:10" ht="13">
      <c r="D466" s="49"/>
      <c r="E466" s="49"/>
      <c r="F466" s="49"/>
      <c r="J466" s="49"/>
    </row>
    <row r="467" spans="4:10" ht="13">
      <c r="D467" s="49"/>
      <c r="E467" s="49"/>
      <c r="F467" s="49"/>
      <c r="J467" s="49"/>
    </row>
    <row r="468" spans="4:10" ht="13">
      <c r="D468" s="49"/>
      <c r="E468" s="49"/>
      <c r="F468" s="49"/>
      <c r="J468" s="49"/>
    </row>
    <row r="469" spans="4:10" ht="13">
      <c r="D469" s="49"/>
      <c r="E469" s="49"/>
      <c r="F469" s="49"/>
      <c r="J469" s="49"/>
    </row>
    <row r="470" spans="4:10" ht="13">
      <c r="D470" s="49"/>
      <c r="E470" s="49"/>
      <c r="F470" s="49"/>
      <c r="J470" s="49"/>
    </row>
    <row r="471" spans="4:10" ht="13">
      <c r="D471" s="49"/>
      <c r="E471" s="49"/>
      <c r="F471" s="49"/>
      <c r="J471" s="49"/>
    </row>
    <row r="472" spans="4:10" ht="13">
      <c r="D472" s="49"/>
      <c r="E472" s="49"/>
      <c r="F472" s="49"/>
      <c r="J472" s="49"/>
    </row>
    <row r="473" spans="4:10" ht="13">
      <c r="D473" s="49"/>
      <c r="E473" s="49"/>
      <c r="F473" s="49"/>
      <c r="J473" s="49"/>
    </row>
    <row r="474" spans="4:10" ht="13">
      <c r="D474" s="49"/>
      <c r="E474" s="49"/>
      <c r="F474" s="49"/>
      <c r="J474" s="49"/>
    </row>
    <row r="475" spans="4:10" ht="13">
      <c r="D475" s="49"/>
      <c r="E475" s="49"/>
      <c r="F475" s="49"/>
      <c r="J475" s="49"/>
    </row>
    <row r="476" spans="4:10" ht="13">
      <c r="D476" s="49"/>
      <c r="E476" s="49"/>
      <c r="F476" s="49"/>
      <c r="J476" s="49"/>
    </row>
    <row r="477" spans="4:10" ht="13">
      <c r="D477" s="49"/>
      <c r="E477" s="49"/>
      <c r="F477" s="49"/>
      <c r="J477" s="49"/>
    </row>
    <row r="478" spans="4:10" ht="13">
      <c r="D478" s="49"/>
      <c r="E478" s="49"/>
      <c r="F478" s="49"/>
      <c r="J478" s="49"/>
    </row>
    <row r="479" spans="4:10" ht="13">
      <c r="D479" s="49"/>
      <c r="E479" s="49"/>
      <c r="F479" s="49"/>
      <c r="J479" s="49"/>
    </row>
    <row r="480" spans="4:10" ht="13">
      <c r="D480" s="49"/>
      <c r="E480" s="49"/>
      <c r="F480" s="49"/>
      <c r="J480" s="49"/>
    </row>
    <row r="481" spans="4:10" ht="13">
      <c r="D481" s="49"/>
      <c r="E481" s="49"/>
      <c r="F481" s="49"/>
      <c r="J481" s="49"/>
    </row>
    <row r="482" spans="4:10" ht="13">
      <c r="D482" s="49"/>
      <c r="E482" s="49"/>
      <c r="F482" s="49"/>
      <c r="J482" s="49"/>
    </row>
    <row r="483" spans="4:10" ht="13">
      <c r="D483" s="49"/>
      <c r="E483" s="49"/>
      <c r="F483" s="49"/>
      <c r="J483" s="49"/>
    </row>
    <row r="484" spans="4:10" ht="13">
      <c r="D484" s="49"/>
      <c r="E484" s="49"/>
      <c r="F484" s="49"/>
      <c r="J484" s="49"/>
    </row>
    <row r="485" spans="4:10" ht="13">
      <c r="D485" s="49"/>
      <c r="E485" s="49"/>
      <c r="F485" s="49"/>
      <c r="J485" s="49"/>
    </row>
    <row r="486" spans="4:10" ht="13">
      <c r="D486" s="49"/>
      <c r="E486" s="49"/>
      <c r="F486" s="49"/>
      <c r="J486" s="49"/>
    </row>
    <row r="487" spans="4:10" ht="13">
      <c r="D487" s="49"/>
      <c r="E487" s="49"/>
      <c r="F487" s="49"/>
      <c r="J487" s="49"/>
    </row>
    <row r="488" spans="4:10" ht="13">
      <c r="D488" s="49"/>
      <c r="E488" s="49"/>
      <c r="F488" s="49"/>
      <c r="J488" s="49"/>
    </row>
    <row r="489" spans="4:10" ht="13">
      <c r="D489" s="49"/>
      <c r="E489" s="49"/>
      <c r="F489" s="49"/>
      <c r="J489" s="49"/>
    </row>
    <row r="490" spans="4:10" ht="13">
      <c r="D490" s="49"/>
      <c r="E490" s="49"/>
      <c r="F490" s="49"/>
      <c r="J490" s="49"/>
    </row>
    <row r="491" spans="4:10" ht="13">
      <c r="D491" s="49"/>
      <c r="E491" s="49"/>
      <c r="F491" s="49"/>
      <c r="J491" s="49"/>
    </row>
    <row r="492" spans="4:10" ht="13">
      <c r="D492" s="49"/>
      <c r="E492" s="49"/>
      <c r="F492" s="49"/>
      <c r="J492" s="49"/>
    </row>
    <row r="493" spans="4:10" ht="13">
      <c r="D493" s="49"/>
      <c r="E493" s="49"/>
      <c r="F493" s="49"/>
      <c r="J493" s="49"/>
    </row>
    <row r="494" spans="4:10" ht="13">
      <c r="D494" s="49"/>
      <c r="E494" s="49"/>
      <c r="F494" s="49"/>
      <c r="J494" s="49"/>
    </row>
    <row r="495" spans="4:10" ht="13">
      <c r="D495" s="49"/>
      <c r="E495" s="49"/>
      <c r="F495" s="49"/>
      <c r="J495" s="49"/>
    </row>
    <row r="496" spans="4:10" ht="13">
      <c r="D496" s="49"/>
      <c r="E496" s="49"/>
      <c r="F496" s="49"/>
      <c r="J496" s="49"/>
    </row>
    <row r="497" spans="4:10" ht="13">
      <c r="D497" s="49"/>
      <c r="E497" s="49"/>
      <c r="F497" s="49"/>
      <c r="J497" s="49"/>
    </row>
    <row r="498" spans="4:10" ht="13">
      <c r="D498" s="49"/>
      <c r="E498" s="49"/>
      <c r="F498" s="49"/>
      <c r="J498" s="49"/>
    </row>
    <row r="499" spans="4:10" ht="13">
      <c r="D499" s="49"/>
      <c r="E499" s="49"/>
      <c r="F499" s="49"/>
      <c r="J499" s="49"/>
    </row>
    <row r="500" spans="4:10" ht="13">
      <c r="D500" s="49"/>
      <c r="E500" s="49"/>
      <c r="F500" s="49"/>
      <c r="J500" s="49"/>
    </row>
    <row r="501" spans="4:10" ht="13">
      <c r="D501" s="49"/>
      <c r="E501" s="49"/>
      <c r="F501" s="49"/>
      <c r="J501" s="49"/>
    </row>
    <row r="502" spans="4:10" ht="13">
      <c r="D502" s="49"/>
      <c r="E502" s="49"/>
      <c r="F502" s="49"/>
      <c r="J502" s="49"/>
    </row>
    <row r="503" spans="4:10" ht="13">
      <c r="D503" s="49"/>
      <c r="E503" s="49"/>
      <c r="F503" s="49"/>
      <c r="J503" s="49"/>
    </row>
    <row r="504" spans="4:10" ht="13">
      <c r="D504" s="49"/>
      <c r="E504" s="49"/>
      <c r="F504" s="49"/>
      <c r="J504" s="49"/>
    </row>
    <row r="505" spans="4:10" ht="13">
      <c r="D505" s="49"/>
      <c r="E505" s="49"/>
      <c r="F505" s="49"/>
      <c r="J505" s="49"/>
    </row>
    <row r="506" spans="4:10" ht="13">
      <c r="D506" s="49"/>
      <c r="E506" s="49"/>
      <c r="F506" s="49"/>
      <c r="J506" s="49"/>
    </row>
    <row r="507" spans="4:10" ht="13">
      <c r="D507" s="49"/>
      <c r="E507" s="49"/>
      <c r="F507" s="49"/>
      <c r="J507" s="49"/>
    </row>
    <row r="508" spans="4:10" ht="13">
      <c r="D508" s="49"/>
      <c r="E508" s="49"/>
      <c r="F508" s="49"/>
      <c r="J508" s="49"/>
    </row>
    <row r="509" spans="4:10" ht="13">
      <c r="D509" s="49"/>
      <c r="E509" s="49"/>
      <c r="F509" s="49"/>
      <c r="J509" s="49"/>
    </row>
    <row r="510" spans="4:10" ht="13">
      <c r="D510" s="49"/>
      <c r="E510" s="49"/>
      <c r="F510" s="49"/>
      <c r="J510" s="49"/>
    </row>
    <row r="511" spans="4:10" ht="13">
      <c r="D511" s="49"/>
      <c r="E511" s="49"/>
      <c r="F511" s="49"/>
      <c r="J511" s="49"/>
    </row>
    <row r="512" spans="4:10" ht="13">
      <c r="D512" s="49"/>
      <c r="E512" s="49"/>
      <c r="F512" s="49"/>
      <c r="J512" s="49"/>
    </row>
    <row r="513" spans="4:10" ht="13">
      <c r="D513" s="49"/>
      <c r="E513" s="49"/>
      <c r="F513" s="49"/>
      <c r="J513" s="49"/>
    </row>
    <row r="514" spans="4:10" ht="13">
      <c r="D514" s="49"/>
      <c r="E514" s="49"/>
      <c r="F514" s="49"/>
      <c r="J514" s="49"/>
    </row>
    <row r="515" spans="4:10" ht="13">
      <c r="D515" s="49"/>
      <c r="E515" s="49"/>
      <c r="F515" s="49"/>
      <c r="J515" s="49"/>
    </row>
    <row r="516" spans="4:10" ht="13">
      <c r="D516" s="49"/>
      <c r="E516" s="49"/>
      <c r="F516" s="49"/>
      <c r="J516" s="49"/>
    </row>
    <row r="517" spans="4:10" ht="13">
      <c r="D517" s="49"/>
      <c r="E517" s="49"/>
      <c r="F517" s="49"/>
      <c r="J517" s="49"/>
    </row>
    <row r="518" spans="4:10" ht="13">
      <c r="D518" s="49"/>
      <c r="E518" s="49"/>
      <c r="F518" s="49"/>
      <c r="J518" s="49"/>
    </row>
    <row r="519" spans="4:10" ht="13">
      <c r="D519" s="49"/>
      <c r="E519" s="49"/>
      <c r="F519" s="49"/>
      <c r="J519" s="49"/>
    </row>
    <row r="520" spans="4:10" ht="13">
      <c r="D520" s="49"/>
      <c r="E520" s="49"/>
      <c r="F520" s="49"/>
      <c r="J520" s="49"/>
    </row>
    <row r="521" spans="4:10" ht="13">
      <c r="D521" s="49"/>
      <c r="E521" s="49"/>
      <c r="F521" s="49"/>
      <c r="J521" s="49"/>
    </row>
    <row r="522" spans="4:10" ht="13">
      <c r="D522" s="49"/>
      <c r="E522" s="49"/>
      <c r="F522" s="49"/>
      <c r="J522" s="49"/>
    </row>
    <row r="523" spans="4:10" ht="13">
      <c r="D523" s="49"/>
      <c r="E523" s="49"/>
      <c r="F523" s="49"/>
      <c r="J523" s="49"/>
    </row>
    <row r="524" spans="4:10" ht="13">
      <c r="D524" s="49"/>
      <c r="E524" s="49"/>
      <c r="F524" s="49"/>
      <c r="J524" s="49"/>
    </row>
    <row r="525" spans="4:10" ht="13">
      <c r="D525" s="49"/>
      <c r="E525" s="49"/>
      <c r="F525" s="49"/>
      <c r="J525" s="49"/>
    </row>
    <row r="526" spans="4:10" ht="13">
      <c r="D526" s="49"/>
      <c r="E526" s="49"/>
      <c r="F526" s="49"/>
      <c r="J526" s="49"/>
    </row>
    <row r="527" spans="4:10" ht="13">
      <c r="D527" s="49"/>
      <c r="E527" s="49"/>
      <c r="F527" s="49"/>
      <c r="J527" s="49"/>
    </row>
    <row r="528" spans="4:10" ht="13">
      <c r="D528" s="49"/>
      <c r="E528" s="49"/>
      <c r="F528" s="49"/>
      <c r="J528" s="49"/>
    </row>
    <row r="529" spans="4:10" ht="13">
      <c r="D529" s="49"/>
      <c r="E529" s="49"/>
      <c r="F529" s="49"/>
      <c r="J529" s="49"/>
    </row>
    <row r="530" spans="4:10" ht="13">
      <c r="D530" s="49"/>
      <c r="E530" s="49"/>
      <c r="F530" s="49"/>
      <c r="J530" s="49"/>
    </row>
    <row r="531" spans="4:10" ht="13">
      <c r="D531" s="49"/>
      <c r="E531" s="49"/>
      <c r="F531" s="49"/>
      <c r="J531" s="49"/>
    </row>
    <row r="532" spans="4:10" ht="13">
      <c r="D532" s="49"/>
      <c r="E532" s="49"/>
      <c r="F532" s="49"/>
      <c r="J532" s="49"/>
    </row>
    <row r="533" spans="4:10" ht="13">
      <c r="D533" s="49"/>
      <c r="E533" s="49"/>
      <c r="F533" s="49"/>
      <c r="J533" s="49"/>
    </row>
    <row r="534" spans="4:10" ht="13">
      <c r="D534" s="49"/>
      <c r="E534" s="49"/>
      <c r="F534" s="49"/>
      <c r="J534" s="49"/>
    </row>
    <row r="535" spans="4:10" ht="13">
      <c r="D535" s="49"/>
      <c r="E535" s="49"/>
      <c r="F535" s="49"/>
      <c r="J535" s="49"/>
    </row>
    <row r="536" spans="4:10" ht="13">
      <c r="D536" s="49"/>
      <c r="E536" s="49"/>
      <c r="F536" s="49"/>
      <c r="J536" s="49"/>
    </row>
    <row r="537" spans="4:10" ht="13">
      <c r="D537" s="49"/>
      <c r="E537" s="49"/>
      <c r="F537" s="49"/>
      <c r="J537" s="49"/>
    </row>
    <row r="538" spans="4:10" ht="13">
      <c r="D538" s="49"/>
      <c r="E538" s="49"/>
      <c r="F538" s="49"/>
      <c r="J538" s="49"/>
    </row>
    <row r="539" spans="4:10" ht="13">
      <c r="D539" s="49"/>
      <c r="E539" s="49"/>
      <c r="F539" s="49"/>
      <c r="J539" s="49"/>
    </row>
    <row r="540" spans="4:10" ht="13">
      <c r="D540" s="49"/>
      <c r="E540" s="49"/>
      <c r="F540" s="49"/>
      <c r="J540" s="49"/>
    </row>
    <row r="541" spans="4:10" ht="13">
      <c r="D541" s="49"/>
      <c r="E541" s="49"/>
      <c r="F541" s="49"/>
      <c r="J541" s="49"/>
    </row>
    <row r="542" spans="4:10" ht="13">
      <c r="D542" s="49"/>
      <c r="E542" s="49"/>
      <c r="F542" s="49"/>
      <c r="J542" s="49"/>
    </row>
    <row r="543" spans="4:10" ht="13">
      <c r="D543" s="49"/>
      <c r="E543" s="49"/>
      <c r="F543" s="49"/>
      <c r="J543" s="49"/>
    </row>
    <row r="544" spans="4:10" ht="13">
      <c r="D544" s="49"/>
      <c r="E544" s="49"/>
      <c r="F544" s="49"/>
      <c r="J544" s="49"/>
    </row>
    <row r="545" spans="4:10" ht="13">
      <c r="D545" s="49"/>
      <c r="E545" s="49"/>
      <c r="F545" s="49"/>
      <c r="J545" s="49"/>
    </row>
    <row r="546" spans="4:10" ht="13">
      <c r="D546" s="49"/>
      <c r="E546" s="49"/>
      <c r="F546" s="49"/>
      <c r="J546" s="49"/>
    </row>
    <row r="547" spans="4:10" ht="13">
      <c r="D547" s="49"/>
      <c r="E547" s="49"/>
      <c r="F547" s="49"/>
      <c r="J547" s="49"/>
    </row>
    <row r="548" spans="4:10" ht="13">
      <c r="D548" s="49"/>
      <c r="E548" s="49"/>
      <c r="F548" s="49"/>
      <c r="J548" s="49"/>
    </row>
    <row r="549" spans="4:10" ht="13">
      <c r="D549" s="49"/>
      <c r="E549" s="49"/>
      <c r="F549" s="49"/>
      <c r="J549" s="49"/>
    </row>
    <row r="550" spans="4:10" ht="13">
      <c r="D550" s="49"/>
      <c r="E550" s="49"/>
      <c r="F550" s="49"/>
      <c r="J550" s="49"/>
    </row>
    <row r="551" spans="4:10" ht="13">
      <c r="D551" s="49"/>
      <c r="E551" s="49"/>
      <c r="F551" s="49"/>
      <c r="J551" s="49"/>
    </row>
    <row r="552" spans="4:10" ht="13">
      <c r="D552" s="49"/>
      <c r="E552" s="49"/>
      <c r="F552" s="49"/>
      <c r="J552" s="49"/>
    </row>
    <row r="553" spans="4:10" ht="13">
      <c r="D553" s="49"/>
      <c r="E553" s="49"/>
      <c r="F553" s="49"/>
      <c r="J553" s="49"/>
    </row>
    <row r="554" spans="4:10" ht="13">
      <c r="D554" s="49"/>
      <c r="E554" s="49"/>
      <c r="F554" s="49"/>
      <c r="J554" s="49"/>
    </row>
    <row r="555" spans="4:10" ht="13">
      <c r="D555" s="49"/>
      <c r="E555" s="49"/>
      <c r="F555" s="49"/>
      <c r="J555" s="49"/>
    </row>
    <row r="556" spans="4:10" ht="13">
      <c r="D556" s="49"/>
      <c r="E556" s="49"/>
      <c r="F556" s="49"/>
      <c r="J556" s="49"/>
    </row>
    <row r="557" spans="4:10" ht="13">
      <c r="D557" s="49"/>
      <c r="E557" s="49"/>
      <c r="F557" s="49"/>
      <c r="J557" s="49"/>
    </row>
    <row r="558" spans="4:10" ht="13">
      <c r="D558" s="49"/>
      <c r="E558" s="49"/>
      <c r="F558" s="49"/>
      <c r="J558" s="49"/>
    </row>
    <row r="559" spans="4:10" ht="13">
      <c r="D559" s="49"/>
      <c r="E559" s="49"/>
      <c r="F559" s="49"/>
      <c r="J559" s="49"/>
    </row>
    <row r="560" spans="4:10" ht="13">
      <c r="D560" s="49"/>
      <c r="E560" s="49"/>
      <c r="F560" s="49"/>
      <c r="J560" s="49"/>
    </row>
    <row r="561" spans="4:10" ht="13">
      <c r="D561" s="49"/>
      <c r="E561" s="49"/>
      <c r="F561" s="49"/>
      <c r="J561" s="49"/>
    </row>
    <row r="562" spans="4:10" ht="13">
      <c r="D562" s="49"/>
      <c r="E562" s="49"/>
      <c r="F562" s="49"/>
      <c r="J562" s="49"/>
    </row>
    <row r="563" spans="4:10" ht="13">
      <c r="D563" s="49"/>
      <c r="E563" s="49"/>
      <c r="F563" s="49"/>
      <c r="J563" s="49"/>
    </row>
    <row r="564" spans="4:10" ht="13">
      <c r="D564" s="49"/>
      <c r="E564" s="49"/>
      <c r="F564" s="49"/>
      <c r="J564" s="49"/>
    </row>
    <row r="565" spans="4:10" ht="13">
      <c r="D565" s="49"/>
      <c r="E565" s="49"/>
      <c r="F565" s="49"/>
      <c r="J565" s="49"/>
    </row>
    <row r="566" spans="4:10" ht="13">
      <c r="D566" s="49"/>
      <c r="E566" s="49"/>
      <c r="F566" s="49"/>
      <c r="J566" s="49"/>
    </row>
    <row r="567" spans="4:10" ht="13">
      <c r="D567" s="49"/>
      <c r="E567" s="49"/>
      <c r="F567" s="49"/>
      <c r="J567" s="49"/>
    </row>
    <row r="568" spans="4:10" ht="13">
      <c r="D568" s="49"/>
      <c r="E568" s="49"/>
      <c r="F568" s="49"/>
      <c r="J568" s="49"/>
    </row>
    <row r="569" spans="4:10" ht="13">
      <c r="D569" s="49"/>
      <c r="E569" s="49"/>
      <c r="F569" s="49"/>
      <c r="J569" s="49"/>
    </row>
    <row r="570" spans="4:10" ht="13">
      <c r="D570" s="49"/>
      <c r="E570" s="49"/>
      <c r="F570" s="49"/>
      <c r="J570" s="49"/>
    </row>
    <row r="571" spans="4:10" ht="13">
      <c r="D571" s="49"/>
      <c r="E571" s="49"/>
      <c r="F571" s="49"/>
      <c r="J571" s="49"/>
    </row>
    <row r="572" spans="4:10" ht="13">
      <c r="D572" s="49"/>
      <c r="E572" s="49"/>
      <c r="F572" s="49"/>
      <c r="J572" s="49"/>
    </row>
    <row r="573" spans="4:10" ht="13">
      <c r="D573" s="49"/>
      <c r="E573" s="49"/>
      <c r="F573" s="49"/>
      <c r="J573" s="49"/>
    </row>
    <row r="574" spans="4:10" ht="13">
      <c r="D574" s="49"/>
      <c r="E574" s="49"/>
      <c r="F574" s="49"/>
      <c r="J574" s="49"/>
    </row>
    <row r="575" spans="4:10" ht="13">
      <c r="D575" s="49"/>
      <c r="E575" s="49"/>
      <c r="F575" s="49"/>
      <c r="J575" s="49"/>
    </row>
    <row r="576" spans="4:10" ht="13">
      <c r="D576" s="49"/>
      <c r="E576" s="49"/>
      <c r="F576" s="49"/>
      <c r="J576" s="49"/>
    </row>
    <row r="577" spans="4:10" ht="13">
      <c r="D577" s="49"/>
      <c r="E577" s="49"/>
      <c r="F577" s="49"/>
      <c r="J577" s="49"/>
    </row>
    <row r="578" spans="4:10" ht="13">
      <c r="D578" s="49"/>
      <c r="E578" s="49"/>
      <c r="F578" s="49"/>
      <c r="J578" s="49"/>
    </row>
    <row r="579" spans="4:10" ht="13">
      <c r="D579" s="49"/>
      <c r="E579" s="49"/>
      <c r="F579" s="49"/>
      <c r="J579" s="49"/>
    </row>
    <row r="580" spans="4:10" ht="13">
      <c r="D580" s="49"/>
      <c r="E580" s="49"/>
      <c r="F580" s="49"/>
      <c r="J580" s="49"/>
    </row>
    <row r="581" spans="4:10" ht="13">
      <c r="D581" s="49"/>
      <c r="E581" s="49"/>
      <c r="F581" s="49"/>
      <c r="J581" s="49"/>
    </row>
    <row r="582" spans="4:10" ht="13">
      <c r="D582" s="49"/>
      <c r="E582" s="49"/>
      <c r="F582" s="49"/>
      <c r="J582" s="49"/>
    </row>
    <row r="583" spans="4:10" ht="13">
      <c r="D583" s="49"/>
      <c r="E583" s="49"/>
      <c r="F583" s="49"/>
      <c r="J583" s="49"/>
    </row>
    <row r="584" spans="4:10" ht="13">
      <c r="D584" s="49"/>
      <c r="E584" s="49"/>
      <c r="F584" s="49"/>
      <c r="J584" s="49"/>
    </row>
    <row r="585" spans="4:10" ht="13">
      <c r="D585" s="49"/>
      <c r="E585" s="49"/>
      <c r="F585" s="49"/>
      <c r="J585" s="49"/>
    </row>
    <row r="586" spans="4:10" ht="13">
      <c r="D586" s="49"/>
      <c r="E586" s="49"/>
      <c r="F586" s="49"/>
      <c r="J586" s="49"/>
    </row>
    <row r="587" spans="4:10" ht="13">
      <c r="D587" s="49"/>
      <c r="E587" s="49"/>
      <c r="F587" s="49"/>
      <c r="J587" s="49"/>
    </row>
    <row r="588" spans="4:10" ht="13">
      <c r="D588" s="49"/>
      <c r="E588" s="49"/>
      <c r="F588" s="49"/>
      <c r="J588" s="49"/>
    </row>
    <row r="589" spans="4:10" ht="13">
      <c r="D589" s="49"/>
      <c r="E589" s="49"/>
      <c r="F589" s="49"/>
      <c r="J589" s="49"/>
    </row>
    <row r="590" spans="4:10" ht="13">
      <c r="D590" s="49"/>
      <c r="E590" s="49"/>
      <c r="F590" s="49"/>
      <c r="J590" s="49"/>
    </row>
    <row r="591" spans="4:10" ht="13">
      <c r="D591" s="49"/>
      <c r="E591" s="49"/>
      <c r="F591" s="49"/>
      <c r="J591" s="49"/>
    </row>
    <row r="592" spans="4:10" ht="13">
      <c r="D592" s="49"/>
      <c r="E592" s="49"/>
      <c r="F592" s="49"/>
      <c r="J592" s="49"/>
    </row>
    <row r="593" spans="4:10" ht="13">
      <c r="D593" s="49"/>
      <c r="E593" s="49"/>
      <c r="F593" s="49"/>
      <c r="J593" s="49"/>
    </row>
    <row r="594" spans="4:10" ht="13">
      <c r="D594" s="49"/>
      <c r="E594" s="49"/>
      <c r="F594" s="49"/>
      <c r="J594" s="49"/>
    </row>
    <row r="595" spans="4:10" ht="13">
      <c r="D595" s="49"/>
      <c r="E595" s="49"/>
      <c r="F595" s="49"/>
      <c r="J595" s="49"/>
    </row>
    <row r="596" spans="4:10" ht="13">
      <c r="D596" s="49"/>
      <c r="E596" s="49"/>
      <c r="F596" s="49"/>
      <c r="J596" s="49"/>
    </row>
    <row r="597" spans="4:10" ht="13">
      <c r="D597" s="49"/>
      <c r="E597" s="49"/>
      <c r="F597" s="49"/>
      <c r="J597" s="49"/>
    </row>
    <row r="598" spans="4:10" ht="13">
      <c r="D598" s="49"/>
      <c r="E598" s="49"/>
      <c r="F598" s="49"/>
      <c r="J598" s="49"/>
    </row>
    <row r="599" spans="4:10" ht="13">
      <c r="D599" s="49"/>
      <c r="E599" s="49"/>
      <c r="F599" s="49"/>
      <c r="J599" s="49"/>
    </row>
    <row r="600" spans="4:10" ht="13">
      <c r="D600" s="49"/>
      <c r="E600" s="49"/>
      <c r="F600" s="49"/>
      <c r="J600" s="49"/>
    </row>
    <row r="601" spans="4:10" ht="13">
      <c r="D601" s="49"/>
      <c r="E601" s="49"/>
      <c r="F601" s="49"/>
      <c r="J601" s="49"/>
    </row>
    <row r="602" spans="4:10" ht="13">
      <c r="D602" s="49"/>
      <c r="E602" s="49"/>
      <c r="F602" s="49"/>
      <c r="J602" s="49"/>
    </row>
    <row r="603" spans="4:10" ht="13">
      <c r="D603" s="49"/>
      <c r="E603" s="49"/>
      <c r="F603" s="49"/>
      <c r="J603" s="49"/>
    </row>
    <row r="604" spans="4:10" ht="13">
      <c r="D604" s="49"/>
      <c r="E604" s="49"/>
      <c r="F604" s="49"/>
      <c r="J604" s="49"/>
    </row>
    <row r="605" spans="4:10" ht="13">
      <c r="D605" s="49"/>
      <c r="E605" s="49"/>
      <c r="F605" s="49"/>
      <c r="J605" s="49"/>
    </row>
    <row r="606" spans="4:10" ht="13">
      <c r="D606" s="49"/>
      <c r="E606" s="49"/>
      <c r="F606" s="49"/>
      <c r="J606" s="49"/>
    </row>
    <row r="607" spans="4:10" ht="13">
      <c r="D607" s="49"/>
      <c r="E607" s="49"/>
      <c r="F607" s="49"/>
      <c r="J607" s="49"/>
    </row>
    <row r="608" spans="4:10" ht="13">
      <c r="D608" s="49"/>
      <c r="E608" s="49"/>
      <c r="F608" s="49"/>
      <c r="J608" s="49"/>
    </row>
    <row r="609" spans="4:10" ht="13">
      <c r="D609" s="49"/>
      <c r="E609" s="49"/>
      <c r="F609" s="49"/>
      <c r="J609" s="49"/>
    </row>
    <row r="610" spans="4:10" ht="13">
      <c r="D610" s="49"/>
      <c r="E610" s="49"/>
      <c r="F610" s="49"/>
      <c r="J610" s="49"/>
    </row>
    <row r="611" spans="4:10" ht="13">
      <c r="D611" s="49"/>
      <c r="E611" s="49"/>
      <c r="F611" s="49"/>
      <c r="J611" s="49"/>
    </row>
    <row r="612" spans="4:10" ht="13">
      <c r="D612" s="49"/>
      <c r="E612" s="49"/>
      <c r="F612" s="49"/>
      <c r="J612" s="49"/>
    </row>
    <row r="613" spans="4:10" ht="13">
      <c r="D613" s="49"/>
      <c r="E613" s="49"/>
      <c r="F613" s="49"/>
      <c r="J613" s="49"/>
    </row>
    <row r="614" spans="4:10" ht="13">
      <c r="D614" s="49"/>
      <c r="E614" s="49"/>
      <c r="F614" s="49"/>
      <c r="J614" s="49"/>
    </row>
    <row r="615" spans="4:10" ht="13">
      <c r="D615" s="49"/>
      <c r="E615" s="49"/>
      <c r="F615" s="49"/>
      <c r="J615" s="49"/>
    </row>
    <row r="616" spans="4:10" ht="13">
      <c r="D616" s="49"/>
      <c r="E616" s="49"/>
      <c r="F616" s="49"/>
      <c r="J616" s="49"/>
    </row>
    <row r="617" spans="4:10" ht="13">
      <c r="D617" s="49"/>
      <c r="E617" s="49"/>
      <c r="F617" s="49"/>
      <c r="J617" s="49"/>
    </row>
    <row r="618" spans="4:10" ht="13">
      <c r="D618" s="49"/>
      <c r="E618" s="49"/>
      <c r="F618" s="49"/>
      <c r="J618" s="49"/>
    </row>
    <row r="619" spans="4:10" ht="13">
      <c r="D619" s="49"/>
      <c r="E619" s="49"/>
      <c r="F619" s="49"/>
      <c r="J619" s="49"/>
    </row>
    <row r="620" spans="4:10" ht="13">
      <c r="D620" s="49"/>
      <c r="E620" s="49"/>
      <c r="F620" s="49"/>
      <c r="J620" s="49"/>
    </row>
    <row r="621" spans="4:10" ht="13">
      <c r="D621" s="49"/>
      <c r="E621" s="49"/>
      <c r="F621" s="49"/>
      <c r="J621" s="49"/>
    </row>
    <row r="622" spans="4:10" ht="13">
      <c r="D622" s="49"/>
      <c r="E622" s="49"/>
      <c r="F622" s="49"/>
      <c r="J622" s="49"/>
    </row>
    <row r="623" spans="4:10" ht="13">
      <c r="D623" s="49"/>
      <c r="E623" s="49"/>
      <c r="F623" s="49"/>
      <c r="J623" s="49"/>
    </row>
    <row r="624" spans="4:10" ht="13">
      <c r="D624" s="49"/>
      <c r="E624" s="49"/>
      <c r="F624" s="49"/>
      <c r="J624" s="49"/>
    </row>
    <row r="625" spans="4:10" ht="13">
      <c r="D625" s="49"/>
      <c r="E625" s="49"/>
      <c r="F625" s="49"/>
      <c r="J625" s="49"/>
    </row>
    <row r="626" spans="4:10" ht="13">
      <c r="D626" s="49"/>
      <c r="E626" s="49"/>
      <c r="F626" s="49"/>
      <c r="J626" s="49"/>
    </row>
    <row r="627" spans="4:10" ht="13">
      <c r="D627" s="49"/>
      <c r="E627" s="49"/>
      <c r="F627" s="49"/>
      <c r="J627" s="49"/>
    </row>
    <row r="628" spans="4:10" ht="13">
      <c r="D628" s="49"/>
      <c r="E628" s="49"/>
      <c r="F628" s="49"/>
      <c r="J628" s="49"/>
    </row>
    <row r="629" spans="4:10" ht="13">
      <c r="D629" s="49"/>
      <c r="E629" s="49"/>
      <c r="F629" s="49"/>
      <c r="J629" s="49"/>
    </row>
    <row r="630" spans="4:10" ht="13">
      <c r="D630" s="49"/>
      <c r="E630" s="49"/>
      <c r="F630" s="49"/>
      <c r="J630" s="49"/>
    </row>
    <row r="631" spans="4:10" ht="13">
      <c r="D631" s="49"/>
      <c r="E631" s="49"/>
      <c r="F631" s="49"/>
      <c r="J631" s="49"/>
    </row>
    <row r="632" spans="4:10" ht="13">
      <c r="D632" s="49"/>
      <c r="E632" s="49"/>
      <c r="F632" s="49"/>
      <c r="J632" s="49"/>
    </row>
    <row r="633" spans="4:10" ht="13">
      <c r="D633" s="49"/>
      <c r="E633" s="49"/>
      <c r="F633" s="49"/>
      <c r="J633" s="49"/>
    </row>
    <row r="634" spans="4:10" ht="13">
      <c r="D634" s="49"/>
      <c r="E634" s="49"/>
      <c r="F634" s="49"/>
      <c r="J634" s="49"/>
    </row>
    <row r="635" spans="4:10" ht="13">
      <c r="D635" s="49"/>
      <c r="E635" s="49"/>
      <c r="F635" s="49"/>
      <c r="J635" s="49"/>
    </row>
    <row r="636" spans="4:10" ht="13">
      <c r="D636" s="49"/>
      <c r="E636" s="49"/>
      <c r="F636" s="49"/>
      <c r="J636" s="49"/>
    </row>
    <row r="637" spans="4:10" ht="13">
      <c r="D637" s="49"/>
      <c r="E637" s="49"/>
      <c r="F637" s="49"/>
      <c r="J637" s="49"/>
    </row>
    <row r="638" spans="4:10" ht="13">
      <c r="D638" s="49"/>
      <c r="E638" s="49"/>
      <c r="F638" s="49"/>
      <c r="J638" s="49"/>
    </row>
    <row r="639" spans="4:10" ht="13">
      <c r="D639" s="49"/>
      <c r="E639" s="49"/>
      <c r="F639" s="49"/>
      <c r="J639" s="49"/>
    </row>
    <row r="640" spans="4:10" ht="13">
      <c r="D640" s="49"/>
      <c r="E640" s="49"/>
      <c r="F640" s="49"/>
      <c r="J640" s="49"/>
    </row>
    <row r="641" spans="4:10" ht="13">
      <c r="D641" s="49"/>
      <c r="E641" s="49"/>
      <c r="F641" s="49"/>
      <c r="J641" s="49"/>
    </row>
    <row r="642" spans="4:10" ht="13">
      <c r="D642" s="49"/>
      <c r="E642" s="49"/>
      <c r="F642" s="49"/>
      <c r="J642" s="49"/>
    </row>
    <row r="643" spans="4:10" ht="13">
      <c r="D643" s="49"/>
      <c r="E643" s="49"/>
      <c r="F643" s="49"/>
      <c r="J643" s="49"/>
    </row>
    <row r="644" spans="4:10" ht="13">
      <c r="D644" s="49"/>
      <c r="E644" s="49"/>
      <c r="F644" s="49"/>
      <c r="J644" s="49"/>
    </row>
    <row r="645" spans="4:10" ht="13">
      <c r="D645" s="49"/>
      <c r="E645" s="49"/>
      <c r="F645" s="49"/>
      <c r="J645" s="49"/>
    </row>
    <row r="646" spans="4:10" ht="13">
      <c r="D646" s="49"/>
      <c r="E646" s="49"/>
      <c r="F646" s="49"/>
      <c r="J646" s="49"/>
    </row>
    <row r="647" spans="4:10" ht="13">
      <c r="D647" s="49"/>
      <c r="E647" s="49"/>
      <c r="F647" s="49"/>
      <c r="J647" s="49"/>
    </row>
    <row r="648" spans="4:10" ht="13">
      <c r="D648" s="49"/>
      <c r="E648" s="49"/>
      <c r="F648" s="49"/>
      <c r="J648" s="49"/>
    </row>
    <row r="649" spans="4:10" ht="13">
      <c r="D649" s="49"/>
      <c r="E649" s="49"/>
      <c r="F649" s="49"/>
      <c r="J649" s="49"/>
    </row>
    <row r="650" spans="4:10" ht="13">
      <c r="D650" s="49"/>
      <c r="E650" s="49"/>
      <c r="F650" s="49"/>
      <c r="J650" s="49"/>
    </row>
    <row r="651" spans="4:10" ht="13">
      <c r="D651" s="49"/>
      <c r="E651" s="49"/>
      <c r="F651" s="49"/>
      <c r="J651" s="49"/>
    </row>
    <row r="652" spans="4:10" ht="13">
      <c r="D652" s="49"/>
      <c r="E652" s="49"/>
      <c r="F652" s="49"/>
      <c r="J652" s="49"/>
    </row>
    <row r="653" spans="4:10" ht="13">
      <c r="D653" s="49"/>
      <c r="E653" s="49"/>
      <c r="F653" s="49"/>
      <c r="J653" s="49"/>
    </row>
    <row r="654" spans="4:10" ht="13">
      <c r="D654" s="49"/>
      <c r="E654" s="49"/>
      <c r="F654" s="49"/>
      <c r="J654" s="49"/>
    </row>
    <row r="655" spans="4:10" ht="13">
      <c r="D655" s="49"/>
      <c r="E655" s="49"/>
      <c r="F655" s="49"/>
      <c r="J655" s="49"/>
    </row>
    <row r="656" spans="4:10" ht="13">
      <c r="D656" s="49"/>
      <c r="E656" s="49"/>
      <c r="F656" s="49"/>
      <c r="J656" s="49"/>
    </row>
    <row r="657" spans="4:10" ht="13">
      <c r="D657" s="49"/>
      <c r="E657" s="49"/>
      <c r="F657" s="49"/>
      <c r="J657" s="49"/>
    </row>
    <row r="658" spans="4:10" ht="13">
      <c r="D658" s="49"/>
      <c r="E658" s="49"/>
      <c r="F658" s="49"/>
      <c r="J658" s="49"/>
    </row>
    <row r="659" spans="4:10" ht="13">
      <c r="D659" s="49"/>
      <c r="E659" s="49"/>
      <c r="F659" s="49"/>
      <c r="J659" s="49"/>
    </row>
    <row r="660" spans="4:10" ht="13">
      <c r="D660" s="49"/>
      <c r="E660" s="49"/>
      <c r="F660" s="49"/>
      <c r="J660" s="49"/>
    </row>
    <row r="661" spans="4:10" ht="13">
      <c r="D661" s="49"/>
      <c r="E661" s="49"/>
      <c r="F661" s="49"/>
      <c r="J661" s="49"/>
    </row>
    <row r="662" spans="4:10" ht="13">
      <c r="D662" s="49"/>
      <c r="E662" s="49"/>
      <c r="F662" s="49"/>
      <c r="J662" s="49"/>
    </row>
    <row r="663" spans="4:10" ht="13">
      <c r="D663" s="49"/>
      <c r="E663" s="49"/>
      <c r="F663" s="49"/>
      <c r="J663" s="49"/>
    </row>
    <row r="664" spans="4:10" ht="13">
      <c r="D664" s="49"/>
      <c r="E664" s="49"/>
      <c r="F664" s="49"/>
      <c r="J664" s="49"/>
    </row>
    <row r="665" spans="4:10" ht="13">
      <c r="D665" s="49"/>
      <c r="E665" s="49"/>
      <c r="F665" s="49"/>
      <c r="J665" s="49"/>
    </row>
    <row r="666" spans="4:10" ht="13">
      <c r="D666" s="49"/>
      <c r="E666" s="49"/>
      <c r="F666" s="49"/>
      <c r="J666" s="49"/>
    </row>
    <row r="667" spans="4:10" ht="13">
      <c r="D667" s="49"/>
      <c r="E667" s="49"/>
      <c r="F667" s="49"/>
      <c r="J667" s="49"/>
    </row>
    <row r="668" spans="4:10" ht="13">
      <c r="D668" s="49"/>
      <c r="E668" s="49"/>
      <c r="F668" s="49"/>
      <c r="J668" s="49"/>
    </row>
    <row r="669" spans="4:10" ht="13">
      <c r="D669" s="49"/>
      <c r="E669" s="49"/>
      <c r="F669" s="49"/>
      <c r="J669" s="49"/>
    </row>
    <row r="670" spans="4:10" ht="13">
      <c r="D670" s="49"/>
      <c r="E670" s="49"/>
      <c r="F670" s="49"/>
      <c r="J670" s="49"/>
    </row>
    <row r="671" spans="4:10" ht="13">
      <c r="D671" s="49"/>
      <c r="E671" s="49"/>
      <c r="F671" s="49"/>
      <c r="J671" s="49"/>
    </row>
    <row r="672" spans="4:10" ht="13">
      <c r="D672" s="49"/>
      <c r="E672" s="49"/>
      <c r="F672" s="49"/>
      <c r="J672" s="49"/>
    </row>
    <row r="673" spans="4:10" ht="13">
      <c r="D673" s="49"/>
      <c r="E673" s="49"/>
      <c r="F673" s="49"/>
      <c r="J673" s="49"/>
    </row>
    <row r="674" spans="4:10" ht="13">
      <c r="D674" s="49"/>
      <c r="E674" s="49"/>
      <c r="F674" s="49"/>
      <c r="J674" s="49"/>
    </row>
    <row r="675" spans="4:10" ht="13">
      <c r="D675" s="49"/>
      <c r="E675" s="49"/>
      <c r="F675" s="49"/>
      <c r="J675" s="49"/>
    </row>
    <row r="676" spans="4:10" ht="13">
      <c r="D676" s="49"/>
      <c r="E676" s="49"/>
      <c r="F676" s="49"/>
      <c r="J676" s="49"/>
    </row>
    <row r="677" spans="4:10" ht="13">
      <c r="D677" s="49"/>
      <c r="E677" s="49"/>
      <c r="F677" s="49"/>
      <c r="J677" s="49"/>
    </row>
    <row r="678" spans="4:10" ht="13">
      <c r="D678" s="49"/>
      <c r="E678" s="49"/>
      <c r="F678" s="49"/>
      <c r="J678" s="49"/>
    </row>
    <row r="679" spans="4:10" ht="13">
      <c r="D679" s="49"/>
      <c r="E679" s="49"/>
      <c r="F679" s="49"/>
      <c r="J679" s="49"/>
    </row>
    <row r="680" spans="4:10" ht="13">
      <c r="D680" s="49"/>
      <c r="E680" s="49"/>
      <c r="F680" s="49"/>
      <c r="J680" s="49"/>
    </row>
    <row r="681" spans="4:10" ht="13">
      <c r="D681" s="49"/>
      <c r="E681" s="49"/>
      <c r="F681" s="49"/>
      <c r="J681" s="49"/>
    </row>
    <row r="682" spans="4:10" ht="13">
      <c r="D682" s="49"/>
      <c r="E682" s="49"/>
      <c r="F682" s="49"/>
      <c r="J682" s="49"/>
    </row>
    <row r="683" spans="4:10" ht="13">
      <c r="D683" s="49"/>
      <c r="E683" s="49"/>
      <c r="F683" s="49"/>
      <c r="J683" s="49"/>
    </row>
    <row r="684" spans="4:10" ht="13">
      <c r="D684" s="49"/>
      <c r="E684" s="49"/>
      <c r="F684" s="49"/>
      <c r="J684" s="49"/>
    </row>
    <row r="685" spans="4:10" ht="13">
      <c r="D685" s="49"/>
      <c r="E685" s="49"/>
      <c r="F685" s="49"/>
      <c r="J685" s="49"/>
    </row>
    <row r="686" spans="4:10" ht="13">
      <c r="D686" s="49"/>
      <c r="E686" s="49"/>
      <c r="F686" s="49"/>
      <c r="J686" s="49"/>
    </row>
    <row r="687" spans="4:10" ht="13">
      <c r="D687" s="49"/>
      <c r="E687" s="49"/>
      <c r="F687" s="49"/>
      <c r="J687" s="49"/>
    </row>
    <row r="688" spans="4:10" ht="13">
      <c r="D688" s="49"/>
      <c r="E688" s="49"/>
      <c r="F688" s="49"/>
      <c r="J688" s="49"/>
    </row>
    <row r="689" spans="4:10" ht="13">
      <c r="D689" s="49"/>
      <c r="E689" s="49"/>
      <c r="F689" s="49"/>
      <c r="J689" s="49"/>
    </row>
    <row r="690" spans="4:10" ht="13">
      <c r="D690" s="49"/>
      <c r="E690" s="49"/>
      <c r="F690" s="49"/>
      <c r="J690" s="49"/>
    </row>
    <row r="691" spans="4:10" ht="13">
      <c r="D691" s="49"/>
      <c r="E691" s="49"/>
      <c r="F691" s="49"/>
      <c r="J691" s="49"/>
    </row>
    <row r="692" spans="4:10" ht="13">
      <c r="D692" s="49"/>
      <c r="E692" s="49"/>
      <c r="F692" s="49"/>
      <c r="J692" s="49"/>
    </row>
    <row r="693" spans="4:10" ht="13">
      <c r="D693" s="49"/>
      <c r="E693" s="49"/>
      <c r="F693" s="49"/>
      <c r="J693" s="49"/>
    </row>
    <row r="694" spans="4:10" ht="13">
      <c r="D694" s="49"/>
      <c r="E694" s="49"/>
      <c r="F694" s="49"/>
      <c r="J694" s="49"/>
    </row>
    <row r="695" spans="4:10" ht="13">
      <c r="D695" s="49"/>
      <c r="E695" s="49"/>
      <c r="F695" s="49"/>
      <c r="J695" s="49"/>
    </row>
    <row r="696" spans="4:10" ht="13">
      <c r="D696" s="49"/>
      <c r="E696" s="49"/>
      <c r="F696" s="49"/>
      <c r="J696" s="49"/>
    </row>
    <row r="697" spans="4:10" ht="13">
      <c r="D697" s="49"/>
      <c r="E697" s="49"/>
      <c r="F697" s="49"/>
      <c r="J697" s="49"/>
    </row>
    <row r="698" spans="4:10" ht="13">
      <c r="D698" s="49"/>
      <c r="E698" s="49"/>
      <c r="F698" s="49"/>
      <c r="J698" s="49"/>
    </row>
    <row r="699" spans="4:10" ht="13">
      <c r="D699" s="49"/>
      <c r="E699" s="49"/>
      <c r="F699" s="49"/>
      <c r="J699" s="49"/>
    </row>
    <row r="700" spans="4:10" ht="13">
      <c r="D700" s="49"/>
      <c r="E700" s="49"/>
      <c r="F700" s="49"/>
      <c r="J700" s="49"/>
    </row>
    <row r="701" spans="4:10" ht="13">
      <c r="D701" s="49"/>
      <c r="E701" s="49"/>
      <c r="F701" s="49"/>
      <c r="J701" s="49"/>
    </row>
    <row r="702" spans="4:10" ht="13">
      <c r="D702" s="49"/>
      <c r="E702" s="49"/>
      <c r="F702" s="49"/>
      <c r="J702" s="49"/>
    </row>
    <row r="703" spans="4:10" ht="13">
      <c r="D703" s="49"/>
      <c r="E703" s="49"/>
      <c r="F703" s="49"/>
      <c r="J703" s="49"/>
    </row>
    <row r="704" spans="4:10" ht="13">
      <c r="D704" s="49"/>
      <c r="E704" s="49"/>
      <c r="F704" s="49"/>
      <c r="J704" s="49"/>
    </row>
    <row r="705" spans="4:10" ht="13">
      <c r="D705" s="49"/>
      <c r="E705" s="49"/>
      <c r="F705" s="49"/>
      <c r="J705" s="49"/>
    </row>
    <row r="706" spans="4:10" ht="13">
      <c r="D706" s="49"/>
      <c r="E706" s="49"/>
      <c r="F706" s="49"/>
      <c r="J706" s="49"/>
    </row>
    <row r="707" spans="4:10" ht="13">
      <c r="D707" s="49"/>
      <c r="E707" s="49"/>
      <c r="F707" s="49"/>
      <c r="J707" s="49"/>
    </row>
    <row r="708" spans="4:10" ht="13">
      <c r="D708" s="49"/>
      <c r="E708" s="49"/>
      <c r="F708" s="49"/>
      <c r="J708" s="49"/>
    </row>
    <row r="709" spans="4:10" ht="13">
      <c r="D709" s="49"/>
      <c r="E709" s="49"/>
      <c r="F709" s="49"/>
      <c r="J709" s="49"/>
    </row>
    <row r="710" spans="4:10" ht="13">
      <c r="D710" s="49"/>
      <c r="E710" s="49"/>
      <c r="F710" s="49"/>
      <c r="J710" s="49"/>
    </row>
    <row r="711" spans="4:10" ht="13">
      <c r="D711" s="49"/>
      <c r="E711" s="49"/>
      <c r="F711" s="49"/>
      <c r="J711" s="49"/>
    </row>
    <row r="712" spans="4:10" ht="13">
      <c r="D712" s="49"/>
      <c r="E712" s="49"/>
      <c r="F712" s="49"/>
      <c r="J712" s="49"/>
    </row>
    <row r="713" spans="4:10" ht="13">
      <c r="D713" s="49"/>
      <c r="E713" s="49"/>
      <c r="F713" s="49"/>
      <c r="J713" s="49"/>
    </row>
    <row r="714" spans="4:10" ht="13">
      <c r="D714" s="49"/>
      <c r="E714" s="49"/>
      <c r="F714" s="49"/>
      <c r="J714" s="49"/>
    </row>
    <row r="715" spans="4:10" ht="13">
      <c r="D715" s="49"/>
      <c r="E715" s="49"/>
      <c r="F715" s="49"/>
      <c r="J715" s="49"/>
    </row>
    <row r="716" spans="4:10" ht="13">
      <c r="D716" s="49"/>
      <c r="E716" s="49"/>
      <c r="F716" s="49"/>
      <c r="J716" s="49"/>
    </row>
    <row r="717" spans="4:10" ht="13">
      <c r="D717" s="49"/>
      <c r="E717" s="49"/>
      <c r="F717" s="49"/>
      <c r="J717" s="49"/>
    </row>
    <row r="718" spans="4:10" ht="13">
      <c r="D718" s="49"/>
      <c r="E718" s="49"/>
      <c r="F718" s="49"/>
      <c r="J718" s="49"/>
    </row>
    <row r="719" spans="4:10" ht="13">
      <c r="D719" s="49"/>
      <c r="E719" s="49"/>
      <c r="F719" s="49"/>
      <c r="J719" s="49"/>
    </row>
    <row r="720" spans="4:10" ht="13">
      <c r="D720" s="49"/>
      <c r="E720" s="49"/>
      <c r="F720" s="49"/>
      <c r="J720" s="49"/>
    </row>
    <row r="721" spans="4:10" ht="13">
      <c r="D721" s="49"/>
      <c r="E721" s="49"/>
      <c r="F721" s="49"/>
      <c r="J721" s="49"/>
    </row>
    <row r="722" spans="4:10" ht="13">
      <c r="D722" s="49"/>
      <c r="E722" s="49"/>
      <c r="F722" s="49"/>
      <c r="J722" s="49"/>
    </row>
    <row r="723" spans="4:10" ht="13">
      <c r="D723" s="49"/>
      <c r="E723" s="49"/>
      <c r="F723" s="49"/>
      <c r="J723" s="49"/>
    </row>
    <row r="724" spans="4:10" ht="13">
      <c r="D724" s="49"/>
      <c r="E724" s="49"/>
      <c r="F724" s="49"/>
      <c r="J724" s="49"/>
    </row>
    <row r="725" spans="4:10" ht="13">
      <c r="D725" s="49"/>
      <c r="E725" s="49"/>
      <c r="F725" s="49"/>
      <c r="J725" s="49"/>
    </row>
    <row r="726" spans="4:10" ht="13">
      <c r="D726" s="49"/>
      <c r="E726" s="49"/>
      <c r="F726" s="49"/>
      <c r="J726" s="49"/>
    </row>
    <row r="727" spans="4:10" ht="13">
      <c r="D727" s="49"/>
      <c r="E727" s="49"/>
      <c r="F727" s="49"/>
      <c r="J727" s="49"/>
    </row>
    <row r="728" spans="4:10" ht="13">
      <c r="D728" s="49"/>
      <c r="E728" s="49"/>
      <c r="F728" s="49"/>
      <c r="J728" s="49"/>
    </row>
    <row r="729" spans="4:10" ht="13">
      <c r="D729" s="49"/>
      <c r="E729" s="49"/>
      <c r="F729" s="49"/>
      <c r="J729" s="49"/>
    </row>
    <row r="730" spans="4:10" ht="13">
      <c r="D730" s="49"/>
      <c r="E730" s="49"/>
      <c r="F730" s="49"/>
      <c r="J730" s="49"/>
    </row>
    <row r="731" spans="4:10" ht="13">
      <c r="D731" s="49"/>
      <c r="E731" s="49"/>
      <c r="F731" s="49"/>
      <c r="J731" s="49"/>
    </row>
    <row r="732" spans="4:10" ht="13">
      <c r="D732" s="49"/>
      <c r="E732" s="49"/>
      <c r="F732" s="49"/>
      <c r="J732" s="49"/>
    </row>
    <row r="733" spans="4:10" ht="13">
      <c r="D733" s="49"/>
      <c r="E733" s="49"/>
      <c r="F733" s="49"/>
      <c r="J733" s="49"/>
    </row>
    <row r="734" spans="4:10" ht="13">
      <c r="D734" s="49"/>
      <c r="E734" s="49"/>
      <c r="F734" s="49"/>
      <c r="J734" s="49"/>
    </row>
    <row r="735" spans="4:10" ht="13">
      <c r="D735" s="49"/>
      <c r="E735" s="49"/>
      <c r="F735" s="49"/>
      <c r="J735" s="49"/>
    </row>
    <row r="736" spans="4:10" ht="13">
      <c r="D736" s="49"/>
      <c r="E736" s="49"/>
      <c r="F736" s="49"/>
      <c r="J736" s="49"/>
    </row>
    <row r="737" spans="4:10" ht="13">
      <c r="D737" s="49"/>
      <c r="E737" s="49"/>
      <c r="F737" s="49"/>
      <c r="J737" s="49"/>
    </row>
    <row r="738" spans="4:10" ht="13">
      <c r="D738" s="49"/>
      <c r="E738" s="49"/>
      <c r="F738" s="49"/>
      <c r="J738" s="49"/>
    </row>
    <row r="739" spans="4:10" ht="13">
      <c r="D739" s="49"/>
      <c r="E739" s="49"/>
      <c r="F739" s="49"/>
      <c r="J739" s="49"/>
    </row>
    <row r="740" spans="4:10" ht="13">
      <c r="D740" s="49"/>
      <c r="E740" s="49"/>
      <c r="F740" s="49"/>
      <c r="J740" s="49"/>
    </row>
    <row r="741" spans="4:10" ht="13">
      <c r="D741" s="49"/>
      <c r="E741" s="49"/>
      <c r="F741" s="49"/>
      <c r="J741" s="49"/>
    </row>
    <row r="742" spans="4:10" ht="13">
      <c r="D742" s="49"/>
      <c r="E742" s="49"/>
      <c r="F742" s="49"/>
      <c r="J742" s="49"/>
    </row>
    <row r="743" spans="4:10" ht="13">
      <c r="D743" s="49"/>
      <c r="E743" s="49"/>
      <c r="F743" s="49"/>
      <c r="J743" s="49"/>
    </row>
    <row r="744" spans="4:10" ht="13">
      <c r="D744" s="49"/>
      <c r="E744" s="49"/>
      <c r="F744" s="49"/>
      <c r="J744" s="49"/>
    </row>
    <row r="745" spans="4:10" ht="13">
      <c r="D745" s="49"/>
      <c r="E745" s="49"/>
      <c r="F745" s="49"/>
      <c r="J745" s="49"/>
    </row>
    <row r="746" spans="4:10" ht="13">
      <c r="D746" s="49"/>
      <c r="E746" s="49"/>
      <c r="F746" s="49"/>
      <c r="J746" s="49"/>
    </row>
    <row r="747" spans="4:10" ht="13">
      <c r="D747" s="49"/>
      <c r="E747" s="49"/>
      <c r="F747" s="49"/>
      <c r="J747" s="49"/>
    </row>
    <row r="748" spans="4:10" ht="13">
      <c r="D748" s="49"/>
      <c r="E748" s="49"/>
      <c r="F748" s="49"/>
      <c r="J748" s="49"/>
    </row>
    <row r="749" spans="4:10" ht="13">
      <c r="D749" s="49"/>
      <c r="E749" s="49"/>
      <c r="F749" s="49"/>
      <c r="J749" s="49"/>
    </row>
    <row r="750" spans="4:10" ht="13">
      <c r="D750" s="49"/>
      <c r="E750" s="49"/>
      <c r="F750" s="49"/>
      <c r="J750" s="49"/>
    </row>
    <row r="751" spans="4:10" ht="13">
      <c r="D751" s="49"/>
      <c r="E751" s="49"/>
      <c r="F751" s="49"/>
      <c r="J751" s="49"/>
    </row>
    <row r="752" spans="4:10" ht="13">
      <c r="D752" s="49"/>
      <c r="E752" s="49"/>
      <c r="F752" s="49"/>
      <c r="J752" s="49"/>
    </row>
    <row r="753" spans="4:10" ht="13">
      <c r="D753" s="49"/>
      <c r="E753" s="49"/>
      <c r="F753" s="49"/>
      <c r="J753" s="49"/>
    </row>
    <row r="754" spans="4:10" ht="13">
      <c r="D754" s="49"/>
      <c r="E754" s="49"/>
      <c r="F754" s="49"/>
      <c r="J754" s="49"/>
    </row>
    <row r="755" spans="4:10" ht="13">
      <c r="D755" s="49"/>
      <c r="E755" s="49"/>
      <c r="F755" s="49"/>
      <c r="J755" s="49"/>
    </row>
    <row r="756" spans="4:10" ht="13">
      <c r="D756" s="49"/>
      <c r="E756" s="49"/>
      <c r="F756" s="49"/>
      <c r="J756" s="49"/>
    </row>
    <row r="757" spans="4:10" ht="13">
      <c r="D757" s="49"/>
      <c r="E757" s="49"/>
      <c r="F757" s="49"/>
      <c r="J757" s="49"/>
    </row>
    <row r="758" spans="4:10" ht="13">
      <c r="D758" s="49"/>
      <c r="E758" s="49"/>
      <c r="F758" s="49"/>
      <c r="J758" s="49"/>
    </row>
    <row r="759" spans="4:10" ht="13">
      <c r="D759" s="49"/>
      <c r="E759" s="49"/>
      <c r="F759" s="49"/>
      <c r="J759" s="49"/>
    </row>
    <row r="760" spans="4:10" ht="13">
      <c r="D760" s="49"/>
      <c r="E760" s="49"/>
      <c r="F760" s="49"/>
      <c r="J760" s="49"/>
    </row>
    <row r="761" spans="4:10" ht="13">
      <c r="D761" s="49"/>
      <c r="E761" s="49"/>
      <c r="F761" s="49"/>
      <c r="J761" s="49"/>
    </row>
    <row r="762" spans="4:10" ht="13">
      <c r="D762" s="49"/>
      <c r="E762" s="49"/>
      <c r="F762" s="49"/>
      <c r="J762" s="49"/>
    </row>
    <row r="763" spans="4:10" ht="13">
      <c r="D763" s="49"/>
      <c r="E763" s="49"/>
      <c r="F763" s="49"/>
      <c r="J763" s="49"/>
    </row>
    <row r="764" spans="4:10" ht="13">
      <c r="D764" s="49"/>
      <c r="E764" s="49"/>
      <c r="F764" s="49"/>
      <c r="J764" s="49"/>
    </row>
    <row r="765" spans="4:10" ht="13">
      <c r="D765" s="49"/>
      <c r="E765" s="49"/>
      <c r="F765" s="49"/>
      <c r="J765" s="49"/>
    </row>
    <row r="766" spans="4:10" ht="13">
      <c r="D766" s="49"/>
      <c r="E766" s="49"/>
      <c r="F766" s="49"/>
      <c r="J766" s="49"/>
    </row>
    <row r="767" spans="4:10" ht="13">
      <c r="D767" s="49"/>
      <c r="E767" s="49"/>
      <c r="F767" s="49"/>
      <c r="J767" s="49"/>
    </row>
    <row r="768" spans="4:10" ht="13">
      <c r="D768" s="49"/>
      <c r="E768" s="49"/>
      <c r="F768" s="49"/>
      <c r="J768" s="49"/>
    </row>
    <row r="769" spans="4:10" ht="13">
      <c r="D769" s="49"/>
      <c r="E769" s="49"/>
      <c r="F769" s="49"/>
      <c r="J769" s="49"/>
    </row>
    <row r="770" spans="4:10" ht="13">
      <c r="D770" s="49"/>
      <c r="E770" s="49"/>
      <c r="F770" s="49"/>
      <c r="J770" s="49"/>
    </row>
    <row r="771" spans="4:10" ht="13">
      <c r="D771" s="49"/>
      <c r="E771" s="49"/>
      <c r="F771" s="49"/>
      <c r="J771" s="49"/>
    </row>
    <row r="772" spans="4:10" ht="13">
      <c r="D772" s="49"/>
      <c r="E772" s="49"/>
      <c r="F772" s="49"/>
      <c r="J772" s="49"/>
    </row>
    <row r="773" spans="4:10" ht="13">
      <c r="D773" s="49"/>
      <c r="E773" s="49"/>
      <c r="F773" s="49"/>
      <c r="J773" s="49"/>
    </row>
    <row r="774" spans="4:10" ht="13">
      <c r="D774" s="49"/>
      <c r="E774" s="49"/>
      <c r="F774" s="49"/>
      <c r="J774" s="49"/>
    </row>
    <row r="775" spans="4:10" ht="13">
      <c r="D775" s="49"/>
      <c r="E775" s="49"/>
      <c r="F775" s="49"/>
      <c r="J775" s="49"/>
    </row>
    <row r="776" spans="4:10" ht="13">
      <c r="D776" s="49"/>
      <c r="E776" s="49"/>
      <c r="F776" s="49"/>
      <c r="J776" s="49"/>
    </row>
    <row r="777" spans="4:10" ht="13">
      <c r="D777" s="49"/>
      <c r="E777" s="49"/>
      <c r="F777" s="49"/>
      <c r="J777" s="49"/>
    </row>
    <row r="778" spans="4:10" ht="13">
      <c r="D778" s="49"/>
      <c r="E778" s="49"/>
      <c r="F778" s="49"/>
      <c r="J778" s="49"/>
    </row>
    <row r="779" spans="4:10" ht="13">
      <c r="D779" s="49"/>
      <c r="E779" s="49"/>
      <c r="F779" s="49"/>
      <c r="J779" s="49"/>
    </row>
    <row r="780" spans="4:10" ht="13">
      <c r="D780" s="49"/>
      <c r="E780" s="49"/>
      <c r="F780" s="49"/>
      <c r="J780" s="49"/>
    </row>
    <row r="781" spans="4:10" ht="13">
      <c r="D781" s="49"/>
      <c r="E781" s="49"/>
      <c r="F781" s="49"/>
      <c r="J781" s="49"/>
    </row>
    <row r="782" spans="4:10" ht="13">
      <c r="D782" s="49"/>
      <c r="E782" s="49"/>
      <c r="F782" s="49"/>
      <c r="J782" s="49"/>
    </row>
    <row r="783" spans="4:10" ht="13">
      <c r="D783" s="49"/>
      <c r="E783" s="49"/>
      <c r="F783" s="49"/>
      <c r="J783" s="49"/>
    </row>
    <row r="784" spans="4:10" ht="13">
      <c r="D784" s="49"/>
      <c r="E784" s="49"/>
      <c r="F784" s="49"/>
      <c r="J784" s="49"/>
    </row>
    <row r="785" spans="4:10" ht="13">
      <c r="D785" s="49"/>
      <c r="E785" s="49"/>
      <c r="F785" s="49"/>
      <c r="J785" s="49"/>
    </row>
    <row r="786" spans="4:10" ht="13">
      <c r="D786" s="49"/>
      <c r="E786" s="49"/>
      <c r="F786" s="49"/>
      <c r="J786" s="49"/>
    </row>
    <row r="787" spans="4:10" ht="13">
      <c r="D787" s="49"/>
      <c r="E787" s="49"/>
      <c r="F787" s="49"/>
      <c r="J787" s="49"/>
    </row>
    <row r="788" spans="4:10" ht="13">
      <c r="D788" s="49"/>
      <c r="E788" s="49"/>
      <c r="F788" s="49"/>
      <c r="J788" s="49"/>
    </row>
    <row r="789" spans="4:10" ht="13">
      <c r="D789" s="49"/>
      <c r="E789" s="49"/>
      <c r="F789" s="49"/>
      <c r="J789" s="49"/>
    </row>
    <row r="790" spans="4:10" ht="13">
      <c r="D790" s="49"/>
      <c r="E790" s="49"/>
      <c r="F790" s="49"/>
      <c r="J790" s="49"/>
    </row>
    <row r="791" spans="4:10" ht="13">
      <c r="D791" s="49"/>
      <c r="E791" s="49"/>
      <c r="F791" s="49"/>
      <c r="J791" s="49"/>
    </row>
    <row r="792" spans="4:10" ht="13">
      <c r="D792" s="49"/>
      <c r="E792" s="49"/>
      <c r="F792" s="49"/>
      <c r="J792" s="49"/>
    </row>
    <row r="793" spans="4:10" ht="13">
      <c r="D793" s="49"/>
      <c r="E793" s="49"/>
      <c r="F793" s="49"/>
      <c r="J793" s="49"/>
    </row>
    <row r="794" spans="4:10" ht="13">
      <c r="D794" s="49"/>
      <c r="E794" s="49"/>
      <c r="F794" s="49"/>
      <c r="J794" s="49"/>
    </row>
    <row r="795" spans="4:10" ht="13">
      <c r="D795" s="49"/>
      <c r="E795" s="49"/>
      <c r="F795" s="49"/>
      <c r="J795" s="49"/>
    </row>
    <row r="796" spans="4:10" ht="13">
      <c r="D796" s="49"/>
      <c r="E796" s="49"/>
      <c r="F796" s="49"/>
      <c r="J796" s="49"/>
    </row>
    <row r="797" spans="4:10" ht="13">
      <c r="D797" s="49"/>
      <c r="E797" s="49"/>
      <c r="F797" s="49"/>
      <c r="J797" s="49"/>
    </row>
    <row r="798" spans="4:10" ht="13">
      <c r="D798" s="49"/>
      <c r="E798" s="49"/>
      <c r="F798" s="49"/>
      <c r="J798" s="49"/>
    </row>
    <row r="799" spans="4:10" ht="13">
      <c r="D799" s="49"/>
      <c r="E799" s="49"/>
      <c r="F799" s="49"/>
      <c r="J799" s="49"/>
    </row>
    <row r="800" spans="4:10" ht="13">
      <c r="D800" s="49"/>
      <c r="E800" s="49"/>
      <c r="F800" s="49"/>
      <c r="J800" s="49"/>
    </row>
    <row r="801" spans="4:10" ht="13">
      <c r="D801" s="49"/>
      <c r="E801" s="49"/>
      <c r="F801" s="49"/>
      <c r="J801" s="49"/>
    </row>
    <row r="802" spans="4:10" ht="13">
      <c r="D802" s="49"/>
      <c r="E802" s="49"/>
      <c r="F802" s="49"/>
      <c r="J802" s="49"/>
    </row>
    <row r="803" spans="4:10" ht="13">
      <c r="D803" s="49"/>
      <c r="E803" s="49"/>
      <c r="F803" s="49"/>
      <c r="J803" s="49"/>
    </row>
    <row r="804" spans="4:10" ht="13">
      <c r="D804" s="49"/>
      <c r="E804" s="49"/>
      <c r="F804" s="49"/>
      <c r="J804" s="49"/>
    </row>
    <row r="805" spans="4:10" ht="13">
      <c r="D805" s="49"/>
      <c r="E805" s="49"/>
      <c r="F805" s="49"/>
      <c r="J805" s="49"/>
    </row>
    <row r="806" spans="4:10" ht="13">
      <c r="D806" s="49"/>
      <c r="E806" s="49"/>
      <c r="F806" s="49"/>
      <c r="J806" s="49"/>
    </row>
    <row r="807" spans="4:10" ht="13">
      <c r="D807" s="49"/>
      <c r="E807" s="49"/>
      <c r="F807" s="49"/>
      <c r="J807" s="49"/>
    </row>
    <row r="808" spans="4:10" ht="13">
      <c r="D808" s="49"/>
      <c r="E808" s="49"/>
      <c r="F808" s="49"/>
      <c r="J808" s="49"/>
    </row>
    <row r="809" spans="4:10" ht="13">
      <c r="D809" s="49"/>
      <c r="E809" s="49"/>
      <c r="F809" s="49"/>
      <c r="J809" s="49"/>
    </row>
    <row r="810" spans="4:10" ht="13">
      <c r="D810" s="49"/>
      <c r="E810" s="49"/>
      <c r="F810" s="49"/>
      <c r="J810" s="49"/>
    </row>
    <row r="811" spans="4:10" ht="13">
      <c r="D811" s="49"/>
      <c r="E811" s="49"/>
      <c r="F811" s="49"/>
      <c r="J811" s="49"/>
    </row>
    <row r="812" spans="4:10" ht="13">
      <c r="D812" s="49"/>
      <c r="E812" s="49"/>
      <c r="F812" s="49"/>
      <c r="J812" s="49"/>
    </row>
    <row r="813" spans="4:10" ht="13">
      <c r="D813" s="49"/>
      <c r="E813" s="49"/>
      <c r="F813" s="49"/>
      <c r="J813" s="49"/>
    </row>
    <row r="814" spans="4:10" ht="13">
      <c r="D814" s="49"/>
      <c r="E814" s="49"/>
      <c r="F814" s="49"/>
      <c r="J814" s="49"/>
    </row>
    <row r="815" spans="4:10" ht="13">
      <c r="D815" s="49"/>
      <c r="E815" s="49"/>
      <c r="F815" s="49"/>
      <c r="J815" s="49"/>
    </row>
    <row r="816" spans="4:10" ht="13">
      <c r="D816" s="49"/>
      <c r="E816" s="49"/>
      <c r="F816" s="49"/>
      <c r="J816" s="49"/>
    </row>
    <row r="817" spans="4:10" ht="13">
      <c r="D817" s="49"/>
      <c r="E817" s="49"/>
      <c r="F817" s="49"/>
      <c r="J817" s="49"/>
    </row>
    <row r="818" spans="4:10" ht="13">
      <c r="D818" s="49"/>
      <c r="E818" s="49"/>
      <c r="F818" s="49"/>
      <c r="J818" s="49"/>
    </row>
    <row r="819" spans="4:10" ht="13">
      <c r="D819" s="49"/>
      <c r="E819" s="49"/>
      <c r="F819" s="49"/>
      <c r="J819" s="49"/>
    </row>
    <row r="820" spans="4:10" ht="13">
      <c r="D820" s="49"/>
      <c r="E820" s="49"/>
      <c r="F820" s="49"/>
      <c r="J820" s="49"/>
    </row>
    <row r="821" spans="4:10" ht="13">
      <c r="D821" s="49"/>
      <c r="E821" s="49"/>
      <c r="F821" s="49"/>
      <c r="J821" s="49"/>
    </row>
    <row r="822" spans="4:10" ht="13">
      <c r="D822" s="49"/>
      <c r="E822" s="49"/>
      <c r="F822" s="49"/>
      <c r="J822" s="49"/>
    </row>
    <row r="823" spans="4:10" ht="13">
      <c r="D823" s="49"/>
      <c r="E823" s="49"/>
      <c r="F823" s="49"/>
      <c r="J823" s="49"/>
    </row>
    <row r="824" spans="4:10" ht="13">
      <c r="D824" s="49"/>
      <c r="E824" s="49"/>
      <c r="F824" s="49"/>
      <c r="J824" s="49"/>
    </row>
    <row r="825" spans="4:10" ht="13">
      <c r="D825" s="49"/>
      <c r="E825" s="49"/>
      <c r="F825" s="49"/>
      <c r="J825" s="49"/>
    </row>
    <row r="826" spans="4:10" ht="13">
      <c r="D826" s="49"/>
      <c r="E826" s="49"/>
      <c r="F826" s="49"/>
      <c r="J826" s="49"/>
    </row>
    <row r="827" spans="4:10" ht="13">
      <c r="D827" s="49"/>
      <c r="E827" s="49"/>
      <c r="F827" s="49"/>
      <c r="J827" s="49"/>
    </row>
    <row r="828" spans="4:10" ht="13">
      <c r="D828" s="49"/>
      <c r="E828" s="49"/>
      <c r="F828" s="49"/>
      <c r="J828" s="49"/>
    </row>
    <row r="829" spans="4:10" ht="13">
      <c r="D829" s="49"/>
      <c r="E829" s="49"/>
      <c r="F829" s="49"/>
      <c r="J829" s="49"/>
    </row>
    <row r="830" spans="4:10" ht="13">
      <c r="D830" s="49"/>
      <c r="E830" s="49"/>
      <c r="F830" s="49"/>
      <c r="J830" s="49"/>
    </row>
    <row r="831" spans="4:10" ht="13">
      <c r="D831" s="49"/>
      <c r="E831" s="49"/>
      <c r="F831" s="49"/>
      <c r="J831" s="49"/>
    </row>
    <row r="832" spans="4:10" ht="13">
      <c r="D832" s="49"/>
      <c r="E832" s="49"/>
      <c r="F832" s="49"/>
      <c r="J832" s="49"/>
    </row>
    <row r="833" spans="4:10" ht="13">
      <c r="D833" s="49"/>
      <c r="E833" s="49"/>
      <c r="F833" s="49"/>
      <c r="J833" s="49"/>
    </row>
    <row r="834" spans="4:10" ht="13">
      <c r="D834" s="49"/>
      <c r="E834" s="49"/>
      <c r="F834" s="49"/>
      <c r="J834" s="49"/>
    </row>
    <row r="835" spans="4:10" ht="13">
      <c r="D835" s="49"/>
      <c r="E835" s="49"/>
      <c r="F835" s="49"/>
      <c r="J835" s="49"/>
    </row>
    <row r="836" spans="4:10" ht="13">
      <c r="D836" s="49"/>
      <c r="E836" s="49"/>
      <c r="F836" s="49"/>
      <c r="J836" s="49"/>
    </row>
    <row r="837" spans="4:10" ht="13">
      <c r="D837" s="49"/>
      <c r="E837" s="49"/>
      <c r="F837" s="49"/>
      <c r="J837" s="49"/>
    </row>
    <row r="838" spans="4:10" ht="13">
      <c r="D838" s="49"/>
      <c r="E838" s="49"/>
      <c r="F838" s="49"/>
      <c r="J838" s="49"/>
    </row>
    <row r="839" spans="4:10" ht="13">
      <c r="D839" s="49"/>
      <c r="E839" s="49"/>
      <c r="F839" s="49"/>
      <c r="J839" s="49"/>
    </row>
    <row r="840" spans="4:10" ht="13">
      <c r="D840" s="49"/>
      <c r="E840" s="49"/>
      <c r="F840" s="49"/>
      <c r="J840" s="49"/>
    </row>
    <row r="841" spans="4:10" ht="13">
      <c r="D841" s="49"/>
      <c r="E841" s="49"/>
      <c r="F841" s="49"/>
      <c r="J841" s="49"/>
    </row>
    <row r="842" spans="4:10" ht="13">
      <c r="D842" s="49"/>
      <c r="E842" s="49"/>
      <c r="F842" s="49"/>
      <c r="J842" s="49"/>
    </row>
    <row r="843" spans="4:10" ht="13">
      <c r="D843" s="49"/>
      <c r="E843" s="49"/>
      <c r="F843" s="49"/>
      <c r="J843" s="49"/>
    </row>
    <row r="844" spans="4:10" ht="13">
      <c r="D844" s="49"/>
      <c r="E844" s="49"/>
      <c r="F844" s="49"/>
      <c r="J844" s="49"/>
    </row>
    <row r="845" spans="4:10" ht="13">
      <c r="D845" s="49"/>
      <c r="E845" s="49"/>
      <c r="F845" s="49"/>
      <c r="J845" s="49"/>
    </row>
    <row r="846" spans="4:10" ht="13">
      <c r="D846" s="49"/>
      <c r="E846" s="49"/>
      <c r="F846" s="49"/>
      <c r="J846" s="49"/>
    </row>
    <row r="847" spans="4:10" ht="13">
      <c r="D847" s="49"/>
      <c r="E847" s="49"/>
      <c r="F847" s="49"/>
      <c r="J847" s="49"/>
    </row>
    <row r="848" spans="4:10" ht="13">
      <c r="D848" s="49"/>
      <c r="E848" s="49"/>
      <c r="F848" s="49"/>
      <c r="J848" s="49"/>
    </row>
    <row r="849" spans="4:10" ht="13">
      <c r="D849" s="49"/>
      <c r="E849" s="49"/>
      <c r="F849" s="49"/>
      <c r="J849" s="49"/>
    </row>
    <row r="850" spans="4:10" ht="13">
      <c r="D850" s="49"/>
      <c r="E850" s="49"/>
      <c r="F850" s="49"/>
      <c r="J850" s="49"/>
    </row>
    <row r="851" spans="4:10" ht="13">
      <c r="D851" s="49"/>
      <c r="E851" s="49"/>
      <c r="F851" s="49"/>
      <c r="J851" s="49"/>
    </row>
    <row r="852" spans="4:10" ht="13">
      <c r="D852" s="49"/>
      <c r="E852" s="49"/>
      <c r="F852" s="49"/>
      <c r="J852" s="49"/>
    </row>
    <row r="853" spans="4:10" ht="13">
      <c r="D853" s="49"/>
      <c r="E853" s="49"/>
      <c r="F853" s="49"/>
      <c r="J853" s="49"/>
    </row>
    <row r="854" spans="4:10" ht="13">
      <c r="D854" s="49"/>
      <c r="E854" s="49"/>
      <c r="F854" s="49"/>
      <c r="J854" s="49"/>
    </row>
    <row r="855" spans="4:10" ht="13">
      <c r="D855" s="49"/>
      <c r="E855" s="49"/>
      <c r="F855" s="49"/>
      <c r="J855" s="49"/>
    </row>
    <row r="856" spans="4:10" ht="13">
      <c r="D856" s="49"/>
      <c r="E856" s="49"/>
      <c r="F856" s="49"/>
      <c r="J856" s="49"/>
    </row>
    <row r="857" spans="4:10" ht="13">
      <c r="D857" s="49"/>
      <c r="E857" s="49"/>
      <c r="F857" s="49"/>
      <c r="J857" s="49"/>
    </row>
    <row r="858" spans="4:10" ht="13">
      <c r="D858" s="49"/>
      <c r="E858" s="49"/>
      <c r="F858" s="49"/>
      <c r="J858" s="49"/>
    </row>
    <row r="859" spans="4:10" ht="13">
      <c r="D859" s="49"/>
      <c r="E859" s="49"/>
      <c r="F859" s="49"/>
      <c r="J859" s="49"/>
    </row>
    <row r="860" spans="4:10" ht="13">
      <c r="D860" s="49"/>
      <c r="E860" s="49"/>
      <c r="F860" s="49"/>
      <c r="J860" s="49"/>
    </row>
    <row r="861" spans="4:10" ht="13">
      <c r="D861" s="49"/>
      <c r="E861" s="49"/>
      <c r="F861" s="49"/>
      <c r="J861" s="49"/>
    </row>
    <row r="862" spans="4:10" ht="13">
      <c r="D862" s="49"/>
      <c r="E862" s="49"/>
      <c r="F862" s="49"/>
      <c r="J862" s="49"/>
    </row>
    <row r="863" spans="4:10" ht="13">
      <c r="D863" s="49"/>
      <c r="E863" s="49"/>
      <c r="F863" s="49"/>
      <c r="J863" s="49"/>
    </row>
    <row r="864" spans="4:10" ht="13">
      <c r="D864" s="49"/>
      <c r="E864" s="49"/>
      <c r="F864" s="49"/>
      <c r="J864" s="49"/>
    </row>
    <row r="865" spans="4:10" ht="13">
      <c r="D865" s="49"/>
      <c r="E865" s="49"/>
      <c r="F865" s="49"/>
      <c r="J865" s="49"/>
    </row>
    <row r="866" spans="4:10" ht="13">
      <c r="D866" s="49"/>
      <c r="E866" s="49"/>
      <c r="F866" s="49"/>
      <c r="J866" s="49"/>
    </row>
    <row r="867" spans="4:10" ht="13">
      <c r="D867" s="49"/>
      <c r="E867" s="49"/>
      <c r="F867" s="49"/>
      <c r="J867" s="49"/>
    </row>
    <row r="868" spans="4:10" ht="13">
      <c r="D868" s="49"/>
      <c r="E868" s="49"/>
      <c r="F868" s="49"/>
      <c r="J868" s="49"/>
    </row>
    <row r="869" spans="4:10" ht="13">
      <c r="D869" s="49"/>
      <c r="E869" s="49"/>
      <c r="F869" s="49"/>
      <c r="J869" s="49"/>
    </row>
    <row r="870" spans="4:10" ht="13">
      <c r="D870" s="49"/>
      <c r="E870" s="49"/>
      <c r="F870" s="49"/>
      <c r="J870" s="49"/>
    </row>
    <row r="871" spans="4:10" ht="13">
      <c r="D871" s="49"/>
      <c r="E871" s="49"/>
      <c r="F871" s="49"/>
      <c r="J871" s="49"/>
    </row>
    <row r="872" spans="4:10" ht="13">
      <c r="D872" s="49"/>
      <c r="E872" s="49"/>
      <c r="F872" s="49"/>
      <c r="J872" s="49"/>
    </row>
    <row r="873" spans="4:10" ht="13">
      <c r="D873" s="49"/>
      <c r="E873" s="49"/>
      <c r="F873" s="49"/>
      <c r="J873" s="49"/>
    </row>
    <row r="874" spans="4:10" ht="13">
      <c r="D874" s="49"/>
      <c r="E874" s="49"/>
      <c r="F874" s="49"/>
      <c r="J874" s="49"/>
    </row>
    <row r="875" spans="4:10" ht="13">
      <c r="D875" s="49"/>
      <c r="E875" s="49"/>
      <c r="F875" s="49"/>
      <c r="J875" s="49"/>
    </row>
    <row r="876" spans="4:10" ht="13">
      <c r="D876" s="49"/>
      <c r="E876" s="49"/>
      <c r="F876" s="49"/>
      <c r="J876" s="49"/>
    </row>
    <row r="877" spans="4:10" ht="13">
      <c r="D877" s="49"/>
      <c r="E877" s="49"/>
      <c r="F877" s="49"/>
      <c r="J877" s="49"/>
    </row>
    <row r="878" spans="4:10" ht="13">
      <c r="D878" s="49"/>
      <c r="E878" s="49"/>
      <c r="F878" s="49"/>
      <c r="J878" s="49"/>
    </row>
    <row r="879" spans="4:10" ht="13">
      <c r="D879" s="49"/>
      <c r="E879" s="49"/>
      <c r="F879" s="49"/>
      <c r="J879" s="49"/>
    </row>
    <row r="880" spans="4:10" ht="13">
      <c r="D880" s="49"/>
      <c r="E880" s="49"/>
      <c r="F880" s="49"/>
      <c r="J880" s="49"/>
    </row>
    <row r="881" spans="4:10" ht="13">
      <c r="D881" s="49"/>
      <c r="E881" s="49"/>
      <c r="F881" s="49"/>
      <c r="J881" s="49"/>
    </row>
    <row r="882" spans="4:10" ht="13">
      <c r="D882" s="49"/>
      <c r="E882" s="49"/>
      <c r="F882" s="49"/>
      <c r="J882" s="49"/>
    </row>
    <row r="883" spans="4:10" ht="13">
      <c r="D883" s="49"/>
      <c r="E883" s="49"/>
      <c r="F883" s="49"/>
      <c r="J883" s="49"/>
    </row>
    <row r="884" spans="4:10" ht="13">
      <c r="D884" s="49"/>
      <c r="E884" s="49"/>
      <c r="F884" s="49"/>
      <c r="J884" s="49"/>
    </row>
    <row r="885" spans="4:10" ht="13">
      <c r="D885" s="49"/>
      <c r="E885" s="49"/>
      <c r="F885" s="49"/>
      <c r="J885" s="49"/>
    </row>
    <row r="886" spans="4:10" ht="13">
      <c r="D886" s="49"/>
      <c r="E886" s="49"/>
      <c r="F886" s="49"/>
      <c r="J886" s="49"/>
    </row>
    <row r="887" spans="4:10" ht="13">
      <c r="D887" s="49"/>
      <c r="E887" s="49"/>
      <c r="F887" s="49"/>
      <c r="J887" s="49"/>
    </row>
    <row r="888" spans="4:10" ht="13">
      <c r="D888" s="49"/>
      <c r="E888" s="49"/>
      <c r="F888" s="49"/>
      <c r="J888" s="49"/>
    </row>
    <row r="889" spans="4:10" ht="13">
      <c r="D889" s="49"/>
      <c r="E889" s="49"/>
      <c r="F889" s="49"/>
      <c r="J889" s="49"/>
    </row>
    <row r="890" spans="4:10" ht="13">
      <c r="D890" s="49"/>
      <c r="E890" s="49"/>
      <c r="F890" s="49"/>
      <c r="J890" s="49"/>
    </row>
    <row r="891" spans="4:10" ht="13">
      <c r="D891" s="49"/>
      <c r="E891" s="49"/>
      <c r="F891" s="49"/>
      <c r="J891" s="49"/>
    </row>
    <row r="892" spans="4:10" ht="13">
      <c r="D892" s="49"/>
      <c r="E892" s="49"/>
      <c r="F892" s="49"/>
      <c r="J892" s="49"/>
    </row>
    <row r="893" spans="4:10" ht="13">
      <c r="D893" s="49"/>
      <c r="E893" s="49"/>
      <c r="F893" s="49"/>
      <c r="J893" s="49"/>
    </row>
    <row r="894" spans="4:10" ht="13">
      <c r="D894" s="49"/>
      <c r="E894" s="49"/>
      <c r="F894" s="49"/>
      <c r="J894" s="49"/>
    </row>
    <row r="895" spans="4:10" ht="13">
      <c r="D895" s="49"/>
      <c r="E895" s="49"/>
      <c r="F895" s="49"/>
      <c r="J895" s="49"/>
    </row>
    <row r="896" spans="4:10" ht="13">
      <c r="D896" s="49"/>
      <c r="E896" s="49"/>
      <c r="F896" s="49"/>
      <c r="J896" s="49"/>
    </row>
    <row r="897" spans="4:10" ht="13">
      <c r="D897" s="49"/>
      <c r="E897" s="49"/>
      <c r="F897" s="49"/>
      <c r="J897" s="49"/>
    </row>
    <row r="898" spans="4:10" ht="13">
      <c r="D898" s="49"/>
      <c r="E898" s="49"/>
      <c r="F898" s="49"/>
      <c r="J898" s="49"/>
    </row>
    <row r="899" spans="4:10" ht="13">
      <c r="D899" s="49"/>
      <c r="E899" s="49"/>
      <c r="F899" s="49"/>
      <c r="J899" s="49"/>
    </row>
    <row r="900" spans="4:10" ht="13">
      <c r="D900" s="49"/>
      <c r="E900" s="49"/>
      <c r="F900" s="49"/>
      <c r="J900" s="49"/>
    </row>
    <row r="901" spans="4:10" ht="13">
      <c r="D901" s="49"/>
      <c r="E901" s="49"/>
      <c r="F901" s="49"/>
      <c r="J901" s="49"/>
    </row>
    <row r="902" spans="4:10" ht="13">
      <c r="D902" s="49"/>
      <c r="E902" s="49"/>
      <c r="F902" s="49"/>
      <c r="J902" s="49"/>
    </row>
    <row r="903" spans="4:10" ht="13">
      <c r="D903" s="49"/>
      <c r="E903" s="49"/>
      <c r="F903" s="49"/>
      <c r="J903" s="49"/>
    </row>
    <row r="904" spans="4:10" ht="13">
      <c r="D904" s="49"/>
      <c r="E904" s="49"/>
      <c r="F904" s="49"/>
      <c r="J904" s="49"/>
    </row>
    <row r="905" spans="4:10" ht="13">
      <c r="D905" s="49"/>
      <c r="E905" s="49"/>
      <c r="F905" s="49"/>
      <c r="J905" s="49"/>
    </row>
    <row r="906" spans="4:10" ht="13">
      <c r="D906" s="49"/>
      <c r="E906" s="49"/>
      <c r="F906" s="49"/>
      <c r="J906" s="49"/>
    </row>
    <row r="907" spans="4:10" ht="13">
      <c r="D907" s="49"/>
      <c r="E907" s="49"/>
      <c r="F907" s="49"/>
      <c r="J907" s="49"/>
    </row>
    <row r="908" spans="4:10" ht="13">
      <c r="D908" s="49"/>
      <c r="E908" s="49"/>
      <c r="F908" s="49"/>
      <c r="J908" s="49"/>
    </row>
    <row r="909" spans="4:10" ht="13">
      <c r="D909" s="49"/>
      <c r="E909" s="49"/>
      <c r="F909" s="49"/>
      <c r="J909" s="49"/>
    </row>
    <row r="910" spans="4:10" ht="13">
      <c r="D910" s="49"/>
      <c r="E910" s="49"/>
      <c r="F910" s="49"/>
      <c r="J910" s="49"/>
    </row>
    <row r="911" spans="4:10" ht="13">
      <c r="D911" s="49"/>
      <c r="E911" s="49"/>
      <c r="F911" s="49"/>
      <c r="J911" s="49"/>
    </row>
    <row r="912" spans="4:10" ht="13">
      <c r="D912" s="49"/>
      <c r="E912" s="49"/>
      <c r="F912" s="49"/>
      <c r="J912" s="49"/>
    </row>
    <row r="913" spans="4:10" ht="13">
      <c r="D913" s="49"/>
      <c r="E913" s="49"/>
      <c r="F913" s="49"/>
      <c r="J913" s="49"/>
    </row>
    <row r="914" spans="4:10" ht="13">
      <c r="D914" s="49"/>
      <c r="E914" s="49"/>
      <c r="F914" s="49"/>
      <c r="J914" s="49"/>
    </row>
    <row r="915" spans="4:10" ht="13">
      <c r="D915" s="49"/>
      <c r="E915" s="49"/>
      <c r="F915" s="49"/>
      <c r="J915" s="49"/>
    </row>
    <row r="916" spans="4:10" ht="13">
      <c r="D916" s="49"/>
      <c r="E916" s="49"/>
      <c r="F916" s="49"/>
      <c r="J916" s="49"/>
    </row>
    <row r="917" spans="4:10" ht="13">
      <c r="D917" s="49"/>
      <c r="E917" s="49"/>
      <c r="F917" s="49"/>
      <c r="J917" s="49"/>
    </row>
    <row r="918" spans="4:10" ht="13">
      <c r="D918" s="49"/>
      <c r="E918" s="49"/>
      <c r="F918" s="49"/>
      <c r="J918" s="49"/>
    </row>
    <row r="919" spans="4:10" ht="13">
      <c r="D919" s="49"/>
      <c r="E919" s="49"/>
      <c r="F919" s="49"/>
      <c r="J919" s="49"/>
    </row>
    <row r="920" spans="4:10" ht="13">
      <c r="D920" s="49"/>
      <c r="E920" s="49"/>
      <c r="F920" s="49"/>
      <c r="J920" s="49"/>
    </row>
    <row r="921" spans="4:10" ht="13">
      <c r="D921" s="49"/>
      <c r="E921" s="49"/>
      <c r="F921" s="49"/>
      <c r="J921" s="49"/>
    </row>
    <row r="922" spans="4:10" ht="13">
      <c r="D922" s="49"/>
      <c r="E922" s="49"/>
      <c r="F922" s="49"/>
      <c r="J922" s="49"/>
    </row>
    <row r="923" spans="4:10" ht="13">
      <c r="D923" s="49"/>
      <c r="E923" s="49"/>
      <c r="F923" s="49"/>
      <c r="J923" s="49"/>
    </row>
    <row r="924" spans="4:10" ht="13">
      <c r="D924" s="49"/>
      <c r="E924" s="49"/>
      <c r="F924" s="49"/>
      <c r="J924" s="49"/>
    </row>
    <row r="925" spans="4:10" ht="13">
      <c r="D925" s="49"/>
      <c r="E925" s="49"/>
      <c r="F925" s="49"/>
      <c r="J925" s="49"/>
    </row>
    <row r="926" spans="4:10" ht="13">
      <c r="D926" s="49"/>
      <c r="E926" s="49"/>
      <c r="F926" s="49"/>
      <c r="J926" s="49"/>
    </row>
    <row r="927" spans="4:10" ht="13">
      <c r="D927" s="49"/>
      <c r="E927" s="49"/>
      <c r="F927" s="49"/>
      <c r="J927" s="49"/>
    </row>
    <row r="928" spans="4:10" ht="13">
      <c r="D928" s="49"/>
      <c r="E928" s="49"/>
      <c r="F928" s="49"/>
      <c r="J928" s="49"/>
    </row>
    <row r="929" spans="4:10" ht="13">
      <c r="D929" s="49"/>
      <c r="E929" s="49"/>
      <c r="F929" s="49"/>
      <c r="J929" s="49"/>
    </row>
    <row r="930" spans="4:10" ht="13">
      <c r="D930" s="49"/>
      <c r="E930" s="49"/>
      <c r="F930" s="49"/>
      <c r="J930" s="49"/>
    </row>
    <row r="931" spans="4:10" ht="13">
      <c r="D931" s="49"/>
      <c r="E931" s="49"/>
      <c r="F931" s="49"/>
      <c r="J931" s="49"/>
    </row>
    <row r="932" spans="4:10" ht="13">
      <c r="D932" s="49"/>
      <c r="E932" s="49"/>
      <c r="F932" s="49"/>
      <c r="J932" s="49"/>
    </row>
    <row r="933" spans="4:10" ht="13">
      <c r="D933" s="49"/>
      <c r="E933" s="49"/>
      <c r="F933" s="49"/>
      <c r="J933" s="49"/>
    </row>
    <row r="934" spans="4:10" ht="13">
      <c r="D934" s="49"/>
      <c r="E934" s="49"/>
      <c r="F934" s="49"/>
      <c r="J934" s="49"/>
    </row>
    <row r="935" spans="4:10" ht="13">
      <c r="D935" s="49"/>
      <c r="E935" s="49"/>
      <c r="F935" s="49"/>
      <c r="J935" s="49"/>
    </row>
    <row r="936" spans="4:10" ht="13">
      <c r="D936" s="49"/>
      <c r="E936" s="49"/>
      <c r="F936" s="49"/>
      <c r="J936" s="49"/>
    </row>
    <row r="937" spans="4:10" ht="13">
      <c r="D937" s="49"/>
      <c r="E937" s="49"/>
      <c r="F937" s="49"/>
      <c r="J937" s="49"/>
    </row>
    <row r="938" spans="4:10" ht="13">
      <c r="D938" s="49"/>
      <c r="E938" s="49"/>
      <c r="F938" s="49"/>
      <c r="J938" s="49"/>
    </row>
    <row r="939" spans="4:10" ht="13">
      <c r="D939" s="49"/>
      <c r="E939" s="49"/>
      <c r="F939" s="49"/>
      <c r="J939" s="49"/>
    </row>
    <row r="940" spans="4:10" ht="13">
      <c r="D940" s="49"/>
      <c r="E940" s="49"/>
      <c r="F940" s="49"/>
      <c r="J940" s="49"/>
    </row>
    <row r="941" spans="4:10" ht="13">
      <c r="D941" s="49"/>
      <c r="E941" s="49"/>
      <c r="F941" s="49"/>
      <c r="J941" s="49"/>
    </row>
    <row r="942" spans="4:10" ht="13">
      <c r="D942" s="49"/>
      <c r="E942" s="49"/>
      <c r="F942" s="49"/>
      <c r="J942" s="49"/>
    </row>
    <row r="943" spans="4:10" ht="13">
      <c r="D943" s="49"/>
      <c r="E943" s="49"/>
      <c r="F943" s="49"/>
      <c r="J943" s="49"/>
    </row>
    <row r="944" spans="4:10" ht="13">
      <c r="D944" s="49"/>
      <c r="E944" s="49"/>
      <c r="F944" s="49"/>
      <c r="J944" s="49"/>
    </row>
    <row r="945" spans="4:10" ht="13">
      <c r="D945" s="49"/>
      <c r="E945" s="49"/>
      <c r="F945" s="49"/>
      <c r="J945" s="49"/>
    </row>
    <row r="946" spans="4:10" ht="13">
      <c r="D946" s="49"/>
      <c r="E946" s="49"/>
      <c r="F946" s="49"/>
      <c r="J946" s="49"/>
    </row>
    <row r="947" spans="4:10" ht="13">
      <c r="D947" s="49"/>
      <c r="E947" s="49"/>
      <c r="F947" s="49"/>
      <c r="J947" s="49"/>
    </row>
    <row r="948" spans="4:10" ht="13">
      <c r="D948" s="49"/>
      <c r="E948" s="49"/>
      <c r="F948" s="49"/>
      <c r="J948" s="49"/>
    </row>
    <row r="949" spans="4:10" ht="13">
      <c r="D949" s="49"/>
      <c r="E949" s="49"/>
      <c r="F949" s="49"/>
      <c r="J949" s="49"/>
    </row>
    <row r="950" spans="4:10" ht="13">
      <c r="D950" s="49"/>
      <c r="E950" s="49"/>
      <c r="F950" s="49"/>
      <c r="J950" s="49"/>
    </row>
    <row r="951" spans="4:10" ht="13">
      <c r="D951" s="49"/>
      <c r="E951" s="49"/>
      <c r="F951" s="49"/>
      <c r="J951" s="49"/>
    </row>
    <row r="952" spans="4:10" ht="13">
      <c r="D952" s="49"/>
      <c r="E952" s="49"/>
      <c r="F952" s="49"/>
      <c r="J952" s="49"/>
    </row>
    <row r="953" spans="4:10" ht="13">
      <c r="D953" s="49"/>
      <c r="E953" s="49"/>
      <c r="F953" s="49"/>
      <c r="J953" s="49"/>
    </row>
    <row r="954" spans="4:10" ht="13">
      <c r="D954" s="49"/>
      <c r="E954" s="49"/>
      <c r="F954" s="49"/>
      <c r="J954" s="49"/>
    </row>
    <row r="955" spans="4:10" ht="13">
      <c r="D955" s="49"/>
      <c r="E955" s="49"/>
      <c r="F955" s="49"/>
      <c r="J955" s="49"/>
    </row>
    <row r="956" spans="4:10" ht="13">
      <c r="D956" s="49"/>
      <c r="E956" s="49"/>
      <c r="F956" s="49"/>
      <c r="J956" s="49"/>
    </row>
    <row r="957" spans="4:10" ht="13">
      <c r="D957" s="49"/>
      <c r="E957" s="49"/>
      <c r="F957" s="49"/>
      <c r="J957" s="49"/>
    </row>
    <row r="958" spans="4:10" ht="13">
      <c r="D958" s="49"/>
      <c r="E958" s="49"/>
      <c r="F958" s="49"/>
      <c r="J958" s="49"/>
    </row>
    <row r="959" spans="4:10" ht="13">
      <c r="D959" s="49"/>
      <c r="E959" s="49"/>
      <c r="F959" s="49"/>
      <c r="J959" s="49"/>
    </row>
    <row r="960" spans="4:10" ht="13">
      <c r="D960" s="49"/>
      <c r="E960" s="49"/>
      <c r="F960" s="49"/>
      <c r="J960" s="49"/>
    </row>
    <row r="961" spans="4:10" ht="13">
      <c r="D961" s="49"/>
      <c r="E961" s="49"/>
      <c r="F961" s="49"/>
      <c r="J961" s="49"/>
    </row>
    <row r="962" spans="4:10" ht="13">
      <c r="D962" s="49"/>
      <c r="E962" s="49"/>
      <c r="F962" s="49"/>
      <c r="J962" s="49"/>
    </row>
    <row r="963" spans="4:10" ht="13">
      <c r="D963" s="49"/>
      <c r="E963" s="49"/>
      <c r="F963" s="49"/>
      <c r="J963" s="49"/>
    </row>
    <row r="964" spans="4:10" ht="13">
      <c r="D964" s="49"/>
      <c r="E964" s="49"/>
      <c r="F964" s="49"/>
      <c r="J964" s="49"/>
    </row>
    <row r="965" spans="4:10" ht="13">
      <c r="D965" s="49"/>
      <c r="E965" s="49"/>
      <c r="F965" s="49"/>
      <c r="J965" s="49"/>
    </row>
    <row r="966" spans="4:10" ht="13">
      <c r="D966" s="49"/>
      <c r="E966" s="49"/>
      <c r="F966" s="49"/>
      <c r="J966" s="49"/>
    </row>
    <row r="967" spans="4:10" ht="13">
      <c r="D967" s="49"/>
      <c r="E967" s="49"/>
      <c r="F967" s="49"/>
      <c r="J967" s="49"/>
    </row>
    <row r="968" spans="4:10" ht="13">
      <c r="D968" s="49"/>
      <c r="E968" s="49"/>
      <c r="F968" s="49"/>
      <c r="J968" s="49"/>
    </row>
    <row r="969" spans="4:10" ht="13">
      <c r="D969" s="49"/>
      <c r="E969" s="49"/>
      <c r="F969" s="49"/>
      <c r="J969" s="49"/>
    </row>
    <row r="970" spans="4:10" ht="13">
      <c r="D970" s="49"/>
      <c r="E970" s="49"/>
      <c r="F970" s="49"/>
      <c r="J970" s="49"/>
    </row>
    <row r="971" spans="4:10" ht="13">
      <c r="D971" s="49"/>
      <c r="E971" s="49"/>
      <c r="F971" s="49"/>
      <c r="J971" s="49"/>
    </row>
    <row r="972" spans="4:10" ht="13">
      <c r="D972" s="49"/>
      <c r="E972" s="49"/>
      <c r="F972" s="49"/>
      <c r="J972" s="49"/>
    </row>
    <row r="973" spans="4:10" ht="13">
      <c r="D973" s="49"/>
      <c r="E973" s="49"/>
      <c r="F973" s="49"/>
      <c r="J973" s="49"/>
    </row>
    <row r="974" spans="4:10" ht="13">
      <c r="D974" s="49"/>
      <c r="E974" s="49"/>
      <c r="F974" s="49"/>
      <c r="J974" s="49"/>
    </row>
    <row r="975" spans="4:10" ht="13">
      <c r="D975" s="49"/>
      <c r="E975" s="49"/>
      <c r="F975" s="49"/>
      <c r="J975" s="49"/>
    </row>
    <row r="976" spans="4:10" ht="13">
      <c r="D976" s="49"/>
      <c r="E976" s="49"/>
      <c r="F976" s="49"/>
      <c r="J976" s="49"/>
    </row>
    <row r="977" spans="4:10" ht="13">
      <c r="D977" s="49"/>
      <c r="E977" s="49"/>
      <c r="F977" s="49"/>
      <c r="J977" s="49"/>
    </row>
    <row r="978" spans="4:10" ht="13">
      <c r="D978" s="49"/>
      <c r="E978" s="49"/>
      <c r="F978" s="49"/>
      <c r="J978" s="49"/>
    </row>
    <row r="979" spans="4:10" ht="13">
      <c r="D979" s="49"/>
      <c r="E979" s="49"/>
      <c r="F979" s="49"/>
      <c r="J979" s="49"/>
    </row>
    <row r="980" spans="4:10" ht="13">
      <c r="D980" s="49"/>
      <c r="E980" s="49"/>
      <c r="F980" s="49"/>
      <c r="J980" s="49"/>
    </row>
    <row r="981" spans="4:10" ht="13">
      <c r="D981" s="49"/>
      <c r="E981" s="49"/>
      <c r="F981" s="49"/>
      <c r="J981" s="49"/>
    </row>
    <row r="982" spans="4:10" ht="13">
      <c r="D982" s="49"/>
      <c r="E982" s="49"/>
      <c r="F982" s="49"/>
      <c r="J982" s="49"/>
    </row>
    <row r="983" spans="4:10" ht="13">
      <c r="D983" s="49"/>
      <c r="E983" s="49"/>
      <c r="F983" s="49"/>
      <c r="J983" s="49"/>
    </row>
    <row r="984" spans="4:10" ht="13">
      <c r="D984" s="49"/>
      <c r="E984" s="49"/>
      <c r="F984" s="49"/>
      <c r="J984" s="49"/>
    </row>
    <row r="985" spans="4:10" ht="13">
      <c r="D985" s="49"/>
      <c r="E985" s="49"/>
      <c r="F985" s="49"/>
      <c r="J985" s="49"/>
    </row>
    <row r="986" spans="4:10" ht="13">
      <c r="D986" s="49"/>
      <c r="E986" s="49"/>
      <c r="F986" s="49"/>
      <c r="J986" s="49"/>
    </row>
    <row r="987" spans="4:10" ht="13">
      <c r="D987" s="49"/>
      <c r="E987" s="49"/>
      <c r="F987" s="49"/>
      <c r="J987" s="49"/>
    </row>
    <row r="988" spans="4:10" ht="13">
      <c r="D988" s="49"/>
      <c r="E988" s="49"/>
      <c r="F988" s="49"/>
      <c r="J988" s="49"/>
    </row>
    <row r="989" spans="4:10" ht="13">
      <c r="D989" s="49"/>
      <c r="E989" s="49"/>
      <c r="F989" s="49"/>
      <c r="J989" s="49"/>
    </row>
    <row r="990" spans="4:10" ht="13">
      <c r="D990" s="49"/>
      <c r="E990" s="49"/>
      <c r="F990" s="49"/>
      <c r="J990" s="49"/>
    </row>
    <row r="991" spans="4:10" ht="13">
      <c r="D991" s="49"/>
      <c r="E991" s="49"/>
      <c r="F991" s="49"/>
      <c r="J991" s="49"/>
    </row>
    <row r="992" spans="4:10" ht="13">
      <c r="D992" s="49"/>
      <c r="E992" s="49"/>
      <c r="F992" s="49"/>
      <c r="J992" s="49"/>
    </row>
    <row r="993" spans="4:10" ht="13">
      <c r="D993" s="49"/>
      <c r="E993" s="49"/>
      <c r="F993" s="49"/>
      <c r="J993" s="49"/>
    </row>
    <row r="994" spans="4:10" ht="13">
      <c r="D994" s="49"/>
      <c r="E994" s="49"/>
      <c r="F994" s="49"/>
      <c r="J994" s="49"/>
    </row>
    <row r="995" spans="4:10" ht="13">
      <c r="D995" s="49"/>
      <c r="E995" s="49"/>
      <c r="F995" s="49"/>
      <c r="J995" s="49"/>
    </row>
    <row r="996" spans="4:10" ht="13">
      <c r="D996" s="49"/>
      <c r="E996" s="49"/>
      <c r="F996" s="49"/>
      <c r="J996" s="49"/>
    </row>
    <row r="997" spans="4:10" ht="13">
      <c r="D997" s="49"/>
      <c r="E997" s="49"/>
      <c r="F997" s="49"/>
      <c r="J997" s="49"/>
    </row>
    <row r="998" spans="4:10" ht="13">
      <c r="D998" s="49"/>
      <c r="E998" s="49"/>
      <c r="F998" s="49"/>
      <c r="J998" s="49"/>
    </row>
    <row r="999" spans="4:10" ht="13">
      <c r="D999" s="49"/>
      <c r="E999" s="49"/>
      <c r="F999" s="49"/>
      <c r="J999" s="49"/>
    </row>
    <row r="1000" spans="4:10" ht="13">
      <c r="D1000" s="49"/>
      <c r="E1000" s="49"/>
      <c r="F1000" s="49"/>
      <c r="J1000" s="49"/>
    </row>
  </sheetData>
  <mergeCells count="2">
    <mergeCell ref="A1:G1"/>
    <mergeCell ref="H1:K1"/>
  </mergeCells>
  <conditionalFormatting sqref="A1:A1000">
    <cfRule type="containsText" dxfId="8" priority="1" operator="containsText" text="Unassigned">
      <formula>NOT(ISERROR(SEARCH(("Unassigned"),(A1))))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L1000"/>
  <sheetViews>
    <sheetView workbookViewId="0">
      <selection sqref="A1:G1"/>
    </sheetView>
  </sheetViews>
  <sheetFormatPr baseColWidth="10" defaultColWidth="14.5" defaultRowHeight="15.75" customHeight="1"/>
  <cols>
    <col min="1" max="1" width="11.1640625" customWidth="1"/>
    <col min="2" max="2" width="15.33203125" customWidth="1"/>
    <col min="3" max="3" width="17.6640625" customWidth="1"/>
    <col min="4" max="4" width="18" customWidth="1"/>
    <col min="5" max="5" width="19.5" customWidth="1"/>
    <col min="6" max="6" width="28.6640625" customWidth="1"/>
    <col min="7" max="7" width="15.5" customWidth="1"/>
    <col min="8" max="8" width="22" customWidth="1"/>
    <col min="9" max="9" width="32.5" customWidth="1"/>
    <col min="10" max="10" width="30.83203125" customWidth="1"/>
    <col min="11" max="11" width="34.83203125" customWidth="1"/>
    <col min="12" max="12" width="28.83203125" customWidth="1"/>
  </cols>
  <sheetData>
    <row r="1" spans="1:12" ht="14">
      <c r="A1" s="177" t="s">
        <v>7</v>
      </c>
      <c r="B1" s="178"/>
      <c r="C1" s="178"/>
      <c r="D1" s="178"/>
      <c r="E1" s="178"/>
      <c r="F1" s="178"/>
      <c r="G1" s="179"/>
      <c r="H1" s="182" t="s">
        <v>38</v>
      </c>
      <c r="I1" s="183"/>
      <c r="J1" s="183"/>
      <c r="K1" s="183"/>
    </row>
    <row r="2" spans="1:12" ht="14">
      <c r="A2" s="100" t="s">
        <v>0</v>
      </c>
      <c r="B2" s="101" t="s">
        <v>72</v>
      </c>
      <c r="C2" s="101" t="s">
        <v>73</v>
      </c>
      <c r="D2" s="102" t="s">
        <v>74</v>
      </c>
      <c r="E2" s="102" t="s">
        <v>333</v>
      </c>
      <c r="F2" s="102" t="s">
        <v>334</v>
      </c>
      <c r="G2" s="101" t="s">
        <v>327</v>
      </c>
      <c r="H2" s="103" t="s">
        <v>335</v>
      </c>
      <c r="I2" s="104" t="s">
        <v>336</v>
      </c>
      <c r="J2" s="104" t="s">
        <v>337</v>
      </c>
      <c r="K2" s="105" t="s">
        <v>338</v>
      </c>
      <c r="L2" s="109" t="s">
        <v>347</v>
      </c>
    </row>
    <row r="3" spans="1:12" ht="14">
      <c r="A3" t="str">
        <f ca="1">IFERROR(__xludf.DUMMYFUNCTION("filter(Assignments!B3:B1000,Assignments!P3:P1000=""Gene-Disease Validity"",Assignments!O3:O1000=""Comprehensive"")"),"Contacted")</f>
        <v>Contacted</v>
      </c>
      <c r="B3" t="str">
        <f ca="1">IFERROR(__xludf.DUMMYFUNCTION("filter(Assignments!C3:C1000,Assignments!P3:P1000=""Gene-Disease Validity"",Assignments!O3:O1000=""Comprehensive"")"),"")</f>
        <v/>
      </c>
      <c r="C3" s="110">
        <f ca="1">IFERROR(__xludf.DUMMYFUNCTION("filter(Assignments!D3:D1000,Assignments!P3:P1000=""Gene-Disease Validity"",Assignments!O3:O1000=""Comprehensive"")"),43570)</f>
        <v>43570</v>
      </c>
      <c r="D3" s="62" t="str">
        <f ca="1">IFERROR(__xludf.DUMMYFUNCTION("filter(Assignments!E3:E1000,Assignments!P3:P1000=""Gene-Disease Validity"",Assignments!O3:O1000=""Comprehensive"")"),"Yes")</f>
        <v>Yes</v>
      </c>
      <c r="E3" s="62" t="str">
        <f ca="1">IFERROR(__xludf.DUMMYFUNCTION("filter(Assignments!F3:F1000,Assignments!P3:P1000=""Gene-Disease Validity"",Assignments!O3:O1000=""Comprehensive"")"),"Yes")</f>
        <v>Yes</v>
      </c>
      <c r="F3" s="49" t="str">
        <f ca="1">IFERROR(__xludf.DUMMYFUNCTION("filter(Assignments!G3:G1000,Assignments!P3:P1000=""Gene-Disease Validity"",Assignments!O3:O1000=""Comprehensive"")"),"Gene Disease Validity")</f>
        <v>Gene Disease Validity</v>
      </c>
      <c r="G3" t="str">
        <f ca="1">IFERROR(__xludf.DUMMYFUNCTION("filter(Assignments!H3:H1000,Assignments!P3:P1000=""Gene-Disease Validity"",Assignments!O3:O1000=""Comprehensive"")"),"Epilepsy")</f>
        <v>Epilepsy</v>
      </c>
      <c r="H3" t="str">
        <f ca="1">IFERROR(__xludf.DUMMYFUNCTION("filter(Assignments!L3:L1000,Assignments!P3:P1000=""Gene-Disease Validity"",Assignments!O3:O1000=""Comprehensive"")"),"Xiaodong Wang")</f>
        <v>Xiaodong Wang</v>
      </c>
      <c r="I3" t="str">
        <f ca="1">IFERROR(__xludf.DUMMYFUNCTION("filter(Assignments!M3:M1000,Assignments!P3:P1000=""Gene-Disease Validity"",Assignments!O3:O1000=""Comprehensive"")"),"xdwang@ciphergene.com")</f>
        <v>xdwang@ciphergene.com</v>
      </c>
      <c r="J3" s="49" t="str">
        <f ca="1">IFERROR(__xludf.DUMMYFUNCTION("filter(Assignments!O3:O1000,Assignments!P3:P1000=""Gene-Disease Validity"",Assignments!O3:O1000=""Comprehensive"")"),"Comprehensive")</f>
        <v>Comprehensive</v>
      </c>
      <c r="K3" t="str">
        <f ca="1">IFERROR(__xludf.DUMMYFUNCTION("filter(Assignments!W3:W1000,Assignments!P3:P1000=""Gene-Disease Validity"",Assignments!O3:O1000=""Comprehensive"")"),"Epilepsy group")</f>
        <v>Epilepsy group</v>
      </c>
    </row>
    <row r="4" spans="1:12" ht="13">
      <c r="A4" t="str">
        <f ca="1">IFERROR(__xludf.DUMMYFUNCTION("""COMPUTED_VALUE"""),"Declined")</f>
        <v>Declined</v>
      </c>
      <c r="B4" s="108">
        <f ca="1">IFERROR(__xludf.DUMMYFUNCTION("""COMPUTED_VALUE"""),43437)</f>
        <v>43437</v>
      </c>
      <c r="C4" s="108">
        <f ca="1">IFERROR(__xludf.DUMMYFUNCTION("""COMPUTED_VALUE"""),43446)</f>
        <v>43446</v>
      </c>
      <c r="D4" s="49" t="str">
        <f ca="1">IFERROR(__xludf.DUMMYFUNCTION("""COMPUTED_VALUE"""),"Yes")</f>
        <v>Yes</v>
      </c>
      <c r="E4" s="49" t="str">
        <f ca="1">IFERROR(__xludf.DUMMYFUNCTION("""COMPUTED_VALUE"""),"Yes")</f>
        <v>Yes</v>
      </c>
      <c r="F4" s="49" t="str">
        <f ca="1">IFERROR(__xludf.DUMMYFUNCTION("""COMPUTED_VALUE"""),"Gene Disease Validity")</f>
        <v>Gene Disease Validity</v>
      </c>
      <c r="G4" t="str">
        <f ca="1">IFERROR(__xludf.DUMMYFUNCTION("""COMPUTED_VALUE"""),"ID Autism")</f>
        <v>ID Autism</v>
      </c>
      <c r="H4" t="str">
        <f ca="1">IFERROR(__xludf.DUMMYFUNCTION("""COMPUTED_VALUE"""),"Jennifer Howe")</f>
        <v>Jennifer Howe</v>
      </c>
      <c r="I4" t="str">
        <f ca="1">IFERROR(__xludf.DUMMYFUNCTION("""COMPUTED_VALUE"""),"jhowe@sickkids.ca")</f>
        <v>jhowe@sickkids.ca</v>
      </c>
      <c r="J4" s="49" t="str">
        <f ca="1">IFERROR(__xludf.DUMMYFUNCTION("""COMPUTED_VALUE"""),"Comprehensive")</f>
        <v>Comprehensive</v>
      </c>
      <c r="K4" t="str">
        <f ca="1">IFERROR(__xludf.DUMMYFUNCTION("""COMPUTED_VALUE"""),"Autism and Intellectual Disability")</f>
        <v>Autism and Intellectual Disability</v>
      </c>
    </row>
    <row r="5" spans="1:12" ht="13">
      <c r="A5" t="str">
        <f ca="1">IFERROR(__xludf.DUMMYFUNCTION("""COMPUTED_VALUE"""),"Declined")</f>
        <v>Declined</v>
      </c>
      <c r="B5" s="108">
        <f ca="1">IFERROR(__xludf.DUMMYFUNCTION("""COMPUTED_VALUE"""),43411)</f>
        <v>43411</v>
      </c>
      <c r="C5" s="108">
        <f ca="1">IFERROR(__xludf.DUMMYFUNCTION("""COMPUTED_VALUE"""),43446)</f>
        <v>43446</v>
      </c>
      <c r="D5" s="49" t="str">
        <f ca="1">IFERROR(__xludf.DUMMYFUNCTION("""COMPUTED_VALUE"""),"Yes")</f>
        <v>Yes</v>
      </c>
      <c r="E5" s="49" t="str">
        <f ca="1">IFERROR(__xludf.DUMMYFUNCTION("""COMPUTED_VALUE"""),"Yes")</f>
        <v>Yes</v>
      </c>
      <c r="F5" s="49" t="str">
        <f ca="1">IFERROR(__xludf.DUMMYFUNCTION("""COMPUTED_VALUE"""),"Gene Disease Validity")</f>
        <v>Gene Disease Validity</v>
      </c>
      <c r="G5" t="str">
        <f ca="1">IFERROR(__xludf.DUMMYFUNCTION("""COMPUTED_VALUE"""),"Hereditary Cancer")</f>
        <v>Hereditary Cancer</v>
      </c>
      <c r="H5" t="str">
        <f ca="1">IFERROR(__xludf.DUMMYFUNCTION("""COMPUTED_VALUE"""),"Kalpana Panneerselvam")</f>
        <v>Kalpana Panneerselvam</v>
      </c>
      <c r="I5" t="str">
        <f ca="1">IFERROR(__xludf.DUMMYFUNCTION("""COMPUTED_VALUE"""),"kalpanarpanneerselvam@gmail.com")</f>
        <v>kalpanarpanneerselvam@gmail.com</v>
      </c>
      <c r="J5" s="49" t="str">
        <f ca="1">IFERROR(__xludf.DUMMYFUNCTION("""COMPUTED_VALUE"""),"Comprehensive")</f>
        <v>Comprehensive</v>
      </c>
      <c r="K5" t="str">
        <f ca="1">IFERROR(__xludf.DUMMYFUNCTION("""COMPUTED_VALUE"""),"Mitochondrial diseases ")</f>
        <v xml:space="preserve">Mitochondrial diseases </v>
      </c>
    </row>
    <row r="6" spans="1:12" ht="13">
      <c r="A6" t="str">
        <f ca="1">IFERROR(__xludf.DUMMYFUNCTION("""COMPUTED_VALUE"""),"Contacted")</f>
        <v>Contacted</v>
      </c>
      <c r="B6" t="str">
        <f ca="1">IFERROR(__xludf.DUMMYFUNCTION("""COMPUTED_VALUE"""),"")</f>
        <v/>
      </c>
      <c r="C6" s="106">
        <f ca="1">IFERROR(__xludf.DUMMYFUNCTION("""COMPUTED_VALUE"""),43570)</f>
        <v>43570</v>
      </c>
      <c r="D6" s="49" t="str">
        <f ca="1">IFERROR(__xludf.DUMMYFUNCTION("""COMPUTED_VALUE"""),"Yes")</f>
        <v>Yes</v>
      </c>
      <c r="E6" s="49" t="str">
        <f ca="1">IFERROR(__xludf.DUMMYFUNCTION("""COMPUTED_VALUE"""),"Yes")</f>
        <v>Yes</v>
      </c>
      <c r="F6" s="49" t="str">
        <f ca="1">IFERROR(__xludf.DUMMYFUNCTION("""COMPUTED_VALUE"""),"Gene Disease Validity")</f>
        <v>Gene Disease Validity</v>
      </c>
      <c r="G6" t="str">
        <f ca="1">IFERROR(__xludf.DUMMYFUNCTION("""COMPUTED_VALUE"""),"Dilated Cardiomyopathy")</f>
        <v>Dilated Cardiomyopathy</v>
      </c>
      <c r="H6" t="str">
        <f ca="1">IFERROR(__xludf.DUMMYFUNCTION("""COMPUTED_VALUE"""),"Tomohiko Ai")</f>
        <v>Tomohiko Ai</v>
      </c>
      <c r="I6" t="str">
        <f ca="1">IFERROR(__xludf.DUMMYFUNCTION("""COMPUTED_VALUE"""),"Tomohiko.Ai@osumc.edu")</f>
        <v>Tomohiko.Ai@osumc.edu</v>
      </c>
      <c r="J6" s="49" t="str">
        <f ca="1">IFERROR(__xludf.DUMMYFUNCTION("""COMPUTED_VALUE"""),"Comprehensive")</f>
        <v>Comprehensive</v>
      </c>
      <c r="K6" t="str">
        <f ca="1">IFERROR(__xludf.DUMMYFUNCTION("""COMPUTED_VALUE"""),"Cardiovascular")</f>
        <v>Cardiovascular</v>
      </c>
    </row>
    <row r="7" spans="1:12" ht="13">
      <c r="A7" t="str">
        <f ca="1">IFERROR(__xludf.DUMMYFUNCTION("""COMPUTED_VALUE"""),"Declined")</f>
        <v>Declined</v>
      </c>
      <c r="B7" t="str">
        <f ca="1">IFERROR(__xludf.DUMMYFUNCTION("""COMPUTED_VALUE"""),"")</f>
        <v/>
      </c>
      <c r="C7" s="108">
        <f ca="1">IFERROR(__xludf.DUMMYFUNCTION("""COMPUTED_VALUE"""),43585)</f>
        <v>43585</v>
      </c>
      <c r="D7" s="49" t="str">
        <f ca="1">IFERROR(__xludf.DUMMYFUNCTION("""COMPUTED_VALUE"""),"Yes")</f>
        <v>Yes</v>
      </c>
      <c r="E7" s="49" t="str">
        <f ca="1">IFERROR(__xludf.DUMMYFUNCTION("""COMPUTED_VALUE"""),"Yes")</f>
        <v>Yes</v>
      </c>
      <c r="F7" s="49" t="str">
        <f ca="1">IFERROR(__xludf.DUMMYFUNCTION("""COMPUTED_VALUE"""),"Gene Disease Validity")</f>
        <v>Gene Disease Validity</v>
      </c>
      <c r="G7" t="str">
        <f ca="1">IFERROR(__xludf.DUMMYFUNCTION("""COMPUTED_VALUE"""),"ID/Autism")</f>
        <v>ID/Autism</v>
      </c>
      <c r="H7" t="str">
        <f ca="1">IFERROR(__xludf.DUMMYFUNCTION("""COMPUTED_VALUE"""),"Caitlin Hale")</f>
        <v>Caitlin Hale</v>
      </c>
      <c r="I7" t="str">
        <f ca="1">IFERROR(__xludf.DUMMYFUNCTION("""COMPUTED_VALUE"""),"CHale@stanfordchildrens.org")</f>
        <v>CHale@stanfordchildrens.org</v>
      </c>
      <c r="J7" s="49" t="str">
        <f ca="1">IFERROR(__xludf.DUMMYFUNCTION("""COMPUTED_VALUE"""),"Comprehensive")</f>
        <v>Comprehensive</v>
      </c>
      <c r="K7" t="str">
        <f ca="1">IFERROR(__xludf.DUMMYFUNCTION("""COMPUTED_VALUE"""),"I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8" spans="1:12" ht="13">
      <c r="A8" t="str">
        <f ca="1">IFERROR(__xludf.DUMMYFUNCTION("""COMPUTED_VALUE"""),"Contacted")</f>
        <v>Contacted</v>
      </c>
      <c r="B8" t="str">
        <f ca="1">IFERROR(__xludf.DUMMYFUNCTION("""COMPUTED_VALUE"""),"")</f>
        <v/>
      </c>
      <c r="C8" s="106">
        <f ca="1">IFERROR(__xludf.DUMMYFUNCTION("""COMPUTED_VALUE"""),43585)</f>
        <v>43585</v>
      </c>
      <c r="D8" s="49" t="str">
        <f ca="1">IFERROR(__xludf.DUMMYFUNCTION("""COMPUTED_VALUE"""),"Yes")</f>
        <v>Yes</v>
      </c>
      <c r="E8" s="49" t="str">
        <f ca="1">IFERROR(__xludf.DUMMYFUNCTION("""COMPUTED_VALUE"""),"Yes")</f>
        <v>Yes</v>
      </c>
      <c r="F8" s="49" t="str">
        <f ca="1">IFERROR(__xludf.DUMMYFUNCTION("""COMPUTED_VALUE"""),"Gene Disease Validity")</f>
        <v>Gene Disease Validity</v>
      </c>
      <c r="G8" t="str">
        <f ca="1">IFERROR(__xludf.DUMMYFUNCTION("""COMPUTED_VALUE"""),"Hemo/Thrombo")</f>
        <v>Hemo/Thrombo</v>
      </c>
      <c r="H8" t="str">
        <f ca="1">IFERROR(__xludf.DUMMYFUNCTION("""COMPUTED_VALUE"""),"Ana León")</f>
        <v>Ana León</v>
      </c>
      <c r="I8" t="str">
        <f ca="1">IFERROR(__xludf.DUMMYFUNCTION("""COMPUTED_VALUE"""),"aleon@pros.upv.es")</f>
        <v>aleon@pros.upv.es</v>
      </c>
      <c r="J8" s="49" t="str">
        <f ca="1">IFERROR(__xludf.DUMMYFUNCTION("""COMPUTED_VALUE"""),"Comprehensive")</f>
        <v>Comprehensive</v>
      </c>
      <c r="K8" t="str">
        <f ca="1">IFERROR(__xludf.DUMMYFUNCTION("""COMPUTED_VALUE"""),"")</f>
        <v/>
      </c>
    </row>
    <row r="9" spans="1:12" ht="13">
      <c r="A9" t="str">
        <f ca="1">IFERROR(__xludf.DUMMYFUNCTION("""COMPUTED_VALUE"""),"Assigned")</f>
        <v>Assigned</v>
      </c>
      <c r="B9" s="108">
        <f ca="1">IFERROR(__xludf.DUMMYFUNCTION("""COMPUTED_VALUE"""),43437)</f>
        <v>43437</v>
      </c>
      <c r="C9" s="108">
        <f ca="1">IFERROR(__xludf.DUMMYFUNCTION("""COMPUTED_VALUE"""),43446)</f>
        <v>43446</v>
      </c>
      <c r="D9" s="49" t="str">
        <f ca="1">IFERROR(__xludf.DUMMYFUNCTION("""COMPUTED_VALUE"""),"Yes")</f>
        <v>Yes</v>
      </c>
      <c r="E9" s="49" t="str">
        <f ca="1">IFERROR(__xludf.DUMMYFUNCTION("""COMPUTED_VALUE"""),"Yes")</f>
        <v>Yes</v>
      </c>
      <c r="F9" s="49" t="str">
        <f ca="1">IFERROR(__xludf.DUMMYFUNCTION("""COMPUTED_VALUE"""),"Gene Disease Validity")</f>
        <v>Gene Disease Validity</v>
      </c>
      <c r="G9" t="str">
        <f ca="1">IFERROR(__xludf.DUMMYFUNCTION("""COMPUTED_VALUE"""),"ID Autism")</f>
        <v>ID Autism</v>
      </c>
      <c r="H9" t="str">
        <f ca="1">IFERROR(__xludf.DUMMYFUNCTION("""COMPUTED_VALUE"""),"Catalina Betancur")</f>
        <v>Catalina Betancur</v>
      </c>
      <c r="I9" t="str">
        <f ca="1">IFERROR(__xludf.DUMMYFUNCTION("""COMPUTED_VALUE"""),"Catalina.Betancur@inserm.fr")</f>
        <v>Catalina.Betancur@inserm.fr</v>
      </c>
      <c r="J9" s="49" t="str">
        <f ca="1">IFERROR(__xludf.DUMMYFUNCTION("""COMPUTED_VALUE"""),"Comprehensive")</f>
        <v>Comprehensive</v>
      </c>
      <c r="K9" t="str">
        <f ca="1">IFERROR(__xludf.DUMMYFUNCTION("""COMPUTED_VALUE"""),"ID Autism")</f>
        <v>ID Autism</v>
      </c>
    </row>
    <row r="10" spans="1:12" ht="13">
      <c r="A10" t="str">
        <f ca="1">IFERROR(__xludf.DUMMYFUNCTION("""COMPUTED_VALUE"""),"Assigned")</f>
        <v>Assigned</v>
      </c>
      <c r="B10" s="108">
        <f ca="1">IFERROR(__xludf.DUMMYFUNCTION("""COMPUTED_VALUE"""),43446)</f>
        <v>43446</v>
      </c>
      <c r="C10" s="108">
        <f ca="1">IFERROR(__xludf.DUMMYFUNCTION("""COMPUTED_VALUE"""),43446)</f>
        <v>43446</v>
      </c>
      <c r="D10" s="49" t="str">
        <f ca="1">IFERROR(__xludf.DUMMYFUNCTION("""COMPUTED_VALUE"""),"Yes")</f>
        <v>Yes</v>
      </c>
      <c r="E10" s="49" t="str">
        <f ca="1">IFERROR(__xludf.DUMMYFUNCTION("""COMPUTED_VALUE"""),"Yes")</f>
        <v>Yes</v>
      </c>
      <c r="F10" s="49" t="str">
        <f ca="1">IFERROR(__xludf.DUMMYFUNCTION("""COMPUTED_VALUE"""),"Gene Disease Validity")</f>
        <v>Gene Disease Validity</v>
      </c>
      <c r="G10" t="str">
        <f ca="1">IFERROR(__xludf.DUMMYFUNCTION("""COMPUTED_VALUE"""),"Hereditary Cancer")</f>
        <v>Hereditary Cancer</v>
      </c>
      <c r="H10" t="str">
        <f ca="1">IFERROR(__xludf.DUMMYFUNCTION("""COMPUTED_VALUE"""),"Volkan Okur")</f>
        <v>Volkan Okur</v>
      </c>
      <c r="I10" t="str">
        <f ca="1">IFERROR(__xludf.DUMMYFUNCTION("""COMPUTED_VALUE"""),"vokur@bcm.edu")</f>
        <v>vokur@bcm.edu</v>
      </c>
      <c r="J10" s="49" t="str">
        <f ca="1">IFERROR(__xludf.DUMMYFUNCTION("""COMPUTED_VALUE"""),"Comprehensive")</f>
        <v>Comprehensive</v>
      </c>
      <c r="K10" t="str">
        <f ca="1">IFERROR(__xludf.DUMMYFUNCTION("""COMPUTED_VALUE"""),"any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11" spans="1:12" ht="13">
      <c r="A11" t="str">
        <f ca="1">IFERROR(__xludf.DUMMYFUNCTION("""COMPUTED_VALUE"""),"Assigned")</f>
        <v>Assigned</v>
      </c>
      <c r="B11" s="108">
        <f ca="1">IFERROR(__xludf.DUMMYFUNCTION("""COMPUTED_VALUE"""),43411)</f>
        <v>43411</v>
      </c>
      <c r="C11" s="108">
        <f ca="1">IFERROR(__xludf.DUMMYFUNCTION("""COMPUTED_VALUE"""),43446)</f>
        <v>43446</v>
      </c>
      <c r="D11" s="49" t="str">
        <f ca="1">IFERROR(__xludf.DUMMYFUNCTION("""COMPUTED_VALUE"""),"Yes")</f>
        <v>Yes</v>
      </c>
      <c r="E11" s="49" t="str">
        <f ca="1">IFERROR(__xludf.DUMMYFUNCTION("""COMPUTED_VALUE"""),"Yes")</f>
        <v>Yes</v>
      </c>
      <c r="F11" s="49" t="str">
        <f ca="1">IFERROR(__xludf.DUMMYFUNCTION("""COMPUTED_VALUE"""),"Gene Disease Validity")</f>
        <v>Gene Disease Validity</v>
      </c>
      <c r="G11" t="str">
        <f ca="1">IFERROR(__xludf.DUMMYFUNCTION("""COMPUTED_VALUE"""),"ID/Autism")</f>
        <v>ID/Autism</v>
      </c>
      <c r="H11" t="str">
        <f ca="1">IFERROR(__xludf.DUMMYFUNCTION("""COMPUTED_VALUE"""),"Mythily Ganapathi")</f>
        <v>Mythily Ganapathi</v>
      </c>
      <c r="I11" t="str">
        <f ca="1">IFERROR(__xludf.DUMMYFUNCTION("""COMPUTED_VALUE"""),"mg3560@cumc.columbia.edu")</f>
        <v>mg3560@cumc.columbia.edu</v>
      </c>
      <c r="J11" s="49" t="str">
        <f ca="1">IFERROR(__xludf.DUMMYFUNCTION("""COMPUTED_VALUE"""),"Comprehensive")</f>
        <v>Comprehensive</v>
      </c>
      <c r="K11" t="str">
        <f ca="1">IFERROR(__xludf.DUMMYFUNCTION("""COMPUTED_VALUE"""),"Cardiovascular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12" spans="1:12" ht="13">
      <c r="A12" t="str">
        <f ca="1">IFERROR(__xludf.DUMMYFUNCTION("""COMPUTED_VALUE"""),"Unresponsive")</f>
        <v>Unresponsive</v>
      </c>
      <c r="B12" s="107" t="str">
        <f ca="1">IFERROR(__xludf.DUMMYFUNCTION("""COMPUTED_VALUE"""),"")</f>
        <v/>
      </c>
      <c r="C12" s="106">
        <f ca="1">IFERROR(__xludf.DUMMYFUNCTION("""COMPUTED_VALUE"""),43585)</f>
        <v>43585</v>
      </c>
      <c r="D12" s="49" t="str">
        <f ca="1">IFERROR(__xludf.DUMMYFUNCTION("""COMPUTED_VALUE"""),"Yes")</f>
        <v>Yes</v>
      </c>
      <c r="E12" s="49" t="str">
        <f ca="1">IFERROR(__xludf.DUMMYFUNCTION("""COMPUTED_VALUE"""),"No")</f>
        <v>No</v>
      </c>
      <c r="F12" s="49" t="str">
        <f ca="1">IFERROR(__xludf.DUMMYFUNCTION("""COMPUTED_VALUE"""),"Gene Disease Validity")</f>
        <v>Gene Disease Validity</v>
      </c>
      <c r="G12" t="str">
        <f ca="1">IFERROR(__xludf.DUMMYFUNCTION("""COMPUTED_VALUE"""),"")</f>
        <v/>
      </c>
      <c r="H12" t="str">
        <f ca="1">IFERROR(__xludf.DUMMYFUNCTION("""COMPUTED_VALUE"""),"Leslie Oldfield")</f>
        <v>Leslie Oldfield</v>
      </c>
      <c r="I12" t="str">
        <f ca="1">IFERROR(__xludf.DUMMYFUNCTION("""COMPUTED_VALUE"""),"leslie.oldfield@gmail.com")</f>
        <v>leslie.oldfield@gmail.com</v>
      </c>
      <c r="J12" s="49" t="str">
        <f ca="1">IFERROR(__xludf.DUMMYFUNCTION("""COMPUTED_VALUE"""),"Comprehensive")</f>
        <v>Comprehensive</v>
      </c>
      <c r="K12" t="str">
        <f ca="1">IFERROR(__xludf.DUMMYFUNCTION("""COMPUTED_VALUE"""),"Breast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13" spans="1:12" ht="13">
      <c r="A13" t="str">
        <f ca="1">IFERROR(__xludf.DUMMYFUNCTION("""COMPUTED_VALUE"""),"Assigned")</f>
        <v>Assigned</v>
      </c>
      <c r="B13" s="107">
        <f ca="1">IFERROR(__xludf.DUMMYFUNCTION("""COMPUTED_VALUE"""),43411)</f>
        <v>43411</v>
      </c>
      <c r="C13" s="108">
        <f ca="1">IFERROR(__xludf.DUMMYFUNCTION("""COMPUTED_VALUE"""),43446)</f>
        <v>43446</v>
      </c>
      <c r="D13" s="49" t="str">
        <f ca="1">IFERROR(__xludf.DUMMYFUNCTION("""COMPUTED_VALUE"""),"Yes")</f>
        <v>Yes</v>
      </c>
      <c r="E13" s="49" t="str">
        <f ca="1">IFERROR(__xludf.DUMMYFUNCTION("""COMPUTED_VALUE"""),"Yes")</f>
        <v>Yes</v>
      </c>
      <c r="F13" s="49" t="str">
        <f ca="1">IFERROR(__xludf.DUMMYFUNCTION("""COMPUTED_VALUE"""),"Gene Disease Validity")</f>
        <v>Gene Disease Validity</v>
      </c>
      <c r="G13" t="str">
        <f ca="1">IFERROR(__xludf.DUMMYFUNCTION("""COMPUTED_VALUE"""),"Mitochondrial GCEP")</f>
        <v>Mitochondrial GCEP</v>
      </c>
      <c r="H13" t="str">
        <f ca="1">IFERROR(__xludf.DUMMYFUNCTION("""COMPUTED_VALUE"""),"John Shoffner")</f>
        <v>John Shoffner</v>
      </c>
      <c r="I13" t="str">
        <f ca="1">IFERROR(__xludf.DUMMYFUNCTION("""COMPUTED_VALUE"""),"jmsiv9903@icloud.com")</f>
        <v>jmsiv9903@icloud.com</v>
      </c>
      <c r="J13" s="49" t="str">
        <f ca="1">IFERROR(__xludf.DUMMYFUNCTION("""COMPUTED_VALUE"""),"Comprehensive")</f>
        <v>Comprehensive</v>
      </c>
      <c r="K13" t="str">
        <f ca="1">IFERROR(__xludf.DUMMYFUNCTION("""COMPUTED_VALUE"""),"Mitochondrial disease gene and variant expert curation panel; Dilated cardiomyopathy; Fatty acid oxidation; Neuromuscular disease")</f>
        <v>Mitochondrial disease gene and variant expert curation panel; Dilated cardiomyopathy; Fatty acid oxidation; Neuromuscular disease</v>
      </c>
      <c r="L13" s="109" t="s">
        <v>348</v>
      </c>
    </row>
    <row r="14" spans="1:12" ht="13">
      <c r="A14" t="str">
        <f ca="1">IFERROR(__xludf.DUMMYFUNCTION("""COMPUTED_VALUE"""),"Assigned")</f>
        <v>Assigned</v>
      </c>
      <c r="B14" s="107">
        <f ca="1">IFERROR(__xludf.DUMMYFUNCTION("""COMPUTED_VALUE"""),43411)</f>
        <v>43411</v>
      </c>
      <c r="C14" s="108">
        <f ca="1">IFERROR(__xludf.DUMMYFUNCTION("""COMPUTED_VALUE"""),43446)</f>
        <v>43446</v>
      </c>
      <c r="D14" s="49" t="str">
        <f ca="1">IFERROR(__xludf.DUMMYFUNCTION("""COMPUTED_VALUE"""),"Yes")</f>
        <v>Yes</v>
      </c>
      <c r="E14" s="49" t="str">
        <f ca="1">IFERROR(__xludf.DUMMYFUNCTION("""COMPUTED_VALUE"""),"Yes")</f>
        <v>Yes</v>
      </c>
      <c r="F14" s="49" t="str">
        <f ca="1">IFERROR(__xludf.DUMMYFUNCTION("""COMPUTED_VALUE"""),"Gene Disease Validity")</f>
        <v>Gene Disease Validity</v>
      </c>
      <c r="G14" t="str">
        <f ca="1">IFERROR(__xludf.DUMMYFUNCTION("""COMPUTED_VALUE"""),"Mitochondrial GCEP")</f>
        <v>Mitochondrial GCEP</v>
      </c>
      <c r="H14" t="str">
        <f ca="1">IFERROR(__xludf.DUMMYFUNCTION("""COMPUTED_VALUE"""),"Isabelle Thiffault")</f>
        <v>Isabelle Thiffault</v>
      </c>
      <c r="I14" t="str">
        <f ca="1">IFERROR(__xludf.DUMMYFUNCTION("""COMPUTED_VALUE"""),"ithiffault@cmh.edu")</f>
        <v>ithiffault@cmh.edu</v>
      </c>
      <c r="J14" s="49" t="str">
        <f ca="1">IFERROR(__xludf.DUMMYFUNCTION("""COMPUTED_VALUE"""),"Comprehensive")</f>
        <v>Comprehensive</v>
      </c>
      <c r="K14" t="str">
        <f ca="1">IFERROR(__xludf.DUMMYFUNCTION("""COMPUTED_VALUE"""),"Mitochondrial or ASD/ID")</f>
        <v>Mitochondrial or ASD/ID</v>
      </c>
    </row>
    <row r="15" spans="1:12" ht="13">
      <c r="A15" t="str">
        <f ca="1">IFERROR(__xludf.DUMMYFUNCTION("""COMPUTED_VALUE"""),"Assigned")</f>
        <v>Assigned</v>
      </c>
      <c r="B15" t="str">
        <f ca="1">IFERROR(__xludf.DUMMYFUNCTION("""COMPUTED_VALUE"""),"unknown")</f>
        <v>unknown</v>
      </c>
      <c r="C15" t="str">
        <f ca="1">IFERROR(__xludf.DUMMYFUNCTION("""COMPUTED_VALUE"""),"Trained before C3")</f>
        <v>Trained before C3</v>
      </c>
      <c r="D15" s="49" t="str">
        <f ca="1">IFERROR(__xludf.DUMMYFUNCTION("""COMPUTED_VALUE"""),"No")</f>
        <v>No</v>
      </c>
      <c r="E15" s="49" t="str">
        <f ca="1">IFERROR(__xludf.DUMMYFUNCTION("""COMPUTED_VALUE"""),"No")</f>
        <v>No</v>
      </c>
      <c r="F15" s="49" t="str">
        <f ca="1">IFERROR(__xludf.DUMMYFUNCTION("""COMPUTED_VALUE"""),"Gene Disease Validity")</f>
        <v>Gene Disease Validity</v>
      </c>
      <c r="G15" t="str">
        <f ca="1">IFERROR(__xludf.DUMMYFUNCTION("""COMPUTED_VALUE"""),"Hereditary Cancer")</f>
        <v>Hereditary Cancer</v>
      </c>
      <c r="H15" t="str">
        <f ca="1">IFERROR(__xludf.DUMMYFUNCTION("""COMPUTED_VALUE"""),"Ye Cao")</f>
        <v>Ye Cao</v>
      </c>
      <c r="I15" t="str">
        <f ca="1">IFERROR(__xludf.DUMMYFUNCTION("""COMPUTED_VALUE"""),"ye.cao@bcm.edu")</f>
        <v>ye.cao@bcm.edu</v>
      </c>
      <c r="J15" s="49" t="str">
        <f ca="1">IFERROR(__xludf.DUMMYFUNCTION("""COMPUTED_VALUE"""),"Comprehensive")</f>
        <v>Comprehensive</v>
      </c>
      <c r="K15" t="str">
        <f ca="1">IFERROR(__xludf.DUMMYFUNCTION("""COMPUTED_VALUE"""),"Hereditary Cancer Gene Curation Expert Panel")</f>
        <v>Hereditary Cancer Gene Curation Expert Panel</v>
      </c>
    </row>
    <row r="16" spans="1:12" ht="13">
      <c r="A16" t="str">
        <f ca="1">IFERROR(__xludf.DUMMYFUNCTION("""COMPUTED_VALUE"""),"Unresponsive")</f>
        <v>Unresponsive</v>
      </c>
      <c r="B16" s="107">
        <f ca="1">IFERROR(__xludf.DUMMYFUNCTION("""COMPUTED_VALUE"""),43411)</f>
        <v>43411</v>
      </c>
      <c r="C16" s="108">
        <f ca="1">IFERROR(__xludf.DUMMYFUNCTION("""COMPUTED_VALUE"""),43446)</f>
        <v>43446</v>
      </c>
      <c r="D16" s="49" t="str">
        <f ca="1">IFERROR(__xludf.DUMMYFUNCTION("""COMPUTED_VALUE"""),"No")</f>
        <v>No</v>
      </c>
      <c r="E16" s="49" t="str">
        <f ca="1">IFERROR(__xludf.DUMMYFUNCTION("""COMPUTED_VALUE"""),"No")</f>
        <v>No</v>
      </c>
      <c r="F16" s="49" t="str">
        <f ca="1">IFERROR(__xludf.DUMMYFUNCTION("""COMPUTED_VALUE"""),"Gene Disease Validity")</f>
        <v>Gene Disease Validity</v>
      </c>
      <c r="G16" t="str">
        <f ca="1">IFERROR(__xludf.DUMMYFUNCTION("""COMPUTED_VALUE"""),"")</f>
        <v/>
      </c>
      <c r="H16" t="str">
        <f ca="1">IFERROR(__xludf.DUMMYFUNCTION("""COMPUTED_VALUE"""),"Samar Khalefa")</f>
        <v>Samar Khalefa</v>
      </c>
      <c r="I16" t="str">
        <f ca="1">IFERROR(__xludf.DUMMYFUNCTION("""COMPUTED_VALUE"""),"samarkhalifa@hotmail.com")</f>
        <v>samarkhalifa@hotmail.com</v>
      </c>
      <c r="J16" s="49" t="str">
        <f ca="1">IFERROR(__xludf.DUMMYFUNCTION("""COMPUTED_VALUE"""),"Comprehensive")</f>
        <v>Comprehensive</v>
      </c>
      <c r="K16" t="str">
        <f ca="1">IFERROR(__xludf.DUMMYFUNCTION("""COMPUTED_VALUE"""),"Autism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17" spans="1:11" ht="13">
      <c r="A17" t="str">
        <f ca="1">IFERROR(__xludf.DUMMYFUNCTION("""COMPUTED_VALUE"""),"Assigned")</f>
        <v>Assigned</v>
      </c>
      <c r="B17" s="107">
        <f ca="1">IFERROR(__xludf.DUMMYFUNCTION("""COMPUTED_VALUE"""),43350)</f>
        <v>43350</v>
      </c>
      <c r="C17" s="108">
        <f ca="1">IFERROR(__xludf.DUMMYFUNCTION("""COMPUTED_VALUE"""),43446)</f>
        <v>43446</v>
      </c>
      <c r="D17" s="49" t="str">
        <f ca="1">IFERROR(__xludf.DUMMYFUNCTION("""COMPUTED_VALUE"""),"Yes")</f>
        <v>Yes</v>
      </c>
      <c r="E17" s="49" t="str">
        <f ca="1">IFERROR(__xludf.DUMMYFUNCTION("""COMPUTED_VALUE"""),"Yes")</f>
        <v>Yes</v>
      </c>
      <c r="F17" s="49" t="str">
        <f ca="1">IFERROR(__xludf.DUMMYFUNCTION("""COMPUTED_VALUE"""),"Gene Disease Validity")</f>
        <v>Gene Disease Validity</v>
      </c>
      <c r="G17" t="str">
        <f ca="1">IFERROR(__xludf.DUMMYFUNCTION("""COMPUTED_VALUE"""),"Epilepsy GCEP")</f>
        <v>Epilepsy GCEP</v>
      </c>
      <c r="H17" t="str">
        <f ca="1">IFERROR(__xludf.DUMMYFUNCTION("""COMPUTED_VALUE"""),"Colin Ellis")</f>
        <v>Colin Ellis</v>
      </c>
      <c r="I17" t="str">
        <f ca="1">IFERROR(__xludf.DUMMYFUNCTION("""COMPUTED_VALUE"""),"colin.ellis@uphs.upenn.edu")</f>
        <v>colin.ellis@uphs.upenn.edu</v>
      </c>
      <c r="J17" s="49" t="str">
        <f ca="1">IFERROR(__xludf.DUMMYFUNCTION("""COMPUTED_VALUE"""),"Comprehensive")</f>
        <v>Comprehensive</v>
      </c>
      <c r="K17" t="str">
        <f ca="1">IFERROR(__xludf.DUMMYFUNCTION("""COMPUTED_VALUE"""),"Epilepsy WG")</f>
        <v>Epilepsy WG</v>
      </c>
    </row>
    <row r="18" spans="1:11" ht="13">
      <c r="A18" t="str">
        <f ca="1">IFERROR(__xludf.DUMMYFUNCTION("""COMPUTED_VALUE"""),"Declined")</f>
        <v>Declined</v>
      </c>
      <c r="B18" s="107">
        <f ca="1">IFERROR(__xludf.DUMMYFUNCTION("""COMPUTED_VALUE"""),43411)</f>
        <v>43411</v>
      </c>
      <c r="C18" s="108">
        <f ca="1">IFERROR(__xludf.DUMMYFUNCTION("""COMPUTED_VALUE"""),43446)</f>
        <v>43446</v>
      </c>
      <c r="D18" s="49" t="str">
        <f ca="1">IFERROR(__xludf.DUMMYFUNCTION("""COMPUTED_VALUE"""),"Yes")</f>
        <v>Yes</v>
      </c>
      <c r="E18" s="49" t="str">
        <f ca="1">IFERROR(__xludf.DUMMYFUNCTION("""COMPUTED_VALUE"""),"Yes")</f>
        <v>Yes</v>
      </c>
      <c r="F18" s="49" t="str">
        <f ca="1">IFERROR(__xludf.DUMMYFUNCTION("""COMPUTED_VALUE"""),"Gene Disease Validity")</f>
        <v>Gene Disease Validity</v>
      </c>
      <c r="G18" t="str">
        <f ca="1">IFERROR(__xludf.DUMMYFUNCTION("""COMPUTED_VALUE"""),"Hereditary Cancer")</f>
        <v>Hereditary Cancer</v>
      </c>
      <c r="H18" t="str">
        <f ca="1">IFERROR(__xludf.DUMMYFUNCTION("""COMPUTED_VALUE"""),"Mansour Zamanpoor")</f>
        <v>Mansour Zamanpoor</v>
      </c>
      <c r="I18" t="str">
        <f ca="1">IFERROR(__xludf.DUMMYFUNCTION("""COMPUTED_VALUE"""),"mansour.zamanpoor@ccdhb.org.nz")</f>
        <v>mansour.zamanpoor@ccdhb.org.nz</v>
      </c>
      <c r="J18" s="49" t="str">
        <f ca="1">IFERROR(__xludf.DUMMYFUNCTION("""COMPUTED_VALUE"""),"Comprehensive")</f>
        <v>Comprehensive</v>
      </c>
      <c r="K18" t="str">
        <f ca="1">IFERROR(__xludf.DUMMYFUNCTION("""COMPUTED_VALUE"""),"Hereditary cancer and neuro-developmental disorders")</f>
        <v>Hereditary cancer and neuro-developmental disorders</v>
      </c>
    </row>
    <row r="19" spans="1:11" ht="13">
      <c r="A19" t="str">
        <f ca="1">IFERROR(__xludf.DUMMYFUNCTION("""COMPUTED_VALUE"""),"Assigned")</f>
        <v>Assigned</v>
      </c>
      <c r="B19" s="107">
        <f ca="1">IFERROR(__xludf.DUMMYFUNCTION("""COMPUTED_VALUE"""),43411)</f>
        <v>43411</v>
      </c>
      <c r="C19" s="108">
        <f ca="1">IFERROR(__xludf.DUMMYFUNCTION("""COMPUTED_VALUE"""),43446)</f>
        <v>43446</v>
      </c>
      <c r="D19" s="49" t="str">
        <f ca="1">IFERROR(__xludf.DUMMYFUNCTION("""COMPUTED_VALUE"""),"Yes")</f>
        <v>Yes</v>
      </c>
      <c r="E19" s="49" t="str">
        <f ca="1">IFERROR(__xludf.DUMMYFUNCTION("""COMPUTED_VALUE"""),"Yes")</f>
        <v>Yes</v>
      </c>
      <c r="F19" s="49" t="str">
        <f ca="1">IFERROR(__xludf.DUMMYFUNCTION("""COMPUTED_VALUE"""),"Gene Disease Validity")</f>
        <v>Gene Disease Validity</v>
      </c>
      <c r="G19" t="str">
        <f ca="1">IFERROR(__xludf.DUMMYFUNCTION("""COMPUTED_VALUE"""),"Epilepsy ")</f>
        <v xml:space="preserve">Epilepsy </v>
      </c>
      <c r="H19" t="str">
        <f ca="1">IFERROR(__xludf.DUMMYFUNCTION("""COMPUTED_VALUE"""),"Benjamin Kang")</f>
        <v>Benjamin Kang</v>
      </c>
      <c r="I19" t="str">
        <f ca="1">IFERROR(__xludf.DUMMYFUNCTION("""COMPUTED_VALUE"""),"bekang@emory.edu")</f>
        <v>bekang@emory.edu</v>
      </c>
      <c r="J19" s="49" t="str">
        <f ca="1">IFERROR(__xludf.DUMMYFUNCTION("""COMPUTED_VALUE"""),"Comprehensive")</f>
        <v>Comprehensive</v>
      </c>
      <c r="K19" t="str">
        <f ca="1">IFERROR(__xludf.DUMMYFUNCTION("""COMPUTED_VALUE"""),"I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20" spans="1:11" ht="13">
      <c r="A20" t="str">
        <f ca="1">IFERROR(__xludf.DUMMYFUNCTION("""COMPUTED_VALUE"""),"Contacted")</f>
        <v>Contacted</v>
      </c>
      <c r="B20" t="str">
        <f ca="1">IFERROR(__xludf.DUMMYFUNCTION("""COMPUTED_VALUE"""),"")</f>
        <v/>
      </c>
      <c r="C20" s="108">
        <f ca="1">IFERROR(__xludf.DUMMYFUNCTION("""COMPUTED_VALUE"""),43585)</f>
        <v>43585</v>
      </c>
      <c r="D20" s="49" t="str">
        <f ca="1">IFERROR(__xludf.DUMMYFUNCTION("""COMPUTED_VALUE"""),"Yes")</f>
        <v>Yes</v>
      </c>
      <c r="E20" s="49" t="str">
        <f ca="1">IFERROR(__xludf.DUMMYFUNCTION("""COMPUTED_VALUE"""),"Yes")</f>
        <v>Yes</v>
      </c>
      <c r="F20" s="49" t="str">
        <f ca="1">IFERROR(__xludf.DUMMYFUNCTION("""COMPUTED_VALUE"""),"Gene Disease Validity")</f>
        <v>Gene Disease Validity</v>
      </c>
      <c r="G20" t="str">
        <f ca="1">IFERROR(__xludf.DUMMYFUNCTION("""COMPUTED_VALUE"""),"Aminoacidopathy")</f>
        <v>Aminoacidopathy</v>
      </c>
      <c r="H20" t="str">
        <f ca="1">IFERROR(__xludf.DUMMYFUNCTION("""COMPUTED_VALUE"""),"Ljubica Caldovic")</f>
        <v>Ljubica Caldovic</v>
      </c>
      <c r="I20" t="str">
        <f ca="1">IFERROR(__xludf.DUMMYFUNCTION("""COMPUTED_VALUE"""),"lcaldovic@childrensnational.org")</f>
        <v>lcaldovic@childrensnational.org</v>
      </c>
      <c r="J20" s="49" t="str">
        <f ca="1">IFERROR(__xludf.DUMMYFUNCTION("""COMPUTED_VALUE"""),"Comprehensive")</f>
        <v>Comprehensive</v>
      </c>
      <c r="K20" t="str">
        <f ca="1">IFERROR(__xludf.DUMMYFUNCTION("""COMPUTED_VALUE"""),"Aminoacidopathy working group/expert panel; Metabolism expert panel")</f>
        <v>Aminoacidopathy working group/expert panel; Metabolism expert panel</v>
      </c>
    </row>
    <row r="21" spans="1:11" ht="13">
      <c r="A21" t="str">
        <f ca="1">IFERROR(__xludf.DUMMYFUNCTION("""COMPUTED_VALUE"""),"Assigned")</f>
        <v>Assigned</v>
      </c>
      <c r="B21" s="107">
        <f ca="1">IFERROR(__xludf.DUMMYFUNCTION("""COMPUTED_VALUE"""),43347)</f>
        <v>43347</v>
      </c>
      <c r="C21" s="108">
        <f ca="1">IFERROR(__xludf.DUMMYFUNCTION("""COMPUTED_VALUE"""),43446)</f>
        <v>43446</v>
      </c>
      <c r="D21" s="49" t="str">
        <f ca="1">IFERROR(__xludf.DUMMYFUNCTION("""COMPUTED_VALUE"""),"No")</f>
        <v>No</v>
      </c>
      <c r="E21" s="49" t="str">
        <f ca="1">IFERROR(__xludf.DUMMYFUNCTION("""COMPUTED_VALUE"""),"No")</f>
        <v>No</v>
      </c>
      <c r="F21" s="49" t="str">
        <f ca="1">IFERROR(__xludf.DUMMYFUNCTION("""COMPUTED_VALUE"""),"Gene Disease Validity")</f>
        <v>Gene Disease Validity</v>
      </c>
      <c r="G21" t="str">
        <f ca="1">IFERROR(__xludf.DUMMYFUNCTION("""COMPUTED_VALUE"""),"Epilepsy ")</f>
        <v xml:space="preserve">Epilepsy </v>
      </c>
      <c r="H21" t="str">
        <f ca="1">IFERROR(__xludf.DUMMYFUNCTION("""COMPUTED_VALUE"""),"John Millichap")</f>
        <v>John Millichap</v>
      </c>
      <c r="I21" t="str">
        <f ca="1">IFERROR(__xludf.DUMMYFUNCTION("""COMPUTED_VALUE"""),"jmillichap@luriechildrens.org")</f>
        <v>jmillichap@luriechildrens.org</v>
      </c>
      <c r="J21" s="49" t="str">
        <f ca="1">IFERROR(__xludf.DUMMYFUNCTION("""COMPUTED_VALUE"""),"Comprehensive")</f>
        <v>Comprehensive</v>
      </c>
      <c r="K21" t="str">
        <f ca="1">IFERROR(__xludf.DUMMYFUNCTION("""COMPUTED_VALUE"""),"Epilepsy WG/EP")</f>
        <v>Epilepsy WG/EP</v>
      </c>
    </row>
    <row r="22" spans="1:11" ht="21" customHeight="1">
      <c r="A22" t="str">
        <f ca="1">IFERROR(__xludf.DUMMYFUNCTION("""COMPUTED_VALUE"""),"Contacted")</f>
        <v>Contacted</v>
      </c>
      <c r="B22" s="107">
        <f ca="1">IFERROR(__xludf.DUMMYFUNCTION("""COMPUTED_VALUE"""),43411)</f>
        <v>43411</v>
      </c>
      <c r="C22" s="108">
        <f ca="1">IFERROR(__xludf.DUMMYFUNCTION("""COMPUTED_VALUE"""),43446)</f>
        <v>43446</v>
      </c>
      <c r="D22" s="49" t="str">
        <f ca="1">IFERROR(__xludf.DUMMYFUNCTION("""COMPUTED_VALUE"""),"No")</f>
        <v>No</v>
      </c>
      <c r="E22" s="49" t="str">
        <f ca="1">IFERROR(__xludf.DUMMYFUNCTION("""COMPUTED_VALUE"""),"No")</f>
        <v>No</v>
      </c>
      <c r="F22" s="49" t="str">
        <f ca="1">IFERROR(__xludf.DUMMYFUNCTION("""COMPUTED_VALUE"""),"NA")</f>
        <v>NA</v>
      </c>
      <c r="G22" t="str">
        <f ca="1">IFERROR(__xludf.DUMMYFUNCTION("""COMPUTED_VALUE"""),"")</f>
        <v/>
      </c>
      <c r="H22" t="str">
        <f ca="1">IFERROR(__xludf.DUMMYFUNCTION("""COMPUTED_VALUE"""),"Vladimir Lialine")</f>
        <v>Vladimir Lialine</v>
      </c>
      <c r="I22" t="str">
        <f ca="1">IFERROR(__xludf.DUMMYFUNCTION("""COMPUTED_VALUE"""),"vlad@twixsoft.com")</f>
        <v>vlad@twixsoft.com</v>
      </c>
      <c r="J22" s="49" t="str">
        <f ca="1">IFERROR(__xludf.DUMMYFUNCTION("""COMPUTED_VALUE"""),"Comprehensive")</f>
        <v>Comprehensive</v>
      </c>
      <c r="K22" t="str">
        <f ca="1">IFERROR(__xludf.DUMMYFUNCTION("""COMPUTED_VALUE"""),"No")</f>
        <v>No</v>
      </c>
    </row>
    <row r="23" spans="1:11" ht="13">
      <c r="A23" t="str">
        <f ca="1">IFERROR(__xludf.DUMMYFUNCTION("""COMPUTED_VALUE"""),"Contacted")</f>
        <v>Contacted</v>
      </c>
      <c r="B23" s="108">
        <f ca="1">IFERROR(__xludf.DUMMYFUNCTION("""COMPUTED_VALUE"""),43430)</f>
        <v>43430</v>
      </c>
      <c r="C23" s="108">
        <f ca="1">IFERROR(__xludf.DUMMYFUNCTION("""COMPUTED_VALUE"""),43446)</f>
        <v>43446</v>
      </c>
      <c r="D23" s="49" t="str">
        <f ca="1">IFERROR(__xludf.DUMMYFUNCTION("""COMPUTED_VALUE"""),"Yes")</f>
        <v>Yes</v>
      </c>
      <c r="E23" s="49" t="str">
        <f ca="1">IFERROR(__xludf.DUMMYFUNCTION("""COMPUTED_VALUE"""),"No")</f>
        <v>No</v>
      </c>
      <c r="F23" s="49" t="str">
        <f ca="1">IFERROR(__xludf.DUMMYFUNCTION("""COMPUTED_VALUE"""),"Gene Disease Validity")</f>
        <v>Gene Disease Validity</v>
      </c>
      <c r="G23" t="str">
        <f ca="1">IFERROR(__xludf.DUMMYFUNCTION("""COMPUTED_VALUE"""),"")</f>
        <v/>
      </c>
      <c r="H23" t="str">
        <f ca="1">IFERROR(__xludf.DUMMYFUNCTION("""COMPUTED_VALUE"""),"Vaidehi Jobanputra")</f>
        <v>Vaidehi Jobanputra</v>
      </c>
      <c r="I23" t="str">
        <f ca="1">IFERROR(__xludf.DUMMYFUNCTION("""COMPUTED_VALUE"""),"vjobanputra@nygenome.org")</f>
        <v>vjobanputra@nygenome.org</v>
      </c>
      <c r="J23" s="49" t="str">
        <f ca="1">IFERROR(__xludf.DUMMYFUNCTION("""COMPUTED_VALUE"""),"Comprehensive")</f>
        <v>Comprehensive</v>
      </c>
      <c r="K23" t="str">
        <f ca="1">IFERROR(__xludf.DUMMYFUNCTION("""COMPUTED_VALUE"""),"No")</f>
        <v>No</v>
      </c>
    </row>
    <row r="24" spans="1:11" ht="13">
      <c r="A24" t="str">
        <f ca="1">IFERROR(__xludf.DUMMYFUNCTION("""COMPUTED_VALUE"""),"Contacted")</f>
        <v>Contacted</v>
      </c>
      <c r="B24" t="str">
        <f ca="1">IFERROR(__xludf.DUMMYFUNCTION("""COMPUTED_VALUE"""),"11/07/18
REcontacted June 2019 and responsive, changed status")</f>
        <v>11/07/18
REcontacted June 2019 and responsive, changed status</v>
      </c>
      <c r="C24" s="108">
        <f ca="1">IFERROR(__xludf.DUMMYFUNCTION("""COMPUTED_VALUE"""),43446)</f>
        <v>43446</v>
      </c>
      <c r="D24" s="49" t="str">
        <f ca="1">IFERROR(__xludf.DUMMYFUNCTION("""COMPUTED_VALUE"""),"No")</f>
        <v>No</v>
      </c>
      <c r="E24" s="49" t="str">
        <f ca="1">IFERROR(__xludf.DUMMYFUNCTION("""COMPUTED_VALUE"""),"No")</f>
        <v>No</v>
      </c>
      <c r="F24" s="49" t="str">
        <f ca="1">IFERROR(__xludf.DUMMYFUNCTION("""COMPUTED_VALUE"""),"Gene Disease Validity")</f>
        <v>Gene Disease Validity</v>
      </c>
      <c r="G24" t="str">
        <f ca="1">IFERROR(__xludf.DUMMYFUNCTION("""COMPUTED_VALUE"""),"")</f>
        <v/>
      </c>
      <c r="H24" t="str">
        <f ca="1">IFERROR(__xludf.DUMMYFUNCTION("""COMPUTED_VALUE"""),"Khushnooda Ramzan")</f>
        <v>Khushnooda Ramzan</v>
      </c>
      <c r="I24" t="str">
        <f ca="1">IFERROR(__xludf.DUMMYFUNCTION("""COMPUTED_VALUE"""),"khushnooda@gmail.com")</f>
        <v>khushnooda@gmail.com</v>
      </c>
      <c r="J24" s="49" t="str">
        <f ca="1">IFERROR(__xludf.DUMMYFUNCTION("""COMPUTED_VALUE"""),"Comprehensive")</f>
        <v>Comprehensive</v>
      </c>
      <c r="K24" t="str">
        <f ca="1">IFERROR(__xludf.DUMMYFUNCTION("""COMPUTED_VALUE"""),"Experience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25" spans="1:11" ht="13">
      <c r="A25" t="str">
        <f ca="1">IFERROR(__xludf.DUMMYFUNCTION("""COMPUTED_VALUE"""),"Contacted")</f>
        <v>Contacted</v>
      </c>
      <c r="B25" s="108" t="str">
        <f ca="1">IFERROR(__xludf.DUMMYFUNCTION("""COMPUTED_VALUE"""),"")</f>
        <v/>
      </c>
      <c r="C25" s="106">
        <f ca="1">IFERROR(__xludf.DUMMYFUNCTION("""COMPUTED_VALUE"""),43585)</f>
        <v>43585</v>
      </c>
      <c r="D25" s="49" t="str">
        <f ca="1">IFERROR(__xludf.DUMMYFUNCTION("""COMPUTED_VALUE"""),"Yes")</f>
        <v>Yes</v>
      </c>
      <c r="E25" s="49" t="str">
        <f ca="1">IFERROR(__xludf.DUMMYFUNCTION("""COMPUTED_VALUE"""),"No")</f>
        <v>No</v>
      </c>
      <c r="F25" s="49" t="str">
        <f ca="1">IFERROR(__xludf.DUMMYFUNCTION("""COMPUTED_VALUE"""),"Gene Disease Validity")</f>
        <v>Gene Disease Validity</v>
      </c>
      <c r="G25" t="str">
        <f ca="1">IFERROR(__xludf.DUMMYFUNCTION("""COMPUTED_VALUE"""),"Epilepsy")</f>
        <v>Epilepsy</v>
      </c>
      <c r="H25" t="str">
        <f ca="1">IFERROR(__xludf.DUMMYFUNCTION("""COMPUTED_VALUE"""),"Erik Thorland")</f>
        <v>Erik Thorland</v>
      </c>
      <c r="I25" t="str">
        <f ca="1">IFERROR(__xludf.DUMMYFUNCTION("""COMPUTED_VALUE"""),"thorland.erik@mayo.edu")</f>
        <v>thorland.erik@mayo.edu</v>
      </c>
      <c r="J25" s="49" t="str">
        <f ca="1">IFERROR(__xludf.DUMMYFUNCTION("""COMPUTED_VALUE"""),"Comprehensive")</f>
        <v>Comprehensive</v>
      </c>
      <c r="K25" t="str">
        <f ca="1">IFERROR(__xludf.DUMMYFUNCTION("""COMPUTED_VALUE"""),"I'm specifically interested in the epilespy gene curation group.  I'm already involved in the dosage sensitivity working group.")</f>
        <v>I'm specifically interested in the epilespy gene curation group.  I'm already involved in the dosage sensitivity working group.</v>
      </c>
    </row>
    <row r="26" spans="1:11" ht="13">
      <c r="A26" t="str">
        <f ca="1">IFERROR(__xludf.DUMMYFUNCTION("""COMPUTED_VALUE"""),"Assigned")</f>
        <v>Assigned</v>
      </c>
      <c r="B26" s="107">
        <f ca="1">IFERROR(__xludf.DUMMYFUNCTION("""COMPUTED_VALUE"""),43437)</f>
        <v>43437</v>
      </c>
      <c r="C26" s="108">
        <f ca="1">IFERROR(__xludf.DUMMYFUNCTION("""COMPUTED_VALUE"""),43446)</f>
        <v>43446</v>
      </c>
      <c r="D26" s="49" t="str">
        <f ca="1">IFERROR(__xludf.DUMMYFUNCTION("""COMPUTED_VALUE"""),"Yes")</f>
        <v>Yes</v>
      </c>
      <c r="E26" s="49" t="str">
        <f ca="1">IFERROR(__xludf.DUMMYFUNCTION("""COMPUTED_VALUE"""),"Yes")</f>
        <v>Yes</v>
      </c>
      <c r="F26" s="49" t="str">
        <f ca="1">IFERROR(__xludf.DUMMYFUNCTION("""COMPUTED_VALUE"""),"Gene Disease Validity")</f>
        <v>Gene Disease Validity</v>
      </c>
      <c r="G26" t="str">
        <f ca="1">IFERROR(__xludf.DUMMYFUNCTION("""COMPUTED_VALUE"""),"ID Autism")</f>
        <v>ID Autism</v>
      </c>
      <c r="H26" t="str">
        <f ca="1">IFERROR(__xludf.DUMMYFUNCTION("""COMPUTED_VALUE"""),"Olivia Rennie")</f>
        <v>Olivia Rennie</v>
      </c>
      <c r="I26" t="str">
        <f ca="1">IFERROR(__xludf.DUMMYFUNCTION("""COMPUTED_VALUE"""),"olivia.rennie@sickkids.ca")</f>
        <v>olivia.rennie@sickkids.ca</v>
      </c>
      <c r="J26" s="49" t="str">
        <f ca="1">IFERROR(__xludf.DUMMYFUNCTION("""COMPUTED_VALUE"""),"Comprehensive")</f>
        <v>Comprehensive</v>
      </c>
      <c r="K26" t="str">
        <f ca="1">IFERROR(__xludf.DUMMYFUNCTION("""COMPUTED_VALUE"""),"ID/Autism Gene Curation Expert Panel")</f>
        <v>ID/Autism Gene Curation Expert Panel</v>
      </c>
    </row>
    <row r="27" spans="1:11" ht="13">
      <c r="A27" t="str">
        <f ca="1">IFERROR(__xludf.DUMMYFUNCTION("""COMPUTED_VALUE"""),"Declined")</f>
        <v>Declined</v>
      </c>
      <c r="B27" s="107">
        <f ca="1">IFERROR(__xludf.DUMMYFUNCTION("""COMPUTED_VALUE"""),43437)</f>
        <v>43437</v>
      </c>
      <c r="C27" s="108">
        <f ca="1">IFERROR(__xludf.DUMMYFUNCTION("""COMPUTED_VALUE"""),43446)</f>
        <v>43446</v>
      </c>
      <c r="D27" s="49" t="str">
        <f ca="1">IFERROR(__xludf.DUMMYFUNCTION("""COMPUTED_VALUE"""),"Yes")</f>
        <v>Yes</v>
      </c>
      <c r="E27" s="49" t="str">
        <f ca="1">IFERROR(__xludf.DUMMYFUNCTION("""COMPUTED_VALUE"""),"Yes")</f>
        <v>Yes</v>
      </c>
      <c r="F27" s="49" t="str">
        <f ca="1">IFERROR(__xludf.DUMMYFUNCTION("""COMPUTED_VALUE"""),"Gene Disease Validity")</f>
        <v>Gene Disease Validity</v>
      </c>
      <c r="G27" t="str">
        <f ca="1">IFERROR(__xludf.DUMMYFUNCTION("""COMPUTED_VALUE"""),"ID Autism")</f>
        <v>ID Autism</v>
      </c>
      <c r="H27" t="str">
        <f ca="1">IFERROR(__xludf.DUMMYFUNCTION("""COMPUTED_VALUE"""),"Kira Dies")</f>
        <v>Kira Dies</v>
      </c>
      <c r="I27" t="str">
        <f ca="1">IFERROR(__xludf.DUMMYFUNCTION("""COMPUTED_VALUE"""),"Kira.Dies@childrens.harvard.edu")</f>
        <v>Kira.Dies@childrens.harvard.edu</v>
      </c>
      <c r="J27" s="49" t="str">
        <f ca="1">IFERROR(__xludf.DUMMYFUNCTION("""COMPUTED_VALUE"""),"Comprehensive")</f>
        <v>Comprehensive</v>
      </c>
      <c r="K27" t="str">
        <f ca="1">IFERROR(__xludf.DUMMYFUNCTION("""COMPUTED_VALUE"""),"ASD/NDD")</f>
        <v>ASD/NDD</v>
      </c>
    </row>
    <row r="28" spans="1:11" ht="13">
      <c r="A28" t="str">
        <f ca="1">IFERROR(__xludf.DUMMYFUNCTION("""COMPUTED_VALUE"""),"Assigned")</f>
        <v>Assigned</v>
      </c>
      <c r="B28" s="107">
        <f ca="1">IFERROR(__xludf.DUMMYFUNCTION("""COMPUTED_VALUE"""),43341)</f>
        <v>43341</v>
      </c>
      <c r="C28" s="107">
        <f ca="1">IFERROR(__xludf.DUMMYFUNCTION("""COMPUTED_VALUE"""),43341)</f>
        <v>43341</v>
      </c>
      <c r="D28" s="49" t="str">
        <f ca="1">IFERROR(__xludf.DUMMYFUNCTION("""COMPUTED_VALUE"""),"Yes")</f>
        <v>Yes</v>
      </c>
      <c r="E28" s="49" t="str">
        <f ca="1">IFERROR(__xludf.DUMMYFUNCTION("""COMPUTED_VALUE"""),"Yes")</f>
        <v>Yes</v>
      </c>
      <c r="F28" s="49" t="str">
        <f ca="1">IFERROR(__xludf.DUMMYFUNCTION("""COMPUTED_VALUE"""),"Gene Disease Validity")</f>
        <v>Gene Disease Validity</v>
      </c>
      <c r="G28" t="str">
        <f ca="1">IFERROR(__xludf.DUMMYFUNCTION("""COMPUTED_VALUE"""),"Hereditary Cancer")</f>
        <v>Hereditary Cancer</v>
      </c>
      <c r="H28" t="str">
        <f ca="1">IFERROR(__xludf.DUMMYFUNCTION("""COMPUTED_VALUE"""),"Sainan Wei")</f>
        <v>Sainan Wei</v>
      </c>
      <c r="I28" t="str">
        <f ca="1">IFERROR(__xludf.DUMMYFUNCTION("""COMPUTED_VALUE"""),"sainan.wei@uky.edu ")</f>
        <v xml:space="preserve">sainan.wei@uky.edu </v>
      </c>
      <c r="J28" s="49" t="str">
        <f ca="1">IFERROR(__xludf.DUMMYFUNCTION("""COMPUTED_VALUE"""),"Comprehensive")</f>
        <v>Comprehensive</v>
      </c>
      <c r="K28" t="str">
        <f ca="1">IFERROR(__xludf.DUMMYFUNCTION("""COMPUTED_VALUE"""),"Hereditary cancer gene Aminoacidopathy gene fatty acid oxidation gene")</f>
        <v>Hereditary cancer gene Aminoacidopathy gene fatty acid oxidation gene</v>
      </c>
    </row>
    <row r="29" spans="1:11" ht="13">
      <c r="A29" t="str">
        <f ca="1">IFERROR(__xludf.DUMMYFUNCTION("""COMPUTED_VALUE"""),"Contacted")</f>
        <v>Contacted</v>
      </c>
      <c r="B29" s="107">
        <f ca="1">IFERROR(__xludf.DUMMYFUNCTION("""COMPUTED_VALUE"""),43439)</f>
        <v>43439</v>
      </c>
      <c r="C29" s="108">
        <f ca="1">IFERROR(__xludf.DUMMYFUNCTION("""COMPUTED_VALUE"""),43446)</f>
        <v>43446</v>
      </c>
      <c r="D29" s="49" t="str">
        <f ca="1">IFERROR(__xludf.DUMMYFUNCTION("""COMPUTED_VALUE"""),"Yes")</f>
        <v>Yes</v>
      </c>
      <c r="E29" s="49" t="str">
        <f ca="1">IFERROR(__xludf.DUMMYFUNCTION("""COMPUTED_VALUE"""),"No")</f>
        <v>No</v>
      </c>
      <c r="F29" s="49" t="str">
        <f ca="1">IFERROR(__xludf.DUMMYFUNCTION("""COMPUTED_VALUE"""),"Gene Disease Validity")</f>
        <v>Gene Disease Validity</v>
      </c>
      <c r="G29" t="str">
        <f ca="1">IFERROR(__xludf.DUMMYFUNCTION("""COMPUTED_VALUE"""),"")</f>
        <v/>
      </c>
      <c r="H29" t="str">
        <f ca="1">IFERROR(__xludf.DUMMYFUNCTION("""COMPUTED_VALUE"""),"Elaine Spector ")</f>
        <v xml:space="preserve">Elaine Spector </v>
      </c>
      <c r="I29" t="str">
        <f ca="1">IFERROR(__xludf.DUMMYFUNCTION("""COMPUTED_VALUE"""),"elaine.spector@childrenscolorado.org")</f>
        <v>elaine.spector@childrenscolorado.org</v>
      </c>
      <c r="J29" s="49" t="str">
        <f ca="1">IFERROR(__xludf.DUMMYFUNCTION("""COMPUTED_VALUE"""),"Comprehensive")</f>
        <v>Comprehensive</v>
      </c>
      <c r="K29" t="str">
        <f ca="1">IFERROR(__xludf.DUMMYFUNCTION("""COMPUTED_VALUE"""),"Inborn Errors of Metabolism Clinical Domain Working Group . Amino Acid and Fatty Acid Working Groups.")</f>
        <v>Inborn Errors of Metabolism Clinical Domain Working Group . Amino Acid and Fatty Acid Working Groups.</v>
      </c>
    </row>
    <row r="30" spans="1:11" ht="13">
      <c r="A30" t="str">
        <f ca="1">IFERROR(__xludf.DUMMYFUNCTION("""COMPUTED_VALUE"""),"Declined")</f>
        <v>Declined</v>
      </c>
      <c r="B30" s="107">
        <f ca="1">IFERROR(__xludf.DUMMYFUNCTION("""COMPUTED_VALUE"""),43437)</f>
        <v>43437</v>
      </c>
      <c r="C30" s="108">
        <f ca="1">IFERROR(__xludf.DUMMYFUNCTION("""COMPUTED_VALUE"""),43446)</f>
        <v>43446</v>
      </c>
      <c r="D30" s="49" t="str">
        <f ca="1">IFERROR(__xludf.DUMMYFUNCTION("""COMPUTED_VALUE"""),"Yes")</f>
        <v>Yes</v>
      </c>
      <c r="E30" s="49" t="str">
        <f ca="1">IFERROR(__xludf.DUMMYFUNCTION("""COMPUTED_VALUE"""),"Yes")</f>
        <v>Yes</v>
      </c>
      <c r="F30" s="49" t="str">
        <f ca="1">IFERROR(__xludf.DUMMYFUNCTION("""COMPUTED_VALUE"""),"Gene Disease Validity")</f>
        <v>Gene Disease Validity</v>
      </c>
      <c r="G30" t="str">
        <f ca="1">IFERROR(__xludf.DUMMYFUNCTION("""COMPUTED_VALUE"""),"ID Autism")</f>
        <v>ID Autism</v>
      </c>
      <c r="H30" t="str">
        <f ca="1">IFERROR(__xludf.DUMMYFUNCTION("""COMPUTED_VALUE"""),"Ny Hoang")</f>
        <v>Ny Hoang</v>
      </c>
      <c r="I30" t="str">
        <f ca="1">IFERROR(__xludf.DUMMYFUNCTION("""COMPUTED_VALUE"""),"ny.hoang@sickkids.ca")</f>
        <v>ny.hoang@sickkids.ca</v>
      </c>
      <c r="J30" s="49" t="str">
        <f ca="1">IFERROR(__xludf.DUMMYFUNCTION("""COMPUTED_VALUE"""),"Comprehensive")</f>
        <v>Comprehensive</v>
      </c>
      <c r="K30" t="str">
        <f ca="1">IFERROR(__xludf.DUMMYFUNCTION("""COMPUTED_VALUE"""),"Autism and ID working group")</f>
        <v>Autism and ID working group</v>
      </c>
    </row>
    <row r="31" spans="1:11" ht="13">
      <c r="A31" t="str">
        <f ca="1">IFERROR(__xludf.DUMMYFUNCTION("""COMPUTED_VALUE"""),"Assigned")</f>
        <v>Assigned</v>
      </c>
      <c r="B31" s="107">
        <f ca="1">IFERROR(__xludf.DUMMYFUNCTION("""COMPUTED_VALUE"""),43437)</f>
        <v>43437</v>
      </c>
      <c r="C31" s="108">
        <f ca="1">IFERROR(__xludf.DUMMYFUNCTION("""COMPUTED_VALUE"""),43446)</f>
        <v>43446</v>
      </c>
      <c r="D31" s="49" t="str">
        <f ca="1">IFERROR(__xludf.DUMMYFUNCTION("""COMPUTED_VALUE"""),"No")</f>
        <v>No</v>
      </c>
      <c r="E31" s="49" t="str">
        <f ca="1">IFERROR(__xludf.DUMMYFUNCTION("""COMPUTED_VALUE"""),"No")</f>
        <v>No</v>
      </c>
      <c r="F31" s="49" t="str">
        <f ca="1">IFERROR(__xludf.DUMMYFUNCTION("""COMPUTED_VALUE"""),"Gene Disease Validity")</f>
        <v>Gene Disease Validity</v>
      </c>
      <c r="G31" t="str">
        <f ca="1">IFERROR(__xludf.DUMMYFUNCTION("""COMPUTED_VALUE"""),"ID Autism")</f>
        <v>ID Autism</v>
      </c>
      <c r="H31" t="str">
        <f ca="1">IFERROR(__xludf.DUMMYFUNCTION("""COMPUTED_VALUE"""),"Jacob Vorstman")</f>
        <v>Jacob Vorstman</v>
      </c>
      <c r="I31" t="str">
        <f ca="1">IFERROR(__xludf.DUMMYFUNCTION("""COMPUTED_VALUE"""),"jacob.vorstman@sickkids.ca")</f>
        <v>jacob.vorstman@sickkids.ca</v>
      </c>
      <c r="J31" s="49" t="str">
        <f ca="1">IFERROR(__xludf.DUMMYFUNCTION("""COMPUTED_VALUE"""),"Comprehensive")</f>
        <v>Comprehensive</v>
      </c>
      <c r="K31" t="str">
        <f ca="1">IFERROR(__xludf.DUMMYFUNCTION("""COMPUTED_VALUE"""),"Autism Spectrum Disorder - see previous and ongoing discussions following the Toronto ASD gene list meeting this fall")</f>
        <v>Autism Spectrum Disorder - see previous and ongoing discussions following the Toronto ASD gene list meeting this fall</v>
      </c>
    </row>
    <row r="32" spans="1:11" ht="13">
      <c r="A32" t="str">
        <f ca="1">IFERROR(__xludf.DUMMYFUNCTION("""COMPUTED_VALUE"""),"Contacted")</f>
        <v>Contacted</v>
      </c>
      <c r="B32" t="str">
        <f ca="1">IFERROR(__xludf.DUMMYFUNCTION("""COMPUTED_VALUE"""),"")</f>
        <v/>
      </c>
      <c r="C32" s="106">
        <f ca="1">IFERROR(__xludf.DUMMYFUNCTION("""COMPUTED_VALUE"""),43692)</f>
        <v>43692</v>
      </c>
      <c r="D32" s="49" t="str">
        <f ca="1">IFERROR(__xludf.DUMMYFUNCTION("""COMPUTED_VALUE"""),"Yes")</f>
        <v>Yes</v>
      </c>
      <c r="E32" s="49" t="str">
        <f ca="1">IFERROR(__xludf.DUMMYFUNCTION("""COMPUTED_VALUE"""),"No")</f>
        <v>No</v>
      </c>
      <c r="F32" s="49" t="str">
        <f ca="1">IFERROR(__xludf.DUMMYFUNCTION("""COMPUTED_VALUE"""),"Gene Disease Validity")</f>
        <v>Gene Disease Validity</v>
      </c>
      <c r="G32" t="str">
        <f ca="1">IFERROR(__xludf.DUMMYFUNCTION("""COMPUTED_VALUE"""),"")</f>
        <v/>
      </c>
      <c r="H32" t="str">
        <f ca="1">IFERROR(__xludf.DUMMYFUNCTION("""COMPUTED_VALUE"""),"Szabolcs Szelinger")</f>
        <v>Szabolcs Szelinger</v>
      </c>
      <c r="I32" t="str">
        <f ca="1">IFERROR(__xludf.DUMMYFUNCTION("""COMPUTED_VALUE"""),"sszelinger@tgen.org")</f>
        <v>sszelinger@tgen.org</v>
      </c>
      <c r="J32" s="49" t="str">
        <f ca="1">IFERROR(__xludf.DUMMYFUNCTION("""COMPUTED_VALUE"""),"Comprehensive")</f>
        <v>Comprehensive</v>
      </c>
      <c r="K32" t="str">
        <f ca="1">IFERROR(__xludf.DUMMYFUNCTION("""COMPUTED_VALUE"""),"There are many interesting groups such as the mitochondrial disease, inherited cardiomyopathy, Epilepsy and Somatic TP53 group.")</f>
        <v>There are many interesting groups such as the mitochondrial disease, inherited cardiomyopathy, Epilepsy and Somatic TP53 group.</v>
      </c>
    </row>
    <row r="33" spans="1:11" ht="13">
      <c r="A33" t="str">
        <f ca="1">IFERROR(__xludf.DUMMYFUNCTION("""COMPUTED_VALUE"""),"Contacted")</f>
        <v>Contacted</v>
      </c>
      <c r="B33" t="str">
        <f ca="1">IFERROR(__xludf.DUMMYFUNCTION("""COMPUTED_VALUE"""),"")</f>
        <v/>
      </c>
      <c r="C33" s="106">
        <f ca="1">IFERROR(__xludf.DUMMYFUNCTION("""COMPUTED_VALUE"""),43696)</f>
        <v>43696</v>
      </c>
      <c r="D33" s="49" t="str">
        <f ca="1">IFERROR(__xludf.DUMMYFUNCTION("""COMPUTED_VALUE"""),"Yes")</f>
        <v>Yes</v>
      </c>
      <c r="E33" s="49" t="str">
        <f ca="1">IFERROR(__xludf.DUMMYFUNCTION("""COMPUTED_VALUE"""),"No")</f>
        <v>No</v>
      </c>
      <c r="F33" s="49" t="str">
        <f ca="1">IFERROR(__xludf.DUMMYFUNCTION("""COMPUTED_VALUE"""),"Gene Disease Validity")</f>
        <v>Gene Disease Validity</v>
      </c>
      <c r="G33" t="str">
        <f ca="1">IFERROR(__xludf.DUMMYFUNCTION("""COMPUTED_VALUE"""),"")</f>
        <v/>
      </c>
      <c r="H33" t="str">
        <f ca="1">IFERROR(__xludf.DUMMYFUNCTION("""COMPUTED_VALUE"""),"Brooke H. Miller")</f>
        <v>Brooke H. Miller</v>
      </c>
      <c r="I33" t="str">
        <f ca="1">IFERROR(__xludf.DUMMYFUNCTION("""COMPUTED_VALUE"""),"brooke.h.miller@gmail.com")</f>
        <v>brooke.h.miller@gmail.com</v>
      </c>
      <c r="J33" s="49" t="str">
        <f ca="1">IFERROR(__xludf.DUMMYFUNCTION("""COMPUTED_VALUE"""),"Comprehensive")</f>
        <v>Comprehensive</v>
      </c>
      <c r="K33" t="str">
        <f ca="1">IFERROR(__xludf.DUMMYFUNCTION("""COMPUTED_VALUE"""),"Not at the moment, but wouldn't rule out future involvement")</f>
        <v>Not at the moment, but wouldn't rule out future involvement</v>
      </c>
    </row>
    <row r="34" spans="1:11" ht="13">
      <c r="A34" t="str">
        <f ca="1">IFERROR(__xludf.DUMMYFUNCTION("""COMPUTED_VALUE"""),"Contacted")</f>
        <v>Contacted</v>
      </c>
      <c r="B34" t="str">
        <f ca="1">IFERROR(__xludf.DUMMYFUNCTION("""COMPUTED_VALUE"""),"")</f>
        <v/>
      </c>
      <c r="C34" s="111">
        <f ca="1">IFERROR(__xludf.DUMMYFUNCTION("""COMPUTED_VALUE"""),43570)</f>
        <v>43570</v>
      </c>
      <c r="D34" s="49" t="str">
        <f ca="1">IFERROR(__xludf.DUMMYFUNCTION("""COMPUTED_VALUE"""),"Yes")</f>
        <v>Yes</v>
      </c>
      <c r="E34" s="49" t="str">
        <f ca="1">IFERROR(__xludf.DUMMYFUNCTION("""COMPUTED_VALUE"""),"Yes")</f>
        <v>Yes</v>
      </c>
      <c r="F34" s="49" t="str">
        <f ca="1">IFERROR(__xludf.DUMMYFUNCTION("""COMPUTED_VALUE"""),"Gene Disease Validity")</f>
        <v>Gene Disease Validity</v>
      </c>
      <c r="G34" t="str">
        <f ca="1">IFERROR(__xludf.DUMMYFUNCTION("""COMPUTED_VALUE"""),"Aminoacidopathy")</f>
        <v>Aminoacidopathy</v>
      </c>
      <c r="H34" t="str">
        <f ca="1">IFERROR(__xludf.DUMMYFUNCTION("""COMPUTED_VALUE"""),"Nilufar Inamdar")</f>
        <v>Nilufar Inamdar</v>
      </c>
      <c r="I34" t="str">
        <f ca="1">IFERROR(__xludf.DUMMYFUNCTION("""COMPUTED_VALUE"""),"inamdar555@yahoo.com")</f>
        <v>inamdar555@yahoo.com</v>
      </c>
      <c r="J34" s="49" t="str">
        <f ca="1">IFERROR(__xludf.DUMMYFUNCTION("""COMPUTED_VALUE"""),"Comprehensive")</f>
        <v>Comprehensive</v>
      </c>
      <c r="K34" t="str">
        <f ca="1">IFERROR(__xludf.DUMMYFUNCTION("""COMPUTED_VALUE"""),"Mitochondrial or Aminoaciopathy")</f>
        <v>Mitochondrial or Aminoaciopathy</v>
      </c>
    </row>
    <row r="35" spans="1:11" ht="13">
      <c r="A35" t="str">
        <f ca="1">IFERROR(__xludf.DUMMYFUNCTION("""COMPUTED_VALUE"""),"Unresponsive")</f>
        <v>Unresponsive</v>
      </c>
      <c r="B35" t="str">
        <f ca="1">IFERROR(__xludf.DUMMYFUNCTION("""COMPUTED_VALUE"""),"")</f>
        <v/>
      </c>
      <c r="C35" t="str">
        <f ca="1">IFERROR(__xludf.DUMMYFUNCTION("""COMPUTED_VALUE"""),"")</f>
        <v/>
      </c>
      <c r="D35" s="49" t="str">
        <f ca="1">IFERROR(__xludf.DUMMYFUNCTION("""COMPUTED_VALUE"""),"No")</f>
        <v>No</v>
      </c>
      <c r="E35" s="49" t="str">
        <f ca="1">IFERROR(__xludf.DUMMYFUNCTION("""COMPUTED_VALUE"""),"No")</f>
        <v>No</v>
      </c>
      <c r="F35" s="49" t="str">
        <f ca="1">IFERROR(__xludf.DUMMYFUNCTION("""COMPUTED_VALUE"""),"Gene Disease Validity")</f>
        <v>Gene Disease Validity</v>
      </c>
      <c r="G35" t="str">
        <f ca="1">IFERROR(__xludf.DUMMYFUNCTION("""COMPUTED_VALUE"""),"")</f>
        <v/>
      </c>
      <c r="H35" t="str">
        <f ca="1">IFERROR(__xludf.DUMMYFUNCTION("""COMPUTED_VALUE"""),"Anand Narayanan")</f>
        <v>Anand Narayanan</v>
      </c>
      <c r="I35" t="str">
        <f ca="1">IFERROR(__xludf.DUMMYFUNCTION("""COMPUTED_VALUE"""),"anandnpillai@gmail.com")</f>
        <v>anandnpillai@gmail.com</v>
      </c>
      <c r="J35" s="49" t="str">
        <f ca="1">IFERROR(__xludf.DUMMYFUNCTION("""COMPUTED_VALUE"""),"Comprehensive")</f>
        <v>Comprehensive</v>
      </c>
      <c r="K35" t="str">
        <f ca="1">IFERROR(__xludf.DUMMYFUNCTION("""COMPUTED_VALUE"""),"No")</f>
        <v>No</v>
      </c>
    </row>
    <row r="36" spans="1:11" ht="13">
      <c r="A36" t="str">
        <f ca="1">IFERROR(__xludf.DUMMYFUNCTION("""COMPUTED_VALUE"""),"Contacted")</f>
        <v>Contacted</v>
      </c>
      <c r="B36" t="str">
        <f ca="1">IFERROR(__xludf.DUMMYFUNCTION("""COMPUTED_VALUE"""),"")</f>
        <v/>
      </c>
      <c r="C36" s="106">
        <f ca="1">IFERROR(__xludf.DUMMYFUNCTION("""COMPUTED_VALUE"""),43585)</f>
        <v>43585</v>
      </c>
      <c r="D36" s="49" t="str">
        <f ca="1">IFERROR(__xludf.DUMMYFUNCTION("""COMPUTED_VALUE"""),"Yes")</f>
        <v>Yes</v>
      </c>
      <c r="E36" s="49" t="str">
        <f ca="1">IFERROR(__xludf.DUMMYFUNCTION("""COMPUTED_VALUE"""),"Yes")</f>
        <v>Yes</v>
      </c>
      <c r="F36" s="49" t="str">
        <f ca="1">IFERROR(__xludf.DUMMYFUNCTION("""COMPUTED_VALUE"""),"Gene Disease Validity")</f>
        <v>Gene Disease Validity</v>
      </c>
      <c r="G36" t="str">
        <f ca="1">IFERROR(__xludf.DUMMYFUNCTION("""COMPUTED_VALUE"""),"")</f>
        <v/>
      </c>
      <c r="H36" t="str">
        <f ca="1">IFERROR(__xludf.DUMMYFUNCTION("""COMPUTED_VALUE"""),"Urjit Patel")</f>
        <v>Urjit Patel</v>
      </c>
      <c r="I36" t="str">
        <f ca="1">IFERROR(__xludf.DUMMYFUNCTION("""COMPUTED_VALUE"""),"urjit.x.patel@questdiagnostics.com")</f>
        <v>urjit.x.patel@questdiagnostics.com</v>
      </c>
      <c r="J36" s="49" t="str">
        <f ca="1">IFERROR(__xludf.DUMMYFUNCTION("""COMPUTED_VALUE"""),"Comprehensive")</f>
        <v>Comprehensive</v>
      </c>
      <c r="K36" t="str">
        <f ca="1">IFERROR(__xludf.DUMMYFUNCTION("""COMPUTED_VALUE"""),"")</f>
        <v/>
      </c>
    </row>
    <row r="37" spans="1:11" ht="13">
      <c r="A37" t="str">
        <f ca="1">IFERROR(__xludf.DUMMYFUNCTION("""COMPUTED_VALUE"""),"Contacted")</f>
        <v>Contacted</v>
      </c>
      <c r="B37" t="str">
        <f ca="1">IFERROR(__xludf.DUMMYFUNCTION("""COMPUTED_VALUE"""),"")</f>
        <v/>
      </c>
      <c r="C37" s="111">
        <f ca="1">IFERROR(__xludf.DUMMYFUNCTION("""COMPUTED_VALUE"""),43570)</f>
        <v>43570</v>
      </c>
      <c r="D37" s="49" t="str">
        <f ca="1">IFERROR(__xludf.DUMMYFUNCTION("""COMPUTED_VALUE"""),"Yes")</f>
        <v>Yes</v>
      </c>
      <c r="E37" s="49" t="str">
        <f ca="1">IFERROR(__xludf.DUMMYFUNCTION("""COMPUTED_VALUE"""),"Yes")</f>
        <v>Yes</v>
      </c>
      <c r="F37" s="49" t="str">
        <f ca="1">IFERROR(__xludf.DUMMYFUNCTION("""COMPUTED_VALUE"""),"Gene Disease Validity")</f>
        <v>Gene Disease Validity</v>
      </c>
      <c r="G37" t="str">
        <f ca="1">IFERROR(__xludf.DUMMYFUNCTION("""COMPUTED_VALUE"""),"Epilepsy")</f>
        <v>Epilepsy</v>
      </c>
      <c r="H37" t="str">
        <f ca="1">IFERROR(__xludf.DUMMYFUNCTION("""COMPUTED_VALUE"""),"Angela Pickart")</f>
        <v>Angela Pickart</v>
      </c>
      <c r="I37" t="str">
        <f ca="1">IFERROR(__xludf.DUMMYFUNCTION("""COMPUTED_VALUE"""),"pickart.angela@mayo.edu")</f>
        <v>pickart.angela@mayo.edu</v>
      </c>
      <c r="J37" s="49" t="str">
        <f ca="1">IFERROR(__xludf.DUMMYFUNCTION("""COMPUTED_VALUE"""),"Comprehensive")</f>
        <v>Comprehensive</v>
      </c>
      <c r="K37" t="str">
        <f ca="1">IFERROR(__xludf.DUMMYFUNCTION("""COMPUTED_VALUE"""),"Epilepsy")</f>
        <v>Epilepsy</v>
      </c>
    </row>
    <row r="38" spans="1:11" ht="13">
      <c r="A38" t="str">
        <f ca="1">IFERROR(__xludf.DUMMYFUNCTION("""COMPUTED_VALUE"""),"Contacted")</f>
        <v>Contacted</v>
      </c>
      <c r="B38" t="str">
        <f ca="1">IFERROR(__xludf.DUMMYFUNCTION("""COMPUTED_VALUE"""),"8/12/19, 12/20/19")</f>
        <v>8/12/19, 12/20/19</v>
      </c>
      <c r="C38" t="str">
        <f ca="1">IFERROR(__xludf.DUMMYFUNCTION("""COMPUTED_VALUE"""),"")</f>
        <v/>
      </c>
      <c r="D38" s="49" t="str">
        <f ca="1">IFERROR(__xludf.DUMMYFUNCTION("""COMPUTED_VALUE"""),"No")</f>
        <v>No</v>
      </c>
      <c r="E38" s="49" t="str">
        <f ca="1">IFERROR(__xludf.DUMMYFUNCTION("""COMPUTED_VALUE"""),"No")</f>
        <v>No</v>
      </c>
      <c r="F38" s="49" t="str">
        <f ca="1">IFERROR(__xludf.DUMMYFUNCTION("""COMPUTED_VALUE"""),"Gene Disease Validity")</f>
        <v>Gene Disease Validity</v>
      </c>
      <c r="G38" t="str">
        <f ca="1">IFERROR(__xludf.DUMMYFUNCTION("""COMPUTED_VALUE"""),"")</f>
        <v/>
      </c>
      <c r="H38" t="str">
        <f ca="1">IFERROR(__xludf.DUMMYFUNCTION("""COMPUTED_VALUE"""),"GIFTY BHAT")</f>
        <v>GIFTY BHAT</v>
      </c>
      <c r="I38" t="str">
        <f ca="1">IFERROR(__xludf.DUMMYFUNCTION("""COMPUTED_VALUE"""),"drgiftybhat@gmail.com")</f>
        <v>drgiftybhat@gmail.com</v>
      </c>
      <c r="J38" s="49" t="str">
        <f ca="1">IFERROR(__xludf.DUMMYFUNCTION("""COMPUTED_VALUE"""),"Comprehensive")</f>
        <v>Comprehensive</v>
      </c>
      <c r="K38" t="str">
        <f ca="1">IFERROR(__xludf.DUMMYFUNCTION("""COMPUTED_VALUE"""),"Neurodevelopmental/intellectual disability, Rett-Angelman syndrome, PTEN related disorders")</f>
        <v>Neurodevelopmental/intellectual disability, Rett-Angelman syndrome, PTEN related disorders</v>
      </c>
    </row>
    <row r="39" spans="1:11" ht="13">
      <c r="A39" t="str">
        <f ca="1">IFERROR(__xludf.DUMMYFUNCTION("""COMPUTED_VALUE"""),"Contacted")</f>
        <v>Contacted</v>
      </c>
      <c r="B39" t="str">
        <f ca="1">IFERROR(__xludf.DUMMYFUNCTION("""COMPUTED_VALUE"""),"")</f>
        <v/>
      </c>
      <c r="C39" s="106">
        <f ca="1">IFERROR(__xludf.DUMMYFUNCTION("""COMPUTED_VALUE"""),43585)</f>
        <v>43585</v>
      </c>
      <c r="D39" s="49" t="str">
        <f ca="1">IFERROR(__xludf.DUMMYFUNCTION("""COMPUTED_VALUE"""),"Yes")</f>
        <v>Yes</v>
      </c>
      <c r="E39" s="49" t="str">
        <f ca="1">IFERROR(__xludf.DUMMYFUNCTION("""COMPUTED_VALUE"""),"Yes")</f>
        <v>Yes</v>
      </c>
      <c r="F39" s="49" t="str">
        <f ca="1">IFERROR(__xludf.DUMMYFUNCTION("""COMPUTED_VALUE"""),"Gene Disease Validity")</f>
        <v>Gene Disease Validity</v>
      </c>
      <c r="G39" t="str">
        <f ca="1">IFERROR(__xludf.DUMMYFUNCTION("""COMPUTED_VALUE"""),"Hemo/Thrombo")</f>
        <v>Hemo/Thrombo</v>
      </c>
      <c r="H39" t="str">
        <f ca="1">IFERROR(__xludf.DUMMYFUNCTION("""COMPUTED_VALUE"""),"Jing Zhang")</f>
        <v>Jing Zhang</v>
      </c>
      <c r="I39" t="str">
        <f ca="1">IFERROR(__xludf.DUMMYFUNCTION("""COMPUTED_VALUE"""),"jzhang@wuxinextcode.com")</f>
        <v>jzhang@wuxinextcode.com</v>
      </c>
      <c r="J39" s="49" t="str">
        <f ca="1">IFERROR(__xludf.DUMMYFUNCTION("""COMPUTED_VALUE"""),"Comprehensive")</f>
        <v>Comprehensive</v>
      </c>
      <c r="K39" t="str">
        <f ca="1">IFERROR(__xludf.DUMMYFUNCTION("""COMPUTED_VALUE"""),"")</f>
        <v/>
      </c>
    </row>
    <row r="40" spans="1:11" ht="13">
      <c r="A40" t="str">
        <f ca="1">IFERROR(__xludf.DUMMYFUNCTION("""COMPUTED_VALUE"""),"Unresponsive")</f>
        <v>Unresponsive</v>
      </c>
      <c r="B40" t="str">
        <f ca="1">IFERROR(__xludf.DUMMYFUNCTION("""COMPUTED_VALUE"""),"")</f>
        <v/>
      </c>
      <c r="C40" t="str">
        <f ca="1">IFERROR(__xludf.DUMMYFUNCTION("""COMPUTED_VALUE"""),"")</f>
        <v/>
      </c>
      <c r="D40" s="49" t="str">
        <f ca="1">IFERROR(__xludf.DUMMYFUNCTION("""COMPUTED_VALUE"""),"No")</f>
        <v>No</v>
      </c>
      <c r="E40" s="49" t="str">
        <f ca="1">IFERROR(__xludf.DUMMYFUNCTION("""COMPUTED_VALUE"""),"No")</f>
        <v>No</v>
      </c>
      <c r="F40" s="49" t="str">
        <f ca="1">IFERROR(__xludf.DUMMYFUNCTION("""COMPUTED_VALUE"""),"Gene Disease Validity")</f>
        <v>Gene Disease Validity</v>
      </c>
      <c r="G40" t="str">
        <f ca="1">IFERROR(__xludf.DUMMYFUNCTION("""COMPUTED_VALUE"""),"")</f>
        <v/>
      </c>
      <c r="H40" t="str">
        <f ca="1">IFERROR(__xludf.DUMMYFUNCTION("""COMPUTED_VALUE"""),"Mary-Alice Abbott")</f>
        <v>Mary-Alice Abbott</v>
      </c>
      <c r="I40" t="str">
        <f ca="1">IFERROR(__xludf.DUMMYFUNCTION("""COMPUTED_VALUE"""),"Maryalice.abbott@baystatehealth.org")</f>
        <v>Maryalice.abbott@baystatehealth.org</v>
      </c>
      <c r="J40" s="49" t="str">
        <f ca="1">IFERROR(__xludf.DUMMYFUNCTION("""COMPUTED_VALUE"""),"Comprehensive")</f>
        <v>Comprehensive</v>
      </c>
      <c r="K40" t="str">
        <f ca="1">IFERROR(__xludf.DUMMYFUNCTION("""COMPUTED_VALUE"""),"LSD, ID, actionability")</f>
        <v>LSD, ID, actionability</v>
      </c>
    </row>
    <row r="41" spans="1:11" ht="13">
      <c r="A41" t="str">
        <f ca="1">IFERROR(__xludf.DUMMYFUNCTION("""COMPUTED_VALUE"""),"Declined")</f>
        <v>Declined</v>
      </c>
      <c r="B41" t="str">
        <f ca="1">IFERROR(__xludf.DUMMYFUNCTION("""COMPUTED_VALUE"""),"")</f>
        <v/>
      </c>
      <c r="C41" s="111">
        <f ca="1">IFERROR(__xludf.DUMMYFUNCTION("""COMPUTED_VALUE"""),43570)</f>
        <v>43570</v>
      </c>
      <c r="D41" s="49" t="str">
        <f ca="1">IFERROR(__xludf.DUMMYFUNCTION("""COMPUTED_VALUE"""),"Yes")</f>
        <v>Yes</v>
      </c>
      <c r="E41" s="49" t="str">
        <f ca="1">IFERROR(__xludf.DUMMYFUNCTION("""COMPUTED_VALUE"""),"Yes")</f>
        <v>Yes</v>
      </c>
      <c r="F41" s="49" t="str">
        <f ca="1">IFERROR(__xludf.DUMMYFUNCTION("""COMPUTED_VALUE"""),"Gene Disease Validity")</f>
        <v>Gene Disease Validity</v>
      </c>
      <c r="G41" t="str">
        <f ca="1">IFERROR(__xludf.DUMMYFUNCTION("""COMPUTED_VALUE"""),"Hemo/Thrombo")</f>
        <v>Hemo/Thrombo</v>
      </c>
      <c r="H41" t="str">
        <f ca="1">IFERROR(__xludf.DUMMYFUNCTION("""COMPUTED_VALUE"""),"Samantha Chill")</f>
        <v>Samantha Chill</v>
      </c>
      <c r="I41" t="str">
        <f ca="1">IFERROR(__xludf.DUMMYFUNCTION("""COMPUTED_VALUE"""),"slsevilla@gmail.com")</f>
        <v>slsevilla@gmail.com</v>
      </c>
      <c r="J41" s="49" t="str">
        <f ca="1">IFERROR(__xludf.DUMMYFUNCTION("""COMPUTED_VALUE"""),"Comprehensive")</f>
        <v>Comprehensive</v>
      </c>
      <c r="K41" t="str">
        <f ca="1">IFERROR(__xludf.DUMMYFUNCTION("""COMPUTED_VALUE"""),"")</f>
        <v/>
      </c>
    </row>
    <row r="42" spans="1:11" ht="13">
      <c r="A42" t="str">
        <f ca="1">IFERROR(__xludf.DUMMYFUNCTION("""COMPUTED_VALUE"""),"Contacted")</f>
        <v>Contacted</v>
      </c>
      <c r="B42" t="str">
        <f ca="1">IFERROR(__xludf.DUMMYFUNCTION("""COMPUTED_VALUE"""),"")</f>
        <v/>
      </c>
      <c r="C42" s="106">
        <f ca="1">IFERROR(__xludf.DUMMYFUNCTION("""COMPUTED_VALUE"""),43585)</f>
        <v>43585</v>
      </c>
      <c r="D42" s="49" t="str">
        <f ca="1">IFERROR(__xludf.DUMMYFUNCTION("""COMPUTED_VALUE"""),"Yes")</f>
        <v>Yes</v>
      </c>
      <c r="E42" s="49" t="str">
        <f ca="1">IFERROR(__xludf.DUMMYFUNCTION("""COMPUTED_VALUE"""),"Yes")</f>
        <v>Yes</v>
      </c>
      <c r="F42" s="49" t="str">
        <f ca="1">IFERROR(__xludf.DUMMYFUNCTION("""COMPUTED_VALUE"""),"Gene Disease Validity")</f>
        <v>Gene Disease Validity</v>
      </c>
      <c r="G42" t="str">
        <f ca="1">IFERROR(__xludf.DUMMYFUNCTION("""COMPUTED_VALUE"""),"ID/Autism")</f>
        <v>ID/Autism</v>
      </c>
      <c r="H42" t="str">
        <f ca="1">IFERROR(__xludf.DUMMYFUNCTION("""COMPUTED_VALUE"""),"HECTOR RODRIGO MENDEZ")</f>
        <v>HECTOR RODRIGO MENDEZ</v>
      </c>
      <c r="I42" t="str">
        <f ca="1">IFERROR(__xludf.DUMMYFUNCTION("""COMPUTED_VALUE"""),"rodrigomendezh@gmail.com")</f>
        <v>rodrigomendezh@gmail.com</v>
      </c>
      <c r="J42" s="49" t="str">
        <f ca="1">IFERROR(__xludf.DUMMYFUNCTION("""COMPUTED_VALUE"""),"Comprehensive")</f>
        <v>Comprehensive</v>
      </c>
      <c r="K42" t="str">
        <f ca="1">IFERROR(__xludf.DUMMYFUNCTION("""COMPUTED_VALUE"""),"Intellectual Disability and Autism, RASopathy")</f>
        <v>Intellectual Disability and Autism, RASopathy</v>
      </c>
    </row>
    <row r="43" spans="1:11" ht="13">
      <c r="A43" t="str">
        <f ca="1">IFERROR(__xludf.DUMMYFUNCTION("""COMPUTED_VALUE"""),"Contacted")</f>
        <v>Contacted</v>
      </c>
      <c r="B43" t="str">
        <f ca="1">IFERROR(__xludf.DUMMYFUNCTION("""COMPUTED_VALUE"""),"")</f>
        <v/>
      </c>
      <c r="C43" s="106">
        <f ca="1">IFERROR(__xludf.DUMMYFUNCTION("""COMPUTED_VALUE"""),43585)</f>
        <v>43585</v>
      </c>
      <c r="D43" s="49" t="str">
        <f ca="1">IFERROR(__xludf.DUMMYFUNCTION("""COMPUTED_VALUE"""),"Yes")</f>
        <v>Yes</v>
      </c>
      <c r="E43" s="49" t="str">
        <f ca="1">IFERROR(__xludf.DUMMYFUNCTION("""COMPUTED_VALUE"""),"Yes")</f>
        <v>Yes</v>
      </c>
      <c r="F43" s="49" t="str">
        <f ca="1">IFERROR(__xludf.DUMMYFUNCTION("""COMPUTED_VALUE"""),"Gene Disease Validity")</f>
        <v>Gene Disease Validity</v>
      </c>
      <c r="G43" t="str">
        <f ca="1">IFERROR(__xludf.DUMMYFUNCTION("""COMPUTED_VALUE"""),"Epilepsy")</f>
        <v>Epilepsy</v>
      </c>
      <c r="H43" t="str">
        <f ca="1">IFERROR(__xludf.DUMMYFUNCTION("""COMPUTED_VALUE"""),"Alexander Ing")</f>
        <v>Alexander Ing</v>
      </c>
      <c r="I43" t="str">
        <f ca="1">IFERROR(__xludf.DUMMYFUNCTION("""COMPUTED_VALUE"""),"aing@luriechildrens.org")</f>
        <v>aing@luriechildrens.org</v>
      </c>
      <c r="J43" s="49" t="str">
        <f ca="1">IFERROR(__xludf.DUMMYFUNCTION("""COMPUTED_VALUE"""),"Comprehensive")</f>
        <v>Comprehensive</v>
      </c>
      <c r="K43" t="str">
        <f ca="1">IFERROR(__xludf.DUMMYFUNCTION("""COMPUTED_VALUE"""),"epilepsy")</f>
        <v>epilepsy</v>
      </c>
    </row>
    <row r="44" spans="1:11" ht="13">
      <c r="A44" t="str">
        <f ca="1">IFERROR(__xludf.DUMMYFUNCTION("""COMPUTED_VALUE"""),"Contacted")</f>
        <v>Contacted</v>
      </c>
      <c r="B44" t="str">
        <f ca="1">IFERROR(__xludf.DUMMYFUNCTION("""COMPUTED_VALUE"""),"")</f>
        <v/>
      </c>
      <c r="C44" s="106">
        <f ca="1">IFERROR(__xludf.DUMMYFUNCTION("""COMPUTED_VALUE"""),43692)</f>
        <v>43692</v>
      </c>
      <c r="D44" s="49" t="str">
        <f ca="1">IFERROR(__xludf.DUMMYFUNCTION("""COMPUTED_VALUE"""),"Yes")</f>
        <v>Yes</v>
      </c>
      <c r="E44" s="49" t="str">
        <f ca="1">IFERROR(__xludf.DUMMYFUNCTION("""COMPUTED_VALUE"""),"No")</f>
        <v>No</v>
      </c>
      <c r="F44" s="49" t="str">
        <f ca="1">IFERROR(__xludf.DUMMYFUNCTION("""COMPUTED_VALUE"""),"Gene Disease Validity")</f>
        <v>Gene Disease Validity</v>
      </c>
      <c r="G44" t="str">
        <f ca="1">IFERROR(__xludf.DUMMYFUNCTION("""COMPUTED_VALUE"""),"")</f>
        <v/>
      </c>
      <c r="H44" t="str">
        <f ca="1">IFERROR(__xludf.DUMMYFUNCTION("""COMPUTED_VALUE"""),"Jun Liao")</f>
        <v>Jun Liao</v>
      </c>
      <c r="I44" t="str">
        <f ca="1">IFERROR(__xludf.DUMMYFUNCTION("""COMPUTED_VALUE"""),"jl5098@cumc.columbia.edu")</f>
        <v>jl5098@cumc.columbia.edu</v>
      </c>
      <c r="J44" s="49" t="str">
        <f ca="1">IFERROR(__xludf.DUMMYFUNCTION("""COMPUTED_VALUE"""),"Comprehensive")</f>
        <v>Comprehensive</v>
      </c>
      <c r="K44" t="str">
        <f ca="1">IFERROR(__xludf.DUMMYFUNCTION("""COMPUTED_VALUE"""),"1. Lysosomal Storage Disorders VCEP; 2. ID/Autism GCEP")</f>
        <v>1. Lysosomal Storage Disorders VCEP; 2. ID/Autism GCEP</v>
      </c>
    </row>
    <row r="45" spans="1:11" ht="13">
      <c r="A45" t="str">
        <f ca="1">IFERROR(__xludf.DUMMYFUNCTION("""COMPUTED_VALUE"""),"Contacted")</f>
        <v>Contacted</v>
      </c>
      <c r="B45" t="str">
        <f ca="1">IFERROR(__xludf.DUMMYFUNCTION("""COMPUTED_VALUE"""),"")</f>
        <v/>
      </c>
      <c r="C45" s="106">
        <f ca="1">IFERROR(__xludf.DUMMYFUNCTION("""COMPUTED_VALUE"""),43585)</f>
        <v>43585</v>
      </c>
      <c r="D45" s="49" t="str">
        <f ca="1">IFERROR(__xludf.DUMMYFUNCTION("""COMPUTED_VALUE"""),"Yes")</f>
        <v>Yes</v>
      </c>
      <c r="E45" s="49" t="str">
        <f ca="1">IFERROR(__xludf.DUMMYFUNCTION("""COMPUTED_VALUE"""),"Yes")</f>
        <v>Yes</v>
      </c>
      <c r="F45" s="49" t="str">
        <f ca="1">IFERROR(__xludf.DUMMYFUNCTION("""COMPUTED_VALUE"""),"Gene Disease Validity")</f>
        <v>Gene Disease Validity</v>
      </c>
      <c r="G45" t="str">
        <f ca="1">IFERROR(__xludf.DUMMYFUNCTION("""COMPUTED_VALUE"""),"Epilepsy")</f>
        <v>Epilepsy</v>
      </c>
      <c r="H45" t="str">
        <f ca="1">IFERROR(__xludf.DUMMYFUNCTION("""COMPUTED_VALUE"""),"Maki Kaneko")</f>
        <v>Maki Kaneko</v>
      </c>
      <c r="I45" t="str">
        <f ca="1">IFERROR(__xludf.DUMMYFUNCTION("""COMPUTED_VALUE"""),"mkaneko@chla.usc.edu")</f>
        <v>mkaneko@chla.usc.edu</v>
      </c>
      <c r="J45" s="49" t="str">
        <f ca="1">IFERROR(__xludf.DUMMYFUNCTION("""COMPUTED_VALUE"""),"Comprehensive")</f>
        <v>Comprehensive</v>
      </c>
      <c r="K45" t="str">
        <f ca="1">IFERROR(__xludf.DUMMYFUNCTION("""COMPUTED_VALUE"""),"Epilepsy")</f>
        <v>Epilepsy</v>
      </c>
    </row>
    <row r="46" spans="1:11" ht="13">
      <c r="A46" t="str">
        <f ca="1">IFERROR(__xludf.DUMMYFUNCTION("""COMPUTED_VALUE"""),"Contacted")</f>
        <v>Contacted</v>
      </c>
      <c r="B46" s="108">
        <f ca="1">IFERROR(__xludf.DUMMYFUNCTION("""COMPUTED_VALUE"""),43819)</f>
        <v>43819</v>
      </c>
      <c r="C46" t="str">
        <f ca="1">IFERROR(__xludf.DUMMYFUNCTION("""COMPUTED_VALUE"""),"")</f>
        <v/>
      </c>
      <c r="D46" s="49" t="str">
        <f ca="1">IFERROR(__xludf.DUMMYFUNCTION("""COMPUTED_VALUE"""),"No")</f>
        <v>No</v>
      </c>
      <c r="E46" s="49" t="str">
        <f ca="1">IFERROR(__xludf.DUMMYFUNCTION("""COMPUTED_VALUE"""),"No")</f>
        <v>No</v>
      </c>
      <c r="F46" s="49" t="str">
        <f ca="1">IFERROR(__xludf.DUMMYFUNCTION("""COMPUTED_VALUE"""),"Gene Disease Validity")</f>
        <v>Gene Disease Validity</v>
      </c>
      <c r="G46" t="str">
        <f ca="1">IFERROR(__xludf.DUMMYFUNCTION("""COMPUTED_VALUE"""),"")</f>
        <v/>
      </c>
      <c r="H46" t="str">
        <f ca="1">IFERROR(__xludf.DUMMYFUNCTION("""COMPUTED_VALUE"""),"Bo Yuan")</f>
        <v>Bo Yuan</v>
      </c>
      <c r="I46" t="str">
        <f ca="1">IFERROR(__xludf.DUMMYFUNCTION("""COMPUTED_VALUE"""),"by2@bcm.edu")</f>
        <v>by2@bcm.edu</v>
      </c>
      <c r="J46" s="49" t="str">
        <f ca="1">IFERROR(__xludf.DUMMYFUNCTION("""COMPUTED_VALUE"""),"Comprehensive")</f>
        <v>Comprehensive</v>
      </c>
      <c r="K46" t="str">
        <f ca="1">IFERROR(__xludf.DUMMYFUNCTION("""COMPUTED_VALUE"""),"")</f>
        <v/>
      </c>
    </row>
    <row r="47" spans="1:11" ht="13">
      <c r="A47" t="str">
        <f ca="1">IFERROR(__xludf.DUMMYFUNCTION("""COMPUTED_VALUE"""),"Contacted")</f>
        <v>Contacted</v>
      </c>
      <c r="B47" s="108">
        <f ca="1">IFERROR(__xludf.DUMMYFUNCTION("""COMPUTED_VALUE"""),43819)</f>
        <v>43819</v>
      </c>
      <c r="C47" t="str">
        <f ca="1">IFERROR(__xludf.DUMMYFUNCTION("""COMPUTED_VALUE"""),"")</f>
        <v/>
      </c>
      <c r="D47" s="49" t="str">
        <f ca="1">IFERROR(__xludf.DUMMYFUNCTION("""COMPUTED_VALUE"""),"No")</f>
        <v>No</v>
      </c>
      <c r="E47" s="49" t="str">
        <f ca="1">IFERROR(__xludf.DUMMYFUNCTION("""COMPUTED_VALUE"""),"No")</f>
        <v>No</v>
      </c>
      <c r="F47" s="49" t="str">
        <f ca="1">IFERROR(__xludf.DUMMYFUNCTION("""COMPUTED_VALUE"""),"Gene Disease Validity")</f>
        <v>Gene Disease Validity</v>
      </c>
      <c r="G47" t="str">
        <f ca="1">IFERROR(__xludf.DUMMYFUNCTION("""COMPUTED_VALUE"""),"")</f>
        <v/>
      </c>
      <c r="H47" t="str">
        <f ca="1">IFERROR(__xludf.DUMMYFUNCTION("""COMPUTED_VALUE"""),"Avinash Dharmadhikari")</f>
        <v>Avinash Dharmadhikari</v>
      </c>
      <c r="I47" t="str">
        <f ca="1">IFERROR(__xludf.DUMMYFUNCTION("""COMPUTED_VALUE"""),"avd2129@cumc.columbia.edu")</f>
        <v>avd2129@cumc.columbia.edu</v>
      </c>
      <c r="J47" s="49" t="str">
        <f ca="1">IFERROR(__xludf.DUMMYFUNCTION("""COMPUTED_VALUE"""),"Comprehensive")</f>
        <v>Comprehensive</v>
      </c>
      <c r="K47" t="str">
        <f ca="1">IFERROR(__xludf.DUMMYFUNCTION("""COMPUTED_VALUE"""),"Hearing Loss VCEP &amp; GCEP or Dosage Sensitivity WG or ID/Autism GCEP")</f>
        <v>Hearing Loss VCEP &amp; GCEP or Dosage Sensitivity WG or ID/Autism GCEP</v>
      </c>
    </row>
    <row r="48" spans="1:11" ht="13">
      <c r="A48" t="str">
        <f ca="1">IFERROR(__xludf.DUMMYFUNCTION("""COMPUTED_VALUE"""),"Contacted")</f>
        <v>Contacted</v>
      </c>
      <c r="B48" t="str">
        <f ca="1">IFERROR(__xludf.DUMMYFUNCTION("""COMPUTED_VALUE"""),"")</f>
        <v/>
      </c>
      <c r="C48" s="106">
        <f ca="1">IFERROR(__xludf.DUMMYFUNCTION("""COMPUTED_VALUE"""),43692)</f>
        <v>43692</v>
      </c>
      <c r="D48" s="49" t="str">
        <f ca="1">IFERROR(__xludf.DUMMYFUNCTION("""COMPUTED_VALUE"""),"Yes")</f>
        <v>Yes</v>
      </c>
      <c r="E48" s="49" t="str">
        <f ca="1">IFERROR(__xludf.DUMMYFUNCTION("""COMPUTED_VALUE"""),"No")</f>
        <v>No</v>
      </c>
      <c r="F48" s="49" t="str">
        <f ca="1">IFERROR(__xludf.DUMMYFUNCTION("""COMPUTED_VALUE"""),"Gene Disease Validity")</f>
        <v>Gene Disease Validity</v>
      </c>
      <c r="G48" t="str">
        <f ca="1">IFERROR(__xludf.DUMMYFUNCTION("""COMPUTED_VALUE"""),"")</f>
        <v/>
      </c>
      <c r="H48" t="str">
        <f ca="1">IFERROR(__xludf.DUMMYFUNCTION("""COMPUTED_VALUE"""),"Alison Bright")</f>
        <v>Alison Bright</v>
      </c>
      <c r="I48" t="str">
        <f ca="1">IFERROR(__xludf.DUMMYFUNCTION("""COMPUTED_VALUE"""),"alison.r.bright@questdiagnostics.com")</f>
        <v>alison.r.bright@questdiagnostics.com</v>
      </c>
      <c r="J48" s="49" t="str">
        <f ca="1">IFERROR(__xludf.DUMMYFUNCTION("""COMPUTED_VALUE"""),"Comprehensive")</f>
        <v>Comprehensive</v>
      </c>
      <c r="K48" t="str">
        <f ca="1">IFERROR(__xludf.DUMMYFUNCTION("""COMPUTED_VALUE"""),"ID/Autism")</f>
        <v>ID/Autism</v>
      </c>
    </row>
    <row r="49" spans="1:11" ht="13">
      <c r="A49" t="str">
        <f ca="1">IFERROR(__xludf.DUMMYFUNCTION("""COMPUTED_VALUE"""),"Unresponsive")</f>
        <v>Unresponsive</v>
      </c>
      <c r="B49" t="str">
        <f ca="1">IFERROR(__xludf.DUMMYFUNCTION("""COMPUTED_VALUE"""),"")</f>
        <v/>
      </c>
      <c r="C49" s="106">
        <f ca="1">IFERROR(__xludf.DUMMYFUNCTION("""COMPUTED_VALUE"""),43570)</f>
        <v>43570</v>
      </c>
      <c r="D49" s="49" t="str">
        <f ca="1">IFERROR(__xludf.DUMMYFUNCTION("""COMPUTED_VALUE"""),"Yes")</f>
        <v>Yes</v>
      </c>
      <c r="E49" s="49" t="str">
        <f ca="1">IFERROR(__xludf.DUMMYFUNCTION("""COMPUTED_VALUE"""),"Yes")</f>
        <v>Yes</v>
      </c>
      <c r="F49" s="49" t="str">
        <f ca="1">IFERROR(__xludf.DUMMYFUNCTION("""COMPUTED_VALUE"""),"NA")</f>
        <v>NA</v>
      </c>
      <c r="G49" t="str">
        <f ca="1">IFERROR(__xludf.DUMMYFUNCTION("""COMPUTED_VALUE"""),"")</f>
        <v/>
      </c>
      <c r="H49" t="str">
        <f ca="1">IFERROR(__xludf.DUMMYFUNCTION("""COMPUTED_VALUE"""),"JIXIA LIU")</f>
        <v>JIXIA LIU</v>
      </c>
      <c r="I49" t="str">
        <f ca="1">IFERROR(__xludf.DUMMYFUNCTION("""COMPUTED_VALUE"""),"jixialiu@gmail.com")</f>
        <v>jixialiu@gmail.com</v>
      </c>
      <c r="J49" s="49" t="str">
        <f ca="1">IFERROR(__xludf.DUMMYFUNCTION("""COMPUTED_VALUE"""),"Comprehensive")</f>
        <v>Comprehensive</v>
      </c>
      <c r="K49" t="str">
        <f ca="1">IFERROR(__xludf.DUMMYFUNCTION("""COMPUTED_VALUE"""),"I am in Variant Curation for Lysosomal Storage Disorders now, and would be interested in any gene curation group as well.")</f>
        <v>I am in Variant Curation for Lysosomal Storage Disorders now, and would be interested in any gene curation group as well.</v>
      </c>
    </row>
    <row r="50" spans="1:11" ht="13">
      <c r="A50" t="str">
        <f ca="1">IFERROR(__xludf.DUMMYFUNCTION("""COMPUTED_VALUE"""),"Contacted")</f>
        <v>Contacted</v>
      </c>
      <c r="B50" t="str">
        <f ca="1">IFERROR(__xludf.DUMMYFUNCTION("""COMPUTED_VALUE"""),"")</f>
        <v/>
      </c>
      <c r="C50" s="106">
        <f ca="1">IFERROR(__xludf.DUMMYFUNCTION("""COMPUTED_VALUE"""),43692)</f>
        <v>43692</v>
      </c>
      <c r="D50" s="49" t="str">
        <f ca="1">IFERROR(__xludf.DUMMYFUNCTION("""COMPUTED_VALUE"""),"Yes")</f>
        <v>Yes</v>
      </c>
      <c r="E50" s="49" t="str">
        <f ca="1">IFERROR(__xludf.DUMMYFUNCTION("""COMPUTED_VALUE"""),"Yes")</f>
        <v>Yes</v>
      </c>
      <c r="F50" s="49" t="str">
        <f ca="1">IFERROR(__xludf.DUMMYFUNCTION("""COMPUTED_VALUE"""),"Gene Disease Validity")</f>
        <v>Gene Disease Validity</v>
      </c>
      <c r="G50" t="str">
        <f ca="1">IFERROR(__xludf.DUMMYFUNCTION("""COMPUTED_VALUE"""),"")</f>
        <v/>
      </c>
      <c r="H50" t="str">
        <f ca="1">IFERROR(__xludf.DUMMYFUNCTION("""COMPUTED_VALUE"""),"FEN GUO")</f>
        <v>FEN GUO</v>
      </c>
      <c r="I50" t="str">
        <f ca="1">IFERROR(__xludf.DUMMYFUNCTION("""COMPUTED_VALUE"""),"fguo34@wisc.edu")</f>
        <v>fguo34@wisc.edu</v>
      </c>
      <c r="J50" s="49" t="str">
        <f ca="1">IFERROR(__xludf.DUMMYFUNCTION("""COMPUTED_VALUE"""),"Comprehensive")</f>
        <v>Comprehensive</v>
      </c>
      <c r="K50" t="str">
        <f ca="1">IFERROR(__xludf.DUMMYFUNCTION("""COMPUTED_VALUE"""),"Gene Curation Expert Panels-Hereditary Cancer")</f>
        <v>Gene Curation Expert Panels-Hereditary Cancer</v>
      </c>
    </row>
    <row r="51" spans="1:11" ht="13">
      <c r="A51" t="str">
        <f ca="1">IFERROR(__xludf.DUMMYFUNCTION("""COMPUTED_VALUE"""),"Contacted")</f>
        <v>Contacted</v>
      </c>
      <c r="B51" s="108">
        <f ca="1">IFERROR(__xludf.DUMMYFUNCTION("""COMPUTED_VALUE"""),43819)</f>
        <v>43819</v>
      </c>
      <c r="C51" t="str">
        <f ca="1">IFERROR(__xludf.DUMMYFUNCTION("""COMPUTED_VALUE"""),"")</f>
        <v/>
      </c>
      <c r="D51" s="49" t="str">
        <f ca="1">IFERROR(__xludf.DUMMYFUNCTION("""COMPUTED_VALUE"""),"")</f>
        <v/>
      </c>
      <c r="E51" s="49" t="str">
        <f ca="1">IFERROR(__xludf.DUMMYFUNCTION("""COMPUTED_VALUE"""),"No")</f>
        <v>No</v>
      </c>
      <c r="F51" s="49" t="str">
        <f ca="1">IFERROR(__xludf.DUMMYFUNCTION("""COMPUTED_VALUE"""),"Gene Disease Validity")</f>
        <v>Gene Disease Validity</v>
      </c>
      <c r="G51" t="str">
        <f ca="1">IFERROR(__xludf.DUMMYFUNCTION("""COMPUTED_VALUE"""),"")</f>
        <v/>
      </c>
      <c r="H51" t="str">
        <f ca="1">IFERROR(__xludf.DUMMYFUNCTION("""COMPUTED_VALUE"""),"Elizabeth Palmer")</f>
        <v>Elizabeth Palmer</v>
      </c>
      <c r="I51" t="str">
        <f ca="1">IFERROR(__xludf.DUMMYFUNCTION("""COMPUTED_VALUE"""),"elizabeth.palmer1@health.nsw.gov.au")</f>
        <v>elizabeth.palmer1@health.nsw.gov.au</v>
      </c>
      <c r="J51" s="49" t="str">
        <f ca="1">IFERROR(__xludf.DUMMYFUNCTION("""COMPUTED_VALUE"""),"Comprehensive")</f>
        <v>Comprehensive</v>
      </c>
      <c r="K51" t="str">
        <f ca="1">IFERROR(__xludf.DUMMYFUNCTION("""COMPUTED_VALUE"""),"epilepsy / ID and autism")</f>
        <v>epilepsy / ID and autism</v>
      </c>
    </row>
    <row r="52" spans="1:11" ht="13">
      <c r="A52" t="str">
        <f ca="1">IFERROR(__xludf.DUMMYFUNCTION("""COMPUTED_VALUE"""),"Contacted")</f>
        <v>Contacted</v>
      </c>
      <c r="B52" s="108">
        <f ca="1">IFERROR(__xludf.DUMMYFUNCTION("""COMPUTED_VALUE"""),43819)</f>
        <v>43819</v>
      </c>
      <c r="C52" t="str">
        <f ca="1">IFERROR(__xludf.DUMMYFUNCTION("""COMPUTED_VALUE"""),"")</f>
        <v/>
      </c>
      <c r="D52" s="49" t="str">
        <f ca="1">IFERROR(__xludf.DUMMYFUNCTION("""COMPUTED_VALUE"""),"")</f>
        <v/>
      </c>
      <c r="E52" s="49" t="str">
        <f ca="1">IFERROR(__xludf.DUMMYFUNCTION("""COMPUTED_VALUE"""),"No")</f>
        <v>No</v>
      </c>
      <c r="F52" s="49" t="str">
        <f ca="1">IFERROR(__xludf.DUMMYFUNCTION("""COMPUTED_VALUE"""),"Gene Disease Validity")</f>
        <v>Gene Disease Validity</v>
      </c>
      <c r="G52" t="str">
        <f ca="1">IFERROR(__xludf.DUMMYFUNCTION("""COMPUTED_VALUE"""),"")</f>
        <v/>
      </c>
      <c r="H52" t="str">
        <f ca="1">IFERROR(__xludf.DUMMYFUNCTION("""COMPUTED_VALUE"""),"Andrea Hallberg")</f>
        <v>Andrea Hallberg</v>
      </c>
      <c r="I52" t="str">
        <f ca="1">IFERROR(__xludf.DUMMYFUNCTION("""COMPUTED_VALUE"""),"hallberg.andrea@gmail.com")</f>
        <v>hallberg.andrea@gmail.com</v>
      </c>
      <c r="J52" s="49" t="str">
        <f ca="1">IFERROR(__xludf.DUMMYFUNCTION("""COMPUTED_VALUE"""),"Comprehensive")</f>
        <v>Comprehensive</v>
      </c>
      <c r="K52" t="str">
        <f ca="1">IFERROR(__xludf.DUMMYFUNCTION("""COMPUTED_VALUE"""),"")</f>
        <v/>
      </c>
    </row>
    <row r="53" spans="1:11" ht="13">
      <c r="A53" t="str">
        <f ca="1">IFERROR(__xludf.DUMMYFUNCTION("""COMPUTED_VALUE"""),"Contacted")</f>
        <v>Contacted</v>
      </c>
      <c r="B53" s="108">
        <f ca="1">IFERROR(__xludf.DUMMYFUNCTION("""COMPUTED_VALUE"""),43819)</f>
        <v>43819</v>
      </c>
      <c r="C53" t="str">
        <f ca="1">IFERROR(__xludf.DUMMYFUNCTION("""COMPUTED_VALUE"""),"")</f>
        <v/>
      </c>
      <c r="D53" s="49" t="str">
        <f ca="1">IFERROR(__xludf.DUMMYFUNCTION("""COMPUTED_VALUE"""),"")</f>
        <v/>
      </c>
      <c r="E53" s="49" t="str">
        <f ca="1">IFERROR(__xludf.DUMMYFUNCTION("""COMPUTED_VALUE"""),"No")</f>
        <v>No</v>
      </c>
      <c r="F53" s="49" t="str">
        <f ca="1">IFERROR(__xludf.DUMMYFUNCTION("""COMPUTED_VALUE"""),"Gene Disease Validity")</f>
        <v>Gene Disease Validity</v>
      </c>
      <c r="G53" t="str">
        <f ca="1">IFERROR(__xludf.DUMMYFUNCTION("""COMPUTED_VALUE"""),"")</f>
        <v/>
      </c>
      <c r="H53" t="str">
        <f ca="1">IFERROR(__xludf.DUMMYFUNCTION("""COMPUTED_VALUE"""),"Ingrid Paine")</f>
        <v>Ingrid Paine</v>
      </c>
      <c r="I53" t="str">
        <f ca="1">IFERROR(__xludf.DUMMYFUNCTION("""COMPUTED_VALUE"""),"runquist@alumni.bcm.edu")</f>
        <v>runquist@alumni.bcm.edu</v>
      </c>
      <c r="J53" s="49" t="str">
        <f ca="1">IFERROR(__xludf.DUMMYFUNCTION("""COMPUTED_VALUE"""),"Comprehensive")</f>
        <v>Comprehensive</v>
      </c>
      <c r="K53" t="str">
        <f ca="1">IFERROR(__xludf.DUMMYFUNCTION("""COMPUTED_VALUE"""),"Epilepsy genes and neurodevelopmental")</f>
        <v>Epilepsy genes and neurodevelopmental</v>
      </c>
    </row>
    <row r="54" spans="1:11" ht="13">
      <c r="A54" t="str">
        <f ca="1">IFERROR(__xludf.DUMMYFUNCTION("""COMPUTED_VALUE"""),"Contacted")</f>
        <v>Contacted</v>
      </c>
      <c r="B54" s="108">
        <f ca="1">IFERROR(__xludf.DUMMYFUNCTION("""COMPUTED_VALUE"""),43819)</f>
        <v>43819</v>
      </c>
      <c r="C54" s="108" t="str">
        <f ca="1">IFERROR(__xludf.DUMMYFUNCTION("""COMPUTED_VALUE"""),"")</f>
        <v/>
      </c>
      <c r="D54" s="49" t="str">
        <f ca="1">IFERROR(__xludf.DUMMYFUNCTION("""COMPUTED_VALUE"""),"")</f>
        <v/>
      </c>
      <c r="E54" s="49" t="str">
        <f ca="1">IFERROR(__xludf.DUMMYFUNCTION("""COMPUTED_VALUE"""),"No")</f>
        <v>No</v>
      </c>
      <c r="F54" s="49" t="str">
        <f ca="1">IFERROR(__xludf.DUMMYFUNCTION("""COMPUTED_VALUE"""),"Gene Disease Validity")</f>
        <v>Gene Disease Validity</v>
      </c>
      <c r="G54" t="str">
        <f ca="1">IFERROR(__xludf.DUMMYFUNCTION("""COMPUTED_VALUE"""),"")</f>
        <v/>
      </c>
      <c r="H54" t="str">
        <f ca="1">IFERROR(__xludf.DUMMYFUNCTION("""COMPUTED_VALUE"""),"Emma Reble")</f>
        <v>Emma Reble</v>
      </c>
      <c r="I54" t="str">
        <f ca="1">IFERROR(__xludf.DUMMYFUNCTION("""COMPUTED_VALUE"""),"reblee@smh.ca")</f>
        <v>reblee@smh.ca</v>
      </c>
      <c r="J54" s="49" t="str">
        <f ca="1">IFERROR(__xludf.DUMMYFUNCTION("""COMPUTED_VALUE"""),"Comprehensive")</f>
        <v>Comprehensive</v>
      </c>
      <c r="K54" t="str">
        <f ca="1">IFERROR(__xludf.DUMMYFUNCTION("""COMPUTED_VALUE"""),"ID/Autism")</f>
        <v>ID/Autism</v>
      </c>
    </row>
    <row r="55" spans="1:11" ht="13">
      <c r="A55" t="str">
        <f ca="1">IFERROR(__xludf.DUMMYFUNCTION("""COMPUTED_VALUE"""),"Contacted")</f>
        <v>Contacted</v>
      </c>
      <c r="B55" t="str">
        <f ca="1">IFERROR(__xludf.DUMMYFUNCTION("""COMPUTED_VALUE"""),"")</f>
        <v/>
      </c>
      <c r="C55" s="106">
        <f ca="1">IFERROR(__xludf.DUMMYFUNCTION("""COMPUTED_VALUE"""),43692)</f>
        <v>43692</v>
      </c>
      <c r="D55" s="49" t="str">
        <f ca="1">IFERROR(__xludf.DUMMYFUNCTION("""COMPUTED_VALUE"""),"Yes")</f>
        <v>Yes</v>
      </c>
      <c r="E55" s="49" t="str">
        <f ca="1">IFERROR(__xludf.DUMMYFUNCTION("""COMPUTED_VALUE"""),"Yes")</f>
        <v>Yes</v>
      </c>
      <c r="F55" s="49" t="str">
        <f ca="1">IFERROR(__xludf.DUMMYFUNCTION("""COMPUTED_VALUE"""),"Gene Disease Validity")</f>
        <v>Gene Disease Validity</v>
      </c>
      <c r="G55" t="str">
        <f ca="1">IFERROR(__xludf.DUMMYFUNCTION("""COMPUTED_VALUE"""),"")</f>
        <v/>
      </c>
      <c r="H55" t="str">
        <f ca="1">IFERROR(__xludf.DUMMYFUNCTION("""COMPUTED_VALUE"""),"Amruta Phatak")</f>
        <v>Amruta Phatak</v>
      </c>
      <c r="I55" t="str">
        <f ca="1">IFERROR(__xludf.DUMMYFUNCTION("""COMPUTED_VALUE"""),"arphatak@iu.edu")</f>
        <v>arphatak@iu.edu</v>
      </c>
      <c r="J55" s="49" t="str">
        <f ca="1">IFERROR(__xludf.DUMMYFUNCTION("""COMPUTED_VALUE"""),"Comprehensive")</f>
        <v>Comprehensive</v>
      </c>
      <c r="K55" t="str">
        <f ca="1">IFERROR(__xludf.DUMMYFUNCTION("""COMPUTED_VALUE"""),"")</f>
        <v/>
      </c>
    </row>
    <row r="56" spans="1:11" ht="13">
      <c r="A56" t="str">
        <f ca="1">IFERROR(__xludf.DUMMYFUNCTION("""COMPUTED_VALUE"""),"Contacted")</f>
        <v>Contacted</v>
      </c>
      <c r="B56" s="108">
        <f ca="1">IFERROR(__xludf.DUMMYFUNCTION("""COMPUTED_VALUE"""),43819)</f>
        <v>43819</v>
      </c>
      <c r="C56" t="str">
        <f ca="1">IFERROR(__xludf.DUMMYFUNCTION("""COMPUTED_VALUE"""),"")</f>
        <v/>
      </c>
      <c r="D56" s="49" t="str">
        <f ca="1">IFERROR(__xludf.DUMMYFUNCTION("""COMPUTED_VALUE"""),"")</f>
        <v/>
      </c>
      <c r="E56" s="49" t="str">
        <f ca="1">IFERROR(__xludf.DUMMYFUNCTION("""COMPUTED_VALUE"""),"No")</f>
        <v>No</v>
      </c>
      <c r="F56" s="49" t="str">
        <f ca="1">IFERROR(__xludf.DUMMYFUNCTION("""COMPUTED_VALUE"""),"Gene Disease Validity")</f>
        <v>Gene Disease Validity</v>
      </c>
      <c r="G56" t="str">
        <f ca="1">IFERROR(__xludf.DUMMYFUNCTION("""COMPUTED_VALUE"""),"")</f>
        <v/>
      </c>
      <c r="H56" t="str">
        <f ca="1">IFERROR(__xludf.DUMMYFUNCTION("""COMPUTED_VALUE"""),"Claudia Gonzaga-Jauregui")</f>
        <v>Claudia Gonzaga-Jauregui</v>
      </c>
      <c r="I56" t="str">
        <f ca="1">IFERROR(__xludf.DUMMYFUNCTION("""COMPUTED_VALUE"""),"cgonzagaj@gmail.com")</f>
        <v>cgonzagaj@gmail.com</v>
      </c>
      <c r="J56" s="49" t="str">
        <f ca="1">IFERROR(__xludf.DUMMYFUNCTION("""COMPUTED_VALUE"""),"Comprehensive")</f>
        <v>Comprehensive</v>
      </c>
      <c r="K56" t="str">
        <f ca="1">IFERROR(__xludf.DUMMYFUNCTION("""COMPUTED_VALUE"""),"Intellectual Disability and Autism, Brain Malformations, Charcot-Marie-Tooth Disease")</f>
        <v>Intellectual Disability and Autism, Brain Malformations, Charcot-Marie-Tooth Disease</v>
      </c>
    </row>
    <row r="57" spans="1:11" ht="13">
      <c r="A57" t="str">
        <f ca="1">IFERROR(__xludf.DUMMYFUNCTION("""COMPUTED_VALUE"""),"Contacted")</f>
        <v>Contacted</v>
      </c>
      <c r="B57" t="str">
        <f ca="1">IFERROR(__xludf.DUMMYFUNCTION("""COMPUTED_VALUE"""),"")</f>
        <v/>
      </c>
      <c r="C57" s="106">
        <f ca="1">IFERROR(__xludf.DUMMYFUNCTION("""COMPUTED_VALUE"""),43692)</f>
        <v>43692</v>
      </c>
      <c r="D57" s="49" t="str">
        <f ca="1">IFERROR(__xludf.DUMMYFUNCTION("""COMPUTED_VALUE"""),"Yes")</f>
        <v>Yes</v>
      </c>
      <c r="E57" s="49" t="str">
        <f ca="1">IFERROR(__xludf.DUMMYFUNCTION("""COMPUTED_VALUE"""),"Yes")</f>
        <v>Yes</v>
      </c>
      <c r="F57" s="49" t="str">
        <f ca="1">IFERROR(__xludf.DUMMYFUNCTION("""COMPUTED_VALUE"""),"Gene Disease Validity")</f>
        <v>Gene Disease Validity</v>
      </c>
      <c r="G57" t="str">
        <f ca="1">IFERROR(__xludf.DUMMYFUNCTION("""COMPUTED_VALUE"""),"")</f>
        <v/>
      </c>
      <c r="H57" t="str">
        <f ca="1">IFERROR(__xludf.DUMMYFUNCTION("""COMPUTED_VALUE"""),"Jean Davidson")</f>
        <v>Jean Davidson</v>
      </c>
      <c r="I57" t="str">
        <f ca="1">IFERROR(__xludf.DUMMYFUNCTION("""COMPUTED_VALUE"""),"jdavid06@calpoly.edu")</f>
        <v>jdavid06@calpoly.edu</v>
      </c>
      <c r="J57" s="49" t="str">
        <f ca="1">IFERROR(__xludf.DUMMYFUNCTION("""COMPUTED_VALUE"""),"Comprehensive")</f>
        <v>Comprehensive</v>
      </c>
      <c r="K57" t="str">
        <f ca="1">IFERROR(__xludf.DUMMYFUNCTION("""COMPUTED_VALUE"""),"mitochondrial diseases, dilated cardiomyopathy, ")</f>
        <v xml:space="preserve">mitochondrial diseases, dilated cardiomyopathy, </v>
      </c>
    </row>
    <row r="58" spans="1:11" ht="13">
      <c r="A58" t="str">
        <f ca="1">IFERROR(__xludf.DUMMYFUNCTION("""COMPUTED_VALUE"""),"Unassigned")</f>
        <v>Unassigned</v>
      </c>
      <c r="B58" t="str">
        <f ca="1">IFERROR(__xludf.DUMMYFUNCTION("""COMPUTED_VALUE"""),"")</f>
        <v/>
      </c>
      <c r="C58" t="str">
        <f ca="1">IFERROR(__xludf.DUMMYFUNCTION("""COMPUTED_VALUE"""),"")</f>
        <v/>
      </c>
      <c r="D58" s="49" t="str">
        <f ca="1">IFERROR(__xludf.DUMMYFUNCTION("""COMPUTED_VALUE"""),"")</f>
        <v/>
      </c>
      <c r="E58" s="49" t="str">
        <f ca="1">IFERROR(__xludf.DUMMYFUNCTION("""COMPUTED_VALUE"""),"No")</f>
        <v>No</v>
      </c>
      <c r="F58" s="49" t="str">
        <f ca="1">IFERROR(__xludf.DUMMYFUNCTION("""COMPUTED_VALUE"""),"Gene Disease Validity")</f>
        <v>Gene Disease Validity</v>
      </c>
      <c r="G58" t="str">
        <f ca="1">IFERROR(__xludf.DUMMYFUNCTION("""COMPUTED_VALUE"""),"")</f>
        <v/>
      </c>
      <c r="H58" t="str">
        <f ca="1">IFERROR(__xludf.DUMMYFUNCTION("""COMPUTED_VALUE"""),"Amruta Phatak")</f>
        <v>Amruta Phatak</v>
      </c>
      <c r="I58" t="str">
        <f ca="1">IFERROR(__xludf.DUMMYFUNCTION("""COMPUTED_VALUE"""),"arphatak@iu.edu")</f>
        <v>arphatak@iu.edu</v>
      </c>
      <c r="J58" s="49" t="str">
        <f ca="1">IFERROR(__xludf.DUMMYFUNCTION("""COMPUTED_VALUE"""),"Comprehensive")</f>
        <v>Comprehensive</v>
      </c>
      <c r="K58" t="str">
        <f ca="1">IFERROR(__xludf.DUMMYFUNCTION("""COMPUTED_VALUE"""),"")</f>
        <v/>
      </c>
    </row>
    <row r="59" spans="1:11" ht="13">
      <c r="A59" t="str">
        <f ca="1">IFERROR(__xludf.DUMMYFUNCTION("""COMPUTED_VALUE"""),"Contacted")</f>
        <v>Contacted</v>
      </c>
      <c r="B59" t="str">
        <f ca="1">IFERROR(__xludf.DUMMYFUNCTION("""COMPUTED_VALUE"""),"")</f>
        <v/>
      </c>
      <c r="C59" s="106">
        <f ca="1">IFERROR(__xludf.DUMMYFUNCTION("""COMPUTED_VALUE"""),43692)</f>
        <v>43692</v>
      </c>
      <c r="D59" s="49" t="str">
        <f ca="1">IFERROR(__xludf.DUMMYFUNCTION("""COMPUTED_VALUE"""),"Yes")</f>
        <v>Yes</v>
      </c>
      <c r="E59" s="49" t="str">
        <f ca="1">IFERROR(__xludf.DUMMYFUNCTION("""COMPUTED_VALUE"""),"Yes")</f>
        <v>Yes</v>
      </c>
      <c r="F59" s="49" t="str">
        <f ca="1">IFERROR(__xludf.DUMMYFUNCTION("""COMPUTED_VALUE"""),"Gene Disease Validity")</f>
        <v>Gene Disease Validity</v>
      </c>
      <c r="G59" t="str">
        <f ca="1">IFERROR(__xludf.DUMMYFUNCTION("""COMPUTED_VALUE"""),"")</f>
        <v/>
      </c>
      <c r="H59" t="str">
        <f ca="1">IFERROR(__xludf.DUMMYFUNCTION("""COMPUTED_VALUE"""),"Marc Lataillade")</f>
        <v>Marc Lataillade</v>
      </c>
      <c r="I59" t="str">
        <f ca="1">IFERROR(__xludf.DUMMYFUNCTION("""COMPUTED_VALUE"""),"marclataillade258@gmail.com")</f>
        <v>marclataillade258@gmail.com</v>
      </c>
      <c r="J59" s="49" t="str">
        <f ca="1">IFERROR(__xludf.DUMMYFUNCTION("""COMPUTED_VALUE"""),"Comprehensive")</f>
        <v>Comprehensive</v>
      </c>
      <c r="K59" t="str">
        <f ca="1">IFERROR(__xludf.DUMMYFUNCTION("""COMPUTED_VALUE"""),"Of the panels listed I am interested in the aminoacidopathy and VHL group.")</f>
        <v>Of the panels listed I am interested in the aminoacidopathy and VHL group.</v>
      </c>
    </row>
    <row r="60" spans="1:11" ht="13">
      <c r="A60" t="str">
        <f ca="1">IFERROR(__xludf.DUMMYFUNCTION("""COMPUTED_VALUE"""),"Contacted")</f>
        <v>Contacted</v>
      </c>
      <c r="B60" t="str">
        <f ca="1">IFERROR(__xludf.DUMMYFUNCTION("""COMPUTED_VALUE"""),"")</f>
        <v/>
      </c>
      <c r="C60" s="106">
        <f ca="1">IFERROR(__xludf.DUMMYFUNCTION("""COMPUTED_VALUE"""),43692)</f>
        <v>43692</v>
      </c>
      <c r="D60" s="49" t="str">
        <f ca="1">IFERROR(__xludf.DUMMYFUNCTION("""COMPUTED_VALUE"""),"Yes")</f>
        <v>Yes</v>
      </c>
      <c r="E60" s="49" t="str">
        <f ca="1">IFERROR(__xludf.DUMMYFUNCTION("""COMPUTED_VALUE"""),"Yes")</f>
        <v>Yes</v>
      </c>
      <c r="F60" s="49" t="str">
        <f ca="1">IFERROR(__xludf.DUMMYFUNCTION("""COMPUTED_VALUE"""),"Gene Disease Validity")</f>
        <v>Gene Disease Validity</v>
      </c>
      <c r="G60" t="str">
        <f ca="1">IFERROR(__xludf.DUMMYFUNCTION("""COMPUTED_VALUE"""),"")</f>
        <v/>
      </c>
      <c r="H60" t="str">
        <f ca="1">IFERROR(__xludf.DUMMYFUNCTION("""COMPUTED_VALUE"""),"Mayher Patel")</f>
        <v>Mayher Patel</v>
      </c>
      <c r="I60" t="str">
        <f ca="1">IFERROR(__xludf.DUMMYFUNCTION("""COMPUTED_VALUE"""),"mayher@broadinstitute.org")</f>
        <v>mayher@broadinstitute.org</v>
      </c>
      <c r="J60" s="49" t="str">
        <f ca="1">IFERROR(__xludf.DUMMYFUNCTION("""COMPUTED_VALUE"""),"Comprehensive")</f>
        <v>Comprehensive</v>
      </c>
      <c r="K60" t="str">
        <f ca="1">IFERROR(__xludf.DUMMYFUNCTION("""COMPUTED_VALUE"""),"")</f>
        <v/>
      </c>
    </row>
    <row r="61" spans="1:11" ht="13">
      <c r="A61" t="str">
        <f ca="1">IFERROR(__xludf.DUMMYFUNCTION("""COMPUTED_VALUE"""),"Contacted")</f>
        <v>Contacted</v>
      </c>
      <c r="B61" t="str">
        <f ca="1">IFERROR(__xludf.DUMMYFUNCTION("""COMPUTED_VALUE"""),"")</f>
        <v/>
      </c>
      <c r="C61" s="106">
        <f ca="1">IFERROR(__xludf.DUMMYFUNCTION("""COMPUTED_VALUE"""),43692)</f>
        <v>43692</v>
      </c>
      <c r="D61" s="49" t="str">
        <f ca="1">IFERROR(__xludf.DUMMYFUNCTION("""COMPUTED_VALUE"""),"Yes")</f>
        <v>Yes</v>
      </c>
      <c r="E61" s="49" t="str">
        <f ca="1">IFERROR(__xludf.DUMMYFUNCTION("""COMPUTED_VALUE"""),"Yes")</f>
        <v>Yes</v>
      </c>
      <c r="F61" s="49" t="str">
        <f ca="1">IFERROR(__xludf.DUMMYFUNCTION("""COMPUTED_VALUE"""),"Gene Disease Validity")</f>
        <v>Gene Disease Validity</v>
      </c>
      <c r="G61" t="str">
        <f ca="1">IFERROR(__xludf.DUMMYFUNCTION("""COMPUTED_VALUE"""),"")</f>
        <v/>
      </c>
      <c r="H61" t="str">
        <f ca="1">IFERROR(__xludf.DUMMYFUNCTION("""COMPUTED_VALUE"""),"Hwaida Hannoush")</f>
        <v>Hwaida Hannoush</v>
      </c>
      <c r="I61" t="str">
        <f ca="1">IFERROR(__xludf.DUMMYFUNCTION("""COMPUTED_VALUE"""),"hhannoush@acmg.net")</f>
        <v>hhannoush@acmg.net</v>
      </c>
      <c r="J61" s="49" t="str">
        <f ca="1">IFERROR(__xludf.DUMMYFUNCTION("""COMPUTED_VALUE"""),"Comprehensive")</f>
        <v>Comprehensive</v>
      </c>
      <c r="K61" t="str">
        <f ca="1">IFERROR(__xludf.DUMMYFUNCTION("""COMPUTED_VALUE"""),"Cardiomyopathy, Familial Hypercholesterolemia")</f>
        <v>Cardiomyopathy, Familial Hypercholesterolemia</v>
      </c>
    </row>
    <row r="62" spans="1:11" ht="13">
      <c r="A62" t="str">
        <f ca="1">IFERROR(__xludf.DUMMYFUNCTION("""COMPUTED_VALUE"""),"Contacted")</f>
        <v>Contacted</v>
      </c>
      <c r="B62" s="108">
        <f ca="1">IFERROR(__xludf.DUMMYFUNCTION("""COMPUTED_VALUE"""),43819)</f>
        <v>43819</v>
      </c>
      <c r="C62" t="str">
        <f ca="1">IFERROR(__xludf.DUMMYFUNCTION("""COMPUTED_VALUE"""),"")</f>
        <v/>
      </c>
      <c r="D62" s="49" t="str">
        <f ca="1">IFERROR(__xludf.DUMMYFUNCTION("""COMPUTED_VALUE"""),"")</f>
        <v/>
      </c>
      <c r="E62" s="49" t="str">
        <f ca="1">IFERROR(__xludf.DUMMYFUNCTION("""COMPUTED_VALUE"""),"No")</f>
        <v>No</v>
      </c>
      <c r="F62" s="49" t="str">
        <f ca="1">IFERROR(__xludf.DUMMYFUNCTION("""COMPUTED_VALUE"""),"Gene Disease Validity")</f>
        <v>Gene Disease Validity</v>
      </c>
      <c r="G62" t="str">
        <f ca="1">IFERROR(__xludf.DUMMYFUNCTION("""COMPUTED_VALUE"""),"")</f>
        <v/>
      </c>
      <c r="H62" t="str">
        <f ca="1">IFERROR(__xludf.DUMMYFUNCTION("""COMPUTED_VALUE"""),"Jennifer Hull")</f>
        <v>Jennifer Hull</v>
      </c>
      <c r="I62" t="str">
        <f ca="1">IFERROR(__xludf.DUMMYFUNCTION("""COMPUTED_VALUE"""),"jhull86@gmail.com")</f>
        <v>jhull86@gmail.com</v>
      </c>
      <c r="J62" s="49" t="str">
        <f ca="1">IFERROR(__xludf.DUMMYFUNCTION("""COMPUTED_VALUE"""),"comprehensive")</f>
        <v>comprehensive</v>
      </c>
      <c r="K62" t="str">
        <f ca="1">IFERROR(__xludf.DUMMYFUNCTION("""COMPUTED_VALUE"""),"Phenylketonuria Variant Curation Expert Panel, epilepsy, CMT, hypercholesterolemia, colorectal cancer")</f>
        <v>Phenylketonuria Variant Curation Expert Panel, epilepsy, CMT, hypercholesterolemia, colorectal cancer</v>
      </c>
    </row>
    <row r="63" spans="1:11" ht="13">
      <c r="A63" t="str">
        <f ca="1">IFERROR(__xludf.DUMMYFUNCTION("""COMPUTED_VALUE"""),"Contacted")</f>
        <v>Contacted</v>
      </c>
      <c r="B63" s="108">
        <f ca="1">IFERROR(__xludf.DUMMYFUNCTION("""COMPUTED_VALUE"""),43819)</f>
        <v>43819</v>
      </c>
      <c r="C63" t="str">
        <f ca="1">IFERROR(__xludf.DUMMYFUNCTION("""COMPUTED_VALUE"""),"")</f>
        <v/>
      </c>
      <c r="D63" s="49" t="str">
        <f ca="1">IFERROR(__xludf.DUMMYFUNCTION("""COMPUTED_VALUE"""),"")</f>
        <v/>
      </c>
      <c r="E63" s="49" t="str">
        <f ca="1">IFERROR(__xludf.DUMMYFUNCTION("""COMPUTED_VALUE"""),"No")</f>
        <v>No</v>
      </c>
      <c r="F63" s="49" t="str">
        <f ca="1">IFERROR(__xludf.DUMMYFUNCTION("""COMPUTED_VALUE"""),"Gene Disease Validity")</f>
        <v>Gene Disease Validity</v>
      </c>
      <c r="G63" t="str">
        <f ca="1">IFERROR(__xludf.DUMMYFUNCTION("""COMPUTED_VALUE"""),"")</f>
        <v/>
      </c>
      <c r="H63" t="str">
        <f ca="1">IFERROR(__xludf.DUMMYFUNCTION("""COMPUTED_VALUE"""),"MEGHA DANI")</f>
        <v>MEGHA DANI</v>
      </c>
      <c r="I63" t="str">
        <f ca="1">IFERROR(__xludf.DUMMYFUNCTION("""COMPUTED_VALUE"""),"meghamdani@gmail.com")</f>
        <v>meghamdani@gmail.com</v>
      </c>
      <c r="J63" s="49" t="str">
        <f ca="1">IFERROR(__xludf.DUMMYFUNCTION("""COMPUTED_VALUE"""),"Comprehensive")</f>
        <v>Comprehensive</v>
      </c>
      <c r="K63" t="str">
        <f ca="1">IFERROR(__xludf.DUMMYFUNCTION("""COMPUTED_VALUE"""),"Yes")</f>
        <v>Yes</v>
      </c>
    </row>
    <row r="64" spans="1:11" ht="13">
      <c r="A64" t="str">
        <f ca="1">IFERROR(__xludf.DUMMYFUNCTION("""COMPUTED_VALUE"""),"Contacted")</f>
        <v>Contacted</v>
      </c>
      <c r="B64" t="str">
        <f ca="1">IFERROR(__xludf.DUMMYFUNCTION("""COMPUTED_VALUE"""),"")</f>
        <v/>
      </c>
      <c r="C64" s="106">
        <f ca="1">IFERROR(__xludf.DUMMYFUNCTION("""COMPUTED_VALUE"""),43692)</f>
        <v>43692</v>
      </c>
      <c r="D64" s="49" t="str">
        <f ca="1">IFERROR(__xludf.DUMMYFUNCTION("""COMPUTED_VALUE"""),"Yes")</f>
        <v>Yes</v>
      </c>
      <c r="E64" s="49" t="str">
        <f ca="1">IFERROR(__xludf.DUMMYFUNCTION("""COMPUTED_VALUE"""),"No")</f>
        <v>No</v>
      </c>
      <c r="F64" s="49" t="str">
        <f ca="1">IFERROR(__xludf.DUMMYFUNCTION("""COMPUTED_VALUE"""),"Gene Disease Validity")</f>
        <v>Gene Disease Validity</v>
      </c>
      <c r="G64" t="str">
        <f ca="1">IFERROR(__xludf.DUMMYFUNCTION("""COMPUTED_VALUE"""),"")</f>
        <v/>
      </c>
      <c r="H64" t="str">
        <f ca="1">IFERROR(__xludf.DUMMYFUNCTION("""COMPUTED_VALUE"""),"SAILATHA RAVI")</f>
        <v>SAILATHA RAVI</v>
      </c>
      <c r="I64" t="str">
        <f ca="1">IFERROR(__xludf.DUMMYFUNCTION("""COMPUTED_VALUE"""),"sailatha.ravi@gmail.com")</f>
        <v>sailatha.ravi@gmail.com</v>
      </c>
      <c r="J64" s="49" t="str">
        <f ca="1">IFERROR(__xludf.DUMMYFUNCTION("""COMPUTED_VALUE"""),"Comprehensive")</f>
        <v>Comprehensive</v>
      </c>
      <c r="K64" t="str">
        <f ca="1">IFERROR(__xludf.DUMMYFUNCTION("""COMPUTED_VALUE"""),"")</f>
        <v/>
      </c>
    </row>
    <row r="65" spans="1:11" ht="13">
      <c r="A65" t="str">
        <f ca="1">IFERROR(__xludf.DUMMYFUNCTION("""COMPUTED_VALUE"""),"Contacted")</f>
        <v>Contacted</v>
      </c>
      <c r="B65" s="108">
        <f ca="1">IFERROR(__xludf.DUMMYFUNCTION("""COMPUTED_VALUE"""),43819)</f>
        <v>43819</v>
      </c>
      <c r="C65" t="str">
        <f ca="1">IFERROR(__xludf.DUMMYFUNCTION("""COMPUTED_VALUE"""),"")</f>
        <v/>
      </c>
      <c r="D65" s="49" t="str">
        <f ca="1">IFERROR(__xludf.DUMMYFUNCTION("""COMPUTED_VALUE"""),"")</f>
        <v/>
      </c>
      <c r="E65" s="49" t="str">
        <f ca="1">IFERROR(__xludf.DUMMYFUNCTION("""COMPUTED_VALUE"""),"No")</f>
        <v>No</v>
      </c>
      <c r="F65" s="49" t="str">
        <f ca="1">IFERROR(__xludf.DUMMYFUNCTION("""COMPUTED_VALUE"""),"Gene Disease Validity")</f>
        <v>Gene Disease Validity</v>
      </c>
      <c r="G65" t="str">
        <f ca="1">IFERROR(__xludf.DUMMYFUNCTION("""COMPUTED_VALUE"""),"")</f>
        <v/>
      </c>
      <c r="H65" t="str">
        <f ca="1">IFERROR(__xludf.DUMMYFUNCTION("""COMPUTED_VALUE"""),"Yasser Sullcahuaman Allende")</f>
        <v>Yasser Sullcahuaman Allende</v>
      </c>
      <c r="I65" t="str">
        <f ca="1">IFERROR(__xludf.DUMMYFUNCTION("""COMPUTED_VALUE"""),"ysullcahuaman@hotmail.com")</f>
        <v>ysullcahuaman@hotmail.com</v>
      </c>
      <c r="J65" s="49" t="str">
        <f ca="1">IFERROR(__xludf.DUMMYFUNCTION("""COMPUTED_VALUE"""),"Comprehensive")</f>
        <v>Comprehensive</v>
      </c>
      <c r="K65" t="str">
        <f ca="1">IFERROR(__xludf.DUMMYFUNCTION("""COMPUTED_VALUE"""),"Hereditary cancer")</f>
        <v>Hereditary cancer</v>
      </c>
    </row>
    <row r="66" spans="1:11" ht="13">
      <c r="A66" t="str">
        <f ca="1">IFERROR(__xludf.DUMMYFUNCTION("""COMPUTED_VALUE"""),"Contacted")</f>
        <v>Contacted</v>
      </c>
      <c r="B66" s="108">
        <f ca="1">IFERROR(__xludf.DUMMYFUNCTION("""COMPUTED_VALUE"""),43819)</f>
        <v>43819</v>
      </c>
      <c r="C66" t="str">
        <f ca="1">IFERROR(__xludf.DUMMYFUNCTION("""COMPUTED_VALUE"""),"")</f>
        <v/>
      </c>
      <c r="D66" s="49" t="str">
        <f ca="1">IFERROR(__xludf.DUMMYFUNCTION("""COMPUTED_VALUE"""),"")</f>
        <v/>
      </c>
      <c r="E66" s="49" t="str">
        <f ca="1">IFERROR(__xludf.DUMMYFUNCTION("""COMPUTED_VALUE"""),"No")</f>
        <v>No</v>
      </c>
      <c r="F66" s="49" t="str">
        <f ca="1">IFERROR(__xludf.DUMMYFUNCTION("""COMPUTED_VALUE"""),"Gene Disease Validity")</f>
        <v>Gene Disease Validity</v>
      </c>
      <c r="G66" t="str">
        <f ca="1">IFERROR(__xludf.DUMMYFUNCTION("""COMPUTED_VALUE"""),"")</f>
        <v/>
      </c>
      <c r="H66" t="str">
        <f ca="1">IFERROR(__xludf.DUMMYFUNCTION("""COMPUTED_VALUE"""),"Krista Bluske")</f>
        <v>Krista Bluske</v>
      </c>
      <c r="I66" t="str">
        <f ca="1">IFERROR(__xludf.DUMMYFUNCTION("""COMPUTED_VALUE"""),"kbluske@illumina.com")</f>
        <v>kbluske@illumina.com</v>
      </c>
      <c r="J66" s="49" t="str">
        <f ca="1">IFERROR(__xludf.DUMMYFUNCTION("""COMPUTED_VALUE"""),"Comprehensive")</f>
        <v>Comprehensive</v>
      </c>
      <c r="K66" t="str">
        <f ca="1">IFERROR(__xludf.DUMMYFUNCTION("""COMPUTED_VALUE"""),"Mitochondrial Diseases expert panel (already participating), the soon-to-be-formed RUGD expert panel")</f>
        <v>Mitochondrial Diseases expert panel (already participating), the soon-to-be-formed RUGD expert panel</v>
      </c>
    </row>
    <row r="67" spans="1:11" ht="13">
      <c r="A67" t="str">
        <f ca="1">IFERROR(__xludf.DUMMYFUNCTION("""COMPUTED_VALUE"""),"Contacted")</f>
        <v>Contacted</v>
      </c>
      <c r="B67" s="108">
        <f ca="1">IFERROR(__xludf.DUMMYFUNCTION("""COMPUTED_VALUE"""),43819)</f>
        <v>43819</v>
      </c>
      <c r="C67" t="str">
        <f ca="1">IFERROR(__xludf.DUMMYFUNCTION("""COMPUTED_VALUE"""),"")</f>
        <v/>
      </c>
      <c r="D67" s="49" t="str">
        <f ca="1">IFERROR(__xludf.DUMMYFUNCTION("""COMPUTED_VALUE"""),"")</f>
        <v/>
      </c>
      <c r="E67" s="49" t="str">
        <f ca="1">IFERROR(__xludf.DUMMYFUNCTION("""COMPUTED_VALUE"""),"No")</f>
        <v>No</v>
      </c>
      <c r="F67" s="49" t="str">
        <f ca="1">IFERROR(__xludf.DUMMYFUNCTION("""COMPUTED_VALUE"""),"Gene Disease Validity")</f>
        <v>Gene Disease Validity</v>
      </c>
      <c r="G67" t="str">
        <f ca="1">IFERROR(__xludf.DUMMYFUNCTION("""COMPUTED_VALUE"""),"")</f>
        <v/>
      </c>
      <c r="H67" t="str">
        <f ca="1">IFERROR(__xludf.DUMMYFUNCTION("""COMPUTED_VALUE"""),"Amanda Clause")</f>
        <v>Amanda Clause</v>
      </c>
      <c r="I67" t="str">
        <f ca="1">IFERROR(__xludf.DUMMYFUNCTION("""COMPUTED_VALUE"""),"aclause@illumina.com")</f>
        <v>aclause@illumina.com</v>
      </c>
      <c r="J67" s="49" t="str">
        <f ca="1">IFERROR(__xludf.DUMMYFUNCTION("""COMPUTED_VALUE"""),"Comprehensive")</f>
        <v>Comprehensive</v>
      </c>
      <c r="K67" t="str">
        <f ca="1">IFERROR(__xludf.DUMMYFUNCTION("""COMPUTED_VALUE"""),"mitochondrial diseases, rare disease")</f>
        <v>mitochondrial diseases, rare disease</v>
      </c>
    </row>
    <row r="68" spans="1:11" ht="13">
      <c r="A68" t="str">
        <f ca="1">IFERROR(__xludf.DUMMYFUNCTION("""COMPUTED_VALUE"""),"Contacted")</f>
        <v>Contacted</v>
      </c>
      <c r="B68" s="108">
        <f ca="1">IFERROR(__xludf.DUMMYFUNCTION("""COMPUTED_VALUE"""),43819)</f>
        <v>43819</v>
      </c>
      <c r="C68" t="str">
        <f ca="1">IFERROR(__xludf.DUMMYFUNCTION("""COMPUTED_VALUE"""),"")</f>
        <v/>
      </c>
      <c r="D68" s="49" t="str">
        <f ca="1">IFERROR(__xludf.DUMMYFUNCTION("""COMPUTED_VALUE"""),"")</f>
        <v/>
      </c>
      <c r="E68" s="49" t="str">
        <f ca="1">IFERROR(__xludf.DUMMYFUNCTION("""COMPUTED_VALUE"""),"No")</f>
        <v>No</v>
      </c>
      <c r="F68" s="49" t="str">
        <f ca="1">IFERROR(__xludf.DUMMYFUNCTION("""COMPUTED_VALUE"""),"Gene Disease Validity")</f>
        <v>Gene Disease Validity</v>
      </c>
      <c r="G68" t="str">
        <f ca="1">IFERROR(__xludf.DUMMYFUNCTION("""COMPUTED_VALUE"""),"")</f>
        <v/>
      </c>
      <c r="H68" t="str">
        <f ca="1">IFERROR(__xludf.DUMMYFUNCTION("""COMPUTED_VALUE"""),"Julie P Taylor")</f>
        <v>Julie P Taylor</v>
      </c>
      <c r="I68" t="str">
        <f ca="1">IFERROR(__xludf.DUMMYFUNCTION("""COMPUTED_VALUE"""),"jtaylor1@illumina.com")</f>
        <v>jtaylor1@illumina.com</v>
      </c>
      <c r="J68" s="49" t="str">
        <f ca="1">IFERROR(__xludf.DUMMYFUNCTION("""COMPUTED_VALUE"""),"Comprehensive")</f>
        <v>Comprehensive</v>
      </c>
      <c r="K68" t="str">
        <f ca="1">IFERROR(__xludf.DUMMYFUNCTION("""COMPUTED_VALUE"""),"")</f>
        <v/>
      </c>
    </row>
    <row r="69" spans="1:11" ht="13">
      <c r="A69" t="str">
        <f ca="1">IFERROR(__xludf.DUMMYFUNCTION("""COMPUTED_VALUE"""),"Contacted")</f>
        <v>Contacted</v>
      </c>
      <c r="B69" s="108">
        <f ca="1">IFERROR(__xludf.DUMMYFUNCTION("""COMPUTED_VALUE"""),43840)</f>
        <v>43840</v>
      </c>
      <c r="C69" t="str">
        <f ca="1">IFERROR(__xludf.DUMMYFUNCTION("""COMPUTED_VALUE"""),"")</f>
        <v/>
      </c>
      <c r="D69" s="49" t="str">
        <f ca="1">IFERROR(__xludf.DUMMYFUNCTION("""COMPUTED_VALUE"""),"")</f>
        <v/>
      </c>
      <c r="E69" s="49" t="str">
        <f ca="1">IFERROR(__xludf.DUMMYFUNCTION("""COMPUTED_VALUE"""),"No")</f>
        <v>No</v>
      </c>
      <c r="F69" s="49" t="str">
        <f ca="1">IFERROR(__xludf.DUMMYFUNCTION("""COMPUTED_VALUE"""),"Gene Disease Validity")</f>
        <v>Gene Disease Validity</v>
      </c>
      <c r="G69" t="str">
        <f ca="1">IFERROR(__xludf.DUMMYFUNCTION("""COMPUTED_VALUE"""),"")</f>
        <v/>
      </c>
      <c r="H69" t="str">
        <f ca="1">IFERROR(__xludf.DUMMYFUNCTION("""COMPUTED_VALUE"""),"Charlene Preys")</f>
        <v>Charlene Preys</v>
      </c>
      <c r="I69" t="str">
        <f ca="1">IFERROR(__xludf.DUMMYFUNCTION("""COMPUTED_VALUE"""),"clpreys@bwh.harvard.edu")</f>
        <v>clpreys@bwh.harvard.edu</v>
      </c>
      <c r="J69" s="49" t="str">
        <f ca="1">IFERROR(__xludf.DUMMYFUNCTION("""COMPUTED_VALUE"""),"Comprehensive")</f>
        <v>Comprehensive</v>
      </c>
      <c r="K69" t="str">
        <f ca="1">IFERROR(__xludf.DUMMYFUNCTION("""COMPUTED_VALUE"""),"TP53 or Mitochondrial (will gladly help any panel/working group) - Hereditary cancer, Hemostasis or Congenital Myopathy")</f>
        <v>TP53 or Mitochondrial (will gladly help any panel/working group) - Hereditary cancer, Hemostasis or Congenital Myopathy</v>
      </c>
    </row>
    <row r="70" spans="1:11" ht="13">
      <c r="A70" t="str">
        <f ca="1">IFERROR(__xludf.DUMMYFUNCTION("""COMPUTED_VALUE"""),"Contacted")</f>
        <v>Contacted</v>
      </c>
      <c r="B70" s="108">
        <f ca="1">IFERROR(__xludf.DUMMYFUNCTION("""COMPUTED_VALUE"""),43819)</f>
        <v>43819</v>
      </c>
      <c r="C70" t="str">
        <f ca="1">IFERROR(__xludf.DUMMYFUNCTION("""COMPUTED_VALUE"""),"")</f>
        <v/>
      </c>
      <c r="D70" s="49" t="str">
        <f ca="1">IFERROR(__xludf.DUMMYFUNCTION("""COMPUTED_VALUE"""),"")</f>
        <v/>
      </c>
      <c r="E70" s="49" t="str">
        <f ca="1">IFERROR(__xludf.DUMMYFUNCTION("""COMPUTED_VALUE"""),"No")</f>
        <v>No</v>
      </c>
      <c r="F70" s="49" t="str">
        <f ca="1">IFERROR(__xludf.DUMMYFUNCTION("""COMPUTED_VALUE"""),"Gene Disease Validity")</f>
        <v>Gene Disease Validity</v>
      </c>
      <c r="G70" t="str">
        <f ca="1">IFERROR(__xludf.DUMMYFUNCTION("""COMPUTED_VALUE"""),"")</f>
        <v/>
      </c>
      <c r="H70" t="str">
        <f ca="1">IFERROR(__xludf.DUMMYFUNCTION("""COMPUTED_VALUE"""),"Laura Roht")</f>
        <v>Laura Roht</v>
      </c>
      <c r="I70" t="str">
        <f ca="1">IFERROR(__xludf.DUMMYFUNCTION("""COMPUTED_VALUE"""),"laura.roht@kliinikum.ee")</f>
        <v>laura.roht@kliinikum.ee</v>
      </c>
      <c r="J70" s="49" t="str">
        <f ca="1">IFERROR(__xludf.DUMMYFUNCTION("""COMPUTED_VALUE"""),"Comprehensive")</f>
        <v>Comprehensive</v>
      </c>
      <c r="K70" t="str">
        <f ca="1">IFERROR(__xludf.DUMMYFUNCTION("""COMPUTED_VALUE"""),"Hereditary Cancer")</f>
        <v>Hereditary Cancer</v>
      </c>
    </row>
    <row r="71" spans="1:11" ht="13">
      <c r="A71" t="str">
        <f ca="1">IFERROR(__xludf.DUMMYFUNCTION("""COMPUTED_VALUE"""),"Contacted")</f>
        <v>Contacted</v>
      </c>
      <c r="B71" t="str">
        <f ca="1">IFERROR(__xludf.DUMMYFUNCTION("""COMPUTED_VALUE"""),"")</f>
        <v/>
      </c>
      <c r="C71" s="112">
        <f ca="1">IFERROR(__xludf.DUMMYFUNCTION("""COMPUTED_VALUE"""),43585)</f>
        <v>43585</v>
      </c>
      <c r="D71" s="49" t="str">
        <f ca="1">IFERROR(__xludf.DUMMYFUNCTION("""COMPUTED_VALUE"""),"Yes")</f>
        <v>Yes</v>
      </c>
      <c r="E71" s="49" t="str">
        <f ca="1">IFERROR(__xludf.DUMMYFUNCTION("""COMPUTED_VALUE"""),"No")</f>
        <v>No</v>
      </c>
      <c r="F71" s="49" t="str">
        <f ca="1">IFERROR(__xludf.DUMMYFUNCTION("""COMPUTED_VALUE"""),"Gene Disease Validity")</f>
        <v>Gene Disease Validity</v>
      </c>
      <c r="G71" t="str">
        <f ca="1">IFERROR(__xludf.DUMMYFUNCTION("""COMPUTED_VALUE"""),"")</f>
        <v/>
      </c>
      <c r="H71" t="str">
        <f ca="1">IFERROR(__xludf.DUMMYFUNCTION("""COMPUTED_VALUE"""),"Coumarane Mani")</f>
        <v>Coumarane Mani</v>
      </c>
      <c r="I71" t="str">
        <f ca="1">IFERROR(__xludf.DUMMYFUNCTION("""COMPUTED_VALUE"""),"coumarane.mani@aruplab.com")</f>
        <v>coumarane.mani@aruplab.com</v>
      </c>
      <c r="J71" s="49" t="str">
        <f ca="1">IFERROR(__xludf.DUMMYFUNCTION("""COMPUTED_VALUE"""),"Comprehensive")</f>
        <v>Comprehensive</v>
      </c>
      <c r="K71" t="str">
        <f ca="1">IFERROR(__xludf.DUMMYFUNCTION("""COMPUTED_VALUE"""),"")</f>
        <v/>
      </c>
    </row>
    <row r="72" spans="1:11" ht="13">
      <c r="A72" t="str">
        <f ca="1">IFERROR(__xludf.DUMMYFUNCTION("""COMPUTED_VALUE"""),"Contacted")</f>
        <v>Contacted</v>
      </c>
      <c r="B72" s="108">
        <f ca="1">IFERROR(__xludf.DUMMYFUNCTION("""COMPUTED_VALUE"""),43819)</f>
        <v>43819</v>
      </c>
      <c r="C72" s="107">
        <f ca="1">IFERROR(__xludf.DUMMYFUNCTION("""COMPUTED_VALUE"""),43846)</f>
        <v>43846</v>
      </c>
      <c r="D72" s="49" t="str">
        <f ca="1">IFERROR(__xludf.DUMMYFUNCTION("""COMPUTED_VALUE"""),"Yes")</f>
        <v>Yes</v>
      </c>
      <c r="E72" s="49" t="str">
        <f ca="1">IFERROR(__xludf.DUMMYFUNCTION("""COMPUTED_VALUE"""),"No")</f>
        <v>No</v>
      </c>
      <c r="F72" s="49" t="str">
        <f ca="1">IFERROR(__xludf.DUMMYFUNCTION("""COMPUTED_VALUE"""),"Gene Disease Validity")</f>
        <v>Gene Disease Validity</v>
      </c>
      <c r="G72" t="str">
        <f ca="1">IFERROR(__xludf.DUMMYFUNCTION("""COMPUTED_VALUE"""),"")</f>
        <v/>
      </c>
      <c r="H72" t="str">
        <f ca="1">IFERROR(__xludf.DUMMYFUNCTION("""COMPUTED_VALUE"""),"Xiaoting Ma")</f>
        <v>Xiaoting Ma</v>
      </c>
      <c r="I72" t="str">
        <f ca="1">IFERROR(__xludf.DUMMYFUNCTION("""COMPUTED_VALUE"""),"Xiaoting.Ma@childrens.harvard.edu")</f>
        <v>Xiaoting.Ma@childrens.harvard.edu</v>
      </c>
      <c r="J72" s="49" t="str">
        <f ca="1">IFERROR(__xludf.DUMMYFUNCTION("""COMPUTED_VALUE"""),"Comprehensive")</f>
        <v>Comprehensive</v>
      </c>
      <c r="K72" t="str">
        <f ca="1">IFERROR(__xludf.DUMMYFUNCTION("""COMPUTED_VALUE"""),"I am open to any opportunities")</f>
        <v>I am open to any opportunities</v>
      </c>
    </row>
    <row r="73" spans="1:11" ht="13">
      <c r="A73" t="str">
        <f ca="1">IFERROR(__xludf.DUMMYFUNCTION("""COMPUTED_VALUE"""),"Contacted")</f>
        <v>Contacted</v>
      </c>
      <c r="B73" s="108">
        <f ca="1">IFERROR(__xludf.DUMMYFUNCTION("""COMPUTED_VALUE"""),43819)</f>
        <v>43819</v>
      </c>
      <c r="C73" t="str">
        <f ca="1">IFERROR(__xludf.DUMMYFUNCTION("""COMPUTED_VALUE"""),"")</f>
        <v/>
      </c>
      <c r="D73" s="49" t="str">
        <f ca="1">IFERROR(__xludf.DUMMYFUNCTION("""COMPUTED_VALUE"""),"")</f>
        <v/>
      </c>
      <c r="E73" s="49" t="str">
        <f ca="1">IFERROR(__xludf.DUMMYFUNCTION("""COMPUTED_VALUE"""),"No")</f>
        <v>No</v>
      </c>
      <c r="F73" s="49" t="str">
        <f ca="1">IFERROR(__xludf.DUMMYFUNCTION("""COMPUTED_VALUE"""),"Gene Disease Validity")</f>
        <v>Gene Disease Validity</v>
      </c>
      <c r="G73" t="str">
        <f ca="1">IFERROR(__xludf.DUMMYFUNCTION("""COMPUTED_VALUE"""),"")</f>
        <v/>
      </c>
      <c r="H73" t="str">
        <f ca="1">IFERROR(__xludf.DUMMYFUNCTION("""COMPUTED_VALUE"""),"Sali Farhan")</f>
        <v>Sali Farhan</v>
      </c>
      <c r="I73" t="str">
        <f ca="1">IFERROR(__xludf.DUMMYFUNCTION("""COMPUTED_VALUE"""),"sfarhan@broadinstitute.org")</f>
        <v>sfarhan@broadinstitute.org</v>
      </c>
      <c r="J73" s="49" t="str">
        <f ca="1">IFERROR(__xludf.DUMMYFUNCTION("""COMPUTED_VALUE"""),"Comprehensive")</f>
        <v>Comprehensive</v>
      </c>
      <c r="K73" t="str">
        <f ca="1">IFERROR(__xludf.DUMMYFUNCTION("""COMPUTED_VALUE"""),"")</f>
        <v/>
      </c>
    </row>
    <row r="74" spans="1:11" ht="13">
      <c r="A74" t="str">
        <f ca="1">IFERROR(__xludf.DUMMYFUNCTION("""COMPUTED_VALUE"""),"Contacted")</f>
        <v>Contacted</v>
      </c>
      <c r="B74" t="str">
        <f ca="1">IFERROR(__xludf.DUMMYFUNCTION("""COMPUTED_VALUE"""),"")</f>
        <v/>
      </c>
      <c r="C74" s="107">
        <f ca="1">IFERROR(__xludf.DUMMYFUNCTION("""COMPUTED_VALUE"""),43846)</f>
        <v>43846</v>
      </c>
      <c r="D74" s="49" t="str">
        <f ca="1">IFERROR(__xludf.DUMMYFUNCTION("""COMPUTED_VALUE"""),"Yes")</f>
        <v>Yes</v>
      </c>
      <c r="E74" s="49" t="str">
        <f ca="1">IFERROR(__xludf.DUMMYFUNCTION("""COMPUTED_VALUE"""),"Yes")</f>
        <v>Yes</v>
      </c>
      <c r="F74" s="49" t="str">
        <f ca="1">IFERROR(__xludf.DUMMYFUNCTION("""COMPUTED_VALUE"""),"Gene Disease Validity")</f>
        <v>Gene Disease Validity</v>
      </c>
      <c r="G74" t="str">
        <f ca="1">IFERROR(__xludf.DUMMYFUNCTION("""COMPUTED_VALUE"""),"")</f>
        <v/>
      </c>
      <c r="H74" t="str">
        <f ca="1">IFERROR(__xludf.DUMMYFUNCTION("""COMPUTED_VALUE"""),"Julie Kim ")</f>
        <v xml:space="preserve">Julie Kim </v>
      </c>
      <c r="I74" t="str">
        <f ca="1">IFERROR(__xludf.DUMMYFUNCTION("""COMPUTED_VALUE"""),"serin.kim@nih.gov")</f>
        <v>serin.kim@nih.gov</v>
      </c>
      <c r="J74" s="49" t="str">
        <f ca="1">IFERROR(__xludf.DUMMYFUNCTION("""COMPUTED_VALUE"""),"Comprehensive")</f>
        <v>Comprehensive</v>
      </c>
      <c r="K74" t="str">
        <f ca="1">IFERROR(__xludf.DUMMYFUNCTION("""COMPUTED_VALUE"""),"Cardiomyopathy, Brain Malformations, hearing loss")</f>
        <v>Cardiomyopathy, Brain Malformations, hearing loss</v>
      </c>
    </row>
    <row r="75" spans="1:11" ht="13">
      <c r="A75" t="str">
        <f ca="1">IFERROR(__xludf.DUMMYFUNCTION("""COMPUTED_VALUE"""),"Contacted")</f>
        <v>Contacted</v>
      </c>
      <c r="B75" s="108">
        <f ca="1">IFERROR(__xludf.DUMMYFUNCTION("""COMPUTED_VALUE"""),43819)</f>
        <v>43819</v>
      </c>
      <c r="C75" s="107">
        <f ca="1">IFERROR(__xludf.DUMMYFUNCTION("""COMPUTED_VALUE"""),43846)</f>
        <v>43846</v>
      </c>
      <c r="D75" s="49" t="str">
        <f ca="1">IFERROR(__xludf.DUMMYFUNCTION("""COMPUTED_VALUE"""),"Yes")</f>
        <v>Yes</v>
      </c>
      <c r="E75" s="49" t="str">
        <f ca="1">IFERROR(__xludf.DUMMYFUNCTION("""COMPUTED_VALUE"""),"No")</f>
        <v>No</v>
      </c>
      <c r="F75" s="49" t="str">
        <f ca="1">IFERROR(__xludf.DUMMYFUNCTION("""COMPUTED_VALUE"""),"Gene Disease Validity")</f>
        <v>Gene Disease Validity</v>
      </c>
      <c r="G75" t="str">
        <f ca="1">IFERROR(__xludf.DUMMYFUNCTION("""COMPUTED_VALUE"""),"")</f>
        <v/>
      </c>
      <c r="H75" t="str">
        <f ca="1">IFERROR(__xludf.DUMMYFUNCTION("""COMPUTED_VALUE"""),"Ikeoluwa Osei-Owusu")</f>
        <v>Ikeoluwa Osei-Owusu</v>
      </c>
      <c r="I75" t="str">
        <f ca="1">IFERROR(__xludf.DUMMYFUNCTION("""COMPUTED_VALUE"""),"ikeoluwa@jhmi.edu")</f>
        <v>ikeoluwa@jhmi.edu</v>
      </c>
      <c r="J75" s="49" t="str">
        <f ca="1">IFERROR(__xludf.DUMMYFUNCTION("""COMPUTED_VALUE"""),"Comprehensive")</f>
        <v>Comprehensive</v>
      </c>
      <c r="K75" t="str">
        <f ca="1">IFERROR(__xludf.DUMMYFUNCTION("""COMPUTED_VALUE"""),"Neurodevelopmental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76" spans="1:11" ht="13">
      <c r="A76" t="str">
        <f ca="1">IFERROR(__xludf.DUMMYFUNCTION("""COMPUTED_VALUE"""),"Contacted")</f>
        <v>Contacted</v>
      </c>
      <c r="B76" s="108">
        <f ca="1">IFERROR(__xludf.DUMMYFUNCTION("""COMPUTED_VALUE"""),43819)</f>
        <v>43819</v>
      </c>
      <c r="C76" s="107">
        <f ca="1">IFERROR(__xludf.DUMMYFUNCTION("""COMPUTED_VALUE"""),43846)</f>
        <v>43846</v>
      </c>
      <c r="D76" s="49" t="str">
        <f ca="1">IFERROR(__xludf.DUMMYFUNCTION("""COMPUTED_VALUE"""),"Yes")</f>
        <v>Yes</v>
      </c>
      <c r="E76" s="49" t="str">
        <f ca="1">IFERROR(__xludf.DUMMYFUNCTION("""COMPUTED_VALUE"""),"No")</f>
        <v>No</v>
      </c>
      <c r="F76" s="49" t="str">
        <f ca="1">IFERROR(__xludf.DUMMYFUNCTION("""COMPUTED_VALUE"""),"Gene Disease Validity")</f>
        <v>Gene Disease Validity</v>
      </c>
      <c r="G76" t="str">
        <f ca="1">IFERROR(__xludf.DUMMYFUNCTION("""COMPUTED_VALUE"""),"")</f>
        <v/>
      </c>
      <c r="H76" t="str">
        <f ca="1">IFERROR(__xludf.DUMMYFUNCTION("""COMPUTED_VALUE"""),"Beth Stronach")</f>
        <v>Beth Stronach</v>
      </c>
      <c r="I76" t="str">
        <f ca="1">IFERROR(__xludf.DUMMYFUNCTION("""COMPUTED_VALUE"""),"stronach@pitt.edu")</f>
        <v>stronach@pitt.edu</v>
      </c>
      <c r="J76" s="49" t="str">
        <f ca="1">IFERROR(__xludf.DUMMYFUNCTION("""COMPUTED_VALUE"""),"Comprehensive")</f>
        <v>Comprehensive</v>
      </c>
      <c r="K76" t="str">
        <f ca="1">IFERROR(__xludf.DUMMYFUNCTION("""COMPUTED_VALUE"""),"RASopathy, neurodevelopmental, or myopathy groups")</f>
        <v>RASopathy, neurodevelopmental, or myopathy groups</v>
      </c>
    </row>
    <row r="77" spans="1:11" ht="13">
      <c r="A77" t="str">
        <f ca="1">IFERROR(__xludf.DUMMYFUNCTION("""COMPUTED_VALUE"""),"Contacted")</f>
        <v>Contacted</v>
      </c>
      <c r="B77" s="108">
        <f ca="1">IFERROR(__xludf.DUMMYFUNCTION("""COMPUTED_VALUE"""),43819)</f>
        <v>43819</v>
      </c>
      <c r="C77" t="str">
        <f ca="1">IFERROR(__xludf.DUMMYFUNCTION("""COMPUTED_VALUE"""),"")</f>
        <v/>
      </c>
      <c r="D77" s="49" t="str">
        <f ca="1">IFERROR(__xludf.DUMMYFUNCTION("""COMPUTED_VALUE"""),"")</f>
        <v/>
      </c>
      <c r="E77" s="49" t="str">
        <f ca="1">IFERROR(__xludf.DUMMYFUNCTION("""COMPUTED_VALUE"""),"No")</f>
        <v>No</v>
      </c>
      <c r="F77" s="49" t="str">
        <f ca="1">IFERROR(__xludf.DUMMYFUNCTION("""COMPUTED_VALUE"""),"Gene Disease Validity")</f>
        <v>Gene Disease Validity</v>
      </c>
      <c r="G77" t="str">
        <f ca="1">IFERROR(__xludf.DUMMYFUNCTION("""COMPUTED_VALUE"""),"")</f>
        <v/>
      </c>
      <c r="H77" t="str">
        <f ca="1">IFERROR(__xludf.DUMMYFUNCTION("""COMPUTED_VALUE"""),"Vasiliki Rahimzadeh")</f>
        <v>Vasiliki Rahimzadeh</v>
      </c>
      <c r="I77" t="str">
        <f ca="1">IFERROR(__xludf.DUMMYFUNCTION("""COMPUTED_VALUE"""),"vrahim@stanford.edu")</f>
        <v>vrahim@stanford.edu</v>
      </c>
      <c r="J77" s="49" t="str">
        <f ca="1">IFERROR(__xludf.DUMMYFUNCTION("""COMPUTED_VALUE"""),"Comprehensive")</f>
        <v>Comprehensive</v>
      </c>
      <c r="K77" t="str">
        <f ca="1">IFERROR(__xludf.DUMMYFUNCTION("""COMPUTED_VALUE"""),"Yes, pediatric cancer or rare genetic disease ")</f>
        <v xml:space="preserve">Yes, pediatric cancer or rare genetic disease </v>
      </c>
    </row>
    <row r="78" spans="1:11" ht="13">
      <c r="A78" t="str">
        <f ca="1">IFERROR(__xludf.DUMMYFUNCTION("""COMPUTED_VALUE"""),"Contacted")</f>
        <v>Contacted</v>
      </c>
      <c r="B78" s="108">
        <f ca="1">IFERROR(__xludf.DUMMYFUNCTION("""COMPUTED_VALUE"""),43819)</f>
        <v>43819</v>
      </c>
      <c r="C78" t="str">
        <f ca="1">IFERROR(__xludf.DUMMYFUNCTION("""COMPUTED_VALUE"""),"")</f>
        <v/>
      </c>
      <c r="D78" s="49" t="str">
        <f ca="1">IFERROR(__xludf.DUMMYFUNCTION("""COMPUTED_VALUE"""),"")</f>
        <v/>
      </c>
      <c r="E78" s="49" t="str">
        <f ca="1">IFERROR(__xludf.DUMMYFUNCTION("""COMPUTED_VALUE"""),"No")</f>
        <v>No</v>
      </c>
      <c r="F78" s="49" t="str">
        <f ca="1">IFERROR(__xludf.DUMMYFUNCTION("""COMPUTED_VALUE"""),"Gene Disease Validity")</f>
        <v>Gene Disease Validity</v>
      </c>
      <c r="G78" t="str">
        <f ca="1">IFERROR(__xludf.DUMMYFUNCTION("""COMPUTED_VALUE"""),"")</f>
        <v/>
      </c>
      <c r="H78" t="str">
        <f ca="1">IFERROR(__xludf.DUMMYFUNCTION("""COMPUTED_VALUE"""),"Sha Tang")</f>
        <v>Sha Tang</v>
      </c>
      <c r="I78" t="str">
        <f ca="1">IFERROR(__xludf.DUMMYFUNCTION("""COMPUTED_VALUE"""),"stang@wuxinextcode.cm")</f>
        <v>stang@wuxinextcode.cm</v>
      </c>
      <c r="J78" s="49" t="str">
        <f ca="1">IFERROR(__xludf.DUMMYFUNCTION("""COMPUTED_VALUE"""),"Comprehensive")</f>
        <v>Comprehensive</v>
      </c>
      <c r="K78" t="str">
        <f ca="1">IFERROR(__xludf.DUMMYFUNCTION("""COMPUTED_VALUE"""),"Intellectual Disability and Autism, Mitochondrial Diseases")</f>
        <v>Intellectual Disability and Autism, Mitochondrial Diseases</v>
      </c>
    </row>
    <row r="79" spans="1:11" ht="13">
      <c r="A79" t="str">
        <f ca="1">IFERROR(__xludf.DUMMYFUNCTION("""COMPUTED_VALUE"""),"Contacted")</f>
        <v>Contacted</v>
      </c>
      <c r="B79" s="108">
        <f ca="1">IFERROR(__xludf.DUMMYFUNCTION("""COMPUTED_VALUE"""),43819)</f>
        <v>43819</v>
      </c>
      <c r="C79" t="str">
        <f ca="1">IFERROR(__xludf.DUMMYFUNCTION("""COMPUTED_VALUE"""),"")</f>
        <v/>
      </c>
      <c r="D79" s="49" t="str">
        <f ca="1">IFERROR(__xludf.DUMMYFUNCTION("""COMPUTED_VALUE"""),"")</f>
        <v/>
      </c>
      <c r="E79" s="49" t="str">
        <f ca="1">IFERROR(__xludf.DUMMYFUNCTION("""COMPUTED_VALUE"""),"No")</f>
        <v>No</v>
      </c>
      <c r="F79" s="49" t="str">
        <f ca="1">IFERROR(__xludf.DUMMYFUNCTION("""COMPUTED_VALUE"""),"Gene Disease Validity")</f>
        <v>Gene Disease Validity</v>
      </c>
      <c r="G79" t="str">
        <f ca="1">IFERROR(__xludf.DUMMYFUNCTION("""COMPUTED_VALUE"""),"")</f>
        <v/>
      </c>
      <c r="H79" t="str">
        <f ca="1">IFERROR(__xludf.DUMMYFUNCTION("""COMPUTED_VALUE"""),"Steve Waring")</f>
        <v>Steve Waring</v>
      </c>
      <c r="I79" t="str">
        <f ca="1">IFERROR(__xludf.DUMMYFUNCTION("""COMPUTED_VALUE"""),"stephen.waring@essentiahealth.org")</f>
        <v>stephen.waring@essentiahealth.org</v>
      </c>
      <c r="J79" s="49" t="str">
        <f ca="1">IFERROR(__xludf.DUMMYFUNCTION("""COMPUTED_VALUE"""),"Comprehensive")</f>
        <v>Comprehensive</v>
      </c>
      <c r="K79" t="str">
        <f ca="1">IFERROR(__xludf.DUMMYFUNCTION("""COMPUTED_VALUE"""),"Open to assignment based on greatest need")</f>
        <v>Open to assignment based on greatest need</v>
      </c>
    </row>
    <row r="80" spans="1:11" ht="13">
      <c r="A80" t="str">
        <f ca="1">IFERROR(__xludf.DUMMYFUNCTION("""COMPUTED_VALUE"""),"Contacted")</f>
        <v>Contacted</v>
      </c>
      <c r="B80" s="108">
        <f ca="1">IFERROR(__xludf.DUMMYFUNCTION("""COMPUTED_VALUE"""),43819)</f>
        <v>43819</v>
      </c>
      <c r="C80" t="str">
        <f ca="1">IFERROR(__xludf.DUMMYFUNCTION("""COMPUTED_VALUE"""),"")</f>
        <v/>
      </c>
      <c r="D80" s="49" t="str">
        <f ca="1">IFERROR(__xludf.DUMMYFUNCTION("""COMPUTED_VALUE"""),"")</f>
        <v/>
      </c>
      <c r="E80" s="49" t="str">
        <f ca="1">IFERROR(__xludf.DUMMYFUNCTION("""COMPUTED_VALUE"""),"No")</f>
        <v>No</v>
      </c>
      <c r="F80" s="49" t="str">
        <f ca="1">IFERROR(__xludf.DUMMYFUNCTION("""COMPUTED_VALUE"""),"Gene Disease Validity")</f>
        <v>Gene Disease Validity</v>
      </c>
      <c r="G80" t="str">
        <f ca="1">IFERROR(__xludf.DUMMYFUNCTION("""COMPUTED_VALUE"""),"")</f>
        <v/>
      </c>
      <c r="H80" t="str">
        <f ca="1">IFERROR(__xludf.DUMMYFUNCTION("""COMPUTED_VALUE"""),"Mansour Zamanpoor")</f>
        <v>Mansour Zamanpoor</v>
      </c>
      <c r="I80" t="str">
        <f ca="1">IFERROR(__xludf.DUMMYFUNCTION("""COMPUTED_VALUE"""),"mansour.zamanpoor@ccdhb.org.nz")</f>
        <v>mansour.zamanpoor@ccdhb.org.nz</v>
      </c>
      <c r="J80" s="49" t="str">
        <f ca="1">IFERROR(__xludf.DUMMYFUNCTION("""COMPUTED_VALUE"""),"Comprehensive")</f>
        <v>Comprehensive</v>
      </c>
      <c r="K80" t="str">
        <f ca="1">IFERROR(__xludf.DUMMYFUNCTION("""COMPUTED_VALUE"""),"")</f>
        <v/>
      </c>
    </row>
    <row r="81" spans="1:11" ht="13">
      <c r="A81" t="str">
        <f ca="1">IFERROR(__xludf.DUMMYFUNCTION("""COMPUTED_VALUE"""),"Contacted")</f>
        <v>Contacted</v>
      </c>
      <c r="B81" s="108">
        <f ca="1">IFERROR(__xludf.DUMMYFUNCTION("""COMPUTED_VALUE"""),43819)</f>
        <v>43819</v>
      </c>
      <c r="C81" s="107">
        <f ca="1">IFERROR(__xludf.DUMMYFUNCTION("""COMPUTED_VALUE"""),43846)</f>
        <v>43846</v>
      </c>
      <c r="D81" s="49" t="str">
        <f ca="1">IFERROR(__xludf.DUMMYFUNCTION("""COMPUTED_VALUE"""),"Yes")</f>
        <v>Yes</v>
      </c>
      <c r="E81" s="49" t="str">
        <f ca="1">IFERROR(__xludf.DUMMYFUNCTION("""COMPUTED_VALUE"""),"Yes")</f>
        <v>Yes</v>
      </c>
      <c r="F81" s="49" t="str">
        <f ca="1">IFERROR(__xludf.DUMMYFUNCTION("""COMPUTED_VALUE"""),"Gene Disease Validity")</f>
        <v>Gene Disease Validity</v>
      </c>
      <c r="G81" t="str">
        <f ca="1">IFERROR(__xludf.DUMMYFUNCTION("""COMPUTED_VALUE"""),"")</f>
        <v/>
      </c>
      <c r="H81" t="str">
        <f ca="1">IFERROR(__xludf.DUMMYFUNCTION("""COMPUTED_VALUE"""),"Marie-Luise Brennan")</f>
        <v>Marie-Luise Brennan</v>
      </c>
      <c r="I81" t="str">
        <f ca="1">IFERROR(__xludf.DUMMYFUNCTION("""COMPUTED_VALUE"""),"mbrennan@acmg.net")</f>
        <v>mbrennan@acmg.net</v>
      </c>
      <c r="J81" s="49" t="str">
        <f ca="1">IFERROR(__xludf.DUMMYFUNCTION("""COMPUTED_VALUE"""),"Comprehensive")</f>
        <v>Comprehensive</v>
      </c>
      <c r="K81" t="str">
        <f ca="1">IFERROR(__xludf.DUMMYFUNCTION("""COMPUTED_VALUE"""),"Low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82" spans="1:11" ht="13">
      <c r="A82" t="str">
        <f ca="1">IFERROR(__xludf.DUMMYFUNCTION("""COMPUTED_VALUE"""),"Contacted")</f>
        <v>Contacted</v>
      </c>
      <c r="B82" s="108">
        <f ca="1">IFERROR(__xludf.DUMMYFUNCTION("""COMPUTED_VALUE"""),43819)</f>
        <v>43819</v>
      </c>
      <c r="C82" s="107">
        <f ca="1">IFERROR(__xludf.DUMMYFUNCTION("""COMPUTED_VALUE"""),43846)</f>
        <v>43846</v>
      </c>
      <c r="D82" s="49" t="str">
        <f ca="1">IFERROR(__xludf.DUMMYFUNCTION("""COMPUTED_VALUE"""),"Yes")</f>
        <v>Yes</v>
      </c>
      <c r="E82" s="49" t="str">
        <f ca="1">IFERROR(__xludf.DUMMYFUNCTION("""COMPUTED_VALUE"""),"No")</f>
        <v>No</v>
      </c>
      <c r="F82" s="49" t="str">
        <f ca="1">IFERROR(__xludf.DUMMYFUNCTION("""COMPUTED_VALUE"""),"Gene Disease Validity")</f>
        <v>Gene Disease Validity</v>
      </c>
      <c r="G82" t="str">
        <f ca="1">IFERROR(__xludf.DUMMYFUNCTION("""COMPUTED_VALUE"""),"")</f>
        <v/>
      </c>
      <c r="H82" t="str">
        <f ca="1">IFERROR(__xludf.DUMMYFUNCTION("""COMPUTED_VALUE"""),"Adriana Bastos Carvalho")</f>
        <v>Adriana Bastos Carvalho</v>
      </c>
      <c r="I82" t="str">
        <f ca="1">IFERROR(__xludf.DUMMYFUNCTION("""COMPUTED_VALUE"""),"carvalhoab@biof.ufrj.br")</f>
        <v>carvalhoab@biof.ufrj.br</v>
      </c>
      <c r="J82" s="49" t="str">
        <f ca="1">IFERROR(__xludf.DUMMYFUNCTION("""COMPUTED_VALUE"""),"Comprehensive")</f>
        <v>Comprehensive</v>
      </c>
      <c r="K82" t="str">
        <f ca="1">IFERROR(__xludf.DUMMYFUNCTION("""COMPUTED_VALUE"""),"Cardiomyopathy Variant Curation Expert Panel")</f>
        <v>Cardiomyopathy Variant Curation Expert Panel</v>
      </c>
    </row>
    <row r="83" spans="1:11" ht="13">
      <c r="A83" t="str">
        <f ca="1">IFERROR(__xludf.DUMMYFUNCTION("""COMPUTED_VALUE"""),"Contacted")</f>
        <v>Contacted</v>
      </c>
      <c r="B83" s="108">
        <f ca="1">IFERROR(__xludf.DUMMYFUNCTION("""COMPUTED_VALUE"""),43819)</f>
        <v>43819</v>
      </c>
      <c r="C83" t="str">
        <f ca="1">IFERROR(__xludf.DUMMYFUNCTION("""COMPUTED_VALUE"""),"")</f>
        <v/>
      </c>
      <c r="D83" s="49" t="str">
        <f ca="1">IFERROR(__xludf.DUMMYFUNCTION("""COMPUTED_VALUE"""),"")</f>
        <v/>
      </c>
      <c r="E83" s="49" t="str">
        <f ca="1">IFERROR(__xludf.DUMMYFUNCTION("""COMPUTED_VALUE"""),"No")</f>
        <v>No</v>
      </c>
      <c r="F83" s="49" t="str">
        <f ca="1">IFERROR(__xludf.DUMMYFUNCTION("""COMPUTED_VALUE"""),"Gene Disease Validity")</f>
        <v>Gene Disease Validity</v>
      </c>
      <c r="G83" t="str">
        <f ca="1">IFERROR(__xludf.DUMMYFUNCTION("""COMPUTED_VALUE"""),"")</f>
        <v/>
      </c>
      <c r="H83" t="str">
        <f ca="1">IFERROR(__xludf.DUMMYFUNCTION("""COMPUTED_VALUE"""),"Megan Puckelwartz")</f>
        <v>Megan Puckelwartz</v>
      </c>
      <c r="I83" t="str">
        <f ca="1">IFERROR(__xludf.DUMMYFUNCTION("""COMPUTED_VALUE"""),"m.puckelwartz@northwestern.edu")</f>
        <v>m.puckelwartz@northwestern.edu</v>
      </c>
      <c r="J83" s="49" t="str">
        <f ca="1">IFERROR(__xludf.DUMMYFUNCTION("""COMPUTED_VALUE"""),"Comprehensive")</f>
        <v>Comprehensive</v>
      </c>
      <c r="K83" t="str">
        <f ca="1">IFERROR(__xludf.DUMMYFUNCTION("""COMPUTED_VALUE"""),"cardiomyopathy")</f>
        <v>cardiomyopathy</v>
      </c>
    </row>
    <row r="84" spans="1:11" ht="13">
      <c r="A84" t="str">
        <f ca="1">IFERROR(__xludf.DUMMYFUNCTION("""COMPUTED_VALUE"""),"Contacted")</f>
        <v>Contacted</v>
      </c>
      <c r="B84" s="108">
        <f ca="1">IFERROR(__xludf.DUMMYFUNCTION("""COMPUTED_VALUE"""),43819)</f>
        <v>43819</v>
      </c>
      <c r="C84" s="107">
        <f ca="1">IFERROR(__xludf.DUMMYFUNCTION("""COMPUTED_VALUE"""),43846)</f>
        <v>43846</v>
      </c>
      <c r="D84" s="49" t="str">
        <f ca="1">IFERROR(__xludf.DUMMYFUNCTION("""COMPUTED_VALUE"""),"Yes")</f>
        <v>Yes</v>
      </c>
      <c r="E84" s="49" t="str">
        <f ca="1">IFERROR(__xludf.DUMMYFUNCTION("""COMPUTED_VALUE"""),"No")</f>
        <v>No</v>
      </c>
      <c r="F84" s="49" t="str">
        <f ca="1">IFERROR(__xludf.DUMMYFUNCTION("""COMPUTED_VALUE"""),"Gene Disease Validity")</f>
        <v>Gene Disease Validity</v>
      </c>
      <c r="G84" t="str">
        <f ca="1">IFERROR(__xludf.DUMMYFUNCTION("""COMPUTED_VALUE"""),"")</f>
        <v/>
      </c>
      <c r="H84" t="str">
        <f ca="1">IFERROR(__xludf.DUMMYFUNCTION("""COMPUTED_VALUE"""),"Tess Levy")</f>
        <v>Tess Levy</v>
      </c>
      <c r="I84" t="str">
        <f ca="1">IFERROR(__xludf.DUMMYFUNCTION("""COMPUTED_VALUE"""),"tess.levy@mssm.edu")</f>
        <v>tess.levy@mssm.edu</v>
      </c>
      <c r="J84" s="49" t="str">
        <f ca="1">IFERROR(__xludf.DUMMYFUNCTION("""COMPUTED_VALUE"""),"Comprehensive")</f>
        <v>Comprehensive</v>
      </c>
      <c r="K84" t="str">
        <f ca="1">IFERROR(__xludf.DUMMYFUNCTION("""COMPUTED_VALUE"""),"ASD/ID")</f>
        <v>ASD/ID</v>
      </c>
    </row>
    <row r="85" spans="1:11" ht="13">
      <c r="A85" t="str">
        <f ca="1">IFERROR(__xludf.DUMMYFUNCTION("""COMPUTED_VALUE"""),"Contacted")</f>
        <v>Contacted</v>
      </c>
      <c r="B85" s="108">
        <f ca="1">IFERROR(__xludf.DUMMYFUNCTION("""COMPUTED_VALUE"""),43819)</f>
        <v>43819</v>
      </c>
      <c r="C85" s="107">
        <f ca="1">IFERROR(__xludf.DUMMYFUNCTION("""COMPUTED_VALUE"""),43846)</f>
        <v>43846</v>
      </c>
      <c r="D85" s="49" t="str">
        <f ca="1">IFERROR(__xludf.DUMMYFUNCTION("""COMPUTED_VALUE"""),"Yes")</f>
        <v>Yes</v>
      </c>
      <c r="E85" s="49" t="str">
        <f ca="1">IFERROR(__xludf.DUMMYFUNCTION("""COMPUTED_VALUE"""),"Yes")</f>
        <v>Yes</v>
      </c>
      <c r="F85" s="49" t="str">
        <f ca="1">IFERROR(__xludf.DUMMYFUNCTION("""COMPUTED_VALUE"""),"Gene Disease Validity")</f>
        <v>Gene Disease Validity</v>
      </c>
      <c r="G85" t="str">
        <f ca="1">IFERROR(__xludf.DUMMYFUNCTION("""COMPUTED_VALUE"""),"")</f>
        <v/>
      </c>
      <c r="H85" t="str">
        <f ca="1">IFERROR(__xludf.DUMMYFUNCTION("""COMPUTED_VALUE"""),"Xiaoyan Guo ")</f>
        <v xml:space="preserve">Xiaoyan Guo </v>
      </c>
      <c r="I85" t="str">
        <f ca="1">IFERROR(__xludf.DUMMYFUNCTION("""COMPUTED_VALUE"""),"540842557@qq.com")</f>
        <v>540842557@qq.com</v>
      </c>
      <c r="J85" s="49" t="str">
        <f ca="1">IFERROR(__xludf.DUMMYFUNCTION("""COMPUTED_VALUE"""),"Comprehensive")</f>
        <v>Comprehensive</v>
      </c>
      <c r="K85" t="str">
        <f ca="1">IFERROR(__xludf.DUMMYFUNCTION("""COMPUTED_VALUE"""),"")</f>
        <v/>
      </c>
    </row>
    <row r="86" spans="1:11" ht="13">
      <c r="A86" t="str">
        <f ca="1">IFERROR(__xludf.DUMMYFUNCTION("""COMPUTED_VALUE"""),"Contacted")</f>
        <v>Contacted</v>
      </c>
      <c r="B86" s="108">
        <f ca="1">IFERROR(__xludf.DUMMYFUNCTION("""COMPUTED_VALUE"""),43819)</f>
        <v>43819</v>
      </c>
      <c r="C86" t="str">
        <f ca="1">IFERROR(__xludf.DUMMYFUNCTION("""COMPUTED_VALUE"""),"")</f>
        <v/>
      </c>
      <c r="D86" s="49" t="str">
        <f ca="1">IFERROR(__xludf.DUMMYFUNCTION("""COMPUTED_VALUE"""),"")</f>
        <v/>
      </c>
      <c r="E86" s="49" t="str">
        <f ca="1">IFERROR(__xludf.DUMMYFUNCTION("""COMPUTED_VALUE"""),"No")</f>
        <v>No</v>
      </c>
      <c r="F86" s="49" t="str">
        <f ca="1">IFERROR(__xludf.DUMMYFUNCTION("""COMPUTED_VALUE"""),"Gene Disease Validity")</f>
        <v>Gene Disease Validity</v>
      </c>
      <c r="G86" t="str">
        <f ca="1">IFERROR(__xludf.DUMMYFUNCTION("""COMPUTED_VALUE"""),"")</f>
        <v/>
      </c>
      <c r="H86" t="str">
        <f ca="1">IFERROR(__xludf.DUMMYFUNCTION("""COMPUTED_VALUE"""),"Marco Leung")</f>
        <v>Marco Leung</v>
      </c>
      <c r="I86" t="str">
        <f ca="1">IFERROR(__xludf.DUMMYFUNCTION("""COMPUTED_VALUE"""),"marcoleung@me.com")</f>
        <v>marcoleung@me.com</v>
      </c>
      <c r="J86" s="49" t="str">
        <f ca="1">IFERROR(__xludf.DUMMYFUNCTION("""COMPUTED_VALUE"""),"Comprehensive")</f>
        <v>Comprehensive</v>
      </c>
      <c r="K86" t="str">
        <f ca="1">IFERROR(__xludf.DUMMYFUNCTION("""COMPUTED_VALUE"""),"")</f>
        <v/>
      </c>
    </row>
    <row r="87" spans="1:11" ht="13">
      <c r="A87" t="str">
        <f ca="1">IFERROR(__xludf.DUMMYFUNCTION("""COMPUTED_VALUE"""),"Contacted")</f>
        <v>Contacted</v>
      </c>
      <c r="B87" s="108">
        <f ca="1">IFERROR(__xludf.DUMMYFUNCTION("""COMPUTED_VALUE"""),43819)</f>
        <v>43819</v>
      </c>
      <c r="C87" s="107">
        <f ca="1">IFERROR(__xludf.DUMMYFUNCTION("""COMPUTED_VALUE"""),43846)</f>
        <v>43846</v>
      </c>
      <c r="D87" s="49" t="str">
        <f ca="1">IFERROR(__xludf.DUMMYFUNCTION("""COMPUTED_VALUE"""),"Yes")</f>
        <v>Yes</v>
      </c>
      <c r="E87" s="49" t="str">
        <f ca="1">IFERROR(__xludf.DUMMYFUNCTION("""COMPUTED_VALUE"""),"Yes")</f>
        <v>Yes</v>
      </c>
      <c r="F87" s="49" t="str">
        <f ca="1">IFERROR(__xludf.DUMMYFUNCTION("""COMPUTED_VALUE"""),"Gene Disease Validity")</f>
        <v>Gene Disease Validity</v>
      </c>
      <c r="G87" t="str">
        <f ca="1">IFERROR(__xludf.DUMMYFUNCTION("""COMPUTED_VALUE"""),"")</f>
        <v/>
      </c>
      <c r="H87" t="str">
        <f ca="1">IFERROR(__xludf.DUMMYFUNCTION("""COMPUTED_VALUE"""),"Thanuja Selvanayagam")</f>
        <v>Thanuja Selvanayagam</v>
      </c>
      <c r="I87" t="str">
        <f ca="1">IFERROR(__xludf.DUMMYFUNCTION("""COMPUTED_VALUE"""),"tselvanayagam@cheo.on.ca")</f>
        <v>tselvanayagam@cheo.on.ca</v>
      </c>
      <c r="J87" s="49" t="str">
        <f ca="1">IFERROR(__xludf.DUMMYFUNCTION("""COMPUTED_VALUE"""),"Comprehensive")</f>
        <v>Comprehensive</v>
      </c>
      <c r="K87" t="str">
        <f ca="1">IFERROR(__xludf.DUMMYFUNCTION("""COMPUTED_VALUE"""),"Cardiomyopathy ")</f>
        <v xml:space="preserve">Cardiomyopathy </v>
      </c>
    </row>
    <row r="88" spans="1:11" ht="13">
      <c r="A88" t="str">
        <f ca="1">IFERROR(__xludf.DUMMYFUNCTION("""COMPUTED_VALUE"""),"Contacted")</f>
        <v>Contacted</v>
      </c>
      <c r="B88" s="108">
        <f ca="1">IFERROR(__xludf.DUMMYFUNCTION("""COMPUTED_VALUE"""),43838)</f>
        <v>43838</v>
      </c>
      <c r="C88" t="str">
        <f ca="1">IFERROR(__xludf.DUMMYFUNCTION("""COMPUTED_VALUE"""),"")</f>
        <v/>
      </c>
      <c r="D88" s="49" t="str">
        <f ca="1">IFERROR(__xludf.DUMMYFUNCTION("""COMPUTED_VALUE"""),"")</f>
        <v/>
      </c>
      <c r="E88" s="49" t="str">
        <f ca="1">IFERROR(__xludf.DUMMYFUNCTION("""COMPUTED_VALUE"""),"No")</f>
        <v>No</v>
      </c>
      <c r="F88" s="49" t="str">
        <f ca="1">IFERROR(__xludf.DUMMYFUNCTION("""COMPUTED_VALUE"""),"Gene Disease Validity")</f>
        <v>Gene Disease Validity</v>
      </c>
      <c r="G88" t="str">
        <f ca="1">IFERROR(__xludf.DUMMYFUNCTION("""COMPUTED_VALUE"""),"")</f>
        <v/>
      </c>
      <c r="H88" t="str">
        <f ca="1">IFERROR(__xludf.DUMMYFUNCTION("""COMPUTED_VALUE"""),"JACQUELINE BATANIAN")</f>
        <v>JACQUELINE BATANIAN</v>
      </c>
      <c r="I88" t="str">
        <f ca="1">IFERROR(__xludf.DUMMYFUNCTION("""COMPUTED_VALUE"""),"JACQUELINE.BATANIAN@HEALTH.SLU.EDU")</f>
        <v>JACQUELINE.BATANIAN@HEALTH.SLU.EDU</v>
      </c>
      <c r="J88" s="49" t="str">
        <f ca="1">IFERROR(__xludf.DUMMYFUNCTION("""COMPUTED_VALUE"""),"Comprehensive")</f>
        <v>Comprehensive</v>
      </c>
      <c r="K88" t="str">
        <f ca="1">IFERROR(__xludf.DUMMYFUNCTION("""COMPUTED_VALUE"""),"Cardiovascular diseases and Pediatric cancer")</f>
        <v>Cardiovascular diseases and Pediatric cancer</v>
      </c>
    </row>
    <row r="89" spans="1:11" ht="13">
      <c r="A89" t="str">
        <f ca="1">IFERROR(__xludf.DUMMYFUNCTION("""COMPUTED_VALUE"""),"Unassigned")</f>
        <v>Unassigned</v>
      </c>
      <c r="B89" t="str">
        <f ca="1">IFERROR(__xludf.DUMMYFUNCTION("""COMPUTED_VALUE"""),"")</f>
        <v/>
      </c>
      <c r="C89" t="str">
        <f ca="1">IFERROR(__xludf.DUMMYFUNCTION("""COMPUTED_VALUE"""),"")</f>
        <v/>
      </c>
      <c r="D89" s="49" t="str">
        <f ca="1">IFERROR(__xludf.DUMMYFUNCTION("""COMPUTED_VALUE"""),"")</f>
        <v/>
      </c>
      <c r="E89" s="49" t="str">
        <f ca="1">IFERROR(__xludf.DUMMYFUNCTION("""COMPUTED_VALUE"""),"No")</f>
        <v>No</v>
      </c>
      <c r="F89" s="49" t="str">
        <f ca="1">IFERROR(__xludf.DUMMYFUNCTION("""COMPUTED_VALUE"""),"NA")</f>
        <v>NA</v>
      </c>
      <c r="G89" t="str">
        <f ca="1">IFERROR(__xludf.DUMMYFUNCTION("""COMPUTED_VALUE"""),"")</f>
        <v/>
      </c>
      <c r="H89" t="str">
        <f ca="1">IFERROR(__xludf.DUMMYFUNCTION("""COMPUTED_VALUE"""),"Indu Raja")</f>
        <v>Indu Raja</v>
      </c>
      <c r="I89" t="str">
        <f ca="1">IFERROR(__xludf.DUMMYFUNCTION("""COMPUTED_VALUE"""),"indudraja@gmail.com")</f>
        <v>indudraja@gmail.com</v>
      </c>
      <c r="J89" s="49" t="str">
        <f ca="1">IFERROR(__xludf.DUMMYFUNCTION("""COMPUTED_VALUE"""),"Comprehensive")</f>
        <v>Comprehensive</v>
      </c>
      <c r="K89" t="str">
        <f ca="1">IFERROR(__xludf.DUMMYFUNCTION("""COMPUTED_VALUE"""),"Gene curation (Intellectual disability &amp; Autism), Dosage Sensitivity &amp; Clinical Actionability")</f>
        <v>Gene curation (Intellectual disability &amp; Autism), Dosage Sensitivity &amp; Clinical Actionability</v>
      </c>
    </row>
    <row r="90" spans="1:11" ht="13">
      <c r="A90" t="str">
        <f ca="1">IFERROR(__xludf.DUMMYFUNCTION("""COMPUTED_VALUE"""),"Unassigned")</f>
        <v>Unassigned</v>
      </c>
      <c r="B90" t="str">
        <f ca="1">IFERROR(__xludf.DUMMYFUNCTION("""COMPUTED_VALUE"""),"")</f>
        <v/>
      </c>
      <c r="C90" t="str">
        <f ca="1">IFERROR(__xludf.DUMMYFUNCTION("""COMPUTED_VALUE"""),"")</f>
        <v/>
      </c>
      <c r="D90" s="49" t="str">
        <f ca="1">IFERROR(__xludf.DUMMYFUNCTION("""COMPUTED_VALUE"""),"")</f>
        <v/>
      </c>
      <c r="E90" s="49" t="str">
        <f ca="1">IFERROR(__xludf.DUMMYFUNCTION("""COMPUTED_VALUE"""),"No")</f>
        <v>No</v>
      </c>
      <c r="F90" s="49" t="str">
        <f ca="1">IFERROR(__xludf.DUMMYFUNCTION("""COMPUTED_VALUE"""),"NA")</f>
        <v>NA</v>
      </c>
      <c r="G90" t="str">
        <f ca="1">IFERROR(__xludf.DUMMYFUNCTION("""COMPUTED_VALUE"""),"")</f>
        <v/>
      </c>
      <c r="H90" t="str">
        <f ca="1">IFERROR(__xludf.DUMMYFUNCTION("""COMPUTED_VALUE"""),"Joanne Adelberg")</f>
        <v>Joanne Adelberg</v>
      </c>
      <c r="I90" t="str">
        <f ca="1">IFERROR(__xludf.DUMMYFUNCTION("""COMPUTED_VALUE"""),"joanneadelberg@gmail.com")</f>
        <v>joanneadelberg@gmail.com</v>
      </c>
      <c r="J90" s="49" t="str">
        <f ca="1">IFERROR(__xludf.DUMMYFUNCTION("""COMPUTED_VALUE"""),"Comprehensive")</f>
        <v>Comprehensive</v>
      </c>
      <c r="K90" t="str">
        <f ca="1">IFERROR(__xludf.DUMMYFUNCTION("""COMPUTED_VALUE"""),"Will work on groups with the most need-excited for the learning opportunity")</f>
        <v>Will work on groups with the most need-excited for the learning opportunity</v>
      </c>
    </row>
    <row r="91" spans="1:11" ht="13">
      <c r="A91" t="str">
        <f ca="1">IFERROR(__xludf.DUMMYFUNCTION("""COMPUTED_VALUE"""),"Contacted")</f>
        <v>Contacted</v>
      </c>
      <c r="B91" t="str">
        <f ca="1">IFERROR(__xludf.DUMMYFUNCTION("""COMPUTED_VALUE"""),"")</f>
        <v/>
      </c>
      <c r="C91" s="107">
        <f ca="1">IFERROR(__xludf.DUMMYFUNCTION("""COMPUTED_VALUE"""),43846)</f>
        <v>43846</v>
      </c>
      <c r="D91" s="49" t="str">
        <f ca="1">IFERROR(__xludf.DUMMYFUNCTION("""COMPUTED_VALUE"""),"Yes")</f>
        <v>Yes</v>
      </c>
      <c r="E91" s="49" t="str">
        <f ca="1">IFERROR(__xludf.DUMMYFUNCTION("""COMPUTED_VALUE"""),"Yes")</f>
        <v>Yes</v>
      </c>
      <c r="F91" s="49" t="str">
        <f ca="1">IFERROR(__xludf.DUMMYFUNCTION("""COMPUTED_VALUE"""),"Gene Disease Validity")</f>
        <v>Gene Disease Validity</v>
      </c>
      <c r="G91" t="str">
        <f ca="1">IFERROR(__xludf.DUMMYFUNCTION("""COMPUTED_VALUE"""),"")</f>
        <v/>
      </c>
      <c r="H91" t="str">
        <f ca="1">IFERROR(__xludf.DUMMYFUNCTION("""COMPUTED_VALUE"""),"Julie Hathaway")</f>
        <v>Julie Hathaway</v>
      </c>
      <c r="I91" t="str">
        <f ca="1">IFERROR(__xludf.DUMMYFUNCTION("""COMPUTED_VALUE"""),"julie.hathaway@blueprintgenetics.com")</f>
        <v>julie.hathaway@blueprintgenetics.com</v>
      </c>
      <c r="J91" s="49" t="str">
        <f ca="1">IFERROR(__xludf.DUMMYFUNCTION("""COMPUTED_VALUE"""),"Comprehensive")</f>
        <v>Comprehensive</v>
      </c>
      <c r="K91" t="str">
        <f ca="1">IFERROR(__xludf.DUMMYFUNCTION("""COMPUTED_VALUE"""),"Cardiomyopathy")</f>
        <v>Cardiomyopathy</v>
      </c>
    </row>
    <row r="92" spans="1:11" ht="13">
      <c r="A92" t="str">
        <f ca="1">IFERROR(__xludf.DUMMYFUNCTION("""COMPUTED_VALUE"""),"Contacted")</f>
        <v>Contacted</v>
      </c>
      <c r="B92" t="str">
        <f ca="1">IFERROR(__xludf.DUMMYFUNCTION("""COMPUTED_VALUE"""),"")</f>
        <v/>
      </c>
      <c r="C92" s="107">
        <f ca="1">IFERROR(__xludf.DUMMYFUNCTION("""COMPUTED_VALUE"""),43846)</f>
        <v>43846</v>
      </c>
      <c r="D92" s="49" t="str">
        <f ca="1">IFERROR(__xludf.DUMMYFUNCTION("""COMPUTED_VALUE"""),"Yes")</f>
        <v>Yes</v>
      </c>
      <c r="E92" s="49" t="str">
        <f ca="1">IFERROR(__xludf.DUMMYFUNCTION("""COMPUTED_VALUE"""),"No")</f>
        <v>No</v>
      </c>
      <c r="F92" s="49" t="str">
        <f ca="1">IFERROR(__xludf.DUMMYFUNCTION("""COMPUTED_VALUE"""),"Gene Disease Validity")</f>
        <v>Gene Disease Validity</v>
      </c>
      <c r="G92" t="str">
        <f ca="1">IFERROR(__xludf.DUMMYFUNCTION("""COMPUTED_VALUE"""),"")</f>
        <v/>
      </c>
      <c r="H92" t="str">
        <f ca="1">IFERROR(__xludf.DUMMYFUNCTION("""COMPUTED_VALUE"""),"Devon Thrush")</f>
        <v>Devon Thrush</v>
      </c>
      <c r="I92" t="str">
        <f ca="1">IFERROR(__xludf.DUMMYFUNCTION("""COMPUTED_VALUE"""),"dthrush@ambrygen.com")</f>
        <v>dthrush@ambrygen.com</v>
      </c>
      <c r="J92" s="49" t="str">
        <f ca="1">IFERROR(__xludf.DUMMYFUNCTION("""COMPUTED_VALUE"""),"Comprehensive")</f>
        <v>Comprehensive</v>
      </c>
      <c r="K92" t="str">
        <f ca="1">IFERROR(__xludf.DUMMYFUNCTION("""COMPUTED_VALUE"""),"")</f>
        <v/>
      </c>
    </row>
    <row r="93" spans="1:11" ht="13">
      <c r="A93" t="str">
        <f ca="1">IFERROR(__xludf.DUMMYFUNCTION("""COMPUTED_VALUE"""),"Contacted")</f>
        <v>Contacted</v>
      </c>
      <c r="B93" t="str">
        <f ca="1">IFERROR(__xludf.DUMMYFUNCTION("""COMPUTED_VALUE"""),"")</f>
        <v/>
      </c>
      <c r="C93" s="107">
        <f ca="1">IFERROR(__xludf.DUMMYFUNCTION("""COMPUTED_VALUE"""),43846)</f>
        <v>43846</v>
      </c>
      <c r="D93" s="49" t="str">
        <f ca="1">IFERROR(__xludf.DUMMYFUNCTION("""COMPUTED_VALUE"""),"Yes")</f>
        <v>Yes</v>
      </c>
      <c r="E93" s="49" t="str">
        <f ca="1">IFERROR(__xludf.DUMMYFUNCTION("""COMPUTED_VALUE"""),"Yes")</f>
        <v>Yes</v>
      </c>
      <c r="F93" s="49" t="str">
        <f ca="1">IFERROR(__xludf.DUMMYFUNCTION("""COMPUTED_VALUE"""),"Gene Disease Validity")</f>
        <v>Gene Disease Validity</v>
      </c>
      <c r="G93" t="str">
        <f ca="1">IFERROR(__xludf.DUMMYFUNCTION("""COMPUTED_VALUE"""),"")</f>
        <v/>
      </c>
      <c r="H93" t="str">
        <f ca="1">IFERROR(__xludf.DUMMYFUNCTION("""COMPUTED_VALUE"""),"Shiloh Martin")</f>
        <v>Shiloh Martin</v>
      </c>
      <c r="I93" t="str">
        <f ca="1">IFERROR(__xludf.DUMMYFUNCTION("""COMPUTED_VALUE"""),"shiloh.martin@invitae.com")</f>
        <v>shiloh.martin@invitae.com</v>
      </c>
      <c r="J93" s="49" t="str">
        <f ca="1">IFERROR(__xludf.DUMMYFUNCTION("""COMPUTED_VALUE"""),"Comprehensive")</f>
        <v>Comprehensive</v>
      </c>
      <c r="K93" t="str">
        <f ca="1">IFERROR(__xludf.DUMMYFUNCTION("""COMPUTED_VALUE"""),"I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94" spans="1:11" ht="13">
      <c r="A94" t="str">
        <f ca="1">IFERROR(__xludf.DUMMYFUNCTION("""COMPUTED_VALUE"""),"Unassigned")</f>
        <v>Unassigned</v>
      </c>
      <c r="B94" t="str">
        <f ca="1">IFERROR(__xludf.DUMMYFUNCTION("""COMPUTED_VALUE"""),"")</f>
        <v/>
      </c>
      <c r="C94" t="str">
        <f ca="1">IFERROR(__xludf.DUMMYFUNCTION("""COMPUTED_VALUE"""),"")</f>
        <v/>
      </c>
      <c r="D94" s="49" t="str">
        <f ca="1">IFERROR(__xludf.DUMMYFUNCTION("""COMPUTED_VALUE"""),"")</f>
        <v/>
      </c>
      <c r="E94" s="49" t="str">
        <f ca="1">IFERROR(__xludf.DUMMYFUNCTION("""COMPUTED_VALUE"""),"No")</f>
        <v>No</v>
      </c>
      <c r="F94" s="49" t="str">
        <f ca="1">IFERROR(__xludf.DUMMYFUNCTION("""COMPUTED_VALUE"""),"NA")</f>
        <v>NA</v>
      </c>
      <c r="G94" t="str">
        <f ca="1">IFERROR(__xludf.DUMMYFUNCTION("""COMPUTED_VALUE"""),"")</f>
        <v/>
      </c>
      <c r="H94" t="str">
        <f ca="1">IFERROR(__xludf.DUMMYFUNCTION("""COMPUTED_VALUE"""),"Jennifer Holle")</f>
        <v>Jennifer Holle</v>
      </c>
      <c r="I94" t="str">
        <f ca="1">IFERROR(__xludf.DUMMYFUNCTION("""COMPUTED_VALUE"""),"jennifer.holle@invitae.com")</f>
        <v>jennifer.holle@invitae.com</v>
      </c>
      <c r="J94" s="49" t="str">
        <f ca="1">IFERROR(__xludf.DUMMYFUNCTION("""COMPUTED_VALUE"""),"Comprehensive")</f>
        <v>Comprehensive</v>
      </c>
      <c r="K94" t="str">
        <f ca="1">IFERROR(__xludf.DUMMYFUNCTION("""COMPUTED_VALUE"""),"The primary immunodeficiency group - didn't see it on the list, but I know it's upcoming")</f>
        <v>The primary immunodeficiency group - didn't see it on the list, but I know it's upcoming</v>
      </c>
    </row>
    <row r="95" spans="1:11" ht="13">
      <c r="A95" t="str">
        <f ca="1">IFERROR(__xludf.DUMMYFUNCTION("""COMPUTED_VALUE"""),"Unassigned")</f>
        <v>Unassigned</v>
      </c>
      <c r="B95" t="str">
        <f ca="1">IFERROR(__xludf.DUMMYFUNCTION("""COMPUTED_VALUE"""),"")</f>
        <v/>
      </c>
      <c r="C95" t="str">
        <f ca="1">IFERROR(__xludf.DUMMYFUNCTION("""COMPUTED_VALUE"""),"")</f>
        <v/>
      </c>
      <c r="D95" s="49" t="str">
        <f ca="1">IFERROR(__xludf.DUMMYFUNCTION("""COMPUTED_VALUE"""),"")</f>
        <v/>
      </c>
      <c r="E95" s="49" t="str">
        <f ca="1">IFERROR(__xludf.DUMMYFUNCTION("""COMPUTED_VALUE"""),"No")</f>
        <v>No</v>
      </c>
      <c r="F95" s="49" t="str">
        <f ca="1">IFERROR(__xludf.DUMMYFUNCTION("""COMPUTED_VALUE"""),"NA")</f>
        <v>NA</v>
      </c>
      <c r="G95" t="str">
        <f ca="1">IFERROR(__xludf.DUMMYFUNCTION("""COMPUTED_VALUE"""),"")</f>
        <v/>
      </c>
      <c r="H95" t="str">
        <f ca="1">IFERROR(__xludf.DUMMYFUNCTION("""COMPUTED_VALUE"""),"Chitra Chandrasekaran")</f>
        <v>Chitra Chandrasekaran</v>
      </c>
      <c r="I95" t="str">
        <f ca="1">IFERROR(__xludf.DUMMYFUNCTION("""COMPUTED_VALUE"""),"cchandrasekaran@txwes.edu")</f>
        <v>cchandrasekaran@txwes.edu</v>
      </c>
      <c r="J95" s="49" t="str">
        <f ca="1">IFERROR(__xludf.DUMMYFUNCTION("""COMPUTED_VALUE"""),"Comprehensive")</f>
        <v>Comprehensive</v>
      </c>
      <c r="K95" t="str">
        <f ca="1">IFERROR(__xludf.DUMMYFUNCTION("""COMPUTED_VALUE"""),"")</f>
        <v/>
      </c>
    </row>
    <row r="96" spans="1:11" ht="13">
      <c r="A96" t="str">
        <f ca="1">IFERROR(__xludf.DUMMYFUNCTION("""COMPUTED_VALUE"""),"Unassigned")</f>
        <v>Unassigned</v>
      </c>
      <c r="B96" t="str">
        <f ca="1">IFERROR(__xludf.DUMMYFUNCTION("""COMPUTED_VALUE"""),"")</f>
        <v/>
      </c>
      <c r="C96" t="str">
        <f ca="1">IFERROR(__xludf.DUMMYFUNCTION("""COMPUTED_VALUE"""),"")</f>
        <v/>
      </c>
      <c r="D96" s="49" t="str">
        <f ca="1">IFERROR(__xludf.DUMMYFUNCTION("""COMPUTED_VALUE"""),"")</f>
        <v/>
      </c>
      <c r="E96" s="49" t="str">
        <f ca="1">IFERROR(__xludf.DUMMYFUNCTION("""COMPUTED_VALUE"""),"No")</f>
        <v>No</v>
      </c>
      <c r="F96" s="49" t="str">
        <f ca="1">IFERROR(__xludf.DUMMYFUNCTION("""COMPUTED_VALUE"""),"NA")</f>
        <v>NA</v>
      </c>
      <c r="G96" t="str">
        <f ca="1">IFERROR(__xludf.DUMMYFUNCTION("""COMPUTED_VALUE"""),"")</f>
        <v/>
      </c>
      <c r="H96" t="str">
        <f ca="1">IFERROR(__xludf.DUMMYFUNCTION("""COMPUTED_VALUE"""),"Silke Waap")</f>
        <v>Silke Waap</v>
      </c>
      <c r="I96" t="str">
        <f ca="1">IFERROR(__xludf.DUMMYFUNCTION("""COMPUTED_VALUE"""),"silkewaap@gmail.com")</f>
        <v>silkewaap@gmail.com</v>
      </c>
      <c r="J96" s="49" t="str">
        <f ca="1">IFERROR(__xludf.DUMMYFUNCTION("""COMPUTED_VALUE"""),"Comprehensive")</f>
        <v>Comprehensive</v>
      </c>
      <c r="K96" t="str">
        <f ca="1">IFERROR(__xludf.DUMMYFUNCTION("""COMPUTED_VALUE"""),"")</f>
        <v/>
      </c>
    </row>
    <row r="97" spans="4:10" ht="13">
      <c r="D97" s="49"/>
      <c r="E97" s="49"/>
      <c r="F97" s="49"/>
      <c r="J97" s="49"/>
    </row>
    <row r="98" spans="4:10" ht="13">
      <c r="D98" s="49"/>
      <c r="E98" s="49"/>
      <c r="F98" s="49"/>
      <c r="J98" s="49"/>
    </row>
    <row r="99" spans="4:10" ht="13">
      <c r="D99" s="49"/>
      <c r="E99" s="49"/>
      <c r="F99" s="49"/>
      <c r="J99" s="49"/>
    </row>
    <row r="100" spans="4:10" ht="13">
      <c r="D100" s="49"/>
      <c r="E100" s="49"/>
      <c r="F100" s="49"/>
      <c r="J100" s="49"/>
    </row>
    <row r="101" spans="4:10" ht="13">
      <c r="D101" s="49"/>
      <c r="E101" s="49"/>
      <c r="F101" s="49"/>
      <c r="J101" s="49"/>
    </row>
    <row r="102" spans="4:10" ht="13">
      <c r="D102" s="49"/>
      <c r="E102" s="49"/>
      <c r="F102" s="49"/>
      <c r="J102" s="49"/>
    </row>
    <row r="103" spans="4:10" ht="13">
      <c r="D103" s="49"/>
      <c r="E103" s="49"/>
      <c r="F103" s="49"/>
      <c r="J103" s="49"/>
    </row>
    <row r="104" spans="4:10" ht="13">
      <c r="D104" s="49"/>
      <c r="E104" s="49"/>
      <c r="F104" s="49"/>
      <c r="J104" s="49"/>
    </row>
    <row r="105" spans="4:10" ht="13">
      <c r="D105" s="49"/>
      <c r="E105" s="49"/>
      <c r="F105" s="49"/>
      <c r="J105" s="49"/>
    </row>
    <row r="106" spans="4:10" ht="13">
      <c r="D106" s="49"/>
      <c r="E106" s="49"/>
      <c r="F106" s="49"/>
      <c r="J106" s="49"/>
    </row>
    <row r="107" spans="4:10" ht="13">
      <c r="D107" s="49"/>
      <c r="E107" s="49"/>
      <c r="F107" s="49"/>
      <c r="J107" s="49"/>
    </row>
    <row r="108" spans="4:10" ht="13">
      <c r="D108" s="49"/>
      <c r="E108" s="49"/>
      <c r="F108" s="49"/>
      <c r="J108" s="49"/>
    </row>
    <row r="109" spans="4:10" ht="13">
      <c r="D109" s="49"/>
      <c r="E109" s="49"/>
      <c r="F109" s="49"/>
      <c r="J109" s="49"/>
    </row>
    <row r="110" spans="4:10" ht="13">
      <c r="D110" s="49"/>
      <c r="E110" s="49"/>
      <c r="F110" s="49"/>
      <c r="J110" s="49"/>
    </row>
    <row r="111" spans="4:10" ht="13">
      <c r="D111" s="49"/>
      <c r="E111" s="49"/>
      <c r="F111" s="49"/>
      <c r="J111" s="49"/>
    </row>
    <row r="112" spans="4:10" ht="13">
      <c r="D112" s="49"/>
      <c r="E112" s="49"/>
      <c r="F112" s="49"/>
      <c r="J112" s="49"/>
    </row>
    <row r="113" spans="4:10" ht="13">
      <c r="D113" s="49"/>
      <c r="E113" s="49"/>
      <c r="F113" s="49"/>
      <c r="J113" s="49"/>
    </row>
    <row r="114" spans="4:10" ht="13">
      <c r="D114" s="49"/>
      <c r="E114" s="49"/>
      <c r="F114" s="49"/>
      <c r="J114" s="49"/>
    </row>
    <row r="115" spans="4:10" ht="13">
      <c r="D115" s="49"/>
      <c r="E115" s="49"/>
      <c r="F115" s="49"/>
      <c r="J115" s="49"/>
    </row>
    <row r="116" spans="4:10" ht="13">
      <c r="D116" s="49"/>
      <c r="E116" s="49"/>
      <c r="F116" s="49"/>
      <c r="J116" s="49"/>
    </row>
    <row r="117" spans="4:10" ht="13">
      <c r="D117" s="49"/>
      <c r="E117" s="49"/>
      <c r="F117" s="49"/>
      <c r="J117" s="49"/>
    </row>
    <row r="118" spans="4:10" ht="13">
      <c r="D118" s="49"/>
      <c r="E118" s="49"/>
      <c r="F118" s="49"/>
      <c r="J118" s="49"/>
    </row>
    <row r="119" spans="4:10" ht="13">
      <c r="D119" s="49"/>
      <c r="E119" s="49"/>
      <c r="F119" s="49"/>
      <c r="J119" s="49"/>
    </row>
    <row r="120" spans="4:10" ht="13">
      <c r="D120" s="49"/>
      <c r="E120" s="49"/>
      <c r="F120" s="49"/>
      <c r="J120" s="49"/>
    </row>
    <row r="121" spans="4:10" ht="13">
      <c r="D121" s="49"/>
      <c r="E121" s="49"/>
      <c r="F121" s="49"/>
      <c r="J121" s="49"/>
    </row>
    <row r="122" spans="4:10" ht="13">
      <c r="D122" s="49"/>
      <c r="E122" s="49"/>
      <c r="F122" s="49"/>
      <c r="J122" s="49"/>
    </row>
    <row r="123" spans="4:10" ht="13">
      <c r="D123" s="49"/>
      <c r="E123" s="49"/>
      <c r="F123" s="49"/>
      <c r="J123" s="49"/>
    </row>
    <row r="124" spans="4:10" ht="13">
      <c r="D124" s="49"/>
      <c r="E124" s="49"/>
      <c r="F124" s="49"/>
      <c r="J124" s="49"/>
    </row>
    <row r="125" spans="4:10" ht="13">
      <c r="D125" s="49"/>
      <c r="E125" s="49"/>
      <c r="F125" s="49"/>
      <c r="J125" s="49"/>
    </row>
    <row r="126" spans="4:10" ht="13">
      <c r="D126" s="49"/>
      <c r="E126" s="49"/>
      <c r="F126" s="49"/>
      <c r="J126" s="49"/>
    </row>
    <row r="127" spans="4:10" ht="13">
      <c r="D127" s="49"/>
      <c r="E127" s="49"/>
      <c r="F127" s="49"/>
      <c r="J127" s="49"/>
    </row>
    <row r="128" spans="4:10" ht="13">
      <c r="D128" s="49"/>
      <c r="E128" s="49"/>
      <c r="F128" s="49"/>
      <c r="J128" s="49"/>
    </row>
    <row r="129" spans="4:10" ht="13">
      <c r="D129" s="49"/>
      <c r="E129" s="49"/>
      <c r="F129" s="49"/>
      <c r="J129" s="49"/>
    </row>
    <row r="130" spans="4:10" ht="13">
      <c r="D130" s="49"/>
      <c r="E130" s="49"/>
      <c r="F130" s="49"/>
      <c r="J130" s="49"/>
    </row>
    <row r="131" spans="4:10" ht="13">
      <c r="D131" s="49"/>
      <c r="E131" s="49"/>
      <c r="F131" s="49"/>
      <c r="J131" s="49"/>
    </row>
    <row r="132" spans="4:10" ht="13">
      <c r="D132" s="49"/>
      <c r="E132" s="49"/>
      <c r="F132" s="49"/>
      <c r="J132" s="49"/>
    </row>
    <row r="133" spans="4:10" ht="13">
      <c r="D133" s="49"/>
      <c r="E133" s="49"/>
      <c r="F133" s="49"/>
      <c r="J133" s="49"/>
    </row>
    <row r="134" spans="4:10" ht="13">
      <c r="D134" s="49"/>
      <c r="E134" s="49"/>
      <c r="F134" s="49"/>
      <c r="J134" s="49"/>
    </row>
    <row r="135" spans="4:10" ht="13">
      <c r="D135" s="49"/>
      <c r="E135" s="49"/>
      <c r="F135" s="49"/>
      <c r="J135" s="49"/>
    </row>
    <row r="136" spans="4:10" ht="13">
      <c r="D136" s="49"/>
      <c r="E136" s="49"/>
      <c r="F136" s="49"/>
      <c r="J136" s="49"/>
    </row>
    <row r="137" spans="4:10" ht="13">
      <c r="D137" s="49"/>
      <c r="E137" s="49"/>
      <c r="F137" s="49"/>
      <c r="J137" s="49"/>
    </row>
    <row r="138" spans="4:10" ht="13">
      <c r="D138" s="49"/>
      <c r="E138" s="49"/>
      <c r="F138" s="49"/>
      <c r="J138" s="49"/>
    </row>
    <row r="139" spans="4:10" ht="13">
      <c r="D139" s="49"/>
      <c r="E139" s="49"/>
      <c r="F139" s="49"/>
      <c r="J139" s="49"/>
    </row>
    <row r="140" spans="4:10" ht="13">
      <c r="D140" s="49"/>
      <c r="E140" s="49"/>
      <c r="F140" s="49"/>
      <c r="J140" s="49"/>
    </row>
    <row r="141" spans="4:10" ht="13">
      <c r="D141" s="49"/>
      <c r="E141" s="49"/>
      <c r="F141" s="49"/>
      <c r="J141" s="49"/>
    </row>
    <row r="142" spans="4:10" ht="13">
      <c r="D142" s="49"/>
      <c r="E142" s="49"/>
      <c r="F142" s="49"/>
      <c r="J142" s="49"/>
    </row>
    <row r="143" spans="4:10" ht="13">
      <c r="D143" s="49"/>
      <c r="E143" s="49"/>
      <c r="F143" s="49"/>
      <c r="J143" s="49"/>
    </row>
    <row r="144" spans="4:10" ht="13">
      <c r="D144" s="49"/>
      <c r="E144" s="49"/>
      <c r="F144" s="49"/>
      <c r="J144" s="49"/>
    </row>
    <row r="145" spans="4:10" ht="13">
      <c r="D145" s="49"/>
      <c r="E145" s="49"/>
      <c r="F145" s="49"/>
      <c r="J145" s="49"/>
    </row>
    <row r="146" spans="4:10" ht="13">
      <c r="D146" s="49"/>
      <c r="E146" s="49"/>
      <c r="F146" s="49"/>
      <c r="J146" s="49"/>
    </row>
    <row r="147" spans="4:10" ht="13">
      <c r="D147" s="49"/>
      <c r="E147" s="49"/>
      <c r="F147" s="49"/>
      <c r="J147" s="49"/>
    </row>
    <row r="148" spans="4:10" ht="13">
      <c r="D148" s="49"/>
      <c r="E148" s="49"/>
      <c r="F148" s="49"/>
      <c r="J148" s="49"/>
    </row>
    <row r="149" spans="4:10" ht="13">
      <c r="D149" s="49"/>
      <c r="E149" s="49"/>
      <c r="F149" s="49"/>
      <c r="J149" s="49"/>
    </row>
    <row r="150" spans="4:10" ht="13">
      <c r="D150" s="49"/>
      <c r="E150" s="49"/>
      <c r="F150" s="49"/>
      <c r="J150" s="49"/>
    </row>
    <row r="151" spans="4:10" ht="13">
      <c r="D151" s="49"/>
      <c r="E151" s="49"/>
      <c r="F151" s="49"/>
      <c r="J151" s="49"/>
    </row>
    <row r="152" spans="4:10" ht="13">
      <c r="D152" s="49"/>
      <c r="E152" s="49"/>
      <c r="F152" s="49"/>
      <c r="J152" s="49"/>
    </row>
    <row r="153" spans="4:10" ht="13">
      <c r="D153" s="49"/>
      <c r="E153" s="49"/>
      <c r="F153" s="49"/>
      <c r="J153" s="49"/>
    </row>
    <row r="154" spans="4:10" ht="13">
      <c r="D154" s="49"/>
      <c r="E154" s="49"/>
      <c r="F154" s="49"/>
      <c r="J154" s="49"/>
    </row>
    <row r="155" spans="4:10" ht="13">
      <c r="D155" s="49"/>
      <c r="E155" s="49"/>
      <c r="F155" s="49"/>
      <c r="J155" s="49"/>
    </row>
    <row r="156" spans="4:10" ht="13">
      <c r="D156" s="49"/>
      <c r="E156" s="49"/>
      <c r="F156" s="49"/>
      <c r="J156" s="49"/>
    </row>
    <row r="157" spans="4:10" ht="13">
      <c r="D157" s="49"/>
      <c r="E157" s="49"/>
      <c r="F157" s="49"/>
      <c r="J157" s="49"/>
    </row>
    <row r="158" spans="4:10" ht="13">
      <c r="D158" s="49"/>
      <c r="E158" s="49"/>
      <c r="F158" s="49"/>
      <c r="J158" s="49"/>
    </row>
    <row r="159" spans="4:10" ht="13">
      <c r="D159" s="49"/>
      <c r="E159" s="49"/>
      <c r="F159" s="49"/>
      <c r="J159" s="49"/>
    </row>
    <row r="160" spans="4:10" ht="13">
      <c r="D160" s="49"/>
      <c r="E160" s="49"/>
      <c r="F160" s="49"/>
      <c r="J160" s="49"/>
    </row>
    <row r="161" spans="4:10" ht="13">
      <c r="D161" s="49"/>
      <c r="E161" s="49"/>
      <c r="F161" s="49"/>
      <c r="J161" s="49"/>
    </row>
    <row r="162" spans="4:10" ht="13">
      <c r="D162" s="49"/>
      <c r="E162" s="49"/>
      <c r="F162" s="49"/>
      <c r="J162" s="49"/>
    </row>
    <row r="163" spans="4:10" ht="13">
      <c r="D163" s="49"/>
      <c r="E163" s="49"/>
      <c r="F163" s="49"/>
      <c r="J163" s="49"/>
    </row>
    <row r="164" spans="4:10" ht="13">
      <c r="D164" s="49"/>
      <c r="E164" s="49"/>
      <c r="F164" s="49"/>
      <c r="J164" s="49"/>
    </row>
    <row r="165" spans="4:10" ht="13">
      <c r="D165" s="49"/>
      <c r="E165" s="49"/>
      <c r="F165" s="49"/>
      <c r="J165" s="49"/>
    </row>
    <row r="166" spans="4:10" ht="13">
      <c r="D166" s="49"/>
      <c r="E166" s="49"/>
      <c r="F166" s="49"/>
      <c r="J166" s="49"/>
    </row>
    <row r="167" spans="4:10" ht="13">
      <c r="D167" s="49"/>
      <c r="E167" s="49"/>
      <c r="F167" s="49"/>
      <c r="J167" s="49"/>
    </row>
    <row r="168" spans="4:10" ht="13">
      <c r="D168" s="49"/>
      <c r="E168" s="49"/>
      <c r="F168" s="49"/>
      <c r="J168" s="49"/>
    </row>
    <row r="169" spans="4:10" ht="13">
      <c r="D169" s="49"/>
      <c r="E169" s="49"/>
      <c r="F169" s="49"/>
      <c r="J169" s="49"/>
    </row>
    <row r="170" spans="4:10" ht="13">
      <c r="D170" s="49"/>
      <c r="E170" s="49"/>
      <c r="F170" s="49"/>
      <c r="J170" s="49"/>
    </row>
    <row r="171" spans="4:10" ht="13">
      <c r="D171" s="49"/>
      <c r="E171" s="49"/>
      <c r="F171" s="49"/>
      <c r="J171" s="49"/>
    </row>
    <row r="172" spans="4:10" ht="13">
      <c r="D172" s="49"/>
      <c r="E172" s="49"/>
      <c r="F172" s="49"/>
      <c r="J172" s="49"/>
    </row>
    <row r="173" spans="4:10" ht="13">
      <c r="D173" s="49"/>
      <c r="E173" s="49"/>
      <c r="F173" s="49"/>
      <c r="J173" s="49"/>
    </row>
    <row r="174" spans="4:10" ht="13">
      <c r="D174" s="49"/>
      <c r="E174" s="49"/>
      <c r="F174" s="49"/>
      <c r="J174" s="49"/>
    </row>
    <row r="175" spans="4:10" ht="13">
      <c r="D175" s="49"/>
      <c r="E175" s="49"/>
      <c r="F175" s="49"/>
      <c r="J175" s="49"/>
    </row>
    <row r="176" spans="4:10" ht="13">
      <c r="D176" s="49"/>
      <c r="E176" s="49"/>
      <c r="F176" s="49"/>
      <c r="J176" s="49"/>
    </row>
    <row r="177" spans="4:10" ht="13">
      <c r="D177" s="49"/>
      <c r="E177" s="49"/>
      <c r="F177" s="49"/>
      <c r="J177" s="49"/>
    </row>
    <row r="178" spans="4:10" ht="13">
      <c r="D178" s="49"/>
      <c r="E178" s="49"/>
      <c r="F178" s="49"/>
      <c r="J178" s="49"/>
    </row>
    <row r="179" spans="4:10" ht="13">
      <c r="D179" s="49"/>
      <c r="E179" s="49"/>
      <c r="F179" s="49"/>
      <c r="J179" s="49"/>
    </row>
    <row r="180" spans="4:10" ht="13">
      <c r="D180" s="49"/>
      <c r="E180" s="49"/>
      <c r="F180" s="49"/>
      <c r="J180" s="49"/>
    </row>
    <row r="181" spans="4:10" ht="13">
      <c r="D181" s="49"/>
      <c r="E181" s="49"/>
      <c r="F181" s="49"/>
      <c r="J181" s="49"/>
    </row>
    <row r="182" spans="4:10" ht="13">
      <c r="D182" s="49"/>
      <c r="E182" s="49"/>
      <c r="F182" s="49"/>
      <c r="J182" s="49"/>
    </row>
    <row r="183" spans="4:10" ht="13">
      <c r="D183" s="49"/>
      <c r="E183" s="49"/>
      <c r="F183" s="49"/>
      <c r="J183" s="49"/>
    </row>
    <row r="184" spans="4:10" ht="13">
      <c r="D184" s="49"/>
      <c r="E184" s="49"/>
      <c r="F184" s="49"/>
      <c r="J184" s="49"/>
    </row>
    <row r="185" spans="4:10" ht="13">
      <c r="D185" s="49"/>
      <c r="E185" s="49"/>
      <c r="F185" s="49"/>
      <c r="J185" s="49"/>
    </row>
    <row r="186" spans="4:10" ht="13">
      <c r="D186" s="49"/>
      <c r="E186" s="49"/>
      <c r="F186" s="49"/>
      <c r="J186" s="49"/>
    </row>
    <row r="187" spans="4:10" ht="13">
      <c r="D187" s="49"/>
      <c r="E187" s="49"/>
      <c r="F187" s="49"/>
      <c r="J187" s="49"/>
    </row>
    <row r="188" spans="4:10" ht="13">
      <c r="D188" s="49"/>
      <c r="E188" s="49"/>
      <c r="F188" s="49"/>
      <c r="J188" s="49"/>
    </row>
    <row r="189" spans="4:10" ht="13">
      <c r="D189" s="49"/>
      <c r="E189" s="49"/>
      <c r="F189" s="49"/>
      <c r="J189" s="49"/>
    </row>
    <row r="190" spans="4:10" ht="13">
      <c r="D190" s="49"/>
      <c r="E190" s="49"/>
      <c r="F190" s="49"/>
      <c r="J190" s="49"/>
    </row>
    <row r="191" spans="4:10" ht="13">
      <c r="D191" s="49"/>
      <c r="E191" s="49"/>
      <c r="F191" s="49"/>
      <c r="J191" s="49"/>
    </row>
    <row r="192" spans="4:10" ht="13">
      <c r="D192" s="49"/>
      <c r="E192" s="49"/>
      <c r="F192" s="49"/>
      <c r="J192" s="49"/>
    </row>
    <row r="193" spans="4:10" ht="13">
      <c r="D193" s="49"/>
      <c r="E193" s="49"/>
      <c r="F193" s="49"/>
      <c r="J193" s="49"/>
    </row>
    <row r="194" spans="4:10" ht="13">
      <c r="D194" s="49"/>
      <c r="E194" s="49"/>
      <c r="F194" s="49"/>
      <c r="J194" s="49"/>
    </row>
    <row r="195" spans="4:10" ht="13">
      <c r="D195" s="49"/>
      <c r="E195" s="49"/>
      <c r="F195" s="49"/>
      <c r="J195" s="49"/>
    </row>
    <row r="196" spans="4:10" ht="13">
      <c r="D196" s="49"/>
      <c r="E196" s="49"/>
      <c r="F196" s="49"/>
      <c r="J196" s="49"/>
    </row>
    <row r="197" spans="4:10" ht="13">
      <c r="D197" s="49"/>
      <c r="E197" s="49"/>
      <c r="F197" s="49"/>
      <c r="J197" s="49"/>
    </row>
    <row r="198" spans="4:10" ht="13">
      <c r="D198" s="49"/>
      <c r="E198" s="49"/>
      <c r="F198" s="49"/>
      <c r="J198" s="49"/>
    </row>
    <row r="199" spans="4:10" ht="13">
      <c r="D199" s="49"/>
      <c r="E199" s="49"/>
      <c r="F199" s="49"/>
      <c r="J199" s="49"/>
    </row>
    <row r="200" spans="4:10" ht="13">
      <c r="D200" s="49"/>
      <c r="E200" s="49"/>
      <c r="F200" s="49"/>
      <c r="J200" s="49"/>
    </row>
    <row r="201" spans="4:10" ht="13">
      <c r="D201" s="49"/>
      <c r="E201" s="49"/>
      <c r="F201" s="49"/>
      <c r="J201" s="49"/>
    </row>
    <row r="202" spans="4:10" ht="13">
      <c r="D202" s="49"/>
      <c r="E202" s="49"/>
      <c r="F202" s="49"/>
      <c r="J202" s="49"/>
    </row>
    <row r="203" spans="4:10" ht="13">
      <c r="D203" s="49"/>
      <c r="E203" s="49"/>
      <c r="F203" s="49"/>
      <c r="J203" s="49"/>
    </row>
    <row r="204" spans="4:10" ht="13">
      <c r="D204" s="49"/>
      <c r="E204" s="49"/>
      <c r="F204" s="49"/>
      <c r="J204" s="49"/>
    </row>
    <row r="205" spans="4:10" ht="13">
      <c r="D205" s="49"/>
      <c r="E205" s="49"/>
      <c r="F205" s="49"/>
      <c r="J205" s="49"/>
    </row>
    <row r="206" spans="4:10" ht="13">
      <c r="D206" s="49"/>
      <c r="E206" s="49"/>
      <c r="F206" s="49"/>
      <c r="J206" s="49"/>
    </row>
    <row r="207" spans="4:10" ht="13">
      <c r="D207" s="49"/>
      <c r="E207" s="49"/>
      <c r="F207" s="49"/>
      <c r="J207" s="49"/>
    </row>
    <row r="208" spans="4:10" ht="13">
      <c r="D208" s="49"/>
      <c r="E208" s="49"/>
      <c r="F208" s="49"/>
      <c r="J208" s="49"/>
    </row>
    <row r="209" spans="4:10" ht="13">
      <c r="D209" s="49"/>
      <c r="E209" s="49"/>
      <c r="F209" s="49"/>
      <c r="J209" s="49"/>
    </row>
    <row r="210" spans="4:10" ht="13">
      <c r="D210" s="49"/>
      <c r="E210" s="49"/>
      <c r="F210" s="49"/>
      <c r="J210" s="49"/>
    </row>
    <row r="211" spans="4:10" ht="13">
      <c r="D211" s="49"/>
      <c r="E211" s="49"/>
      <c r="F211" s="49"/>
      <c r="J211" s="49"/>
    </row>
    <row r="212" spans="4:10" ht="13">
      <c r="D212" s="49"/>
      <c r="E212" s="49"/>
      <c r="F212" s="49"/>
      <c r="J212" s="49"/>
    </row>
    <row r="213" spans="4:10" ht="13">
      <c r="D213" s="49"/>
      <c r="E213" s="49"/>
      <c r="F213" s="49"/>
      <c r="J213" s="49"/>
    </row>
    <row r="214" spans="4:10" ht="13">
      <c r="D214" s="49"/>
      <c r="E214" s="49"/>
      <c r="F214" s="49"/>
      <c r="J214" s="49"/>
    </row>
    <row r="215" spans="4:10" ht="13">
      <c r="D215" s="49"/>
      <c r="E215" s="49"/>
      <c r="F215" s="49"/>
      <c r="J215" s="49"/>
    </row>
    <row r="216" spans="4:10" ht="13">
      <c r="D216" s="49"/>
      <c r="E216" s="49"/>
      <c r="F216" s="49"/>
      <c r="J216" s="49"/>
    </row>
    <row r="217" spans="4:10" ht="13">
      <c r="D217" s="49"/>
      <c r="E217" s="49"/>
      <c r="F217" s="49"/>
      <c r="J217" s="49"/>
    </row>
    <row r="218" spans="4:10" ht="13">
      <c r="D218" s="49"/>
      <c r="E218" s="49"/>
      <c r="F218" s="49"/>
      <c r="J218" s="49"/>
    </row>
    <row r="219" spans="4:10" ht="13">
      <c r="D219" s="49"/>
      <c r="E219" s="49"/>
      <c r="F219" s="49"/>
      <c r="J219" s="49"/>
    </row>
    <row r="220" spans="4:10" ht="13">
      <c r="D220" s="49"/>
      <c r="E220" s="49"/>
      <c r="F220" s="49"/>
      <c r="J220" s="49"/>
    </row>
    <row r="221" spans="4:10" ht="13">
      <c r="D221" s="49"/>
      <c r="E221" s="49"/>
      <c r="F221" s="49"/>
      <c r="J221" s="49"/>
    </row>
    <row r="222" spans="4:10" ht="13">
      <c r="D222" s="49"/>
      <c r="E222" s="49"/>
      <c r="F222" s="49"/>
      <c r="J222" s="49"/>
    </row>
    <row r="223" spans="4:10" ht="13">
      <c r="D223" s="49"/>
      <c r="E223" s="49"/>
      <c r="F223" s="49"/>
      <c r="J223" s="49"/>
    </row>
    <row r="224" spans="4:10" ht="13">
      <c r="D224" s="49"/>
      <c r="E224" s="49"/>
      <c r="F224" s="49"/>
      <c r="J224" s="49"/>
    </row>
    <row r="225" spans="4:10" ht="13">
      <c r="D225" s="49"/>
      <c r="E225" s="49"/>
      <c r="F225" s="49"/>
      <c r="J225" s="49"/>
    </row>
    <row r="226" spans="4:10" ht="13">
      <c r="D226" s="49"/>
      <c r="E226" s="49"/>
      <c r="F226" s="49"/>
      <c r="J226" s="49"/>
    </row>
    <row r="227" spans="4:10" ht="13">
      <c r="D227" s="49"/>
      <c r="E227" s="49"/>
      <c r="F227" s="49"/>
      <c r="J227" s="49"/>
    </row>
    <row r="228" spans="4:10" ht="13">
      <c r="D228" s="49"/>
      <c r="E228" s="49"/>
      <c r="F228" s="49"/>
      <c r="J228" s="49"/>
    </row>
    <row r="229" spans="4:10" ht="13">
      <c r="D229" s="49"/>
      <c r="E229" s="49"/>
      <c r="F229" s="49"/>
      <c r="J229" s="49"/>
    </row>
    <row r="230" spans="4:10" ht="13">
      <c r="D230" s="49"/>
      <c r="E230" s="49"/>
      <c r="F230" s="49"/>
      <c r="J230" s="49"/>
    </row>
    <row r="231" spans="4:10" ht="13">
      <c r="D231" s="49"/>
      <c r="E231" s="49"/>
      <c r="F231" s="49"/>
      <c r="J231" s="49"/>
    </row>
    <row r="232" spans="4:10" ht="13">
      <c r="D232" s="49"/>
      <c r="E232" s="49"/>
      <c r="F232" s="49"/>
      <c r="J232" s="49"/>
    </row>
    <row r="233" spans="4:10" ht="13">
      <c r="D233" s="49"/>
      <c r="E233" s="49"/>
      <c r="F233" s="49"/>
      <c r="J233" s="49"/>
    </row>
    <row r="234" spans="4:10" ht="13">
      <c r="D234" s="49"/>
      <c r="E234" s="49"/>
      <c r="F234" s="49"/>
      <c r="J234" s="49"/>
    </row>
    <row r="235" spans="4:10" ht="13">
      <c r="D235" s="49"/>
      <c r="E235" s="49"/>
      <c r="F235" s="49"/>
      <c r="J235" s="49"/>
    </row>
    <row r="236" spans="4:10" ht="13">
      <c r="D236" s="49"/>
      <c r="E236" s="49"/>
      <c r="F236" s="49"/>
      <c r="J236" s="49"/>
    </row>
    <row r="237" spans="4:10" ht="13">
      <c r="D237" s="49"/>
      <c r="E237" s="49"/>
      <c r="F237" s="49"/>
      <c r="J237" s="49"/>
    </row>
    <row r="238" spans="4:10" ht="13">
      <c r="D238" s="49"/>
      <c r="E238" s="49"/>
      <c r="F238" s="49"/>
      <c r="J238" s="49"/>
    </row>
    <row r="239" spans="4:10" ht="13">
      <c r="D239" s="49"/>
      <c r="E239" s="49"/>
      <c r="F239" s="49"/>
      <c r="J239" s="49"/>
    </row>
    <row r="240" spans="4:10" ht="13">
      <c r="D240" s="49"/>
      <c r="E240" s="49"/>
      <c r="F240" s="49"/>
      <c r="J240" s="49"/>
    </row>
    <row r="241" spans="4:10" ht="13">
      <c r="D241" s="49"/>
      <c r="E241" s="49"/>
      <c r="F241" s="49"/>
      <c r="J241" s="49"/>
    </row>
    <row r="242" spans="4:10" ht="13">
      <c r="D242" s="49"/>
      <c r="E242" s="49"/>
      <c r="F242" s="49"/>
      <c r="J242" s="49"/>
    </row>
    <row r="243" spans="4:10" ht="13">
      <c r="D243" s="49"/>
      <c r="E243" s="49"/>
      <c r="F243" s="49"/>
      <c r="J243" s="49"/>
    </row>
    <row r="244" spans="4:10" ht="13">
      <c r="D244" s="49"/>
      <c r="E244" s="49"/>
      <c r="F244" s="49"/>
      <c r="J244" s="49"/>
    </row>
    <row r="245" spans="4:10" ht="13">
      <c r="D245" s="49"/>
      <c r="E245" s="49"/>
      <c r="F245" s="49"/>
      <c r="J245" s="49"/>
    </row>
    <row r="246" spans="4:10" ht="13">
      <c r="D246" s="49"/>
      <c r="E246" s="49"/>
      <c r="F246" s="49"/>
      <c r="J246" s="49"/>
    </row>
    <row r="247" spans="4:10" ht="13">
      <c r="D247" s="49"/>
      <c r="E247" s="49"/>
      <c r="F247" s="49"/>
      <c r="J247" s="49"/>
    </row>
    <row r="248" spans="4:10" ht="13">
      <c r="D248" s="49"/>
      <c r="E248" s="49"/>
      <c r="F248" s="49"/>
      <c r="J248" s="49"/>
    </row>
    <row r="249" spans="4:10" ht="13">
      <c r="D249" s="49"/>
      <c r="E249" s="49"/>
      <c r="F249" s="49"/>
      <c r="J249" s="49"/>
    </row>
    <row r="250" spans="4:10" ht="13">
      <c r="D250" s="49"/>
      <c r="E250" s="49"/>
      <c r="F250" s="49"/>
      <c r="J250" s="49"/>
    </row>
    <row r="251" spans="4:10" ht="13">
      <c r="D251" s="49"/>
      <c r="E251" s="49"/>
      <c r="F251" s="49"/>
      <c r="J251" s="49"/>
    </row>
    <row r="252" spans="4:10" ht="13">
      <c r="D252" s="49"/>
      <c r="E252" s="49"/>
      <c r="F252" s="49"/>
      <c r="J252" s="49"/>
    </row>
    <row r="253" spans="4:10" ht="13">
      <c r="D253" s="49"/>
      <c r="E253" s="49"/>
      <c r="F253" s="49"/>
      <c r="J253" s="49"/>
    </row>
    <row r="254" spans="4:10" ht="13">
      <c r="D254" s="49"/>
      <c r="E254" s="49"/>
      <c r="F254" s="49"/>
      <c r="J254" s="49"/>
    </row>
    <row r="255" spans="4:10" ht="13">
      <c r="D255" s="49"/>
      <c r="E255" s="49"/>
      <c r="F255" s="49"/>
      <c r="J255" s="49"/>
    </row>
    <row r="256" spans="4:10" ht="13">
      <c r="D256" s="49"/>
      <c r="E256" s="49"/>
      <c r="F256" s="49"/>
      <c r="J256" s="49"/>
    </row>
    <row r="257" spans="4:10" ht="13">
      <c r="D257" s="49"/>
      <c r="E257" s="49"/>
      <c r="F257" s="49"/>
      <c r="J257" s="49"/>
    </row>
    <row r="258" spans="4:10" ht="13">
      <c r="D258" s="49"/>
      <c r="E258" s="49"/>
      <c r="F258" s="49"/>
      <c r="J258" s="49"/>
    </row>
    <row r="259" spans="4:10" ht="13">
      <c r="D259" s="49"/>
      <c r="E259" s="49"/>
      <c r="F259" s="49"/>
      <c r="J259" s="49"/>
    </row>
    <row r="260" spans="4:10" ht="13">
      <c r="D260" s="49"/>
      <c r="E260" s="49"/>
      <c r="F260" s="49"/>
      <c r="J260" s="49"/>
    </row>
    <row r="261" spans="4:10" ht="13">
      <c r="D261" s="49"/>
      <c r="E261" s="49"/>
      <c r="F261" s="49"/>
      <c r="J261" s="49"/>
    </row>
    <row r="262" spans="4:10" ht="13">
      <c r="D262" s="49"/>
      <c r="E262" s="49"/>
      <c r="F262" s="49"/>
      <c r="J262" s="49"/>
    </row>
    <row r="263" spans="4:10" ht="13">
      <c r="D263" s="49"/>
      <c r="E263" s="49"/>
      <c r="F263" s="49"/>
      <c r="J263" s="49"/>
    </row>
    <row r="264" spans="4:10" ht="13">
      <c r="D264" s="49"/>
      <c r="E264" s="49"/>
      <c r="F264" s="49"/>
      <c r="J264" s="49"/>
    </row>
    <row r="265" spans="4:10" ht="13">
      <c r="D265" s="49"/>
      <c r="E265" s="49"/>
      <c r="F265" s="49"/>
      <c r="J265" s="49"/>
    </row>
    <row r="266" spans="4:10" ht="13">
      <c r="D266" s="49"/>
      <c r="E266" s="49"/>
      <c r="F266" s="49"/>
      <c r="J266" s="49"/>
    </row>
    <row r="267" spans="4:10" ht="13">
      <c r="D267" s="49"/>
      <c r="E267" s="49"/>
      <c r="F267" s="49"/>
      <c r="J267" s="49"/>
    </row>
    <row r="268" spans="4:10" ht="13">
      <c r="D268" s="49"/>
      <c r="E268" s="49"/>
      <c r="F268" s="49"/>
      <c r="J268" s="49"/>
    </row>
    <row r="269" spans="4:10" ht="13">
      <c r="D269" s="49"/>
      <c r="E269" s="49"/>
      <c r="F269" s="49"/>
      <c r="J269" s="49"/>
    </row>
    <row r="270" spans="4:10" ht="13">
      <c r="D270" s="49"/>
      <c r="E270" s="49"/>
      <c r="F270" s="49"/>
      <c r="J270" s="49"/>
    </row>
    <row r="271" spans="4:10" ht="13">
      <c r="D271" s="49"/>
      <c r="E271" s="49"/>
      <c r="F271" s="49"/>
      <c r="J271" s="49"/>
    </row>
    <row r="272" spans="4:10" ht="13">
      <c r="D272" s="49"/>
      <c r="E272" s="49"/>
      <c r="F272" s="49"/>
      <c r="J272" s="49"/>
    </row>
    <row r="273" spans="4:10" ht="13">
      <c r="D273" s="49"/>
      <c r="E273" s="49"/>
      <c r="F273" s="49"/>
      <c r="J273" s="49"/>
    </row>
    <row r="274" spans="4:10" ht="13">
      <c r="D274" s="49"/>
      <c r="E274" s="49"/>
      <c r="F274" s="49"/>
      <c r="J274" s="49"/>
    </row>
    <row r="275" spans="4:10" ht="13">
      <c r="D275" s="49"/>
      <c r="E275" s="49"/>
      <c r="F275" s="49"/>
      <c r="J275" s="49"/>
    </row>
    <row r="276" spans="4:10" ht="13">
      <c r="D276" s="49"/>
      <c r="E276" s="49"/>
      <c r="F276" s="49"/>
      <c r="J276" s="49"/>
    </row>
    <row r="277" spans="4:10" ht="13">
      <c r="D277" s="49"/>
      <c r="E277" s="49"/>
      <c r="F277" s="49"/>
      <c r="J277" s="49"/>
    </row>
    <row r="278" spans="4:10" ht="13">
      <c r="D278" s="49"/>
      <c r="E278" s="49"/>
      <c r="F278" s="49"/>
      <c r="J278" s="49"/>
    </row>
    <row r="279" spans="4:10" ht="13">
      <c r="D279" s="49"/>
      <c r="E279" s="49"/>
      <c r="F279" s="49"/>
      <c r="J279" s="49"/>
    </row>
    <row r="280" spans="4:10" ht="13">
      <c r="D280" s="49"/>
      <c r="E280" s="49"/>
      <c r="F280" s="49"/>
      <c r="J280" s="49"/>
    </row>
    <row r="281" spans="4:10" ht="13">
      <c r="D281" s="49"/>
      <c r="E281" s="49"/>
      <c r="F281" s="49"/>
      <c r="J281" s="49"/>
    </row>
    <row r="282" spans="4:10" ht="13">
      <c r="D282" s="49"/>
      <c r="E282" s="49"/>
      <c r="F282" s="49"/>
      <c r="J282" s="49"/>
    </row>
    <row r="283" spans="4:10" ht="13">
      <c r="D283" s="49"/>
      <c r="E283" s="49"/>
      <c r="F283" s="49"/>
      <c r="J283" s="49"/>
    </row>
    <row r="284" spans="4:10" ht="13">
      <c r="D284" s="49"/>
      <c r="E284" s="49"/>
      <c r="F284" s="49"/>
      <c r="J284" s="49"/>
    </row>
    <row r="285" spans="4:10" ht="13">
      <c r="D285" s="49"/>
      <c r="E285" s="49"/>
      <c r="F285" s="49"/>
      <c r="J285" s="49"/>
    </row>
    <row r="286" spans="4:10" ht="13">
      <c r="D286" s="49"/>
      <c r="E286" s="49"/>
      <c r="F286" s="49"/>
      <c r="J286" s="49"/>
    </row>
    <row r="287" spans="4:10" ht="13">
      <c r="D287" s="49"/>
      <c r="E287" s="49"/>
      <c r="F287" s="49"/>
      <c r="J287" s="49"/>
    </row>
    <row r="288" spans="4:10" ht="13">
      <c r="D288" s="49"/>
      <c r="E288" s="49"/>
      <c r="F288" s="49"/>
      <c r="J288" s="49"/>
    </row>
    <row r="289" spans="4:10" ht="13">
      <c r="D289" s="49"/>
      <c r="E289" s="49"/>
      <c r="F289" s="49"/>
      <c r="J289" s="49"/>
    </row>
    <row r="290" spans="4:10" ht="13">
      <c r="D290" s="49"/>
      <c r="E290" s="49"/>
      <c r="F290" s="49"/>
      <c r="J290" s="49"/>
    </row>
    <row r="291" spans="4:10" ht="13">
      <c r="D291" s="49"/>
      <c r="E291" s="49"/>
      <c r="F291" s="49"/>
      <c r="J291" s="49"/>
    </row>
    <row r="292" spans="4:10" ht="13">
      <c r="D292" s="49"/>
      <c r="E292" s="49"/>
      <c r="F292" s="49"/>
      <c r="J292" s="49"/>
    </row>
    <row r="293" spans="4:10" ht="13">
      <c r="D293" s="49"/>
      <c r="E293" s="49"/>
      <c r="F293" s="49"/>
      <c r="J293" s="49"/>
    </row>
    <row r="294" spans="4:10" ht="13">
      <c r="D294" s="49"/>
      <c r="E294" s="49"/>
      <c r="F294" s="49"/>
      <c r="J294" s="49"/>
    </row>
    <row r="295" spans="4:10" ht="13">
      <c r="D295" s="49"/>
      <c r="E295" s="49"/>
      <c r="F295" s="49"/>
      <c r="J295" s="49"/>
    </row>
    <row r="296" spans="4:10" ht="13">
      <c r="D296" s="49"/>
      <c r="E296" s="49"/>
      <c r="F296" s="49"/>
      <c r="J296" s="49"/>
    </row>
    <row r="297" spans="4:10" ht="13">
      <c r="D297" s="49"/>
      <c r="E297" s="49"/>
      <c r="F297" s="49"/>
      <c r="J297" s="49"/>
    </row>
    <row r="298" spans="4:10" ht="13">
      <c r="D298" s="49"/>
      <c r="E298" s="49"/>
      <c r="F298" s="49"/>
      <c r="J298" s="49"/>
    </row>
    <row r="299" spans="4:10" ht="13">
      <c r="D299" s="49"/>
      <c r="E299" s="49"/>
      <c r="F299" s="49"/>
      <c r="J299" s="49"/>
    </row>
    <row r="300" spans="4:10" ht="13">
      <c r="D300" s="49"/>
      <c r="E300" s="49"/>
      <c r="F300" s="49"/>
      <c r="J300" s="49"/>
    </row>
    <row r="301" spans="4:10" ht="13">
      <c r="D301" s="49"/>
      <c r="E301" s="49"/>
      <c r="F301" s="49"/>
      <c r="J301" s="49"/>
    </row>
    <row r="302" spans="4:10" ht="13">
      <c r="D302" s="49"/>
      <c r="E302" s="49"/>
      <c r="F302" s="49"/>
      <c r="J302" s="49"/>
    </row>
    <row r="303" spans="4:10" ht="13">
      <c r="D303" s="49"/>
      <c r="E303" s="49"/>
      <c r="F303" s="49"/>
      <c r="J303" s="49"/>
    </row>
    <row r="304" spans="4:10" ht="13">
      <c r="D304" s="49"/>
      <c r="E304" s="49"/>
      <c r="F304" s="49"/>
      <c r="J304" s="49"/>
    </row>
    <row r="305" spans="4:10" ht="13">
      <c r="D305" s="49"/>
      <c r="E305" s="49"/>
      <c r="F305" s="49"/>
      <c r="J305" s="49"/>
    </row>
    <row r="306" spans="4:10" ht="13">
      <c r="D306" s="49"/>
      <c r="E306" s="49"/>
      <c r="F306" s="49"/>
      <c r="J306" s="49"/>
    </row>
    <row r="307" spans="4:10" ht="13">
      <c r="D307" s="49"/>
      <c r="E307" s="49"/>
      <c r="F307" s="49"/>
      <c r="J307" s="49"/>
    </row>
    <row r="308" spans="4:10" ht="13">
      <c r="D308" s="49"/>
      <c r="E308" s="49"/>
      <c r="F308" s="49"/>
      <c r="J308" s="49"/>
    </row>
    <row r="309" spans="4:10" ht="13">
      <c r="D309" s="49"/>
      <c r="E309" s="49"/>
      <c r="F309" s="49"/>
      <c r="J309" s="49"/>
    </row>
    <row r="310" spans="4:10" ht="13">
      <c r="D310" s="49"/>
      <c r="E310" s="49"/>
      <c r="F310" s="49"/>
      <c r="J310" s="49"/>
    </row>
    <row r="311" spans="4:10" ht="13">
      <c r="D311" s="49"/>
      <c r="E311" s="49"/>
      <c r="F311" s="49"/>
      <c r="J311" s="49"/>
    </row>
    <row r="312" spans="4:10" ht="13">
      <c r="D312" s="49"/>
      <c r="E312" s="49"/>
      <c r="F312" s="49"/>
      <c r="J312" s="49"/>
    </row>
    <row r="313" spans="4:10" ht="13">
      <c r="D313" s="49"/>
      <c r="E313" s="49"/>
      <c r="F313" s="49"/>
      <c r="J313" s="49"/>
    </row>
    <row r="314" spans="4:10" ht="13">
      <c r="D314" s="49"/>
      <c r="E314" s="49"/>
      <c r="F314" s="49"/>
      <c r="J314" s="49"/>
    </row>
    <row r="315" spans="4:10" ht="13">
      <c r="D315" s="49"/>
      <c r="E315" s="49"/>
      <c r="F315" s="49"/>
      <c r="J315" s="49"/>
    </row>
    <row r="316" spans="4:10" ht="13">
      <c r="D316" s="49"/>
      <c r="E316" s="49"/>
      <c r="F316" s="49"/>
      <c r="J316" s="49"/>
    </row>
    <row r="317" spans="4:10" ht="13">
      <c r="D317" s="49"/>
      <c r="E317" s="49"/>
      <c r="F317" s="49"/>
      <c r="J317" s="49"/>
    </row>
    <row r="318" spans="4:10" ht="13">
      <c r="D318" s="49"/>
      <c r="E318" s="49"/>
      <c r="F318" s="49"/>
      <c r="J318" s="49"/>
    </row>
    <row r="319" spans="4:10" ht="13">
      <c r="D319" s="49"/>
      <c r="E319" s="49"/>
      <c r="F319" s="49"/>
      <c r="J319" s="49"/>
    </row>
    <row r="320" spans="4:10" ht="13">
      <c r="D320" s="49"/>
      <c r="E320" s="49"/>
      <c r="F320" s="49"/>
      <c r="J320" s="49"/>
    </row>
    <row r="321" spans="4:10" ht="13">
      <c r="D321" s="49"/>
      <c r="E321" s="49"/>
      <c r="F321" s="49"/>
      <c r="J321" s="49"/>
    </row>
    <row r="322" spans="4:10" ht="13">
      <c r="D322" s="49"/>
      <c r="E322" s="49"/>
      <c r="F322" s="49"/>
      <c r="J322" s="49"/>
    </row>
    <row r="323" spans="4:10" ht="13">
      <c r="D323" s="49"/>
      <c r="E323" s="49"/>
      <c r="F323" s="49"/>
      <c r="J323" s="49"/>
    </row>
    <row r="324" spans="4:10" ht="13">
      <c r="D324" s="49"/>
      <c r="E324" s="49"/>
      <c r="F324" s="49"/>
      <c r="J324" s="49"/>
    </row>
    <row r="325" spans="4:10" ht="13">
      <c r="D325" s="49"/>
      <c r="E325" s="49"/>
      <c r="F325" s="49"/>
      <c r="J325" s="49"/>
    </row>
    <row r="326" spans="4:10" ht="13">
      <c r="D326" s="49"/>
      <c r="E326" s="49"/>
      <c r="F326" s="49"/>
      <c r="J326" s="49"/>
    </row>
    <row r="327" spans="4:10" ht="13">
      <c r="D327" s="49"/>
      <c r="E327" s="49"/>
      <c r="F327" s="49"/>
      <c r="J327" s="49"/>
    </row>
    <row r="328" spans="4:10" ht="13">
      <c r="D328" s="49"/>
      <c r="E328" s="49"/>
      <c r="F328" s="49"/>
      <c r="J328" s="49"/>
    </row>
    <row r="329" spans="4:10" ht="13">
      <c r="D329" s="49"/>
      <c r="E329" s="49"/>
      <c r="F329" s="49"/>
      <c r="J329" s="49"/>
    </row>
    <row r="330" spans="4:10" ht="13">
      <c r="D330" s="49"/>
      <c r="E330" s="49"/>
      <c r="F330" s="49"/>
      <c r="J330" s="49"/>
    </row>
    <row r="331" spans="4:10" ht="13">
      <c r="D331" s="49"/>
      <c r="E331" s="49"/>
      <c r="F331" s="49"/>
      <c r="J331" s="49"/>
    </row>
    <row r="332" spans="4:10" ht="13">
      <c r="D332" s="49"/>
      <c r="E332" s="49"/>
      <c r="F332" s="49"/>
      <c r="J332" s="49"/>
    </row>
    <row r="333" spans="4:10" ht="13">
      <c r="D333" s="49"/>
      <c r="E333" s="49"/>
      <c r="F333" s="49"/>
      <c r="J333" s="49"/>
    </row>
    <row r="334" spans="4:10" ht="13">
      <c r="D334" s="49"/>
      <c r="E334" s="49"/>
      <c r="F334" s="49"/>
      <c r="J334" s="49"/>
    </row>
    <row r="335" spans="4:10" ht="13">
      <c r="D335" s="49"/>
      <c r="E335" s="49"/>
      <c r="F335" s="49"/>
      <c r="J335" s="49"/>
    </row>
    <row r="336" spans="4:10" ht="13">
      <c r="D336" s="49"/>
      <c r="E336" s="49"/>
      <c r="F336" s="49"/>
      <c r="J336" s="49"/>
    </row>
    <row r="337" spans="4:10" ht="13">
      <c r="D337" s="49"/>
      <c r="E337" s="49"/>
      <c r="F337" s="49"/>
      <c r="J337" s="49"/>
    </row>
    <row r="338" spans="4:10" ht="13">
      <c r="D338" s="49"/>
      <c r="E338" s="49"/>
      <c r="F338" s="49"/>
      <c r="J338" s="49"/>
    </row>
    <row r="339" spans="4:10" ht="13">
      <c r="D339" s="49"/>
      <c r="E339" s="49"/>
      <c r="F339" s="49"/>
      <c r="J339" s="49"/>
    </row>
    <row r="340" spans="4:10" ht="13">
      <c r="D340" s="49"/>
      <c r="E340" s="49"/>
      <c r="F340" s="49"/>
      <c r="J340" s="49"/>
    </row>
    <row r="341" spans="4:10" ht="13">
      <c r="D341" s="49"/>
      <c r="E341" s="49"/>
      <c r="F341" s="49"/>
      <c r="J341" s="49"/>
    </row>
    <row r="342" spans="4:10" ht="13">
      <c r="D342" s="49"/>
      <c r="E342" s="49"/>
      <c r="F342" s="49"/>
      <c r="J342" s="49"/>
    </row>
    <row r="343" spans="4:10" ht="13">
      <c r="D343" s="49"/>
      <c r="E343" s="49"/>
      <c r="F343" s="49"/>
      <c r="J343" s="49"/>
    </row>
    <row r="344" spans="4:10" ht="13">
      <c r="D344" s="49"/>
      <c r="E344" s="49"/>
      <c r="F344" s="49"/>
      <c r="J344" s="49"/>
    </row>
    <row r="345" spans="4:10" ht="13">
      <c r="D345" s="49"/>
      <c r="E345" s="49"/>
      <c r="F345" s="49"/>
      <c r="J345" s="49"/>
    </row>
    <row r="346" spans="4:10" ht="13">
      <c r="D346" s="49"/>
      <c r="E346" s="49"/>
      <c r="F346" s="49"/>
      <c r="J346" s="49"/>
    </row>
    <row r="347" spans="4:10" ht="13">
      <c r="D347" s="49"/>
      <c r="E347" s="49"/>
      <c r="F347" s="49"/>
      <c r="J347" s="49"/>
    </row>
    <row r="348" spans="4:10" ht="13">
      <c r="D348" s="49"/>
      <c r="E348" s="49"/>
      <c r="F348" s="49"/>
      <c r="J348" s="49"/>
    </row>
    <row r="349" spans="4:10" ht="13">
      <c r="D349" s="49"/>
      <c r="E349" s="49"/>
      <c r="F349" s="49"/>
      <c r="J349" s="49"/>
    </row>
    <row r="350" spans="4:10" ht="13">
      <c r="D350" s="49"/>
      <c r="E350" s="49"/>
      <c r="F350" s="49"/>
      <c r="J350" s="49"/>
    </row>
    <row r="351" spans="4:10" ht="13">
      <c r="D351" s="49"/>
      <c r="E351" s="49"/>
      <c r="F351" s="49"/>
      <c r="J351" s="49"/>
    </row>
    <row r="352" spans="4:10" ht="13">
      <c r="D352" s="49"/>
      <c r="E352" s="49"/>
      <c r="F352" s="49"/>
      <c r="J352" s="49"/>
    </row>
    <row r="353" spans="4:10" ht="13">
      <c r="D353" s="49"/>
      <c r="E353" s="49"/>
      <c r="F353" s="49"/>
      <c r="J353" s="49"/>
    </row>
    <row r="354" spans="4:10" ht="13">
      <c r="D354" s="49"/>
      <c r="E354" s="49"/>
      <c r="F354" s="49"/>
      <c r="J354" s="49"/>
    </row>
    <row r="355" spans="4:10" ht="13">
      <c r="D355" s="49"/>
      <c r="E355" s="49"/>
      <c r="F355" s="49"/>
      <c r="J355" s="49"/>
    </row>
    <row r="356" spans="4:10" ht="13">
      <c r="D356" s="49"/>
      <c r="E356" s="49"/>
      <c r="F356" s="49"/>
      <c r="J356" s="49"/>
    </row>
    <row r="357" spans="4:10" ht="13">
      <c r="D357" s="49"/>
      <c r="E357" s="49"/>
      <c r="F357" s="49"/>
      <c r="J357" s="49"/>
    </row>
    <row r="358" spans="4:10" ht="13">
      <c r="D358" s="49"/>
      <c r="E358" s="49"/>
      <c r="F358" s="49"/>
      <c r="J358" s="49"/>
    </row>
    <row r="359" spans="4:10" ht="13">
      <c r="D359" s="49"/>
      <c r="E359" s="49"/>
      <c r="F359" s="49"/>
      <c r="J359" s="49"/>
    </row>
    <row r="360" spans="4:10" ht="13">
      <c r="D360" s="49"/>
      <c r="E360" s="49"/>
      <c r="F360" s="49"/>
      <c r="J360" s="49"/>
    </row>
    <row r="361" spans="4:10" ht="13">
      <c r="D361" s="49"/>
      <c r="E361" s="49"/>
      <c r="F361" s="49"/>
      <c r="J361" s="49"/>
    </row>
    <row r="362" spans="4:10" ht="13">
      <c r="D362" s="49"/>
      <c r="E362" s="49"/>
      <c r="F362" s="49"/>
      <c r="J362" s="49"/>
    </row>
    <row r="363" spans="4:10" ht="13">
      <c r="D363" s="49"/>
      <c r="E363" s="49"/>
      <c r="F363" s="49"/>
      <c r="J363" s="49"/>
    </row>
    <row r="364" spans="4:10" ht="13">
      <c r="D364" s="49"/>
      <c r="E364" s="49"/>
      <c r="F364" s="49"/>
      <c r="J364" s="49"/>
    </row>
    <row r="365" spans="4:10" ht="13">
      <c r="D365" s="49"/>
      <c r="E365" s="49"/>
      <c r="F365" s="49"/>
      <c r="J365" s="49"/>
    </row>
    <row r="366" spans="4:10" ht="13">
      <c r="D366" s="49"/>
      <c r="E366" s="49"/>
      <c r="F366" s="49"/>
      <c r="J366" s="49"/>
    </row>
    <row r="367" spans="4:10" ht="13">
      <c r="D367" s="49"/>
      <c r="E367" s="49"/>
      <c r="F367" s="49"/>
      <c r="J367" s="49"/>
    </row>
    <row r="368" spans="4:10" ht="13">
      <c r="D368" s="49"/>
      <c r="E368" s="49"/>
      <c r="F368" s="49"/>
      <c r="J368" s="49"/>
    </row>
    <row r="369" spans="4:10" ht="13">
      <c r="D369" s="49"/>
      <c r="E369" s="49"/>
      <c r="F369" s="49"/>
      <c r="J369" s="49"/>
    </row>
    <row r="370" spans="4:10" ht="13">
      <c r="D370" s="49"/>
      <c r="E370" s="49"/>
      <c r="F370" s="49"/>
      <c r="J370" s="49"/>
    </row>
    <row r="371" spans="4:10" ht="13">
      <c r="D371" s="49"/>
      <c r="E371" s="49"/>
      <c r="F371" s="49"/>
      <c r="J371" s="49"/>
    </row>
    <row r="372" spans="4:10" ht="13">
      <c r="D372" s="49"/>
      <c r="E372" s="49"/>
      <c r="F372" s="49"/>
      <c r="J372" s="49"/>
    </row>
    <row r="373" spans="4:10" ht="13">
      <c r="D373" s="49"/>
      <c r="E373" s="49"/>
      <c r="F373" s="49"/>
      <c r="J373" s="49"/>
    </row>
    <row r="374" spans="4:10" ht="13">
      <c r="D374" s="49"/>
      <c r="E374" s="49"/>
      <c r="F374" s="49"/>
      <c r="J374" s="49"/>
    </row>
    <row r="375" spans="4:10" ht="13">
      <c r="D375" s="49"/>
      <c r="E375" s="49"/>
      <c r="F375" s="49"/>
      <c r="J375" s="49"/>
    </row>
    <row r="376" spans="4:10" ht="13">
      <c r="D376" s="49"/>
      <c r="E376" s="49"/>
      <c r="F376" s="49"/>
      <c r="J376" s="49"/>
    </row>
    <row r="377" spans="4:10" ht="13">
      <c r="D377" s="49"/>
      <c r="E377" s="49"/>
      <c r="F377" s="49"/>
      <c r="J377" s="49"/>
    </row>
    <row r="378" spans="4:10" ht="13">
      <c r="D378" s="49"/>
      <c r="E378" s="49"/>
      <c r="F378" s="49"/>
      <c r="J378" s="49"/>
    </row>
    <row r="379" spans="4:10" ht="13">
      <c r="D379" s="49"/>
      <c r="E379" s="49"/>
      <c r="F379" s="49"/>
      <c r="J379" s="49"/>
    </row>
    <row r="380" spans="4:10" ht="13">
      <c r="D380" s="49"/>
      <c r="E380" s="49"/>
      <c r="F380" s="49"/>
      <c r="J380" s="49"/>
    </row>
    <row r="381" spans="4:10" ht="13">
      <c r="D381" s="49"/>
      <c r="E381" s="49"/>
      <c r="F381" s="49"/>
      <c r="J381" s="49"/>
    </row>
    <row r="382" spans="4:10" ht="13">
      <c r="D382" s="49"/>
      <c r="E382" s="49"/>
      <c r="F382" s="49"/>
      <c r="J382" s="49"/>
    </row>
    <row r="383" spans="4:10" ht="13">
      <c r="D383" s="49"/>
      <c r="E383" s="49"/>
      <c r="F383" s="49"/>
      <c r="J383" s="49"/>
    </row>
    <row r="384" spans="4:10" ht="13">
      <c r="D384" s="49"/>
      <c r="E384" s="49"/>
      <c r="F384" s="49"/>
      <c r="J384" s="49"/>
    </row>
    <row r="385" spans="4:10" ht="13">
      <c r="D385" s="49"/>
      <c r="E385" s="49"/>
      <c r="F385" s="49"/>
      <c r="J385" s="49"/>
    </row>
    <row r="386" spans="4:10" ht="13">
      <c r="D386" s="49"/>
      <c r="E386" s="49"/>
      <c r="F386" s="49"/>
      <c r="J386" s="49"/>
    </row>
    <row r="387" spans="4:10" ht="13">
      <c r="D387" s="49"/>
      <c r="E387" s="49"/>
      <c r="F387" s="49"/>
      <c r="J387" s="49"/>
    </row>
    <row r="388" spans="4:10" ht="13">
      <c r="D388" s="49"/>
      <c r="E388" s="49"/>
      <c r="F388" s="49"/>
      <c r="J388" s="49"/>
    </row>
    <row r="389" spans="4:10" ht="13">
      <c r="D389" s="49"/>
      <c r="E389" s="49"/>
      <c r="F389" s="49"/>
      <c r="J389" s="49"/>
    </row>
    <row r="390" spans="4:10" ht="13">
      <c r="D390" s="49"/>
      <c r="E390" s="49"/>
      <c r="F390" s="49"/>
      <c r="J390" s="49"/>
    </row>
    <row r="391" spans="4:10" ht="13">
      <c r="D391" s="49"/>
      <c r="E391" s="49"/>
      <c r="F391" s="49"/>
      <c r="J391" s="49"/>
    </row>
    <row r="392" spans="4:10" ht="13">
      <c r="D392" s="49"/>
      <c r="E392" s="49"/>
      <c r="F392" s="49"/>
      <c r="J392" s="49"/>
    </row>
    <row r="393" spans="4:10" ht="13">
      <c r="D393" s="49"/>
      <c r="E393" s="49"/>
      <c r="F393" s="49"/>
      <c r="J393" s="49"/>
    </row>
    <row r="394" spans="4:10" ht="13">
      <c r="D394" s="49"/>
      <c r="E394" s="49"/>
      <c r="F394" s="49"/>
      <c r="J394" s="49"/>
    </row>
    <row r="395" spans="4:10" ht="13">
      <c r="D395" s="49"/>
      <c r="E395" s="49"/>
      <c r="F395" s="49"/>
      <c r="J395" s="49"/>
    </row>
    <row r="396" spans="4:10" ht="13">
      <c r="D396" s="49"/>
      <c r="E396" s="49"/>
      <c r="F396" s="49"/>
      <c r="J396" s="49"/>
    </row>
    <row r="397" spans="4:10" ht="13">
      <c r="D397" s="49"/>
      <c r="E397" s="49"/>
      <c r="F397" s="49"/>
      <c r="J397" s="49"/>
    </row>
    <row r="398" spans="4:10" ht="13">
      <c r="D398" s="49"/>
      <c r="E398" s="49"/>
      <c r="F398" s="49"/>
      <c r="J398" s="49"/>
    </row>
    <row r="399" spans="4:10" ht="13">
      <c r="D399" s="49"/>
      <c r="E399" s="49"/>
      <c r="F399" s="49"/>
      <c r="J399" s="49"/>
    </row>
    <row r="400" spans="4:10" ht="13">
      <c r="D400" s="49"/>
      <c r="E400" s="49"/>
      <c r="F400" s="49"/>
      <c r="J400" s="49"/>
    </row>
    <row r="401" spans="4:10" ht="13">
      <c r="D401" s="49"/>
      <c r="E401" s="49"/>
      <c r="F401" s="49"/>
      <c r="J401" s="49"/>
    </row>
    <row r="402" spans="4:10" ht="13">
      <c r="D402" s="49"/>
      <c r="E402" s="49"/>
      <c r="F402" s="49"/>
      <c r="J402" s="49"/>
    </row>
    <row r="403" spans="4:10" ht="13">
      <c r="D403" s="49"/>
      <c r="E403" s="49"/>
      <c r="F403" s="49"/>
      <c r="J403" s="49"/>
    </row>
    <row r="404" spans="4:10" ht="13">
      <c r="D404" s="49"/>
      <c r="E404" s="49"/>
      <c r="F404" s="49"/>
      <c r="J404" s="49"/>
    </row>
    <row r="405" spans="4:10" ht="13">
      <c r="D405" s="49"/>
      <c r="E405" s="49"/>
      <c r="F405" s="49"/>
      <c r="J405" s="49"/>
    </row>
    <row r="406" spans="4:10" ht="13">
      <c r="D406" s="49"/>
      <c r="E406" s="49"/>
      <c r="F406" s="49"/>
      <c r="J406" s="49"/>
    </row>
    <row r="407" spans="4:10" ht="13">
      <c r="D407" s="49"/>
      <c r="E407" s="49"/>
      <c r="F407" s="49"/>
      <c r="J407" s="49"/>
    </row>
    <row r="408" spans="4:10" ht="13">
      <c r="D408" s="49"/>
      <c r="E408" s="49"/>
      <c r="F408" s="49"/>
      <c r="J408" s="49"/>
    </row>
    <row r="409" spans="4:10" ht="13">
      <c r="D409" s="49"/>
      <c r="E409" s="49"/>
      <c r="F409" s="49"/>
      <c r="J409" s="49"/>
    </row>
    <row r="410" spans="4:10" ht="13">
      <c r="D410" s="49"/>
      <c r="E410" s="49"/>
      <c r="F410" s="49"/>
      <c r="J410" s="49"/>
    </row>
    <row r="411" spans="4:10" ht="13">
      <c r="D411" s="49"/>
      <c r="E411" s="49"/>
      <c r="F411" s="49"/>
      <c r="J411" s="49"/>
    </row>
    <row r="412" spans="4:10" ht="13">
      <c r="D412" s="49"/>
      <c r="E412" s="49"/>
      <c r="F412" s="49"/>
      <c r="J412" s="49"/>
    </row>
    <row r="413" spans="4:10" ht="13">
      <c r="D413" s="49"/>
      <c r="E413" s="49"/>
      <c r="F413" s="49"/>
      <c r="J413" s="49"/>
    </row>
    <row r="414" spans="4:10" ht="13">
      <c r="D414" s="49"/>
      <c r="E414" s="49"/>
      <c r="F414" s="49"/>
      <c r="J414" s="49"/>
    </row>
    <row r="415" spans="4:10" ht="13">
      <c r="D415" s="49"/>
      <c r="E415" s="49"/>
      <c r="F415" s="49"/>
      <c r="J415" s="49"/>
    </row>
    <row r="416" spans="4:10" ht="13">
      <c r="D416" s="49"/>
      <c r="E416" s="49"/>
      <c r="F416" s="49"/>
      <c r="J416" s="49"/>
    </row>
    <row r="417" spans="4:10" ht="13">
      <c r="D417" s="49"/>
      <c r="E417" s="49"/>
      <c r="F417" s="49"/>
      <c r="J417" s="49"/>
    </row>
    <row r="418" spans="4:10" ht="13">
      <c r="D418" s="49"/>
      <c r="E418" s="49"/>
      <c r="F418" s="49"/>
      <c r="J418" s="49"/>
    </row>
    <row r="419" spans="4:10" ht="13">
      <c r="D419" s="49"/>
      <c r="E419" s="49"/>
      <c r="F419" s="49"/>
      <c r="J419" s="49"/>
    </row>
    <row r="420" spans="4:10" ht="13">
      <c r="D420" s="49"/>
      <c r="E420" s="49"/>
      <c r="F420" s="49"/>
      <c r="J420" s="49"/>
    </row>
    <row r="421" spans="4:10" ht="13">
      <c r="D421" s="49"/>
      <c r="E421" s="49"/>
      <c r="F421" s="49"/>
      <c r="J421" s="49"/>
    </row>
    <row r="422" spans="4:10" ht="13">
      <c r="D422" s="49"/>
      <c r="E422" s="49"/>
      <c r="F422" s="49"/>
      <c r="J422" s="49"/>
    </row>
    <row r="423" spans="4:10" ht="13">
      <c r="D423" s="49"/>
      <c r="E423" s="49"/>
      <c r="F423" s="49"/>
      <c r="J423" s="49"/>
    </row>
    <row r="424" spans="4:10" ht="13">
      <c r="D424" s="49"/>
      <c r="E424" s="49"/>
      <c r="F424" s="49"/>
      <c r="J424" s="49"/>
    </row>
    <row r="425" spans="4:10" ht="13">
      <c r="D425" s="49"/>
      <c r="E425" s="49"/>
      <c r="F425" s="49"/>
      <c r="J425" s="49"/>
    </row>
    <row r="426" spans="4:10" ht="13">
      <c r="D426" s="49"/>
      <c r="E426" s="49"/>
      <c r="F426" s="49"/>
      <c r="J426" s="49"/>
    </row>
    <row r="427" spans="4:10" ht="13">
      <c r="D427" s="49"/>
      <c r="E427" s="49"/>
      <c r="F427" s="49"/>
      <c r="J427" s="49"/>
    </row>
    <row r="428" spans="4:10" ht="13">
      <c r="D428" s="49"/>
      <c r="E428" s="49"/>
      <c r="F428" s="49"/>
      <c r="J428" s="49"/>
    </row>
    <row r="429" spans="4:10" ht="13">
      <c r="D429" s="49"/>
      <c r="E429" s="49"/>
      <c r="F429" s="49"/>
      <c r="J429" s="49"/>
    </row>
    <row r="430" spans="4:10" ht="13">
      <c r="D430" s="49"/>
      <c r="E430" s="49"/>
      <c r="F430" s="49"/>
      <c r="J430" s="49"/>
    </row>
    <row r="431" spans="4:10" ht="13">
      <c r="D431" s="49"/>
      <c r="E431" s="49"/>
      <c r="F431" s="49"/>
      <c r="J431" s="49"/>
    </row>
    <row r="432" spans="4:10" ht="13">
      <c r="D432" s="49"/>
      <c r="E432" s="49"/>
      <c r="F432" s="49"/>
      <c r="J432" s="49"/>
    </row>
    <row r="433" spans="4:10" ht="13">
      <c r="D433" s="49"/>
      <c r="E433" s="49"/>
      <c r="F433" s="49"/>
      <c r="J433" s="49"/>
    </row>
    <row r="434" spans="4:10" ht="13">
      <c r="D434" s="49"/>
      <c r="E434" s="49"/>
      <c r="F434" s="49"/>
      <c r="J434" s="49"/>
    </row>
    <row r="435" spans="4:10" ht="13">
      <c r="D435" s="49"/>
      <c r="E435" s="49"/>
      <c r="F435" s="49"/>
      <c r="J435" s="49"/>
    </row>
    <row r="436" spans="4:10" ht="13">
      <c r="D436" s="49"/>
      <c r="E436" s="49"/>
      <c r="F436" s="49"/>
      <c r="J436" s="49"/>
    </row>
    <row r="437" spans="4:10" ht="13">
      <c r="D437" s="49"/>
      <c r="E437" s="49"/>
      <c r="F437" s="49"/>
      <c r="J437" s="49"/>
    </row>
    <row r="438" spans="4:10" ht="13">
      <c r="D438" s="49"/>
      <c r="E438" s="49"/>
      <c r="F438" s="49"/>
      <c r="J438" s="49"/>
    </row>
    <row r="439" spans="4:10" ht="13">
      <c r="D439" s="49"/>
      <c r="E439" s="49"/>
      <c r="F439" s="49"/>
      <c r="J439" s="49"/>
    </row>
    <row r="440" spans="4:10" ht="13">
      <c r="D440" s="49"/>
      <c r="E440" s="49"/>
      <c r="F440" s="49"/>
      <c r="J440" s="49"/>
    </row>
    <row r="441" spans="4:10" ht="13">
      <c r="D441" s="49"/>
      <c r="E441" s="49"/>
      <c r="F441" s="49"/>
      <c r="J441" s="49"/>
    </row>
    <row r="442" spans="4:10" ht="13">
      <c r="D442" s="49"/>
      <c r="E442" s="49"/>
      <c r="F442" s="49"/>
      <c r="J442" s="49"/>
    </row>
    <row r="443" spans="4:10" ht="13">
      <c r="D443" s="49"/>
      <c r="E443" s="49"/>
      <c r="F443" s="49"/>
      <c r="J443" s="49"/>
    </row>
    <row r="444" spans="4:10" ht="13">
      <c r="D444" s="49"/>
      <c r="E444" s="49"/>
      <c r="F444" s="49"/>
      <c r="J444" s="49"/>
    </row>
    <row r="445" spans="4:10" ht="13">
      <c r="D445" s="49"/>
      <c r="E445" s="49"/>
      <c r="F445" s="49"/>
      <c r="J445" s="49"/>
    </row>
    <row r="446" spans="4:10" ht="13">
      <c r="D446" s="49"/>
      <c r="E446" s="49"/>
      <c r="F446" s="49"/>
      <c r="J446" s="49"/>
    </row>
    <row r="447" spans="4:10" ht="13">
      <c r="D447" s="49"/>
      <c r="E447" s="49"/>
      <c r="F447" s="49"/>
      <c r="J447" s="49"/>
    </row>
    <row r="448" spans="4:10" ht="13">
      <c r="D448" s="49"/>
      <c r="E448" s="49"/>
      <c r="F448" s="49"/>
      <c r="J448" s="49"/>
    </row>
    <row r="449" spans="4:10" ht="13">
      <c r="D449" s="49"/>
      <c r="E449" s="49"/>
      <c r="F449" s="49"/>
      <c r="J449" s="49"/>
    </row>
    <row r="450" spans="4:10" ht="13">
      <c r="D450" s="49"/>
      <c r="E450" s="49"/>
      <c r="F450" s="49"/>
      <c r="J450" s="49"/>
    </row>
    <row r="451" spans="4:10" ht="13">
      <c r="D451" s="49"/>
      <c r="E451" s="49"/>
      <c r="F451" s="49"/>
      <c r="J451" s="49"/>
    </row>
    <row r="452" spans="4:10" ht="13">
      <c r="D452" s="49"/>
      <c r="E452" s="49"/>
      <c r="F452" s="49"/>
      <c r="J452" s="49"/>
    </row>
    <row r="453" spans="4:10" ht="13">
      <c r="D453" s="49"/>
      <c r="E453" s="49"/>
      <c r="F453" s="49"/>
      <c r="J453" s="49"/>
    </row>
    <row r="454" spans="4:10" ht="13">
      <c r="D454" s="49"/>
      <c r="E454" s="49"/>
      <c r="F454" s="49"/>
      <c r="J454" s="49"/>
    </row>
    <row r="455" spans="4:10" ht="13">
      <c r="D455" s="49"/>
      <c r="E455" s="49"/>
      <c r="F455" s="49"/>
      <c r="J455" s="49"/>
    </row>
    <row r="456" spans="4:10" ht="13">
      <c r="D456" s="49"/>
      <c r="E456" s="49"/>
      <c r="F456" s="49"/>
      <c r="J456" s="49"/>
    </row>
    <row r="457" spans="4:10" ht="13">
      <c r="D457" s="49"/>
      <c r="E457" s="49"/>
      <c r="F457" s="49"/>
      <c r="J457" s="49"/>
    </row>
    <row r="458" spans="4:10" ht="13">
      <c r="D458" s="49"/>
      <c r="E458" s="49"/>
      <c r="F458" s="49"/>
      <c r="J458" s="49"/>
    </row>
    <row r="459" spans="4:10" ht="13">
      <c r="D459" s="49"/>
      <c r="E459" s="49"/>
      <c r="F459" s="49"/>
      <c r="J459" s="49"/>
    </row>
    <row r="460" spans="4:10" ht="13">
      <c r="D460" s="49"/>
      <c r="E460" s="49"/>
      <c r="F460" s="49"/>
      <c r="J460" s="49"/>
    </row>
    <row r="461" spans="4:10" ht="13">
      <c r="D461" s="49"/>
      <c r="E461" s="49"/>
      <c r="F461" s="49"/>
      <c r="J461" s="49"/>
    </row>
    <row r="462" spans="4:10" ht="13">
      <c r="D462" s="49"/>
      <c r="E462" s="49"/>
      <c r="F462" s="49"/>
      <c r="J462" s="49"/>
    </row>
    <row r="463" spans="4:10" ht="13">
      <c r="D463" s="49"/>
      <c r="E463" s="49"/>
      <c r="F463" s="49"/>
      <c r="J463" s="49"/>
    </row>
    <row r="464" spans="4:10" ht="13">
      <c r="D464" s="49"/>
      <c r="E464" s="49"/>
      <c r="F464" s="49"/>
      <c r="J464" s="49"/>
    </row>
    <row r="465" spans="4:10" ht="13">
      <c r="D465" s="49"/>
      <c r="E465" s="49"/>
      <c r="F465" s="49"/>
      <c r="J465" s="49"/>
    </row>
    <row r="466" spans="4:10" ht="13">
      <c r="D466" s="49"/>
      <c r="E466" s="49"/>
      <c r="F466" s="49"/>
      <c r="J466" s="49"/>
    </row>
    <row r="467" spans="4:10" ht="13">
      <c r="D467" s="49"/>
      <c r="E467" s="49"/>
      <c r="F467" s="49"/>
      <c r="J467" s="49"/>
    </row>
    <row r="468" spans="4:10" ht="13">
      <c r="D468" s="49"/>
      <c r="E468" s="49"/>
      <c r="F468" s="49"/>
      <c r="J468" s="49"/>
    </row>
    <row r="469" spans="4:10" ht="13">
      <c r="D469" s="49"/>
      <c r="E469" s="49"/>
      <c r="F469" s="49"/>
      <c r="J469" s="49"/>
    </row>
    <row r="470" spans="4:10" ht="13">
      <c r="D470" s="49"/>
      <c r="E470" s="49"/>
      <c r="F470" s="49"/>
      <c r="J470" s="49"/>
    </row>
    <row r="471" spans="4:10" ht="13">
      <c r="D471" s="49"/>
      <c r="E471" s="49"/>
      <c r="F471" s="49"/>
      <c r="J471" s="49"/>
    </row>
    <row r="472" spans="4:10" ht="13">
      <c r="D472" s="49"/>
      <c r="E472" s="49"/>
      <c r="F472" s="49"/>
      <c r="J472" s="49"/>
    </row>
    <row r="473" spans="4:10" ht="13">
      <c r="D473" s="49"/>
      <c r="E473" s="49"/>
      <c r="F473" s="49"/>
      <c r="J473" s="49"/>
    </row>
    <row r="474" spans="4:10" ht="13">
      <c r="D474" s="49"/>
      <c r="E474" s="49"/>
      <c r="F474" s="49"/>
      <c r="J474" s="49"/>
    </row>
    <row r="475" spans="4:10" ht="13">
      <c r="D475" s="49"/>
      <c r="E475" s="49"/>
      <c r="F475" s="49"/>
      <c r="J475" s="49"/>
    </row>
    <row r="476" spans="4:10" ht="13">
      <c r="D476" s="49"/>
      <c r="E476" s="49"/>
      <c r="F476" s="49"/>
      <c r="J476" s="49"/>
    </row>
    <row r="477" spans="4:10" ht="13">
      <c r="D477" s="49"/>
      <c r="E477" s="49"/>
      <c r="F477" s="49"/>
      <c r="J477" s="49"/>
    </row>
    <row r="478" spans="4:10" ht="13">
      <c r="D478" s="49"/>
      <c r="E478" s="49"/>
      <c r="F478" s="49"/>
      <c r="J478" s="49"/>
    </row>
    <row r="479" spans="4:10" ht="13">
      <c r="D479" s="49"/>
      <c r="E479" s="49"/>
      <c r="F479" s="49"/>
      <c r="J479" s="49"/>
    </row>
    <row r="480" spans="4:10" ht="13">
      <c r="D480" s="49"/>
      <c r="E480" s="49"/>
      <c r="F480" s="49"/>
      <c r="J480" s="49"/>
    </row>
    <row r="481" spans="4:10" ht="13">
      <c r="D481" s="49"/>
      <c r="E481" s="49"/>
      <c r="F481" s="49"/>
      <c r="J481" s="49"/>
    </row>
    <row r="482" spans="4:10" ht="13">
      <c r="D482" s="49"/>
      <c r="E482" s="49"/>
      <c r="F482" s="49"/>
      <c r="J482" s="49"/>
    </row>
    <row r="483" spans="4:10" ht="13">
      <c r="D483" s="49"/>
      <c r="E483" s="49"/>
      <c r="F483" s="49"/>
      <c r="J483" s="49"/>
    </row>
    <row r="484" spans="4:10" ht="13">
      <c r="D484" s="49"/>
      <c r="E484" s="49"/>
      <c r="F484" s="49"/>
      <c r="J484" s="49"/>
    </row>
    <row r="485" spans="4:10" ht="13">
      <c r="D485" s="49"/>
      <c r="E485" s="49"/>
      <c r="F485" s="49"/>
      <c r="J485" s="49"/>
    </row>
    <row r="486" spans="4:10" ht="13">
      <c r="D486" s="49"/>
      <c r="E486" s="49"/>
      <c r="F486" s="49"/>
      <c r="J486" s="49"/>
    </row>
    <row r="487" spans="4:10" ht="13">
      <c r="D487" s="49"/>
      <c r="E487" s="49"/>
      <c r="F487" s="49"/>
      <c r="J487" s="49"/>
    </row>
    <row r="488" spans="4:10" ht="13">
      <c r="D488" s="49"/>
      <c r="E488" s="49"/>
      <c r="F488" s="49"/>
      <c r="J488" s="49"/>
    </row>
    <row r="489" spans="4:10" ht="13">
      <c r="D489" s="49"/>
      <c r="E489" s="49"/>
      <c r="F489" s="49"/>
      <c r="J489" s="49"/>
    </row>
    <row r="490" spans="4:10" ht="13">
      <c r="D490" s="49"/>
      <c r="E490" s="49"/>
      <c r="F490" s="49"/>
      <c r="J490" s="49"/>
    </row>
    <row r="491" spans="4:10" ht="13">
      <c r="D491" s="49"/>
      <c r="E491" s="49"/>
      <c r="F491" s="49"/>
      <c r="J491" s="49"/>
    </row>
    <row r="492" spans="4:10" ht="13">
      <c r="D492" s="49"/>
      <c r="E492" s="49"/>
      <c r="F492" s="49"/>
      <c r="J492" s="49"/>
    </row>
    <row r="493" spans="4:10" ht="13">
      <c r="D493" s="49"/>
      <c r="E493" s="49"/>
      <c r="F493" s="49"/>
      <c r="J493" s="49"/>
    </row>
    <row r="494" spans="4:10" ht="13">
      <c r="D494" s="49"/>
      <c r="E494" s="49"/>
      <c r="F494" s="49"/>
      <c r="J494" s="49"/>
    </row>
    <row r="495" spans="4:10" ht="13">
      <c r="D495" s="49"/>
      <c r="E495" s="49"/>
      <c r="F495" s="49"/>
      <c r="J495" s="49"/>
    </row>
    <row r="496" spans="4:10" ht="13">
      <c r="D496" s="49"/>
      <c r="E496" s="49"/>
      <c r="F496" s="49"/>
      <c r="J496" s="49"/>
    </row>
    <row r="497" spans="4:10" ht="13">
      <c r="D497" s="49"/>
      <c r="E497" s="49"/>
      <c r="F497" s="49"/>
      <c r="J497" s="49"/>
    </row>
    <row r="498" spans="4:10" ht="13">
      <c r="D498" s="49"/>
      <c r="E498" s="49"/>
      <c r="F498" s="49"/>
      <c r="J498" s="49"/>
    </row>
    <row r="499" spans="4:10" ht="13">
      <c r="D499" s="49"/>
      <c r="E499" s="49"/>
      <c r="F499" s="49"/>
      <c r="J499" s="49"/>
    </row>
    <row r="500" spans="4:10" ht="13">
      <c r="D500" s="49"/>
      <c r="E500" s="49"/>
      <c r="F500" s="49"/>
      <c r="J500" s="49"/>
    </row>
    <row r="501" spans="4:10" ht="13">
      <c r="D501" s="49"/>
      <c r="E501" s="49"/>
      <c r="F501" s="49"/>
      <c r="J501" s="49"/>
    </row>
    <row r="502" spans="4:10" ht="13">
      <c r="D502" s="49"/>
      <c r="E502" s="49"/>
      <c r="F502" s="49"/>
      <c r="J502" s="49"/>
    </row>
    <row r="503" spans="4:10" ht="13">
      <c r="D503" s="49"/>
      <c r="E503" s="49"/>
      <c r="F503" s="49"/>
      <c r="J503" s="49"/>
    </row>
    <row r="504" spans="4:10" ht="13">
      <c r="D504" s="49"/>
      <c r="E504" s="49"/>
      <c r="F504" s="49"/>
      <c r="J504" s="49"/>
    </row>
    <row r="505" spans="4:10" ht="13">
      <c r="D505" s="49"/>
      <c r="E505" s="49"/>
      <c r="F505" s="49"/>
      <c r="J505" s="49"/>
    </row>
    <row r="506" spans="4:10" ht="13">
      <c r="D506" s="49"/>
      <c r="E506" s="49"/>
      <c r="F506" s="49"/>
      <c r="J506" s="49"/>
    </row>
    <row r="507" spans="4:10" ht="13">
      <c r="D507" s="49"/>
      <c r="E507" s="49"/>
      <c r="F507" s="49"/>
      <c r="J507" s="49"/>
    </row>
    <row r="508" spans="4:10" ht="13">
      <c r="D508" s="49"/>
      <c r="E508" s="49"/>
      <c r="F508" s="49"/>
      <c r="J508" s="49"/>
    </row>
    <row r="509" spans="4:10" ht="13">
      <c r="D509" s="49"/>
      <c r="E509" s="49"/>
      <c r="F509" s="49"/>
      <c r="J509" s="49"/>
    </row>
    <row r="510" spans="4:10" ht="13">
      <c r="D510" s="49"/>
      <c r="E510" s="49"/>
      <c r="F510" s="49"/>
      <c r="J510" s="49"/>
    </row>
    <row r="511" spans="4:10" ht="13">
      <c r="D511" s="49"/>
      <c r="E511" s="49"/>
      <c r="F511" s="49"/>
      <c r="J511" s="49"/>
    </row>
    <row r="512" spans="4:10" ht="13">
      <c r="D512" s="49"/>
      <c r="E512" s="49"/>
      <c r="F512" s="49"/>
      <c r="J512" s="49"/>
    </row>
    <row r="513" spans="4:10" ht="13">
      <c r="D513" s="49"/>
      <c r="E513" s="49"/>
      <c r="F513" s="49"/>
      <c r="J513" s="49"/>
    </row>
    <row r="514" spans="4:10" ht="13">
      <c r="D514" s="49"/>
      <c r="E514" s="49"/>
      <c r="F514" s="49"/>
      <c r="J514" s="49"/>
    </row>
    <row r="515" spans="4:10" ht="13">
      <c r="D515" s="49"/>
      <c r="E515" s="49"/>
      <c r="F515" s="49"/>
      <c r="J515" s="49"/>
    </row>
    <row r="516" spans="4:10" ht="13">
      <c r="D516" s="49"/>
      <c r="E516" s="49"/>
      <c r="F516" s="49"/>
      <c r="J516" s="49"/>
    </row>
    <row r="517" spans="4:10" ht="13">
      <c r="D517" s="49"/>
      <c r="E517" s="49"/>
      <c r="F517" s="49"/>
      <c r="J517" s="49"/>
    </row>
    <row r="518" spans="4:10" ht="13">
      <c r="D518" s="49"/>
      <c r="E518" s="49"/>
      <c r="F518" s="49"/>
      <c r="J518" s="49"/>
    </row>
    <row r="519" spans="4:10" ht="13">
      <c r="D519" s="49"/>
      <c r="E519" s="49"/>
      <c r="F519" s="49"/>
      <c r="J519" s="49"/>
    </row>
    <row r="520" spans="4:10" ht="13">
      <c r="D520" s="49"/>
      <c r="E520" s="49"/>
      <c r="F520" s="49"/>
      <c r="J520" s="49"/>
    </row>
    <row r="521" spans="4:10" ht="13">
      <c r="D521" s="49"/>
      <c r="E521" s="49"/>
      <c r="F521" s="49"/>
      <c r="J521" s="49"/>
    </row>
    <row r="522" spans="4:10" ht="13">
      <c r="D522" s="49"/>
      <c r="E522" s="49"/>
      <c r="F522" s="49"/>
      <c r="J522" s="49"/>
    </row>
    <row r="523" spans="4:10" ht="13">
      <c r="D523" s="49"/>
      <c r="E523" s="49"/>
      <c r="F523" s="49"/>
      <c r="J523" s="49"/>
    </row>
    <row r="524" spans="4:10" ht="13">
      <c r="D524" s="49"/>
      <c r="E524" s="49"/>
      <c r="F524" s="49"/>
      <c r="J524" s="49"/>
    </row>
    <row r="525" spans="4:10" ht="13">
      <c r="D525" s="49"/>
      <c r="E525" s="49"/>
      <c r="F525" s="49"/>
      <c r="J525" s="49"/>
    </row>
    <row r="526" spans="4:10" ht="13">
      <c r="D526" s="49"/>
      <c r="E526" s="49"/>
      <c r="F526" s="49"/>
      <c r="J526" s="49"/>
    </row>
    <row r="527" spans="4:10" ht="13">
      <c r="D527" s="49"/>
      <c r="E527" s="49"/>
      <c r="F527" s="49"/>
      <c r="J527" s="49"/>
    </row>
    <row r="528" spans="4:10" ht="13">
      <c r="D528" s="49"/>
      <c r="E528" s="49"/>
      <c r="F528" s="49"/>
      <c r="J528" s="49"/>
    </row>
    <row r="529" spans="4:10" ht="13">
      <c r="D529" s="49"/>
      <c r="E529" s="49"/>
      <c r="F529" s="49"/>
      <c r="J529" s="49"/>
    </row>
    <row r="530" spans="4:10" ht="13">
      <c r="D530" s="49"/>
      <c r="E530" s="49"/>
      <c r="F530" s="49"/>
      <c r="J530" s="49"/>
    </row>
    <row r="531" spans="4:10" ht="13">
      <c r="D531" s="49"/>
      <c r="E531" s="49"/>
      <c r="F531" s="49"/>
      <c r="J531" s="49"/>
    </row>
    <row r="532" spans="4:10" ht="13">
      <c r="D532" s="49"/>
      <c r="E532" s="49"/>
      <c r="F532" s="49"/>
      <c r="J532" s="49"/>
    </row>
    <row r="533" spans="4:10" ht="13">
      <c r="D533" s="49"/>
      <c r="E533" s="49"/>
      <c r="F533" s="49"/>
      <c r="J533" s="49"/>
    </row>
    <row r="534" spans="4:10" ht="13">
      <c r="D534" s="49"/>
      <c r="E534" s="49"/>
      <c r="F534" s="49"/>
      <c r="J534" s="49"/>
    </row>
    <row r="535" spans="4:10" ht="13">
      <c r="D535" s="49"/>
      <c r="E535" s="49"/>
      <c r="F535" s="49"/>
      <c r="J535" s="49"/>
    </row>
    <row r="536" spans="4:10" ht="13">
      <c r="D536" s="49"/>
      <c r="E536" s="49"/>
      <c r="F536" s="49"/>
      <c r="J536" s="49"/>
    </row>
    <row r="537" spans="4:10" ht="13">
      <c r="D537" s="49"/>
      <c r="E537" s="49"/>
      <c r="F537" s="49"/>
      <c r="J537" s="49"/>
    </row>
    <row r="538" spans="4:10" ht="13">
      <c r="D538" s="49"/>
      <c r="E538" s="49"/>
      <c r="F538" s="49"/>
      <c r="J538" s="49"/>
    </row>
    <row r="539" spans="4:10" ht="13">
      <c r="D539" s="49"/>
      <c r="E539" s="49"/>
      <c r="F539" s="49"/>
      <c r="J539" s="49"/>
    </row>
    <row r="540" spans="4:10" ht="13">
      <c r="D540" s="49"/>
      <c r="E540" s="49"/>
      <c r="F540" s="49"/>
      <c r="J540" s="49"/>
    </row>
    <row r="541" spans="4:10" ht="13">
      <c r="D541" s="49"/>
      <c r="E541" s="49"/>
      <c r="F541" s="49"/>
      <c r="J541" s="49"/>
    </row>
    <row r="542" spans="4:10" ht="13">
      <c r="D542" s="49"/>
      <c r="E542" s="49"/>
      <c r="F542" s="49"/>
      <c r="J542" s="49"/>
    </row>
    <row r="543" spans="4:10" ht="13">
      <c r="D543" s="49"/>
      <c r="E543" s="49"/>
      <c r="F543" s="49"/>
      <c r="J543" s="49"/>
    </row>
    <row r="544" spans="4:10" ht="13">
      <c r="D544" s="49"/>
      <c r="E544" s="49"/>
      <c r="F544" s="49"/>
      <c r="J544" s="49"/>
    </row>
    <row r="545" spans="4:10" ht="13">
      <c r="D545" s="49"/>
      <c r="E545" s="49"/>
      <c r="F545" s="49"/>
      <c r="J545" s="49"/>
    </row>
    <row r="546" spans="4:10" ht="13">
      <c r="D546" s="49"/>
      <c r="E546" s="49"/>
      <c r="F546" s="49"/>
      <c r="J546" s="49"/>
    </row>
    <row r="547" spans="4:10" ht="13">
      <c r="D547" s="49"/>
      <c r="E547" s="49"/>
      <c r="F547" s="49"/>
      <c r="J547" s="49"/>
    </row>
    <row r="548" spans="4:10" ht="13">
      <c r="D548" s="49"/>
      <c r="E548" s="49"/>
      <c r="F548" s="49"/>
      <c r="J548" s="49"/>
    </row>
    <row r="549" spans="4:10" ht="13">
      <c r="D549" s="49"/>
      <c r="E549" s="49"/>
      <c r="F549" s="49"/>
      <c r="J549" s="49"/>
    </row>
    <row r="550" spans="4:10" ht="13">
      <c r="D550" s="49"/>
      <c r="E550" s="49"/>
      <c r="F550" s="49"/>
      <c r="J550" s="49"/>
    </row>
    <row r="551" spans="4:10" ht="13">
      <c r="D551" s="49"/>
      <c r="E551" s="49"/>
      <c r="F551" s="49"/>
      <c r="J551" s="49"/>
    </row>
    <row r="552" spans="4:10" ht="13">
      <c r="D552" s="49"/>
      <c r="E552" s="49"/>
      <c r="F552" s="49"/>
      <c r="J552" s="49"/>
    </row>
    <row r="553" spans="4:10" ht="13">
      <c r="D553" s="49"/>
      <c r="E553" s="49"/>
      <c r="F553" s="49"/>
      <c r="J553" s="49"/>
    </row>
    <row r="554" spans="4:10" ht="13">
      <c r="D554" s="49"/>
      <c r="E554" s="49"/>
      <c r="F554" s="49"/>
      <c r="J554" s="49"/>
    </row>
    <row r="555" spans="4:10" ht="13">
      <c r="D555" s="49"/>
      <c r="E555" s="49"/>
      <c r="F555" s="49"/>
      <c r="J555" s="49"/>
    </row>
    <row r="556" spans="4:10" ht="13">
      <c r="D556" s="49"/>
      <c r="E556" s="49"/>
      <c r="F556" s="49"/>
      <c r="J556" s="49"/>
    </row>
    <row r="557" spans="4:10" ht="13">
      <c r="D557" s="49"/>
      <c r="E557" s="49"/>
      <c r="F557" s="49"/>
      <c r="J557" s="49"/>
    </row>
    <row r="558" spans="4:10" ht="13">
      <c r="D558" s="49"/>
      <c r="E558" s="49"/>
      <c r="F558" s="49"/>
      <c r="J558" s="49"/>
    </row>
    <row r="559" spans="4:10" ht="13">
      <c r="D559" s="49"/>
      <c r="E559" s="49"/>
      <c r="F559" s="49"/>
      <c r="J559" s="49"/>
    </row>
    <row r="560" spans="4:10" ht="13">
      <c r="D560" s="49"/>
      <c r="E560" s="49"/>
      <c r="F560" s="49"/>
      <c r="J560" s="49"/>
    </row>
    <row r="561" spans="4:10" ht="13">
      <c r="D561" s="49"/>
      <c r="E561" s="49"/>
      <c r="F561" s="49"/>
      <c r="J561" s="49"/>
    </row>
    <row r="562" spans="4:10" ht="13">
      <c r="D562" s="49"/>
      <c r="E562" s="49"/>
      <c r="F562" s="49"/>
      <c r="J562" s="49"/>
    </row>
    <row r="563" spans="4:10" ht="13">
      <c r="D563" s="49"/>
      <c r="E563" s="49"/>
      <c r="F563" s="49"/>
      <c r="J563" s="49"/>
    </row>
    <row r="564" spans="4:10" ht="13">
      <c r="D564" s="49"/>
      <c r="E564" s="49"/>
      <c r="F564" s="49"/>
      <c r="J564" s="49"/>
    </row>
    <row r="565" spans="4:10" ht="13">
      <c r="D565" s="49"/>
      <c r="E565" s="49"/>
      <c r="F565" s="49"/>
      <c r="J565" s="49"/>
    </row>
    <row r="566" spans="4:10" ht="13">
      <c r="D566" s="49"/>
      <c r="E566" s="49"/>
      <c r="F566" s="49"/>
      <c r="J566" s="49"/>
    </row>
    <row r="567" spans="4:10" ht="13">
      <c r="D567" s="49"/>
      <c r="E567" s="49"/>
      <c r="F567" s="49"/>
      <c r="J567" s="49"/>
    </row>
    <row r="568" spans="4:10" ht="13">
      <c r="D568" s="49"/>
      <c r="E568" s="49"/>
      <c r="F568" s="49"/>
      <c r="J568" s="49"/>
    </row>
    <row r="569" spans="4:10" ht="13">
      <c r="D569" s="49"/>
      <c r="E569" s="49"/>
      <c r="F569" s="49"/>
      <c r="J569" s="49"/>
    </row>
    <row r="570" spans="4:10" ht="13">
      <c r="D570" s="49"/>
      <c r="E570" s="49"/>
      <c r="F570" s="49"/>
      <c r="J570" s="49"/>
    </row>
    <row r="571" spans="4:10" ht="13">
      <c r="D571" s="49"/>
      <c r="E571" s="49"/>
      <c r="F571" s="49"/>
      <c r="J571" s="49"/>
    </row>
    <row r="572" spans="4:10" ht="13">
      <c r="D572" s="49"/>
      <c r="E572" s="49"/>
      <c r="F572" s="49"/>
      <c r="J572" s="49"/>
    </row>
    <row r="573" spans="4:10" ht="13">
      <c r="D573" s="49"/>
      <c r="E573" s="49"/>
      <c r="F573" s="49"/>
      <c r="J573" s="49"/>
    </row>
    <row r="574" spans="4:10" ht="13">
      <c r="D574" s="49"/>
      <c r="E574" s="49"/>
      <c r="F574" s="49"/>
      <c r="J574" s="49"/>
    </row>
    <row r="575" spans="4:10" ht="13">
      <c r="D575" s="49"/>
      <c r="E575" s="49"/>
      <c r="F575" s="49"/>
      <c r="J575" s="49"/>
    </row>
    <row r="576" spans="4:10" ht="13">
      <c r="D576" s="49"/>
      <c r="E576" s="49"/>
      <c r="F576" s="49"/>
      <c r="J576" s="49"/>
    </row>
    <row r="577" spans="4:10" ht="13">
      <c r="D577" s="49"/>
      <c r="E577" s="49"/>
      <c r="F577" s="49"/>
      <c r="J577" s="49"/>
    </row>
    <row r="578" spans="4:10" ht="13">
      <c r="D578" s="49"/>
      <c r="E578" s="49"/>
      <c r="F578" s="49"/>
      <c r="J578" s="49"/>
    </row>
    <row r="579" spans="4:10" ht="13">
      <c r="D579" s="49"/>
      <c r="E579" s="49"/>
      <c r="F579" s="49"/>
      <c r="J579" s="49"/>
    </row>
    <row r="580" spans="4:10" ht="13">
      <c r="D580" s="49"/>
      <c r="E580" s="49"/>
      <c r="F580" s="49"/>
      <c r="J580" s="49"/>
    </row>
    <row r="581" spans="4:10" ht="13">
      <c r="D581" s="49"/>
      <c r="E581" s="49"/>
      <c r="F581" s="49"/>
      <c r="J581" s="49"/>
    </row>
    <row r="582" spans="4:10" ht="13">
      <c r="D582" s="49"/>
      <c r="E582" s="49"/>
      <c r="F582" s="49"/>
      <c r="J582" s="49"/>
    </row>
    <row r="583" spans="4:10" ht="13">
      <c r="D583" s="49"/>
      <c r="E583" s="49"/>
      <c r="F583" s="49"/>
      <c r="J583" s="49"/>
    </row>
    <row r="584" spans="4:10" ht="13">
      <c r="D584" s="49"/>
      <c r="E584" s="49"/>
      <c r="F584" s="49"/>
      <c r="J584" s="49"/>
    </row>
    <row r="585" spans="4:10" ht="13">
      <c r="D585" s="49"/>
      <c r="E585" s="49"/>
      <c r="F585" s="49"/>
      <c r="J585" s="49"/>
    </row>
    <row r="586" spans="4:10" ht="13">
      <c r="D586" s="49"/>
      <c r="E586" s="49"/>
      <c r="F586" s="49"/>
      <c r="J586" s="49"/>
    </row>
    <row r="587" spans="4:10" ht="13">
      <c r="D587" s="49"/>
      <c r="E587" s="49"/>
      <c r="F587" s="49"/>
      <c r="J587" s="49"/>
    </row>
    <row r="588" spans="4:10" ht="13">
      <c r="D588" s="49"/>
      <c r="E588" s="49"/>
      <c r="F588" s="49"/>
      <c r="J588" s="49"/>
    </row>
    <row r="589" spans="4:10" ht="13">
      <c r="D589" s="49"/>
      <c r="E589" s="49"/>
      <c r="F589" s="49"/>
      <c r="J589" s="49"/>
    </row>
    <row r="590" spans="4:10" ht="13">
      <c r="D590" s="49"/>
      <c r="E590" s="49"/>
      <c r="F590" s="49"/>
      <c r="J590" s="49"/>
    </row>
    <row r="591" spans="4:10" ht="13">
      <c r="D591" s="49"/>
      <c r="E591" s="49"/>
      <c r="F591" s="49"/>
      <c r="J591" s="49"/>
    </row>
    <row r="592" spans="4:10" ht="13">
      <c r="D592" s="49"/>
      <c r="E592" s="49"/>
      <c r="F592" s="49"/>
      <c r="J592" s="49"/>
    </row>
    <row r="593" spans="4:10" ht="13">
      <c r="D593" s="49"/>
      <c r="E593" s="49"/>
      <c r="F593" s="49"/>
      <c r="J593" s="49"/>
    </row>
    <row r="594" spans="4:10" ht="13">
      <c r="D594" s="49"/>
      <c r="E594" s="49"/>
      <c r="F594" s="49"/>
      <c r="J594" s="49"/>
    </row>
    <row r="595" spans="4:10" ht="13">
      <c r="D595" s="49"/>
      <c r="E595" s="49"/>
      <c r="F595" s="49"/>
      <c r="J595" s="49"/>
    </row>
    <row r="596" spans="4:10" ht="13">
      <c r="D596" s="49"/>
      <c r="E596" s="49"/>
      <c r="F596" s="49"/>
      <c r="J596" s="49"/>
    </row>
    <row r="597" spans="4:10" ht="13">
      <c r="D597" s="49"/>
      <c r="E597" s="49"/>
      <c r="F597" s="49"/>
      <c r="J597" s="49"/>
    </row>
    <row r="598" spans="4:10" ht="13">
      <c r="D598" s="49"/>
      <c r="E598" s="49"/>
      <c r="F598" s="49"/>
      <c r="J598" s="49"/>
    </row>
    <row r="599" spans="4:10" ht="13">
      <c r="D599" s="49"/>
      <c r="E599" s="49"/>
      <c r="F599" s="49"/>
      <c r="J599" s="49"/>
    </row>
    <row r="600" spans="4:10" ht="13">
      <c r="D600" s="49"/>
      <c r="E600" s="49"/>
      <c r="F600" s="49"/>
      <c r="J600" s="49"/>
    </row>
    <row r="601" spans="4:10" ht="13">
      <c r="D601" s="49"/>
      <c r="E601" s="49"/>
      <c r="F601" s="49"/>
      <c r="J601" s="49"/>
    </row>
    <row r="602" spans="4:10" ht="13">
      <c r="D602" s="49"/>
      <c r="E602" s="49"/>
      <c r="F602" s="49"/>
      <c r="J602" s="49"/>
    </row>
    <row r="603" spans="4:10" ht="13">
      <c r="D603" s="49"/>
      <c r="E603" s="49"/>
      <c r="F603" s="49"/>
      <c r="J603" s="49"/>
    </row>
    <row r="604" spans="4:10" ht="13">
      <c r="D604" s="49"/>
      <c r="E604" s="49"/>
      <c r="F604" s="49"/>
      <c r="J604" s="49"/>
    </row>
    <row r="605" spans="4:10" ht="13">
      <c r="D605" s="49"/>
      <c r="E605" s="49"/>
      <c r="F605" s="49"/>
      <c r="J605" s="49"/>
    </row>
    <row r="606" spans="4:10" ht="13">
      <c r="D606" s="49"/>
      <c r="E606" s="49"/>
      <c r="F606" s="49"/>
      <c r="J606" s="49"/>
    </row>
    <row r="607" spans="4:10" ht="13">
      <c r="D607" s="49"/>
      <c r="E607" s="49"/>
      <c r="F607" s="49"/>
      <c r="J607" s="49"/>
    </row>
    <row r="608" spans="4:10" ht="13">
      <c r="D608" s="49"/>
      <c r="E608" s="49"/>
      <c r="F608" s="49"/>
      <c r="J608" s="49"/>
    </row>
    <row r="609" spans="4:10" ht="13">
      <c r="D609" s="49"/>
      <c r="E609" s="49"/>
      <c r="F609" s="49"/>
      <c r="J609" s="49"/>
    </row>
    <row r="610" spans="4:10" ht="13">
      <c r="D610" s="49"/>
      <c r="E610" s="49"/>
      <c r="F610" s="49"/>
      <c r="J610" s="49"/>
    </row>
    <row r="611" spans="4:10" ht="13">
      <c r="D611" s="49"/>
      <c r="E611" s="49"/>
      <c r="F611" s="49"/>
      <c r="J611" s="49"/>
    </row>
    <row r="612" spans="4:10" ht="13">
      <c r="D612" s="49"/>
      <c r="E612" s="49"/>
      <c r="F612" s="49"/>
      <c r="J612" s="49"/>
    </row>
    <row r="613" spans="4:10" ht="13">
      <c r="D613" s="49"/>
      <c r="E613" s="49"/>
      <c r="F613" s="49"/>
      <c r="J613" s="49"/>
    </row>
    <row r="614" spans="4:10" ht="13">
      <c r="D614" s="49"/>
      <c r="E614" s="49"/>
      <c r="F614" s="49"/>
      <c r="J614" s="49"/>
    </row>
    <row r="615" spans="4:10" ht="13">
      <c r="D615" s="49"/>
      <c r="E615" s="49"/>
      <c r="F615" s="49"/>
      <c r="J615" s="49"/>
    </row>
    <row r="616" spans="4:10" ht="13">
      <c r="D616" s="49"/>
      <c r="E616" s="49"/>
      <c r="F616" s="49"/>
      <c r="J616" s="49"/>
    </row>
    <row r="617" spans="4:10" ht="13">
      <c r="D617" s="49"/>
      <c r="E617" s="49"/>
      <c r="F617" s="49"/>
      <c r="J617" s="49"/>
    </row>
    <row r="618" spans="4:10" ht="13">
      <c r="D618" s="49"/>
      <c r="E618" s="49"/>
      <c r="F618" s="49"/>
      <c r="J618" s="49"/>
    </row>
    <row r="619" spans="4:10" ht="13">
      <c r="D619" s="49"/>
      <c r="E619" s="49"/>
      <c r="F619" s="49"/>
      <c r="J619" s="49"/>
    </row>
    <row r="620" spans="4:10" ht="13">
      <c r="D620" s="49"/>
      <c r="E620" s="49"/>
      <c r="F620" s="49"/>
      <c r="J620" s="49"/>
    </row>
    <row r="621" spans="4:10" ht="13">
      <c r="D621" s="49"/>
      <c r="E621" s="49"/>
      <c r="F621" s="49"/>
      <c r="J621" s="49"/>
    </row>
    <row r="622" spans="4:10" ht="13">
      <c r="D622" s="49"/>
      <c r="E622" s="49"/>
      <c r="F622" s="49"/>
      <c r="J622" s="49"/>
    </row>
    <row r="623" spans="4:10" ht="13">
      <c r="D623" s="49"/>
      <c r="E623" s="49"/>
      <c r="F623" s="49"/>
      <c r="J623" s="49"/>
    </row>
    <row r="624" spans="4:10" ht="13">
      <c r="D624" s="49"/>
      <c r="E624" s="49"/>
      <c r="F624" s="49"/>
      <c r="J624" s="49"/>
    </row>
    <row r="625" spans="4:10" ht="13">
      <c r="D625" s="49"/>
      <c r="E625" s="49"/>
      <c r="F625" s="49"/>
      <c r="J625" s="49"/>
    </row>
    <row r="626" spans="4:10" ht="13">
      <c r="D626" s="49"/>
      <c r="E626" s="49"/>
      <c r="F626" s="49"/>
      <c r="J626" s="49"/>
    </row>
    <row r="627" spans="4:10" ht="13">
      <c r="D627" s="49"/>
      <c r="E627" s="49"/>
      <c r="F627" s="49"/>
      <c r="J627" s="49"/>
    </row>
    <row r="628" spans="4:10" ht="13">
      <c r="D628" s="49"/>
      <c r="E628" s="49"/>
      <c r="F628" s="49"/>
      <c r="J628" s="49"/>
    </row>
    <row r="629" spans="4:10" ht="13">
      <c r="D629" s="49"/>
      <c r="E629" s="49"/>
      <c r="F629" s="49"/>
      <c r="J629" s="49"/>
    </row>
    <row r="630" spans="4:10" ht="13">
      <c r="D630" s="49"/>
      <c r="E630" s="49"/>
      <c r="F630" s="49"/>
      <c r="J630" s="49"/>
    </row>
    <row r="631" spans="4:10" ht="13">
      <c r="D631" s="49"/>
      <c r="E631" s="49"/>
      <c r="F631" s="49"/>
      <c r="J631" s="49"/>
    </row>
    <row r="632" spans="4:10" ht="13">
      <c r="D632" s="49"/>
      <c r="E632" s="49"/>
      <c r="F632" s="49"/>
      <c r="J632" s="49"/>
    </row>
    <row r="633" spans="4:10" ht="13">
      <c r="D633" s="49"/>
      <c r="E633" s="49"/>
      <c r="F633" s="49"/>
      <c r="J633" s="49"/>
    </row>
    <row r="634" spans="4:10" ht="13">
      <c r="D634" s="49"/>
      <c r="E634" s="49"/>
      <c r="F634" s="49"/>
      <c r="J634" s="49"/>
    </row>
    <row r="635" spans="4:10" ht="13">
      <c r="D635" s="49"/>
      <c r="E635" s="49"/>
      <c r="F635" s="49"/>
      <c r="J635" s="49"/>
    </row>
    <row r="636" spans="4:10" ht="13">
      <c r="D636" s="49"/>
      <c r="E636" s="49"/>
      <c r="F636" s="49"/>
      <c r="J636" s="49"/>
    </row>
    <row r="637" spans="4:10" ht="13">
      <c r="D637" s="49"/>
      <c r="E637" s="49"/>
      <c r="F637" s="49"/>
      <c r="J637" s="49"/>
    </row>
    <row r="638" spans="4:10" ht="13">
      <c r="D638" s="49"/>
      <c r="E638" s="49"/>
      <c r="F638" s="49"/>
      <c r="J638" s="49"/>
    </row>
    <row r="639" spans="4:10" ht="13">
      <c r="D639" s="49"/>
      <c r="E639" s="49"/>
      <c r="F639" s="49"/>
      <c r="J639" s="49"/>
    </row>
    <row r="640" spans="4:10" ht="13">
      <c r="D640" s="49"/>
      <c r="E640" s="49"/>
      <c r="F640" s="49"/>
      <c r="J640" s="49"/>
    </row>
    <row r="641" spans="4:10" ht="13">
      <c r="D641" s="49"/>
      <c r="E641" s="49"/>
      <c r="F641" s="49"/>
      <c r="J641" s="49"/>
    </row>
    <row r="642" spans="4:10" ht="13">
      <c r="D642" s="49"/>
      <c r="E642" s="49"/>
      <c r="F642" s="49"/>
      <c r="J642" s="49"/>
    </row>
    <row r="643" spans="4:10" ht="13">
      <c r="D643" s="49"/>
      <c r="E643" s="49"/>
      <c r="F643" s="49"/>
      <c r="J643" s="49"/>
    </row>
    <row r="644" spans="4:10" ht="13">
      <c r="D644" s="49"/>
      <c r="E644" s="49"/>
      <c r="F644" s="49"/>
      <c r="J644" s="49"/>
    </row>
    <row r="645" spans="4:10" ht="13">
      <c r="D645" s="49"/>
      <c r="E645" s="49"/>
      <c r="F645" s="49"/>
      <c r="J645" s="49"/>
    </row>
    <row r="646" spans="4:10" ht="13">
      <c r="D646" s="49"/>
      <c r="E646" s="49"/>
      <c r="F646" s="49"/>
      <c r="J646" s="49"/>
    </row>
    <row r="647" spans="4:10" ht="13">
      <c r="D647" s="49"/>
      <c r="E647" s="49"/>
      <c r="F647" s="49"/>
      <c r="J647" s="49"/>
    </row>
    <row r="648" spans="4:10" ht="13">
      <c r="D648" s="49"/>
      <c r="E648" s="49"/>
      <c r="F648" s="49"/>
      <c r="J648" s="49"/>
    </row>
    <row r="649" spans="4:10" ht="13">
      <c r="D649" s="49"/>
      <c r="E649" s="49"/>
      <c r="F649" s="49"/>
      <c r="J649" s="49"/>
    </row>
    <row r="650" spans="4:10" ht="13">
      <c r="D650" s="49"/>
      <c r="E650" s="49"/>
      <c r="F650" s="49"/>
      <c r="J650" s="49"/>
    </row>
    <row r="651" spans="4:10" ht="13">
      <c r="D651" s="49"/>
      <c r="E651" s="49"/>
      <c r="F651" s="49"/>
      <c r="J651" s="49"/>
    </row>
    <row r="652" spans="4:10" ht="13">
      <c r="D652" s="49"/>
      <c r="E652" s="49"/>
      <c r="F652" s="49"/>
      <c r="J652" s="49"/>
    </row>
    <row r="653" spans="4:10" ht="13">
      <c r="D653" s="49"/>
      <c r="E653" s="49"/>
      <c r="F653" s="49"/>
      <c r="J653" s="49"/>
    </row>
    <row r="654" spans="4:10" ht="13">
      <c r="D654" s="49"/>
      <c r="E654" s="49"/>
      <c r="F654" s="49"/>
      <c r="J654" s="49"/>
    </row>
    <row r="655" spans="4:10" ht="13">
      <c r="D655" s="49"/>
      <c r="E655" s="49"/>
      <c r="F655" s="49"/>
      <c r="J655" s="49"/>
    </row>
    <row r="656" spans="4:10" ht="13">
      <c r="D656" s="49"/>
      <c r="E656" s="49"/>
      <c r="F656" s="49"/>
      <c r="J656" s="49"/>
    </row>
    <row r="657" spans="4:10" ht="13">
      <c r="D657" s="49"/>
      <c r="E657" s="49"/>
      <c r="F657" s="49"/>
      <c r="J657" s="49"/>
    </row>
    <row r="658" spans="4:10" ht="13">
      <c r="D658" s="49"/>
      <c r="E658" s="49"/>
      <c r="F658" s="49"/>
      <c r="J658" s="49"/>
    </row>
    <row r="659" spans="4:10" ht="13">
      <c r="D659" s="49"/>
      <c r="E659" s="49"/>
      <c r="F659" s="49"/>
      <c r="J659" s="49"/>
    </row>
    <row r="660" spans="4:10" ht="13">
      <c r="D660" s="49"/>
      <c r="E660" s="49"/>
      <c r="F660" s="49"/>
      <c r="J660" s="49"/>
    </row>
    <row r="661" spans="4:10" ht="13">
      <c r="D661" s="49"/>
      <c r="E661" s="49"/>
      <c r="F661" s="49"/>
      <c r="J661" s="49"/>
    </row>
    <row r="662" spans="4:10" ht="13">
      <c r="D662" s="49"/>
      <c r="E662" s="49"/>
      <c r="F662" s="49"/>
      <c r="J662" s="49"/>
    </row>
    <row r="663" spans="4:10" ht="13">
      <c r="D663" s="49"/>
      <c r="E663" s="49"/>
      <c r="F663" s="49"/>
      <c r="J663" s="49"/>
    </row>
    <row r="664" spans="4:10" ht="13">
      <c r="D664" s="49"/>
      <c r="E664" s="49"/>
      <c r="F664" s="49"/>
      <c r="J664" s="49"/>
    </row>
    <row r="665" spans="4:10" ht="13">
      <c r="D665" s="49"/>
      <c r="E665" s="49"/>
      <c r="F665" s="49"/>
      <c r="J665" s="49"/>
    </row>
    <row r="666" spans="4:10" ht="13">
      <c r="D666" s="49"/>
      <c r="E666" s="49"/>
      <c r="F666" s="49"/>
      <c r="J666" s="49"/>
    </row>
    <row r="667" spans="4:10" ht="13">
      <c r="D667" s="49"/>
      <c r="E667" s="49"/>
      <c r="F667" s="49"/>
      <c r="J667" s="49"/>
    </row>
    <row r="668" spans="4:10" ht="13">
      <c r="D668" s="49"/>
      <c r="E668" s="49"/>
      <c r="F668" s="49"/>
      <c r="J668" s="49"/>
    </row>
    <row r="669" spans="4:10" ht="13">
      <c r="D669" s="49"/>
      <c r="E669" s="49"/>
      <c r="F669" s="49"/>
      <c r="J669" s="49"/>
    </row>
    <row r="670" spans="4:10" ht="13">
      <c r="D670" s="49"/>
      <c r="E670" s="49"/>
      <c r="F670" s="49"/>
      <c r="J670" s="49"/>
    </row>
    <row r="671" spans="4:10" ht="13">
      <c r="D671" s="49"/>
      <c r="E671" s="49"/>
      <c r="F671" s="49"/>
      <c r="J671" s="49"/>
    </row>
    <row r="672" spans="4:10" ht="13">
      <c r="D672" s="49"/>
      <c r="E672" s="49"/>
      <c r="F672" s="49"/>
      <c r="J672" s="49"/>
    </row>
    <row r="673" spans="4:10" ht="13">
      <c r="D673" s="49"/>
      <c r="E673" s="49"/>
      <c r="F673" s="49"/>
      <c r="J673" s="49"/>
    </row>
    <row r="674" spans="4:10" ht="13">
      <c r="D674" s="49"/>
      <c r="E674" s="49"/>
      <c r="F674" s="49"/>
      <c r="J674" s="49"/>
    </row>
    <row r="675" spans="4:10" ht="13">
      <c r="D675" s="49"/>
      <c r="E675" s="49"/>
      <c r="F675" s="49"/>
      <c r="J675" s="49"/>
    </row>
    <row r="676" spans="4:10" ht="13">
      <c r="D676" s="49"/>
      <c r="E676" s="49"/>
      <c r="F676" s="49"/>
      <c r="J676" s="49"/>
    </row>
    <row r="677" spans="4:10" ht="13">
      <c r="D677" s="49"/>
      <c r="E677" s="49"/>
      <c r="F677" s="49"/>
      <c r="J677" s="49"/>
    </row>
    <row r="678" spans="4:10" ht="13">
      <c r="D678" s="49"/>
      <c r="E678" s="49"/>
      <c r="F678" s="49"/>
      <c r="J678" s="49"/>
    </row>
    <row r="679" spans="4:10" ht="13">
      <c r="D679" s="49"/>
      <c r="E679" s="49"/>
      <c r="F679" s="49"/>
      <c r="J679" s="49"/>
    </row>
    <row r="680" spans="4:10" ht="13">
      <c r="D680" s="49"/>
      <c r="E680" s="49"/>
      <c r="F680" s="49"/>
      <c r="J680" s="49"/>
    </row>
    <row r="681" spans="4:10" ht="13">
      <c r="D681" s="49"/>
      <c r="E681" s="49"/>
      <c r="F681" s="49"/>
      <c r="J681" s="49"/>
    </row>
    <row r="682" spans="4:10" ht="13">
      <c r="D682" s="49"/>
      <c r="E682" s="49"/>
      <c r="F682" s="49"/>
      <c r="J682" s="49"/>
    </row>
    <row r="683" spans="4:10" ht="13">
      <c r="D683" s="49"/>
      <c r="E683" s="49"/>
      <c r="F683" s="49"/>
      <c r="J683" s="49"/>
    </row>
    <row r="684" spans="4:10" ht="13">
      <c r="D684" s="49"/>
      <c r="E684" s="49"/>
      <c r="F684" s="49"/>
      <c r="J684" s="49"/>
    </row>
    <row r="685" spans="4:10" ht="13">
      <c r="D685" s="49"/>
      <c r="E685" s="49"/>
      <c r="F685" s="49"/>
      <c r="J685" s="49"/>
    </row>
    <row r="686" spans="4:10" ht="13">
      <c r="D686" s="49"/>
      <c r="E686" s="49"/>
      <c r="F686" s="49"/>
      <c r="J686" s="49"/>
    </row>
    <row r="687" spans="4:10" ht="13">
      <c r="D687" s="49"/>
      <c r="E687" s="49"/>
      <c r="F687" s="49"/>
      <c r="J687" s="49"/>
    </row>
    <row r="688" spans="4:10" ht="13">
      <c r="D688" s="49"/>
      <c r="E688" s="49"/>
      <c r="F688" s="49"/>
      <c r="J688" s="49"/>
    </row>
    <row r="689" spans="4:10" ht="13">
      <c r="D689" s="49"/>
      <c r="E689" s="49"/>
      <c r="F689" s="49"/>
      <c r="J689" s="49"/>
    </row>
    <row r="690" spans="4:10" ht="13">
      <c r="D690" s="49"/>
      <c r="E690" s="49"/>
      <c r="F690" s="49"/>
      <c r="J690" s="49"/>
    </row>
    <row r="691" spans="4:10" ht="13">
      <c r="D691" s="49"/>
      <c r="E691" s="49"/>
      <c r="F691" s="49"/>
      <c r="J691" s="49"/>
    </row>
    <row r="692" spans="4:10" ht="13">
      <c r="D692" s="49"/>
      <c r="E692" s="49"/>
      <c r="F692" s="49"/>
      <c r="J692" s="49"/>
    </row>
    <row r="693" spans="4:10" ht="13">
      <c r="D693" s="49"/>
      <c r="E693" s="49"/>
      <c r="F693" s="49"/>
      <c r="J693" s="49"/>
    </row>
    <row r="694" spans="4:10" ht="13">
      <c r="D694" s="49"/>
      <c r="E694" s="49"/>
      <c r="F694" s="49"/>
      <c r="J694" s="49"/>
    </row>
    <row r="695" spans="4:10" ht="13">
      <c r="D695" s="49"/>
      <c r="E695" s="49"/>
      <c r="F695" s="49"/>
      <c r="J695" s="49"/>
    </row>
    <row r="696" spans="4:10" ht="13">
      <c r="D696" s="49"/>
      <c r="E696" s="49"/>
      <c r="F696" s="49"/>
      <c r="J696" s="49"/>
    </row>
    <row r="697" spans="4:10" ht="13">
      <c r="D697" s="49"/>
      <c r="E697" s="49"/>
      <c r="F697" s="49"/>
      <c r="J697" s="49"/>
    </row>
    <row r="698" spans="4:10" ht="13">
      <c r="D698" s="49"/>
      <c r="E698" s="49"/>
      <c r="F698" s="49"/>
      <c r="J698" s="49"/>
    </row>
    <row r="699" spans="4:10" ht="13">
      <c r="D699" s="49"/>
      <c r="E699" s="49"/>
      <c r="F699" s="49"/>
      <c r="J699" s="49"/>
    </row>
    <row r="700" spans="4:10" ht="13">
      <c r="D700" s="49"/>
      <c r="E700" s="49"/>
      <c r="F700" s="49"/>
      <c r="J700" s="49"/>
    </row>
    <row r="701" spans="4:10" ht="13">
      <c r="D701" s="49"/>
      <c r="E701" s="49"/>
      <c r="F701" s="49"/>
      <c r="J701" s="49"/>
    </row>
    <row r="702" spans="4:10" ht="13">
      <c r="D702" s="49"/>
      <c r="E702" s="49"/>
      <c r="F702" s="49"/>
      <c r="J702" s="49"/>
    </row>
    <row r="703" spans="4:10" ht="13">
      <c r="D703" s="49"/>
      <c r="E703" s="49"/>
      <c r="F703" s="49"/>
      <c r="J703" s="49"/>
    </row>
    <row r="704" spans="4:10" ht="13">
      <c r="D704" s="49"/>
      <c r="E704" s="49"/>
      <c r="F704" s="49"/>
      <c r="J704" s="49"/>
    </row>
    <row r="705" spans="4:10" ht="13">
      <c r="D705" s="49"/>
      <c r="E705" s="49"/>
      <c r="F705" s="49"/>
      <c r="J705" s="49"/>
    </row>
    <row r="706" spans="4:10" ht="13">
      <c r="D706" s="49"/>
      <c r="E706" s="49"/>
      <c r="F706" s="49"/>
      <c r="J706" s="49"/>
    </row>
    <row r="707" spans="4:10" ht="13">
      <c r="D707" s="49"/>
      <c r="E707" s="49"/>
      <c r="F707" s="49"/>
      <c r="J707" s="49"/>
    </row>
    <row r="708" spans="4:10" ht="13">
      <c r="D708" s="49"/>
      <c r="E708" s="49"/>
      <c r="F708" s="49"/>
      <c r="J708" s="49"/>
    </row>
    <row r="709" spans="4:10" ht="13">
      <c r="D709" s="49"/>
      <c r="E709" s="49"/>
      <c r="F709" s="49"/>
      <c r="J709" s="49"/>
    </row>
    <row r="710" spans="4:10" ht="13">
      <c r="D710" s="49"/>
      <c r="E710" s="49"/>
      <c r="F710" s="49"/>
      <c r="J710" s="49"/>
    </row>
    <row r="711" spans="4:10" ht="13">
      <c r="D711" s="49"/>
      <c r="E711" s="49"/>
      <c r="F711" s="49"/>
      <c r="J711" s="49"/>
    </row>
    <row r="712" spans="4:10" ht="13">
      <c r="D712" s="49"/>
      <c r="E712" s="49"/>
      <c r="F712" s="49"/>
      <c r="J712" s="49"/>
    </row>
    <row r="713" spans="4:10" ht="13">
      <c r="D713" s="49"/>
      <c r="E713" s="49"/>
      <c r="F713" s="49"/>
      <c r="J713" s="49"/>
    </row>
    <row r="714" spans="4:10" ht="13">
      <c r="D714" s="49"/>
      <c r="E714" s="49"/>
      <c r="F714" s="49"/>
      <c r="J714" s="49"/>
    </row>
    <row r="715" spans="4:10" ht="13">
      <c r="D715" s="49"/>
      <c r="E715" s="49"/>
      <c r="F715" s="49"/>
      <c r="J715" s="49"/>
    </row>
    <row r="716" spans="4:10" ht="13">
      <c r="D716" s="49"/>
      <c r="E716" s="49"/>
      <c r="F716" s="49"/>
      <c r="J716" s="49"/>
    </row>
    <row r="717" spans="4:10" ht="13">
      <c r="D717" s="49"/>
      <c r="E717" s="49"/>
      <c r="F717" s="49"/>
      <c r="J717" s="49"/>
    </row>
    <row r="718" spans="4:10" ht="13">
      <c r="D718" s="49"/>
      <c r="E718" s="49"/>
      <c r="F718" s="49"/>
      <c r="J718" s="49"/>
    </row>
    <row r="719" spans="4:10" ht="13">
      <c r="D719" s="49"/>
      <c r="E719" s="49"/>
      <c r="F719" s="49"/>
      <c r="J719" s="49"/>
    </row>
    <row r="720" spans="4:10" ht="13">
      <c r="D720" s="49"/>
      <c r="E720" s="49"/>
      <c r="F720" s="49"/>
      <c r="J720" s="49"/>
    </row>
    <row r="721" spans="4:10" ht="13">
      <c r="D721" s="49"/>
      <c r="E721" s="49"/>
      <c r="F721" s="49"/>
      <c r="J721" s="49"/>
    </row>
    <row r="722" spans="4:10" ht="13">
      <c r="D722" s="49"/>
      <c r="E722" s="49"/>
      <c r="F722" s="49"/>
      <c r="J722" s="49"/>
    </row>
    <row r="723" spans="4:10" ht="13">
      <c r="D723" s="49"/>
      <c r="E723" s="49"/>
      <c r="F723" s="49"/>
      <c r="J723" s="49"/>
    </row>
    <row r="724" spans="4:10" ht="13">
      <c r="D724" s="49"/>
      <c r="E724" s="49"/>
      <c r="F724" s="49"/>
      <c r="J724" s="49"/>
    </row>
    <row r="725" spans="4:10" ht="13">
      <c r="D725" s="49"/>
      <c r="E725" s="49"/>
      <c r="F725" s="49"/>
      <c r="J725" s="49"/>
    </row>
    <row r="726" spans="4:10" ht="13">
      <c r="D726" s="49"/>
      <c r="E726" s="49"/>
      <c r="F726" s="49"/>
      <c r="J726" s="49"/>
    </row>
    <row r="727" spans="4:10" ht="13">
      <c r="D727" s="49"/>
      <c r="E727" s="49"/>
      <c r="F727" s="49"/>
      <c r="J727" s="49"/>
    </row>
    <row r="728" spans="4:10" ht="13">
      <c r="D728" s="49"/>
      <c r="E728" s="49"/>
      <c r="F728" s="49"/>
      <c r="J728" s="49"/>
    </row>
    <row r="729" spans="4:10" ht="13">
      <c r="D729" s="49"/>
      <c r="E729" s="49"/>
      <c r="F729" s="49"/>
      <c r="J729" s="49"/>
    </row>
    <row r="730" spans="4:10" ht="13">
      <c r="D730" s="49"/>
      <c r="E730" s="49"/>
      <c r="F730" s="49"/>
      <c r="J730" s="49"/>
    </row>
    <row r="731" spans="4:10" ht="13">
      <c r="D731" s="49"/>
      <c r="E731" s="49"/>
      <c r="F731" s="49"/>
      <c r="J731" s="49"/>
    </row>
    <row r="732" spans="4:10" ht="13">
      <c r="D732" s="49"/>
      <c r="E732" s="49"/>
      <c r="F732" s="49"/>
      <c r="J732" s="49"/>
    </row>
    <row r="733" spans="4:10" ht="13">
      <c r="D733" s="49"/>
      <c r="E733" s="49"/>
      <c r="F733" s="49"/>
      <c r="J733" s="49"/>
    </row>
    <row r="734" spans="4:10" ht="13">
      <c r="D734" s="49"/>
      <c r="E734" s="49"/>
      <c r="F734" s="49"/>
      <c r="J734" s="49"/>
    </row>
    <row r="735" spans="4:10" ht="13">
      <c r="D735" s="49"/>
      <c r="E735" s="49"/>
      <c r="F735" s="49"/>
      <c r="J735" s="49"/>
    </row>
    <row r="736" spans="4:10" ht="13">
      <c r="D736" s="49"/>
      <c r="E736" s="49"/>
      <c r="F736" s="49"/>
      <c r="J736" s="49"/>
    </row>
    <row r="737" spans="4:10" ht="13">
      <c r="D737" s="49"/>
      <c r="E737" s="49"/>
      <c r="F737" s="49"/>
      <c r="J737" s="49"/>
    </row>
    <row r="738" spans="4:10" ht="13">
      <c r="D738" s="49"/>
      <c r="E738" s="49"/>
      <c r="F738" s="49"/>
      <c r="J738" s="49"/>
    </row>
    <row r="739" spans="4:10" ht="13">
      <c r="D739" s="49"/>
      <c r="E739" s="49"/>
      <c r="F739" s="49"/>
      <c r="J739" s="49"/>
    </row>
    <row r="740" spans="4:10" ht="13">
      <c r="D740" s="49"/>
      <c r="E740" s="49"/>
      <c r="F740" s="49"/>
      <c r="J740" s="49"/>
    </row>
    <row r="741" spans="4:10" ht="13">
      <c r="D741" s="49"/>
      <c r="E741" s="49"/>
      <c r="F741" s="49"/>
      <c r="J741" s="49"/>
    </row>
    <row r="742" spans="4:10" ht="13">
      <c r="D742" s="49"/>
      <c r="E742" s="49"/>
      <c r="F742" s="49"/>
      <c r="J742" s="49"/>
    </row>
    <row r="743" spans="4:10" ht="13">
      <c r="D743" s="49"/>
      <c r="E743" s="49"/>
      <c r="F743" s="49"/>
      <c r="J743" s="49"/>
    </row>
    <row r="744" spans="4:10" ht="13">
      <c r="D744" s="49"/>
      <c r="E744" s="49"/>
      <c r="F744" s="49"/>
      <c r="J744" s="49"/>
    </row>
    <row r="745" spans="4:10" ht="13">
      <c r="D745" s="49"/>
      <c r="E745" s="49"/>
      <c r="F745" s="49"/>
      <c r="J745" s="49"/>
    </row>
    <row r="746" spans="4:10" ht="13">
      <c r="D746" s="49"/>
      <c r="E746" s="49"/>
      <c r="F746" s="49"/>
      <c r="J746" s="49"/>
    </row>
    <row r="747" spans="4:10" ht="13">
      <c r="D747" s="49"/>
      <c r="E747" s="49"/>
      <c r="F747" s="49"/>
      <c r="J747" s="49"/>
    </row>
    <row r="748" spans="4:10" ht="13">
      <c r="D748" s="49"/>
      <c r="E748" s="49"/>
      <c r="F748" s="49"/>
      <c r="J748" s="49"/>
    </row>
    <row r="749" spans="4:10" ht="13">
      <c r="D749" s="49"/>
      <c r="E749" s="49"/>
      <c r="F749" s="49"/>
      <c r="J749" s="49"/>
    </row>
    <row r="750" spans="4:10" ht="13">
      <c r="D750" s="49"/>
      <c r="E750" s="49"/>
      <c r="F750" s="49"/>
      <c r="J750" s="49"/>
    </row>
    <row r="751" spans="4:10" ht="13">
      <c r="D751" s="49"/>
      <c r="E751" s="49"/>
      <c r="F751" s="49"/>
      <c r="J751" s="49"/>
    </row>
    <row r="752" spans="4:10" ht="13">
      <c r="D752" s="49"/>
      <c r="E752" s="49"/>
      <c r="F752" s="49"/>
      <c r="J752" s="49"/>
    </row>
    <row r="753" spans="4:10" ht="13">
      <c r="D753" s="49"/>
      <c r="E753" s="49"/>
      <c r="F753" s="49"/>
      <c r="J753" s="49"/>
    </row>
    <row r="754" spans="4:10" ht="13">
      <c r="D754" s="49"/>
      <c r="E754" s="49"/>
      <c r="F754" s="49"/>
      <c r="J754" s="49"/>
    </row>
    <row r="755" spans="4:10" ht="13">
      <c r="D755" s="49"/>
      <c r="E755" s="49"/>
      <c r="F755" s="49"/>
      <c r="J755" s="49"/>
    </row>
    <row r="756" spans="4:10" ht="13">
      <c r="D756" s="49"/>
      <c r="E756" s="49"/>
      <c r="F756" s="49"/>
      <c r="J756" s="49"/>
    </row>
    <row r="757" spans="4:10" ht="13">
      <c r="D757" s="49"/>
      <c r="E757" s="49"/>
      <c r="F757" s="49"/>
      <c r="J757" s="49"/>
    </row>
    <row r="758" spans="4:10" ht="13">
      <c r="D758" s="49"/>
      <c r="E758" s="49"/>
      <c r="F758" s="49"/>
      <c r="J758" s="49"/>
    </row>
    <row r="759" spans="4:10" ht="13">
      <c r="D759" s="49"/>
      <c r="E759" s="49"/>
      <c r="F759" s="49"/>
      <c r="J759" s="49"/>
    </row>
    <row r="760" spans="4:10" ht="13">
      <c r="D760" s="49"/>
      <c r="E760" s="49"/>
      <c r="F760" s="49"/>
      <c r="J760" s="49"/>
    </row>
    <row r="761" spans="4:10" ht="13">
      <c r="D761" s="49"/>
      <c r="E761" s="49"/>
      <c r="F761" s="49"/>
      <c r="J761" s="49"/>
    </row>
    <row r="762" spans="4:10" ht="13">
      <c r="D762" s="49"/>
      <c r="E762" s="49"/>
      <c r="F762" s="49"/>
      <c r="J762" s="49"/>
    </row>
    <row r="763" spans="4:10" ht="13">
      <c r="D763" s="49"/>
      <c r="E763" s="49"/>
      <c r="F763" s="49"/>
      <c r="J763" s="49"/>
    </row>
    <row r="764" spans="4:10" ht="13">
      <c r="D764" s="49"/>
      <c r="E764" s="49"/>
      <c r="F764" s="49"/>
      <c r="J764" s="49"/>
    </row>
    <row r="765" spans="4:10" ht="13">
      <c r="D765" s="49"/>
      <c r="E765" s="49"/>
      <c r="F765" s="49"/>
      <c r="J765" s="49"/>
    </row>
    <row r="766" spans="4:10" ht="13">
      <c r="D766" s="49"/>
      <c r="E766" s="49"/>
      <c r="F766" s="49"/>
      <c r="J766" s="49"/>
    </row>
    <row r="767" spans="4:10" ht="13">
      <c r="D767" s="49"/>
      <c r="E767" s="49"/>
      <c r="F767" s="49"/>
      <c r="J767" s="49"/>
    </row>
    <row r="768" spans="4:10" ht="13">
      <c r="D768" s="49"/>
      <c r="E768" s="49"/>
      <c r="F768" s="49"/>
      <c r="J768" s="49"/>
    </row>
    <row r="769" spans="4:10" ht="13">
      <c r="D769" s="49"/>
      <c r="E769" s="49"/>
      <c r="F769" s="49"/>
      <c r="J769" s="49"/>
    </row>
    <row r="770" spans="4:10" ht="13">
      <c r="D770" s="49"/>
      <c r="E770" s="49"/>
      <c r="F770" s="49"/>
      <c r="J770" s="49"/>
    </row>
    <row r="771" spans="4:10" ht="13">
      <c r="D771" s="49"/>
      <c r="E771" s="49"/>
      <c r="F771" s="49"/>
      <c r="J771" s="49"/>
    </row>
    <row r="772" spans="4:10" ht="13">
      <c r="D772" s="49"/>
      <c r="E772" s="49"/>
      <c r="F772" s="49"/>
      <c r="J772" s="49"/>
    </row>
    <row r="773" spans="4:10" ht="13">
      <c r="D773" s="49"/>
      <c r="E773" s="49"/>
      <c r="F773" s="49"/>
      <c r="J773" s="49"/>
    </row>
    <row r="774" spans="4:10" ht="13">
      <c r="D774" s="49"/>
      <c r="E774" s="49"/>
      <c r="F774" s="49"/>
      <c r="J774" s="49"/>
    </row>
    <row r="775" spans="4:10" ht="13">
      <c r="D775" s="49"/>
      <c r="E775" s="49"/>
      <c r="F775" s="49"/>
      <c r="J775" s="49"/>
    </row>
    <row r="776" spans="4:10" ht="13">
      <c r="D776" s="49"/>
      <c r="E776" s="49"/>
      <c r="F776" s="49"/>
      <c r="J776" s="49"/>
    </row>
    <row r="777" spans="4:10" ht="13">
      <c r="D777" s="49"/>
      <c r="E777" s="49"/>
      <c r="F777" s="49"/>
      <c r="J777" s="49"/>
    </row>
    <row r="778" spans="4:10" ht="13">
      <c r="D778" s="49"/>
      <c r="E778" s="49"/>
      <c r="F778" s="49"/>
      <c r="J778" s="49"/>
    </row>
    <row r="779" spans="4:10" ht="13">
      <c r="D779" s="49"/>
      <c r="E779" s="49"/>
      <c r="F779" s="49"/>
      <c r="J779" s="49"/>
    </row>
    <row r="780" spans="4:10" ht="13">
      <c r="D780" s="49"/>
      <c r="E780" s="49"/>
      <c r="F780" s="49"/>
      <c r="J780" s="49"/>
    </row>
    <row r="781" spans="4:10" ht="13">
      <c r="D781" s="49"/>
      <c r="E781" s="49"/>
      <c r="F781" s="49"/>
      <c r="J781" s="49"/>
    </row>
    <row r="782" spans="4:10" ht="13">
      <c r="D782" s="49"/>
      <c r="E782" s="49"/>
      <c r="F782" s="49"/>
      <c r="J782" s="49"/>
    </row>
    <row r="783" spans="4:10" ht="13">
      <c r="D783" s="49"/>
      <c r="E783" s="49"/>
      <c r="F783" s="49"/>
      <c r="J783" s="49"/>
    </row>
    <row r="784" spans="4:10" ht="13">
      <c r="D784" s="49"/>
      <c r="E784" s="49"/>
      <c r="F784" s="49"/>
      <c r="J784" s="49"/>
    </row>
    <row r="785" spans="4:10" ht="13">
      <c r="D785" s="49"/>
      <c r="E785" s="49"/>
      <c r="F785" s="49"/>
      <c r="J785" s="49"/>
    </row>
    <row r="786" spans="4:10" ht="13">
      <c r="D786" s="49"/>
      <c r="E786" s="49"/>
      <c r="F786" s="49"/>
      <c r="J786" s="49"/>
    </row>
    <row r="787" spans="4:10" ht="13">
      <c r="D787" s="49"/>
      <c r="E787" s="49"/>
      <c r="F787" s="49"/>
      <c r="J787" s="49"/>
    </row>
    <row r="788" spans="4:10" ht="13">
      <c r="D788" s="49"/>
      <c r="E788" s="49"/>
      <c r="F788" s="49"/>
      <c r="J788" s="49"/>
    </row>
    <row r="789" spans="4:10" ht="13">
      <c r="D789" s="49"/>
      <c r="E789" s="49"/>
      <c r="F789" s="49"/>
      <c r="J789" s="49"/>
    </row>
    <row r="790" spans="4:10" ht="13">
      <c r="D790" s="49"/>
      <c r="E790" s="49"/>
      <c r="F790" s="49"/>
      <c r="J790" s="49"/>
    </row>
    <row r="791" spans="4:10" ht="13">
      <c r="D791" s="49"/>
      <c r="E791" s="49"/>
      <c r="F791" s="49"/>
      <c r="J791" s="49"/>
    </row>
    <row r="792" spans="4:10" ht="13">
      <c r="D792" s="49"/>
      <c r="E792" s="49"/>
      <c r="F792" s="49"/>
      <c r="J792" s="49"/>
    </row>
    <row r="793" spans="4:10" ht="13">
      <c r="D793" s="49"/>
      <c r="E793" s="49"/>
      <c r="F793" s="49"/>
      <c r="J793" s="49"/>
    </row>
    <row r="794" spans="4:10" ht="13">
      <c r="D794" s="49"/>
      <c r="E794" s="49"/>
      <c r="F794" s="49"/>
      <c r="J794" s="49"/>
    </row>
    <row r="795" spans="4:10" ht="13">
      <c r="D795" s="49"/>
      <c r="E795" s="49"/>
      <c r="F795" s="49"/>
      <c r="J795" s="49"/>
    </row>
    <row r="796" spans="4:10" ht="13">
      <c r="D796" s="49"/>
      <c r="E796" s="49"/>
      <c r="F796" s="49"/>
      <c r="J796" s="49"/>
    </row>
    <row r="797" spans="4:10" ht="13">
      <c r="D797" s="49"/>
      <c r="E797" s="49"/>
      <c r="F797" s="49"/>
      <c r="J797" s="49"/>
    </row>
    <row r="798" spans="4:10" ht="13">
      <c r="D798" s="49"/>
      <c r="E798" s="49"/>
      <c r="F798" s="49"/>
      <c r="J798" s="49"/>
    </row>
    <row r="799" spans="4:10" ht="13">
      <c r="D799" s="49"/>
      <c r="E799" s="49"/>
      <c r="F799" s="49"/>
      <c r="J799" s="49"/>
    </row>
    <row r="800" spans="4:10" ht="13">
      <c r="D800" s="49"/>
      <c r="E800" s="49"/>
      <c r="F800" s="49"/>
      <c r="J800" s="49"/>
    </row>
    <row r="801" spans="4:10" ht="13">
      <c r="D801" s="49"/>
      <c r="E801" s="49"/>
      <c r="F801" s="49"/>
      <c r="J801" s="49"/>
    </row>
    <row r="802" spans="4:10" ht="13">
      <c r="D802" s="49"/>
      <c r="E802" s="49"/>
      <c r="F802" s="49"/>
      <c r="J802" s="49"/>
    </row>
    <row r="803" spans="4:10" ht="13">
      <c r="D803" s="49"/>
      <c r="E803" s="49"/>
      <c r="F803" s="49"/>
      <c r="J803" s="49"/>
    </row>
    <row r="804" spans="4:10" ht="13">
      <c r="D804" s="49"/>
      <c r="E804" s="49"/>
      <c r="F804" s="49"/>
      <c r="J804" s="49"/>
    </row>
    <row r="805" spans="4:10" ht="13">
      <c r="D805" s="49"/>
      <c r="E805" s="49"/>
      <c r="F805" s="49"/>
      <c r="J805" s="49"/>
    </row>
    <row r="806" spans="4:10" ht="13">
      <c r="D806" s="49"/>
      <c r="E806" s="49"/>
      <c r="F806" s="49"/>
      <c r="J806" s="49"/>
    </row>
    <row r="807" spans="4:10" ht="13">
      <c r="D807" s="49"/>
      <c r="E807" s="49"/>
      <c r="F807" s="49"/>
      <c r="J807" s="49"/>
    </row>
    <row r="808" spans="4:10" ht="13">
      <c r="D808" s="49"/>
      <c r="E808" s="49"/>
      <c r="F808" s="49"/>
      <c r="J808" s="49"/>
    </row>
    <row r="809" spans="4:10" ht="13">
      <c r="D809" s="49"/>
      <c r="E809" s="49"/>
      <c r="F809" s="49"/>
      <c r="J809" s="49"/>
    </row>
    <row r="810" spans="4:10" ht="13">
      <c r="D810" s="49"/>
      <c r="E810" s="49"/>
      <c r="F810" s="49"/>
      <c r="J810" s="49"/>
    </row>
    <row r="811" spans="4:10" ht="13">
      <c r="D811" s="49"/>
      <c r="E811" s="49"/>
      <c r="F811" s="49"/>
      <c r="J811" s="49"/>
    </row>
    <row r="812" spans="4:10" ht="13">
      <c r="D812" s="49"/>
      <c r="E812" s="49"/>
      <c r="F812" s="49"/>
      <c r="J812" s="49"/>
    </row>
    <row r="813" spans="4:10" ht="13">
      <c r="D813" s="49"/>
      <c r="E813" s="49"/>
      <c r="F813" s="49"/>
      <c r="J813" s="49"/>
    </row>
    <row r="814" spans="4:10" ht="13">
      <c r="D814" s="49"/>
      <c r="E814" s="49"/>
      <c r="F814" s="49"/>
      <c r="J814" s="49"/>
    </row>
    <row r="815" spans="4:10" ht="13">
      <c r="D815" s="49"/>
      <c r="E815" s="49"/>
      <c r="F815" s="49"/>
      <c r="J815" s="49"/>
    </row>
    <row r="816" spans="4:10" ht="13">
      <c r="D816" s="49"/>
      <c r="E816" s="49"/>
      <c r="F816" s="49"/>
      <c r="J816" s="49"/>
    </row>
    <row r="817" spans="4:10" ht="13">
      <c r="D817" s="49"/>
      <c r="E817" s="49"/>
      <c r="F817" s="49"/>
      <c r="J817" s="49"/>
    </row>
    <row r="818" spans="4:10" ht="13">
      <c r="D818" s="49"/>
      <c r="E818" s="49"/>
      <c r="F818" s="49"/>
      <c r="J818" s="49"/>
    </row>
    <row r="819" spans="4:10" ht="13">
      <c r="D819" s="49"/>
      <c r="E819" s="49"/>
      <c r="F819" s="49"/>
      <c r="J819" s="49"/>
    </row>
    <row r="820" spans="4:10" ht="13">
      <c r="D820" s="49"/>
      <c r="E820" s="49"/>
      <c r="F820" s="49"/>
      <c r="J820" s="49"/>
    </row>
    <row r="821" spans="4:10" ht="13">
      <c r="D821" s="49"/>
      <c r="E821" s="49"/>
      <c r="F821" s="49"/>
      <c r="J821" s="49"/>
    </row>
    <row r="822" spans="4:10" ht="13">
      <c r="D822" s="49"/>
      <c r="E822" s="49"/>
      <c r="F822" s="49"/>
      <c r="J822" s="49"/>
    </row>
    <row r="823" spans="4:10" ht="13">
      <c r="D823" s="49"/>
      <c r="E823" s="49"/>
      <c r="F823" s="49"/>
      <c r="J823" s="49"/>
    </row>
    <row r="824" spans="4:10" ht="13">
      <c r="D824" s="49"/>
      <c r="E824" s="49"/>
      <c r="F824" s="49"/>
      <c r="J824" s="49"/>
    </row>
    <row r="825" spans="4:10" ht="13">
      <c r="D825" s="49"/>
      <c r="E825" s="49"/>
      <c r="F825" s="49"/>
      <c r="J825" s="49"/>
    </row>
    <row r="826" spans="4:10" ht="13">
      <c r="D826" s="49"/>
      <c r="E826" s="49"/>
      <c r="F826" s="49"/>
      <c r="J826" s="49"/>
    </row>
    <row r="827" spans="4:10" ht="13">
      <c r="D827" s="49"/>
      <c r="E827" s="49"/>
      <c r="F827" s="49"/>
      <c r="J827" s="49"/>
    </row>
    <row r="828" spans="4:10" ht="13">
      <c r="D828" s="49"/>
      <c r="E828" s="49"/>
      <c r="F828" s="49"/>
      <c r="J828" s="49"/>
    </row>
    <row r="829" spans="4:10" ht="13">
      <c r="D829" s="49"/>
      <c r="E829" s="49"/>
      <c r="F829" s="49"/>
      <c r="J829" s="49"/>
    </row>
    <row r="830" spans="4:10" ht="13">
      <c r="D830" s="49"/>
      <c r="E830" s="49"/>
      <c r="F830" s="49"/>
      <c r="J830" s="49"/>
    </row>
    <row r="831" spans="4:10" ht="13">
      <c r="D831" s="49"/>
      <c r="E831" s="49"/>
      <c r="F831" s="49"/>
      <c r="J831" s="49"/>
    </row>
    <row r="832" spans="4:10" ht="13">
      <c r="D832" s="49"/>
      <c r="E832" s="49"/>
      <c r="F832" s="49"/>
      <c r="J832" s="49"/>
    </row>
    <row r="833" spans="4:10" ht="13">
      <c r="D833" s="49"/>
      <c r="E833" s="49"/>
      <c r="F833" s="49"/>
      <c r="J833" s="49"/>
    </row>
    <row r="834" spans="4:10" ht="13">
      <c r="D834" s="49"/>
      <c r="E834" s="49"/>
      <c r="F834" s="49"/>
      <c r="J834" s="49"/>
    </row>
    <row r="835" spans="4:10" ht="13">
      <c r="D835" s="49"/>
      <c r="E835" s="49"/>
      <c r="F835" s="49"/>
      <c r="J835" s="49"/>
    </row>
    <row r="836" spans="4:10" ht="13">
      <c r="D836" s="49"/>
      <c r="E836" s="49"/>
      <c r="F836" s="49"/>
      <c r="J836" s="49"/>
    </row>
    <row r="837" spans="4:10" ht="13">
      <c r="D837" s="49"/>
      <c r="E837" s="49"/>
      <c r="F837" s="49"/>
      <c r="J837" s="49"/>
    </row>
    <row r="838" spans="4:10" ht="13">
      <c r="D838" s="49"/>
      <c r="E838" s="49"/>
      <c r="F838" s="49"/>
      <c r="J838" s="49"/>
    </row>
    <row r="839" spans="4:10" ht="13">
      <c r="D839" s="49"/>
      <c r="E839" s="49"/>
      <c r="F839" s="49"/>
      <c r="J839" s="49"/>
    </row>
    <row r="840" spans="4:10" ht="13">
      <c r="D840" s="49"/>
      <c r="E840" s="49"/>
      <c r="F840" s="49"/>
      <c r="J840" s="49"/>
    </row>
    <row r="841" spans="4:10" ht="13">
      <c r="D841" s="49"/>
      <c r="E841" s="49"/>
      <c r="F841" s="49"/>
      <c r="J841" s="49"/>
    </row>
    <row r="842" spans="4:10" ht="13">
      <c r="D842" s="49"/>
      <c r="E842" s="49"/>
      <c r="F842" s="49"/>
      <c r="J842" s="49"/>
    </row>
    <row r="843" spans="4:10" ht="13">
      <c r="D843" s="49"/>
      <c r="E843" s="49"/>
      <c r="F843" s="49"/>
      <c r="J843" s="49"/>
    </row>
    <row r="844" spans="4:10" ht="13">
      <c r="D844" s="49"/>
      <c r="E844" s="49"/>
      <c r="F844" s="49"/>
      <c r="J844" s="49"/>
    </row>
    <row r="845" spans="4:10" ht="13">
      <c r="D845" s="49"/>
      <c r="E845" s="49"/>
      <c r="F845" s="49"/>
      <c r="J845" s="49"/>
    </row>
    <row r="846" spans="4:10" ht="13">
      <c r="D846" s="49"/>
      <c r="E846" s="49"/>
      <c r="F846" s="49"/>
      <c r="J846" s="49"/>
    </row>
    <row r="847" spans="4:10" ht="13">
      <c r="D847" s="49"/>
      <c r="E847" s="49"/>
      <c r="F847" s="49"/>
      <c r="J847" s="49"/>
    </row>
    <row r="848" spans="4:10" ht="13">
      <c r="D848" s="49"/>
      <c r="E848" s="49"/>
      <c r="F848" s="49"/>
      <c r="J848" s="49"/>
    </row>
    <row r="849" spans="4:10" ht="13">
      <c r="D849" s="49"/>
      <c r="E849" s="49"/>
      <c r="F849" s="49"/>
      <c r="J849" s="49"/>
    </row>
    <row r="850" spans="4:10" ht="13">
      <c r="D850" s="49"/>
      <c r="E850" s="49"/>
      <c r="F850" s="49"/>
      <c r="J850" s="49"/>
    </row>
    <row r="851" spans="4:10" ht="13">
      <c r="D851" s="49"/>
      <c r="E851" s="49"/>
      <c r="F851" s="49"/>
      <c r="J851" s="49"/>
    </row>
    <row r="852" spans="4:10" ht="13">
      <c r="D852" s="49"/>
      <c r="E852" s="49"/>
      <c r="F852" s="49"/>
      <c r="J852" s="49"/>
    </row>
    <row r="853" spans="4:10" ht="13">
      <c r="D853" s="49"/>
      <c r="E853" s="49"/>
      <c r="F853" s="49"/>
      <c r="J853" s="49"/>
    </row>
    <row r="854" spans="4:10" ht="13">
      <c r="D854" s="49"/>
      <c r="E854" s="49"/>
      <c r="F854" s="49"/>
      <c r="J854" s="49"/>
    </row>
    <row r="855" spans="4:10" ht="13">
      <c r="D855" s="49"/>
      <c r="E855" s="49"/>
      <c r="F855" s="49"/>
      <c r="J855" s="49"/>
    </row>
    <row r="856" spans="4:10" ht="13">
      <c r="D856" s="49"/>
      <c r="E856" s="49"/>
      <c r="F856" s="49"/>
      <c r="J856" s="49"/>
    </row>
    <row r="857" spans="4:10" ht="13">
      <c r="D857" s="49"/>
      <c r="E857" s="49"/>
      <c r="F857" s="49"/>
      <c r="J857" s="49"/>
    </row>
    <row r="858" spans="4:10" ht="13">
      <c r="D858" s="49"/>
      <c r="E858" s="49"/>
      <c r="F858" s="49"/>
      <c r="J858" s="49"/>
    </row>
    <row r="859" spans="4:10" ht="13">
      <c r="D859" s="49"/>
      <c r="E859" s="49"/>
      <c r="F859" s="49"/>
      <c r="J859" s="49"/>
    </row>
    <row r="860" spans="4:10" ht="13">
      <c r="D860" s="49"/>
      <c r="E860" s="49"/>
      <c r="F860" s="49"/>
      <c r="J860" s="49"/>
    </row>
    <row r="861" spans="4:10" ht="13">
      <c r="D861" s="49"/>
      <c r="E861" s="49"/>
      <c r="F861" s="49"/>
      <c r="J861" s="49"/>
    </row>
    <row r="862" spans="4:10" ht="13">
      <c r="D862" s="49"/>
      <c r="E862" s="49"/>
      <c r="F862" s="49"/>
      <c r="J862" s="49"/>
    </row>
    <row r="863" spans="4:10" ht="13">
      <c r="D863" s="49"/>
      <c r="E863" s="49"/>
      <c r="F863" s="49"/>
      <c r="J863" s="49"/>
    </row>
    <row r="864" spans="4:10" ht="13">
      <c r="D864" s="49"/>
      <c r="E864" s="49"/>
      <c r="F864" s="49"/>
      <c r="J864" s="49"/>
    </row>
    <row r="865" spans="4:10" ht="13">
      <c r="D865" s="49"/>
      <c r="E865" s="49"/>
      <c r="F865" s="49"/>
      <c r="J865" s="49"/>
    </row>
    <row r="866" spans="4:10" ht="13">
      <c r="D866" s="49"/>
      <c r="E866" s="49"/>
      <c r="F866" s="49"/>
      <c r="J866" s="49"/>
    </row>
    <row r="867" spans="4:10" ht="13">
      <c r="D867" s="49"/>
      <c r="E867" s="49"/>
      <c r="F867" s="49"/>
      <c r="J867" s="49"/>
    </row>
    <row r="868" spans="4:10" ht="13">
      <c r="D868" s="49"/>
      <c r="E868" s="49"/>
      <c r="F868" s="49"/>
      <c r="J868" s="49"/>
    </row>
    <row r="869" spans="4:10" ht="13">
      <c r="D869" s="49"/>
      <c r="E869" s="49"/>
      <c r="F869" s="49"/>
      <c r="J869" s="49"/>
    </row>
    <row r="870" spans="4:10" ht="13">
      <c r="D870" s="49"/>
      <c r="E870" s="49"/>
      <c r="F870" s="49"/>
      <c r="J870" s="49"/>
    </row>
    <row r="871" spans="4:10" ht="13">
      <c r="D871" s="49"/>
      <c r="E871" s="49"/>
      <c r="F871" s="49"/>
      <c r="J871" s="49"/>
    </row>
    <row r="872" spans="4:10" ht="13">
      <c r="D872" s="49"/>
      <c r="E872" s="49"/>
      <c r="F872" s="49"/>
      <c r="J872" s="49"/>
    </row>
    <row r="873" spans="4:10" ht="13">
      <c r="D873" s="49"/>
      <c r="E873" s="49"/>
      <c r="F873" s="49"/>
      <c r="J873" s="49"/>
    </row>
    <row r="874" spans="4:10" ht="13">
      <c r="D874" s="49"/>
      <c r="E874" s="49"/>
      <c r="F874" s="49"/>
      <c r="J874" s="49"/>
    </row>
    <row r="875" spans="4:10" ht="13">
      <c r="D875" s="49"/>
      <c r="E875" s="49"/>
      <c r="F875" s="49"/>
      <c r="J875" s="49"/>
    </row>
    <row r="876" spans="4:10" ht="13">
      <c r="D876" s="49"/>
      <c r="E876" s="49"/>
      <c r="F876" s="49"/>
      <c r="J876" s="49"/>
    </row>
    <row r="877" spans="4:10" ht="13">
      <c r="D877" s="49"/>
      <c r="E877" s="49"/>
      <c r="F877" s="49"/>
      <c r="J877" s="49"/>
    </row>
    <row r="878" spans="4:10" ht="13">
      <c r="D878" s="49"/>
      <c r="E878" s="49"/>
      <c r="F878" s="49"/>
      <c r="J878" s="49"/>
    </row>
    <row r="879" spans="4:10" ht="13">
      <c r="D879" s="49"/>
      <c r="E879" s="49"/>
      <c r="F879" s="49"/>
      <c r="J879" s="49"/>
    </row>
    <row r="880" spans="4:10" ht="13">
      <c r="D880" s="49"/>
      <c r="E880" s="49"/>
      <c r="F880" s="49"/>
      <c r="J880" s="49"/>
    </row>
    <row r="881" spans="4:10" ht="13">
      <c r="D881" s="49"/>
      <c r="E881" s="49"/>
      <c r="F881" s="49"/>
      <c r="J881" s="49"/>
    </row>
    <row r="882" spans="4:10" ht="13">
      <c r="D882" s="49"/>
      <c r="E882" s="49"/>
      <c r="F882" s="49"/>
      <c r="J882" s="49"/>
    </row>
    <row r="883" spans="4:10" ht="13">
      <c r="D883" s="49"/>
      <c r="E883" s="49"/>
      <c r="F883" s="49"/>
      <c r="J883" s="49"/>
    </row>
    <row r="884" spans="4:10" ht="13">
      <c r="D884" s="49"/>
      <c r="E884" s="49"/>
      <c r="F884" s="49"/>
      <c r="J884" s="49"/>
    </row>
    <row r="885" spans="4:10" ht="13">
      <c r="D885" s="49"/>
      <c r="E885" s="49"/>
      <c r="F885" s="49"/>
      <c r="J885" s="49"/>
    </row>
    <row r="886" spans="4:10" ht="13">
      <c r="D886" s="49"/>
      <c r="E886" s="49"/>
      <c r="F886" s="49"/>
      <c r="J886" s="49"/>
    </row>
    <row r="887" spans="4:10" ht="13">
      <c r="D887" s="49"/>
      <c r="E887" s="49"/>
      <c r="F887" s="49"/>
      <c r="J887" s="49"/>
    </row>
    <row r="888" spans="4:10" ht="13">
      <c r="D888" s="49"/>
      <c r="E888" s="49"/>
      <c r="F888" s="49"/>
      <c r="J888" s="49"/>
    </row>
    <row r="889" spans="4:10" ht="13">
      <c r="D889" s="49"/>
      <c r="E889" s="49"/>
      <c r="F889" s="49"/>
      <c r="J889" s="49"/>
    </row>
    <row r="890" spans="4:10" ht="13">
      <c r="D890" s="49"/>
      <c r="E890" s="49"/>
      <c r="F890" s="49"/>
      <c r="J890" s="49"/>
    </row>
    <row r="891" spans="4:10" ht="13">
      <c r="D891" s="49"/>
      <c r="E891" s="49"/>
      <c r="F891" s="49"/>
      <c r="J891" s="49"/>
    </row>
    <row r="892" spans="4:10" ht="13">
      <c r="D892" s="49"/>
      <c r="E892" s="49"/>
      <c r="F892" s="49"/>
      <c r="J892" s="49"/>
    </row>
    <row r="893" spans="4:10" ht="13">
      <c r="D893" s="49"/>
      <c r="E893" s="49"/>
      <c r="F893" s="49"/>
      <c r="J893" s="49"/>
    </row>
    <row r="894" spans="4:10" ht="13">
      <c r="D894" s="49"/>
      <c r="E894" s="49"/>
      <c r="F894" s="49"/>
      <c r="J894" s="49"/>
    </row>
    <row r="895" spans="4:10" ht="13">
      <c r="D895" s="49"/>
      <c r="E895" s="49"/>
      <c r="F895" s="49"/>
      <c r="J895" s="49"/>
    </row>
    <row r="896" spans="4:10" ht="13">
      <c r="D896" s="49"/>
      <c r="E896" s="49"/>
      <c r="F896" s="49"/>
      <c r="J896" s="49"/>
    </row>
    <row r="897" spans="4:10" ht="13">
      <c r="D897" s="49"/>
      <c r="E897" s="49"/>
      <c r="F897" s="49"/>
      <c r="J897" s="49"/>
    </row>
    <row r="898" spans="4:10" ht="13">
      <c r="D898" s="49"/>
      <c r="E898" s="49"/>
      <c r="F898" s="49"/>
      <c r="J898" s="49"/>
    </row>
    <row r="899" spans="4:10" ht="13">
      <c r="D899" s="49"/>
      <c r="E899" s="49"/>
      <c r="F899" s="49"/>
      <c r="J899" s="49"/>
    </row>
    <row r="900" spans="4:10" ht="13">
      <c r="D900" s="49"/>
      <c r="E900" s="49"/>
      <c r="F900" s="49"/>
      <c r="J900" s="49"/>
    </row>
    <row r="901" spans="4:10" ht="13">
      <c r="D901" s="49"/>
      <c r="E901" s="49"/>
      <c r="F901" s="49"/>
      <c r="J901" s="49"/>
    </row>
    <row r="902" spans="4:10" ht="13">
      <c r="D902" s="49"/>
      <c r="E902" s="49"/>
      <c r="F902" s="49"/>
      <c r="J902" s="49"/>
    </row>
    <row r="903" spans="4:10" ht="13">
      <c r="D903" s="49"/>
      <c r="E903" s="49"/>
      <c r="F903" s="49"/>
      <c r="J903" s="49"/>
    </row>
    <row r="904" spans="4:10" ht="13">
      <c r="D904" s="49"/>
      <c r="E904" s="49"/>
      <c r="F904" s="49"/>
      <c r="J904" s="49"/>
    </row>
    <row r="905" spans="4:10" ht="13">
      <c r="D905" s="49"/>
      <c r="E905" s="49"/>
      <c r="F905" s="49"/>
      <c r="J905" s="49"/>
    </row>
    <row r="906" spans="4:10" ht="13">
      <c r="D906" s="49"/>
      <c r="E906" s="49"/>
      <c r="F906" s="49"/>
      <c r="J906" s="49"/>
    </row>
    <row r="907" spans="4:10" ht="13">
      <c r="D907" s="49"/>
      <c r="E907" s="49"/>
      <c r="F907" s="49"/>
      <c r="J907" s="49"/>
    </row>
    <row r="908" spans="4:10" ht="13">
      <c r="D908" s="49"/>
      <c r="E908" s="49"/>
      <c r="F908" s="49"/>
      <c r="J908" s="49"/>
    </row>
    <row r="909" spans="4:10" ht="13">
      <c r="D909" s="49"/>
      <c r="E909" s="49"/>
      <c r="F909" s="49"/>
      <c r="J909" s="49"/>
    </row>
    <row r="910" spans="4:10" ht="13">
      <c r="D910" s="49"/>
      <c r="E910" s="49"/>
      <c r="F910" s="49"/>
      <c r="J910" s="49"/>
    </row>
    <row r="911" spans="4:10" ht="13">
      <c r="D911" s="49"/>
      <c r="E911" s="49"/>
      <c r="F911" s="49"/>
      <c r="J911" s="49"/>
    </row>
    <row r="912" spans="4:10" ht="13">
      <c r="D912" s="49"/>
      <c r="E912" s="49"/>
      <c r="F912" s="49"/>
      <c r="J912" s="49"/>
    </row>
    <row r="913" spans="4:10" ht="13">
      <c r="D913" s="49"/>
      <c r="E913" s="49"/>
      <c r="F913" s="49"/>
      <c r="J913" s="49"/>
    </row>
    <row r="914" spans="4:10" ht="13">
      <c r="D914" s="49"/>
      <c r="E914" s="49"/>
      <c r="F914" s="49"/>
      <c r="J914" s="49"/>
    </row>
    <row r="915" spans="4:10" ht="13">
      <c r="D915" s="49"/>
      <c r="E915" s="49"/>
      <c r="F915" s="49"/>
      <c r="J915" s="49"/>
    </row>
    <row r="916" spans="4:10" ht="13">
      <c r="D916" s="49"/>
      <c r="E916" s="49"/>
      <c r="F916" s="49"/>
      <c r="J916" s="49"/>
    </row>
    <row r="917" spans="4:10" ht="13">
      <c r="D917" s="49"/>
      <c r="E917" s="49"/>
      <c r="F917" s="49"/>
      <c r="J917" s="49"/>
    </row>
    <row r="918" spans="4:10" ht="13">
      <c r="D918" s="49"/>
      <c r="E918" s="49"/>
      <c r="F918" s="49"/>
      <c r="J918" s="49"/>
    </row>
    <row r="919" spans="4:10" ht="13">
      <c r="D919" s="49"/>
      <c r="E919" s="49"/>
      <c r="F919" s="49"/>
      <c r="J919" s="49"/>
    </row>
    <row r="920" spans="4:10" ht="13">
      <c r="D920" s="49"/>
      <c r="E920" s="49"/>
      <c r="F920" s="49"/>
      <c r="J920" s="49"/>
    </row>
    <row r="921" spans="4:10" ht="13">
      <c r="D921" s="49"/>
      <c r="E921" s="49"/>
      <c r="F921" s="49"/>
      <c r="J921" s="49"/>
    </row>
    <row r="922" spans="4:10" ht="13">
      <c r="D922" s="49"/>
      <c r="E922" s="49"/>
      <c r="F922" s="49"/>
      <c r="J922" s="49"/>
    </row>
    <row r="923" spans="4:10" ht="13">
      <c r="D923" s="49"/>
      <c r="E923" s="49"/>
      <c r="F923" s="49"/>
      <c r="J923" s="49"/>
    </row>
    <row r="924" spans="4:10" ht="13">
      <c r="D924" s="49"/>
      <c r="E924" s="49"/>
      <c r="F924" s="49"/>
      <c r="J924" s="49"/>
    </row>
    <row r="925" spans="4:10" ht="13">
      <c r="D925" s="49"/>
      <c r="E925" s="49"/>
      <c r="F925" s="49"/>
      <c r="J925" s="49"/>
    </row>
    <row r="926" spans="4:10" ht="13">
      <c r="D926" s="49"/>
      <c r="E926" s="49"/>
      <c r="F926" s="49"/>
      <c r="J926" s="49"/>
    </row>
    <row r="927" spans="4:10" ht="13">
      <c r="D927" s="49"/>
      <c r="E927" s="49"/>
      <c r="F927" s="49"/>
      <c r="J927" s="49"/>
    </row>
    <row r="928" spans="4:10" ht="13">
      <c r="D928" s="49"/>
      <c r="E928" s="49"/>
      <c r="F928" s="49"/>
      <c r="J928" s="49"/>
    </row>
    <row r="929" spans="4:10" ht="13">
      <c r="D929" s="49"/>
      <c r="E929" s="49"/>
      <c r="F929" s="49"/>
      <c r="J929" s="49"/>
    </row>
    <row r="930" spans="4:10" ht="13">
      <c r="D930" s="49"/>
      <c r="E930" s="49"/>
      <c r="F930" s="49"/>
      <c r="J930" s="49"/>
    </row>
    <row r="931" spans="4:10" ht="13">
      <c r="D931" s="49"/>
      <c r="E931" s="49"/>
      <c r="F931" s="49"/>
      <c r="J931" s="49"/>
    </row>
    <row r="932" spans="4:10" ht="13">
      <c r="D932" s="49"/>
      <c r="E932" s="49"/>
      <c r="F932" s="49"/>
      <c r="J932" s="49"/>
    </row>
    <row r="933" spans="4:10" ht="13">
      <c r="D933" s="49"/>
      <c r="E933" s="49"/>
      <c r="F933" s="49"/>
      <c r="J933" s="49"/>
    </row>
    <row r="934" spans="4:10" ht="13">
      <c r="D934" s="49"/>
      <c r="E934" s="49"/>
      <c r="F934" s="49"/>
      <c r="J934" s="49"/>
    </row>
    <row r="935" spans="4:10" ht="13">
      <c r="D935" s="49"/>
      <c r="E935" s="49"/>
      <c r="F935" s="49"/>
      <c r="J935" s="49"/>
    </row>
    <row r="936" spans="4:10" ht="13">
      <c r="D936" s="49"/>
      <c r="E936" s="49"/>
      <c r="F936" s="49"/>
      <c r="J936" s="49"/>
    </row>
    <row r="937" spans="4:10" ht="13">
      <c r="D937" s="49"/>
      <c r="E937" s="49"/>
      <c r="F937" s="49"/>
      <c r="J937" s="49"/>
    </row>
    <row r="938" spans="4:10" ht="13">
      <c r="D938" s="49"/>
      <c r="E938" s="49"/>
      <c r="F938" s="49"/>
      <c r="J938" s="49"/>
    </row>
    <row r="939" spans="4:10" ht="13">
      <c r="D939" s="49"/>
      <c r="E939" s="49"/>
      <c r="F939" s="49"/>
      <c r="J939" s="49"/>
    </row>
    <row r="940" spans="4:10" ht="13">
      <c r="D940" s="49"/>
      <c r="E940" s="49"/>
      <c r="F940" s="49"/>
      <c r="J940" s="49"/>
    </row>
    <row r="941" spans="4:10" ht="13">
      <c r="D941" s="49"/>
      <c r="E941" s="49"/>
      <c r="F941" s="49"/>
      <c r="J941" s="49"/>
    </row>
    <row r="942" spans="4:10" ht="13">
      <c r="D942" s="49"/>
      <c r="E942" s="49"/>
      <c r="F942" s="49"/>
      <c r="J942" s="49"/>
    </row>
    <row r="943" spans="4:10" ht="13">
      <c r="D943" s="49"/>
      <c r="E943" s="49"/>
      <c r="F943" s="49"/>
      <c r="J943" s="49"/>
    </row>
    <row r="944" spans="4:10" ht="13">
      <c r="D944" s="49"/>
      <c r="E944" s="49"/>
      <c r="F944" s="49"/>
      <c r="J944" s="49"/>
    </row>
    <row r="945" spans="4:10" ht="13">
      <c r="D945" s="49"/>
      <c r="E945" s="49"/>
      <c r="F945" s="49"/>
      <c r="J945" s="49"/>
    </row>
    <row r="946" spans="4:10" ht="13">
      <c r="D946" s="49"/>
      <c r="E946" s="49"/>
      <c r="F946" s="49"/>
      <c r="J946" s="49"/>
    </row>
    <row r="947" spans="4:10" ht="13">
      <c r="D947" s="49"/>
      <c r="E947" s="49"/>
      <c r="F947" s="49"/>
      <c r="J947" s="49"/>
    </row>
    <row r="948" spans="4:10" ht="13">
      <c r="D948" s="49"/>
      <c r="E948" s="49"/>
      <c r="F948" s="49"/>
      <c r="J948" s="49"/>
    </row>
    <row r="949" spans="4:10" ht="13">
      <c r="D949" s="49"/>
      <c r="E949" s="49"/>
      <c r="F949" s="49"/>
      <c r="J949" s="49"/>
    </row>
    <row r="950" spans="4:10" ht="13">
      <c r="D950" s="49"/>
      <c r="E950" s="49"/>
      <c r="F950" s="49"/>
      <c r="J950" s="49"/>
    </row>
    <row r="951" spans="4:10" ht="13">
      <c r="D951" s="49"/>
      <c r="E951" s="49"/>
      <c r="F951" s="49"/>
      <c r="J951" s="49"/>
    </row>
    <row r="952" spans="4:10" ht="13">
      <c r="D952" s="49"/>
      <c r="E952" s="49"/>
      <c r="F952" s="49"/>
      <c r="J952" s="49"/>
    </row>
    <row r="953" spans="4:10" ht="13">
      <c r="D953" s="49"/>
      <c r="E953" s="49"/>
      <c r="F953" s="49"/>
      <c r="J953" s="49"/>
    </row>
    <row r="954" spans="4:10" ht="13">
      <c r="D954" s="49"/>
      <c r="E954" s="49"/>
      <c r="F954" s="49"/>
      <c r="J954" s="49"/>
    </row>
    <row r="955" spans="4:10" ht="13">
      <c r="D955" s="49"/>
      <c r="E955" s="49"/>
      <c r="F955" s="49"/>
      <c r="J955" s="49"/>
    </row>
    <row r="956" spans="4:10" ht="13">
      <c r="D956" s="49"/>
      <c r="E956" s="49"/>
      <c r="F956" s="49"/>
      <c r="J956" s="49"/>
    </row>
    <row r="957" spans="4:10" ht="13">
      <c r="D957" s="49"/>
      <c r="E957" s="49"/>
      <c r="F957" s="49"/>
      <c r="J957" s="49"/>
    </row>
    <row r="958" spans="4:10" ht="13">
      <c r="D958" s="49"/>
      <c r="E958" s="49"/>
      <c r="F958" s="49"/>
      <c r="J958" s="49"/>
    </row>
    <row r="959" spans="4:10" ht="13">
      <c r="D959" s="49"/>
      <c r="E959" s="49"/>
      <c r="F959" s="49"/>
      <c r="J959" s="49"/>
    </row>
    <row r="960" spans="4:10" ht="13">
      <c r="D960" s="49"/>
      <c r="E960" s="49"/>
      <c r="F960" s="49"/>
      <c r="J960" s="49"/>
    </row>
    <row r="961" spans="4:10" ht="13">
      <c r="D961" s="49"/>
      <c r="E961" s="49"/>
      <c r="F961" s="49"/>
      <c r="J961" s="49"/>
    </row>
    <row r="962" spans="4:10" ht="13">
      <c r="D962" s="49"/>
      <c r="E962" s="49"/>
      <c r="F962" s="49"/>
      <c r="J962" s="49"/>
    </row>
    <row r="963" spans="4:10" ht="13">
      <c r="D963" s="49"/>
      <c r="E963" s="49"/>
      <c r="F963" s="49"/>
      <c r="J963" s="49"/>
    </row>
    <row r="964" spans="4:10" ht="13">
      <c r="D964" s="49"/>
      <c r="E964" s="49"/>
      <c r="F964" s="49"/>
      <c r="J964" s="49"/>
    </row>
    <row r="965" spans="4:10" ht="13">
      <c r="D965" s="49"/>
      <c r="E965" s="49"/>
      <c r="F965" s="49"/>
      <c r="J965" s="49"/>
    </row>
    <row r="966" spans="4:10" ht="13">
      <c r="D966" s="49"/>
      <c r="E966" s="49"/>
      <c r="F966" s="49"/>
      <c r="J966" s="49"/>
    </row>
    <row r="967" spans="4:10" ht="13">
      <c r="D967" s="49"/>
      <c r="E967" s="49"/>
      <c r="F967" s="49"/>
      <c r="J967" s="49"/>
    </row>
    <row r="968" spans="4:10" ht="13">
      <c r="D968" s="49"/>
      <c r="E968" s="49"/>
      <c r="F968" s="49"/>
      <c r="J968" s="49"/>
    </row>
    <row r="969" spans="4:10" ht="13">
      <c r="D969" s="49"/>
      <c r="E969" s="49"/>
      <c r="F969" s="49"/>
      <c r="J969" s="49"/>
    </row>
    <row r="970" spans="4:10" ht="13">
      <c r="D970" s="49"/>
      <c r="E970" s="49"/>
      <c r="F970" s="49"/>
      <c r="J970" s="49"/>
    </row>
    <row r="971" spans="4:10" ht="13">
      <c r="D971" s="49"/>
      <c r="E971" s="49"/>
      <c r="F971" s="49"/>
      <c r="J971" s="49"/>
    </row>
    <row r="972" spans="4:10" ht="13">
      <c r="D972" s="49"/>
      <c r="E972" s="49"/>
      <c r="F972" s="49"/>
      <c r="J972" s="49"/>
    </row>
    <row r="973" spans="4:10" ht="13">
      <c r="D973" s="49"/>
      <c r="E973" s="49"/>
      <c r="F973" s="49"/>
      <c r="J973" s="49"/>
    </row>
    <row r="974" spans="4:10" ht="13">
      <c r="D974" s="49"/>
      <c r="E974" s="49"/>
      <c r="F974" s="49"/>
      <c r="J974" s="49"/>
    </row>
    <row r="975" spans="4:10" ht="13">
      <c r="D975" s="49"/>
      <c r="E975" s="49"/>
      <c r="F975" s="49"/>
      <c r="J975" s="49"/>
    </row>
    <row r="976" spans="4:10" ht="13">
      <c r="D976" s="49"/>
      <c r="E976" s="49"/>
      <c r="F976" s="49"/>
      <c r="J976" s="49"/>
    </row>
    <row r="977" spans="4:10" ht="13">
      <c r="D977" s="49"/>
      <c r="E977" s="49"/>
      <c r="F977" s="49"/>
      <c r="J977" s="49"/>
    </row>
    <row r="978" spans="4:10" ht="13">
      <c r="D978" s="49"/>
      <c r="E978" s="49"/>
      <c r="F978" s="49"/>
      <c r="J978" s="49"/>
    </row>
    <row r="979" spans="4:10" ht="13">
      <c r="D979" s="49"/>
      <c r="E979" s="49"/>
      <c r="F979" s="49"/>
      <c r="J979" s="49"/>
    </row>
    <row r="980" spans="4:10" ht="13">
      <c r="D980" s="49"/>
      <c r="E980" s="49"/>
      <c r="F980" s="49"/>
      <c r="J980" s="49"/>
    </row>
    <row r="981" spans="4:10" ht="13">
      <c r="D981" s="49"/>
      <c r="E981" s="49"/>
      <c r="F981" s="49"/>
      <c r="J981" s="49"/>
    </row>
    <row r="982" spans="4:10" ht="13">
      <c r="D982" s="49"/>
      <c r="E982" s="49"/>
      <c r="F982" s="49"/>
      <c r="J982" s="49"/>
    </row>
    <row r="983" spans="4:10" ht="13">
      <c r="D983" s="49"/>
      <c r="E983" s="49"/>
      <c r="F983" s="49"/>
      <c r="J983" s="49"/>
    </row>
    <row r="984" spans="4:10" ht="13">
      <c r="D984" s="49"/>
      <c r="E984" s="49"/>
      <c r="F984" s="49"/>
      <c r="J984" s="49"/>
    </row>
    <row r="985" spans="4:10" ht="13">
      <c r="D985" s="49"/>
      <c r="E985" s="49"/>
      <c r="F985" s="49"/>
      <c r="J985" s="49"/>
    </row>
    <row r="986" spans="4:10" ht="13">
      <c r="D986" s="49"/>
      <c r="E986" s="49"/>
      <c r="F986" s="49"/>
      <c r="J986" s="49"/>
    </row>
    <row r="987" spans="4:10" ht="13">
      <c r="D987" s="49"/>
      <c r="E987" s="49"/>
      <c r="F987" s="49"/>
      <c r="J987" s="49"/>
    </row>
    <row r="988" spans="4:10" ht="13">
      <c r="D988" s="49"/>
      <c r="E988" s="49"/>
      <c r="F988" s="49"/>
      <c r="J988" s="49"/>
    </row>
    <row r="989" spans="4:10" ht="13">
      <c r="D989" s="49"/>
      <c r="E989" s="49"/>
      <c r="F989" s="49"/>
      <c r="J989" s="49"/>
    </row>
    <row r="990" spans="4:10" ht="13">
      <c r="D990" s="49"/>
      <c r="E990" s="49"/>
      <c r="F990" s="49"/>
      <c r="J990" s="49"/>
    </row>
    <row r="991" spans="4:10" ht="13">
      <c r="D991" s="49"/>
      <c r="E991" s="49"/>
      <c r="F991" s="49"/>
      <c r="J991" s="49"/>
    </row>
    <row r="992" spans="4:10" ht="13">
      <c r="D992" s="49"/>
      <c r="E992" s="49"/>
      <c r="F992" s="49"/>
      <c r="J992" s="49"/>
    </row>
    <row r="993" spans="4:10" ht="13">
      <c r="D993" s="49"/>
      <c r="E993" s="49"/>
      <c r="F993" s="49"/>
      <c r="J993" s="49"/>
    </row>
    <row r="994" spans="4:10" ht="13">
      <c r="D994" s="49"/>
      <c r="E994" s="49"/>
      <c r="F994" s="49"/>
      <c r="J994" s="49"/>
    </row>
    <row r="995" spans="4:10" ht="13">
      <c r="D995" s="49"/>
      <c r="E995" s="49"/>
      <c r="F995" s="49"/>
      <c r="J995" s="49"/>
    </row>
    <row r="996" spans="4:10" ht="13">
      <c r="D996" s="49"/>
      <c r="E996" s="49"/>
      <c r="F996" s="49"/>
      <c r="J996" s="49"/>
    </row>
    <row r="997" spans="4:10" ht="13">
      <c r="D997" s="49"/>
      <c r="E997" s="49"/>
      <c r="F997" s="49"/>
      <c r="J997" s="49"/>
    </row>
    <row r="998" spans="4:10" ht="13">
      <c r="D998" s="49"/>
      <c r="E998" s="49"/>
      <c r="F998" s="49"/>
      <c r="J998" s="49"/>
    </row>
    <row r="999" spans="4:10" ht="13">
      <c r="D999" s="49"/>
      <c r="E999" s="49"/>
      <c r="F999" s="49"/>
      <c r="J999" s="49"/>
    </row>
    <row r="1000" spans="4:10" ht="13">
      <c r="D1000" s="49"/>
      <c r="E1000" s="49"/>
      <c r="F1000" s="49"/>
      <c r="J1000" s="49"/>
    </row>
  </sheetData>
  <autoFilter ref="A1:G72" xr:uid="{00000000-0009-0000-0000-000007000000}"/>
  <mergeCells count="2">
    <mergeCell ref="A1:G1"/>
    <mergeCell ref="H1:K1"/>
  </mergeCells>
  <conditionalFormatting sqref="A1:A1000">
    <cfRule type="containsText" dxfId="7" priority="1" operator="containsText" text="Unassigned">
      <formula>NOT(ISERROR(SEARCH(("Unassigned"),(A1))))</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election activeCell="L39" sqref="L39"/>
    </sheetView>
  </sheetViews>
  <sheetFormatPr baseColWidth="10" defaultColWidth="14.5" defaultRowHeight="15.75" customHeight="1"/>
  <cols>
    <col min="1" max="1" width="10.83203125" customWidth="1"/>
    <col min="2" max="2" width="15" customWidth="1"/>
    <col min="3" max="3" width="13.6640625" customWidth="1"/>
    <col min="4" max="4" width="18.83203125" customWidth="1"/>
    <col min="5" max="5" width="19.5" customWidth="1"/>
    <col min="6" max="6" width="28" customWidth="1"/>
    <col min="7" max="7" width="13.5" customWidth="1"/>
    <col min="8" max="8" width="20.83203125" customWidth="1"/>
    <col min="9" max="9" width="23.6640625" customWidth="1"/>
    <col min="10" max="10" width="28.33203125" customWidth="1"/>
    <col min="11" max="11" width="38.6640625" customWidth="1"/>
    <col min="12" max="12" width="51.6640625" customWidth="1"/>
  </cols>
  <sheetData>
    <row r="1" spans="1:26" ht="15.75" customHeight="1">
      <c r="A1" s="184" t="s">
        <v>7</v>
      </c>
      <c r="B1" s="178"/>
      <c r="C1" s="178"/>
      <c r="D1" s="178"/>
      <c r="E1" s="178"/>
      <c r="F1" s="178"/>
      <c r="G1" s="179"/>
      <c r="H1" s="182" t="s">
        <v>38</v>
      </c>
      <c r="I1" s="183"/>
      <c r="J1" s="183"/>
      <c r="K1" s="183"/>
    </row>
    <row r="2" spans="1:26" ht="15.75" customHeight="1">
      <c r="A2" s="113" t="s">
        <v>0</v>
      </c>
      <c r="B2" s="114" t="s">
        <v>72</v>
      </c>
      <c r="C2" s="114" t="s">
        <v>73</v>
      </c>
      <c r="D2" s="115" t="s">
        <v>74</v>
      </c>
      <c r="E2" s="115" t="s">
        <v>333</v>
      </c>
      <c r="F2" s="115" t="s">
        <v>334</v>
      </c>
      <c r="G2" s="114" t="s">
        <v>327</v>
      </c>
      <c r="H2" s="103" t="s">
        <v>335</v>
      </c>
      <c r="I2" s="104" t="s">
        <v>336</v>
      </c>
      <c r="J2" s="104" t="s">
        <v>337</v>
      </c>
      <c r="K2" s="116" t="s">
        <v>338</v>
      </c>
      <c r="L2" s="117" t="s">
        <v>92</v>
      </c>
    </row>
    <row r="3" spans="1:26" ht="15.75" customHeight="1">
      <c r="A3" t="str">
        <f ca="1">IFERROR(__xludf.DUMMYFUNCTION("filter(Assignments!B3:B1000,Assignments!P3:P1000=""Variant Pathogenicity"",Assignments!O3:O1000=""Comprehensive"")"),"Contacted")</f>
        <v>Contacted</v>
      </c>
      <c r="B3" t="str">
        <f ca="1">IFERROR(__xludf.DUMMYFUNCTION("filter(Assignments!C3:C1000,Assignments!P3:P1000=""Variant Pathogenicity"",Assignments!O3:O1000=""Comprehensive"")"),"")</f>
        <v/>
      </c>
      <c r="C3" s="106">
        <f ca="1">IFERROR(__xludf.DUMMYFUNCTION("filter(Assignments!D3:D1000,Assignments!P3:P1000=""Variant Pathogenicity"",Assignments!O3:O1000=""Comprehensive"")"),43605)</f>
        <v>43605</v>
      </c>
      <c r="D3" s="95" t="str">
        <f ca="1">IFERROR(__xludf.DUMMYFUNCTION("filter(Assignments!E3:E1000,Assignments!P3:P1000=""Variant Pathogenicity"",Assignments!O3:O1000=""Comprehensive"")"),"Yes")</f>
        <v>Yes</v>
      </c>
      <c r="E3" s="95" t="str">
        <f ca="1">IFERROR(__xludf.DUMMYFUNCTION("filter(Assignments!F3:F1000,Assignments!P3:P1000=""Variant Pathogenicity"",Assignments!O3:O1000=""Comprehensive"")"),"Yes")</f>
        <v>Yes</v>
      </c>
      <c r="F3" s="49" t="str">
        <f ca="1">IFERROR(__xludf.DUMMYFUNCTION("filter(Assignments!G3:G1000,Assignments!P3:P1000=""Variant Pathogenicity"",Assignments!O3:O1000=""Comprehensive"")"),"Variant Pathogenicity")</f>
        <v>Variant Pathogenicity</v>
      </c>
      <c r="G3" t="str">
        <f ca="1">IFERROR(__xludf.DUMMYFUNCTION("filter(Assignments!H3:H1000,Assignments!P3:P1000=""Variant Pathogenicity"",Assignments!O3:O1000=""Comprehensive"")"),"Hearing Loss")</f>
        <v>Hearing Loss</v>
      </c>
      <c r="H3" t="str">
        <f ca="1">IFERROR(__xludf.DUMMYFUNCTION("filter(Assignments!L3:L1000,Assignments!P3:P1000=""Variant Pathogenicity"",Assignments!O3:O1000=""Comprehensive"")"),"Adam Coovadia")</f>
        <v>Adam Coovadia</v>
      </c>
      <c r="I3" t="str">
        <f ca="1">IFERROR(__xludf.DUMMYFUNCTION("filter(Assignments!M3:M1000,Assignments!P3:P1000=""Variant Pathogenicity"",Assignments!O3:O1000=""Comprehensive"")"),"coovadiaa@gmail.com")</f>
        <v>coovadiaa@gmail.com</v>
      </c>
      <c r="J3" s="49" t="str">
        <f ca="1">IFERROR(__xludf.DUMMYFUNCTION("filter(Assignments!O3:O1000,Assignments!P3:P1000=""Variant Pathogenicity"",Assignments!O3:O1000=""Comprehensive"")"),"Comprehensive")</f>
        <v>Comprehensive</v>
      </c>
      <c r="K3" s="118" t="str">
        <f ca="1">IFERROR(__xludf.DUMMYFUNCTION("filter(Assignments!W3:W1000,Assignments!P3:P1000=""Variant Pathogenicity"",Assignments!O3:O1000=""Comprehensive"")"),"")</f>
        <v/>
      </c>
      <c r="L3" s="119" t="str">
        <f ca="1">IFERROR(__xludf.DUMMYFUNCTION("filter(Assignments!U3:U1000,Assignments!P3:P1000=""Variant Pathogenicity"",Assignments!O3:O1000=""Comprehensive"")"),"")</f>
        <v/>
      </c>
    </row>
    <row r="4" spans="1:26" ht="15.75" customHeight="1">
      <c r="A4" t="str">
        <f ca="1">IFERROR(__xludf.DUMMYFUNCTION("""COMPUTED_VALUE"""),"Unresponsive")</f>
        <v>Unresponsive</v>
      </c>
      <c r="B4" s="107">
        <f ca="1">IFERROR(__xludf.DUMMYFUNCTION("""COMPUTED_VALUE"""),43439)</f>
        <v>43439</v>
      </c>
      <c r="C4" t="str">
        <f ca="1">IFERROR(__xludf.DUMMYFUNCTION("""COMPUTED_VALUE"""),"")</f>
        <v/>
      </c>
      <c r="D4" s="49" t="str">
        <f ca="1">IFERROR(__xludf.DUMMYFUNCTION("""COMPUTED_VALUE"""),"No")</f>
        <v>No</v>
      </c>
      <c r="E4" s="49" t="str">
        <f ca="1">IFERROR(__xludf.DUMMYFUNCTION("""COMPUTED_VALUE"""),"No")</f>
        <v>No</v>
      </c>
      <c r="F4" s="49" t="str">
        <f ca="1">IFERROR(__xludf.DUMMYFUNCTION("""COMPUTED_VALUE"""),"Variant Pathogenicity")</f>
        <v>Variant Pathogenicity</v>
      </c>
      <c r="G4" t="str">
        <f ca="1">IFERROR(__xludf.DUMMYFUNCTION("""COMPUTED_VALUE"""),"")</f>
        <v/>
      </c>
      <c r="H4" t="str">
        <f ca="1">IFERROR(__xludf.DUMMYFUNCTION("""COMPUTED_VALUE"""),"Daniel Bellissimo")</f>
        <v>Daniel Bellissimo</v>
      </c>
      <c r="I4" t="str">
        <f ca="1">IFERROR(__xludf.DUMMYFUNCTION("""COMPUTED_VALUE"""),"BELLISSIMOD@MAIL.MAGEE.EDU")</f>
        <v>BELLISSIMOD@MAIL.MAGEE.EDU</v>
      </c>
      <c r="J4" s="49" t="str">
        <f ca="1">IFERROR(__xludf.DUMMYFUNCTION("""COMPUTED_VALUE"""),"Comprehensive")</f>
        <v>Comprehensive</v>
      </c>
      <c r="K4" s="118" t="str">
        <f ca="1">IFERROR(__xludf.DUMMYFUNCTION("""COMPUTED_VALUE"""),"I was told work groups were being formed for Platelet/Bleeding Disorders and VWD. I would be interested in those work groups.")</f>
        <v>I was told work groups were being formed for Platelet/Bleeding Disorders and VWD. I would be interested in those work groups.</v>
      </c>
      <c r="L4" t="str">
        <f ca="1">IFERROR(__xludf.DUMMYFUNCTION("""COMPUTED_VALUE"""),"yes")</f>
        <v>yes</v>
      </c>
    </row>
    <row r="5" spans="1:26" ht="15.75" customHeight="1">
      <c r="A5" t="str">
        <f ca="1">IFERROR(__xludf.DUMMYFUNCTION("""COMPUTED_VALUE"""),"Contacted")</f>
        <v>Contacted</v>
      </c>
      <c r="B5" s="107">
        <f ca="1">IFERROR(__xludf.DUMMYFUNCTION("""COMPUTED_VALUE"""),43439)</f>
        <v>43439</v>
      </c>
      <c r="C5" t="str">
        <f ca="1">IFERROR(__xludf.DUMMYFUNCTION("""COMPUTED_VALUE"""),"")</f>
        <v/>
      </c>
      <c r="D5" s="49" t="str">
        <f ca="1">IFERROR(__xludf.DUMMYFUNCTION("""COMPUTED_VALUE"""),"No")</f>
        <v>No</v>
      </c>
      <c r="E5" s="49" t="str">
        <f ca="1">IFERROR(__xludf.DUMMYFUNCTION("""COMPUTED_VALUE"""),"No")</f>
        <v>No</v>
      </c>
      <c r="F5" s="49" t="str">
        <f ca="1">IFERROR(__xludf.DUMMYFUNCTION("""COMPUTED_VALUE"""),"Variant Pathogenicity")</f>
        <v>Variant Pathogenicity</v>
      </c>
      <c r="G5" t="str">
        <f ca="1">IFERROR(__xludf.DUMMYFUNCTION("""COMPUTED_VALUE"""),"")</f>
        <v/>
      </c>
      <c r="H5" t="str">
        <f ca="1">IFERROR(__xludf.DUMMYFUNCTION("""COMPUTED_VALUE"""),"Alexa Dickson ")</f>
        <v xml:space="preserve">Alexa Dickson </v>
      </c>
      <c r="I5" t="str">
        <f ca="1">IFERROR(__xludf.DUMMYFUNCTION("""COMPUTED_VALUE"""),"alexa.dickson@aruplab.com")</f>
        <v>alexa.dickson@aruplab.com</v>
      </c>
      <c r="J5" s="49" t="str">
        <f ca="1">IFERROR(__xludf.DUMMYFUNCTION("""COMPUTED_VALUE"""),"Comprehensive")</f>
        <v>Comprehensive</v>
      </c>
      <c r="K5" s="118" t="str">
        <f ca="1">IFERROR(__xludf.DUMMYFUNCTION("""COMPUTED_VALUE"""),"retinal disease working group")</f>
        <v>retinal disease working group</v>
      </c>
      <c r="L5" t="str">
        <f ca="1">IFERROR(__xludf.DUMMYFUNCTION("""COMPUTED_VALUE"""),"yes")</f>
        <v>yes</v>
      </c>
    </row>
    <row r="6" spans="1:26" ht="15.75" customHeight="1">
      <c r="A6" s="120" t="str">
        <f ca="1">IFERROR(__xludf.DUMMYFUNCTION("""COMPUTED_VALUE"""),"Unresponsive")</f>
        <v>Unresponsive</v>
      </c>
      <c r="B6" s="121">
        <f ca="1">IFERROR(__xludf.DUMMYFUNCTION("""COMPUTED_VALUE"""),43439)</f>
        <v>43439</v>
      </c>
      <c r="C6" s="122">
        <f ca="1">IFERROR(__xludf.DUMMYFUNCTION("""COMPUTED_VALUE"""),43605)</f>
        <v>43605</v>
      </c>
      <c r="D6" s="123" t="str">
        <f ca="1">IFERROR(__xludf.DUMMYFUNCTION("""COMPUTED_VALUE"""),"Yes")</f>
        <v>Yes</v>
      </c>
      <c r="E6" s="123" t="str">
        <f ca="1">IFERROR(__xludf.DUMMYFUNCTION("""COMPUTED_VALUE"""),"Yes")</f>
        <v>Yes</v>
      </c>
      <c r="F6" s="123" t="str">
        <f ca="1">IFERROR(__xludf.DUMMYFUNCTION("""COMPUTED_VALUE"""),"Variant Pathogenicity")</f>
        <v>Variant Pathogenicity</v>
      </c>
      <c r="G6" s="120" t="str">
        <f ca="1">IFERROR(__xludf.DUMMYFUNCTION("""COMPUTED_VALUE"""),"")</f>
        <v/>
      </c>
      <c r="H6" s="120" t="str">
        <f ca="1">IFERROR(__xludf.DUMMYFUNCTION("""COMPUTED_VALUE"""),"Luke Drury")</f>
        <v>Luke Drury</v>
      </c>
      <c r="I6" s="120" t="str">
        <f ca="1">IFERROR(__xludf.DUMMYFUNCTION("""COMPUTED_VALUE"""),"luke.drury@preventiongenetics.com")</f>
        <v>luke.drury@preventiongenetics.com</v>
      </c>
      <c r="J6" s="123" t="str">
        <f ca="1">IFERROR(__xludf.DUMMYFUNCTION("""COMPUTED_VALUE"""),"Comprehensive")</f>
        <v>Comprehensive</v>
      </c>
      <c r="K6" s="124" t="str">
        <f ca="1">IFERROR(__xludf.DUMMYFUNCTION("""COMPUTED_VALUE"""),"any WG")</f>
        <v>any WG</v>
      </c>
      <c r="L6" s="125" t="str">
        <f ca="1">IFERROR(__xludf.DUMMYFUNCTION("""COMPUTED_VALUE"""),"yes")</f>
        <v>yes</v>
      </c>
      <c r="M6" s="125"/>
      <c r="N6" s="125"/>
      <c r="O6" s="125"/>
      <c r="P6" s="125"/>
      <c r="Q6" s="125"/>
      <c r="R6" s="125"/>
      <c r="S6" s="125"/>
      <c r="T6" s="125"/>
      <c r="U6" s="125"/>
      <c r="V6" s="125"/>
      <c r="W6" s="125"/>
      <c r="X6" s="125"/>
      <c r="Y6" s="125"/>
      <c r="Z6" s="125"/>
    </row>
    <row r="7" spans="1:26" ht="15.75" customHeight="1">
      <c r="A7" s="120" t="str">
        <f ca="1">IFERROR(__xludf.DUMMYFUNCTION("""COMPUTED_VALUE"""),"Assigned")</f>
        <v>Assigned</v>
      </c>
      <c r="B7" s="121">
        <f ca="1">IFERROR(__xludf.DUMMYFUNCTION("""COMPUTED_VALUE"""),43439)</f>
        <v>43439</v>
      </c>
      <c r="C7" s="122">
        <f ca="1">IFERROR(__xludf.DUMMYFUNCTION("""COMPUTED_VALUE"""),43605)</f>
        <v>43605</v>
      </c>
      <c r="D7" s="123" t="str">
        <f ca="1">IFERROR(__xludf.DUMMYFUNCTION("""COMPUTED_VALUE"""),"Yes")</f>
        <v>Yes</v>
      </c>
      <c r="E7" s="123" t="str">
        <f ca="1">IFERROR(__xludf.DUMMYFUNCTION("""COMPUTED_VALUE"""),"Yes")</f>
        <v>Yes</v>
      </c>
      <c r="F7" s="123" t="str">
        <f ca="1">IFERROR(__xludf.DUMMYFUNCTION("""COMPUTED_VALUE"""),"Variant Pathogenicity")</f>
        <v>Variant Pathogenicity</v>
      </c>
      <c r="G7" s="120" t="str">
        <f ca="1">IFERROR(__xludf.DUMMYFUNCTION("""COMPUTED_VALUE"""),"Storage Disease")</f>
        <v>Storage Disease</v>
      </c>
      <c r="H7" s="120" t="str">
        <f ca="1">IFERROR(__xludf.DUMMYFUNCTION("""COMPUTED_VALUE"""),"Lynne Rosenblum")</f>
        <v>Lynne Rosenblum</v>
      </c>
      <c r="I7" s="120" t="str">
        <f ca="1">IFERROR(__xludf.DUMMYFUNCTION("""COMPUTED_VALUE"""),"lynne.rosenblum@integratedgenetics.com")</f>
        <v>lynne.rosenblum@integratedgenetics.com</v>
      </c>
      <c r="J7" s="123" t="str">
        <f ca="1">IFERROR(__xludf.DUMMYFUNCTION("""COMPUTED_VALUE"""),"Comprehensive")</f>
        <v>Comprehensive</v>
      </c>
      <c r="K7" s="124" t="str">
        <f ca="1">IFERROR(__xludf.DUMMYFUNCTION("""COMPUTED_VALUE"""),"storage disease and somatic/germline working groups, but am open to other opportunities.")</f>
        <v>storage disease and somatic/germline working groups, but am open to other opportunities.</v>
      </c>
      <c r="L7" t="str">
        <f ca="1">IFERROR(__xludf.DUMMYFUNCTION("""COMPUTED_VALUE"""),"yes")</f>
        <v>yes</v>
      </c>
    </row>
    <row r="8" spans="1:26" ht="15.75" customHeight="1">
      <c r="A8" s="120" t="str">
        <f ca="1">IFERROR(__xludf.DUMMYFUNCTION("""COMPUTED_VALUE"""),"Assigned")</f>
        <v>Assigned</v>
      </c>
      <c r="B8" s="121">
        <f ca="1">IFERROR(__xludf.DUMMYFUNCTION("""COMPUTED_VALUE"""),43439)</f>
        <v>43439</v>
      </c>
      <c r="C8" s="122">
        <f ca="1">IFERROR(__xludf.DUMMYFUNCTION("""COMPUTED_VALUE"""),43605)</f>
        <v>43605</v>
      </c>
      <c r="D8" s="123" t="str">
        <f ca="1">IFERROR(__xludf.DUMMYFUNCTION("""COMPUTED_VALUE"""),"Yes")</f>
        <v>Yes</v>
      </c>
      <c r="E8" s="123" t="str">
        <f ca="1">IFERROR(__xludf.DUMMYFUNCTION("""COMPUTED_VALUE"""),"No")</f>
        <v>No</v>
      </c>
      <c r="F8" s="123" t="str">
        <f ca="1">IFERROR(__xludf.DUMMYFUNCTION("""COMPUTED_VALUE"""),"Variant Pathogenicity")</f>
        <v>Variant Pathogenicity</v>
      </c>
      <c r="G8" s="120" t="str">
        <f ca="1">IFERROR(__xludf.DUMMYFUNCTION("""COMPUTED_VALUE"""),"ACADVL")</f>
        <v>ACADVL</v>
      </c>
      <c r="H8" s="120" t="str">
        <f ca="1">IFERROR(__xludf.DUMMYFUNCTION("""COMPUTED_VALUE"""),"Yang Wang")</f>
        <v>Yang Wang</v>
      </c>
      <c r="I8" s="120" t="str">
        <f ca="1">IFERROR(__xludf.DUMMYFUNCTION("""COMPUTED_VALUE"""),"yangwangcmg@gmail.com")</f>
        <v>yangwangcmg@gmail.com</v>
      </c>
      <c r="J8" s="123" t="str">
        <f ca="1">IFERROR(__xludf.DUMMYFUNCTION("""COMPUTED_VALUE"""),"Comprehensive")</f>
        <v>Comprehensive</v>
      </c>
      <c r="K8" s="124" t="str">
        <f ca="1">IFERROR(__xludf.DUMMYFUNCTION("""COMPUTED_VALUE"""),"hereditary cancer panel and inborn error of metabolism, if not a Baseline Biocurator")</f>
        <v>hereditary cancer panel and inborn error of metabolism, if not a Baseline Biocurator</v>
      </c>
      <c r="L8" s="125" t="str">
        <f ca="1">IFERROR(__xludf.DUMMYFUNCTION("""COMPUTED_VALUE"""),"yes")</f>
        <v>yes</v>
      </c>
      <c r="M8" s="125"/>
      <c r="N8" s="125"/>
      <c r="O8" s="125"/>
      <c r="P8" s="125"/>
      <c r="Q8" s="125"/>
      <c r="R8" s="125"/>
      <c r="S8" s="125"/>
      <c r="T8" s="125"/>
      <c r="U8" s="125"/>
      <c r="V8" s="125"/>
      <c r="W8" s="125"/>
      <c r="X8" s="125"/>
      <c r="Y8" s="125"/>
      <c r="Z8" s="125"/>
    </row>
    <row r="9" spans="1:26" ht="15.75" customHeight="1">
      <c r="A9" s="120" t="str">
        <f ca="1">IFERROR(__xludf.DUMMYFUNCTION("""COMPUTED_VALUE"""),"Unresponsive")</f>
        <v>Unresponsive</v>
      </c>
      <c r="B9" s="121">
        <f ca="1">IFERROR(__xludf.DUMMYFUNCTION("""COMPUTED_VALUE"""),43439)</f>
        <v>43439</v>
      </c>
      <c r="C9" s="120" t="str">
        <f ca="1">IFERROR(__xludf.DUMMYFUNCTION("""COMPUTED_VALUE"""),"")</f>
        <v/>
      </c>
      <c r="D9" s="123" t="str">
        <f ca="1">IFERROR(__xludf.DUMMYFUNCTION("""COMPUTED_VALUE"""),"No")</f>
        <v>No</v>
      </c>
      <c r="E9" s="123" t="str">
        <f ca="1">IFERROR(__xludf.DUMMYFUNCTION("""COMPUTED_VALUE"""),"No")</f>
        <v>No</v>
      </c>
      <c r="F9" s="123" t="str">
        <f ca="1">IFERROR(__xludf.DUMMYFUNCTION("""COMPUTED_VALUE"""),"Variant Pathogenicity")</f>
        <v>Variant Pathogenicity</v>
      </c>
      <c r="G9" s="120" t="str">
        <f ca="1">IFERROR(__xludf.DUMMYFUNCTION("""COMPUTED_VALUE"""),"")</f>
        <v/>
      </c>
      <c r="H9" s="120" t="str">
        <f ca="1">IFERROR(__xludf.DUMMYFUNCTION("""COMPUTED_VALUE"""),"Samya Chakravorty")</f>
        <v>Samya Chakravorty</v>
      </c>
      <c r="I9" s="120" t="str">
        <f ca="1">IFERROR(__xludf.DUMMYFUNCTION("""COMPUTED_VALUE"""),"samya.chakravorty@emory.edu")</f>
        <v>samya.chakravorty@emory.edu</v>
      </c>
      <c r="J9" s="123" t="str">
        <f ca="1">IFERROR(__xludf.DUMMYFUNCTION("""COMPUTED_VALUE"""),"Comprehensive")</f>
        <v>Comprehensive</v>
      </c>
      <c r="K9" s="124" t="str">
        <f ca="1">IFERROR(__xludf.DUMMYFUNCTION("""COMPUTED_VALUE"""),"1.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L9" s="125" t="str">
        <f ca="1">IFERROR(__xludf.DUMMYFUNCTION("""COMPUTED_VALUE"""),"yes")</f>
        <v>yes</v>
      </c>
      <c r="M9" s="125"/>
      <c r="N9" s="125"/>
      <c r="O9" s="125"/>
      <c r="P9" s="125"/>
      <c r="Q9" s="125"/>
      <c r="R9" s="125"/>
      <c r="S9" s="125"/>
      <c r="T9" s="125"/>
      <c r="U9" s="125"/>
      <c r="V9" s="125"/>
      <c r="W9" s="125"/>
      <c r="X9" s="125"/>
      <c r="Y9" s="125"/>
      <c r="Z9" s="125"/>
    </row>
    <row r="10" spans="1:26" ht="15.75" customHeight="1">
      <c r="A10" s="120" t="str">
        <f ca="1">IFERROR(__xludf.DUMMYFUNCTION("""COMPUTED_VALUE"""),"Unresponsive")</f>
        <v>Unresponsive</v>
      </c>
      <c r="B10" s="121">
        <f ca="1">IFERROR(__xludf.DUMMYFUNCTION("""COMPUTED_VALUE"""),43439)</f>
        <v>43439</v>
      </c>
      <c r="C10" s="120" t="str">
        <f ca="1">IFERROR(__xludf.DUMMYFUNCTION("""COMPUTED_VALUE"""),"")</f>
        <v/>
      </c>
      <c r="D10" s="123" t="str">
        <f ca="1">IFERROR(__xludf.DUMMYFUNCTION("""COMPUTED_VALUE"""),"No")</f>
        <v>No</v>
      </c>
      <c r="E10" s="123" t="str">
        <f ca="1">IFERROR(__xludf.DUMMYFUNCTION("""COMPUTED_VALUE"""),"No")</f>
        <v>No</v>
      </c>
      <c r="F10" s="123" t="str">
        <f ca="1">IFERROR(__xludf.DUMMYFUNCTION("""COMPUTED_VALUE"""),"Variant Pathogenicity")</f>
        <v>Variant Pathogenicity</v>
      </c>
      <c r="G10" s="120" t="str">
        <f ca="1">IFERROR(__xludf.DUMMYFUNCTION("""COMPUTED_VALUE"""),"")</f>
        <v/>
      </c>
      <c r="H10" s="120" t="str">
        <f ca="1">IFERROR(__xludf.DUMMYFUNCTION("""COMPUTED_VALUE"""),"Marco Leung")</f>
        <v>Marco Leung</v>
      </c>
      <c r="I10" s="120" t="str">
        <f ca="1">IFERROR(__xludf.DUMMYFUNCTION("""COMPUTED_VALUE"""),"leungm@email.chop.edu")</f>
        <v>leungm@email.chop.edu</v>
      </c>
      <c r="J10" s="123" t="str">
        <f ca="1">IFERROR(__xludf.DUMMYFUNCTION("""COMPUTED_VALUE"""),"Comprehensive")</f>
        <v>Comprehensive</v>
      </c>
      <c r="K10" s="124" t="str">
        <f ca="1">IFERROR(__xludf.DUMMYFUNCTION("""COMPUTED_VALUE"""),"Hereditary cancers; neurodevelopmental disorders; polivy making")</f>
        <v>Hereditary cancers; neurodevelopmental disorders; polivy making</v>
      </c>
      <c r="L10" t="str">
        <f ca="1">IFERROR(__xludf.DUMMYFUNCTION("""COMPUTED_VALUE"""),"yes")</f>
        <v>yes</v>
      </c>
    </row>
    <row r="11" spans="1:26" ht="15.75" customHeight="1">
      <c r="A11" s="120" t="str">
        <f ca="1">IFERROR(__xludf.DUMMYFUNCTION("""COMPUTED_VALUE"""),"Unresponsive")</f>
        <v>Unresponsive</v>
      </c>
      <c r="B11" s="121">
        <f ca="1">IFERROR(__xludf.DUMMYFUNCTION("""COMPUTED_VALUE"""),43439)</f>
        <v>43439</v>
      </c>
      <c r="C11" s="120" t="str">
        <f ca="1">IFERROR(__xludf.DUMMYFUNCTION("""COMPUTED_VALUE"""),"")</f>
        <v/>
      </c>
      <c r="D11" s="123" t="str">
        <f ca="1">IFERROR(__xludf.DUMMYFUNCTION("""COMPUTED_VALUE"""),"No")</f>
        <v>No</v>
      </c>
      <c r="E11" s="123" t="str">
        <f ca="1">IFERROR(__xludf.DUMMYFUNCTION("""COMPUTED_VALUE"""),"No")</f>
        <v>No</v>
      </c>
      <c r="F11" s="123" t="str">
        <f ca="1">IFERROR(__xludf.DUMMYFUNCTION("""COMPUTED_VALUE"""),"Variant Pathogenicity")</f>
        <v>Variant Pathogenicity</v>
      </c>
      <c r="G11" s="120" t="str">
        <f ca="1">IFERROR(__xludf.DUMMYFUNCTION("""COMPUTED_VALUE"""),"")</f>
        <v/>
      </c>
      <c r="H11" s="120" t="str">
        <f ca="1">IFERROR(__xludf.DUMMYFUNCTION("""COMPUTED_VALUE"""),"Emily Groopman")</f>
        <v>Emily Groopman</v>
      </c>
      <c r="I11" s="120" t="str">
        <f ca="1">IFERROR(__xludf.DUMMYFUNCTION("""COMPUTED_VALUE"""),"ee.groopman@gmail.com")</f>
        <v>ee.groopman@gmail.com</v>
      </c>
      <c r="J11" s="123" t="str">
        <f ca="1">IFERROR(__xludf.DUMMYFUNCTION("""COMPUTED_VALUE"""),"Comprehensive")</f>
        <v>Comprehensive</v>
      </c>
      <c r="K11" s="124" t="str">
        <f ca="1">IFERROR(__xludf.DUMMYFUNCTION("""COMPUTED_VALUE"""),"Aminoacidopathy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L11" s="125" t="str">
        <f ca="1">IFERROR(__xludf.DUMMYFUNCTION("""COMPUTED_VALUE"""),"yes")</f>
        <v>yes</v>
      </c>
      <c r="M11" s="125"/>
      <c r="N11" s="125"/>
      <c r="O11" s="125"/>
      <c r="P11" s="125"/>
      <c r="Q11" s="125"/>
      <c r="R11" s="125"/>
      <c r="S11" s="125"/>
      <c r="T11" s="125"/>
      <c r="U11" s="125"/>
      <c r="V11" s="125"/>
      <c r="W11" s="125"/>
      <c r="X11" s="125"/>
      <c r="Y11" s="125"/>
      <c r="Z11" s="125"/>
    </row>
    <row r="12" spans="1:26" ht="15.75" customHeight="1">
      <c r="A12" s="120" t="str">
        <f ca="1">IFERROR(__xludf.DUMMYFUNCTION("""COMPUTED_VALUE"""),"Assigned")</f>
        <v>Assigned</v>
      </c>
      <c r="B12" s="121">
        <f ca="1">IFERROR(__xludf.DUMMYFUNCTION("""COMPUTED_VALUE"""),43439)</f>
        <v>43439</v>
      </c>
      <c r="C12" s="122">
        <f ca="1">IFERROR(__xludf.DUMMYFUNCTION("""COMPUTED_VALUE"""),43608)</f>
        <v>43608</v>
      </c>
      <c r="D12" s="123" t="str">
        <f ca="1">IFERROR(__xludf.DUMMYFUNCTION("""COMPUTED_VALUE"""),"Yes")</f>
        <v>Yes</v>
      </c>
      <c r="E12" s="123" t="str">
        <f ca="1">IFERROR(__xludf.DUMMYFUNCTION("""COMPUTED_VALUE"""),"Yes")</f>
        <v>Yes</v>
      </c>
      <c r="F12" s="123" t="str">
        <f ca="1">IFERROR(__xludf.DUMMYFUNCTION("""COMPUTED_VALUE"""),"Variant Pathogenicity")</f>
        <v>Variant Pathogenicity</v>
      </c>
      <c r="G12" s="120" t="str">
        <f ca="1">IFERROR(__xludf.DUMMYFUNCTION("""COMPUTED_VALUE"""),"Brain Malformations")</f>
        <v>Brain Malformations</v>
      </c>
      <c r="H12" s="120" t="str">
        <f ca="1">IFERROR(__xludf.DUMMYFUNCTION("""COMPUTED_VALUE"""),"Rhonda Lassiter ")</f>
        <v xml:space="preserve">Rhonda Lassiter </v>
      </c>
      <c r="I12" s="120" t="str">
        <f ca="1">IFERROR(__xludf.DUMMYFUNCTION("""COMPUTED_VALUE"""),"rlassiter@ambrygen.com")</f>
        <v>rlassiter@ambrygen.com</v>
      </c>
      <c r="J12" s="123" t="str">
        <f ca="1">IFERROR(__xludf.DUMMYFUNCTION("""COMPUTED_VALUE"""),"Comprehensive")</f>
        <v>Comprehensive</v>
      </c>
      <c r="K12" s="124" t="str">
        <f ca="1">IFERROR(__xludf.DUMMYFUNCTION("""COMPUTED_VALUE"""),"I am interested in any of the Neurodevelopmental Disorders CDWG's. I am happy to help wherever there is a need.")</f>
        <v>I am interested in any of the Neurodevelopmental Disorders CDWG's. I am happy to help wherever there is a need.</v>
      </c>
      <c r="L12" t="str">
        <f ca="1">IFERROR(__xludf.DUMMYFUNCTION("""COMPUTED_VALUE"""),"yes")</f>
        <v>yes</v>
      </c>
    </row>
    <row r="13" spans="1:26" ht="15.75" customHeight="1">
      <c r="A13" s="120" t="str">
        <f ca="1">IFERROR(__xludf.DUMMYFUNCTION("""COMPUTED_VALUE"""),"Contacted")</f>
        <v>Contacted</v>
      </c>
      <c r="B13" s="121">
        <f ca="1">IFERROR(__xludf.DUMMYFUNCTION("""COMPUTED_VALUE"""),43439)</f>
        <v>43439</v>
      </c>
      <c r="C13" s="122">
        <f ca="1">IFERROR(__xludf.DUMMYFUNCTION("""COMPUTED_VALUE"""),43608)</f>
        <v>43608</v>
      </c>
      <c r="D13" s="123" t="str">
        <f ca="1">IFERROR(__xludf.DUMMYFUNCTION("""COMPUTED_VALUE"""),"Yes")</f>
        <v>Yes</v>
      </c>
      <c r="E13" s="123" t="str">
        <f ca="1">IFERROR(__xludf.DUMMYFUNCTION("""COMPUTED_VALUE"""),"Yes")</f>
        <v>Yes</v>
      </c>
      <c r="F13" s="123" t="str">
        <f ca="1">IFERROR(__xludf.DUMMYFUNCTION("""COMPUTED_VALUE"""),"Variant Pathogenicity")</f>
        <v>Variant Pathogenicity</v>
      </c>
      <c r="G13" s="120" t="str">
        <f ca="1">IFERROR(__xludf.DUMMYFUNCTION("""COMPUTED_VALUE"""),"Mito")</f>
        <v>Mito</v>
      </c>
      <c r="H13" s="120" t="str">
        <f ca="1">IFERROR(__xludf.DUMMYFUNCTION("""COMPUTED_VALUE"""),"Emma Reble ")</f>
        <v xml:space="preserve">Emma Reble </v>
      </c>
      <c r="I13" s="120" t="str">
        <f ca="1">IFERROR(__xludf.DUMMYFUNCTION("""COMPUTED_VALUE"""),"reblee@smh.ca")</f>
        <v>reblee@smh.ca</v>
      </c>
      <c r="J13" s="123" t="str">
        <f ca="1">IFERROR(__xludf.DUMMYFUNCTION("""COMPUTED_VALUE"""),"Comprehensive")</f>
        <v>Comprehensive</v>
      </c>
      <c r="K13" s="124" t="str">
        <f ca="1">IFERROR(__xludf.DUMMYFUNCTION("""COMPUTED_VALUE"""),"I am interest in the neurodevelopmental disorder CDWG, particularly the Autism and ID group.")</f>
        <v>I am interest in the neurodevelopmental disorder CDWG, particularly the Autism and ID group.</v>
      </c>
      <c r="L13" s="125" t="str">
        <f ca="1">IFERROR(__xludf.DUMMYFUNCTION("""COMPUTED_VALUE"""),"yes")</f>
        <v>yes</v>
      </c>
      <c r="M13" s="125"/>
      <c r="N13" s="125"/>
      <c r="O13" s="125"/>
      <c r="P13" s="125"/>
      <c r="Q13" s="125"/>
      <c r="R13" s="125"/>
      <c r="S13" s="125"/>
      <c r="T13" s="125"/>
      <c r="U13" s="125"/>
      <c r="V13" s="125"/>
      <c r="W13" s="125"/>
      <c r="X13" s="125"/>
      <c r="Y13" s="125"/>
      <c r="Z13" s="125"/>
    </row>
    <row r="14" spans="1:26" ht="15.75" customHeight="1">
      <c r="A14" s="120" t="str">
        <f ca="1">IFERROR(__xludf.DUMMYFUNCTION("""COMPUTED_VALUE"""),"Unresponsive")</f>
        <v>Unresponsive</v>
      </c>
      <c r="B14" s="121">
        <f ca="1">IFERROR(__xludf.DUMMYFUNCTION("""COMPUTED_VALUE"""),43439)</f>
        <v>43439</v>
      </c>
      <c r="C14" s="122" t="str">
        <f ca="1">IFERROR(__xludf.DUMMYFUNCTION("""COMPUTED_VALUE"""),"")</f>
        <v/>
      </c>
      <c r="D14" s="123" t="str">
        <f ca="1">IFERROR(__xludf.DUMMYFUNCTION("""COMPUTED_VALUE"""),"No")</f>
        <v>No</v>
      </c>
      <c r="E14" s="123" t="str">
        <f ca="1">IFERROR(__xludf.DUMMYFUNCTION("""COMPUTED_VALUE"""),"No")</f>
        <v>No</v>
      </c>
      <c r="F14" s="123" t="str">
        <f ca="1">IFERROR(__xludf.DUMMYFUNCTION("""COMPUTED_VALUE"""),"Variant Pathogenicity")</f>
        <v>Variant Pathogenicity</v>
      </c>
      <c r="G14" s="120" t="str">
        <f ca="1">IFERROR(__xludf.DUMMYFUNCTION("""COMPUTED_VALUE"""),"")</f>
        <v/>
      </c>
      <c r="H14" s="120" t="str">
        <f ca="1">IFERROR(__xludf.DUMMYFUNCTION("""COMPUTED_VALUE"""),"Bryony Thompson")</f>
        <v>Bryony Thompson</v>
      </c>
      <c r="I14" s="120" t="str">
        <f ca="1">IFERROR(__xludf.DUMMYFUNCTION("""COMPUTED_VALUE"""),"Bryony.Thompson@mh.org.au")</f>
        <v>Bryony.Thompson@mh.org.au</v>
      </c>
      <c r="J14" s="123" t="str">
        <f ca="1">IFERROR(__xludf.DUMMYFUNCTION("""COMPUTED_VALUE"""),"Comprehensive")</f>
        <v>Comprehensive</v>
      </c>
      <c r="K14" s="124" t="str">
        <f ca="1">IFERROR(__xludf.DUMMYFUNCTION("""COMPUTED_VALUE"""),"CDH1 Variant Curation Expert Panel")</f>
        <v>CDH1 Variant Curation Expert Panel</v>
      </c>
      <c r="L14" t="str">
        <f ca="1">IFERROR(__xludf.DUMMYFUNCTION("""COMPUTED_VALUE"""),"yes")</f>
        <v>yes</v>
      </c>
    </row>
    <row r="15" spans="1:26" ht="15.75" customHeight="1">
      <c r="A15" s="120" t="str">
        <f ca="1">IFERROR(__xludf.DUMMYFUNCTION("""COMPUTED_VALUE"""),"Assigned")</f>
        <v>Assigned</v>
      </c>
      <c r="B15" s="121">
        <f ca="1">IFERROR(__xludf.DUMMYFUNCTION("""COMPUTED_VALUE"""),43439)</f>
        <v>43439</v>
      </c>
      <c r="C15" s="122">
        <f ca="1">IFERROR(__xludf.DUMMYFUNCTION("""COMPUTED_VALUE"""),43608)</f>
        <v>43608</v>
      </c>
      <c r="D15" s="123" t="str">
        <f ca="1">IFERROR(__xludf.DUMMYFUNCTION("""COMPUTED_VALUE"""),"Yes")</f>
        <v>Yes</v>
      </c>
      <c r="E15" s="123" t="str">
        <f ca="1">IFERROR(__xludf.DUMMYFUNCTION("""COMPUTED_VALUE"""),"Yes")</f>
        <v>Yes</v>
      </c>
      <c r="F15" s="123" t="str">
        <f ca="1">IFERROR(__xludf.DUMMYFUNCTION("""COMPUTED_VALUE"""),"Variant Pathogenicity")</f>
        <v>Variant Pathogenicity</v>
      </c>
      <c r="G15" s="120" t="str">
        <f ca="1">IFERROR(__xludf.DUMMYFUNCTION("""COMPUTED_VALUE"""),"Coagulation Factor Deficiency")</f>
        <v>Coagulation Factor Deficiency</v>
      </c>
      <c r="H15" s="120" t="str">
        <f ca="1">IFERROR(__xludf.DUMMYFUNCTION("""COMPUTED_VALUE"""),"Qiliang Ding")</f>
        <v>Qiliang Ding</v>
      </c>
      <c r="I15" s="120" t="str">
        <f ca="1">IFERROR(__xludf.DUMMYFUNCTION("""COMPUTED_VALUE"""),"qd29@cornell.edu")</f>
        <v>qd29@cornell.edu</v>
      </c>
      <c r="J15" s="123" t="str">
        <f ca="1">IFERROR(__xludf.DUMMYFUNCTION("""COMPUTED_VALUE"""),"Comprehensive")</f>
        <v>Comprehensive</v>
      </c>
      <c r="K15" s="124" t="str">
        <f ca="1">IFERROR(__xludf.DUMMYFUNCTION("""COMPUTED_VALUE"""),"I am interested in all working groups.")</f>
        <v>I am interested in all working groups.</v>
      </c>
      <c r="L15" s="125" t="str">
        <f ca="1">IFERROR(__xludf.DUMMYFUNCTION("""COMPUTED_VALUE"""),"yes")</f>
        <v>yes</v>
      </c>
      <c r="M15" s="125"/>
      <c r="N15" s="125"/>
      <c r="O15" s="125"/>
      <c r="P15" s="125"/>
      <c r="Q15" s="125"/>
      <c r="R15" s="125"/>
      <c r="S15" s="125"/>
      <c r="T15" s="125"/>
      <c r="U15" s="125"/>
      <c r="V15" s="125"/>
      <c r="W15" s="125"/>
      <c r="X15" s="125"/>
      <c r="Y15" s="125"/>
      <c r="Z15" s="125"/>
    </row>
    <row r="16" spans="1:26" ht="15.75" customHeight="1">
      <c r="A16" s="120" t="str">
        <f ca="1">IFERROR(__xludf.DUMMYFUNCTION("""COMPUTED_VALUE"""),"Contacted")</f>
        <v>Contacted</v>
      </c>
      <c r="B16" s="121">
        <f ca="1">IFERROR(__xludf.DUMMYFUNCTION("""COMPUTED_VALUE"""),43439)</f>
        <v>43439</v>
      </c>
      <c r="C16" s="122">
        <f ca="1">IFERROR(__xludf.DUMMYFUNCTION("""COMPUTED_VALUE"""),43608)</f>
        <v>43608</v>
      </c>
      <c r="D16" s="123" t="str">
        <f ca="1">IFERROR(__xludf.DUMMYFUNCTION("""COMPUTED_VALUE"""),"Yes")</f>
        <v>Yes</v>
      </c>
      <c r="E16" s="123" t="str">
        <f ca="1">IFERROR(__xludf.DUMMYFUNCTION("""COMPUTED_VALUE"""),"No")</f>
        <v>No</v>
      </c>
      <c r="F16" s="123" t="str">
        <f ca="1">IFERROR(__xludf.DUMMYFUNCTION("""COMPUTED_VALUE"""),"Variant Pathogenicity")</f>
        <v>Variant Pathogenicity</v>
      </c>
      <c r="G16" s="120" t="str">
        <f ca="1">IFERROR(__xludf.DUMMYFUNCTION("""COMPUTED_VALUE"""),"")</f>
        <v/>
      </c>
      <c r="H16" s="120" t="str">
        <f ca="1">IFERROR(__xludf.DUMMYFUNCTION("""COMPUTED_VALUE"""),"Amy Donahue")</f>
        <v>Amy Donahue</v>
      </c>
      <c r="I16" s="120" t="str">
        <f ca="1">IFERROR(__xludf.DUMMYFUNCTION("""COMPUTED_VALUE"""),"adonahue@mcw.edu")</f>
        <v>adonahue@mcw.edu</v>
      </c>
      <c r="J16" s="123" t="str">
        <f ca="1">IFERROR(__xludf.DUMMYFUNCTION("""COMPUTED_VALUE"""),"Comprehensive")</f>
        <v>Comprehensive</v>
      </c>
      <c r="K16" s="124" t="str">
        <f ca="1">IFERROR(__xludf.DUMMYFUNCTION("""COMPUTED_VALUE"""),"Any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L16" s="125" t="str">
        <f ca="1">IFERROR(__xludf.DUMMYFUNCTION("""COMPUTED_VALUE"""),"yes")</f>
        <v>yes</v>
      </c>
      <c r="M16" s="125"/>
      <c r="N16" s="125"/>
      <c r="O16" s="125"/>
      <c r="P16" s="125"/>
      <c r="Q16" s="125"/>
      <c r="R16" s="125"/>
      <c r="S16" s="125"/>
      <c r="T16" s="125"/>
      <c r="U16" s="125"/>
      <c r="V16" s="125"/>
      <c r="W16" s="125"/>
      <c r="X16" s="125"/>
      <c r="Y16" s="125"/>
      <c r="Z16" s="125"/>
    </row>
    <row r="17" spans="1:26" ht="15.75" customHeight="1">
      <c r="A17" s="120" t="str">
        <f ca="1">IFERROR(__xludf.DUMMYFUNCTION("""COMPUTED_VALUE"""),"Assigned")</f>
        <v>Assigned</v>
      </c>
      <c r="B17" s="121">
        <f ca="1">IFERROR(__xludf.DUMMYFUNCTION("""COMPUTED_VALUE"""),43109)</f>
        <v>43109</v>
      </c>
      <c r="C17" s="122">
        <f ca="1">IFERROR(__xludf.DUMMYFUNCTION("""COMPUTED_VALUE"""),43605)</f>
        <v>43605</v>
      </c>
      <c r="D17" s="123" t="str">
        <f ca="1">IFERROR(__xludf.DUMMYFUNCTION("""COMPUTED_VALUE"""),"Yes")</f>
        <v>Yes</v>
      </c>
      <c r="E17" s="123" t="str">
        <f ca="1">IFERROR(__xludf.DUMMYFUNCTION("""COMPUTED_VALUE"""),"Yes")</f>
        <v>Yes</v>
      </c>
      <c r="F17" s="123" t="str">
        <f ca="1">IFERROR(__xludf.DUMMYFUNCTION("""COMPUTED_VALUE"""),"Variant Pathogenicity")</f>
        <v>Variant Pathogenicity</v>
      </c>
      <c r="G17" s="120" t="str">
        <f ca="1">IFERROR(__xludf.DUMMYFUNCTION("""COMPUTED_VALUE"""),"Mito")</f>
        <v>Mito</v>
      </c>
      <c r="H17" s="120" t="str">
        <f ca="1">IFERROR(__xludf.DUMMYFUNCTION("""COMPUTED_VALUE"""),"Dave Ferguson")</f>
        <v>Dave Ferguson</v>
      </c>
      <c r="I17" s="120" t="str">
        <f ca="1">IFERROR(__xludf.DUMMYFUNCTION("""COMPUTED_VALUE"""),"dferguso@uci.edu")</f>
        <v>dferguso@uci.edu</v>
      </c>
      <c r="J17" s="123" t="str">
        <f ca="1">IFERROR(__xludf.DUMMYFUNCTION("""COMPUTED_VALUE"""),"Comprehensive")</f>
        <v>Comprehensive</v>
      </c>
      <c r="K17" s="124" t="str">
        <f ca="1">IFERROR(__xludf.DUMMYFUNCTION("""COMPUTED_VALUE"""),"Mitochondrial Disease Variant Curation Expert Panel (In progress) Autism and Intellectual Disability Gene Curation Expert Panel")</f>
        <v>Mitochondrial Disease Variant Curation Expert Panel (In progress) Autism and Intellectual Disability Gene Curation Expert Panel</v>
      </c>
      <c r="L17" t="str">
        <f ca="1">IFERROR(__xludf.DUMMYFUNCTION("""COMPUTED_VALUE"""),"No")</f>
        <v>No</v>
      </c>
    </row>
    <row r="18" spans="1:26" ht="15.75" customHeight="1">
      <c r="A18" s="120" t="str">
        <f ca="1">IFERROR(__xludf.DUMMYFUNCTION("""COMPUTED_VALUE"""),"Unresponsive")</f>
        <v>Unresponsive</v>
      </c>
      <c r="B18" s="121">
        <f ca="1">IFERROR(__xludf.DUMMYFUNCTION("""COMPUTED_VALUE"""),43109)</f>
        <v>43109</v>
      </c>
      <c r="C18" s="120" t="str">
        <f ca="1">IFERROR(__xludf.DUMMYFUNCTION("""COMPUTED_VALUE"""),"")</f>
        <v/>
      </c>
      <c r="D18" s="123" t="str">
        <f ca="1">IFERROR(__xludf.DUMMYFUNCTION("""COMPUTED_VALUE"""),"No")</f>
        <v>No</v>
      </c>
      <c r="E18" s="123" t="str">
        <f ca="1">IFERROR(__xludf.DUMMYFUNCTION("""COMPUTED_VALUE"""),"No")</f>
        <v>No</v>
      </c>
      <c r="F18" s="123" t="str">
        <f ca="1">IFERROR(__xludf.DUMMYFUNCTION("""COMPUTED_VALUE"""),"Variant Pathogenicity")</f>
        <v>Variant Pathogenicity</v>
      </c>
      <c r="G18" s="120" t="str">
        <f ca="1">IFERROR(__xludf.DUMMYFUNCTION("""COMPUTED_VALUE"""),"")</f>
        <v/>
      </c>
      <c r="H18" s="120" t="str">
        <f ca="1">IFERROR(__xludf.DUMMYFUNCTION("""COMPUTED_VALUE"""),"Santhi Ramachandran")</f>
        <v>Santhi Ramachandran</v>
      </c>
      <c r="I18" s="120" t="str">
        <f ca="1">IFERROR(__xludf.DUMMYFUNCTION("""COMPUTED_VALUE"""),"santhialways4u@gmail.com")</f>
        <v>santhialways4u@gmail.com</v>
      </c>
      <c r="J18" s="123" t="str">
        <f ca="1">IFERROR(__xludf.DUMMYFUNCTION("""COMPUTED_VALUE"""),"Comprehensive")</f>
        <v>Comprehensive</v>
      </c>
      <c r="K18" s="124" t="str">
        <f ca="1">IFERROR(__xludf.DUMMYFUNCTION("""COMPUTED_VALUE"""),"I would like to work with variant curation expert panel or gene curation expert panel")</f>
        <v>I would like to work with variant curation expert panel or gene curation expert panel</v>
      </c>
      <c r="L18" s="125" t="str">
        <f ca="1">IFERROR(__xludf.DUMMYFUNCTION("""COMPUTED_VALUE"""),"yes")</f>
        <v>yes</v>
      </c>
      <c r="M18" s="125"/>
      <c r="N18" s="125"/>
      <c r="O18" s="125"/>
      <c r="P18" s="125"/>
      <c r="Q18" s="125"/>
      <c r="R18" s="125"/>
      <c r="S18" s="125"/>
      <c r="T18" s="125"/>
      <c r="U18" s="125"/>
      <c r="V18" s="125"/>
      <c r="W18" s="125"/>
      <c r="X18" s="125"/>
      <c r="Y18" s="125"/>
      <c r="Z18" s="125"/>
    </row>
    <row r="19" spans="1:26" ht="15.75" customHeight="1">
      <c r="A19" s="120" t="str">
        <f ca="1">IFERROR(__xludf.DUMMYFUNCTION("""COMPUTED_VALUE"""),"Unresponsive")</f>
        <v>Unresponsive</v>
      </c>
      <c r="B19" s="121">
        <f ca="1">IFERROR(__xludf.DUMMYFUNCTION("""COMPUTED_VALUE"""),43439)</f>
        <v>43439</v>
      </c>
      <c r="C19" s="120" t="str">
        <f ca="1">IFERROR(__xludf.DUMMYFUNCTION("""COMPUTED_VALUE"""),"")</f>
        <v/>
      </c>
      <c r="D19" s="123" t="str">
        <f ca="1">IFERROR(__xludf.DUMMYFUNCTION("""COMPUTED_VALUE"""),"No")</f>
        <v>No</v>
      </c>
      <c r="E19" s="123" t="str">
        <f ca="1">IFERROR(__xludf.DUMMYFUNCTION("""COMPUTED_VALUE"""),"No")</f>
        <v>No</v>
      </c>
      <c r="F19" s="123" t="str">
        <f ca="1">IFERROR(__xludf.DUMMYFUNCTION("""COMPUTED_VALUE"""),"Variant Pathogenicity")</f>
        <v>Variant Pathogenicity</v>
      </c>
      <c r="G19" s="120" t="str">
        <f ca="1">IFERROR(__xludf.DUMMYFUNCTION("""COMPUTED_VALUE"""),"")</f>
        <v/>
      </c>
      <c r="H19" s="120" t="str">
        <f ca="1">IFERROR(__xludf.DUMMYFUNCTION("""COMPUTED_VALUE"""),"Megan Nathan")</f>
        <v>Megan Nathan</v>
      </c>
      <c r="I19" s="120" t="str">
        <f ca="1">IFERROR(__xludf.DUMMYFUNCTION("""COMPUTED_VALUE"""),"mlnathan.genetics@gmail.com")</f>
        <v>mlnathan.genetics@gmail.com</v>
      </c>
      <c r="J19" s="123" t="str">
        <f ca="1">IFERROR(__xludf.DUMMYFUNCTION("""COMPUTED_VALUE"""),"Comprehensive")</f>
        <v>Comprehensive</v>
      </c>
      <c r="K19" s="124" t="str">
        <f ca="1">IFERROR(__xludf.DUMMYFUNCTION("""COMPUTED_VALUE"""),"I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L19" t="str">
        <f ca="1">IFERROR(__xludf.DUMMYFUNCTION("""COMPUTED_VALUE"""),"yes")</f>
        <v>yes</v>
      </c>
    </row>
    <row r="20" spans="1:26" ht="15.75" customHeight="1">
      <c r="A20" s="120" t="str">
        <f ca="1">IFERROR(__xludf.DUMMYFUNCTION("""COMPUTED_VALUE"""),"Unresponsive")</f>
        <v>Unresponsive</v>
      </c>
      <c r="B20" s="120" t="str">
        <f ca="1">IFERROR(__xludf.DUMMYFUNCTION("""COMPUTED_VALUE"""),"01/09/18
Unresponsive as of 7-7-19")</f>
        <v>01/09/18
Unresponsive as of 7-7-19</v>
      </c>
      <c r="C20" s="120" t="str">
        <f ca="1">IFERROR(__xludf.DUMMYFUNCTION("""COMPUTED_VALUE"""),"")</f>
        <v/>
      </c>
      <c r="D20" s="123" t="str">
        <f ca="1">IFERROR(__xludf.DUMMYFUNCTION("""COMPUTED_VALUE"""),"No")</f>
        <v>No</v>
      </c>
      <c r="E20" s="123" t="str">
        <f ca="1">IFERROR(__xludf.DUMMYFUNCTION("""COMPUTED_VALUE"""),"No")</f>
        <v>No</v>
      </c>
      <c r="F20" s="123" t="str">
        <f ca="1">IFERROR(__xludf.DUMMYFUNCTION("""COMPUTED_VALUE"""),"Variant Pathogenicity")</f>
        <v>Variant Pathogenicity</v>
      </c>
      <c r="G20" s="120" t="str">
        <f ca="1">IFERROR(__xludf.DUMMYFUNCTION("""COMPUTED_VALUE"""),"")</f>
        <v/>
      </c>
      <c r="H20" s="120" t="str">
        <f ca="1">IFERROR(__xludf.DUMMYFUNCTION("""COMPUTED_VALUE"""),"Ellen Xu")</f>
        <v>Ellen Xu</v>
      </c>
      <c r="I20" s="120" t="str">
        <f ca="1">IFERROR(__xludf.DUMMYFUNCTION("""COMPUTED_VALUE"""),"")</f>
        <v/>
      </c>
      <c r="J20" s="123" t="str">
        <f ca="1">IFERROR(__xludf.DUMMYFUNCTION("""COMPUTED_VALUE"""),"Comprehensive")</f>
        <v>Comprehensive</v>
      </c>
      <c r="K20" s="124" t="str">
        <f ca="1">IFERROR(__xludf.DUMMYFUNCTION("""COMPUTED_VALUE"""),"Dosage sensitivity, hereditary cancer")</f>
        <v>Dosage sensitivity, hereditary cancer</v>
      </c>
      <c r="L20" t="str">
        <f ca="1">IFERROR(__xludf.DUMMYFUNCTION("""COMPUTED_VALUE"""),"yes")</f>
        <v>yes</v>
      </c>
    </row>
    <row r="21" spans="1:26" ht="15.75" customHeight="1">
      <c r="A21" s="120" t="str">
        <f ca="1">IFERROR(__xludf.DUMMYFUNCTION("""COMPUTED_VALUE"""),"Assigned")</f>
        <v>Assigned</v>
      </c>
      <c r="B21" s="121">
        <f ca="1">IFERROR(__xludf.DUMMYFUNCTION("""COMPUTED_VALUE"""),43109)</f>
        <v>43109</v>
      </c>
      <c r="C21" s="122">
        <f ca="1">IFERROR(__xludf.DUMMYFUNCTION("""COMPUTED_VALUE"""),43608)</f>
        <v>43608</v>
      </c>
      <c r="D21" s="123" t="str">
        <f ca="1">IFERROR(__xludf.DUMMYFUNCTION("""COMPUTED_VALUE"""),"Yes")</f>
        <v>Yes</v>
      </c>
      <c r="E21" s="123" t="str">
        <f ca="1">IFERROR(__xludf.DUMMYFUNCTION("""COMPUTED_VALUE"""),"Yes")</f>
        <v>Yes</v>
      </c>
      <c r="F21" s="123" t="str">
        <f ca="1">IFERROR(__xludf.DUMMYFUNCTION("""COMPUTED_VALUE"""),"Variant Pathogenicity")</f>
        <v>Variant Pathogenicity</v>
      </c>
      <c r="G21" s="120" t="str">
        <f ca="1">IFERROR(__xludf.DUMMYFUNCTION("""COMPUTED_VALUE"""),"TP53")</f>
        <v>TP53</v>
      </c>
      <c r="H21" s="120" t="str">
        <f ca="1">IFERROR(__xludf.DUMMYFUNCTION("""COMPUTED_VALUE"""),"Alisdair Philp")</f>
        <v>Alisdair Philp</v>
      </c>
      <c r="I21" s="120" t="str">
        <f ca="1">IFERROR(__xludf.DUMMYFUNCTION("""COMPUTED_VALUE"""),"arphilp@gmail.com")</f>
        <v>arphilp@gmail.com</v>
      </c>
      <c r="J21" s="123" t="str">
        <f ca="1">IFERROR(__xludf.DUMMYFUNCTION("""COMPUTED_VALUE"""),"Comprehensive")</f>
        <v>Comprehensive</v>
      </c>
      <c r="K21" s="124" t="str">
        <f ca="1">IFERROR(__xludf.DUMMYFUNCTION("""COMPUTED_VALUE"""),"Cnv")</f>
        <v>Cnv</v>
      </c>
      <c r="L21" s="125" t="str">
        <f ca="1">IFERROR(__xludf.DUMMYFUNCTION("""COMPUTED_VALUE"""),"yes")</f>
        <v>yes</v>
      </c>
      <c r="M21" s="125"/>
      <c r="N21" s="125"/>
      <c r="O21" s="125"/>
      <c r="P21" s="125"/>
      <c r="Q21" s="125"/>
      <c r="R21" s="125"/>
      <c r="S21" s="125"/>
      <c r="T21" s="125"/>
      <c r="U21" s="125"/>
      <c r="V21" s="125"/>
      <c r="W21" s="125"/>
      <c r="X21" s="125"/>
      <c r="Y21" s="125"/>
      <c r="Z21" s="125"/>
    </row>
    <row r="22" spans="1:26" ht="15.75" customHeight="1">
      <c r="A22" s="120" t="str">
        <f ca="1">IFERROR(__xludf.DUMMYFUNCTION("""COMPUTED_VALUE"""),"Unresponsive")</f>
        <v>Unresponsive</v>
      </c>
      <c r="B22" s="120" t="str">
        <f ca="1">IFERROR(__xludf.DUMMYFUNCTION("""COMPUTED_VALUE"""),"")</f>
        <v/>
      </c>
      <c r="C22" s="120" t="str">
        <f ca="1">IFERROR(__xludf.DUMMYFUNCTION("""COMPUTED_VALUE"""),"")</f>
        <v/>
      </c>
      <c r="D22" s="123" t="str">
        <f ca="1">IFERROR(__xludf.DUMMYFUNCTION("""COMPUTED_VALUE"""),"No")</f>
        <v>No</v>
      </c>
      <c r="E22" s="123" t="str">
        <f ca="1">IFERROR(__xludf.DUMMYFUNCTION("""COMPUTED_VALUE"""),"No")</f>
        <v>No</v>
      </c>
      <c r="F22" s="123" t="str">
        <f ca="1">IFERROR(__xludf.DUMMYFUNCTION("""COMPUTED_VALUE"""),"Variant Pathogenicity")</f>
        <v>Variant Pathogenicity</v>
      </c>
      <c r="G22" s="120" t="str">
        <f ca="1">IFERROR(__xludf.DUMMYFUNCTION("""COMPUTED_VALUE"""),"")</f>
        <v/>
      </c>
      <c r="H22" s="120" t="str">
        <f ca="1">IFERROR(__xludf.DUMMYFUNCTION("""COMPUTED_VALUE"""),"Ron Agatep")</f>
        <v>Ron Agatep</v>
      </c>
      <c r="I22" s="120" t="str">
        <f ca="1">IFERROR(__xludf.DUMMYFUNCTION("""COMPUTED_VALUE"""),"ragatep@sharedhealthmb.ca")</f>
        <v>ragatep@sharedhealthmb.ca</v>
      </c>
      <c r="J22" s="123" t="str">
        <f ca="1">IFERROR(__xludf.DUMMYFUNCTION("""COMPUTED_VALUE"""),"Comprehensive")</f>
        <v>Comprehensive</v>
      </c>
      <c r="K22" s="124" t="str">
        <f ca="1">IFERROR(__xludf.DUMMYFUNCTION("""COMPUTED_VALUE"""),"Hereditary Breast and Ovarian Cancer")</f>
        <v>Hereditary Breast and Ovarian Cancer</v>
      </c>
      <c r="L22" t="str">
        <f ca="1">IFERROR(__xludf.DUMMYFUNCTION("""COMPUTED_VALUE"""),"")</f>
        <v/>
      </c>
    </row>
    <row r="23" spans="1:26" ht="15.75" customHeight="1">
      <c r="A23" s="120" t="str">
        <f ca="1">IFERROR(__xludf.DUMMYFUNCTION("""COMPUTED_VALUE"""),"Unresponsive")</f>
        <v>Unresponsive</v>
      </c>
      <c r="B23" s="120" t="str">
        <f ca="1">IFERROR(__xludf.DUMMYFUNCTION("""COMPUTED_VALUE"""),"")</f>
        <v/>
      </c>
      <c r="C23" s="120" t="str">
        <f ca="1">IFERROR(__xludf.DUMMYFUNCTION("""COMPUTED_VALUE"""),"")</f>
        <v/>
      </c>
      <c r="D23" s="123" t="str">
        <f ca="1">IFERROR(__xludf.DUMMYFUNCTION("""COMPUTED_VALUE"""),"No")</f>
        <v>No</v>
      </c>
      <c r="E23" s="123" t="str">
        <f ca="1">IFERROR(__xludf.DUMMYFUNCTION("""COMPUTED_VALUE"""),"No")</f>
        <v>No</v>
      </c>
      <c r="F23" s="123" t="str">
        <f ca="1">IFERROR(__xludf.DUMMYFUNCTION("""COMPUTED_VALUE"""),"Variant Pathogenicity")</f>
        <v>Variant Pathogenicity</v>
      </c>
      <c r="G23" s="120" t="str">
        <f ca="1">IFERROR(__xludf.DUMMYFUNCTION("""COMPUTED_VALUE"""),"")</f>
        <v/>
      </c>
      <c r="H23" s="120" t="str">
        <f ca="1">IFERROR(__xludf.DUMMYFUNCTION("""COMPUTED_VALUE"""),"Yasser Sullcahuaman")</f>
        <v>Yasser Sullcahuaman</v>
      </c>
      <c r="I23" s="120" t="str">
        <f ca="1">IFERROR(__xludf.DUMMYFUNCTION("""COMPUTED_VALUE"""),"ysullcahuaman@gmail.com")</f>
        <v>ysullcahuaman@gmail.com</v>
      </c>
      <c r="J23" s="123" t="str">
        <f ca="1">IFERROR(__xludf.DUMMYFUNCTION("""COMPUTED_VALUE"""),"Comprehensive")</f>
        <v>Comprehensive</v>
      </c>
      <c r="K23" s="124" t="str">
        <f ca="1">IFERROR(__xludf.DUMMYFUNCTION("""COMPUTED_VALUE"""),"")</f>
        <v/>
      </c>
      <c r="L23" s="125" t="str">
        <f ca="1">IFERROR(__xludf.DUMMYFUNCTION("""COMPUTED_VALUE"""),"")</f>
        <v/>
      </c>
      <c r="M23" s="125"/>
      <c r="N23" s="125"/>
      <c r="O23" s="125"/>
      <c r="P23" s="125"/>
      <c r="Q23" s="125"/>
      <c r="R23" s="125"/>
      <c r="S23" s="125"/>
      <c r="T23" s="125"/>
      <c r="U23" s="125"/>
      <c r="V23" s="125"/>
      <c r="W23" s="125"/>
      <c r="X23" s="125"/>
      <c r="Y23" s="125"/>
      <c r="Z23" s="125"/>
    </row>
    <row r="24" spans="1:26" ht="15.75" customHeight="1">
      <c r="A24" s="120" t="str">
        <f ca="1">IFERROR(__xludf.DUMMYFUNCTION("""COMPUTED_VALUE"""),"Contacted")</f>
        <v>Contacted</v>
      </c>
      <c r="B24" s="120" t="str">
        <f ca="1">IFERROR(__xludf.DUMMYFUNCTION("""COMPUTED_VALUE"""),"")</f>
        <v/>
      </c>
      <c r="C24" s="126">
        <f ca="1">IFERROR(__xludf.DUMMYFUNCTION("""COMPUTED_VALUE"""),43608)</f>
        <v>43608</v>
      </c>
      <c r="D24" s="123" t="str">
        <f ca="1">IFERROR(__xludf.DUMMYFUNCTION("""COMPUTED_VALUE"""),"Yes")</f>
        <v>Yes</v>
      </c>
      <c r="E24" s="123" t="str">
        <f ca="1">IFERROR(__xludf.DUMMYFUNCTION("""COMPUTED_VALUE"""),"Yes")</f>
        <v>Yes</v>
      </c>
      <c r="F24" s="123" t="str">
        <f ca="1">IFERROR(__xludf.DUMMYFUNCTION("""COMPUTED_VALUE"""),"Variant Pathogenicity")</f>
        <v>Variant Pathogenicity</v>
      </c>
      <c r="G24" s="120" t="str">
        <f ca="1">IFERROR(__xludf.DUMMYFUNCTION("""COMPUTED_VALUE"""),"ACADVL")</f>
        <v>ACADVL</v>
      </c>
      <c r="H24" s="120" t="str">
        <f ca="1">IFERROR(__xludf.DUMMYFUNCTION("""COMPUTED_VALUE"""),"Michael McLachlan")</f>
        <v>Michael McLachlan</v>
      </c>
      <c r="I24" s="120" t="str">
        <f ca="1">IFERROR(__xludf.DUMMYFUNCTION("""COMPUTED_VALUE"""),"mikejmclachlan@gmail.com")</f>
        <v>mikejmclachlan@gmail.com</v>
      </c>
      <c r="J24" s="123" t="str">
        <f ca="1">IFERROR(__xludf.DUMMYFUNCTION("""COMPUTED_VALUE"""),"Comprehensive")</f>
        <v>Comprehensive</v>
      </c>
      <c r="K24" s="124" t="str">
        <f ca="1">IFERROR(__xludf.DUMMYFUNCTION("""COMPUTED_VALUE"""),"")</f>
        <v/>
      </c>
      <c r="L24" s="125" t="str">
        <f ca="1">IFERROR(__xludf.DUMMYFUNCTION("""COMPUTED_VALUE"""),"No curation experience but professional experience with genome analysis and disease models")</f>
        <v>No curation experience but professional experience with genome analysis and disease models</v>
      </c>
      <c r="M24" s="125"/>
      <c r="N24" s="125"/>
      <c r="O24" s="125"/>
      <c r="P24" s="125"/>
      <c r="Q24" s="125"/>
      <c r="R24" s="125"/>
      <c r="S24" s="125"/>
      <c r="T24" s="125"/>
      <c r="U24" s="125"/>
      <c r="V24" s="125"/>
      <c r="W24" s="125"/>
      <c r="X24" s="125"/>
      <c r="Y24" s="125"/>
      <c r="Z24" s="125"/>
    </row>
    <row r="25" spans="1:26" ht="15.75" customHeight="1">
      <c r="A25" s="120" t="str">
        <f ca="1">IFERROR(__xludf.DUMMYFUNCTION("""COMPUTED_VALUE"""),"Assigned")</f>
        <v>Assigned</v>
      </c>
      <c r="B25" s="120" t="str">
        <f ca="1">IFERROR(__xludf.DUMMYFUNCTION("""COMPUTED_VALUE"""),"")</f>
        <v/>
      </c>
      <c r="C25" s="122">
        <f ca="1">IFERROR(__xludf.DUMMYFUNCTION("""COMPUTED_VALUE"""),43605)</f>
        <v>43605</v>
      </c>
      <c r="D25" s="123" t="str">
        <f ca="1">IFERROR(__xludf.DUMMYFUNCTION("""COMPUTED_VALUE"""),"Yes")</f>
        <v>Yes</v>
      </c>
      <c r="E25" s="123" t="str">
        <f ca="1">IFERROR(__xludf.DUMMYFUNCTION("""COMPUTED_VALUE"""),"Yes")</f>
        <v>Yes</v>
      </c>
      <c r="F25" s="123" t="str">
        <f ca="1">IFERROR(__xludf.DUMMYFUNCTION("""COMPUTED_VALUE"""),"Variant Pathogenicity")</f>
        <v>Variant Pathogenicity</v>
      </c>
      <c r="G25" s="120" t="str">
        <f ca="1">IFERROR(__xludf.DUMMYFUNCTION("""COMPUTED_VALUE"""),"Storage Disease")</f>
        <v>Storage Disease</v>
      </c>
      <c r="H25" s="120" t="str">
        <f ca="1">IFERROR(__xludf.DUMMYFUNCTION("""COMPUTED_VALUE"""),"Jing Xie")</f>
        <v>Jing Xie</v>
      </c>
      <c r="I25" s="120" t="str">
        <f ca="1">IFERROR(__xludf.DUMMYFUNCTION("""COMPUTED_VALUE"""),"jingxiegene@gmail.com")</f>
        <v>jingxiegene@gmail.com</v>
      </c>
      <c r="J25" s="123" t="str">
        <f ca="1">IFERROR(__xludf.DUMMYFUNCTION("""COMPUTED_VALUE"""),"Comprehensive")</f>
        <v>Comprehensive</v>
      </c>
      <c r="K25" s="124" t="str">
        <f ca="1">IFERROR(__xludf.DUMMYFUNCTION("""COMPUTED_VALUE"""),"Gene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L25" t="str">
        <f ca="1">IFERROR(__xludf.DUMMYFUNCTION("""COMPUTED_VALUE"""),"Yes,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row>
    <row r="26" spans="1:26" ht="15.75" customHeight="1">
      <c r="A26" s="120" t="str">
        <f ca="1">IFERROR(__xludf.DUMMYFUNCTION("""COMPUTED_VALUE"""),"Contacted")</f>
        <v>Contacted</v>
      </c>
      <c r="B26" s="120" t="str">
        <f ca="1">IFERROR(__xludf.DUMMYFUNCTION("""COMPUTED_VALUE"""),"")</f>
        <v/>
      </c>
      <c r="C26" s="122">
        <f ca="1">IFERROR(__xludf.DUMMYFUNCTION("""COMPUTED_VALUE"""),43605)</f>
        <v>43605</v>
      </c>
      <c r="D26" s="123" t="str">
        <f ca="1">IFERROR(__xludf.DUMMYFUNCTION("""COMPUTED_VALUE"""),"Yes")</f>
        <v>Yes</v>
      </c>
      <c r="E26" s="123" t="str">
        <f ca="1">IFERROR(__xludf.DUMMYFUNCTION("""COMPUTED_VALUE"""),"Yes")</f>
        <v>Yes</v>
      </c>
      <c r="F26" s="123" t="str">
        <f ca="1">IFERROR(__xludf.DUMMYFUNCTION("""COMPUTED_VALUE"""),"Variant Pathogenicity")</f>
        <v>Variant Pathogenicity</v>
      </c>
      <c r="G26" s="120" t="str">
        <f ca="1">IFERROR(__xludf.DUMMYFUNCTION("""COMPUTED_VALUE"""),"RASopathy")</f>
        <v>RASopathy</v>
      </c>
      <c r="H26" s="120" t="str">
        <f ca="1">IFERROR(__xludf.DUMMYFUNCTION("""COMPUTED_VALUE"""),"Kathryn Kronquist")</f>
        <v>Kathryn Kronquist</v>
      </c>
      <c r="I26" s="120" t="str">
        <f ca="1">IFERROR(__xludf.DUMMYFUNCTION("""COMPUTED_VALUE"""),"Kathryn.Kronquist@childrenscolorado.org")</f>
        <v>Kathryn.Kronquist@childrenscolorado.org</v>
      </c>
      <c r="J26" s="123" t="str">
        <f ca="1">IFERROR(__xludf.DUMMYFUNCTION("""COMPUTED_VALUE"""),"Comprehensive")</f>
        <v>Comprehensive</v>
      </c>
      <c r="K26" s="124" t="str">
        <f ca="1">IFERROR(__xludf.DUMMYFUNCTION("""COMPUTED_VALUE"""),"epilepsy, RASopathy")</f>
        <v>epilepsy, RASopathy</v>
      </c>
      <c r="L26" t="str">
        <f ca="1">IFERROR(__xludf.DUMMYFUNCTION("""COMPUTED_VALUE"""),"applying ACMG Guidelines for variant curation in daily work")</f>
        <v>applying ACMG Guidelines for variant curation in daily work</v>
      </c>
    </row>
    <row r="27" spans="1:26" ht="15.75" customHeight="1">
      <c r="A27" s="120" t="str">
        <f ca="1">IFERROR(__xludf.DUMMYFUNCTION("""COMPUTED_VALUE"""),"Contacted")</f>
        <v>Contacted</v>
      </c>
      <c r="B27" s="120" t="str">
        <f ca="1">IFERROR(__xludf.DUMMYFUNCTION("""COMPUTED_VALUE"""),"")</f>
        <v/>
      </c>
      <c r="C27" s="120" t="str">
        <f ca="1">IFERROR(__xludf.DUMMYFUNCTION("""COMPUTED_VALUE"""),"")</f>
        <v/>
      </c>
      <c r="D27" s="123" t="str">
        <f ca="1">IFERROR(__xludf.DUMMYFUNCTION("""COMPUTED_VALUE"""),"No")</f>
        <v>No</v>
      </c>
      <c r="E27" s="123" t="str">
        <f ca="1">IFERROR(__xludf.DUMMYFUNCTION("""COMPUTED_VALUE"""),"No")</f>
        <v>No</v>
      </c>
      <c r="F27" s="123" t="str">
        <f ca="1">IFERROR(__xludf.DUMMYFUNCTION("""COMPUTED_VALUE"""),"Baseline")</f>
        <v>Baseline</v>
      </c>
      <c r="G27" s="120" t="str">
        <f ca="1">IFERROR(__xludf.DUMMYFUNCTION("""COMPUTED_VALUE"""),"")</f>
        <v/>
      </c>
      <c r="H27" s="120" t="str">
        <f ca="1">IFERROR(__xludf.DUMMYFUNCTION("""COMPUTED_VALUE"""),"Kristen L Deak")</f>
        <v>Kristen L Deak</v>
      </c>
      <c r="I27" s="120" t="str">
        <f ca="1">IFERROR(__xludf.DUMMYFUNCTION("""COMPUTED_VALUE"""),"kristen.deak@duke.edu")</f>
        <v>kristen.deak@duke.edu</v>
      </c>
      <c r="J27" s="123" t="str">
        <f ca="1">IFERROR(__xludf.DUMMYFUNCTION("""COMPUTED_VALUE"""),"Comprehensive")</f>
        <v>Comprehensive</v>
      </c>
      <c r="K27" s="124" t="str">
        <f ca="1">IFERROR(__xludf.DUMMYFUNCTION("""COMPUTED_VALUE"""),"")</f>
        <v/>
      </c>
      <c r="L27" t="str">
        <f ca="1">IFERROR(__xludf.DUMMYFUNCTION("""COMPUTED_VALUE"""),"Not other than evaluation and signout of patient reports")</f>
        <v>Not other than evaluation and signout of patient reports</v>
      </c>
    </row>
    <row r="28" spans="1:26" ht="15.75" customHeight="1">
      <c r="A28" s="120" t="str">
        <f ca="1">IFERROR(__xludf.DUMMYFUNCTION("""COMPUTED_VALUE"""),"Assigned")</f>
        <v>Assigned</v>
      </c>
      <c r="B28" s="120" t="str">
        <f ca="1">IFERROR(__xludf.DUMMYFUNCTION("""COMPUTED_VALUE"""),"")</f>
        <v/>
      </c>
      <c r="C28" s="126">
        <f ca="1">IFERROR(__xludf.DUMMYFUNCTION("""COMPUTED_VALUE"""),43626)</f>
        <v>43626</v>
      </c>
      <c r="D28" s="123" t="str">
        <f ca="1">IFERROR(__xludf.DUMMYFUNCTION("""COMPUTED_VALUE"""),"Yes")</f>
        <v>Yes</v>
      </c>
      <c r="E28" s="123" t="str">
        <f ca="1">IFERROR(__xludf.DUMMYFUNCTION("""COMPUTED_VALUE"""),"Yes")</f>
        <v>Yes</v>
      </c>
      <c r="F28" s="123" t="str">
        <f ca="1">IFERROR(__xludf.DUMMYFUNCTION("""COMPUTED_VALUE"""),"Variant Pathogenicity")</f>
        <v>Variant Pathogenicity</v>
      </c>
      <c r="G28" s="120" t="str">
        <f ca="1">IFERROR(__xludf.DUMMYFUNCTION("""COMPUTED_VALUE"""),"Hearing Loss")</f>
        <v>Hearing Loss</v>
      </c>
      <c r="H28" s="120" t="str">
        <f ca="1">IFERROR(__xludf.DUMMYFUNCTION("""COMPUTED_VALUE"""),"Barbara Vona")</f>
        <v>Barbara Vona</v>
      </c>
      <c r="I28" s="120" t="str">
        <f ca="1">IFERROR(__xludf.DUMMYFUNCTION("""COMPUTED_VALUE"""),"barbara.vona@uni-tuebingen.de")</f>
        <v>barbara.vona@uni-tuebingen.de</v>
      </c>
      <c r="J28" s="123" t="str">
        <f ca="1">IFERROR(__xludf.DUMMYFUNCTION("""COMPUTED_VALUE"""),"Comprehensive")</f>
        <v>Comprehensive</v>
      </c>
      <c r="K28" s="124" t="str">
        <f ca="1">IFERROR(__xludf.DUMMYFUNCTION("""COMPUTED_VALUE"""),"Hearing Loss Variant and Gene Curation Expert Panels")</f>
        <v>Hearing Loss Variant and Gene Curation Expert Panels</v>
      </c>
      <c r="L28" s="125" t="str">
        <f ca="1">IFERROR(__xludf.DUMMYFUNCTION("""COMPUTED_VALUE"""),"LOVD3 variant curation for several hearing loss genes (STRC, GRHL2, CEACAM16, S1PR2)")</f>
        <v>LOVD3 variant curation for several hearing loss genes (STRC, GRHL2, CEACAM16, S1PR2)</v>
      </c>
      <c r="M28" s="125"/>
      <c r="N28" s="125"/>
      <c r="O28" s="125"/>
      <c r="P28" s="125"/>
      <c r="Q28" s="125"/>
      <c r="R28" s="125"/>
      <c r="S28" s="125"/>
      <c r="T28" s="125"/>
      <c r="U28" s="125"/>
      <c r="V28" s="125"/>
      <c r="W28" s="125"/>
      <c r="X28" s="125"/>
      <c r="Y28" s="125"/>
      <c r="Z28" s="125"/>
    </row>
    <row r="29" spans="1:26" ht="15.75" customHeight="1">
      <c r="A29" s="120" t="str">
        <f ca="1">IFERROR(__xludf.DUMMYFUNCTION("""COMPUTED_VALUE"""),"Assigned")</f>
        <v>Assigned</v>
      </c>
      <c r="B29" s="120" t="str">
        <f ca="1">IFERROR(__xludf.DUMMYFUNCTION("""COMPUTED_VALUE"""),"")</f>
        <v/>
      </c>
      <c r="C29" s="122">
        <f ca="1">IFERROR(__xludf.DUMMYFUNCTION("""COMPUTED_VALUE"""),43605)</f>
        <v>43605</v>
      </c>
      <c r="D29" s="123" t="str">
        <f ca="1">IFERROR(__xludf.DUMMYFUNCTION("""COMPUTED_VALUE"""),"Yes")</f>
        <v>Yes</v>
      </c>
      <c r="E29" s="123" t="str">
        <f ca="1">IFERROR(__xludf.DUMMYFUNCTION("""COMPUTED_VALUE"""),"Yes")</f>
        <v>Yes</v>
      </c>
      <c r="F29" s="123" t="str">
        <f ca="1">IFERROR(__xludf.DUMMYFUNCTION("""COMPUTED_VALUE"""),"Variant Pathogenicity")</f>
        <v>Variant Pathogenicity</v>
      </c>
      <c r="G29" s="120" t="str">
        <f ca="1">IFERROR(__xludf.DUMMYFUNCTION("""COMPUTED_VALUE"""),"PAH")</f>
        <v>PAH</v>
      </c>
      <c r="H29" s="120" t="str">
        <f ca="1">IFERROR(__xludf.DUMMYFUNCTION("""COMPUTED_VALUE"""),"Viridiana Murillo")</f>
        <v>Viridiana Murillo</v>
      </c>
      <c r="I29" s="120" t="str">
        <f ca="1">IFERROR(__xludf.DUMMYFUNCTION("""COMPUTED_VALUE"""),"vmurillo18@students.kgi.edu")</f>
        <v>vmurillo18@students.kgi.edu</v>
      </c>
      <c r="J29" s="123" t="str">
        <f ca="1">IFERROR(__xludf.DUMMYFUNCTION("""COMPUTED_VALUE"""),"Comprehensive")</f>
        <v>Comprehensive</v>
      </c>
      <c r="K29" s="124" t="str">
        <f ca="1">IFERROR(__xludf.DUMMYFUNCTION("""COMPUTED_VALUE"""),"Metabolism (PAH) workgroup and/or  Epilepsy work group")</f>
        <v>Metabolism (PAH) workgroup and/or  Epilepsy work group</v>
      </c>
      <c r="L29" t="str">
        <f ca="1">IFERROR(__xludf.DUMMYFUNCTION("""COMPUTED_VALUE"""),"We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row>
    <row r="30" spans="1:26" ht="15.75" customHeight="1">
      <c r="A30" s="120" t="str">
        <f ca="1">IFERROR(__xludf.DUMMYFUNCTION("""COMPUTED_VALUE"""),"Unresponsive")</f>
        <v>Unresponsive</v>
      </c>
      <c r="B30" s="120" t="str">
        <f ca="1">IFERROR(__xludf.DUMMYFUNCTION("""COMPUTED_VALUE"""),"")</f>
        <v/>
      </c>
      <c r="C30" s="122">
        <f ca="1">IFERROR(__xludf.DUMMYFUNCTION("""COMPUTED_VALUE"""),43605)</f>
        <v>43605</v>
      </c>
      <c r="D30" s="123" t="str">
        <f ca="1">IFERROR(__xludf.DUMMYFUNCTION("""COMPUTED_VALUE"""),"Yes")</f>
        <v>Yes</v>
      </c>
      <c r="E30" s="123" t="str">
        <f ca="1">IFERROR(__xludf.DUMMYFUNCTION("""COMPUTED_VALUE"""),"No")</f>
        <v>No</v>
      </c>
      <c r="F30" s="123" t="str">
        <f ca="1">IFERROR(__xludf.DUMMYFUNCTION("""COMPUTED_VALUE"""),"Variant Pathogenicity")</f>
        <v>Variant Pathogenicity</v>
      </c>
      <c r="G30" s="120" t="str">
        <f ca="1">IFERROR(__xludf.DUMMYFUNCTION("""COMPUTED_VALUE"""),"")</f>
        <v/>
      </c>
      <c r="H30" s="120" t="str">
        <f ca="1">IFERROR(__xludf.DUMMYFUNCTION("""COMPUTED_VALUE"""),"Sharon Suchy")</f>
        <v>Sharon Suchy</v>
      </c>
      <c r="I30" s="120" t="str">
        <f ca="1">IFERROR(__xludf.DUMMYFUNCTION("""COMPUTED_VALUE"""),"ssuchy@genedx.com")</f>
        <v>ssuchy@genedx.com</v>
      </c>
      <c r="J30" s="123" t="str">
        <f ca="1">IFERROR(__xludf.DUMMYFUNCTION("""COMPUTED_VALUE"""),"Comprehensive")</f>
        <v>Comprehensive</v>
      </c>
      <c r="K30" s="124" t="str">
        <f ca="1">IFERROR(__xludf.DUMMYFUNCTION("""COMPUTED_VALUE"""),"lysosomal storage, inborn errors of metabolism")</f>
        <v>lysosomal storage, inborn errors of metabolism</v>
      </c>
      <c r="L30" t="str">
        <f ca="1">IFERROR(__xludf.DUMMYFUNCTION("""COMPUTED_VALUE"""),"yes, assessing variant pathogenicity /clinical actionability issues")</f>
        <v>yes, assessing variant pathogenicity /clinical actionability issues</v>
      </c>
    </row>
    <row r="31" spans="1:26" ht="15.75" customHeight="1">
      <c r="A31" s="120" t="str">
        <f ca="1">IFERROR(__xludf.DUMMYFUNCTION("""COMPUTED_VALUE"""),"Assigned")</f>
        <v>Assigned</v>
      </c>
      <c r="B31" s="120" t="str">
        <f ca="1">IFERROR(__xludf.DUMMYFUNCTION("""COMPUTED_VALUE"""),"")</f>
        <v/>
      </c>
      <c r="C31" s="122">
        <f ca="1">IFERROR(__xludf.DUMMYFUNCTION("""COMPUTED_VALUE"""),43608)</f>
        <v>43608</v>
      </c>
      <c r="D31" s="123" t="str">
        <f ca="1">IFERROR(__xludf.DUMMYFUNCTION("""COMPUTED_VALUE"""),"Yes")</f>
        <v>Yes</v>
      </c>
      <c r="E31" s="123" t="str">
        <f ca="1">IFERROR(__xludf.DUMMYFUNCTION("""COMPUTED_VALUE"""),"Yes")</f>
        <v>Yes</v>
      </c>
      <c r="F31" s="123" t="str">
        <f ca="1">IFERROR(__xludf.DUMMYFUNCTION("""COMPUTED_VALUE"""),"Variant Pathogenicity")</f>
        <v>Variant Pathogenicity</v>
      </c>
      <c r="G31" s="120" t="str">
        <f ca="1">IFERROR(__xludf.DUMMYFUNCTION("""COMPUTED_VALUE"""),"Cardiomyopathy")</f>
        <v>Cardiomyopathy</v>
      </c>
      <c r="H31" s="120" t="str">
        <f ca="1">IFERROR(__xludf.DUMMYFUNCTION("""COMPUTED_VALUE"""),"Theodore E. Wilson")</f>
        <v>Theodore E. Wilson</v>
      </c>
      <c r="I31" s="120" t="str">
        <f ca="1">IFERROR(__xludf.DUMMYFUNCTION("""COMPUTED_VALUE"""),"theowils@iu.edu")</f>
        <v>theowils@iu.edu</v>
      </c>
      <c r="J31" s="123" t="str">
        <f ca="1">IFERROR(__xludf.DUMMYFUNCTION("""COMPUTED_VALUE"""),"Comprehensive")</f>
        <v>Comprehensive</v>
      </c>
      <c r="K31" s="124" t="str">
        <f ca="1">IFERROR(__xludf.DUMMYFUNCTION("""COMPUTED_VALUE"""),"cardiomyopathy")</f>
        <v>cardiomyopathy</v>
      </c>
      <c r="L31" t="str">
        <f ca="1">IFERROR(__xludf.DUMMYFUNCTION("""COMPUTED_VALUE"""),"During my fellowship I worked closely with ARUP Molecular geneticists to call variant pathogenicity based on the 2015 criteria.")</f>
        <v>During my fellowship I worked closely with ARUP Molecular geneticists to call variant pathogenicity based on the 2015 criteria.</v>
      </c>
    </row>
    <row r="32" spans="1:26" ht="15.75" customHeight="1">
      <c r="A32" s="120" t="str">
        <f ca="1">IFERROR(__xludf.DUMMYFUNCTION("""COMPUTED_VALUE"""),"Assigned")</f>
        <v>Assigned</v>
      </c>
      <c r="B32" s="120" t="str">
        <f ca="1">IFERROR(__xludf.DUMMYFUNCTION("""COMPUTED_VALUE"""),"")</f>
        <v/>
      </c>
      <c r="C32" s="122">
        <f ca="1">IFERROR(__xludf.DUMMYFUNCTION("""COMPUTED_VALUE"""),43605)</f>
        <v>43605</v>
      </c>
      <c r="D32" s="123" t="str">
        <f ca="1">IFERROR(__xludf.DUMMYFUNCTION("""COMPUTED_VALUE"""),"Yes")</f>
        <v>Yes</v>
      </c>
      <c r="E32" s="123" t="str">
        <f ca="1">IFERROR(__xludf.DUMMYFUNCTION("""COMPUTED_VALUE"""),"Yes")</f>
        <v>Yes</v>
      </c>
      <c r="F32" s="123" t="str">
        <f ca="1">IFERROR(__xludf.DUMMYFUNCTION("""COMPUTED_VALUE"""),"Variant Pathogenicity")</f>
        <v>Variant Pathogenicity</v>
      </c>
      <c r="G32" s="120" t="str">
        <f ca="1">IFERROR(__xludf.DUMMYFUNCTION("""COMPUTED_VALUE"""),"Storage Disease")</f>
        <v>Storage Disease</v>
      </c>
      <c r="H32" s="120" t="str">
        <f ca="1">IFERROR(__xludf.DUMMYFUNCTION("""COMPUTED_VALUE"""),"Christina Y Hung")</f>
        <v>Christina Y Hung</v>
      </c>
      <c r="I32" s="120" t="str">
        <f ca="1">IFERROR(__xludf.DUMMYFUNCTION("""COMPUTED_VALUE"""),"christina.hung@childrens.harvard.edu")</f>
        <v>christina.hung@childrens.harvard.edu</v>
      </c>
      <c r="J32" s="123" t="str">
        <f ca="1">IFERROR(__xludf.DUMMYFUNCTION("""COMPUTED_VALUE"""),"Comprehensive")</f>
        <v>Comprehensive</v>
      </c>
      <c r="K32" s="124" t="str">
        <f ca="1">IFERROR(__xludf.DUMMYFUNCTION("""COMPUTED_VALUE"""),"Inborn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L32" t="str">
        <f ca="1">IFERROR(__xludf.DUMMYFUNCTION("""COMPUTED_VALUE"""),"ABMGG training/fellowships")</f>
        <v>ABMGG training/fellowships</v>
      </c>
    </row>
    <row r="33" spans="1:26" ht="15.75" customHeight="1">
      <c r="A33" s="120" t="str">
        <f ca="1">IFERROR(__xludf.DUMMYFUNCTION("""COMPUTED_VALUE"""),"Assigned")</f>
        <v>Assigned</v>
      </c>
      <c r="B33" s="120" t="str">
        <f ca="1">IFERROR(__xludf.DUMMYFUNCTION("""COMPUTED_VALUE"""),"")</f>
        <v/>
      </c>
      <c r="C33" s="122">
        <f ca="1">IFERROR(__xludf.DUMMYFUNCTION("""COMPUTED_VALUE"""),43605)</f>
        <v>43605</v>
      </c>
      <c r="D33" s="123" t="str">
        <f ca="1">IFERROR(__xludf.DUMMYFUNCTION("""COMPUTED_VALUE"""),"Yes")</f>
        <v>Yes</v>
      </c>
      <c r="E33" s="123" t="str">
        <f ca="1">IFERROR(__xludf.DUMMYFUNCTION("""COMPUTED_VALUE"""),"Yes")</f>
        <v>Yes</v>
      </c>
      <c r="F33" s="123" t="str">
        <f ca="1">IFERROR(__xludf.DUMMYFUNCTION("""COMPUTED_VALUE"""),"Variant Pathogenicity")</f>
        <v>Variant Pathogenicity</v>
      </c>
      <c r="G33" s="120" t="str">
        <f ca="1">IFERROR(__xludf.DUMMYFUNCTION("""COMPUTED_VALUE"""),"Brain Malformations")</f>
        <v>Brain Malformations</v>
      </c>
      <c r="H33" s="120" t="str">
        <f ca="1">IFERROR(__xludf.DUMMYFUNCTION("""COMPUTED_VALUE"""),"Junyu Zhang")</f>
        <v>Junyu Zhang</v>
      </c>
      <c r="I33" s="120" t="str">
        <f ca="1">IFERROR(__xludf.DUMMYFUNCTION("""COMPUTED_VALUE"""),"junyuzhang@hotmail.com")</f>
        <v>junyuzhang@hotmail.com</v>
      </c>
      <c r="J33" s="123" t="str">
        <f ca="1">IFERROR(__xludf.DUMMYFUNCTION("""COMPUTED_VALUE"""),"Comprehensive")</f>
        <v>Comprehensive</v>
      </c>
      <c r="K33" s="124" t="str">
        <f ca="1">IFERROR(__xludf.DUMMYFUNCTION("""COMPUTED_VALUE"""),"Yes. Brain Malformations")</f>
        <v>Yes. Brain Malformations</v>
      </c>
      <c r="L33" t="str">
        <f ca="1">IFERROR(__xludf.DUMMYFUNCTION("""COMPUTED_VALUE"""),"Curate more than 1000 variants in Chinese patients ")</f>
        <v xml:space="preserve">Curate more than 1000 variants in Chinese patients </v>
      </c>
    </row>
    <row r="34" spans="1:26" ht="15.75" customHeight="1">
      <c r="A34" s="120" t="str">
        <f ca="1">IFERROR(__xludf.DUMMYFUNCTION("""COMPUTED_VALUE"""),"Assigned")</f>
        <v>Assigned</v>
      </c>
      <c r="B34" s="120" t="str">
        <f ca="1">IFERROR(__xludf.DUMMYFUNCTION("""COMPUTED_VALUE"""),"")</f>
        <v/>
      </c>
      <c r="C34" s="122">
        <f ca="1">IFERROR(__xludf.DUMMYFUNCTION("""COMPUTED_VALUE"""),43605)</f>
        <v>43605</v>
      </c>
      <c r="D34" s="123" t="str">
        <f ca="1">IFERROR(__xludf.DUMMYFUNCTION("""COMPUTED_VALUE"""),"Yes")</f>
        <v>Yes</v>
      </c>
      <c r="E34" s="123" t="str">
        <f ca="1">IFERROR(__xludf.DUMMYFUNCTION("""COMPUTED_VALUE"""),"Yes")</f>
        <v>Yes</v>
      </c>
      <c r="F34" s="123" t="str">
        <f ca="1">IFERROR(__xludf.DUMMYFUNCTION("""COMPUTED_VALUE"""),"Variant Pathogenicity")</f>
        <v>Variant Pathogenicity</v>
      </c>
      <c r="G34" s="120" t="str">
        <f ca="1">IFERROR(__xludf.DUMMYFUNCTION("""COMPUTED_VALUE"""),"TP53")</f>
        <v>TP53</v>
      </c>
      <c r="H34" s="120" t="str">
        <f ca="1">IFERROR(__xludf.DUMMYFUNCTION("""COMPUTED_VALUE"""),"Emily Higgs")</f>
        <v>Emily Higgs</v>
      </c>
      <c r="I34" s="120" t="str">
        <f ca="1">IFERROR(__xludf.DUMMYFUNCTION("""COMPUTED_VALUE"""),"ehiggs@stanford.edu")</f>
        <v>ehiggs@stanford.edu</v>
      </c>
      <c r="J34" s="123" t="str">
        <f ca="1">IFERROR(__xludf.DUMMYFUNCTION("""COMPUTED_VALUE"""),"Comprehensive")</f>
        <v>Comprehensive</v>
      </c>
      <c r="K34" s="124" t="str">
        <f ca="1">IFERROR(__xludf.DUMMYFUNCTION("""COMPUTED_VALUE"""),"Dosage-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L34" t="str">
        <f ca="1">IFERROR(__xludf.DUMMYFUNCTION("""COMPUTED_VALUE"""),"For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row>
    <row r="35" spans="1:26" ht="15.75" customHeight="1">
      <c r="A35" s="120" t="str">
        <f ca="1">IFERROR(__xludf.DUMMYFUNCTION("""COMPUTED_VALUE"""),"Contacted")</f>
        <v>Contacted</v>
      </c>
      <c r="B35" s="126">
        <f ca="1">IFERROR(__xludf.DUMMYFUNCTION("""COMPUTED_VALUE"""),43819)</f>
        <v>43819</v>
      </c>
      <c r="C35" s="120" t="str">
        <f ca="1">IFERROR(__xludf.DUMMYFUNCTION("""COMPUTED_VALUE"""),"")</f>
        <v/>
      </c>
      <c r="D35" s="123" t="str">
        <f ca="1">IFERROR(__xludf.DUMMYFUNCTION("""COMPUTED_VALUE"""),"No")</f>
        <v>No</v>
      </c>
      <c r="E35" s="123" t="str">
        <f ca="1">IFERROR(__xludf.DUMMYFUNCTION("""COMPUTED_VALUE"""),"No")</f>
        <v>No</v>
      </c>
      <c r="F35" s="123" t="str">
        <f ca="1">IFERROR(__xludf.DUMMYFUNCTION("""COMPUTED_VALUE"""),"Variant Pathogenicity")</f>
        <v>Variant Pathogenicity</v>
      </c>
      <c r="G35" s="120" t="str">
        <f ca="1">IFERROR(__xludf.DUMMYFUNCTION("""COMPUTED_VALUE"""),"")</f>
        <v/>
      </c>
      <c r="H35" s="120" t="str">
        <f ca="1">IFERROR(__xludf.DUMMYFUNCTION("""COMPUTED_VALUE"""),"Matt Wright")</f>
        <v>Matt Wright</v>
      </c>
      <c r="I35" s="120" t="str">
        <f ca="1">IFERROR(__xludf.DUMMYFUNCTION("""COMPUTED_VALUE"""),"wrightmw@stanford.edu")</f>
        <v>wrightmw@stanford.edu</v>
      </c>
      <c r="J35" s="123" t="str">
        <f ca="1">IFERROR(__xludf.DUMMYFUNCTION("""COMPUTED_VALUE"""),"Comprehensive")</f>
        <v>Comprehensive</v>
      </c>
      <c r="K35" s="124" t="str">
        <f ca="1">IFERROR(__xludf.DUMMYFUNCTION("""COMPUTED_VALUE"""),"Hearing Loss or Brain Malformations or Cardiomyopathy ")</f>
        <v xml:space="preserve">Hearing Loss or Brain Malformations or Cardiomyopathy </v>
      </c>
      <c r="L35" s="125" t="str">
        <f ca="1">IFERROR(__xludf.DUMMYFUNCTION("""COMPUTED_VALUE"""),"Most of my experience is gene-level curation but I’m especially interested in the variant curator’s experience")</f>
        <v>Most of my experience is gene-level curation but I’m especially interested in the variant curator’s experience</v>
      </c>
      <c r="M35" s="125"/>
      <c r="N35" s="125"/>
      <c r="O35" s="125"/>
      <c r="P35" s="125"/>
      <c r="Q35" s="125"/>
      <c r="R35" s="125"/>
      <c r="S35" s="125"/>
      <c r="T35" s="125"/>
      <c r="U35" s="125"/>
      <c r="V35" s="125"/>
      <c r="W35" s="125"/>
      <c r="X35" s="125"/>
      <c r="Y35" s="125"/>
      <c r="Z35" s="125"/>
    </row>
    <row r="36" spans="1:26" ht="15.75" customHeight="1">
      <c r="A36" s="120" t="str">
        <f ca="1">IFERROR(__xludf.DUMMYFUNCTION("""COMPUTED_VALUE"""),"Unresponsive")</f>
        <v>Unresponsive</v>
      </c>
      <c r="B36" s="120" t="str">
        <f ca="1">IFERROR(__xludf.DUMMYFUNCTION("""COMPUTED_VALUE"""),"")</f>
        <v/>
      </c>
      <c r="C36" s="120" t="str">
        <f ca="1">IFERROR(__xludf.DUMMYFUNCTION("""COMPUTED_VALUE"""),"")</f>
        <v/>
      </c>
      <c r="D36" s="123" t="str">
        <f ca="1">IFERROR(__xludf.DUMMYFUNCTION("""COMPUTED_VALUE"""),"No")</f>
        <v>No</v>
      </c>
      <c r="E36" s="123" t="str">
        <f ca="1">IFERROR(__xludf.DUMMYFUNCTION("""COMPUTED_VALUE"""),"No")</f>
        <v>No</v>
      </c>
      <c r="F36" s="123" t="str">
        <f ca="1">IFERROR(__xludf.DUMMYFUNCTION("""COMPUTED_VALUE"""),"Variant Pathogenicity")</f>
        <v>Variant Pathogenicity</v>
      </c>
      <c r="G36" s="120" t="str">
        <f ca="1">IFERROR(__xludf.DUMMYFUNCTION("""COMPUTED_VALUE"""),"")</f>
        <v/>
      </c>
      <c r="H36" s="120" t="str">
        <f ca="1">IFERROR(__xludf.DUMMYFUNCTION("""COMPUTED_VALUE"""),"Daniel Reich")</f>
        <v>Daniel Reich</v>
      </c>
      <c r="I36" s="120" t="str">
        <f ca="1">IFERROR(__xludf.DUMMYFUNCTION("""COMPUTED_VALUE"""),"daniel.reich@aruplab.com")</f>
        <v>daniel.reich@aruplab.com</v>
      </c>
      <c r="J36" s="123" t="str">
        <f ca="1">IFERROR(__xludf.DUMMYFUNCTION("""COMPUTED_VALUE"""),"Comprehensive")</f>
        <v>Comprehensive</v>
      </c>
      <c r="K36" s="124" t="str">
        <f ca="1">IFERROR(__xludf.DUMMYFUNCTION("""COMPUTED_VALUE"""),"Cerebral Creatine Deficiency Syndromes")</f>
        <v>Cerebral Creatine Deficiency Syndromes</v>
      </c>
      <c r="L36" t="str">
        <f ca="1">IFERROR(__xludf.DUMMYFUNCTION("""COMPUTED_VALUE"""),"As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row>
    <row r="37" spans="1:26" ht="15.75" customHeight="1">
      <c r="A37" s="120" t="str">
        <f ca="1">IFERROR(__xludf.DUMMYFUNCTION("""COMPUTED_VALUE"""),"Contacted")</f>
        <v>Contacted</v>
      </c>
      <c r="B37" s="126">
        <f ca="1">IFERROR(__xludf.DUMMYFUNCTION("""COMPUTED_VALUE"""),43819)</f>
        <v>43819</v>
      </c>
      <c r="C37" s="120" t="str">
        <f ca="1">IFERROR(__xludf.DUMMYFUNCTION("""COMPUTED_VALUE"""),"")</f>
        <v/>
      </c>
      <c r="D37" s="123" t="str">
        <f ca="1">IFERROR(__xludf.DUMMYFUNCTION("""COMPUTED_VALUE"""),"No")</f>
        <v>No</v>
      </c>
      <c r="E37" s="123" t="str">
        <f ca="1">IFERROR(__xludf.DUMMYFUNCTION("""COMPUTED_VALUE"""),"No")</f>
        <v>No</v>
      </c>
      <c r="F37" s="123" t="str">
        <f ca="1">IFERROR(__xludf.DUMMYFUNCTION("""COMPUTED_VALUE"""),"Gene Disease Validity")</f>
        <v>Gene Disease Validity</v>
      </c>
      <c r="G37" s="120" t="str">
        <f ca="1">IFERROR(__xludf.DUMMYFUNCTION("""COMPUTED_VALUE"""),"")</f>
        <v/>
      </c>
      <c r="H37" s="120" t="str">
        <f ca="1">IFERROR(__xludf.DUMMYFUNCTION("""COMPUTED_VALUE"""),"Julie Hathaway")</f>
        <v>Julie Hathaway</v>
      </c>
      <c r="I37" s="120" t="str">
        <f ca="1">IFERROR(__xludf.DUMMYFUNCTION("""COMPUTED_VALUE"""),"julie.hathaway@blueprintgenetics.com")</f>
        <v>julie.hathaway@blueprintgenetics.com</v>
      </c>
      <c r="J37" s="123" t="str">
        <f ca="1">IFERROR(__xludf.DUMMYFUNCTION("""COMPUTED_VALUE"""),"Comprehensive")</f>
        <v>Comprehensive</v>
      </c>
      <c r="K37" s="124" t="str">
        <f ca="1">IFERROR(__xludf.DUMMYFUNCTION("""COMPUTED_VALUE"""),"Cardiomyopathy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L37" t="str">
        <f ca="1">IFERROR(__xludf.DUMMYFUNCTION("""COMPUTED_VALUE"""),"I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row>
    <row r="38" spans="1:26" ht="15.75" customHeight="1">
      <c r="A38" s="120" t="str">
        <f ca="1">IFERROR(__xludf.DUMMYFUNCTION("""COMPUTED_VALUE"""),"Assigned")</f>
        <v>Assigned</v>
      </c>
      <c r="B38" s="120" t="str">
        <f ca="1">IFERROR(__xludf.DUMMYFUNCTION("""COMPUTED_VALUE"""),"")</f>
        <v/>
      </c>
      <c r="C38" s="126">
        <f ca="1">IFERROR(__xludf.DUMMYFUNCTION("""COMPUTED_VALUE"""),43627)</f>
        <v>43627</v>
      </c>
      <c r="D38" s="123" t="str">
        <f ca="1">IFERROR(__xludf.DUMMYFUNCTION("""COMPUTED_VALUE"""),"Yes")</f>
        <v>Yes</v>
      </c>
      <c r="E38" s="123" t="str">
        <f ca="1">IFERROR(__xludf.DUMMYFUNCTION("""COMPUTED_VALUE"""),"Yes")</f>
        <v>Yes</v>
      </c>
      <c r="F38" s="123" t="str">
        <f ca="1">IFERROR(__xludf.DUMMYFUNCTION("""COMPUTED_VALUE"""),"Variant Pathogenicity")</f>
        <v>Variant Pathogenicity</v>
      </c>
      <c r="G38" s="120" t="str">
        <f ca="1">IFERROR(__xludf.DUMMYFUNCTION("""COMPUTED_VALUE"""),"Monogenic Diabetes")</f>
        <v>Monogenic Diabetes</v>
      </c>
      <c r="H38" s="120" t="str">
        <f ca="1">IFERROR(__xludf.DUMMYFUNCTION("""COMPUTED_VALUE"""),"Suvina To")</f>
        <v>Suvina To</v>
      </c>
      <c r="I38" s="120" t="str">
        <f ca="1">IFERROR(__xludf.DUMMYFUNCTION("""COMPUTED_VALUE"""),"suvina@gmail.com")</f>
        <v>suvina@gmail.com</v>
      </c>
      <c r="J38" s="123" t="str">
        <f ca="1">IFERROR(__xludf.DUMMYFUNCTION("""COMPUTED_VALUE"""),"Comprehensive")</f>
        <v>Comprehensive</v>
      </c>
      <c r="K38" s="124" t="str">
        <f ca="1">IFERROR(__xludf.DUMMYFUNCTION("""COMPUTED_VALUE"""),"monogenic diabetes")</f>
        <v>monogenic diabetes</v>
      </c>
      <c r="L38" t="str">
        <f ca="1">IFERROR(__xludf.DUMMYFUNCTION("""COMPUTED_VALUE"""),"I am a variant curation specialist in my company")</f>
        <v>I am a variant curation specialist in my company</v>
      </c>
    </row>
    <row r="39" spans="1:26" ht="15.75" customHeight="1">
      <c r="A39" s="120" t="str">
        <f ca="1">IFERROR(__xludf.DUMMYFUNCTION("""COMPUTED_VALUE"""),"Assigned")</f>
        <v>Assigned</v>
      </c>
      <c r="B39" s="120" t="str">
        <f ca="1">IFERROR(__xludf.DUMMYFUNCTION("""COMPUTED_VALUE"""),"")</f>
        <v/>
      </c>
      <c r="C39" s="122">
        <f ca="1">IFERROR(__xludf.DUMMYFUNCTION("""COMPUTED_VALUE"""),43608)</f>
        <v>43608</v>
      </c>
      <c r="D39" s="123" t="str">
        <f ca="1">IFERROR(__xludf.DUMMYFUNCTION("""COMPUTED_VALUE"""),"Yes")</f>
        <v>Yes</v>
      </c>
      <c r="E39" s="123" t="str">
        <f ca="1">IFERROR(__xludf.DUMMYFUNCTION("""COMPUTED_VALUE"""),"Yes")</f>
        <v>Yes</v>
      </c>
      <c r="F39" s="123" t="str">
        <f ca="1">IFERROR(__xludf.DUMMYFUNCTION("""COMPUTED_VALUE"""),"Variant Pathogenicity")</f>
        <v>Variant Pathogenicity</v>
      </c>
      <c r="G39" s="120" t="str">
        <f ca="1">IFERROR(__xludf.DUMMYFUNCTION("""COMPUTED_VALUE"""),"ACADVL")</f>
        <v>ACADVL</v>
      </c>
      <c r="H39" s="120" t="str">
        <f ca="1">IFERROR(__xludf.DUMMYFUNCTION("""COMPUTED_VALUE"""),"Lemuel Racacho")</f>
        <v>Lemuel Racacho</v>
      </c>
      <c r="I39" s="120" t="str">
        <f ca="1">IFERROR(__xludf.DUMMYFUNCTION("""COMPUTED_VALUE"""),"lracacho@cheo.on.ca")</f>
        <v>lracacho@cheo.on.ca</v>
      </c>
      <c r="J39" s="123" t="str">
        <f ca="1">IFERROR(__xludf.DUMMYFUNCTION("""COMPUTED_VALUE"""),"Comprehensive")</f>
        <v>Comprehensive</v>
      </c>
      <c r="K39" s="124" t="str">
        <f ca="1">IFERROR(__xludf.DUMMYFUNCTION("""COMPUTED_VALUE"""),"Inborn errors of metabolism; Low penetrance/risk allele")</f>
        <v>Inborn errors of metabolism; Low penetrance/risk allele</v>
      </c>
      <c r="L39" t="str">
        <f ca="1">IFERROR(__xludf.DUMMYFUNCTION("""COMPUTED_VALUE"""),"Yes, I currently interpret variants for mitochondrial based disorders")</f>
        <v>Yes, I currently interpret variants for mitochondrial based disorders</v>
      </c>
    </row>
    <row r="40" spans="1:26" ht="15.75" customHeight="1">
      <c r="A40" s="120" t="str">
        <f ca="1">IFERROR(__xludf.DUMMYFUNCTION("""COMPUTED_VALUE"""),"Unresponsive")</f>
        <v>Unresponsive</v>
      </c>
      <c r="B40" s="120" t="str">
        <f ca="1">IFERROR(__xludf.DUMMYFUNCTION("""COMPUTED_VALUE"""),"")</f>
        <v/>
      </c>
      <c r="C40" s="120" t="str">
        <f ca="1">IFERROR(__xludf.DUMMYFUNCTION("""COMPUTED_VALUE"""),"")</f>
        <v/>
      </c>
      <c r="D40" s="123" t="str">
        <f ca="1">IFERROR(__xludf.DUMMYFUNCTION("""COMPUTED_VALUE"""),"No")</f>
        <v>No</v>
      </c>
      <c r="E40" s="123" t="str">
        <f ca="1">IFERROR(__xludf.DUMMYFUNCTION("""COMPUTED_VALUE"""),"No")</f>
        <v>No</v>
      </c>
      <c r="F40" s="123" t="str">
        <f ca="1">IFERROR(__xludf.DUMMYFUNCTION("""COMPUTED_VALUE"""),"Variant Pathogenicity")</f>
        <v>Variant Pathogenicity</v>
      </c>
      <c r="G40" s="120" t="str">
        <f ca="1">IFERROR(__xludf.DUMMYFUNCTION("""COMPUTED_VALUE"""),"")</f>
        <v/>
      </c>
      <c r="H40" s="120" t="str">
        <f ca="1">IFERROR(__xludf.DUMMYFUNCTION("""COMPUTED_VALUE"""),"Sara Fitzgerald-Butt")</f>
        <v>Sara Fitzgerald-Butt</v>
      </c>
      <c r="I40" s="120" t="str">
        <f ca="1">IFERROR(__xludf.DUMMYFUNCTION("""COMPUTED_VALUE"""),"sfitzge@iu.edu")</f>
        <v>sfitzge@iu.edu</v>
      </c>
      <c r="J40" s="123" t="str">
        <f ca="1">IFERROR(__xludf.DUMMYFUNCTION("""COMPUTED_VALUE"""),"Comprehensive")</f>
        <v>Comprehensive</v>
      </c>
      <c r="K40" s="124" t="str">
        <f ca="1">IFERROR(__xludf.DUMMYFUNCTION("""COMPUTED_VALUE"""),"Cardiovascular, cardiomyopathy, Long QT syndrome, FBN1")</f>
        <v>Cardiovascular, cardiomyopathy, Long QT syndrome, FBN1</v>
      </c>
      <c r="L40" t="str">
        <f ca="1">IFERROR(__xludf.DUMMYFUNCTION("""COMPUTED_VALUE"""),"I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row>
    <row r="41" spans="1:26" ht="15.75" customHeight="1">
      <c r="A41" s="120" t="str">
        <f ca="1">IFERROR(__xludf.DUMMYFUNCTION("""COMPUTED_VALUE"""),"Assigned")</f>
        <v>Assigned</v>
      </c>
      <c r="B41" s="120" t="str">
        <f ca="1">IFERROR(__xludf.DUMMYFUNCTION("""COMPUTED_VALUE"""),"")</f>
        <v/>
      </c>
      <c r="C41" s="122">
        <f ca="1">IFERROR(__xludf.DUMMYFUNCTION("""COMPUTED_VALUE"""),43608)</f>
        <v>43608</v>
      </c>
      <c r="D41" s="123" t="str">
        <f ca="1">IFERROR(__xludf.DUMMYFUNCTION("""COMPUTED_VALUE"""),"Yes")</f>
        <v>Yes</v>
      </c>
      <c r="E41" s="123" t="str">
        <f ca="1">IFERROR(__xludf.DUMMYFUNCTION("""COMPUTED_VALUE"""),"Yes")</f>
        <v>Yes</v>
      </c>
      <c r="F41" s="123" t="str">
        <f ca="1">IFERROR(__xludf.DUMMYFUNCTION("""COMPUTED_VALUE"""),"Variant Pathogenicity")</f>
        <v>Variant Pathogenicity</v>
      </c>
      <c r="G41" s="120" t="str">
        <f ca="1">IFERROR(__xludf.DUMMYFUNCTION("""COMPUTED_VALUE"""),"Platelet Disorders")</f>
        <v>Platelet Disorders</v>
      </c>
      <c r="H41" s="120" t="str">
        <f ca="1">IFERROR(__xludf.DUMMYFUNCTION("""COMPUTED_VALUE"""),"Samya Chakravorty")</f>
        <v>Samya Chakravorty</v>
      </c>
      <c r="I41" s="120" t="str">
        <f ca="1">IFERROR(__xludf.DUMMYFUNCTION("""COMPUTED_VALUE"""),"samya.chakravorty@emory.edu")</f>
        <v>samya.chakravorty@emory.edu</v>
      </c>
      <c r="J41" s="123" t="str">
        <f ca="1">IFERROR(__xludf.DUMMYFUNCTION("""COMPUTED_VALUE"""),"Comprehensive")</f>
        <v>Comprehensive</v>
      </c>
      <c r="K41" s="124" t="str">
        <f ca="1">IFERROR(__xludf.DUMMYFUNCTION("""COMPUTED_VALUE"""),"Lysosomal Storage Disorders, Epilepsy")</f>
        <v>Lysosomal Storage Disorders, Epilepsy</v>
      </c>
      <c r="L41" t="str">
        <f ca="1">IFERROR(__xludf.DUMMYFUNCTION("""COMPUTED_VALUE"""),"I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row>
    <row r="42" spans="1:26" ht="15.75" customHeight="1">
      <c r="A42" s="120" t="str">
        <f ca="1">IFERROR(__xludf.DUMMYFUNCTION("""COMPUTED_VALUE"""),"Contacted")</f>
        <v>Contacted</v>
      </c>
      <c r="B42" s="126">
        <f ca="1">IFERROR(__xludf.DUMMYFUNCTION("""COMPUTED_VALUE"""),43819)</f>
        <v>43819</v>
      </c>
      <c r="C42" s="120" t="str">
        <f ca="1">IFERROR(__xludf.DUMMYFUNCTION("""COMPUTED_VALUE"""),"")</f>
        <v/>
      </c>
      <c r="D42" s="123" t="str">
        <f ca="1">IFERROR(__xludf.DUMMYFUNCTION("""COMPUTED_VALUE"""),"")</f>
        <v/>
      </c>
      <c r="E42" s="123" t="str">
        <f ca="1">IFERROR(__xludf.DUMMYFUNCTION("""COMPUTED_VALUE"""),"No")</f>
        <v>No</v>
      </c>
      <c r="F42" s="123" t="str">
        <f ca="1">IFERROR(__xludf.DUMMYFUNCTION("""COMPUTED_VALUE"""),"Variant Pathogenicity")</f>
        <v>Variant Pathogenicity</v>
      </c>
      <c r="G42" s="120" t="str">
        <f ca="1">IFERROR(__xludf.DUMMYFUNCTION("""COMPUTED_VALUE"""),"")</f>
        <v/>
      </c>
      <c r="H42" s="120" t="str">
        <f ca="1">IFERROR(__xludf.DUMMYFUNCTION("""COMPUTED_VALUE"""),"Chloe Whitten")</f>
        <v>Chloe Whitten</v>
      </c>
      <c r="I42" s="120" t="str">
        <f ca="1">IFERROR(__xludf.DUMMYFUNCTION("""COMPUTED_VALUE"""),"cwhitten@ambrygen.com")</f>
        <v>cwhitten@ambrygen.com</v>
      </c>
      <c r="J42" s="123" t="str">
        <f ca="1">IFERROR(__xludf.DUMMYFUNCTION("""COMPUTED_VALUE"""),"Comprehensive")</f>
        <v>Comprehensive</v>
      </c>
      <c r="K42" s="124" t="str">
        <f ca="1">IFERROR(__xludf.DUMMYFUNCTION("""COMPUTED_VALUE"""),"FBN1, PKU or LSD")</f>
        <v>FBN1, PKU or LSD</v>
      </c>
      <c r="L42" t="str">
        <f ca="1">IFERROR(__xludf.DUMMYFUNCTION("""COMPUTED_VALUE"""),"I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row>
    <row r="43" spans="1:26" ht="15.75" customHeight="1">
      <c r="A43" s="120" t="str">
        <f ca="1">IFERROR(__xludf.DUMMYFUNCTION("""COMPUTED_VALUE"""),"Assigned")</f>
        <v>Assigned</v>
      </c>
      <c r="B43" s="120" t="str">
        <f ca="1">IFERROR(__xludf.DUMMYFUNCTION("""COMPUTED_VALUE"""),"")</f>
        <v/>
      </c>
      <c r="C43" s="126">
        <f ca="1">IFERROR(__xludf.DUMMYFUNCTION("""COMPUTED_VALUE"""),43605)</f>
        <v>43605</v>
      </c>
      <c r="D43" s="123" t="str">
        <f ca="1">IFERROR(__xludf.DUMMYFUNCTION("""COMPUTED_VALUE"""),"Yes")</f>
        <v>Yes</v>
      </c>
      <c r="E43" s="123" t="str">
        <f ca="1">IFERROR(__xludf.DUMMYFUNCTION("""COMPUTED_VALUE"""),"Yes")</f>
        <v>Yes</v>
      </c>
      <c r="F43" s="123" t="str">
        <f ca="1">IFERROR(__xludf.DUMMYFUNCTION("""COMPUTED_VALUE"""),"Variant Pathogenicity")</f>
        <v>Variant Pathogenicity</v>
      </c>
      <c r="G43" s="120" t="str">
        <f ca="1">IFERROR(__xludf.DUMMYFUNCTION("""COMPUTED_VALUE"""),"RYR1")</f>
        <v>RYR1</v>
      </c>
      <c r="H43" s="120" t="str">
        <f ca="1">IFERROR(__xludf.DUMMYFUNCTION("""COMPUTED_VALUE"""),"Catherine Driscoll")</f>
        <v>Catherine Driscoll</v>
      </c>
      <c r="I43" s="120" t="str">
        <f ca="1">IFERROR(__xludf.DUMMYFUNCTION("""COMPUTED_VALUE"""),"kate.driscoll@nih.gov")</f>
        <v>kate.driscoll@nih.gov</v>
      </c>
      <c r="J43" s="123" t="str">
        <f ca="1">IFERROR(__xludf.DUMMYFUNCTION("""COMPUTED_VALUE"""),"Comprehensive")</f>
        <v>Comprehensive</v>
      </c>
      <c r="K43" s="124" t="str">
        <f ca="1">IFERROR(__xludf.DUMMYFUNCTION("""COMPUTED_VALUE"""),"Yes, RYR1 MHS")</f>
        <v>Yes, RYR1 MHS</v>
      </c>
      <c r="L43" t="str">
        <f ca="1">IFERROR(__xludf.DUMMYFUNCTION("""COMPUTED_VALUE"""),"Yes, my main task at work is annotation of variants in Dr. Biesecker's lab")</f>
        <v>Yes, my main task at work is annotation of variants in Dr. Biesecker's lab</v>
      </c>
    </row>
    <row r="44" spans="1:26" ht="15.75" customHeight="1">
      <c r="A44" s="120" t="str">
        <f ca="1">IFERROR(__xludf.DUMMYFUNCTION("""COMPUTED_VALUE"""),"Assigned")</f>
        <v>Assigned</v>
      </c>
      <c r="B44" s="120" t="str">
        <f ca="1">IFERROR(__xludf.DUMMYFUNCTION("""COMPUTED_VALUE"""),"")</f>
        <v/>
      </c>
      <c r="C44" s="126">
        <f ca="1">IFERROR(__xludf.DUMMYFUNCTION("""COMPUTED_VALUE"""),43608)</f>
        <v>43608</v>
      </c>
      <c r="D44" s="123" t="str">
        <f ca="1">IFERROR(__xludf.DUMMYFUNCTION("""COMPUTED_VALUE"""),"Yes")</f>
        <v>Yes</v>
      </c>
      <c r="E44" s="123" t="str">
        <f ca="1">IFERROR(__xludf.DUMMYFUNCTION("""COMPUTED_VALUE"""),"Yes")</f>
        <v>Yes</v>
      </c>
      <c r="F44" s="123" t="str">
        <f ca="1">IFERROR(__xludf.DUMMYFUNCTION("""COMPUTED_VALUE"""),"Variant Pathogenicity")</f>
        <v>Variant Pathogenicity</v>
      </c>
      <c r="G44" s="120" t="str">
        <f ca="1">IFERROR(__xludf.DUMMYFUNCTION("""COMPUTED_VALUE"""),"Brain Malformations")</f>
        <v>Brain Malformations</v>
      </c>
      <c r="H44" s="120" t="str">
        <f ca="1">IFERROR(__xludf.DUMMYFUNCTION("""COMPUTED_VALUE"""),"Ashley Marsh")</f>
        <v>Ashley Marsh</v>
      </c>
      <c r="I44" s="120" t="str">
        <f ca="1">IFERROR(__xludf.DUMMYFUNCTION("""COMPUTED_VALUE"""),"amarsh@ucsd.edu")</f>
        <v>amarsh@ucsd.edu</v>
      </c>
      <c r="J44" s="123" t="str">
        <f ca="1">IFERROR(__xludf.DUMMYFUNCTION("""COMPUTED_VALUE"""),"Comprehensive")</f>
        <v>Comprehensive</v>
      </c>
      <c r="K44" s="124" t="str">
        <f ca="1">IFERROR(__xludf.DUMMYFUNCTION("""COMPUTED_VALUE"""),"•	Brain Malformations Variant Curation Expert Panel
•	Brain Malformations Gene Curation Expert Panel")</f>
        <v>•	Brain Malformations Variant Curation Expert Panel
•	Brain Malformations Gene Curation Expert Panel</v>
      </c>
      <c r="L44" s="125" t="str">
        <f ca="1">IFERROR(__xludf.DUMMYFUNCTION("""COMPUTED_VALUE"""),"Variant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M44" s="125"/>
      <c r="N44" s="125"/>
      <c r="O44" s="125"/>
      <c r="P44" s="125"/>
      <c r="Q44" s="125"/>
      <c r="R44" s="125"/>
      <c r="S44" s="125"/>
      <c r="T44" s="125"/>
      <c r="U44" s="125"/>
      <c r="V44" s="125"/>
      <c r="W44" s="125"/>
      <c r="X44" s="125"/>
      <c r="Y44" s="125"/>
      <c r="Z44" s="125"/>
    </row>
    <row r="45" spans="1:26" ht="15.75" customHeight="1">
      <c r="A45" s="120" t="str">
        <f ca="1">IFERROR(__xludf.DUMMYFUNCTION("""COMPUTED_VALUE"""),"Contacted")</f>
        <v>Contacted</v>
      </c>
      <c r="B45" s="120" t="str">
        <f ca="1">IFERROR(__xludf.DUMMYFUNCTION("""COMPUTED_VALUE"""),"")</f>
        <v/>
      </c>
      <c r="C45" s="122">
        <f ca="1">IFERROR(__xludf.DUMMYFUNCTION("""COMPUTED_VALUE"""),43585)</f>
        <v>43585</v>
      </c>
      <c r="D45" s="123" t="str">
        <f ca="1">IFERROR(__xludf.DUMMYFUNCTION("""COMPUTED_VALUE"""),"Yes")</f>
        <v>Yes</v>
      </c>
      <c r="E45" s="123" t="str">
        <f ca="1">IFERROR(__xludf.DUMMYFUNCTION("""COMPUTED_VALUE"""),"Yes")</f>
        <v>Yes</v>
      </c>
      <c r="F45" s="123" t="str">
        <f ca="1">IFERROR(__xludf.DUMMYFUNCTION("""COMPUTED_VALUE"""),"Gene Disease Validity")</f>
        <v>Gene Disease Validity</v>
      </c>
      <c r="G45" s="120" t="str">
        <f ca="1">IFERROR(__xludf.DUMMYFUNCTION("""COMPUTED_VALUE"""),"Monogenic Diabetes")</f>
        <v>Monogenic Diabetes</v>
      </c>
      <c r="H45" s="120" t="str">
        <f ca="1">IFERROR(__xludf.DUMMYFUNCTION("""COMPUTED_VALUE"""),"Kevin Colclough")</f>
        <v>Kevin Colclough</v>
      </c>
      <c r="I45" s="120" t="str">
        <f ca="1">IFERROR(__xludf.DUMMYFUNCTION("""COMPUTED_VALUE"""),"kevin.colclough@nhs.net")</f>
        <v>kevin.colclough@nhs.net</v>
      </c>
      <c r="J45" s="123" t="str">
        <f ca="1">IFERROR(__xludf.DUMMYFUNCTION("""COMPUTED_VALUE"""),"Comprehensive")</f>
        <v>Comprehensive</v>
      </c>
      <c r="K45" s="124" t="str">
        <f ca="1">IFERROR(__xludf.DUMMYFUNCTION("""COMPUTED_VALUE"""),"I am a member of the variant curation and gene curation expert panels for monogenic diabetes.")</f>
        <v>I am a member of the variant curation and gene curation expert panels for monogenic diabetes.</v>
      </c>
      <c r="L45" t="str">
        <f ca="1">IFERROR(__xludf.DUMMYFUNCTION("""COMPUTED_VALUE"""),"I routinely perform variant pathogenicity classification and gene-disease validity as part of my routine diagnostic laboratory work.")</f>
        <v>I routinely perform variant pathogenicity classification and gene-disease validity as part of my routine diagnostic laboratory work.</v>
      </c>
    </row>
    <row r="46" spans="1:26" ht="15.75" customHeight="1">
      <c r="A46" s="120" t="str">
        <f ca="1">IFERROR(__xludf.DUMMYFUNCTION("""COMPUTED_VALUE"""),"Contacted")</f>
        <v>Contacted</v>
      </c>
      <c r="B46" s="126">
        <f ca="1">IFERROR(__xludf.DUMMYFUNCTION("""COMPUTED_VALUE"""),43819)</f>
        <v>43819</v>
      </c>
      <c r="C46" s="120" t="str">
        <f ca="1">IFERROR(__xludf.DUMMYFUNCTION("""COMPUTED_VALUE"""),"")</f>
        <v/>
      </c>
      <c r="D46" s="123" t="str">
        <f ca="1">IFERROR(__xludf.DUMMYFUNCTION("""COMPUTED_VALUE"""),"")</f>
        <v/>
      </c>
      <c r="E46" s="123" t="str">
        <f ca="1">IFERROR(__xludf.DUMMYFUNCTION("""COMPUTED_VALUE"""),"No")</f>
        <v>No</v>
      </c>
      <c r="F46" s="123" t="str">
        <f ca="1">IFERROR(__xludf.DUMMYFUNCTION("""COMPUTED_VALUE"""),"Variant Pathogenicity")</f>
        <v>Variant Pathogenicity</v>
      </c>
      <c r="G46" s="120" t="str">
        <f ca="1">IFERROR(__xludf.DUMMYFUNCTION("""COMPUTED_VALUE"""),"")</f>
        <v/>
      </c>
      <c r="H46" s="120" t="str">
        <f ca="1">IFERROR(__xludf.DUMMYFUNCTION("""COMPUTED_VALUE"""),"Lisa Chen")</f>
        <v>Lisa Chen</v>
      </c>
      <c r="I46" s="120" t="str">
        <f ca="1">IFERROR(__xludf.DUMMYFUNCTION("""COMPUTED_VALUE"""),"lisa498484901@gmail.com")</f>
        <v>lisa498484901@gmail.com</v>
      </c>
      <c r="J46" s="123" t="str">
        <f ca="1">IFERROR(__xludf.DUMMYFUNCTION("""COMPUTED_VALUE"""),"Comprehensive")</f>
        <v>Comprehensive</v>
      </c>
      <c r="K46" s="124" t="str">
        <f ca="1">IFERROR(__xludf.DUMMYFUNCTION("""COMPUTED_VALUE"""),"Congenital Myopathies")</f>
        <v>Congenital Myopathies</v>
      </c>
      <c r="L46" t="str">
        <f ca="1">IFERROR(__xludf.DUMMYFUNCTION("""COMPUTED_VALUE"""),"I have been doing variant classification for 4 years.")</f>
        <v>I have been doing variant classification for 4 years.</v>
      </c>
    </row>
    <row r="47" spans="1:26" ht="15.75" customHeight="1">
      <c r="A47" s="120" t="str">
        <f ca="1">IFERROR(__xludf.DUMMYFUNCTION("""COMPUTED_VALUE"""),"Assigned")</f>
        <v>Assigned</v>
      </c>
      <c r="B47" s="120" t="str">
        <f ca="1">IFERROR(__xludf.DUMMYFUNCTION("""COMPUTED_VALUE"""),"")</f>
        <v/>
      </c>
      <c r="C47" s="126">
        <f ca="1">IFERROR(__xludf.DUMMYFUNCTION("""COMPUTED_VALUE"""),43605)</f>
        <v>43605</v>
      </c>
      <c r="D47" s="123" t="str">
        <f ca="1">IFERROR(__xludf.DUMMYFUNCTION("""COMPUTED_VALUE"""),"Yes")</f>
        <v>Yes</v>
      </c>
      <c r="E47" s="123" t="str">
        <f ca="1">IFERROR(__xludf.DUMMYFUNCTION("""COMPUTED_VALUE"""),"Yes")</f>
        <v>Yes</v>
      </c>
      <c r="F47" s="123" t="str">
        <f ca="1">IFERROR(__xludf.DUMMYFUNCTION("""COMPUTED_VALUE"""),"Variant Pathogenicity")</f>
        <v>Variant Pathogenicity</v>
      </c>
      <c r="G47" s="120" t="str">
        <f ca="1">IFERROR(__xludf.DUMMYFUNCTION("""COMPUTED_VALUE"""),"TP53")</f>
        <v>TP53</v>
      </c>
      <c r="H47" s="120" t="str">
        <f ca="1">IFERROR(__xludf.DUMMYFUNCTION("""COMPUTED_VALUE"""),"Olivia Rennie")</f>
        <v>Olivia Rennie</v>
      </c>
      <c r="I47" s="120" t="str">
        <f ca="1">IFERROR(__xludf.DUMMYFUNCTION("""COMPUTED_VALUE"""),"olivia.rennie@sickkids.ca")</f>
        <v>olivia.rennie@sickkids.ca</v>
      </c>
      <c r="J47" s="123" t="str">
        <f ca="1">IFERROR(__xludf.DUMMYFUNCTION("""COMPUTED_VALUE"""),"Comprehensive")</f>
        <v>Comprehensive</v>
      </c>
      <c r="K47" s="124" t="str">
        <f ca="1">IFERROR(__xludf.DUMMYFUNCTION("""COMPUTED_VALUE"""),"I am open to any variant curation EPs that are currently looking for volunteers. ")</f>
        <v xml:space="preserve">I am open to any variant curation EPs that are currently looking for volunteers. </v>
      </c>
      <c r="L47" s="125" t="str">
        <f ca="1">IFERROR(__xludf.DUMMYFUNCTION("""COMPUTED_VALUE"""),"As noted above, I am currently a gene-disease curator with the ID &amp; ASD EP.")</f>
        <v>As noted above, I am currently a gene-disease curator with the ID &amp; ASD EP.</v>
      </c>
      <c r="M47" s="125"/>
      <c r="N47" s="125"/>
      <c r="O47" s="125"/>
      <c r="P47" s="125"/>
      <c r="Q47" s="125"/>
      <c r="R47" s="125"/>
      <c r="S47" s="125"/>
      <c r="T47" s="125"/>
      <c r="U47" s="125"/>
      <c r="V47" s="125"/>
      <c r="W47" s="125"/>
      <c r="X47" s="125"/>
      <c r="Y47" s="125"/>
      <c r="Z47" s="125"/>
    </row>
    <row r="48" spans="1:26" ht="15.75" customHeight="1">
      <c r="A48" s="120" t="str">
        <f ca="1">IFERROR(__xludf.DUMMYFUNCTION("""COMPUTED_VALUE"""),"Contacted")</f>
        <v>Contacted</v>
      </c>
      <c r="B48" s="120" t="str">
        <f ca="1">IFERROR(__xludf.DUMMYFUNCTION("""COMPUTED_VALUE"""),"")</f>
        <v/>
      </c>
      <c r="C48" s="126">
        <f ca="1">IFERROR(__xludf.DUMMYFUNCTION("""COMPUTED_VALUE"""),43627)</f>
        <v>43627</v>
      </c>
      <c r="D48" s="123" t="str">
        <f ca="1">IFERROR(__xludf.DUMMYFUNCTION("""COMPUTED_VALUE"""),"Yes")</f>
        <v>Yes</v>
      </c>
      <c r="E48" s="123" t="str">
        <f ca="1">IFERROR(__xludf.DUMMYFUNCTION("""COMPUTED_VALUE"""),"Yes")</f>
        <v>Yes</v>
      </c>
      <c r="F48" s="123" t="str">
        <f ca="1">IFERROR(__xludf.DUMMYFUNCTION("""COMPUTED_VALUE"""),"NA")</f>
        <v>NA</v>
      </c>
      <c r="G48" s="120" t="str">
        <f ca="1">IFERROR(__xludf.DUMMYFUNCTION("""COMPUTED_VALUE"""),"")</f>
        <v/>
      </c>
      <c r="H48" s="120" t="str">
        <f ca="1">IFERROR(__xludf.DUMMYFUNCTION("""COMPUTED_VALUE"""),"Aleš Maver")</f>
        <v>Aleš Maver</v>
      </c>
      <c r="I48" s="120" t="str">
        <f ca="1">IFERROR(__xludf.DUMMYFUNCTION("""COMPUTED_VALUE"""),"ales.maver@kclj.si")</f>
        <v>ales.maver@kclj.si</v>
      </c>
      <c r="J48" s="123" t="str">
        <f ca="1">IFERROR(__xludf.DUMMYFUNCTION("""COMPUTED_VALUE"""),"Comprehensive")</f>
        <v>Comprehensive</v>
      </c>
      <c r="K48" s="124" t="str">
        <f ca="1">IFERROR(__xludf.DUMMYFUNCTION("""COMPUTED_VALUE"""),"Variant Curation Expert Panels and Gene Curation Expert Panels")</f>
        <v>Variant Curation Expert Panels and Gene Curation Expert Panels</v>
      </c>
      <c r="L48" t="str">
        <f ca="1">IFERROR(__xludf.DUMMYFUNCTION("""COMPUTED_VALUE"""),"Not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row>
    <row r="49" spans="1:12" ht="15.75" customHeight="1">
      <c r="A49" s="120" t="str">
        <f ca="1">IFERROR(__xludf.DUMMYFUNCTION("""COMPUTED_VALUE"""),"Contacted")</f>
        <v>Contacted</v>
      </c>
      <c r="B49" s="120" t="str">
        <f ca="1">IFERROR(__xludf.DUMMYFUNCTION("""COMPUTED_VALUE"""),"")</f>
        <v/>
      </c>
      <c r="C49" s="126">
        <f ca="1">IFERROR(__xludf.DUMMYFUNCTION("""COMPUTED_VALUE"""),43627)</f>
        <v>43627</v>
      </c>
      <c r="D49" s="123" t="str">
        <f ca="1">IFERROR(__xludf.DUMMYFUNCTION("""COMPUTED_VALUE"""),"Yes")</f>
        <v>Yes</v>
      </c>
      <c r="E49" s="123" t="str">
        <f ca="1">IFERROR(__xludf.DUMMYFUNCTION("""COMPUTED_VALUE"""),"Yes")</f>
        <v>Yes</v>
      </c>
      <c r="F49" s="123" t="str">
        <f ca="1">IFERROR(__xludf.DUMMYFUNCTION("""COMPUTED_VALUE"""),"NA")</f>
        <v>NA</v>
      </c>
      <c r="G49" s="120" t="str">
        <f ca="1">IFERROR(__xludf.DUMMYFUNCTION("""COMPUTED_VALUE"""),"")</f>
        <v/>
      </c>
      <c r="H49" s="120" t="str">
        <f ca="1">IFERROR(__xludf.DUMMYFUNCTION("""COMPUTED_VALUE"""),"Robert Butler")</f>
        <v>Robert Butler</v>
      </c>
      <c r="I49" s="120" t="str">
        <f ca="1">IFERROR(__xludf.DUMMYFUNCTION("""COMPUTED_VALUE"""),"rbutler@northshore.org")</f>
        <v>rbutler@northshore.org</v>
      </c>
      <c r="J49" s="123" t="str">
        <f ca="1">IFERROR(__xludf.DUMMYFUNCTION("""COMPUTED_VALUE"""),"Comprehensive")</f>
        <v>Comprehensive</v>
      </c>
      <c r="K49" s="124" t="str">
        <f ca="1">IFERROR(__xludf.DUMMYFUNCTION("""COMPUTED_VALUE"""),"Ideally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L49" t="str">
        <f ca="1">IFERROR(__xludf.DUMMYFUNCTION("""COMPUTED_VALUE"""),"I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row>
    <row r="50" spans="1:12" ht="15.75" customHeight="1">
      <c r="A50" s="120" t="str">
        <f ca="1">IFERROR(__xludf.DUMMYFUNCTION("""COMPUTED_VALUE"""),"Contacted")</f>
        <v>Contacted</v>
      </c>
      <c r="B50" s="120" t="str">
        <f ca="1">IFERROR(__xludf.DUMMYFUNCTION("""COMPUTED_VALUE"""),"")</f>
        <v/>
      </c>
      <c r="C50" s="126">
        <f ca="1">IFERROR(__xludf.DUMMYFUNCTION("""COMPUTED_VALUE"""),43626)</f>
        <v>43626</v>
      </c>
      <c r="D50" s="123" t="str">
        <f ca="1">IFERROR(__xludf.DUMMYFUNCTION("""COMPUTED_VALUE"""),"Yes")</f>
        <v>Yes</v>
      </c>
      <c r="E50" s="123" t="str">
        <f ca="1">IFERROR(__xludf.DUMMYFUNCTION("""COMPUTED_VALUE"""),"Yes")</f>
        <v>Yes</v>
      </c>
      <c r="F50" s="123" t="str">
        <f ca="1">IFERROR(__xludf.DUMMYFUNCTION("""COMPUTED_VALUE"""),"Variant Pathogenicity")</f>
        <v>Variant Pathogenicity</v>
      </c>
      <c r="G50" s="120" t="str">
        <f ca="1">IFERROR(__xludf.DUMMYFUNCTION("""COMPUTED_VALUE"""),"")</f>
        <v/>
      </c>
      <c r="H50" s="120" t="str">
        <f ca="1">IFERROR(__xludf.DUMMYFUNCTION("""COMPUTED_VALUE"""),"Ljubica Caldovic")</f>
        <v>Ljubica Caldovic</v>
      </c>
      <c r="I50" s="120" t="str">
        <f ca="1">IFERROR(__xludf.DUMMYFUNCTION("""COMPUTED_VALUE"""),"lcaldovic@childrensnational.org")</f>
        <v>lcaldovic@childrensnational.org</v>
      </c>
      <c r="J50" s="123" t="str">
        <f ca="1">IFERROR(__xludf.DUMMYFUNCTION("""COMPUTED_VALUE"""),"Comprehensive")</f>
        <v>Comprehensive</v>
      </c>
      <c r="K50" s="124" t="str">
        <f ca="1">IFERROR(__xludf.DUMMYFUNCTION("""COMPUTED_VALUE"""),"I am a member of the aminoacidopathy expert panel")</f>
        <v>I am a member of the aminoacidopathy expert panel</v>
      </c>
      <c r="L50" t="str">
        <f ca="1">IFERROR(__xludf.DUMMYFUNCTION("""COMPUTED_VALUE"""),"I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row>
    <row r="51" spans="1:12" ht="15.75" customHeight="1">
      <c r="A51" s="120" t="str">
        <f ca="1">IFERROR(__xludf.DUMMYFUNCTION("""COMPUTED_VALUE"""),"Assigned")</f>
        <v>Assigned</v>
      </c>
      <c r="B51" s="120" t="str">
        <f ca="1">IFERROR(__xludf.DUMMYFUNCTION("""COMPUTED_VALUE"""),"")</f>
        <v/>
      </c>
      <c r="C51" s="126">
        <f ca="1">IFERROR(__xludf.DUMMYFUNCTION("""COMPUTED_VALUE"""),43627)</f>
        <v>43627</v>
      </c>
      <c r="D51" s="123" t="str">
        <f ca="1">IFERROR(__xludf.DUMMYFUNCTION("""COMPUTED_VALUE"""),"Yes")</f>
        <v>Yes</v>
      </c>
      <c r="E51" s="123" t="str">
        <f ca="1">IFERROR(__xludf.DUMMYFUNCTION("""COMPUTED_VALUE"""),"Yes")</f>
        <v>Yes</v>
      </c>
      <c r="F51" s="123" t="str">
        <f ca="1">IFERROR(__xludf.DUMMYFUNCTION("""COMPUTED_VALUE"""),"Variant Pathogenicity")</f>
        <v>Variant Pathogenicity</v>
      </c>
      <c r="G51" s="120" t="str">
        <f ca="1">IFERROR(__xludf.DUMMYFUNCTION("""COMPUTED_VALUE"""),"Mito")</f>
        <v>Mito</v>
      </c>
      <c r="H51" s="120" t="str">
        <f ca="1">IFERROR(__xludf.DUMMYFUNCTION("""COMPUTED_VALUE"""),"Joy Goffena")</f>
        <v>Joy Goffena</v>
      </c>
      <c r="I51" s="120" t="str">
        <f ca="1">IFERROR(__xludf.DUMMYFUNCTION("""COMPUTED_VALUE"""),"joy.goffena@gmail.com")</f>
        <v>joy.goffena@gmail.com</v>
      </c>
      <c r="J51" s="123" t="str">
        <f ca="1">IFERROR(__xludf.DUMMYFUNCTION("""COMPUTED_VALUE"""),"Comprehensive")</f>
        <v>Comprehensive</v>
      </c>
      <c r="K51" s="124" t="str">
        <f ca="1">IFERROR(__xludf.DUMMYFUNCTION("""COMPUTED_VALUE"""),"")</f>
        <v/>
      </c>
      <c r="L51" t="str">
        <f ca="1">IFERROR(__xludf.DUMMYFUNCTION("""COMPUTED_VALUE"""),"")</f>
        <v/>
      </c>
    </row>
    <row r="52" spans="1:12" ht="15.75" customHeight="1">
      <c r="A52" s="120" t="str">
        <f ca="1">IFERROR(__xludf.DUMMYFUNCTION("""COMPUTED_VALUE"""),"Recontact Later")</f>
        <v>Recontact Later</v>
      </c>
      <c r="B52" s="126">
        <f ca="1">IFERROR(__xludf.DUMMYFUNCTION("""COMPUTED_VALUE"""),43819)</f>
        <v>43819</v>
      </c>
      <c r="C52" s="120" t="str">
        <f ca="1">IFERROR(__xludf.DUMMYFUNCTION("""COMPUTED_VALUE"""),"")</f>
        <v/>
      </c>
      <c r="D52" s="123" t="str">
        <f ca="1">IFERROR(__xludf.DUMMYFUNCTION("""COMPUTED_VALUE"""),"")</f>
        <v/>
      </c>
      <c r="E52" s="123" t="str">
        <f ca="1">IFERROR(__xludf.DUMMYFUNCTION("""COMPUTED_VALUE"""),"No")</f>
        <v>No</v>
      </c>
      <c r="F52" s="123" t="str">
        <f ca="1">IFERROR(__xludf.DUMMYFUNCTION("""COMPUTED_VALUE"""),"Variant Pathogenicity")</f>
        <v>Variant Pathogenicity</v>
      </c>
      <c r="G52" s="120" t="str">
        <f ca="1">IFERROR(__xludf.DUMMYFUNCTION("""COMPUTED_VALUE"""),"")</f>
        <v/>
      </c>
      <c r="H52" s="120" t="str">
        <f ca="1">IFERROR(__xludf.DUMMYFUNCTION("""COMPUTED_VALUE"""),"Cath Tyner")</f>
        <v>Cath Tyner</v>
      </c>
      <c r="I52" s="120" t="str">
        <f ca="1">IFERROR(__xludf.DUMMYFUNCTION("""COMPUTED_VALUE"""),"cathtyner@gmail.com")</f>
        <v>cathtyner@gmail.com</v>
      </c>
      <c r="J52" s="123" t="str">
        <f ca="1">IFERROR(__xludf.DUMMYFUNCTION("""COMPUTED_VALUE"""),"Comprehensive")</f>
        <v>Comprehensive</v>
      </c>
      <c r="K52" s="124" t="str">
        <f ca="1">IFERROR(__xludf.DUMMYFUNCTION("""COMPUTED_VALUE"""),"")</f>
        <v/>
      </c>
      <c r="L52" t="str">
        <f ca="1">IFERROR(__xludf.DUMMYFUNCTION("""COMPUTED_VALUE"""),"QA software which is used in gene curation for Invitae")</f>
        <v>QA software which is used in gene curation for Invitae</v>
      </c>
    </row>
    <row r="53" spans="1:12" ht="15.75" customHeight="1">
      <c r="A53" s="120" t="str">
        <f ca="1">IFERROR(__xludf.DUMMYFUNCTION("""COMPUTED_VALUE"""),"Contacted")</f>
        <v>Contacted</v>
      </c>
      <c r="B53" s="120" t="str">
        <f ca="1">IFERROR(__xludf.DUMMYFUNCTION("""COMPUTED_VALUE"""),"")</f>
        <v/>
      </c>
      <c r="C53" s="126">
        <f ca="1">IFERROR(__xludf.DUMMYFUNCTION("""COMPUTED_VALUE"""),43627)</f>
        <v>43627</v>
      </c>
      <c r="D53" s="123" t="str">
        <f ca="1">IFERROR(__xludf.DUMMYFUNCTION("""COMPUTED_VALUE"""),"Yes")</f>
        <v>Yes</v>
      </c>
      <c r="E53" s="123" t="str">
        <f ca="1">IFERROR(__xludf.DUMMYFUNCTION("""COMPUTED_VALUE"""),"No")</f>
        <v>No</v>
      </c>
      <c r="F53" s="123" t="str">
        <f ca="1">IFERROR(__xludf.DUMMYFUNCTION("""COMPUTED_VALUE"""),"Variant Pathogenicity")</f>
        <v>Variant Pathogenicity</v>
      </c>
      <c r="G53" s="120" t="str">
        <f ca="1">IFERROR(__xludf.DUMMYFUNCTION("""COMPUTED_VALUE"""),"")</f>
        <v/>
      </c>
      <c r="H53" s="120" t="str">
        <f ca="1">IFERROR(__xludf.DUMMYFUNCTION("""COMPUTED_VALUE"""),"Abdelazeem Elhabyan ")</f>
        <v xml:space="preserve">Abdelazeem Elhabyan </v>
      </c>
      <c r="I53" s="120" t="str">
        <f ca="1">IFERROR(__xludf.DUMMYFUNCTION("""COMPUTED_VALUE"""),"Abdelazeem_abdelhameed2015505@yahoo.com")</f>
        <v>Abdelazeem_abdelhameed2015505@yahoo.com</v>
      </c>
      <c r="J53" s="123" t="str">
        <f ca="1">IFERROR(__xludf.DUMMYFUNCTION("""COMPUTED_VALUE"""),"Comprehensive")</f>
        <v>Comprehensive</v>
      </c>
      <c r="K53" s="124" t="str">
        <f ca="1">IFERROR(__xludf.DUMMYFUNCTION("""COMPUTED_VALUE"""),"Hereditary cancer ")</f>
        <v xml:space="preserve">Hereditary cancer </v>
      </c>
      <c r="L53" t="str">
        <f ca="1">IFERROR(__xludf.DUMMYFUNCTION("""COMPUTED_VALUE"""),"I have received training In mapping,  variant calling using galaxy project and received many online courses in genomics ")</f>
        <v xml:space="preserve">I have received training In mapping,  variant calling using galaxy project and received many online courses in genomics </v>
      </c>
    </row>
    <row r="54" spans="1:12" ht="15.75" customHeight="1">
      <c r="A54" s="120" t="str">
        <f ca="1">IFERROR(__xludf.DUMMYFUNCTION("""COMPUTED_VALUE"""),"Contacted")</f>
        <v>Contacted</v>
      </c>
      <c r="B54" s="126">
        <f ca="1">IFERROR(__xludf.DUMMYFUNCTION("""COMPUTED_VALUE"""),43819)</f>
        <v>43819</v>
      </c>
      <c r="C54" s="120" t="str">
        <f ca="1">IFERROR(__xludf.DUMMYFUNCTION("""COMPUTED_VALUE"""),"")</f>
        <v/>
      </c>
      <c r="D54" s="123" t="str">
        <f ca="1">IFERROR(__xludf.DUMMYFUNCTION("""COMPUTED_VALUE"""),"")</f>
        <v/>
      </c>
      <c r="E54" s="123" t="str">
        <f ca="1">IFERROR(__xludf.DUMMYFUNCTION("""COMPUTED_VALUE"""),"No")</f>
        <v>No</v>
      </c>
      <c r="F54" s="123" t="str">
        <f ca="1">IFERROR(__xludf.DUMMYFUNCTION("""COMPUTED_VALUE"""),"Variant Pathogenicity")</f>
        <v>Variant Pathogenicity</v>
      </c>
      <c r="G54" s="120" t="str">
        <f ca="1">IFERROR(__xludf.DUMMYFUNCTION("""COMPUTED_VALUE"""),"")</f>
        <v/>
      </c>
      <c r="H54" s="120" t="str">
        <f ca="1">IFERROR(__xludf.DUMMYFUNCTION("""COMPUTED_VALUE"""),"Janel Case")</f>
        <v>Janel Case</v>
      </c>
      <c r="I54" s="120" t="str">
        <f ca="1">IFERROR(__xludf.DUMMYFUNCTION("""COMPUTED_VALUE"""),"janelcase@live.com")</f>
        <v>janelcase@live.com</v>
      </c>
      <c r="J54" s="123" t="str">
        <f ca="1">IFERROR(__xludf.DUMMYFUNCTION("""COMPUTED_VALUE"""),"Comprehensive")</f>
        <v>Comprehensive</v>
      </c>
      <c r="K54" s="124" t="str">
        <f ca="1">IFERROR(__xludf.DUMMYFUNCTION("""COMPUTED_VALUE"""),"Any hereditary cancer related groups ")</f>
        <v xml:space="preserve">Any hereditary cancer related groups </v>
      </c>
      <c r="L54" t="str">
        <f ca="1">IFERROR(__xludf.DUMMYFUNCTION("""COMPUTED_VALUE"""),"Variant curation internship at Illumina ")</f>
        <v xml:space="preserve">Variant curation internship at Illumina </v>
      </c>
    </row>
    <row r="55" spans="1:12" ht="15.75" customHeight="1">
      <c r="A55" s="120" t="str">
        <f ca="1">IFERROR(__xludf.DUMMYFUNCTION("""COMPUTED_VALUE"""),"Contacted")</f>
        <v>Contacted</v>
      </c>
      <c r="B55" s="120" t="str">
        <f ca="1">IFERROR(__xludf.DUMMYFUNCTION("""COMPUTED_VALUE"""),"")</f>
        <v/>
      </c>
      <c r="C55" s="126">
        <f ca="1">IFERROR(__xludf.DUMMYFUNCTION("""COMPUTED_VALUE"""),43627)</f>
        <v>43627</v>
      </c>
      <c r="D55" s="123" t="str">
        <f ca="1">IFERROR(__xludf.DUMMYFUNCTION("""COMPUTED_VALUE"""),"Yes")</f>
        <v>Yes</v>
      </c>
      <c r="E55" s="123" t="str">
        <f ca="1">IFERROR(__xludf.DUMMYFUNCTION("""COMPUTED_VALUE"""),"Yes")</f>
        <v>Yes</v>
      </c>
      <c r="F55" s="123" t="str">
        <f ca="1">IFERROR(__xludf.DUMMYFUNCTION("""COMPUTED_VALUE"""),"Variant Pathogenicity")</f>
        <v>Variant Pathogenicity</v>
      </c>
      <c r="G55" s="120" t="str">
        <f ca="1">IFERROR(__xludf.DUMMYFUNCTION("""COMPUTED_VALUE"""),"")</f>
        <v/>
      </c>
      <c r="H55" s="120" t="str">
        <f ca="1">IFERROR(__xludf.DUMMYFUNCTION("""COMPUTED_VALUE"""),"Carolina Bustamante")</f>
        <v>Carolina Bustamante</v>
      </c>
      <c r="I55" s="120" t="str">
        <f ca="1">IFERROR(__xludf.DUMMYFUNCTION("""COMPUTED_VALUE"""),"carolina.bustamante@gmail.com")</f>
        <v>carolina.bustamante@gmail.com</v>
      </c>
      <c r="J55" s="123" t="str">
        <f ca="1">IFERROR(__xludf.DUMMYFUNCTION("""COMPUTED_VALUE"""),"Comprehensive")</f>
        <v>Comprehensive</v>
      </c>
      <c r="K55" s="124" t="str">
        <f ca="1">IFERROR(__xludf.DUMMYFUNCTION("""COMPUTED_VALUE"""),"Cancer, Hereditary Cancer, Colorectal Cancer, Genitourinary Tract Cancers, TP53, PTEN, CDH1, FBN1. ")</f>
        <v xml:space="preserve">Cancer, Hereditary Cancer, Colorectal Cancer, Genitourinary Tract Cancers, TP53, PTEN, CDH1, FBN1. </v>
      </c>
      <c r="L55" t="str">
        <f ca="1">IFERROR(__xludf.DUMMYFUNCTION("""COMPUTED_VALUE"""),"Yes,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row>
    <row r="56" spans="1:12" ht="15.75" customHeight="1">
      <c r="A56" s="120" t="str">
        <f ca="1">IFERROR(__xludf.DUMMYFUNCTION("""COMPUTED_VALUE"""),"Unresponsive")</f>
        <v>Unresponsive</v>
      </c>
      <c r="B56" s="120" t="str">
        <f ca="1">IFERROR(__xludf.DUMMYFUNCTION("""COMPUTED_VALUE"""),"")</f>
        <v/>
      </c>
      <c r="C56" s="120" t="str">
        <f ca="1">IFERROR(__xludf.DUMMYFUNCTION("""COMPUTED_VALUE"""),"")</f>
        <v/>
      </c>
      <c r="D56" s="123" t="str">
        <f ca="1">IFERROR(__xludf.DUMMYFUNCTION("""COMPUTED_VALUE"""),"")</f>
        <v/>
      </c>
      <c r="E56" s="123" t="str">
        <f ca="1">IFERROR(__xludf.DUMMYFUNCTION("""COMPUTED_VALUE"""),"No")</f>
        <v>No</v>
      </c>
      <c r="F56" s="123" t="str">
        <f ca="1">IFERROR(__xludf.DUMMYFUNCTION("""COMPUTED_VALUE"""),"Variant Pathogenicity")</f>
        <v>Variant Pathogenicity</v>
      </c>
      <c r="G56" s="120" t="str">
        <f ca="1">IFERROR(__xludf.DUMMYFUNCTION("""COMPUTED_VALUE"""),"")</f>
        <v/>
      </c>
      <c r="H56" s="120" t="str">
        <f ca="1">IFERROR(__xludf.DUMMYFUNCTION("""COMPUTED_VALUE"""),"Timo Dereani")</f>
        <v>Timo Dereani</v>
      </c>
      <c r="I56" s="120" t="str">
        <f ca="1">IFERROR(__xludf.DUMMYFUNCTION("""COMPUTED_VALUE"""),"dereani@biologis.diagnosticum.eu")</f>
        <v>dereani@biologis.diagnosticum.eu</v>
      </c>
      <c r="J56" s="123" t="str">
        <f ca="1">IFERROR(__xludf.DUMMYFUNCTION("""COMPUTED_VALUE"""),"Comprehensive")</f>
        <v>Comprehensive</v>
      </c>
      <c r="K56" s="124" t="str">
        <f ca="1">IFERROR(__xludf.DUMMYFUNCTION("""COMPUTED_VALUE"""),"Monogenic Diabetes, Hereditary Cancer")</f>
        <v>Monogenic Diabetes, Hereditary Cancer</v>
      </c>
      <c r="L56" t="str">
        <f ca="1">IFERROR(__xludf.DUMMYFUNCTION("""COMPUTED_VALUE"""),"I've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row>
    <row r="57" spans="1:12" ht="15.75" customHeight="1">
      <c r="A57" s="120" t="str">
        <f ca="1">IFERROR(__xludf.DUMMYFUNCTION("""COMPUTED_VALUE"""),"Unresponsive")</f>
        <v>Unresponsive</v>
      </c>
      <c r="B57" s="120" t="str">
        <f ca="1">IFERROR(__xludf.DUMMYFUNCTION("""COMPUTED_VALUE"""),"")</f>
        <v/>
      </c>
      <c r="C57" s="120" t="str">
        <f ca="1">IFERROR(__xludf.DUMMYFUNCTION("""COMPUTED_VALUE"""),"")</f>
        <v/>
      </c>
      <c r="D57" s="123" t="str">
        <f ca="1">IFERROR(__xludf.DUMMYFUNCTION("""COMPUTED_VALUE"""),"")</f>
        <v/>
      </c>
      <c r="E57" s="123" t="str">
        <f ca="1">IFERROR(__xludf.DUMMYFUNCTION("""COMPUTED_VALUE"""),"No")</f>
        <v>No</v>
      </c>
      <c r="F57" s="123" t="str">
        <f ca="1">IFERROR(__xludf.DUMMYFUNCTION("""COMPUTED_VALUE"""),"Variant Pathogenicity")</f>
        <v>Variant Pathogenicity</v>
      </c>
      <c r="G57" s="120" t="str">
        <f ca="1">IFERROR(__xludf.DUMMYFUNCTION("""COMPUTED_VALUE"""),"")</f>
        <v/>
      </c>
      <c r="H57" s="120" t="str">
        <f ca="1">IFERROR(__xludf.DUMMYFUNCTION("""COMPUTED_VALUE"""),"Jennifer Bullard")</f>
        <v>Jennifer Bullard</v>
      </c>
      <c r="I57" s="120" t="str">
        <f ca="1">IFERROR(__xludf.DUMMYFUNCTION("""COMPUTED_VALUE"""),"jenniferluja@gmail.com")</f>
        <v>jenniferluja@gmail.com</v>
      </c>
      <c r="J57" s="123" t="str">
        <f ca="1">IFERROR(__xludf.DUMMYFUNCTION("""COMPUTED_VALUE"""),"Comprehensive")</f>
        <v>Comprehensive</v>
      </c>
      <c r="K57" s="124" t="str">
        <f ca="1">IFERROR(__xludf.DUMMYFUNCTION("""COMPUTED_VALUE"""),"Monogenic Diabetes")</f>
        <v>Monogenic Diabetes</v>
      </c>
      <c r="L57" t="str">
        <f ca="1">IFERROR(__xludf.DUMMYFUNCTION("""COMPUTED_VALUE"""),"")</f>
        <v/>
      </c>
    </row>
    <row r="58" spans="1:12" ht="15.75" customHeight="1">
      <c r="A58" s="120" t="str">
        <f ca="1">IFERROR(__xludf.DUMMYFUNCTION("""COMPUTED_VALUE"""),"Contacted")</f>
        <v>Contacted</v>
      </c>
      <c r="B58" s="120" t="str">
        <f ca="1">IFERROR(__xludf.DUMMYFUNCTION("""COMPUTED_VALUE"""),"")</f>
        <v/>
      </c>
      <c r="C58" s="126">
        <f ca="1">IFERROR(__xludf.DUMMYFUNCTION("""COMPUTED_VALUE"""),43626)</f>
        <v>43626</v>
      </c>
      <c r="D58" s="123" t="str">
        <f ca="1">IFERROR(__xludf.DUMMYFUNCTION("""COMPUTED_VALUE"""),"Yes")</f>
        <v>Yes</v>
      </c>
      <c r="E58" s="123" t="str">
        <f ca="1">IFERROR(__xludf.DUMMYFUNCTION("""COMPUTED_VALUE"""),"Yes")</f>
        <v>Yes</v>
      </c>
      <c r="F58" s="123" t="str">
        <f ca="1">IFERROR(__xludf.DUMMYFUNCTION("""COMPUTED_VALUE"""),"NA")</f>
        <v>NA</v>
      </c>
      <c r="G58" s="120" t="str">
        <f ca="1">IFERROR(__xludf.DUMMYFUNCTION("""COMPUTED_VALUE"""),"")</f>
        <v/>
      </c>
      <c r="H58" s="120" t="str">
        <f ca="1">IFERROR(__xludf.DUMMYFUNCTION("""COMPUTED_VALUE"""),"Pamela")</f>
        <v>Pamela</v>
      </c>
      <c r="I58" s="120" t="str">
        <f ca="1">IFERROR(__xludf.DUMMYFUNCTION("""COMPUTED_VALUE"""),"pchristopherson@versiti.org")</f>
        <v>pchristopherson@versiti.org</v>
      </c>
      <c r="J58" s="123" t="str">
        <f ca="1">IFERROR(__xludf.DUMMYFUNCTION("""COMPUTED_VALUE"""),"Comprehensive")</f>
        <v>Comprehensive</v>
      </c>
      <c r="K58" s="124" t="str">
        <f ca="1">IFERROR(__xludf.DUMMYFUNCTION("""COMPUTED_VALUE"""),"Already on VWD working group")</f>
        <v>Already on VWD working group</v>
      </c>
      <c r="L58" t="str">
        <f ca="1">IFERROR(__xludf.DUMMYFUNCTION("""COMPUTED_VALUE"""),"Submission of variants to LOVD")</f>
        <v>Submission of variants to LOVD</v>
      </c>
    </row>
    <row r="59" spans="1:12" ht="15.75" customHeight="1">
      <c r="A59" s="120" t="str">
        <f ca="1">IFERROR(__xludf.DUMMYFUNCTION("""COMPUTED_VALUE"""),"Unresponsive")</f>
        <v>Unresponsive</v>
      </c>
      <c r="B59" s="120" t="str">
        <f ca="1">IFERROR(__xludf.DUMMYFUNCTION("""COMPUTED_VALUE"""),"")</f>
        <v/>
      </c>
      <c r="C59" s="120" t="str">
        <f ca="1">IFERROR(__xludf.DUMMYFUNCTION("""COMPUTED_VALUE"""),"")</f>
        <v/>
      </c>
      <c r="D59" s="123" t="str">
        <f ca="1">IFERROR(__xludf.DUMMYFUNCTION("""COMPUTED_VALUE"""),"")</f>
        <v/>
      </c>
      <c r="E59" s="123" t="str">
        <f ca="1">IFERROR(__xludf.DUMMYFUNCTION("""COMPUTED_VALUE"""),"No")</f>
        <v>No</v>
      </c>
      <c r="F59" s="123" t="str">
        <f ca="1">IFERROR(__xludf.DUMMYFUNCTION("""COMPUTED_VALUE"""),"Variant Pathogenicity")</f>
        <v>Variant Pathogenicity</v>
      </c>
      <c r="G59" s="120" t="str">
        <f ca="1">IFERROR(__xludf.DUMMYFUNCTION("""COMPUTED_VALUE"""),"")</f>
        <v/>
      </c>
      <c r="H59" s="120" t="str">
        <f ca="1">IFERROR(__xludf.DUMMYFUNCTION("""COMPUTED_VALUE"""),"Hemantkumar Nemade ")</f>
        <v xml:space="preserve">Hemantkumar Nemade </v>
      </c>
      <c r="I59" s="120" t="str">
        <f ca="1">IFERROR(__xludf.DUMMYFUNCTION("""COMPUTED_VALUE"""),"drhemantnemade@gmail.com")</f>
        <v>drhemantnemade@gmail.com</v>
      </c>
      <c r="J59" s="123" t="str">
        <f ca="1">IFERROR(__xludf.DUMMYFUNCTION("""COMPUTED_VALUE"""),"Comprehensive")</f>
        <v>Comprehensive</v>
      </c>
      <c r="K59" s="124" t="str">
        <f ca="1">IFERROR(__xludf.DUMMYFUNCTION("""COMPUTED_VALUE"""),"Somatic cancer")</f>
        <v>Somatic cancer</v>
      </c>
      <c r="L59" t="str">
        <f ca="1">IFERROR(__xludf.DUMMYFUNCTION("""COMPUTED_VALUE"""),"Not genetic but I have collected and analyzed cancer database. Trained in statistics ")</f>
        <v xml:space="preserve">Not genetic but I have collected and analyzed cancer database. Trained in statistics </v>
      </c>
    </row>
    <row r="60" spans="1:12" ht="15.75" customHeight="1">
      <c r="A60" s="120" t="str">
        <f ca="1">IFERROR(__xludf.DUMMYFUNCTION("""COMPUTED_VALUE"""),"Contacted")</f>
        <v>Contacted</v>
      </c>
      <c r="B60" s="126">
        <f ca="1">IFERROR(__xludf.DUMMYFUNCTION("""COMPUTED_VALUE"""),43819)</f>
        <v>43819</v>
      </c>
      <c r="C60" s="120" t="str">
        <f ca="1">IFERROR(__xludf.DUMMYFUNCTION("""COMPUTED_VALUE"""),"")</f>
        <v/>
      </c>
      <c r="D60" s="123" t="str">
        <f ca="1">IFERROR(__xludf.DUMMYFUNCTION("""COMPUTED_VALUE"""),"")</f>
        <v/>
      </c>
      <c r="E60" s="123" t="str">
        <f ca="1">IFERROR(__xludf.DUMMYFUNCTION("""COMPUTED_VALUE"""),"No")</f>
        <v>No</v>
      </c>
      <c r="F60" s="123" t="str">
        <f ca="1">IFERROR(__xludf.DUMMYFUNCTION("""COMPUTED_VALUE"""),"Variant Pathogenicity")</f>
        <v>Variant Pathogenicity</v>
      </c>
      <c r="G60" s="120" t="str">
        <f ca="1">IFERROR(__xludf.DUMMYFUNCTION("""COMPUTED_VALUE"""),"")</f>
        <v/>
      </c>
      <c r="H60" s="120" t="str">
        <f ca="1">IFERROR(__xludf.DUMMYFUNCTION("""COMPUTED_VALUE"""),"José Patricio Miranda Marín")</f>
        <v>José Patricio Miranda Marín</v>
      </c>
      <c r="I60" s="120" t="str">
        <f ca="1">IFERROR(__xludf.DUMMYFUNCTION("""COMPUTED_VALUE"""),"jose.miranda@uc.cl")</f>
        <v>jose.miranda@uc.cl</v>
      </c>
      <c r="J60" s="123" t="str">
        <f ca="1">IFERROR(__xludf.DUMMYFUNCTION("""COMPUTED_VALUE"""),"Comprehensive")</f>
        <v>Comprehensive</v>
      </c>
      <c r="K60" s="124" t="str">
        <f ca="1">IFERROR(__xludf.DUMMYFUNCTION("""COMPUTED_VALUE"""),"Monogenic Diabetes Variant Curation Expert Panel or Mitochondrial Disease Variant Curation Expert Panel")</f>
        <v>Monogenic Diabetes Variant Curation Expert Panel or Mitochondrial Disease Variant Curation Expert Panel</v>
      </c>
      <c r="L60" t="str">
        <f ca="1">IFERROR(__xludf.DUMMYFUNCTION("""COMPUTED_VALUE"""),"yes,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row>
    <row r="61" spans="1:12" ht="15.75" customHeight="1">
      <c r="A61" s="120" t="str">
        <f ca="1">IFERROR(__xludf.DUMMYFUNCTION("""COMPUTED_VALUE"""),"Unresponsive")</f>
        <v>Unresponsive</v>
      </c>
      <c r="B61" s="120" t="str">
        <f ca="1">IFERROR(__xludf.DUMMYFUNCTION("""COMPUTED_VALUE"""),"")</f>
        <v/>
      </c>
      <c r="C61" s="120" t="str">
        <f ca="1">IFERROR(__xludf.DUMMYFUNCTION("""COMPUTED_VALUE"""),"")</f>
        <v/>
      </c>
      <c r="D61" s="123" t="str">
        <f ca="1">IFERROR(__xludf.DUMMYFUNCTION("""COMPUTED_VALUE"""),"")</f>
        <v/>
      </c>
      <c r="E61" s="123" t="str">
        <f ca="1">IFERROR(__xludf.DUMMYFUNCTION("""COMPUTED_VALUE"""),"No")</f>
        <v>No</v>
      </c>
      <c r="F61" s="123" t="str">
        <f ca="1">IFERROR(__xludf.DUMMYFUNCTION("""COMPUTED_VALUE"""),"Variant Pathogenicity")</f>
        <v>Variant Pathogenicity</v>
      </c>
      <c r="G61" s="120" t="str">
        <f ca="1">IFERROR(__xludf.DUMMYFUNCTION("""COMPUTED_VALUE"""),"")</f>
        <v/>
      </c>
      <c r="H61" s="120" t="str">
        <f ca="1">IFERROR(__xludf.DUMMYFUNCTION("""COMPUTED_VALUE"""),"Xiangqiang Shao")</f>
        <v>Xiangqiang Shao</v>
      </c>
      <c r="I61" s="120" t="str">
        <f ca="1">IFERROR(__xludf.DUMMYFUNCTION("""COMPUTED_VALUE"""),"xshao5@wisc.edu")</f>
        <v>xshao5@wisc.edu</v>
      </c>
      <c r="J61" s="123" t="str">
        <f ca="1">IFERROR(__xludf.DUMMYFUNCTION("""COMPUTED_VALUE"""),"Comprehensive")</f>
        <v>Comprehensive</v>
      </c>
      <c r="K61" s="124" t="str">
        <f ca="1">IFERROR(__xludf.DUMMYFUNCTION("""COMPUTED_VALUE"""),"Epilepsy, and Intellectual Disability and Autism")</f>
        <v>Epilepsy, and Intellectual Disability and Autism</v>
      </c>
      <c r="L61" t="str">
        <f ca="1">IFERROR(__xludf.DUMMYFUNCTION("""COMPUTED_VALUE"""),"I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row>
    <row r="62" spans="1:12" ht="15.75" customHeight="1">
      <c r="A62" s="120" t="str">
        <f ca="1">IFERROR(__xludf.DUMMYFUNCTION("""COMPUTED_VALUE"""),"Unresponsive")</f>
        <v>Unresponsive</v>
      </c>
      <c r="B62" s="120" t="str">
        <f ca="1">IFERROR(__xludf.DUMMYFUNCTION("""COMPUTED_VALUE"""),"")</f>
        <v/>
      </c>
      <c r="C62" s="120" t="str">
        <f ca="1">IFERROR(__xludf.DUMMYFUNCTION("""COMPUTED_VALUE"""),"")</f>
        <v/>
      </c>
      <c r="D62" s="123" t="str">
        <f ca="1">IFERROR(__xludf.DUMMYFUNCTION("""COMPUTED_VALUE"""),"")</f>
        <v/>
      </c>
      <c r="E62" s="123" t="str">
        <f ca="1">IFERROR(__xludf.DUMMYFUNCTION("""COMPUTED_VALUE"""),"No")</f>
        <v>No</v>
      </c>
      <c r="F62" s="123" t="str">
        <f ca="1">IFERROR(__xludf.DUMMYFUNCTION("""COMPUTED_VALUE"""),"Variant Pathogenicity")</f>
        <v>Variant Pathogenicity</v>
      </c>
      <c r="G62" s="120" t="str">
        <f ca="1">IFERROR(__xludf.DUMMYFUNCTION("""COMPUTED_VALUE"""),"")</f>
        <v/>
      </c>
      <c r="H62" s="120" t="str">
        <f ca="1">IFERROR(__xludf.DUMMYFUNCTION("""COMPUTED_VALUE"""),"Gretchen Cote")</f>
        <v>Gretchen Cote</v>
      </c>
      <c r="I62" s="120" t="str">
        <f ca="1">IFERROR(__xludf.DUMMYFUNCTION("""COMPUTED_VALUE"""),"gretchen.cote@dgs.virginia.gov")</f>
        <v>gretchen.cote@dgs.virginia.gov</v>
      </c>
      <c r="J62" s="123" t="str">
        <f ca="1">IFERROR(__xludf.DUMMYFUNCTION("""COMPUTED_VALUE"""),"Comprehensive")</f>
        <v>Comprehensive</v>
      </c>
      <c r="K62" s="124" t="str">
        <f ca="1">IFERROR(__xludf.DUMMYFUNCTION("""COMPUTED_VALUE"""),"Lysosomal Storage Disorders")</f>
        <v>Lysosomal Storage Disorders</v>
      </c>
      <c r="L62" t="str">
        <f ca="1">IFERROR(__xludf.DUMMYFUNCTION("""COMPUTED_VALUE"""),"I participate and weekly variant interpretation meetings for variant based newborn screening for Pompe and MPS1")</f>
        <v>I participate and weekly variant interpretation meetings for variant based newborn screening for Pompe and MPS1</v>
      </c>
    </row>
    <row r="63" spans="1:12" ht="15.75" customHeight="1">
      <c r="A63" s="120" t="str">
        <f ca="1">IFERROR(__xludf.DUMMYFUNCTION("""COMPUTED_VALUE"""),"Unresponsive")</f>
        <v>Unresponsive</v>
      </c>
      <c r="B63" s="120" t="str">
        <f ca="1">IFERROR(__xludf.DUMMYFUNCTION("""COMPUTED_VALUE"""),"")</f>
        <v/>
      </c>
      <c r="C63" s="120" t="str">
        <f ca="1">IFERROR(__xludf.DUMMYFUNCTION("""COMPUTED_VALUE"""),"")</f>
        <v/>
      </c>
      <c r="D63" s="123" t="str">
        <f ca="1">IFERROR(__xludf.DUMMYFUNCTION("""COMPUTED_VALUE"""),"")</f>
        <v/>
      </c>
      <c r="E63" s="123" t="str">
        <f ca="1">IFERROR(__xludf.DUMMYFUNCTION("""COMPUTED_VALUE"""),"No")</f>
        <v>No</v>
      </c>
      <c r="F63" s="123" t="str">
        <f ca="1">IFERROR(__xludf.DUMMYFUNCTION("""COMPUTED_VALUE"""),"Variant Pathogenicity")</f>
        <v>Variant Pathogenicity</v>
      </c>
      <c r="G63" s="120" t="str">
        <f ca="1">IFERROR(__xludf.DUMMYFUNCTION("""COMPUTED_VALUE"""),"")</f>
        <v/>
      </c>
      <c r="H63" s="120" t="str">
        <f ca="1">IFERROR(__xludf.DUMMYFUNCTION("""COMPUTED_VALUE"""),"Bryan Gall")</f>
        <v>Bryan Gall</v>
      </c>
      <c r="I63" s="120" t="str">
        <f ca="1">IFERROR(__xludf.DUMMYFUNCTION("""COMPUTED_VALUE"""),"bgall005@gmail.com")</f>
        <v>bgall005@gmail.com</v>
      </c>
      <c r="J63" s="123" t="str">
        <f ca="1">IFERROR(__xludf.DUMMYFUNCTION("""COMPUTED_VALUE"""),"Comprehensive")</f>
        <v>Comprehensive</v>
      </c>
      <c r="K63" s="124" t="str">
        <f ca="1">IFERROR(__xludf.DUMMYFUNCTION("""COMPUTED_VALUE"""),"Colorectal Cancer, Familial Hypercholesterolemia, and Myeloid Malignancy")</f>
        <v>Colorectal Cancer, Familial Hypercholesterolemia, and Myeloid Malignancy</v>
      </c>
      <c r="L63" t="str">
        <f ca="1">IFERROR(__xludf.DUMMYFUNCTION("""COMPUTED_VALUE"""),"Manual variant interpretation using ClinGen resources")</f>
        <v>Manual variant interpretation using ClinGen resources</v>
      </c>
    </row>
    <row r="64" spans="1:12" ht="15.75" customHeight="1">
      <c r="A64" s="120" t="str">
        <f ca="1">IFERROR(__xludf.DUMMYFUNCTION("""COMPUTED_VALUE"""),"Unresponsive")</f>
        <v>Unresponsive</v>
      </c>
      <c r="B64" s="126" t="str">
        <f ca="1">IFERROR(__xludf.DUMMYFUNCTION("""COMPUTED_VALUE"""),"")</f>
        <v/>
      </c>
      <c r="C64" s="120" t="str">
        <f ca="1">IFERROR(__xludf.DUMMYFUNCTION("""COMPUTED_VALUE"""),"")</f>
        <v/>
      </c>
      <c r="D64" s="123" t="str">
        <f ca="1">IFERROR(__xludf.DUMMYFUNCTION("""COMPUTED_VALUE"""),"")</f>
        <v/>
      </c>
      <c r="E64" s="123" t="str">
        <f ca="1">IFERROR(__xludf.DUMMYFUNCTION("""COMPUTED_VALUE"""),"No")</f>
        <v>No</v>
      </c>
      <c r="F64" s="123" t="str">
        <f ca="1">IFERROR(__xludf.DUMMYFUNCTION("""COMPUTED_VALUE"""),"Variant Pathogenicity")</f>
        <v>Variant Pathogenicity</v>
      </c>
      <c r="G64" s="120" t="str">
        <f ca="1">IFERROR(__xludf.DUMMYFUNCTION("""COMPUTED_VALUE"""),"")</f>
        <v/>
      </c>
      <c r="H64" s="120" t="str">
        <f ca="1">IFERROR(__xludf.DUMMYFUNCTION("""COMPUTED_VALUE"""),"Yanhui Li")</f>
        <v>Yanhui Li</v>
      </c>
      <c r="I64" s="120" t="str">
        <f ca="1">IFERROR(__xludf.DUMMYFUNCTION("""COMPUTED_VALUE"""),"yxl280@gmail.com")</f>
        <v>yxl280@gmail.com</v>
      </c>
      <c r="J64" s="123" t="str">
        <f ca="1">IFERROR(__xludf.DUMMYFUNCTION("""COMPUTED_VALUE"""),"Comprehensive")</f>
        <v>Comprehensive</v>
      </c>
      <c r="K64" s="124" t="str">
        <f ca="1">IFERROR(__xludf.DUMMYFUNCTION("""COMPUTED_VALUE"""),"Yes")</f>
        <v>Yes</v>
      </c>
      <c r="L64" t="str">
        <f ca="1">IFERROR(__xludf.DUMMYFUNCTION("""COMPUTED_VALUE"""),"")</f>
        <v/>
      </c>
    </row>
    <row r="65" spans="1:12" ht="15.75" customHeight="1">
      <c r="A65" s="120" t="str">
        <f ca="1">IFERROR(__xludf.DUMMYFUNCTION("""COMPUTED_VALUE"""),"Contacted")</f>
        <v>Contacted</v>
      </c>
      <c r="B65" s="126">
        <f ca="1">IFERROR(__xludf.DUMMYFUNCTION("""COMPUTED_VALUE"""),43819)</f>
        <v>43819</v>
      </c>
      <c r="C65" s="120" t="str">
        <f ca="1">IFERROR(__xludf.DUMMYFUNCTION("""COMPUTED_VALUE"""),"")</f>
        <v/>
      </c>
      <c r="D65" s="123" t="str">
        <f ca="1">IFERROR(__xludf.DUMMYFUNCTION("""COMPUTED_VALUE"""),"")</f>
        <v/>
      </c>
      <c r="E65" s="123" t="str">
        <f ca="1">IFERROR(__xludf.DUMMYFUNCTION("""COMPUTED_VALUE"""),"No")</f>
        <v>No</v>
      </c>
      <c r="F65" s="123" t="str">
        <f ca="1">IFERROR(__xludf.DUMMYFUNCTION("""COMPUTED_VALUE"""),"Variant Pathogenicity")</f>
        <v>Variant Pathogenicity</v>
      </c>
      <c r="G65" s="120" t="str">
        <f ca="1">IFERROR(__xludf.DUMMYFUNCTION("""COMPUTED_VALUE"""),"")</f>
        <v/>
      </c>
      <c r="H65" s="120" t="str">
        <f ca="1">IFERROR(__xludf.DUMMYFUNCTION("""COMPUTED_VALUE"""),"Shahad Rahawi")</f>
        <v>Shahad Rahawi</v>
      </c>
      <c r="I65" s="120" t="str">
        <f ca="1">IFERROR(__xludf.DUMMYFUNCTION("""COMPUTED_VALUE"""),"shahadrahawi@gmail.com")</f>
        <v>shahadrahawi@gmail.com</v>
      </c>
      <c r="J65" s="123" t="str">
        <f ca="1">IFERROR(__xludf.DUMMYFUNCTION("""COMPUTED_VALUE"""),"Comprehensive")</f>
        <v>Comprehensive</v>
      </c>
      <c r="K65" s="124" t="str">
        <f ca="1">IFERROR(__xludf.DUMMYFUNCTION("""COMPUTED_VALUE"""),"")</f>
        <v/>
      </c>
      <c r="L65" t="str">
        <f ca="1">IFERROR(__xludf.DUMMYFUNCTION("""COMPUTED_VALUE"""),"brief variant interpretation activities in ""analyze your genome"" class in grad school")</f>
        <v>brief variant interpretation activities in "analyze your genome" class in grad school</v>
      </c>
    </row>
    <row r="66" spans="1:12" ht="14">
      <c r="A66" s="120" t="str">
        <f ca="1">IFERROR(__xludf.DUMMYFUNCTION("""COMPUTED_VALUE"""),"Contacted")</f>
        <v>Contacted</v>
      </c>
      <c r="B66" s="126">
        <f ca="1">IFERROR(__xludf.DUMMYFUNCTION("""COMPUTED_VALUE"""),43819)</f>
        <v>43819</v>
      </c>
      <c r="C66" s="120" t="str">
        <f ca="1">IFERROR(__xludf.DUMMYFUNCTION("""COMPUTED_VALUE"""),"")</f>
        <v/>
      </c>
      <c r="D66" s="123" t="str">
        <f ca="1">IFERROR(__xludf.DUMMYFUNCTION("""COMPUTED_VALUE"""),"")</f>
        <v/>
      </c>
      <c r="E66" s="123" t="str">
        <f ca="1">IFERROR(__xludf.DUMMYFUNCTION("""COMPUTED_VALUE"""),"No")</f>
        <v>No</v>
      </c>
      <c r="F66" s="123" t="str">
        <f ca="1">IFERROR(__xludf.DUMMYFUNCTION("""COMPUTED_VALUE"""),"Variant Pathogenicity")</f>
        <v>Variant Pathogenicity</v>
      </c>
      <c r="G66" s="120" t="str">
        <f ca="1">IFERROR(__xludf.DUMMYFUNCTION("""COMPUTED_VALUE"""),"")</f>
        <v/>
      </c>
      <c r="H66" s="120" t="str">
        <f ca="1">IFERROR(__xludf.DUMMYFUNCTION("""COMPUTED_VALUE"""),"Leighton Telling")</f>
        <v>Leighton Telling</v>
      </c>
      <c r="I66" s="120" t="str">
        <f ca="1">IFERROR(__xludf.DUMMYFUNCTION("""COMPUTED_VALUE"""),"lptellin@ncsu.edu")</f>
        <v>lptellin@ncsu.edu</v>
      </c>
      <c r="J66" s="123" t="str">
        <f ca="1">IFERROR(__xludf.DUMMYFUNCTION("""COMPUTED_VALUE"""),"Comprehensive")</f>
        <v>Comprehensive</v>
      </c>
      <c r="K66" s="124" t="str">
        <f ca="1">IFERROR(__xludf.DUMMYFUNCTION("""COMPUTED_VALUE"""),"N/A")</f>
        <v>N/A</v>
      </c>
      <c r="L66" t="str">
        <f ca="1">IFERROR(__xludf.DUMMYFUNCTION("""COMPUTED_VALUE"""),"")</f>
        <v/>
      </c>
    </row>
    <row r="67" spans="1:12" ht="42">
      <c r="A67" s="120" t="str">
        <f ca="1">IFERROR(__xludf.DUMMYFUNCTION("""COMPUTED_VALUE"""),"Contacted")</f>
        <v>Contacted</v>
      </c>
      <c r="B67" s="126">
        <f ca="1">IFERROR(__xludf.DUMMYFUNCTION("""COMPUTED_VALUE"""),43819)</f>
        <v>43819</v>
      </c>
      <c r="C67" s="120" t="str">
        <f ca="1">IFERROR(__xludf.DUMMYFUNCTION("""COMPUTED_VALUE"""),"")</f>
        <v/>
      </c>
      <c r="D67" s="123" t="str">
        <f ca="1">IFERROR(__xludf.DUMMYFUNCTION("""COMPUTED_VALUE"""),"")</f>
        <v/>
      </c>
      <c r="E67" s="123" t="str">
        <f ca="1">IFERROR(__xludf.DUMMYFUNCTION("""COMPUTED_VALUE"""),"No")</f>
        <v>No</v>
      </c>
      <c r="F67" s="123" t="str">
        <f ca="1">IFERROR(__xludf.DUMMYFUNCTION("""COMPUTED_VALUE"""),"Variant Pathogenicity")</f>
        <v>Variant Pathogenicity</v>
      </c>
      <c r="G67" s="120" t="str">
        <f ca="1">IFERROR(__xludf.DUMMYFUNCTION("""COMPUTED_VALUE"""),"")</f>
        <v/>
      </c>
      <c r="H67" s="120" t="str">
        <f ca="1">IFERROR(__xludf.DUMMYFUNCTION("""COMPUTED_VALUE"""),"Georgios Tsaousis")</f>
        <v>Georgios Tsaousis</v>
      </c>
      <c r="I67" s="120" t="str">
        <f ca="1">IFERROR(__xludf.DUMMYFUNCTION("""COMPUTED_VALUE"""),"gtsaousis@genekor.com")</f>
        <v>gtsaousis@genekor.com</v>
      </c>
      <c r="J67" s="123" t="str">
        <f ca="1">IFERROR(__xludf.DUMMYFUNCTION("""COMPUTED_VALUE"""),"Comprehensive")</f>
        <v>Comprehensive</v>
      </c>
      <c r="K67" s="124" t="str">
        <f ca="1">IFERROR(__xludf.DUMMYFUNCTION("""COMPUTED_VALUE"""),"Hereditary Cancer, Somatic/Germline Variant Curation, Colorectal Cancer, PTEN, TP53, CDH1")</f>
        <v>Hereditary Cancer, Somatic/Germline Variant Curation, Colorectal Cancer, PTEN, TP53, CDH1</v>
      </c>
      <c r="L67" t="str">
        <f ca="1">IFERROR(__xludf.DUMMYFUNCTION("""COMPUTED_VALUE"""),"I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row>
    <row r="68" spans="1:12" ht="14">
      <c r="A68" s="120" t="str">
        <f ca="1">IFERROR(__xludf.DUMMYFUNCTION("""COMPUTED_VALUE"""),"Contacted")</f>
        <v>Contacted</v>
      </c>
      <c r="B68" s="126">
        <f ca="1">IFERROR(__xludf.DUMMYFUNCTION("""COMPUTED_VALUE"""),43819)</f>
        <v>43819</v>
      </c>
      <c r="C68" s="120" t="str">
        <f ca="1">IFERROR(__xludf.DUMMYFUNCTION("""COMPUTED_VALUE"""),"")</f>
        <v/>
      </c>
      <c r="D68" s="123" t="str">
        <f ca="1">IFERROR(__xludf.DUMMYFUNCTION("""COMPUTED_VALUE"""),"")</f>
        <v/>
      </c>
      <c r="E68" s="123" t="str">
        <f ca="1">IFERROR(__xludf.DUMMYFUNCTION("""COMPUTED_VALUE"""),"No")</f>
        <v>No</v>
      </c>
      <c r="F68" s="123" t="str">
        <f ca="1">IFERROR(__xludf.DUMMYFUNCTION("""COMPUTED_VALUE"""),"Variant Pathogenicity")</f>
        <v>Variant Pathogenicity</v>
      </c>
      <c r="G68" s="120" t="str">
        <f ca="1">IFERROR(__xludf.DUMMYFUNCTION("""COMPUTED_VALUE"""),"")</f>
        <v/>
      </c>
      <c r="H68" s="120" t="str">
        <f ca="1">IFERROR(__xludf.DUMMYFUNCTION("""COMPUTED_VALUE"""),"Jessica Hatton")</f>
        <v>Jessica Hatton</v>
      </c>
      <c r="I68" s="120" t="str">
        <f ca="1">IFERROR(__xludf.DUMMYFUNCTION("""COMPUTED_VALUE"""),"jessica.hatton@nih.gov")</f>
        <v>jessica.hatton@nih.gov</v>
      </c>
      <c r="J68" s="123" t="str">
        <f ca="1">IFERROR(__xludf.DUMMYFUNCTION("""COMPUTED_VALUE"""),"Comprehensive")</f>
        <v>Comprehensive</v>
      </c>
      <c r="K68" s="124" t="str">
        <f ca="1">IFERROR(__xludf.DUMMYFUNCTION("""COMPUTED_VALUE"""),"TP53")</f>
        <v>TP53</v>
      </c>
      <c r="L68" t="str">
        <f ca="1">IFERROR(__xludf.DUMMYFUNCTION("""COMPUTED_VALUE"""),"No")</f>
        <v>No</v>
      </c>
    </row>
    <row r="69" spans="1:12" ht="28">
      <c r="A69" s="120" t="str">
        <f ca="1">IFERROR(__xludf.DUMMYFUNCTION("""COMPUTED_VALUE"""),"Contacted")</f>
        <v>Contacted</v>
      </c>
      <c r="B69" s="126">
        <f ca="1">IFERROR(__xludf.DUMMYFUNCTION("""COMPUTED_VALUE"""),43819)</f>
        <v>43819</v>
      </c>
      <c r="C69" s="120" t="str">
        <f ca="1">IFERROR(__xludf.DUMMYFUNCTION("""COMPUTED_VALUE"""),"")</f>
        <v/>
      </c>
      <c r="D69" s="123" t="str">
        <f ca="1">IFERROR(__xludf.DUMMYFUNCTION("""COMPUTED_VALUE"""),"")</f>
        <v/>
      </c>
      <c r="E69" s="123" t="str">
        <f ca="1">IFERROR(__xludf.DUMMYFUNCTION("""COMPUTED_VALUE"""),"No")</f>
        <v>No</v>
      </c>
      <c r="F69" s="123" t="str">
        <f ca="1">IFERROR(__xludf.DUMMYFUNCTION("""COMPUTED_VALUE"""),"Variant Pathogenicity")</f>
        <v>Variant Pathogenicity</v>
      </c>
      <c r="G69" s="120" t="str">
        <f ca="1">IFERROR(__xludf.DUMMYFUNCTION("""COMPUTED_VALUE"""),"")</f>
        <v/>
      </c>
      <c r="H69" s="120" t="str">
        <f ca="1">IFERROR(__xludf.DUMMYFUNCTION("""COMPUTED_VALUE"""),"Xia Tian")</f>
        <v>Xia Tian</v>
      </c>
      <c r="I69" s="120" t="str">
        <f ca="1">IFERROR(__xludf.DUMMYFUNCTION("""COMPUTED_VALUE"""),"xtian@wuxinextcode.com")</f>
        <v>xtian@wuxinextcode.com</v>
      </c>
      <c r="J69" s="123" t="str">
        <f ca="1">IFERROR(__xludf.DUMMYFUNCTION("""COMPUTED_VALUE"""),"Comprehensive")</f>
        <v>Comprehensive</v>
      </c>
      <c r="K69" s="124" t="str">
        <f ca="1">IFERROR(__xludf.DUMMYFUNCTION("""COMPUTED_VALUE"""),"Mitochondrial Diseases(gene/variant) and Somatic Cancer")</f>
        <v>Mitochondrial Diseases(gene/variant) and Somatic Cancer</v>
      </c>
      <c r="L69" t="str">
        <f ca="1">IFERROR(__xludf.DUMMYFUNCTION("""COMPUTED_VALUE"""),"eight years' experience of gene/variant curation and clinical case review")</f>
        <v>eight years' experience of gene/variant curation and clinical case review</v>
      </c>
    </row>
    <row r="70" spans="1:12" ht="14">
      <c r="A70" s="120" t="str">
        <f ca="1">IFERROR(__xludf.DUMMYFUNCTION("""COMPUTED_VALUE"""),"Contacted")</f>
        <v>Contacted</v>
      </c>
      <c r="B70" s="126">
        <f ca="1">IFERROR(__xludf.DUMMYFUNCTION("""COMPUTED_VALUE"""),43819)</f>
        <v>43819</v>
      </c>
      <c r="C70" s="120" t="str">
        <f ca="1">IFERROR(__xludf.DUMMYFUNCTION("""COMPUTED_VALUE"""),"")</f>
        <v/>
      </c>
      <c r="D70" s="123" t="str">
        <f ca="1">IFERROR(__xludf.DUMMYFUNCTION("""COMPUTED_VALUE"""),"")</f>
        <v/>
      </c>
      <c r="E70" s="123" t="str">
        <f ca="1">IFERROR(__xludf.DUMMYFUNCTION("""COMPUTED_VALUE"""),"No")</f>
        <v>No</v>
      </c>
      <c r="F70" s="123" t="str">
        <f ca="1">IFERROR(__xludf.DUMMYFUNCTION("""COMPUTED_VALUE"""),"Variant Pathogenicity")</f>
        <v>Variant Pathogenicity</v>
      </c>
      <c r="G70" s="120" t="str">
        <f ca="1">IFERROR(__xludf.DUMMYFUNCTION("""COMPUTED_VALUE"""),"")</f>
        <v/>
      </c>
      <c r="H70" s="120" t="str">
        <f ca="1">IFERROR(__xludf.DUMMYFUNCTION("""COMPUTED_VALUE"""),"Pamela Ajuyah")</f>
        <v>Pamela Ajuyah</v>
      </c>
      <c r="I70" s="120" t="str">
        <f ca="1">IFERROR(__xludf.DUMMYFUNCTION("""COMPUTED_VALUE"""),"pamela.a.ajuyah@gmail.com")</f>
        <v>pamela.a.ajuyah@gmail.com</v>
      </c>
      <c r="J70" s="123" t="str">
        <f ca="1">IFERROR(__xludf.DUMMYFUNCTION("""COMPUTED_VALUE"""),"Comprehensive")</f>
        <v>Comprehensive</v>
      </c>
      <c r="K70" s="124" t="str">
        <f ca="1">IFERROR(__xludf.DUMMYFUNCTION("""COMPUTED_VALUE"""),"")</f>
        <v/>
      </c>
      <c r="L70" t="str">
        <f ca="1">IFERROR(__xludf.DUMMYFUNCTION("""COMPUTED_VALUE"""),"")</f>
        <v/>
      </c>
    </row>
    <row r="71" spans="1:12" ht="14">
      <c r="A71" s="120" t="str">
        <f ca="1">IFERROR(__xludf.DUMMYFUNCTION("""COMPUTED_VALUE"""),"Contacted")</f>
        <v>Contacted</v>
      </c>
      <c r="B71" s="126">
        <f ca="1">IFERROR(__xludf.DUMMYFUNCTION("""COMPUTED_VALUE"""),43819)</f>
        <v>43819</v>
      </c>
      <c r="C71" s="120" t="str">
        <f ca="1">IFERROR(__xludf.DUMMYFUNCTION("""COMPUTED_VALUE"""),"")</f>
        <v/>
      </c>
      <c r="D71" s="123" t="str">
        <f ca="1">IFERROR(__xludf.DUMMYFUNCTION("""COMPUTED_VALUE"""),"")</f>
        <v/>
      </c>
      <c r="E71" s="123" t="str">
        <f ca="1">IFERROR(__xludf.DUMMYFUNCTION("""COMPUTED_VALUE"""),"No")</f>
        <v>No</v>
      </c>
      <c r="F71" s="123" t="str">
        <f ca="1">IFERROR(__xludf.DUMMYFUNCTION("""COMPUTED_VALUE"""),"Variant Pathogenicity")</f>
        <v>Variant Pathogenicity</v>
      </c>
      <c r="G71" s="120" t="str">
        <f ca="1">IFERROR(__xludf.DUMMYFUNCTION("""COMPUTED_VALUE"""),"")</f>
        <v/>
      </c>
      <c r="H71" s="120" t="str">
        <f ca="1">IFERROR(__xludf.DUMMYFUNCTION("""COMPUTED_VALUE"""),"Venkatesan Sengoda Gounder")</f>
        <v>Venkatesan Sengoda Gounder</v>
      </c>
      <c r="I71" s="120" t="str">
        <f ca="1">IFERROR(__xludf.DUMMYFUNCTION("""COMPUTED_VALUE"""),"agrivenkat@gmail.com")</f>
        <v>agrivenkat@gmail.com</v>
      </c>
      <c r="J71" s="123" t="str">
        <f ca="1">IFERROR(__xludf.DUMMYFUNCTION("""COMPUTED_VALUE"""),"Comprehensive")</f>
        <v>Comprehensive</v>
      </c>
      <c r="K71" s="124" t="str">
        <f ca="1">IFERROR(__xludf.DUMMYFUNCTION("""COMPUTED_VALUE"""),"Yes")</f>
        <v>Yes</v>
      </c>
      <c r="L71" t="str">
        <f ca="1">IFERROR(__xludf.DUMMYFUNCTION("""COMPUTED_VALUE"""),"No")</f>
        <v>No</v>
      </c>
    </row>
    <row r="72" spans="1:12" ht="42">
      <c r="A72" s="120" t="str">
        <f ca="1">IFERROR(__xludf.DUMMYFUNCTION("""COMPUTED_VALUE"""),"Contacted")</f>
        <v>Contacted</v>
      </c>
      <c r="B72" s="126">
        <f ca="1">IFERROR(__xludf.DUMMYFUNCTION("""COMPUTED_VALUE"""),43819)</f>
        <v>43819</v>
      </c>
      <c r="C72" s="120" t="str">
        <f ca="1">IFERROR(__xludf.DUMMYFUNCTION("""COMPUTED_VALUE"""),"")</f>
        <v/>
      </c>
      <c r="D72" s="123" t="str">
        <f ca="1">IFERROR(__xludf.DUMMYFUNCTION("""COMPUTED_VALUE"""),"")</f>
        <v/>
      </c>
      <c r="E72" s="123" t="str">
        <f ca="1">IFERROR(__xludf.DUMMYFUNCTION("""COMPUTED_VALUE"""),"No")</f>
        <v>No</v>
      </c>
      <c r="F72" s="123" t="str">
        <f ca="1">IFERROR(__xludf.DUMMYFUNCTION("""COMPUTED_VALUE"""),"Variant Pathogenicity")</f>
        <v>Variant Pathogenicity</v>
      </c>
      <c r="G72" s="120" t="str">
        <f ca="1">IFERROR(__xludf.DUMMYFUNCTION("""COMPUTED_VALUE"""),"")</f>
        <v/>
      </c>
      <c r="H72" s="120" t="str">
        <f ca="1">IFERROR(__xludf.DUMMYFUNCTION("""COMPUTED_VALUE"""),"Ronaldo da Silva Francisco Junior")</f>
        <v>Ronaldo da Silva Francisco Junior</v>
      </c>
      <c r="I72" s="120" t="str">
        <f ca="1">IFERROR(__xludf.DUMMYFUNCTION("""COMPUTED_VALUE"""),"ronaldoj@lncc.br")</f>
        <v>ronaldoj@lncc.br</v>
      </c>
      <c r="J72" s="123" t="str">
        <f ca="1">IFERROR(__xludf.DUMMYFUNCTION("""COMPUTED_VALUE"""),"Comprehensive")</f>
        <v>Comprehensive</v>
      </c>
      <c r="K72" s="124" t="str">
        <f ca="1">IFERROR(__xludf.DUMMYFUNCTION("""COMPUTED_VALUE"""),"Yes. RASopathy, Cardiomyopathy, Congenital Myopathies (newly forming), Mitochondrial diseases, Dosage-Recurrent Regions")</f>
        <v>Yes. RASopathy, Cardiomyopathy, Congenital Myopathies (newly forming), Mitochondrial diseases, Dosage-Recurrent Regions</v>
      </c>
      <c r="L72" t="str">
        <f ca="1">IFERROR(__xludf.DUMMYFUNCTION("""COMPUTED_VALUE"""),"Yes.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row>
    <row r="73" spans="1:12" ht="14">
      <c r="A73" s="120" t="str">
        <f ca="1">IFERROR(__xludf.DUMMYFUNCTION("""COMPUTED_VALUE"""),"Contacted")</f>
        <v>Contacted</v>
      </c>
      <c r="B73" s="126">
        <f ca="1">IFERROR(__xludf.DUMMYFUNCTION("""COMPUTED_VALUE"""),43819)</f>
        <v>43819</v>
      </c>
      <c r="C73" s="120" t="str">
        <f ca="1">IFERROR(__xludf.DUMMYFUNCTION("""COMPUTED_VALUE"""),"")</f>
        <v/>
      </c>
      <c r="D73" s="123" t="str">
        <f ca="1">IFERROR(__xludf.DUMMYFUNCTION("""COMPUTED_VALUE"""),"")</f>
        <v/>
      </c>
      <c r="E73" s="123" t="str">
        <f ca="1">IFERROR(__xludf.DUMMYFUNCTION("""COMPUTED_VALUE"""),"No")</f>
        <v>No</v>
      </c>
      <c r="F73" s="123" t="str">
        <f ca="1">IFERROR(__xludf.DUMMYFUNCTION("""COMPUTED_VALUE"""),"Variant Pathogenicity")</f>
        <v>Variant Pathogenicity</v>
      </c>
      <c r="G73" s="120" t="str">
        <f ca="1">IFERROR(__xludf.DUMMYFUNCTION("""COMPUTED_VALUE"""),"")</f>
        <v/>
      </c>
      <c r="H73" s="120" t="str">
        <f ca="1">IFERROR(__xludf.DUMMYFUNCTION("""COMPUTED_VALUE"""),"Raman Bansal")</f>
        <v>Raman Bansal</v>
      </c>
      <c r="I73" s="120" t="str">
        <f ca="1">IFERROR(__xludf.DUMMYFUNCTION("""COMPUTED_VALUE"""),"rbansal.osu@gmail.com")</f>
        <v>rbansal.osu@gmail.com</v>
      </c>
      <c r="J73" s="123" t="str">
        <f ca="1">IFERROR(__xludf.DUMMYFUNCTION("""COMPUTED_VALUE"""),"Comprehensive")</f>
        <v>Comprehensive</v>
      </c>
      <c r="K73" s="124" t="str">
        <f ca="1">IFERROR(__xludf.DUMMYFUNCTION("""COMPUTED_VALUE"""),"")</f>
        <v/>
      </c>
      <c r="L73" t="str">
        <f ca="1">IFERROR(__xludf.DUMMYFUNCTION("""COMPUTED_VALUE"""),"")</f>
        <v/>
      </c>
    </row>
    <row r="74" spans="1:12" ht="42">
      <c r="A74" s="120" t="str">
        <f ca="1">IFERROR(__xludf.DUMMYFUNCTION("""COMPUTED_VALUE"""),"Contacted")</f>
        <v>Contacted</v>
      </c>
      <c r="B74" s="126">
        <f ca="1">IFERROR(__xludf.DUMMYFUNCTION("""COMPUTED_VALUE"""),43819)</f>
        <v>43819</v>
      </c>
      <c r="C74" s="120" t="str">
        <f ca="1">IFERROR(__xludf.DUMMYFUNCTION("""COMPUTED_VALUE"""),"")</f>
        <v/>
      </c>
      <c r="D74" s="123" t="str">
        <f ca="1">IFERROR(__xludf.DUMMYFUNCTION("""COMPUTED_VALUE"""),"")</f>
        <v/>
      </c>
      <c r="E74" s="123" t="str">
        <f ca="1">IFERROR(__xludf.DUMMYFUNCTION("""COMPUTED_VALUE"""),"No")</f>
        <v>No</v>
      </c>
      <c r="F74" s="123" t="str">
        <f ca="1">IFERROR(__xludf.DUMMYFUNCTION("""COMPUTED_VALUE"""),"Variant Pathogenicity")</f>
        <v>Variant Pathogenicity</v>
      </c>
      <c r="G74" s="120" t="str">
        <f ca="1">IFERROR(__xludf.DUMMYFUNCTION("""COMPUTED_VALUE"""),"")</f>
        <v/>
      </c>
      <c r="H74" s="120" t="str">
        <f ca="1">IFERROR(__xludf.DUMMYFUNCTION("""COMPUTED_VALUE"""),"Sara Spencer")</f>
        <v>Sara Spencer</v>
      </c>
      <c r="I74" s="120" t="str">
        <f ca="1">IFERROR(__xludf.DUMMYFUNCTION("""COMPUTED_VALUE"""),"saspence@nm.org")</f>
        <v>saspence@nm.org</v>
      </c>
      <c r="J74" s="123" t="str">
        <f ca="1">IFERROR(__xludf.DUMMYFUNCTION("""COMPUTED_VALUE"""),"Comprehensive")</f>
        <v>Comprehensive</v>
      </c>
      <c r="K74" s="124" t="str">
        <f ca="1">IFERROR(__xludf.DUMMYFUNCTION("""COMPUTED_VALUE"""),"Gene Curation Expert Panels - Epilepsy 
Variant Curation Expert Panels - Brain Malformations")</f>
        <v>Gene Curation Expert Panels - Epilepsy 
Variant Curation Expert Panels - Brain Malformations</v>
      </c>
      <c r="L74" t="str">
        <f ca="1">IFERROR(__xludf.DUMMYFUNCTION("""COMPUTED_VALUE"""),"As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row>
    <row r="75" spans="1:12" ht="14">
      <c r="A75" s="120" t="str">
        <f ca="1">IFERROR(__xludf.DUMMYFUNCTION("""COMPUTED_VALUE"""),"Contacted")</f>
        <v>Contacted</v>
      </c>
      <c r="B75" s="126">
        <f ca="1">IFERROR(__xludf.DUMMYFUNCTION("""COMPUTED_VALUE"""),43819)</f>
        <v>43819</v>
      </c>
      <c r="C75" s="120" t="str">
        <f ca="1">IFERROR(__xludf.DUMMYFUNCTION("""COMPUTED_VALUE"""),"")</f>
        <v/>
      </c>
      <c r="D75" s="123" t="str">
        <f ca="1">IFERROR(__xludf.DUMMYFUNCTION("""COMPUTED_VALUE"""),"")</f>
        <v/>
      </c>
      <c r="E75" s="123" t="str">
        <f ca="1">IFERROR(__xludf.DUMMYFUNCTION("""COMPUTED_VALUE"""),"No")</f>
        <v>No</v>
      </c>
      <c r="F75" s="123" t="str">
        <f ca="1">IFERROR(__xludf.DUMMYFUNCTION("""COMPUTED_VALUE"""),"Variant Pathogenicity")</f>
        <v>Variant Pathogenicity</v>
      </c>
      <c r="G75" s="120" t="str">
        <f ca="1">IFERROR(__xludf.DUMMYFUNCTION("""COMPUTED_VALUE"""),"")</f>
        <v/>
      </c>
      <c r="H75" s="120" t="str">
        <f ca="1">IFERROR(__xludf.DUMMYFUNCTION("""COMPUTED_VALUE"""),"Madhu Ouseph")</f>
        <v>Madhu Ouseph</v>
      </c>
      <c r="I75" s="120" t="str">
        <f ca="1">IFERROR(__xludf.DUMMYFUNCTION("""COMPUTED_VALUE"""),"mouseph@stanford.edu")</f>
        <v>mouseph@stanford.edu</v>
      </c>
      <c r="J75" s="123" t="str">
        <f ca="1">IFERROR(__xludf.DUMMYFUNCTION("""COMPUTED_VALUE"""),"Comprehensive")</f>
        <v>Comprehensive</v>
      </c>
      <c r="K75" s="124" t="str">
        <f ca="1">IFERROR(__xludf.DUMMYFUNCTION("""COMPUTED_VALUE"""),"Myeloid Malignancy")</f>
        <v>Myeloid Malignancy</v>
      </c>
      <c r="L75" t="str">
        <f ca="1">IFERROR(__xludf.DUMMYFUNCTION("""COMPUTED_VALUE"""),"Currently involved in annotation of variants identified in NGS assays")</f>
        <v>Currently involved in annotation of variants identified in NGS assays</v>
      </c>
    </row>
    <row r="76" spans="1:12" ht="14">
      <c r="A76" s="120" t="str">
        <f ca="1">IFERROR(__xludf.DUMMYFUNCTION("""COMPUTED_VALUE"""),"Contacted")</f>
        <v>Contacted</v>
      </c>
      <c r="B76" s="126">
        <f ca="1">IFERROR(__xludf.DUMMYFUNCTION("""COMPUTED_VALUE"""),43819)</f>
        <v>43819</v>
      </c>
      <c r="C76" s="120" t="str">
        <f ca="1">IFERROR(__xludf.DUMMYFUNCTION("""COMPUTED_VALUE"""),"")</f>
        <v/>
      </c>
      <c r="D76" s="123" t="str">
        <f ca="1">IFERROR(__xludf.DUMMYFUNCTION("""COMPUTED_VALUE"""),"")</f>
        <v/>
      </c>
      <c r="E76" s="123" t="str">
        <f ca="1">IFERROR(__xludf.DUMMYFUNCTION("""COMPUTED_VALUE"""),"No")</f>
        <v>No</v>
      </c>
      <c r="F76" s="123" t="str">
        <f ca="1">IFERROR(__xludf.DUMMYFUNCTION("""COMPUTED_VALUE"""),"Variant Pathogenicity")</f>
        <v>Variant Pathogenicity</v>
      </c>
      <c r="G76" s="120" t="str">
        <f ca="1">IFERROR(__xludf.DUMMYFUNCTION("""COMPUTED_VALUE"""),"")</f>
        <v/>
      </c>
      <c r="H76" s="120" t="str">
        <f ca="1">IFERROR(__xludf.DUMMYFUNCTION("""COMPUTED_VALUE"""),"Janey Youngblom")</f>
        <v>Janey Youngblom</v>
      </c>
      <c r="I76" s="120" t="str">
        <f ca="1">IFERROR(__xludf.DUMMYFUNCTION("""COMPUTED_VALUE"""),"jyoungblom1@csustan.edu")</f>
        <v>jyoungblom1@csustan.edu</v>
      </c>
      <c r="J76" s="123" t="str">
        <f ca="1">IFERROR(__xludf.DUMMYFUNCTION("""COMPUTED_VALUE"""),"Comprehensive")</f>
        <v>Comprehensive</v>
      </c>
      <c r="K76" s="124" t="str">
        <f ca="1">IFERROR(__xludf.DUMMYFUNCTION("""COMPUTED_VALUE"""),"Familial Hypercholesterolemia")</f>
        <v>Familial Hypercholesterolemia</v>
      </c>
      <c r="L76" t="str">
        <f ca="1">IFERROR(__xludf.DUMMYFUNCTION("""COMPUTED_VALUE"""),"As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row>
    <row r="77" spans="1:12" ht="14">
      <c r="A77" s="120" t="str">
        <f ca="1">IFERROR(__xludf.DUMMYFUNCTION("""COMPUTED_VALUE"""),"Contacted")</f>
        <v>Contacted</v>
      </c>
      <c r="B77" s="126">
        <f ca="1">IFERROR(__xludf.DUMMYFUNCTION("""COMPUTED_VALUE"""),43819)</f>
        <v>43819</v>
      </c>
      <c r="C77" s="120" t="str">
        <f ca="1">IFERROR(__xludf.DUMMYFUNCTION("""COMPUTED_VALUE"""),"")</f>
        <v/>
      </c>
      <c r="D77" s="123" t="str">
        <f ca="1">IFERROR(__xludf.DUMMYFUNCTION("""COMPUTED_VALUE"""),"")</f>
        <v/>
      </c>
      <c r="E77" s="123" t="str">
        <f ca="1">IFERROR(__xludf.DUMMYFUNCTION("""COMPUTED_VALUE"""),"No")</f>
        <v>No</v>
      </c>
      <c r="F77" s="123" t="str">
        <f ca="1">IFERROR(__xludf.DUMMYFUNCTION("""COMPUTED_VALUE"""),"Variant Pathogenicity")</f>
        <v>Variant Pathogenicity</v>
      </c>
      <c r="G77" s="120" t="str">
        <f ca="1">IFERROR(__xludf.DUMMYFUNCTION("""COMPUTED_VALUE"""),"")</f>
        <v/>
      </c>
      <c r="H77" s="120" t="str">
        <f ca="1">IFERROR(__xludf.DUMMYFUNCTION("""COMPUTED_VALUE"""),"Caterina Clementi")</f>
        <v>Caterina Clementi</v>
      </c>
      <c r="I77" s="120" t="str">
        <f ca="1">IFERROR(__xludf.DUMMYFUNCTION("""COMPUTED_VALUE"""),"caterina.clementi@gmail.com")</f>
        <v>caterina.clementi@gmail.com</v>
      </c>
      <c r="J77" s="123" t="str">
        <f ca="1">IFERROR(__xludf.DUMMYFUNCTION("""COMPUTED_VALUE"""),"Comprehensive")</f>
        <v>Comprehensive</v>
      </c>
      <c r="K77" s="124" t="str">
        <f ca="1">IFERROR(__xludf.DUMMYFUNCTION("""COMPUTED_VALUE"""),"Metabolic conditions")</f>
        <v>Metabolic conditions</v>
      </c>
      <c r="L77" t="str">
        <f ca="1">IFERROR(__xludf.DUMMYFUNCTION("""COMPUTED_VALUE"""),"Yes,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row>
    <row r="78" spans="1:12" ht="14">
      <c r="A78" s="120" t="str">
        <f ca="1">IFERROR(__xludf.DUMMYFUNCTION("""COMPUTED_VALUE"""),"Contacted")</f>
        <v>Contacted</v>
      </c>
      <c r="B78" s="126">
        <f ca="1">IFERROR(__xludf.DUMMYFUNCTION("""COMPUTED_VALUE"""),43819)</f>
        <v>43819</v>
      </c>
      <c r="C78" s="120" t="str">
        <f ca="1">IFERROR(__xludf.DUMMYFUNCTION("""COMPUTED_VALUE"""),"")</f>
        <v/>
      </c>
      <c r="D78" s="123" t="str">
        <f ca="1">IFERROR(__xludf.DUMMYFUNCTION("""COMPUTED_VALUE"""),"")</f>
        <v/>
      </c>
      <c r="E78" s="123" t="str">
        <f ca="1">IFERROR(__xludf.DUMMYFUNCTION("""COMPUTED_VALUE"""),"No")</f>
        <v>No</v>
      </c>
      <c r="F78" s="123" t="str">
        <f ca="1">IFERROR(__xludf.DUMMYFUNCTION("""COMPUTED_VALUE"""),"Variant Pathogenicity")</f>
        <v>Variant Pathogenicity</v>
      </c>
      <c r="G78" s="120" t="str">
        <f ca="1">IFERROR(__xludf.DUMMYFUNCTION("""COMPUTED_VALUE"""),"")</f>
        <v/>
      </c>
      <c r="H78" s="120" t="str">
        <f ca="1">IFERROR(__xludf.DUMMYFUNCTION("""COMPUTED_VALUE"""),"Catherine Spellicy")</f>
        <v>Catherine Spellicy</v>
      </c>
      <c r="I78" s="120" t="str">
        <f ca="1">IFERROR(__xludf.DUMMYFUNCTION("""COMPUTED_VALUE"""),"cspellic@counsyl.com")</f>
        <v>cspellic@counsyl.com</v>
      </c>
      <c r="J78" s="123" t="str">
        <f ca="1">IFERROR(__xludf.DUMMYFUNCTION("""COMPUTED_VALUE"""),"Comprehensive")</f>
        <v>Comprehensive</v>
      </c>
      <c r="K78" s="124" t="str">
        <f ca="1">IFERROR(__xludf.DUMMYFUNCTION("""COMPUTED_VALUE"""),"Sequence Variant Interpretation")</f>
        <v>Sequence Variant Interpretation</v>
      </c>
      <c r="L78" t="str">
        <f ca="1">IFERROR(__xludf.DUMMYFUNCTION("""COMPUTED_VALUE"""),"Many hours experience with variant analysis and classification.")</f>
        <v>Many hours experience with variant analysis and classification.</v>
      </c>
    </row>
    <row r="79" spans="1:12" ht="14">
      <c r="A79" s="120" t="str">
        <f ca="1">IFERROR(__xludf.DUMMYFUNCTION("""COMPUTED_VALUE"""),"Contacted")</f>
        <v>Contacted</v>
      </c>
      <c r="B79" s="126">
        <f ca="1">IFERROR(__xludf.DUMMYFUNCTION("""COMPUTED_VALUE"""),43819)</f>
        <v>43819</v>
      </c>
      <c r="C79" s="120" t="str">
        <f ca="1">IFERROR(__xludf.DUMMYFUNCTION("""COMPUTED_VALUE"""),"")</f>
        <v/>
      </c>
      <c r="D79" s="123" t="str">
        <f ca="1">IFERROR(__xludf.DUMMYFUNCTION("""COMPUTED_VALUE"""),"")</f>
        <v/>
      </c>
      <c r="E79" s="123" t="str">
        <f ca="1">IFERROR(__xludf.DUMMYFUNCTION("""COMPUTED_VALUE"""),"No")</f>
        <v>No</v>
      </c>
      <c r="F79" s="123" t="str">
        <f ca="1">IFERROR(__xludf.DUMMYFUNCTION("""COMPUTED_VALUE"""),"Variant Pathogenicity")</f>
        <v>Variant Pathogenicity</v>
      </c>
      <c r="G79" s="120" t="str">
        <f ca="1">IFERROR(__xludf.DUMMYFUNCTION("""COMPUTED_VALUE"""),"")</f>
        <v/>
      </c>
      <c r="H79" s="120" t="str">
        <f ca="1">IFERROR(__xludf.DUMMYFUNCTION("""COMPUTED_VALUE"""),"Edgar Ramirez")</f>
        <v>Edgar Ramirez</v>
      </c>
      <c r="I79" s="120" t="str">
        <f ca="1">IFERROR(__xludf.DUMMYFUNCTION("""COMPUTED_VALUE"""),"e.ramirezr@hotmail.com")</f>
        <v>e.ramirezr@hotmail.com</v>
      </c>
      <c r="J79" s="123" t="str">
        <f ca="1">IFERROR(__xludf.DUMMYFUNCTION("""COMPUTED_VALUE"""),"Comprehensive")</f>
        <v>Comprehensive</v>
      </c>
      <c r="K79" s="124" t="str">
        <f ca="1">IFERROR(__xludf.DUMMYFUNCTION("""COMPUTED_VALUE"""),"")</f>
        <v/>
      </c>
      <c r="L79" t="str">
        <f ca="1">IFERROR(__xludf.DUMMYFUNCTION("""COMPUTED_VALUE"""),"I was lead scientist for variant interpretation at a clinical laboratory")</f>
        <v>I was lead scientist for variant interpretation at a clinical laboratory</v>
      </c>
    </row>
    <row r="80" spans="1:12" ht="14">
      <c r="A80" s="120" t="str">
        <f ca="1">IFERROR(__xludf.DUMMYFUNCTION("""COMPUTED_VALUE"""),"Contacted")</f>
        <v>Contacted</v>
      </c>
      <c r="B80" s="126">
        <f ca="1">IFERROR(__xludf.DUMMYFUNCTION("""COMPUTED_VALUE"""),43819)</f>
        <v>43819</v>
      </c>
      <c r="C80" s="120" t="str">
        <f ca="1">IFERROR(__xludf.DUMMYFUNCTION("""COMPUTED_VALUE"""),"")</f>
        <v/>
      </c>
      <c r="D80" s="123" t="str">
        <f ca="1">IFERROR(__xludf.DUMMYFUNCTION("""COMPUTED_VALUE"""),"")</f>
        <v/>
      </c>
      <c r="E80" s="123" t="str">
        <f ca="1">IFERROR(__xludf.DUMMYFUNCTION("""COMPUTED_VALUE"""),"No")</f>
        <v>No</v>
      </c>
      <c r="F80" s="123" t="str">
        <f ca="1">IFERROR(__xludf.DUMMYFUNCTION("""COMPUTED_VALUE"""),"Variant Pathogenicity")</f>
        <v>Variant Pathogenicity</v>
      </c>
      <c r="G80" s="120" t="str">
        <f ca="1">IFERROR(__xludf.DUMMYFUNCTION("""COMPUTED_VALUE"""),"")</f>
        <v/>
      </c>
      <c r="H80" s="120" t="str">
        <f ca="1">IFERROR(__xludf.DUMMYFUNCTION("""COMPUTED_VALUE"""),"Xin Chen")</f>
        <v>Xin Chen</v>
      </c>
      <c r="I80" s="120" t="str">
        <f ca="1">IFERROR(__xludf.DUMMYFUNCTION("""COMPUTED_VALUE"""),"chenx30nju@gmail.com")</f>
        <v>chenx30nju@gmail.com</v>
      </c>
      <c r="J80" s="123" t="str">
        <f ca="1">IFERROR(__xludf.DUMMYFUNCTION("""COMPUTED_VALUE"""),"Comprehensive")</f>
        <v>Comprehensive</v>
      </c>
      <c r="K80" s="124" t="str">
        <f ca="1">IFERROR(__xludf.DUMMYFUNCTION("""COMPUTED_VALUE"""),"I am open to any opportunity.")</f>
        <v>I am open to any opportunity.</v>
      </c>
      <c r="L80" t="str">
        <f ca="1">IFERROR(__xludf.DUMMYFUNCTION("""COMPUTED_VALUE"""),"During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row>
    <row r="81" spans="1:12" ht="14">
      <c r="A81" s="120" t="str">
        <f ca="1">IFERROR(__xludf.DUMMYFUNCTION("""COMPUTED_VALUE"""),"Contacted")</f>
        <v>Contacted</v>
      </c>
      <c r="B81" s="120" t="str">
        <f ca="1">IFERROR(__xludf.DUMMYFUNCTION("""COMPUTED_VALUE"""),"")</f>
        <v/>
      </c>
      <c r="C81" s="126">
        <f ca="1">IFERROR(__xludf.DUMMYFUNCTION("""COMPUTED_VALUE"""),43626)</f>
        <v>43626</v>
      </c>
      <c r="D81" s="123" t="str">
        <f ca="1">IFERROR(__xludf.DUMMYFUNCTION("""COMPUTED_VALUE"""),"Yes")</f>
        <v>Yes</v>
      </c>
      <c r="E81" s="123" t="str">
        <f ca="1">IFERROR(__xludf.DUMMYFUNCTION("""COMPUTED_VALUE"""),"Yes")</f>
        <v>Yes</v>
      </c>
      <c r="F81" s="123" t="str">
        <f ca="1">IFERROR(__xludf.DUMMYFUNCTION("""COMPUTED_VALUE"""),"Variant Pathogenicity")</f>
        <v>Variant Pathogenicity</v>
      </c>
      <c r="G81" s="120" t="str">
        <f ca="1">IFERROR(__xludf.DUMMYFUNCTION("""COMPUTED_VALUE"""),"")</f>
        <v/>
      </c>
      <c r="H81" s="120" t="str">
        <f ca="1">IFERROR(__xludf.DUMMYFUNCTION("""COMPUTED_VALUE"""),"Tomohiko Ai")</f>
        <v>Tomohiko Ai</v>
      </c>
      <c r="I81" s="120" t="str">
        <f ca="1">IFERROR(__xludf.DUMMYFUNCTION("""COMPUTED_VALUE"""),"Tomohiko.Ai@osumc.edu")</f>
        <v>Tomohiko.Ai@osumc.edu</v>
      </c>
      <c r="J81" s="123" t="str">
        <f ca="1">IFERROR(__xludf.DUMMYFUNCTION("""COMPUTED_VALUE"""),"Comprehensive")</f>
        <v>Comprehensive</v>
      </c>
      <c r="K81" s="124" t="str">
        <f ca="1">IFERROR(__xludf.DUMMYFUNCTION("""COMPUTED_VALUE"""),"")</f>
        <v/>
      </c>
      <c r="L81" t="str">
        <f ca="1">IFERROR(__xludf.DUMMYFUNCTION("""COMPUTED_VALUE"""),"")</f>
        <v/>
      </c>
    </row>
    <row r="82" spans="1:12" ht="14">
      <c r="A82" s="120" t="str">
        <f ca="1">IFERROR(__xludf.DUMMYFUNCTION("""COMPUTED_VALUE"""),"Contacted")</f>
        <v>Contacted</v>
      </c>
      <c r="B82" s="120" t="str">
        <f ca="1">IFERROR(__xludf.DUMMYFUNCTION("""COMPUTED_VALUE"""),"")</f>
        <v/>
      </c>
      <c r="C82" s="126">
        <f ca="1">IFERROR(__xludf.DUMMYFUNCTION("""COMPUTED_VALUE"""),43605)</f>
        <v>43605</v>
      </c>
      <c r="D82" s="123" t="str">
        <f ca="1">IFERROR(__xludf.DUMMYFUNCTION("""COMPUTED_VALUE"""),"Yes")</f>
        <v>Yes</v>
      </c>
      <c r="E82" s="123" t="str">
        <f ca="1">IFERROR(__xludf.DUMMYFUNCTION("""COMPUTED_VALUE"""),"Yes")</f>
        <v>Yes</v>
      </c>
      <c r="F82" s="123" t="str">
        <f ca="1">IFERROR(__xludf.DUMMYFUNCTION("""COMPUTED_VALUE"""),"Variant Pathogenicity")</f>
        <v>Variant Pathogenicity</v>
      </c>
      <c r="G82" s="120" t="str">
        <f ca="1">IFERROR(__xludf.DUMMYFUNCTION("""COMPUTED_VALUE"""),"")</f>
        <v/>
      </c>
      <c r="H82" s="120" t="str">
        <f ca="1">IFERROR(__xludf.DUMMYFUNCTION("""COMPUTED_VALUE"""),"Coumarane Mani")</f>
        <v>Coumarane Mani</v>
      </c>
      <c r="I82" s="120" t="str">
        <f ca="1">IFERROR(__xludf.DUMMYFUNCTION("""COMPUTED_VALUE"""),"coumarane.mani@aruplab.com")</f>
        <v>coumarane.mani@aruplab.com</v>
      </c>
      <c r="J82" s="123" t="str">
        <f ca="1">IFERROR(__xludf.DUMMYFUNCTION("""COMPUTED_VALUE"""),"Comprehensive")</f>
        <v>Comprehensive</v>
      </c>
      <c r="K82" s="124" t="str">
        <f ca="1">IFERROR(__xludf.DUMMYFUNCTION("""COMPUTED_VALUE"""),"")</f>
        <v/>
      </c>
      <c r="L82" t="str">
        <f ca="1">IFERROR(__xludf.DUMMYFUNCTION("""COMPUTED_VALUE"""),"")</f>
        <v/>
      </c>
    </row>
    <row r="83" spans="1:12" ht="14">
      <c r="A83" s="120" t="str">
        <f ca="1">IFERROR(__xludf.DUMMYFUNCTION("""COMPUTED_VALUE"""),"Contacted")</f>
        <v>Contacted</v>
      </c>
      <c r="B83" s="120" t="str">
        <f ca="1">IFERROR(__xludf.DUMMYFUNCTION("""COMPUTED_VALUE"""),"")</f>
        <v/>
      </c>
      <c r="C83" s="126">
        <f ca="1">IFERROR(__xludf.DUMMYFUNCTION("""COMPUTED_VALUE"""),47258)</f>
        <v>47258</v>
      </c>
      <c r="D83" s="123" t="str">
        <f ca="1">IFERROR(__xludf.DUMMYFUNCTION("""COMPUTED_VALUE"""),"Yes")</f>
        <v>Yes</v>
      </c>
      <c r="E83" s="123" t="str">
        <f ca="1">IFERROR(__xludf.DUMMYFUNCTION("""COMPUTED_VALUE"""),"Yes")</f>
        <v>Yes</v>
      </c>
      <c r="F83" s="123" t="str">
        <f ca="1">IFERROR(__xludf.DUMMYFUNCTION("""COMPUTED_VALUE"""),"Variant Pathogenicity")</f>
        <v>Variant Pathogenicity</v>
      </c>
      <c r="G83" s="120" t="str">
        <f ca="1">IFERROR(__xludf.DUMMYFUNCTION("""COMPUTED_VALUE"""),"")</f>
        <v/>
      </c>
      <c r="H83" s="120" t="str">
        <f ca="1">IFERROR(__xludf.DUMMYFUNCTION("""COMPUTED_VALUE"""),"Diogo Ventura Lovato")</f>
        <v>Diogo Ventura Lovato</v>
      </c>
      <c r="I83" s="120" t="str">
        <f ca="1">IFERROR(__xludf.DUMMYFUNCTION("""COMPUTED_VALUE"""),"diogo.v.lovato@gmail.com")</f>
        <v>diogo.v.lovato@gmail.com</v>
      </c>
      <c r="J83" s="123" t="str">
        <f ca="1">IFERROR(__xludf.DUMMYFUNCTION("""COMPUTED_VALUE"""),"Comprehensive")</f>
        <v>Comprehensive</v>
      </c>
      <c r="K83" s="124" t="str">
        <f ca="1">IFERROR(__xludf.DUMMYFUNCTION("""COMPUTED_VALUE"""),"")</f>
        <v/>
      </c>
      <c r="L83" t="str">
        <f ca="1">IFERROR(__xludf.DUMMYFUNCTION("""COMPUTED_VALUE"""),"")</f>
        <v/>
      </c>
    </row>
    <row r="84" spans="1:12" ht="14">
      <c r="A84" s="120" t="str">
        <f ca="1">IFERROR(__xludf.DUMMYFUNCTION("""COMPUTED_VALUE"""),"Contacted")</f>
        <v>Contacted</v>
      </c>
      <c r="B84" s="120" t="str">
        <f ca="1">IFERROR(__xludf.DUMMYFUNCTION("""COMPUTED_VALUE"""),"")</f>
        <v/>
      </c>
      <c r="C84" s="126">
        <f ca="1">IFERROR(__xludf.DUMMYFUNCTION("""COMPUTED_VALUE"""),43626)</f>
        <v>43626</v>
      </c>
      <c r="D84" s="123" t="str">
        <f ca="1">IFERROR(__xludf.DUMMYFUNCTION("""COMPUTED_VALUE"""),"Yes")</f>
        <v>Yes</v>
      </c>
      <c r="E84" s="123" t="str">
        <f ca="1">IFERROR(__xludf.DUMMYFUNCTION("""COMPUTED_VALUE"""),"No")</f>
        <v>No</v>
      </c>
      <c r="F84" s="123" t="str">
        <f ca="1">IFERROR(__xludf.DUMMYFUNCTION("""COMPUTED_VALUE"""),"Variant Pathogenicity")</f>
        <v>Variant Pathogenicity</v>
      </c>
      <c r="G84" s="120" t="str">
        <f ca="1">IFERROR(__xludf.DUMMYFUNCTION("""COMPUTED_VALUE"""),"")</f>
        <v/>
      </c>
      <c r="H84" s="120" t="str">
        <f ca="1">IFERROR(__xludf.DUMMYFUNCTION("""COMPUTED_VALUE"""),"Elaine Spector")</f>
        <v>Elaine Spector</v>
      </c>
      <c r="I84" s="120" t="str">
        <f ca="1">IFERROR(__xludf.DUMMYFUNCTION("""COMPUTED_VALUE"""),"elaine.spector@childrenscolorado.org")</f>
        <v>elaine.spector@childrenscolorado.org</v>
      </c>
      <c r="J84" s="123" t="str">
        <f ca="1">IFERROR(__xludf.DUMMYFUNCTION("""COMPUTED_VALUE"""),"Comprehensive")</f>
        <v>Comprehensive</v>
      </c>
      <c r="K84" s="124" t="str">
        <f ca="1">IFERROR(__xludf.DUMMYFUNCTION("""COMPUTED_VALUE"""),"")</f>
        <v/>
      </c>
      <c r="L84" t="str">
        <f ca="1">IFERROR(__xludf.DUMMYFUNCTION("""COMPUTED_VALUE"""),"")</f>
        <v/>
      </c>
    </row>
    <row r="85" spans="1:12" ht="14">
      <c r="A85" s="120" t="str">
        <f ca="1">IFERROR(__xludf.DUMMYFUNCTION("""COMPUTED_VALUE"""),"Contacted")</f>
        <v>Contacted</v>
      </c>
      <c r="B85" s="120" t="str">
        <f ca="1">IFERROR(__xludf.DUMMYFUNCTION("""COMPUTED_VALUE"""),"")</f>
        <v/>
      </c>
      <c r="C85" s="126">
        <f ca="1">IFERROR(__xludf.DUMMYFUNCTION("""COMPUTED_VALUE"""),43608)</f>
        <v>43608</v>
      </c>
      <c r="D85" s="123" t="str">
        <f ca="1">IFERROR(__xludf.DUMMYFUNCTION("""COMPUTED_VALUE"""),"Yes")</f>
        <v>Yes</v>
      </c>
      <c r="E85" s="123" t="str">
        <f ca="1">IFERROR(__xludf.DUMMYFUNCTION("""COMPUTED_VALUE"""),"Yes")</f>
        <v>Yes</v>
      </c>
      <c r="F85" s="123" t="str">
        <f ca="1">IFERROR(__xludf.DUMMYFUNCTION("""COMPUTED_VALUE"""),"Variant Pathogenicity")</f>
        <v>Variant Pathogenicity</v>
      </c>
      <c r="G85" s="120" t="str">
        <f ca="1">IFERROR(__xludf.DUMMYFUNCTION("""COMPUTED_VALUE"""),"TP53")</f>
        <v>TP53</v>
      </c>
      <c r="H85" s="120" t="str">
        <f ca="1">IFERROR(__xludf.DUMMYFUNCTION("""COMPUTED_VALUE"""),"Laura Fuqua")</f>
        <v>Laura Fuqua</v>
      </c>
      <c r="I85" s="120" t="str">
        <f ca="1">IFERROR(__xludf.DUMMYFUNCTION("""COMPUTED_VALUE"""),"laura.fuqua@gmail.com")</f>
        <v>laura.fuqua@gmail.com</v>
      </c>
      <c r="J85" s="123" t="str">
        <f ca="1">IFERROR(__xludf.DUMMYFUNCTION("""COMPUTED_VALUE"""),"Comprehensive")</f>
        <v>Comprehensive</v>
      </c>
      <c r="K85" s="124" t="str">
        <f ca="1">IFERROR(__xludf.DUMMYFUNCTION("""COMPUTED_VALUE"""),"")</f>
        <v/>
      </c>
      <c r="L85" t="str">
        <f ca="1">IFERROR(__xludf.DUMMYFUNCTION("""COMPUTED_VALUE"""),"")</f>
        <v/>
      </c>
    </row>
    <row r="86" spans="1:12" ht="28">
      <c r="A86" s="120" t="str">
        <f ca="1">IFERROR(__xludf.DUMMYFUNCTION("""COMPUTED_VALUE"""),"Contacted")</f>
        <v>Contacted</v>
      </c>
      <c r="B86" s="126">
        <f ca="1">IFERROR(__xludf.DUMMYFUNCTION("""COMPUTED_VALUE"""),43819)</f>
        <v>43819</v>
      </c>
      <c r="C86" s="120" t="str">
        <f ca="1">IFERROR(__xludf.DUMMYFUNCTION("""COMPUTED_VALUE"""),"")</f>
        <v/>
      </c>
      <c r="D86" s="123" t="str">
        <f ca="1">IFERROR(__xludf.DUMMYFUNCTION("""COMPUTED_VALUE"""),"")</f>
        <v/>
      </c>
      <c r="E86" s="123" t="str">
        <f ca="1">IFERROR(__xludf.DUMMYFUNCTION("""COMPUTED_VALUE"""),"No")</f>
        <v>No</v>
      </c>
      <c r="F86" s="123" t="str">
        <f ca="1">IFERROR(__xludf.DUMMYFUNCTION("""COMPUTED_VALUE"""),"Variant Pathogenicity")</f>
        <v>Variant Pathogenicity</v>
      </c>
      <c r="G86" s="120" t="str">
        <f ca="1">IFERROR(__xludf.DUMMYFUNCTION("""COMPUTED_VALUE"""),"")</f>
        <v/>
      </c>
      <c r="H86" s="120" t="str">
        <f ca="1">IFERROR(__xludf.DUMMYFUNCTION("""COMPUTED_VALUE"""),"Patricia Harper")</f>
        <v>Patricia Harper</v>
      </c>
      <c r="I86" s="120" t="str">
        <f ca="1">IFERROR(__xludf.DUMMYFUNCTION("""COMPUTED_VALUE"""),"pharper@cheo.on.ca")</f>
        <v>pharper@cheo.on.ca</v>
      </c>
      <c r="J86" s="123" t="str">
        <f ca="1">IFERROR(__xludf.DUMMYFUNCTION("""COMPUTED_VALUE"""),"Comprehensive")</f>
        <v>Comprehensive</v>
      </c>
      <c r="K86" s="124" t="str">
        <f ca="1">IFERROR(__xludf.DUMMYFUNCTION("""COMPUTED_VALUE"""),"Hereditary cancer (and/or associated genes such as TP53)")</f>
        <v>Hereditary cancer (and/or associated genes such as TP53)</v>
      </c>
      <c r="L86" t="str">
        <f ca="1">IFERROR(__xludf.DUMMYFUNCTION("""COMPUTED_VALUE"""),"Yes, currently a member of the ClinGen Cardiomyopathy VCC")</f>
        <v>Yes, currently a member of the ClinGen Cardiomyopathy VCC</v>
      </c>
    </row>
    <row r="87" spans="1:12" ht="14">
      <c r="A87" s="120" t="str">
        <f ca="1">IFERROR(__xludf.DUMMYFUNCTION("""COMPUTED_VALUE"""),"Contacted")</f>
        <v>Contacted</v>
      </c>
      <c r="B87" s="126">
        <f ca="1">IFERROR(__xludf.DUMMYFUNCTION("""COMPUTED_VALUE"""),43819)</f>
        <v>43819</v>
      </c>
      <c r="C87" s="120" t="str">
        <f ca="1">IFERROR(__xludf.DUMMYFUNCTION("""COMPUTED_VALUE"""),"")</f>
        <v/>
      </c>
      <c r="D87" s="123" t="str">
        <f ca="1">IFERROR(__xludf.DUMMYFUNCTION("""COMPUTED_VALUE"""),"")</f>
        <v/>
      </c>
      <c r="E87" s="123" t="str">
        <f ca="1">IFERROR(__xludf.DUMMYFUNCTION("""COMPUTED_VALUE"""),"No")</f>
        <v>No</v>
      </c>
      <c r="F87" s="123" t="str">
        <f ca="1">IFERROR(__xludf.DUMMYFUNCTION("""COMPUTED_VALUE"""),"Variant Pathogenicity")</f>
        <v>Variant Pathogenicity</v>
      </c>
      <c r="G87" s="120" t="str">
        <f ca="1">IFERROR(__xludf.DUMMYFUNCTION("""COMPUTED_VALUE"""),"")</f>
        <v/>
      </c>
      <c r="H87" s="120" t="str">
        <f ca="1">IFERROR(__xludf.DUMMYFUNCTION("""COMPUTED_VALUE"""),"Saja El Yaacoub")</f>
        <v>Saja El Yaacoub</v>
      </c>
      <c r="I87" s="120" t="str">
        <f ca="1">IFERROR(__xludf.DUMMYFUNCTION("""COMPUTED_VALUE"""),"saja.alyaacoub@live.com")</f>
        <v>saja.alyaacoub@live.com</v>
      </c>
      <c r="J87" s="123" t="str">
        <f ca="1">IFERROR(__xludf.DUMMYFUNCTION("""COMPUTED_VALUE"""),"Comprehensive")</f>
        <v>Comprehensive</v>
      </c>
      <c r="K87" s="124" t="str">
        <f ca="1">IFERROR(__xludf.DUMMYFUNCTION("""COMPUTED_VALUE"""),"Mitochondrial Diseases")</f>
        <v>Mitochondrial Diseases</v>
      </c>
      <c r="L87" t="str">
        <f ca="1">IFERROR(__xludf.DUMMYFUNCTION("""COMPUTED_VALUE"""),"")</f>
        <v/>
      </c>
    </row>
    <row r="88" spans="1:12" ht="42">
      <c r="A88" s="120" t="str">
        <f ca="1">IFERROR(__xludf.DUMMYFUNCTION("""COMPUTED_VALUE"""),"Contacted")</f>
        <v>Contacted</v>
      </c>
      <c r="B88" s="126">
        <f ca="1">IFERROR(__xludf.DUMMYFUNCTION("""COMPUTED_VALUE"""),43819)</f>
        <v>43819</v>
      </c>
      <c r="C88" s="120" t="str">
        <f ca="1">IFERROR(__xludf.DUMMYFUNCTION("""COMPUTED_VALUE"""),"")</f>
        <v/>
      </c>
      <c r="D88" s="123" t="str">
        <f ca="1">IFERROR(__xludf.DUMMYFUNCTION("""COMPUTED_VALUE"""),"")</f>
        <v/>
      </c>
      <c r="E88" s="123" t="str">
        <f ca="1">IFERROR(__xludf.DUMMYFUNCTION("""COMPUTED_VALUE"""),"No")</f>
        <v>No</v>
      </c>
      <c r="F88" s="123" t="str">
        <f ca="1">IFERROR(__xludf.DUMMYFUNCTION("""COMPUTED_VALUE"""),"Variant Pathogenicity")</f>
        <v>Variant Pathogenicity</v>
      </c>
      <c r="G88" s="120" t="str">
        <f ca="1">IFERROR(__xludf.DUMMYFUNCTION("""COMPUTED_VALUE"""),"")</f>
        <v/>
      </c>
      <c r="H88" s="120" t="str">
        <f ca="1">IFERROR(__xludf.DUMMYFUNCTION("""COMPUTED_VALUE"""),"Brandon Chalazan")</f>
        <v>Brandon Chalazan</v>
      </c>
      <c r="I88" s="120" t="str">
        <f ca="1">IFERROR(__xludf.DUMMYFUNCTION("""COMPUTED_VALUE"""),"brandon.chalazan@cw.bc.ca")</f>
        <v>brandon.chalazan@cw.bc.ca</v>
      </c>
      <c r="J88" s="123" t="str">
        <f ca="1">IFERROR(__xludf.DUMMYFUNCTION("""COMPUTED_VALUE"""),"Comprehensive")</f>
        <v>Comprehensive</v>
      </c>
      <c r="K88" s="124" t="str">
        <f ca="1">IFERROR(__xludf.DUMMYFUNCTION("""COMPUTED_VALUE"""),"All inherited cardiovascular genetic conditions.  However, I want to form a Atrial Fibrillation working expert panel.")</f>
        <v>All inherited cardiovascular genetic conditions.  However, I want to form a Atrial Fibrillation working expert panel.</v>
      </c>
      <c r="L88" t="str">
        <f ca="1">IFERROR(__xludf.DUMMYFUNCTION("""COMPUTED_VALUE"""),"Yes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row>
    <row r="89" spans="1:12" ht="14">
      <c r="A89" s="120" t="str">
        <f ca="1">IFERROR(__xludf.DUMMYFUNCTION("""COMPUTED_VALUE"""),"Contacted")</f>
        <v>Contacted</v>
      </c>
      <c r="B89" s="126">
        <f ca="1">IFERROR(__xludf.DUMMYFUNCTION("""COMPUTED_VALUE"""),43819)</f>
        <v>43819</v>
      </c>
      <c r="C89" s="120" t="str">
        <f ca="1">IFERROR(__xludf.DUMMYFUNCTION("""COMPUTED_VALUE"""),"")</f>
        <v/>
      </c>
      <c r="D89" s="123" t="str">
        <f ca="1">IFERROR(__xludf.DUMMYFUNCTION("""COMPUTED_VALUE"""),"")</f>
        <v/>
      </c>
      <c r="E89" s="123" t="str">
        <f ca="1">IFERROR(__xludf.DUMMYFUNCTION("""COMPUTED_VALUE"""),"No")</f>
        <v>No</v>
      </c>
      <c r="F89" s="123" t="str">
        <f ca="1">IFERROR(__xludf.DUMMYFUNCTION("""COMPUTED_VALUE"""),"Variant Pathogenicity")</f>
        <v>Variant Pathogenicity</v>
      </c>
      <c r="G89" s="120" t="str">
        <f ca="1">IFERROR(__xludf.DUMMYFUNCTION("""COMPUTED_VALUE"""),"")</f>
        <v/>
      </c>
      <c r="H89" s="120" t="str">
        <f ca="1">IFERROR(__xludf.DUMMYFUNCTION("""COMPUTED_VALUE"""),"jean-leon chong")</f>
        <v>jean-leon chong</v>
      </c>
      <c r="I89" s="120" t="str">
        <f ca="1">IFERROR(__xludf.DUMMYFUNCTION("""COMPUTED_VALUE"""),"leon0044@gmail.com")</f>
        <v>leon0044@gmail.com</v>
      </c>
      <c r="J89" s="123" t="str">
        <f ca="1">IFERROR(__xludf.DUMMYFUNCTION("""COMPUTED_VALUE"""),"Comprehensive")</f>
        <v>Comprehensive</v>
      </c>
      <c r="K89" s="124" t="str">
        <f ca="1">IFERROR(__xludf.DUMMYFUNCTION("""COMPUTED_VALUE"""),"")</f>
        <v/>
      </c>
      <c r="L89" t="str">
        <f ca="1">IFERROR(__xludf.DUMMYFUNCTION("""COMPUTED_VALUE"""),"some experience during fellowship training ")</f>
        <v xml:space="preserve">some experience during fellowship training </v>
      </c>
    </row>
    <row r="90" spans="1:12" ht="14">
      <c r="A90" s="120" t="str">
        <f ca="1">IFERROR(__xludf.DUMMYFUNCTION("""COMPUTED_VALUE"""),"Contacted")</f>
        <v>Contacted</v>
      </c>
      <c r="B90" s="126">
        <f ca="1">IFERROR(__xludf.DUMMYFUNCTION("""COMPUTED_VALUE"""),43819)</f>
        <v>43819</v>
      </c>
      <c r="C90" s="120" t="str">
        <f ca="1">IFERROR(__xludf.DUMMYFUNCTION("""COMPUTED_VALUE"""),"")</f>
        <v/>
      </c>
      <c r="D90" s="123" t="str">
        <f ca="1">IFERROR(__xludf.DUMMYFUNCTION("""COMPUTED_VALUE"""),"")</f>
        <v/>
      </c>
      <c r="E90" s="123" t="str">
        <f ca="1">IFERROR(__xludf.DUMMYFUNCTION("""COMPUTED_VALUE"""),"No")</f>
        <v>No</v>
      </c>
      <c r="F90" s="123" t="str">
        <f ca="1">IFERROR(__xludf.DUMMYFUNCTION("""COMPUTED_VALUE"""),"Variant Pathogenicity")</f>
        <v>Variant Pathogenicity</v>
      </c>
      <c r="G90" s="120" t="str">
        <f ca="1">IFERROR(__xludf.DUMMYFUNCTION("""COMPUTED_VALUE"""),"")</f>
        <v/>
      </c>
      <c r="H90" s="120" t="str">
        <f ca="1">IFERROR(__xludf.DUMMYFUNCTION("""COMPUTED_VALUE"""),"Terra Brannan")</f>
        <v>Terra Brannan</v>
      </c>
      <c r="I90" s="120" t="str">
        <f ca="1">IFERROR(__xludf.DUMMYFUNCTION("""COMPUTED_VALUE"""),"tbrannan@ambrygen.com")</f>
        <v>tbrannan@ambrygen.com</v>
      </c>
      <c r="J90" s="123" t="str">
        <f ca="1">IFERROR(__xludf.DUMMYFUNCTION("""COMPUTED_VALUE"""),"Comprehensive")</f>
        <v>Comprehensive</v>
      </c>
      <c r="K90" s="124" t="str">
        <f ca="1">IFERROR(__xludf.DUMMYFUNCTION("""COMPUTED_VALUE"""),"CDH1")</f>
        <v>CDH1</v>
      </c>
      <c r="L90" t="str">
        <f ca="1">IFERROR(__xludf.DUMMYFUNCTION("""COMPUTED_VALUE"""),"Yes, I have been performing variant assessment since December 2018")</f>
        <v>Yes, I have been performing variant assessment since December 2018</v>
      </c>
    </row>
    <row r="91" spans="1:12" ht="14">
      <c r="A91" s="120" t="str">
        <f ca="1">IFERROR(__xludf.DUMMYFUNCTION("""COMPUTED_VALUE"""),"Contacted")</f>
        <v>Contacted</v>
      </c>
      <c r="B91" s="126">
        <f ca="1">IFERROR(__xludf.DUMMYFUNCTION("""COMPUTED_VALUE"""),43819)</f>
        <v>43819</v>
      </c>
      <c r="C91" s="120" t="str">
        <f ca="1">IFERROR(__xludf.DUMMYFUNCTION("""COMPUTED_VALUE"""),"")</f>
        <v/>
      </c>
      <c r="D91" s="123" t="str">
        <f ca="1">IFERROR(__xludf.DUMMYFUNCTION("""COMPUTED_VALUE"""),"")</f>
        <v/>
      </c>
      <c r="E91" s="123" t="str">
        <f ca="1">IFERROR(__xludf.DUMMYFUNCTION("""COMPUTED_VALUE"""),"No")</f>
        <v>No</v>
      </c>
      <c r="F91" s="123" t="str">
        <f ca="1">IFERROR(__xludf.DUMMYFUNCTION("""COMPUTED_VALUE"""),"Variant Pathogenicity")</f>
        <v>Variant Pathogenicity</v>
      </c>
      <c r="G91" s="120" t="str">
        <f ca="1">IFERROR(__xludf.DUMMYFUNCTION("""COMPUTED_VALUE"""),"")</f>
        <v/>
      </c>
      <c r="H91" s="120" t="str">
        <f ca="1">IFERROR(__xludf.DUMMYFUNCTION("""COMPUTED_VALUE"""),"Jordan Stern")</f>
        <v>Jordan Stern</v>
      </c>
      <c r="I91" s="120" t="str">
        <f ca="1">IFERROR(__xludf.DUMMYFUNCTION("""COMPUTED_VALUE"""),"jordanjnstern@gmail.com")</f>
        <v>jordanjnstern@gmail.com</v>
      </c>
      <c r="J91" s="123" t="str">
        <f ca="1">IFERROR(__xludf.DUMMYFUNCTION("""COMPUTED_VALUE"""),"Comprehensive")</f>
        <v>Comprehensive</v>
      </c>
      <c r="K91" s="124" t="str">
        <f ca="1">IFERROR(__xludf.DUMMYFUNCTION("""COMPUTED_VALUE"""),"yes")</f>
        <v>yes</v>
      </c>
      <c r="L91" t="str">
        <f ca="1">IFERROR(__xludf.DUMMYFUNCTION("""COMPUTED_VALUE"""),"")</f>
        <v/>
      </c>
    </row>
    <row r="92" spans="1:12" ht="14">
      <c r="A92" s="120" t="str">
        <f ca="1">IFERROR(__xludf.DUMMYFUNCTION("""COMPUTED_VALUE"""),"Contacted")</f>
        <v>Contacted</v>
      </c>
      <c r="B92" s="126">
        <f ca="1">IFERROR(__xludf.DUMMYFUNCTION("""COMPUTED_VALUE"""),43819)</f>
        <v>43819</v>
      </c>
      <c r="C92" s="120" t="str">
        <f ca="1">IFERROR(__xludf.DUMMYFUNCTION("""COMPUTED_VALUE"""),"")</f>
        <v/>
      </c>
      <c r="D92" s="123" t="str">
        <f ca="1">IFERROR(__xludf.DUMMYFUNCTION("""COMPUTED_VALUE"""),"")</f>
        <v/>
      </c>
      <c r="E92" s="123" t="str">
        <f ca="1">IFERROR(__xludf.DUMMYFUNCTION("""COMPUTED_VALUE"""),"No")</f>
        <v>No</v>
      </c>
      <c r="F92" s="123" t="str">
        <f ca="1">IFERROR(__xludf.DUMMYFUNCTION("""COMPUTED_VALUE"""),"Variant Pathogenicity")</f>
        <v>Variant Pathogenicity</v>
      </c>
      <c r="G92" s="120" t="str">
        <f ca="1">IFERROR(__xludf.DUMMYFUNCTION("""COMPUTED_VALUE"""),"")</f>
        <v/>
      </c>
      <c r="H92" s="120" t="str">
        <f ca="1">IFERROR(__xludf.DUMMYFUNCTION("""COMPUTED_VALUE"""),"Jamie Maciaszek")</f>
        <v>Jamie Maciaszek</v>
      </c>
      <c r="I92" s="120" t="str">
        <f ca="1">IFERROR(__xludf.DUMMYFUNCTION("""COMPUTED_VALUE"""),"jamie.maciaszek@stjude.org")</f>
        <v>jamie.maciaszek@stjude.org</v>
      </c>
      <c r="J92" s="123" t="str">
        <f ca="1">IFERROR(__xludf.DUMMYFUNCTION("""COMPUTED_VALUE"""),"Comprehensive")</f>
        <v>Comprehensive</v>
      </c>
      <c r="K92" s="124" t="str">
        <f ca="1">IFERROR(__xludf.DUMMYFUNCTION("""COMPUTED_VALUE"""),"Myeloid Malignancy, Hereditary Cancer")</f>
        <v>Myeloid Malignancy, Hereditary Cancer</v>
      </c>
      <c r="L92" t="str">
        <f ca="1">IFERROR(__xludf.DUMMYFUNCTION("""COMPUTED_VALUE"""),"working on SJFAMILY study to curate variants in suspected cases of hereditary cancer")</f>
        <v>working on SJFAMILY study to curate variants in suspected cases of hereditary cancer</v>
      </c>
    </row>
    <row r="93" spans="1:12" ht="28">
      <c r="A93" s="120" t="str">
        <f ca="1">IFERROR(__xludf.DUMMYFUNCTION("""COMPUTED_VALUE"""),"Contacted")</f>
        <v>Contacted</v>
      </c>
      <c r="B93" s="126">
        <f ca="1">IFERROR(__xludf.DUMMYFUNCTION("""COMPUTED_VALUE"""),43819)</f>
        <v>43819</v>
      </c>
      <c r="C93" s="120" t="str">
        <f ca="1">IFERROR(__xludf.DUMMYFUNCTION("""COMPUTED_VALUE"""),"")</f>
        <v/>
      </c>
      <c r="D93" s="123" t="str">
        <f ca="1">IFERROR(__xludf.DUMMYFUNCTION("""COMPUTED_VALUE"""),"")</f>
        <v/>
      </c>
      <c r="E93" s="123" t="str">
        <f ca="1">IFERROR(__xludf.DUMMYFUNCTION("""COMPUTED_VALUE"""),"No")</f>
        <v>No</v>
      </c>
      <c r="F93" s="123" t="str">
        <f ca="1">IFERROR(__xludf.DUMMYFUNCTION("""COMPUTED_VALUE"""),"Variant Pathogenicity")</f>
        <v>Variant Pathogenicity</v>
      </c>
      <c r="G93" s="120" t="str">
        <f ca="1">IFERROR(__xludf.DUMMYFUNCTION("""COMPUTED_VALUE"""),"")</f>
        <v/>
      </c>
      <c r="H93" s="120" t="str">
        <f ca="1">IFERROR(__xludf.DUMMYFUNCTION("""COMPUTED_VALUE"""),"Olivier Bluteau")</f>
        <v>Olivier Bluteau</v>
      </c>
      <c r="I93" s="120" t="str">
        <f ca="1">IFERROR(__xludf.DUMMYFUNCTION("""COMPUTED_VALUE"""),"olivier.bluteau@aphp.fr")</f>
        <v>olivier.bluteau@aphp.fr</v>
      </c>
      <c r="J93" s="123" t="str">
        <f ca="1">IFERROR(__xludf.DUMMYFUNCTION("""COMPUTED_VALUE"""),"Comprehensive")</f>
        <v>Comprehensive</v>
      </c>
      <c r="K93" s="124" t="str">
        <f ca="1">IFERROR(__xludf.DUMMYFUNCTION("""COMPUTED_VALUE"""),"Familial Hypercholesterolemia Variant Curation Expert Panel")</f>
        <v>Familial Hypercholesterolemia Variant Curation Expert Panel</v>
      </c>
      <c r="L93" t="str">
        <f ca="1">IFERROR(__xludf.DUMMYFUNCTION("""COMPUTED_VALUE"""),"")</f>
        <v/>
      </c>
    </row>
    <row r="94" spans="1:12" ht="28">
      <c r="A94" s="120" t="str">
        <f ca="1">IFERROR(__xludf.DUMMYFUNCTION("""COMPUTED_VALUE"""),"Contacted")</f>
        <v>Contacted</v>
      </c>
      <c r="B94" s="126">
        <f ca="1">IFERROR(__xludf.DUMMYFUNCTION("""COMPUTED_VALUE"""),43819)</f>
        <v>43819</v>
      </c>
      <c r="C94" s="120" t="str">
        <f ca="1">IFERROR(__xludf.DUMMYFUNCTION("""COMPUTED_VALUE"""),"")</f>
        <v/>
      </c>
      <c r="D94" s="123" t="str">
        <f ca="1">IFERROR(__xludf.DUMMYFUNCTION("""COMPUTED_VALUE"""),"")</f>
        <v/>
      </c>
      <c r="E94" s="123" t="str">
        <f ca="1">IFERROR(__xludf.DUMMYFUNCTION("""COMPUTED_VALUE"""),"No")</f>
        <v>No</v>
      </c>
      <c r="F94" s="123" t="str">
        <f ca="1">IFERROR(__xludf.DUMMYFUNCTION("""COMPUTED_VALUE"""),"Variant Pathogenicity")</f>
        <v>Variant Pathogenicity</v>
      </c>
      <c r="G94" s="120" t="str">
        <f ca="1">IFERROR(__xludf.DUMMYFUNCTION("""COMPUTED_VALUE"""),"")</f>
        <v/>
      </c>
      <c r="H94" s="120" t="str">
        <f ca="1">IFERROR(__xludf.DUMMYFUNCTION("""COMPUTED_VALUE"""),"Linlin Zhang")</f>
        <v>Linlin Zhang</v>
      </c>
      <c r="I94" s="120" t="str">
        <f ca="1">IFERROR(__xludf.DUMMYFUNCTION("""COMPUTED_VALUE"""),"linlinzhang277@gmail.com")</f>
        <v>linlinzhang277@gmail.com</v>
      </c>
      <c r="J94" s="123" t="str">
        <f ca="1">IFERROR(__xludf.DUMMYFUNCTION("""COMPUTED_VALUE"""),"Comprehensive")</f>
        <v>Comprehensive</v>
      </c>
      <c r="K94" s="124" t="str">
        <f ca="1">IFERROR(__xludf.DUMMYFUNCTION("""COMPUTED_VALUE"""),"Dosage Sensitivity Working Group  or Variant Curation Expert Panels in Phenylketonuria")</f>
        <v>Dosage Sensitivity Working Group  or Variant Curation Expert Panels in Phenylketonuria</v>
      </c>
      <c r="L94" t="str">
        <f ca="1">IFERROR(__xludf.DUMMYFUNCTION("""COMPUTED_VALUE"""),"I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row>
    <row r="95" spans="1:12" ht="70">
      <c r="A95" s="120" t="str">
        <f ca="1">IFERROR(__xludf.DUMMYFUNCTION("""COMPUTED_VALUE"""),"Contacted")</f>
        <v>Contacted</v>
      </c>
      <c r="B95" s="126">
        <f ca="1">IFERROR(__xludf.DUMMYFUNCTION("""COMPUTED_VALUE"""),43819)</f>
        <v>43819</v>
      </c>
      <c r="C95" s="120" t="str">
        <f ca="1">IFERROR(__xludf.DUMMYFUNCTION("""COMPUTED_VALUE"""),"")</f>
        <v/>
      </c>
      <c r="D95" s="123" t="str">
        <f ca="1">IFERROR(__xludf.DUMMYFUNCTION("""COMPUTED_VALUE"""),"")</f>
        <v/>
      </c>
      <c r="E95" s="123" t="str">
        <f ca="1">IFERROR(__xludf.DUMMYFUNCTION("""COMPUTED_VALUE"""),"No")</f>
        <v>No</v>
      </c>
      <c r="F95" s="123" t="str">
        <f ca="1">IFERROR(__xludf.DUMMYFUNCTION("""COMPUTED_VALUE"""),"Variant Pathogenicity")</f>
        <v>Variant Pathogenicity</v>
      </c>
      <c r="G95" s="120" t="str">
        <f ca="1">IFERROR(__xludf.DUMMYFUNCTION("""COMPUTED_VALUE"""),"")</f>
        <v/>
      </c>
      <c r="H95" s="120" t="str">
        <f ca="1">IFERROR(__xludf.DUMMYFUNCTION("""COMPUTED_VALUE"""),"Marco Montes de Oca")</f>
        <v>Marco Montes de Oca</v>
      </c>
      <c r="I95" s="120" t="str">
        <f ca="1">IFERROR(__xludf.DUMMYFUNCTION("""COMPUTED_VALUE"""),"montesm@student.unimelb.edu.au")</f>
        <v>montesm@student.unimelb.edu.au</v>
      </c>
      <c r="J95" s="123" t="str">
        <f ca="1">IFERROR(__xludf.DUMMYFUNCTION("""COMPUTED_VALUE"""),"Comprehensive")</f>
        <v>Comprehensive</v>
      </c>
      <c r="K95" s="124" t="str">
        <f ca="1">IFERROR(__xludf.DUMMYFUNCTION("""COMPUTED_VALUE"""),"I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L95" t="str">
        <f ca="1">IFERROR(__xludf.DUMMYFUNCTION("""COMPUTED_VALUE"""),"")</f>
        <v/>
      </c>
    </row>
    <row r="96" spans="1:12" ht="14">
      <c r="A96" s="120" t="str">
        <f ca="1">IFERROR(__xludf.DUMMYFUNCTION("""COMPUTED_VALUE"""),"Contacted")</f>
        <v>Contacted</v>
      </c>
      <c r="B96" s="126">
        <f ca="1">IFERROR(__xludf.DUMMYFUNCTION("""COMPUTED_VALUE"""),43819)</f>
        <v>43819</v>
      </c>
      <c r="C96" s="120" t="str">
        <f ca="1">IFERROR(__xludf.DUMMYFUNCTION("""COMPUTED_VALUE"""),"")</f>
        <v/>
      </c>
      <c r="D96" s="123" t="str">
        <f ca="1">IFERROR(__xludf.DUMMYFUNCTION("""COMPUTED_VALUE"""),"")</f>
        <v/>
      </c>
      <c r="E96" s="123" t="str">
        <f ca="1">IFERROR(__xludf.DUMMYFUNCTION("""COMPUTED_VALUE"""),"No")</f>
        <v>No</v>
      </c>
      <c r="F96" s="123" t="str">
        <f ca="1">IFERROR(__xludf.DUMMYFUNCTION("""COMPUTED_VALUE"""),"Variant Pathogenicity")</f>
        <v>Variant Pathogenicity</v>
      </c>
      <c r="G96" s="120" t="str">
        <f ca="1">IFERROR(__xludf.DUMMYFUNCTION("""COMPUTED_VALUE"""),"")</f>
        <v/>
      </c>
      <c r="H96" s="120" t="str">
        <f ca="1">IFERROR(__xludf.DUMMYFUNCTION("""COMPUTED_VALUE"""),"Heather Harris")</f>
        <v>Heather Harris</v>
      </c>
      <c r="I96" s="120" t="str">
        <f ca="1">IFERROR(__xludf.DUMMYFUNCTION("""COMPUTED_VALUE"""),"heatherkharris1@gmail.com")</f>
        <v>heatherkharris1@gmail.com</v>
      </c>
      <c r="J96" s="123" t="str">
        <f ca="1">IFERROR(__xludf.DUMMYFUNCTION("""COMPUTED_VALUE"""),"Comprehensive")</f>
        <v>Comprehensive</v>
      </c>
      <c r="K96" s="124" t="str">
        <f ca="1">IFERROR(__xludf.DUMMYFUNCTION("""COMPUTED_VALUE"""),"I am open to any opportunity.")</f>
        <v>I am open to any opportunity.</v>
      </c>
      <c r="L96" t="str">
        <f ca="1">IFERROR(__xludf.DUMMYFUNCTION("""COMPUTED_VALUE"""),"Limited experience with creating variant descriptions for lab report writing. ")</f>
        <v xml:space="preserve">Limited experience with creating variant descriptions for lab report writing. </v>
      </c>
    </row>
    <row r="97" spans="1:12" ht="14">
      <c r="A97" s="120" t="str">
        <f ca="1">IFERROR(__xludf.DUMMYFUNCTION("""COMPUTED_VALUE"""),"Contacted")</f>
        <v>Contacted</v>
      </c>
      <c r="B97" s="126">
        <f ca="1">IFERROR(__xludf.DUMMYFUNCTION("""COMPUTED_VALUE"""),43819)</f>
        <v>43819</v>
      </c>
      <c r="C97" s="120" t="str">
        <f ca="1">IFERROR(__xludf.DUMMYFUNCTION("""COMPUTED_VALUE"""),"")</f>
        <v/>
      </c>
      <c r="D97" s="123" t="str">
        <f ca="1">IFERROR(__xludf.DUMMYFUNCTION("""COMPUTED_VALUE"""),"")</f>
        <v/>
      </c>
      <c r="E97" s="123" t="str">
        <f ca="1">IFERROR(__xludf.DUMMYFUNCTION("""COMPUTED_VALUE"""),"No")</f>
        <v>No</v>
      </c>
      <c r="F97" s="123" t="str">
        <f ca="1">IFERROR(__xludf.DUMMYFUNCTION("""COMPUTED_VALUE"""),"Variant Pathogenicity")</f>
        <v>Variant Pathogenicity</v>
      </c>
      <c r="G97" s="120" t="str">
        <f ca="1">IFERROR(__xludf.DUMMYFUNCTION("""COMPUTED_VALUE"""),"")</f>
        <v/>
      </c>
      <c r="H97" s="120" t="str">
        <f ca="1">IFERROR(__xludf.DUMMYFUNCTION("""COMPUTED_VALUE"""),"Kaitlin Lenhart")</f>
        <v>Kaitlin Lenhart</v>
      </c>
      <c r="I97" s="120" t="str">
        <f ca="1">IFERROR(__xludf.DUMMYFUNCTION("""COMPUTED_VALUE"""),"kaitlin.lenhart@slh.wisc.edu")</f>
        <v>kaitlin.lenhart@slh.wisc.edu</v>
      </c>
      <c r="J97" s="123" t="str">
        <f ca="1">IFERROR(__xludf.DUMMYFUNCTION("""COMPUTED_VALUE"""),"Comprehensive")</f>
        <v>Comprehensive</v>
      </c>
      <c r="K97" s="124" t="str">
        <f ca="1">IFERROR(__xludf.DUMMYFUNCTION("""COMPUTED_VALUE"""),"")</f>
        <v/>
      </c>
      <c r="L97" t="str">
        <f ca="1">IFERROR(__xludf.DUMMYFUNCTION("""COMPUTED_VALUE"""),"")</f>
        <v/>
      </c>
    </row>
    <row r="98" spans="1:12" ht="14">
      <c r="A98" s="120" t="str">
        <f ca="1">IFERROR(__xludf.DUMMYFUNCTION("""COMPUTED_VALUE"""),"Contacted")</f>
        <v>Contacted</v>
      </c>
      <c r="B98" s="126">
        <f ca="1">IFERROR(__xludf.DUMMYFUNCTION("""COMPUTED_VALUE"""),43819)</f>
        <v>43819</v>
      </c>
      <c r="C98" s="120" t="str">
        <f ca="1">IFERROR(__xludf.DUMMYFUNCTION("""COMPUTED_VALUE"""),"")</f>
        <v/>
      </c>
      <c r="D98" s="123" t="str">
        <f ca="1">IFERROR(__xludf.DUMMYFUNCTION("""COMPUTED_VALUE"""),"")</f>
        <v/>
      </c>
      <c r="E98" s="123" t="str">
        <f ca="1">IFERROR(__xludf.DUMMYFUNCTION("""COMPUTED_VALUE"""),"No")</f>
        <v>No</v>
      </c>
      <c r="F98" s="123" t="str">
        <f ca="1">IFERROR(__xludf.DUMMYFUNCTION("""COMPUTED_VALUE"""),"Variant Pathogenicity")</f>
        <v>Variant Pathogenicity</v>
      </c>
      <c r="G98" s="120" t="str">
        <f ca="1">IFERROR(__xludf.DUMMYFUNCTION("""COMPUTED_VALUE"""),"")</f>
        <v/>
      </c>
      <c r="H98" s="120" t="str">
        <f ca="1">IFERROR(__xludf.DUMMYFUNCTION("""COMPUTED_VALUE"""),"YANYI YAO")</f>
        <v>YANYI YAO</v>
      </c>
      <c r="I98" s="120" t="str">
        <f ca="1">IFERROR(__xludf.DUMMYFUNCTION("""COMPUTED_VALUE"""),"yaoyanyi@hotmail.com")</f>
        <v>yaoyanyi@hotmail.com</v>
      </c>
      <c r="J98" s="123" t="str">
        <f ca="1">IFERROR(__xludf.DUMMYFUNCTION("""COMPUTED_VALUE"""),"Comprehensive")</f>
        <v>Comprehensive</v>
      </c>
      <c r="K98" s="124" t="str">
        <f ca="1">IFERROR(__xludf.DUMMYFUNCTION("""COMPUTED_VALUE"""),"Limb Girdle Muscular Dystrophy ")</f>
        <v xml:space="preserve">Limb Girdle Muscular Dystrophy </v>
      </c>
      <c r="L98" t="str">
        <f ca="1">IFERROR(__xludf.DUMMYFUNCTION("""COMPUTED_VALUE"""),"I attended Interpreting Genomes for Rare Disease 2019.")</f>
        <v>I attended Interpreting Genomes for Rare Disease 2019.</v>
      </c>
    </row>
    <row r="99" spans="1:12" ht="14">
      <c r="A99" s="120" t="str">
        <f ca="1">IFERROR(__xludf.DUMMYFUNCTION("""COMPUTED_VALUE"""),"Contacted")</f>
        <v>Contacted</v>
      </c>
      <c r="B99" s="126">
        <f ca="1">IFERROR(__xludf.DUMMYFUNCTION("""COMPUTED_VALUE"""),43819)</f>
        <v>43819</v>
      </c>
      <c r="C99" s="120" t="str">
        <f ca="1">IFERROR(__xludf.DUMMYFUNCTION("""COMPUTED_VALUE"""),"")</f>
        <v/>
      </c>
      <c r="D99" s="123" t="str">
        <f ca="1">IFERROR(__xludf.DUMMYFUNCTION("""COMPUTED_VALUE"""),"")</f>
        <v/>
      </c>
      <c r="E99" s="123" t="str">
        <f ca="1">IFERROR(__xludf.DUMMYFUNCTION("""COMPUTED_VALUE"""),"No")</f>
        <v>No</v>
      </c>
      <c r="F99" s="123" t="str">
        <f ca="1">IFERROR(__xludf.DUMMYFUNCTION("""COMPUTED_VALUE"""),"Variant Pathogenicity")</f>
        <v>Variant Pathogenicity</v>
      </c>
      <c r="G99" s="120" t="str">
        <f ca="1">IFERROR(__xludf.DUMMYFUNCTION("""COMPUTED_VALUE"""),"")</f>
        <v/>
      </c>
      <c r="H99" s="120" t="str">
        <f ca="1">IFERROR(__xludf.DUMMYFUNCTION("""COMPUTED_VALUE"""),"Daniela Martiniuc")</f>
        <v>Daniela Martiniuc</v>
      </c>
      <c r="I99" s="120" t="str">
        <f ca="1">IFERROR(__xludf.DUMMYFUNCTION("""COMPUTED_VALUE"""),"dmartiniuc@ucdavis.edu")</f>
        <v>dmartiniuc@ucdavis.edu</v>
      </c>
      <c r="J99" s="123" t="str">
        <f ca="1">IFERROR(__xludf.DUMMYFUNCTION("""COMPUTED_VALUE"""),"Comprehensive")</f>
        <v>Comprehensive</v>
      </c>
      <c r="K99" s="124" t="str">
        <f ca="1">IFERROR(__xludf.DUMMYFUNCTION("""COMPUTED_VALUE"""),"")</f>
        <v/>
      </c>
      <c r="L99" t="str">
        <f ca="1">IFERROR(__xludf.DUMMYFUNCTION("""COMPUTED_VALUE"""),"I have no experience with curation")</f>
        <v>I have no experience with curation</v>
      </c>
    </row>
    <row r="100" spans="1:12" ht="14">
      <c r="A100" s="120" t="str">
        <f ca="1">IFERROR(__xludf.DUMMYFUNCTION("""COMPUTED_VALUE"""),"Contacted")</f>
        <v>Contacted</v>
      </c>
      <c r="B100" s="126">
        <f ca="1">IFERROR(__xludf.DUMMYFUNCTION("""COMPUTED_VALUE"""),43819)</f>
        <v>43819</v>
      </c>
      <c r="C100" s="120" t="str">
        <f ca="1">IFERROR(__xludf.DUMMYFUNCTION("""COMPUTED_VALUE"""),"")</f>
        <v/>
      </c>
      <c r="D100" s="123" t="str">
        <f ca="1">IFERROR(__xludf.DUMMYFUNCTION("""COMPUTED_VALUE"""),"")</f>
        <v/>
      </c>
      <c r="E100" s="123" t="str">
        <f ca="1">IFERROR(__xludf.DUMMYFUNCTION("""COMPUTED_VALUE"""),"No")</f>
        <v>No</v>
      </c>
      <c r="F100" s="123" t="str">
        <f ca="1">IFERROR(__xludf.DUMMYFUNCTION("""COMPUTED_VALUE"""),"Variant Pathogenicity")</f>
        <v>Variant Pathogenicity</v>
      </c>
      <c r="G100" s="120" t="str">
        <f ca="1">IFERROR(__xludf.DUMMYFUNCTION("""COMPUTED_VALUE"""),"")</f>
        <v/>
      </c>
      <c r="H100" s="120" t="str">
        <f ca="1">IFERROR(__xludf.DUMMYFUNCTION("""COMPUTED_VALUE"""),"Elizabeth Ewen")</f>
        <v>Elizabeth Ewen</v>
      </c>
      <c r="I100" s="120" t="str">
        <f ca="1">IFERROR(__xludf.DUMMYFUNCTION("""COMPUTED_VALUE"""),"elizabeth.ewen@agilent.com")</f>
        <v>elizabeth.ewen@agilent.com</v>
      </c>
      <c r="J100" s="123" t="str">
        <f ca="1">IFERROR(__xludf.DUMMYFUNCTION("""COMPUTED_VALUE"""),"Comprehensive")</f>
        <v>Comprehensive</v>
      </c>
      <c r="K100" s="124" t="str">
        <f ca="1">IFERROR(__xludf.DUMMYFUNCTION("""COMPUTED_VALUE"""),"")</f>
        <v/>
      </c>
      <c r="L100" t="str">
        <f ca="1">IFERROR(__xludf.DUMMYFUNCTION("""COMPUTED_VALUE"""),"Helping customers find clinically relevant/pathogenic variants")</f>
        <v>Helping customers find clinically relevant/pathogenic variants</v>
      </c>
    </row>
    <row r="101" spans="1:12" ht="14">
      <c r="A101" s="120" t="str">
        <f ca="1">IFERROR(__xludf.DUMMYFUNCTION("""COMPUTED_VALUE"""),"Contacted")</f>
        <v>Contacted</v>
      </c>
      <c r="B101" s="126">
        <f ca="1">IFERROR(__xludf.DUMMYFUNCTION("""COMPUTED_VALUE"""),43819)</f>
        <v>43819</v>
      </c>
      <c r="C101" s="120" t="str">
        <f ca="1">IFERROR(__xludf.DUMMYFUNCTION("""COMPUTED_VALUE"""),"")</f>
        <v/>
      </c>
      <c r="D101" s="123" t="str">
        <f ca="1">IFERROR(__xludf.DUMMYFUNCTION("""COMPUTED_VALUE"""),"")</f>
        <v/>
      </c>
      <c r="E101" s="123" t="str">
        <f ca="1">IFERROR(__xludf.DUMMYFUNCTION("""COMPUTED_VALUE"""),"No")</f>
        <v>No</v>
      </c>
      <c r="F101" s="123" t="str">
        <f ca="1">IFERROR(__xludf.DUMMYFUNCTION("""COMPUTED_VALUE"""),"Variant Pathogenicity")</f>
        <v>Variant Pathogenicity</v>
      </c>
      <c r="G101" s="120" t="str">
        <f ca="1">IFERROR(__xludf.DUMMYFUNCTION("""COMPUTED_VALUE"""),"")</f>
        <v/>
      </c>
      <c r="H101" s="120" t="str">
        <f ca="1">IFERROR(__xludf.DUMMYFUNCTION("""COMPUTED_VALUE"""),"Jennifer Sloan")</f>
        <v>Jennifer Sloan</v>
      </c>
      <c r="I101" s="120" t="str">
        <f ca="1">IFERROR(__xludf.DUMMYFUNCTION("""COMPUTED_VALUE"""),"jsloan@mail.nih.gov")</f>
        <v>jsloan@mail.nih.gov</v>
      </c>
      <c r="J101" s="123" t="str">
        <f ca="1">IFERROR(__xludf.DUMMYFUNCTION("""COMPUTED_VALUE"""),"Comprehensive")</f>
        <v>Comprehensive</v>
      </c>
      <c r="K101" s="124" t="str">
        <f ca="1">IFERROR(__xludf.DUMMYFUNCTION("""COMPUTED_VALUE"""),"OTC")</f>
        <v>OTC</v>
      </c>
      <c r="L101" t="str">
        <f ca="1">IFERROR(__xludf.DUMMYFUNCTION("""COMPUTED_VALUE"""),"I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row>
    <row r="102" spans="1:12" ht="14">
      <c r="A102" t="str">
        <f ca="1">IFERROR(__xludf.DUMMYFUNCTION("""COMPUTED_VALUE"""),"Contacted")</f>
        <v>Contacted</v>
      </c>
      <c r="B102" s="108">
        <f ca="1">IFERROR(__xludf.DUMMYFUNCTION("""COMPUTED_VALUE"""),43819)</f>
        <v>43819</v>
      </c>
      <c r="C102" t="str">
        <f ca="1">IFERROR(__xludf.DUMMYFUNCTION("""COMPUTED_VALUE"""),"")</f>
        <v/>
      </c>
      <c r="D102" s="49" t="str">
        <f ca="1">IFERROR(__xludf.DUMMYFUNCTION("""COMPUTED_VALUE"""),"")</f>
        <v/>
      </c>
      <c r="E102" s="49" t="str">
        <f ca="1">IFERROR(__xludf.DUMMYFUNCTION("""COMPUTED_VALUE"""),"No")</f>
        <v>No</v>
      </c>
      <c r="F102" s="49" t="str">
        <f ca="1">IFERROR(__xludf.DUMMYFUNCTION("""COMPUTED_VALUE"""),"Variant Pathogenicity")</f>
        <v>Variant Pathogenicity</v>
      </c>
      <c r="G102" t="str">
        <f ca="1">IFERROR(__xludf.DUMMYFUNCTION("""COMPUTED_VALUE"""),"")</f>
        <v/>
      </c>
      <c r="H102" t="str">
        <f ca="1">IFERROR(__xludf.DUMMYFUNCTION("""COMPUTED_VALUE"""),"Guadalupe Carvajal")</f>
        <v>Guadalupe Carvajal</v>
      </c>
      <c r="I102" t="str">
        <f ca="1">IFERROR(__xludf.DUMMYFUNCTION("""COMPUTED_VALUE"""),"gcarvajal18@students.kgi.edu")</f>
        <v>gcarvajal18@students.kgi.edu</v>
      </c>
      <c r="J102" s="49" t="str">
        <f ca="1">IFERROR(__xludf.DUMMYFUNCTION("""COMPUTED_VALUE"""),"Comprehensive")</f>
        <v>Comprehensive</v>
      </c>
      <c r="K102" s="118" t="str">
        <f ca="1">IFERROR(__xludf.DUMMYFUNCTION("""COMPUTED_VALUE"""),"")</f>
        <v/>
      </c>
      <c r="L102" t="str">
        <f ca="1">IFERROR(__xludf.DUMMYFUNCTION("""COMPUTED_VALUE"""),"Very basic work done in class")</f>
        <v>Very basic work done in class</v>
      </c>
    </row>
    <row r="103" spans="1:12" ht="14">
      <c r="A103" t="str">
        <f ca="1">IFERROR(__xludf.DUMMYFUNCTION("""COMPUTED_VALUE"""),"Contacted")</f>
        <v>Contacted</v>
      </c>
      <c r="B103" s="108">
        <f ca="1">IFERROR(__xludf.DUMMYFUNCTION("""COMPUTED_VALUE"""),43819)</f>
        <v>43819</v>
      </c>
      <c r="C103" t="str">
        <f ca="1">IFERROR(__xludf.DUMMYFUNCTION("""COMPUTED_VALUE"""),"")</f>
        <v/>
      </c>
      <c r="D103" s="49" t="str">
        <f ca="1">IFERROR(__xludf.DUMMYFUNCTION("""COMPUTED_VALUE"""),"")</f>
        <v/>
      </c>
      <c r="E103" s="49" t="str">
        <f ca="1">IFERROR(__xludf.DUMMYFUNCTION("""COMPUTED_VALUE"""),"No")</f>
        <v>No</v>
      </c>
      <c r="F103" s="49" t="str">
        <f ca="1">IFERROR(__xludf.DUMMYFUNCTION("""COMPUTED_VALUE"""),"Variant Pathogenicity")</f>
        <v>Variant Pathogenicity</v>
      </c>
      <c r="G103" t="str">
        <f ca="1">IFERROR(__xludf.DUMMYFUNCTION("""COMPUTED_VALUE"""),"")</f>
        <v/>
      </c>
      <c r="H103" t="str">
        <f ca="1">IFERROR(__xludf.DUMMYFUNCTION("""COMPUTED_VALUE"""),"Liang Guo")</f>
        <v>Liang Guo</v>
      </c>
      <c r="I103" t="str">
        <f ca="1">IFERROR(__xludf.DUMMYFUNCTION("""COMPUTED_VALUE"""),"lguo@cvpath.org")</f>
        <v>lguo@cvpath.org</v>
      </c>
      <c r="J103" s="49" t="str">
        <f ca="1">IFERROR(__xludf.DUMMYFUNCTION("""COMPUTED_VALUE"""),"Comprehensive")</f>
        <v>Comprehensive</v>
      </c>
      <c r="K103" s="118" t="str">
        <f ca="1">IFERROR(__xludf.DUMMYFUNCTION("""COMPUTED_VALUE"""),"Cardiovascular working group")</f>
        <v>Cardiovascular working group</v>
      </c>
      <c r="L103" t="str">
        <f ca="1">IFERROR(__xludf.DUMMYFUNCTION("""COMPUTED_VALUE"""),"Yes, curation of hypertrophic cardiomyopathy")</f>
        <v>Yes, curation of hypertrophic cardiomyopathy</v>
      </c>
    </row>
    <row r="104" spans="1:12" ht="14">
      <c r="A104" t="str">
        <f ca="1">IFERROR(__xludf.DUMMYFUNCTION("""COMPUTED_VALUE"""),"Contacted")</f>
        <v>Contacted</v>
      </c>
      <c r="B104" s="108">
        <f ca="1">IFERROR(__xludf.DUMMYFUNCTION("""COMPUTED_VALUE"""),43819)</f>
        <v>43819</v>
      </c>
      <c r="C104" t="str">
        <f ca="1">IFERROR(__xludf.DUMMYFUNCTION("""COMPUTED_VALUE"""),"")</f>
        <v/>
      </c>
      <c r="D104" s="49" t="str">
        <f ca="1">IFERROR(__xludf.DUMMYFUNCTION("""COMPUTED_VALUE"""),"")</f>
        <v/>
      </c>
      <c r="E104" s="49" t="str">
        <f ca="1">IFERROR(__xludf.DUMMYFUNCTION("""COMPUTED_VALUE"""),"No")</f>
        <v>No</v>
      </c>
      <c r="F104" s="49" t="str">
        <f ca="1">IFERROR(__xludf.DUMMYFUNCTION("""COMPUTED_VALUE"""),"Variant Pathogenicity")</f>
        <v>Variant Pathogenicity</v>
      </c>
      <c r="G104" t="str">
        <f ca="1">IFERROR(__xludf.DUMMYFUNCTION("""COMPUTED_VALUE"""),"")</f>
        <v/>
      </c>
      <c r="H104" t="str">
        <f ca="1">IFERROR(__xludf.DUMMYFUNCTION("""COMPUTED_VALUE"""),"Abul Kalam Azad")</f>
        <v>Abul Kalam Azad</v>
      </c>
      <c r="I104" t="str">
        <f ca="1">IFERROR(__xludf.DUMMYFUNCTION("""COMPUTED_VALUE"""),"azadak@gmail.com")</f>
        <v>azadak@gmail.com</v>
      </c>
      <c r="J104" s="49" t="str">
        <f ca="1">IFERROR(__xludf.DUMMYFUNCTION("""COMPUTED_VALUE"""),"Comprehensive")</f>
        <v>Comprehensive</v>
      </c>
      <c r="K104" s="118" t="str">
        <f ca="1">IFERROR(__xludf.DUMMYFUNCTION("""COMPUTED_VALUE"""),"")</f>
        <v/>
      </c>
      <c r="L104" t="str">
        <f ca="1">IFERROR(__xludf.DUMMYFUNCTION("""COMPUTED_VALUE"""),"")</f>
        <v/>
      </c>
    </row>
    <row r="105" spans="1:12" ht="28">
      <c r="A105" t="str">
        <f ca="1">IFERROR(__xludf.DUMMYFUNCTION("""COMPUTED_VALUE"""),"Contacted")</f>
        <v>Contacted</v>
      </c>
      <c r="B105" s="108">
        <f ca="1">IFERROR(__xludf.DUMMYFUNCTION("""COMPUTED_VALUE"""),43819)</f>
        <v>43819</v>
      </c>
      <c r="C105" t="str">
        <f ca="1">IFERROR(__xludf.DUMMYFUNCTION("""COMPUTED_VALUE"""),"")</f>
        <v/>
      </c>
      <c r="D105" s="49" t="str">
        <f ca="1">IFERROR(__xludf.DUMMYFUNCTION("""COMPUTED_VALUE"""),"")</f>
        <v/>
      </c>
      <c r="E105" s="49" t="str">
        <f ca="1">IFERROR(__xludf.DUMMYFUNCTION("""COMPUTED_VALUE"""),"No")</f>
        <v>No</v>
      </c>
      <c r="F105" s="49" t="str">
        <f ca="1">IFERROR(__xludf.DUMMYFUNCTION("""COMPUTED_VALUE"""),"Variant Pathogenicity")</f>
        <v>Variant Pathogenicity</v>
      </c>
      <c r="G105" t="str">
        <f ca="1">IFERROR(__xludf.DUMMYFUNCTION("""COMPUTED_VALUE"""),"")</f>
        <v/>
      </c>
      <c r="H105" t="str">
        <f ca="1">IFERROR(__xludf.DUMMYFUNCTION("""COMPUTED_VALUE"""),"Celeste Bento")</f>
        <v>Celeste Bento</v>
      </c>
      <c r="I105" t="str">
        <f ca="1">IFERROR(__xludf.DUMMYFUNCTION("""COMPUTED_VALUE"""),"celeste.bento@chuc.min-saude.pt")</f>
        <v>celeste.bento@chuc.min-saude.pt</v>
      </c>
      <c r="J105" s="49" t="str">
        <f ca="1">IFERROR(__xludf.DUMMYFUNCTION("""COMPUTED_VALUE"""),"Comprehensive")</f>
        <v>Comprehensive</v>
      </c>
      <c r="K105" s="118" t="str">
        <f ca="1">IFERROR(__xludf.DUMMYFUNCTION("""COMPUTED_VALUE"""),"I'm in the Core Task Team of ClinGen Haemoglobinopathy EP")</f>
        <v>I'm in the Core Task Team of ClinGen Haemoglobinopathy EP</v>
      </c>
      <c r="L105" t="str">
        <f ca="1">IFERROR(__xludf.DUMMYFUNCTION("""COMPUTED_VALUE"""),"I need to apply the ACMG rules in my everyday work ")</f>
        <v xml:space="preserve">I need to apply the ACMG rules in my everyday work </v>
      </c>
    </row>
    <row r="106" spans="1:12" ht="28">
      <c r="A106" t="str">
        <f ca="1">IFERROR(__xludf.DUMMYFUNCTION("""COMPUTED_VALUE"""),"Contacted")</f>
        <v>Contacted</v>
      </c>
      <c r="B106" s="108">
        <f ca="1">IFERROR(__xludf.DUMMYFUNCTION("""COMPUTED_VALUE"""),43819)</f>
        <v>43819</v>
      </c>
      <c r="C106" t="str">
        <f ca="1">IFERROR(__xludf.DUMMYFUNCTION("""COMPUTED_VALUE"""),"")</f>
        <v/>
      </c>
      <c r="D106" s="49" t="str">
        <f ca="1">IFERROR(__xludf.DUMMYFUNCTION("""COMPUTED_VALUE"""),"")</f>
        <v/>
      </c>
      <c r="E106" s="49" t="str">
        <f ca="1">IFERROR(__xludf.DUMMYFUNCTION("""COMPUTED_VALUE"""),"No")</f>
        <v>No</v>
      </c>
      <c r="F106" s="49" t="str">
        <f ca="1">IFERROR(__xludf.DUMMYFUNCTION("""COMPUTED_VALUE"""),"Variant Pathogenicity")</f>
        <v>Variant Pathogenicity</v>
      </c>
      <c r="G106" t="str">
        <f ca="1">IFERROR(__xludf.DUMMYFUNCTION("""COMPUTED_VALUE"""),"")</f>
        <v/>
      </c>
      <c r="H106" t="str">
        <f ca="1">IFERROR(__xludf.DUMMYFUNCTION("""COMPUTED_VALUE"""),"Prasad Rao Kopparapu")</f>
        <v>Prasad Rao Kopparapu</v>
      </c>
      <c r="I106" t="str">
        <f ca="1">IFERROR(__xludf.DUMMYFUNCTION("""COMPUTED_VALUE"""),"prasaad82@gmail.com")</f>
        <v>prasaad82@gmail.com</v>
      </c>
      <c r="J106" s="49" t="str">
        <f ca="1">IFERROR(__xludf.DUMMYFUNCTION("""COMPUTED_VALUE"""),"Comprehensive")</f>
        <v>Comprehensive</v>
      </c>
      <c r="K106" s="118" t="str">
        <f ca="1">IFERROR(__xludf.DUMMYFUNCTION("""COMPUTED_VALUE"""),"Variant Curation Expert Panels-TP53*, Somatic Cancer Working Group-Pediatric,")</f>
        <v>Variant Curation Expert Panels-TP53*, Somatic Cancer Working Group-Pediatric,</v>
      </c>
      <c r="L106" t="str">
        <f ca="1">IFERROR(__xludf.DUMMYFUNCTION("""COMPUTED_VALUE"""),"")</f>
        <v/>
      </c>
    </row>
    <row r="107" spans="1:12" ht="14">
      <c r="A107" t="str">
        <f ca="1">IFERROR(__xludf.DUMMYFUNCTION("""COMPUTED_VALUE"""),"Contacted")</f>
        <v>Contacted</v>
      </c>
      <c r="B107" s="108">
        <f ca="1">IFERROR(__xludf.DUMMYFUNCTION("""COMPUTED_VALUE"""),43819)</f>
        <v>43819</v>
      </c>
      <c r="C107" t="str">
        <f ca="1">IFERROR(__xludf.DUMMYFUNCTION("""COMPUTED_VALUE"""),"")</f>
        <v/>
      </c>
      <c r="D107" s="49" t="str">
        <f ca="1">IFERROR(__xludf.DUMMYFUNCTION("""COMPUTED_VALUE"""),"")</f>
        <v/>
      </c>
      <c r="E107" s="49" t="str">
        <f ca="1">IFERROR(__xludf.DUMMYFUNCTION("""COMPUTED_VALUE"""),"No")</f>
        <v>No</v>
      </c>
      <c r="F107" s="49" t="str">
        <f ca="1">IFERROR(__xludf.DUMMYFUNCTION("""COMPUTED_VALUE"""),"Variant Pathogenicity")</f>
        <v>Variant Pathogenicity</v>
      </c>
      <c r="G107" t="str">
        <f ca="1">IFERROR(__xludf.DUMMYFUNCTION("""COMPUTED_VALUE"""),"")</f>
        <v/>
      </c>
      <c r="H107" t="str">
        <f ca="1">IFERROR(__xludf.DUMMYFUNCTION("""COMPUTED_VALUE"""),"Shawn Gessay")</f>
        <v>Shawn Gessay</v>
      </c>
      <c r="I107" t="str">
        <f ca="1">IFERROR(__xludf.DUMMYFUNCTION("""COMPUTED_VALUE"""),"gessays75@gmail.com")</f>
        <v>gessays75@gmail.com</v>
      </c>
      <c r="J107" s="49" t="str">
        <f ca="1">IFERROR(__xludf.DUMMYFUNCTION("""COMPUTED_VALUE"""),"Comprehensive")</f>
        <v>Comprehensive</v>
      </c>
      <c r="K107" s="118" t="str">
        <f ca="1">IFERROR(__xludf.DUMMYFUNCTION("""COMPUTED_VALUE"""),"RASopathy")</f>
        <v>RASopathy</v>
      </c>
      <c r="L107" t="str">
        <f ca="1">IFERROR(__xludf.DUMMYFUNCTION("""COMPUTED_VALUE"""),"No ")</f>
        <v xml:space="preserve">No </v>
      </c>
    </row>
    <row r="108" spans="1:12" ht="14">
      <c r="A108" t="str">
        <f ca="1">IFERROR(__xludf.DUMMYFUNCTION("""COMPUTED_VALUE"""),"Contacted")</f>
        <v>Contacted</v>
      </c>
      <c r="B108" s="108">
        <f ca="1">IFERROR(__xludf.DUMMYFUNCTION("""COMPUTED_VALUE"""),43819)</f>
        <v>43819</v>
      </c>
      <c r="C108" t="str">
        <f ca="1">IFERROR(__xludf.DUMMYFUNCTION("""COMPUTED_VALUE"""),"")</f>
        <v/>
      </c>
      <c r="D108" s="49" t="str">
        <f ca="1">IFERROR(__xludf.DUMMYFUNCTION("""COMPUTED_VALUE"""),"")</f>
        <v/>
      </c>
      <c r="E108" s="49" t="str">
        <f ca="1">IFERROR(__xludf.DUMMYFUNCTION("""COMPUTED_VALUE"""),"No")</f>
        <v>No</v>
      </c>
      <c r="F108" s="49" t="str">
        <f ca="1">IFERROR(__xludf.DUMMYFUNCTION("""COMPUTED_VALUE"""),"Variant Pathogenicity")</f>
        <v>Variant Pathogenicity</v>
      </c>
      <c r="G108" t="str">
        <f ca="1">IFERROR(__xludf.DUMMYFUNCTION("""COMPUTED_VALUE"""),"")</f>
        <v/>
      </c>
      <c r="H108" t="str">
        <f ca="1">IFERROR(__xludf.DUMMYFUNCTION("""COMPUTED_VALUE"""),"Angela Hoang")</f>
        <v>Angela Hoang</v>
      </c>
      <c r="I108" t="str">
        <f ca="1">IFERROR(__xludf.DUMMYFUNCTION("""COMPUTED_VALUE"""),"ahoang18@students.kgi.edu")</f>
        <v>ahoang18@students.kgi.edu</v>
      </c>
      <c r="J108" s="49" t="str">
        <f ca="1">IFERROR(__xludf.DUMMYFUNCTION("""COMPUTED_VALUE"""),"Comprehensive")</f>
        <v>Comprehensive</v>
      </c>
      <c r="K108" s="118" t="str">
        <f ca="1">IFERROR(__xludf.DUMMYFUNCTION("""COMPUTED_VALUE"""),"N/A")</f>
        <v>N/A</v>
      </c>
      <c r="L108" t="str">
        <f ca="1">IFERROR(__xludf.DUMMYFUNCTION("""COMPUTED_VALUE"""),"Yes, I have educational experience with variant classification and gene-disease association. ")</f>
        <v xml:space="preserve">Yes, I have educational experience with variant classification and gene-disease association. </v>
      </c>
    </row>
    <row r="109" spans="1:12" ht="14">
      <c r="A109" t="str">
        <f ca="1">IFERROR(__xludf.DUMMYFUNCTION("""COMPUTED_VALUE"""),"Contacted")</f>
        <v>Contacted</v>
      </c>
      <c r="B109" s="108">
        <f ca="1">IFERROR(__xludf.DUMMYFUNCTION("""COMPUTED_VALUE"""),43819)</f>
        <v>43819</v>
      </c>
      <c r="C109" t="str">
        <f ca="1">IFERROR(__xludf.DUMMYFUNCTION("""COMPUTED_VALUE"""),"")</f>
        <v/>
      </c>
      <c r="D109" s="49" t="str">
        <f ca="1">IFERROR(__xludf.DUMMYFUNCTION("""COMPUTED_VALUE"""),"")</f>
        <v/>
      </c>
      <c r="E109" s="49" t="str">
        <f ca="1">IFERROR(__xludf.DUMMYFUNCTION("""COMPUTED_VALUE"""),"No")</f>
        <v>No</v>
      </c>
      <c r="F109" s="49" t="str">
        <f ca="1">IFERROR(__xludf.DUMMYFUNCTION("""COMPUTED_VALUE"""),"Variant Pathogenicity")</f>
        <v>Variant Pathogenicity</v>
      </c>
      <c r="G109" t="str">
        <f ca="1">IFERROR(__xludf.DUMMYFUNCTION("""COMPUTED_VALUE"""),"")</f>
        <v/>
      </c>
      <c r="H109" t="str">
        <f ca="1">IFERROR(__xludf.DUMMYFUNCTION("""COMPUTED_VALUE"""),"Poornima Vijayan")</f>
        <v>Poornima Vijayan</v>
      </c>
      <c r="I109" t="str">
        <f ca="1">IFERROR(__xludf.DUMMYFUNCTION("""COMPUTED_VALUE"""),"poornima2785@gmail.com")</f>
        <v>poornima2785@gmail.com</v>
      </c>
      <c r="J109" s="49" t="str">
        <f ca="1">IFERROR(__xludf.DUMMYFUNCTION("""COMPUTED_VALUE"""),"Comprehensive")</f>
        <v>Comprehensive</v>
      </c>
      <c r="K109" s="118" t="str">
        <f ca="1">IFERROR(__xludf.DUMMYFUNCTION("""COMPUTED_VALUE"""),"")</f>
        <v/>
      </c>
      <c r="L109" t="str">
        <f ca="1">IFERROR(__xludf.DUMMYFUNCTION("""COMPUTED_VALUE"""),"I am a student of medical genomics")</f>
        <v>I am a student of medical genomics</v>
      </c>
    </row>
    <row r="110" spans="1:12" ht="28">
      <c r="A110" t="str">
        <f ca="1">IFERROR(__xludf.DUMMYFUNCTION("""COMPUTED_VALUE"""),"Contacted")</f>
        <v>Contacted</v>
      </c>
      <c r="B110" s="107">
        <f ca="1">IFERROR(__xludf.DUMMYFUNCTION("""COMPUTED_VALUE"""),43847)</f>
        <v>43847</v>
      </c>
      <c r="C110" t="str">
        <f ca="1">IFERROR(__xludf.DUMMYFUNCTION("""COMPUTED_VALUE"""),"")</f>
        <v/>
      </c>
      <c r="D110" s="49" t="str">
        <f ca="1">IFERROR(__xludf.DUMMYFUNCTION("""COMPUTED_VALUE"""),"")</f>
        <v/>
      </c>
      <c r="E110" s="49" t="str">
        <f ca="1">IFERROR(__xludf.DUMMYFUNCTION("""COMPUTED_VALUE"""),"No")</f>
        <v>No</v>
      </c>
      <c r="F110" s="49" t="str">
        <f ca="1">IFERROR(__xludf.DUMMYFUNCTION("""COMPUTED_VALUE"""),"Variant Pathogenicity")</f>
        <v>Variant Pathogenicity</v>
      </c>
      <c r="G110" t="str">
        <f ca="1">IFERROR(__xludf.DUMMYFUNCTION("""COMPUTED_VALUE"""),"")</f>
        <v/>
      </c>
      <c r="H110" t="str">
        <f ca="1">IFERROR(__xludf.DUMMYFUNCTION("""COMPUTED_VALUE"""),"Kendrah Kidd")</f>
        <v>Kendrah Kidd</v>
      </c>
      <c r="I110" t="str">
        <f ca="1">IFERROR(__xludf.DUMMYFUNCTION("""COMPUTED_VALUE"""),"kkidd@wakehealth.edu")</f>
        <v>kkidd@wakehealth.edu</v>
      </c>
      <c r="J110" s="49" t="str">
        <f ca="1">IFERROR(__xludf.DUMMYFUNCTION("""COMPUTED_VALUE"""),"Comprehensive")</f>
        <v>Comprehensive</v>
      </c>
      <c r="K110" s="118" t="str">
        <f ca="1">IFERROR(__xludf.DUMMYFUNCTION("""COMPUTED_VALUE"""),"I would be interested in forming one for inherited kidney diseases ")</f>
        <v xml:space="preserve">I would be interested in forming one for inherited kidney diseases </v>
      </c>
      <c r="L110" t="str">
        <f ca="1">IFERROR(__xludf.DUMMYFUNCTION("""COMPUTED_VALUE"""),"Yes,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row>
    <row r="111" spans="1:12" ht="14">
      <c r="A111" t="str">
        <f ca="1">IFERROR(__xludf.DUMMYFUNCTION("""COMPUTED_VALUE"""),"Contacted")</f>
        <v>Contacted</v>
      </c>
      <c r="B111" s="107">
        <f ca="1">IFERROR(__xludf.DUMMYFUNCTION("""COMPUTED_VALUE"""),43482)</f>
        <v>43482</v>
      </c>
      <c r="C111" s="107">
        <f ca="1">IFERROR(__xludf.DUMMYFUNCTION("""COMPUTED_VALUE"""),43846)</f>
        <v>43846</v>
      </c>
      <c r="D111" s="49" t="str">
        <f ca="1">IFERROR(__xludf.DUMMYFUNCTION("""COMPUTED_VALUE"""),"Yes")</f>
        <v>Yes</v>
      </c>
      <c r="E111" s="49" t="str">
        <f ca="1">IFERROR(__xludf.DUMMYFUNCTION("""COMPUTED_VALUE"""),"Yes")</f>
        <v>Yes</v>
      </c>
      <c r="F111" s="49" t="str">
        <f ca="1">IFERROR(__xludf.DUMMYFUNCTION("""COMPUTED_VALUE"""),"Variant Pathogenicity")</f>
        <v>Variant Pathogenicity</v>
      </c>
      <c r="G111" t="str">
        <f ca="1">IFERROR(__xludf.DUMMYFUNCTION("""COMPUTED_VALUE"""),"")</f>
        <v/>
      </c>
      <c r="H111" t="str">
        <f ca="1">IFERROR(__xludf.DUMMYFUNCTION("""COMPUTED_VALUE"""),"Adriana Bastos Carvalho")</f>
        <v>Adriana Bastos Carvalho</v>
      </c>
      <c r="I111" t="str">
        <f ca="1">IFERROR(__xludf.DUMMYFUNCTION("""COMPUTED_VALUE"""),"carvalhoab@biof.ufrj.br")</f>
        <v>carvalhoab@biof.ufrj.br</v>
      </c>
      <c r="J111" s="49" t="str">
        <f ca="1">IFERROR(__xludf.DUMMYFUNCTION("""COMPUTED_VALUE"""),"Comprehensive")</f>
        <v>Comprehensive</v>
      </c>
      <c r="K111" s="118" t="str">
        <f ca="1">IFERROR(__xludf.DUMMYFUNCTION("""COMPUTED_VALUE"""),"Cardiomyopathy Variant Curation Expert Panel")</f>
        <v>Cardiomyopathy Variant Curation Expert Panel</v>
      </c>
      <c r="L111" t="str">
        <f ca="1">IFERROR(__xludf.DUMMYFUNCTION("""COMPUTED_VALUE"""),"No. Although I have never worked in curation activities, I work with in vitro models to investigate variant pathogenicity.")</f>
        <v>No. Although I have never worked in curation activities, I work with in vitro models to investigate variant pathogenicity.</v>
      </c>
    </row>
    <row r="112" spans="1:12" ht="14">
      <c r="A112" t="str">
        <f ca="1">IFERROR(__xludf.DUMMYFUNCTION("""COMPUTED_VALUE"""),"Unassigned")</f>
        <v>Unassigned</v>
      </c>
      <c r="B112" t="str">
        <f ca="1">IFERROR(__xludf.DUMMYFUNCTION("""COMPUTED_VALUE"""),"")</f>
        <v/>
      </c>
      <c r="C112" t="str">
        <f ca="1">IFERROR(__xludf.DUMMYFUNCTION("""COMPUTED_VALUE"""),"")</f>
        <v/>
      </c>
      <c r="D112" s="49" t="str">
        <f ca="1">IFERROR(__xludf.DUMMYFUNCTION("""COMPUTED_VALUE"""),"")</f>
        <v/>
      </c>
      <c r="E112" s="49" t="str">
        <f ca="1">IFERROR(__xludf.DUMMYFUNCTION("""COMPUTED_VALUE"""),"No")</f>
        <v>No</v>
      </c>
      <c r="F112" s="49" t="str">
        <f ca="1">IFERROR(__xludf.DUMMYFUNCTION("""COMPUTED_VALUE"""),"NA")</f>
        <v>NA</v>
      </c>
      <c r="G112" t="str">
        <f ca="1">IFERROR(__xludf.DUMMYFUNCTION("""COMPUTED_VALUE"""),"")</f>
        <v/>
      </c>
      <c r="H112" t="str">
        <f ca="1">IFERROR(__xludf.DUMMYFUNCTION("""COMPUTED_VALUE"""),"Emily Hansen-Kiss")</f>
        <v>Emily Hansen-Kiss</v>
      </c>
      <c r="I112" t="str">
        <f ca="1">IFERROR(__xludf.DUMMYFUNCTION("""COMPUTED_VALUE"""),"Emily.HansenKiss@uth.tmc.edu")</f>
        <v>Emily.HansenKiss@uth.tmc.edu</v>
      </c>
      <c r="J112" s="49" t="str">
        <f ca="1">IFERROR(__xludf.DUMMYFUNCTION("""COMPUTED_VALUE"""),"Comprehensive")</f>
        <v>Comprehensive</v>
      </c>
      <c r="K112" s="118" t="str">
        <f ca="1">IFERROR(__xludf.DUMMYFUNCTION("""COMPUTED_VALUE"""),"PTEN")</f>
        <v>PTEN</v>
      </c>
      <c r="L112" t="str">
        <f ca="1">IFERROR(__xludf.DUMMYFUNCTION("""COMPUTED_VALUE"""),"No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row>
    <row r="113" spans="4:11" ht="13">
      <c r="D113" s="49"/>
      <c r="E113" s="49"/>
      <c r="F113" s="49"/>
      <c r="J113" s="49"/>
      <c r="K113" s="118"/>
    </row>
    <row r="114" spans="4:11" ht="13">
      <c r="D114" s="49"/>
      <c r="E114" s="49"/>
      <c r="F114" s="49"/>
      <c r="J114" s="49"/>
      <c r="K114" s="118"/>
    </row>
    <row r="115" spans="4:11" ht="13">
      <c r="D115" s="49"/>
      <c r="E115" s="49"/>
      <c r="F115" s="49"/>
      <c r="J115" s="49"/>
      <c r="K115" s="118"/>
    </row>
    <row r="116" spans="4:11" ht="13">
      <c r="D116" s="49"/>
      <c r="E116" s="49"/>
      <c r="F116" s="49"/>
      <c r="J116" s="49"/>
      <c r="K116" s="118"/>
    </row>
    <row r="117" spans="4:11" ht="13">
      <c r="D117" s="49"/>
      <c r="E117" s="49"/>
      <c r="F117" s="49"/>
      <c r="J117" s="49"/>
      <c r="K117" s="118"/>
    </row>
    <row r="118" spans="4:11" ht="13">
      <c r="D118" s="49"/>
      <c r="E118" s="49"/>
      <c r="F118" s="49"/>
      <c r="J118" s="49"/>
      <c r="K118" s="118"/>
    </row>
    <row r="119" spans="4:11" ht="13">
      <c r="D119" s="49"/>
      <c r="E119" s="49"/>
      <c r="F119" s="49"/>
      <c r="J119" s="49"/>
      <c r="K119" s="118"/>
    </row>
    <row r="120" spans="4:11" ht="13">
      <c r="D120" s="49"/>
      <c r="E120" s="49"/>
      <c r="F120" s="49"/>
      <c r="J120" s="49"/>
      <c r="K120" s="118"/>
    </row>
    <row r="121" spans="4:11" ht="13">
      <c r="D121" s="49"/>
      <c r="E121" s="49"/>
      <c r="F121" s="49"/>
      <c r="J121" s="49"/>
      <c r="K121" s="118"/>
    </row>
    <row r="122" spans="4:11" ht="13">
      <c r="D122" s="49"/>
      <c r="E122" s="49"/>
      <c r="F122" s="49"/>
      <c r="J122" s="49"/>
      <c r="K122" s="118"/>
    </row>
    <row r="123" spans="4:11" ht="13">
      <c r="D123" s="49"/>
      <c r="E123" s="49"/>
      <c r="F123" s="49"/>
      <c r="J123" s="49"/>
      <c r="K123" s="118"/>
    </row>
    <row r="124" spans="4:11" ht="13">
      <c r="D124" s="49"/>
      <c r="E124" s="49"/>
      <c r="F124" s="49"/>
      <c r="J124" s="49"/>
      <c r="K124" s="118"/>
    </row>
    <row r="125" spans="4:11" ht="13">
      <c r="D125" s="49"/>
      <c r="E125" s="49"/>
      <c r="F125" s="49"/>
      <c r="J125" s="49"/>
      <c r="K125" s="118"/>
    </row>
    <row r="126" spans="4:11" ht="13">
      <c r="D126" s="49"/>
      <c r="E126" s="49"/>
      <c r="F126" s="49"/>
      <c r="J126" s="49"/>
      <c r="K126" s="118"/>
    </row>
    <row r="127" spans="4:11" ht="13">
      <c r="D127" s="49"/>
      <c r="E127" s="49"/>
      <c r="F127" s="49"/>
      <c r="J127" s="49"/>
      <c r="K127" s="118"/>
    </row>
    <row r="128" spans="4:11" ht="13">
      <c r="D128" s="49"/>
      <c r="E128" s="49"/>
      <c r="F128" s="49"/>
      <c r="J128" s="49"/>
      <c r="K128" s="118"/>
    </row>
    <row r="129" spans="4:11" ht="13">
      <c r="D129" s="49"/>
      <c r="E129" s="49"/>
      <c r="F129" s="49"/>
      <c r="J129" s="49"/>
      <c r="K129" s="118"/>
    </row>
    <row r="130" spans="4:11" ht="13">
      <c r="D130" s="49"/>
      <c r="E130" s="49"/>
      <c r="F130" s="49"/>
      <c r="J130" s="49"/>
      <c r="K130" s="118"/>
    </row>
    <row r="131" spans="4:11" ht="13">
      <c r="D131" s="49"/>
      <c r="E131" s="49"/>
      <c r="F131" s="49"/>
      <c r="J131" s="49"/>
      <c r="K131" s="118"/>
    </row>
    <row r="132" spans="4:11" ht="13">
      <c r="D132" s="49"/>
      <c r="E132" s="49"/>
      <c r="F132" s="49"/>
      <c r="J132" s="49"/>
      <c r="K132" s="118"/>
    </row>
    <row r="133" spans="4:11" ht="13">
      <c r="D133" s="49"/>
      <c r="E133" s="49"/>
      <c r="F133" s="49"/>
      <c r="J133" s="49"/>
      <c r="K133" s="118"/>
    </row>
    <row r="134" spans="4:11" ht="13">
      <c r="D134" s="49"/>
      <c r="E134" s="49"/>
      <c r="F134" s="49"/>
      <c r="J134" s="49"/>
      <c r="K134" s="118"/>
    </row>
    <row r="135" spans="4:11" ht="13">
      <c r="D135" s="49"/>
      <c r="E135" s="49"/>
      <c r="F135" s="49"/>
      <c r="J135" s="49"/>
      <c r="K135" s="118"/>
    </row>
    <row r="136" spans="4:11" ht="13">
      <c r="D136" s="49"/>
      <c r="E136" s="49"/>
      <c r="F136" s="49"/>
      <c r="J136" s="49"/>
      <c r="K136" s="118"/>
    </row>
    <row r="137" spans="4:11" ht="13">
      <c r="D137" s="49"/>
      <c r="E137" s="49"/>
      <c r="F137" s="49"/>
      <c r="J137" s="49"/>
      <c r="K137" s="118"/>
    </row>
    <row r="138" spans="4:11" ht="13">
      <c r="D138" s="49"/>
      <c r="E138" s="49"/>
      <c r="F138" s="49"/>
      <c r="J138" s="49"/>
      <c r="K138" s="118"/>
    </row>
    <row r="139" spans="4:11" ht="13">
      <c r="D139" s="49"/>
      <c r="E139" s="49"/>
      <c r="F139" s="49"/>
      <c r="J139" s="49"/>
      <c r="K139" s="118"/>
    </row>
    <row r="140" spans="4:11" ht="13">
      <c r="D140" s="49"/>
      <c r="E140" s="49"/>
      <c r="F140" s="49"/>
      <c r="J140" s="49"/>
      <c r="K140" s="118"/>
    </row>
    <row r="141" spans="4:11" ht="13">
      <c r="D141" s="49"/>
      <c r="E141" s="49"/>
      <c r="F141" s="49"/>
      <c r="J141" s="49"/>
      <c r="K141" s="118"/>
    </row>
    <row r="142" spans="4:11" ht="13">
      <c r="D142" s="49"/>
      <c r="E142" s="49"/>
      <c r="F142" s="49"/>
      <c r="J142" s="49"/>
      <c r="K142" s="118"/>
    </row>
    <row r="143" spans="4:11" ht="13">
      <c r="D143" s="49"/>
      <c r="E143" s="49"/>
      <c r="F143" s="49"/>
      <c r="J143" s="49"/>
      <c r="K143" s="118"/>
    </row>
    <row r="144" spans="4:11" ht="13">
      <c r="D144" s="49"/>
      <c r="E144" s="49"/>
      <c r="F144" s="49"/>
      <c r="J144" s="49"/>
      <c r="K144" s="118"/>
    </row>
    <row r="145" spans="4:11" ht="13">
      <c r="D145" s="49"/>
      <c r="E145" s="49"/>
      <c r="F145" s="49"/>
      <c r="J145" s="49"/>
      <c r="K145" s="118"/>
    </row>
    <row r="146" spans="4:11" ht="13">
      <c r="D146" s="49"/>
      <c r="E146" s="49"/>
      <c r="F146" s="49"/>
      <c r="J146" s="49"/>
      <c r="K146" s="118"/>
    </row>
    <row r="147" spans="4:11" ht="13">
      <c r="D147" s="49"/>
      <c r="E147" s="49"/>
      <c r="F147" s="49"/>
      <c r="J147" s="49"/>
      <c r="K147" s="118"/>
    </row>
    <row r="148" spans="4:11" ht="13">
      <c r="D148" s="49"/>
      <c r="E148" s="49"/>
      <c r="F148" s="49"/>
      <c r="J148" s="49"/>
      <c r="K148" s="118"/>
    </row>
    <row r="149" spans="4:11" ht="13">
      <c r="D149" s="49"/>
      <c r="E149" s="49"/>
      <c r="F149" s="49"/>
      <c r="J149" s="49"/>
      <c r="K149" s="118"/>
    </row>
    <row r="150" spans="4:11" ht="13">
      <c r="D150" s="49"/>
      <c r="E150" s="49"/>
      <c r="F150" s="49"/>
      <c r="J150" s="49"/>
      <c r="K150" s="118"/>
    </row>
    <row r="151" spans="4:11" ht="13">
      <c r="D151" s="49"/>
      <c r="E151" s="49"/>
      <c r="F151" s="49"/>
      <c r="J151" s="49"/>
      <c r="K151" s="118"/>
    </row>
    <row r="152" spans="4:11" ht="13">
      <c r="D152" s="49"/>
      <c r="E152" s="49"/>
      <c r="F152" s="49"/>
      <c r="J152" s="49"/>
      <c r="K152" s="118"/>
    </row>
    <row r="153" spans="4:11" ht="13">
      <c r="D153" s="49"/>
      <c r="E153" s="49"/>
      <c r="F153" s="49"/>
      <c r="J153" s="49"/>
      <c r="K153" s="118"/>
    </row>
    <row r="154" spans="4:11" ht="13">
      <c r="D154" s="49"/>
      <c r="E154" s="49"/>
      <c r="F154" s="49"/>
      <c r="J154" s="49"/>
      <c r="K154" s="118"/>
    </row>
    <row r="155" spans="4:11" ht="13">
      <c r="D155" s="49"/>
      <c r="E155" s="49"/>
      <c r="F155" s="49"/>
      <c r="J155" s="49"/>
      <c r="K155" s="118"/>
    </row>
    <row r="156" spans="4:11" ht="13">
      <c r="D156" s="49"/>
      <c r="E156" s="49"/>
      <c r="F156" s="49"/>
      <c r="J156" s="49"/>
      <c r="K156" s="118"/>
    </row>
    <row r="157" spans="4:11" ht="13">
      <c r="D157" s="49"/>
      <c r="E157" s="49"/>
      <c r="F157" s="49"/>
      <c r="J157" s="49"/>
      <c r="K157" s="118"/>
    </row>
    <row r="158" spans="4:11" ht="13">
      <c r="D158" s="49"/>
      <c r="E158" s="49"/>
      <c r="F158" s="49"/>
      <c r="J158" s="49"/>
      <c r="K158" s="118"/>
    </row>
    <row r="159" spans="4:11" ht="13">
      <c r="D159" s="49"/>
      <c r="E159" s="49"/>
      <c r="F159" s="49"/>
      <c r="J159" s="49"/>
      <c r="K159" s="118"/>
    </row>
    <row r="160" spans="4:11" ht="13">
      <c r="D160" s="49"/>
      <c r="E160" s="49"/>
      <c r="F160" s="49"/>
      <c r="J160" s="49"/>
      <c r="K160" s="118"/>
    </row>
    <row r="161" spans="4:11" ht="13">
      <c r="D161" s="49"/>
      <c r="E161" s="49"/>
      <c r="F161" s="49"/>
      <c r="J161" s="49"/>
      <c r="K161" s="118"/>
    </row>
    <row r="162" spans="4:11" ht="13">
      <c r="D162" s="49"/>
      <c r="E162" s="49"/>
      <c r="F162" s="49"/>
      <c r="J162" s="49"/>
      <c r="K162" s="118"/>
    </row>
    <row r="163" spans="4:11" ht="13">
      <c r="D163" s="49"/>
      <c r="E163" s="49"/>
      <c r="F163" s="49"/>
      <c r="J163" s="49"/>
      <c r="K163" s="118"/>
    </row>
    <row r="164" spans="4:11" ht="13">
      <c r="D164" s="49"/>
      <c r="E164" s="49"/>
      <c r="F164" s="49"/>
      <c r="J164" s="49"/>
      <c r="K164" s="118"/>
    </row>
    <row r="165" spans="4:11" ht="13">
      <c r="D165" s="49"/>
      <c r="E165" s="49"/>
      <c r="F165" s="49"/>
      <c r="J165" s="49"/>
      <c r="K165" s="118"/>
    </row>
    <row r="166" spans="4:11" ht="13">
      <c r="D166" s="49"/>
      <c r="E166" s="49"/>
      <c r="F166" s="49"/>
      <c r="J166" s="49"/>
      <c r="K166" s="118"/>
    </row>
    <row r="167" spans="4:11" ht="13">
      <c r="D167" s="49"/>
      <c r="E167" s="49"/>
      <c r="F167" s="49"/>
      <c r="J167" s="49"/>
      <c r="K167" s="118"/>
    </row>
    <row r="168" spans="4:11" ht="13">
      <c r="D168" s="49"/>
      <c r="E168" s="49"/>
      <c r="F168" s="49"/>
      <c r="J168" s="49"/>
      <c r="K168" s="118"/>
    </row>
    <row r="169" spans="4:11" ht="13">
      <c r="D169" s="49"/>
      <c r="E169" s="49"/>
      <c r="F169" s="49"/>
      <c r="J169" s="49"/>
      <c r="K169" s="118"/>
    </row>
    <row r="170" spans="4:11" ht="13">
      <c r="D170" s="49"/>
      <c r="E170" s="49"/>
      <c r="F170" s="49"/>
      <c r="J170" s="49"/>
      <c r="K170" s="118"/>
    </row>
    <row r="171" spans="4:11" ht="13">
      <c r="D171" s="49"/>
      <c r="E171" s="49"/>
      <c r="F171" s="49"/>
      <c r="J171" s="49"/>
      <c r="K171" s="118"/>
    </row>
    <row r="172" spans="4:11" ht="13">
      <c r="D172" s="49"/>
      <c r="E172" s="49"/>
      <c r="F172" s="49"/>
      <c r="J172" s="49"/>
      <c r="K172" s="118"/>
    </row>
    <row r="173" spans="4:11" ht="13">
      <c r="D173" s="49"/>
      <c r="E173" s="49"/>
      <c r="F173" s="49"/>
      <c r="J173" s="49"/>
      <c r="K173" s="118"/>
    </row>
    <row r="174" spans="4:11" ht="13">
      <c r="D174" s="49"/>
      <c r="E174" s="49"/>
      <c r="F174" s="49"/>
      <c r="J174" s="49"/>
      <c r="K174" s="118"/>
    </row>
    <row r="175" spans="4:11" ht="13">
      <c r="D175" s="49"/>
      <c r="E175" s="49"/>
      <c r="F175" s="49"/>
      <c r="J175" s="49"/>
      <c r="K175" s="118"/>
    </row>
    <row r="176" spans="4:11" ht="13">
      <c r="D176" s="49"/>
      <c r="E176" s="49"/>
      <c r="F176" s="49"/>
      <c r="J176" s="49"/>
      <c r="K176" s="118"/>
    </row>
    <row r="177" spans="4:11" ht="13">
      <c r="D177" s="49"/>
      <c r="E177" s="49"/>
      <c r="F177" s="49"/>
      <c r="J177" s="49"/>
      <c r="K177" s="118"/>
    </row>
    <row r="178" spans="4:11" ht="13">
      <c r="D178" s="49"/>
      <c r="E178" s="49"/>
      <c r="F178" s="49"/>
      <c r="J178" s="49"/>
      <c r="K178" s="118"/>
    </row>
    <row r="179" spans="4:11" ht="13">
      <c r="D179" s="49"/>
      <c r="E179" s="49"/>
      <c r="F179" s="49"/>
      <c r="J179" s="49"/>
      <c r="K179" s="118"/>
    </row>
    <row r="180" spans="4:11" ht="13">
      <c r="D180" s="49"/>
      <c r="E180" s="49"/>
      <c r="F180" s="49"/>
      <c r="J180" s="49"/>
      <c r="K180" s="118"/>
    </row>
    <row r="181" spans="4:11" ht="13">
      <c r="D181" s="49"/>
      <c r="E181" s="49"/>
      <c r="F181" s="49"/>
      <c r="J181" s="49"/>
      <c r="K181" s="118"/>
    </row>
    <row r="182" spans="4:11" ht="13">
      <c r="D182" s="49"/>
      <c r="E182" s="49"/>
      <c r="F182" s="49"/>
      <c r="J182" s="49"/>
      <c r="K182" s="118"/>
    </row>
    <row r="183" spans="4:11" ht="13">
      <c r="D183" s="49"/>
      <c r="E183" s="49"/>
      <c r="F183" s="49"/>
      <c r="J183" s="49"/>
      <c r="K183" s="118"/>
    </row>
    <row r="184" spans="4:11" ht="13">
      <c r="D184" s="49"/>
      <c r="E184" s="49"/>
      <c r="F184" s="49"/>
      <c r="J184" s="49"/>
      <c r="K184" s="118"/>
    </row>
    <row r="185" spans="4:11" ht="13">
      <c r="D185" s="49"/>
      <c r="E185" s="49"/>
      <c r="F185" s="49"/>
      <c r="J185" s="49"/>
      <c r="K185" s="118"/>
    </row>
    <row r="186" spans="4:11" ht="13">
      <c r="D186" s="49"/>
      <c r="E186" s="49"/>
      <c r="F186" s="49"/>
      <c r="J186" s="49"/>
      <c r="K186" s="118"/>
    </row>
    <row r="187" spans="4:11" ht="13">
      <c r="D187" s="49"/>
      <c r="E187" s="49"/>
      <c r="F187" s="49"/>
      <c r="J187" s="49"/>
      <c r="K187" s="118"/>
    </row>
    <row r="188" spans="4:11" ht="13">
      <c r="D188" s="49"/>
      <c r="E188" s="49"/>
      <c r="F188" s="49"/>
      <c r="J188" s="49"/>
      <c r="K188" s="118"/>
    </row>
    <row r="189" spans="4:11" ht="13">
      <c r="D189" s="49"/>
      <c r="E189" s="49"/>
      <c r="F189" s="49"/>
      <c r="J189" s="49"/>
      <c r="K189" s="118"/>
    </row>
    <row r="190" spans="4:11" ht="13">
      <c r="D190" s="49"/>
      <c r="E190" s="49"/>
      <c r="F190" s="49"/>
      <c r="J190" s="49"/>
      <c r="K190" s="118"/>
    </row>
    <row r="191" spans="4:11" ht="13">
      <c r="D191" s="49"/>
      <c r="E191" s="49"/>
      <c r="F191" s="49"/>
      <c r="J191" s="49"/>
      <c r="K191" s="118"/>
    </row>
    <row r="192" spans="4:11" ht="13">
      <c r="D192" s="49"/>
      <c r="E192" s="49"/>
      <c r="F192" s="49"/>
      <c r="J192" s="49"/>
      <c r="K192" s="118"/>
    </row>
    <row r="193" spans="4:11" ht="13">
      <c r="D193" s="49"/>
      <c r="E193" s="49"/>
      <c r="F193" s="49"/>
      <c r="J193" s="49"/>
      <c r="K193" s="118"/>
    </row>
    <row r="194" spans="4:11" ht="13">
      <c r="D194" s="49"/>
      <c r="E194" s="49"/>
      <c r="F194" s="49"/>
      <c r="J194" s="49"/>
      <c r="K194" s="118"/>
    </row>
    <row r="195" spans="4:11" ht="13">
      <c r="D195" s="49"/>
      <c r="E195" s="49"/>
      <c r="F195" s="49"/>
      <c r="J195" s="49"/>
      <c r="K195" s="118"/>
    </row>
    <row r="196" spans="4:11" ht="13">
      <c r="D196" s="49"/>
      <c r="E196" s="49"/>
      <c r="F196" s="49"/>
      <c r="J196" s="49"/>
      <c r="K196" s="118"/>
    </row>
    <row r="197" spans="4:11" ht="13">
      <c r="D197" s="49"/>
      <c r="E197" s="49"/>
      <c r="F197" s="49"/>
      <c r="J197" s="49"/>
      <c r="K197" s="118"/>
    </row>
    <row r="198" spans="4:11" ht="13">
      <c r="D198" s="49"/>
      <c r="E198" s="49"/>
      <c r="F198" s="49"/>
      <c r="J198" s="49"/>
      <c r="K198" s="118"/>
    </row>
    <row r="199" spans="4:11" ht="13">
      <c r="D199" s="49"/>
      <c r="E199" s="49"/>
      <c r="F199" s="49"/>
      <c r="J199" s="49"/>
      <c r="K199" s="118"/>
    </row>
    <row r="200" spans="4:11" ht="13">
      <c r="D200" s="49"/>
      <c r="E200" s="49"/>
      <c r="F200" s="49"/>
      <c r="J200" s="49"/>
      <c r="K200" s="118"/>
    </row>
    <row r="201" spans="4:11" ht="13">
      <c r="D201" s="49"/>
      <c r="E201" s="49"/>
      <c r="F201" s="49"/>
      <c r="J201" s="49"/>
      <c r="K201" s="118"/>
    </row>
    <row r="202" spans="4:11" ht="13">
      <c r="D202" s="49"/>
      <c r="E202" s="49"/>
      <c r="F202" s="49"/>
      <c r="J202" s="49"/>
      <c r="K202" s="118"/>
    </row>
    <row r="203" spans="4:11" ht="13">
      <c r="D203" s="49"/>
      <c r="E203" s="49"/>
      <c r="F203" s="49"/>
      <c r="J203" s="49"/>
      <c r="K203" s="118"/>
    </row>
    <row r="204" spans="4:11" ht="13">
      <c r="D204" s="49"/>
      <c r="E204" s="49"/>
      <c r="F204" s="49"/>
      <c r="J204" s="49"/>
      <c r="K204" s="118"/>
    </row>
    <row r="205" spans="4:11" ht="13">
      <c r="D205" s="49"/>
      <c r="E205" s="49"/>
      <c r="F205" s="49"/>
      <c r="J205" s="49"/>
      <c r="K205" s="118"/>
    </row>
    <row r="206" spans="4:11" ht="13">
      <c r="D206" s="49"/>
      <c r="E206" s="49"/>
      <c r="F206" s="49"/>
      <c r="J206" s="49"/>
      <c r="K206" s="118"/>
    </row>
    <row r="207" spans="4:11" ht="13">
      <c r="D207" s="49"/>
      <c r="E207" s="49"/>
      <c r="F207" s="49"/>
      <c r="J207" s="49"/>
      <c r="K207" s="118"/>
    </row>
    <row r="208" spans="4:11" ht="13">
      <c r="D208" s="49"/>
      <c r="E208" s="49"/>
      <c r="F208" s="49"/>
      <c r="J208" s="49"/>
      <c r="K208" s="118"/>
    </row>
    <row r="209" spans="4:11" ht="13">
      <c r="D209" s="49"/>
      <c r="E209" s="49"/>
      <c r="F209" s="49"/>
      <c r="J209" s="49"/>
      <c r="K209" s="118"/>
    </row>
    <row r="210" spans="4:11" ht="13">
      <c r="D210" s="49"/>
      <c r="E210" s="49"/>
      <c r="F210" s="49"/>
      <c r="J210" s="49"/>
      <c r="K210" s="118"/>
    </row>
    <row r="211" spans="4:11" ht="13">
      <c r="D211" s="49"/>
      <c r="E211" s="49"/>
      <c r="F211" s="49"/>
      <c r="J211" s="49"/>
      <c r="K211" s="118"/>
    </row>
    <row r="212" spans="4:11" ht="13">
      <c r="D212" s="49"/>
      <c r="E212" s="49"/>
      <c r="F212" s="49"/>
      <c r="J212" s="49"/>
      <c r="K212" s="118"/>
    </row>
    <row r="213" spans="4:11" ht="13">
      <c r="D213" s="49"/>
      <c r="E213" s="49"/>
      <c r="F213" s="49"/>
      <c r="J213" s="49"/>
      <c r="K213" s="118"/>
    </row>
    <row r="214" spans="4:11" ht="13">
      <c r="D214" s="49"/>
      <c r="E214" s="49"/>
      <c r="F214" s="49"/>
      <c r="J214" s="49"/>
      <c r="K214" s="118"/>
    </row>
    <row r="215" spans="4:11" ht="13">
      <c r="D215" s="49"/>
      <c r="E215" s="49"/>
      <c r="F215" s="49"/>
      <c r="J215" s="49"/>
      <c r="K215" s="118"/>
    </row>
    <row r="216" spans="4:11" ht="13">
      <c r="D216" s="49"/>
      <c r="E216" s="49"/>
      <c r="F216" s="49"/>
      <c r="J216" s="49"/>
      <c r="K216" s="118"/>
    </row>
    <row r="217" spans="4:11" ht="13">
      <c r="D217" s="49"/>
      <c r="E217" s="49"/>
      <c r="F217" s="49"/>
      <c r="J217" s="49"/>
      <c r="K217" s="118"/>
    </row>
    <row r="218" spans="4:11" ht="13">
      <c r="D218" s="49"/>
      <c r="E218" s="49"/>
      <c r="F218" s="49"/>
      <c r="J218" s="49"/>
      <c r="K218" s="118"/>
    </row>
    <row r="219" spans="4:11" ht="13">
      <c r="D219" s="49"/>
      <c r="E219" s="49"/>
      <c r="F219" s="49"/>
      <c r="J219" s="49"/>
      <c r="K219" s="118"/>
    </row>
    <row r="220" spans="4:11" ht="13">
      <c r="D220" s="49"/>
      <c r="E220" s="49"/>
      <c r="F220" s="49"/>
      <c r="J220" s="49"/>
      <c r="K220" s="118"/>
    </row>
    <row r="221" spans="4:11" ht="13">
      <c r="D221" s="49"/>
      <c r="E221" s="49"/>
      <c r="F221" s="49"/>
      <c r="J221" s="49"/>
      <c r="K221" s="118"/>
    </row>
    <row r="222" spans="4:11" ht="13">
      <c r="D222" s="49"/>
      <c r="E222" s="49"/>
      <c r="F222" s="49"/>
      <c r="J222" s="49"/>
      <c r="K222" s="118"/>
    </row>
    <row r="223" spans="4:11" ht="13">
      <c r="D223" s="49"/>
      <c r="E223" s="49"/>
      <c r="F223" s="49"/>
      <c r="J223" s="49"/>
      <c r="K223" s="118"/>
    </row>
    <row r="224" spans="4:11" ht="13">
      <c r="D224" s="49"/>
      <c r="E224" s="49"/>
      <c r="F224" s="49"/>
      <c r="J224" s="49"/>
      <c r="K224" s="118"/>
    </row>
    <row r="225" spans="4:11" ht="13">
      <c r="D225" s="49"/>
      <c r="E225" s="49"/>
      <c r="F225" s="49"/>
      <c r="J225" s="49"/>
      <c r="K225" s="118"/>
    </row>
    <row r="226" spans="4:11" ht="13">
      <c r="D226" s="49"/>
      <c r="E226" s="49"/>
      <c r="F226" s="49"/>
      <c r="J226" s="49"/>
      <c r="K226" s="118"/>
    </row>
    <row r="227" spans="4:11" ht="13">
      <c r="D227" s="49"/>
      <c r="E227" s="49"/>
      <c r="F227" s="49"/>
      <c r="J227" s="49"/>
      <c r="K227" s="118"/>
    </row>
    <row r="228" spans="4:11" ht="13">
      <c r="D228" s="49"/>
      <c r="E228" s="49"/>
      <c r="F228" s="49"/>
      <c r="J228" s="49"/>
      <c r="K228" s="118"/>
    </row>
    <row r="229" spans="4:11" ht="13">
      <c r="D229" s="49"/>
      <c r="E229" s="49"/>
      <c r="F229" s="49"/>
      <c r="J229" s="49"/>
      <c r="K229" s="118"/>
    </row>
    <row r="230" spans="4:11" ht="13">
      <c r="D230" s="49"/>
      <c r="E230" s="49"/>
      <c r="F230" s="49"/>
      <c r="J230" s="49"/>
      <c r="K230" s="118"/>
    </row>
    <row r="231" spans="4:11" ht="13">
      <c r="D231" s="49"/>
      <c r="E231" s="49"/>
      <c r="F231" s="49"/>
      <c r="J231" s="49"/>
      <c r="K231" s="118"/>
    </row>
    <row r="232" spans="4:11" ht="13">
      <c r="D232" s="49"/>
      <c r="E232" s="49"/>
      <c r="F232" s="49"/>
      <c r="J232" s="49"/>
      <c r="K232" s="118"/>
    </row>
    <row r="233" spans="4:11" ht="13">
      <c r="D233" s="49"/>
      <c r="E233" s="49"/>
      <c r="F233" s="49"/>
      <c r="J233" s="49"/>
      <c r="K233" s="118"/>
    </row>
    <row r="234" spans="4:11" ht="13">
      <c r="D234" s="49"/>
      <c r="E234" s="49"/>
      <c r="F234" s="49"/>
      <c r="J234" s="49"/>
      <c r="K234" s="118"/>
    </row>
    <row r="235" spans="4:11" ht="13">
      <c r="D235" s="49"/>
      <c r="E235" s="49"/>
      <c r="F235" s="49"/>
      <c r="J235" s="49"/>
      <c r="K235" s="118"/>
    </row>
    <row r="236" spans="4:11" ht="13">
      <c r="D236" s="49"/>
      <c r="E236" s="49"/>
      <c r="F236" s="49"/>
      <c r="J236" s="49"/>
      <c r="K236" s="118"/>
    </row>
    <row r="237" spans="4:11" ht="13">
      <c r="D237" s="49"/>
      <c r="E237" s="49"/>
      <c r="F237" s="49"/>
      <c r="J237" s="49"/>
      <c r="K237" s="118"/>
    </row>
    <row r="238" spans="4:11" ht="13">
      <c r="D238" s="49"/>
      <c r="E238" s="49"/>
      <c r="F238" s="49"/>
      <c r="J238" s="49"/>
      <c r="K238" s="118"/>
    </row>
    <row r="239" spans="4:11" ht="13">
      <c r="D239" s="49"/>
      <c r="E239" s="49"/>
      <c r="F239" s="49"/>
      <c r="J239" s="49"/>
      <c r="K239" s="118"/>
    </row>
    <row r="240" spans="4:11" ht="13">
      <c r="D240" s="49"/>
      <c r="E240" s="49"/>
      <c r="F240" s="49"/>
      <c r="J240" s="49"/>
      <c r="K240" s="118"/>
    </row>
    <row r="241" spans="4:11" ht="13">
      <c r="D241" s="49"/>
      <c r="E241" s="49"/>
      <c r="F241" s="49"/>
      <c r="J241" s="49"/>
      <c r="K241" s="118"/>
    </row>
    <row r="242" spans="4:11" ht="13">
      <c r="D242" s="49"/>
      <c r="E242" s="49"/>
      <c r="F242" s="49"/>
      <c r="J242" s="49"/>
      <c r="K242" s="118"/>
    </row>
    <row r="243" spans="4:11" ht="13">
      <c r="D243" s="49"/>
      <c r="E243" s="49"/>
      <c r="F243" s="49"/>
      <c r="J243" s="49"/>
      <c r="K243" s="118"/>
    </row>
    <row r="244" spans="4:11" ht="13">
      <c r="D244" s="49"/>
      <c r="E244" s="49"/>
      <c r="F244" s="49"/>
      <c r="J244" s="49"/>
      <c r="K244" s="118"/>
    </row>
    <row r="245" spans="4:11" ht="13">
      <c r="D245" s="49"/>
      <c r="E245" s="49"/>
      <c r="F245" s="49"/>
      <c r="J245" s="49"/>
      <c r="K245" s="118"/>
    </row>
    <row r="246" spans="4:11" ht="13">
      <c r="D246" s="49"/>
      <c r="E246" s="49"/>
      <c r="F246" s="49"/>
      <c r="J246" s="49"/>
      <c r="K246" s="118"/>
    </row>
    <row r="247" spans="4:11" ht="13">
      <c r="D247" s="49"/>
      <c r="E247" s="49"/>
      <c r="F247" s="49"/>
      <c r="J247" s="49"/>
      <c r="K247" s="118"/>
    </row>
    <row r="248" spans="4:11" ht="13">
      <c r="D248" s="49"/>
      <c r="E248" s="49"/>
      <c r="F248" s="49"/>
      <c r="J248" s="49"/>
      <c r="K248" s="118"/>
    </row>
    <row r="249" spans="4:11" ht="13">
      <c r="D249" s="49"/>
      <c r="E249" s="49"/>
      <c r="F249" s="49"/>
      <c r="J249" s="49"/>
      <c r="K249" s="118"/>
    </row>
    <row r="250" spans="4:11" ht="13">
      <c r="D250" s="49"/>
      <c r="E250" s="49"/>
      <c r="F250" s="49"/>
      <c r="J250" s="49"/>
      <c r="K250" s="118"/>
    </row>
    <row r="251" spans="4:11" ht="13">
      <c r="D251" s="49"/>
      <c r="E251" s="49"/>
      <c r="F251" s="49"/>
      <c r="J251" s="49"/>
      <c r="K251" s="118"/>
    </row>
    <row r="252" spans="4:11" ht="13">
      <c r="D252" s="49"/>
      <c r="E252" s="49"/>
      <c r="F252" s="49"/>
      <c r="J252" s="49"/>
      <c r="K252" s="118"/>
    </row>
    <row r="253" spans="4:11" ht="13">
      <c r="D253" s="49"/>
      <c r="E253" s="49"/>
      <c r="F253" s="49"/>
      <c r="J253" s="49"/>
      <c r="K253" s="118"/>
    </row>
    <row r="254" spans="4:11" ht="13">
      <c r="D254" s="49"/>
      <c r="E254" s="49"/>
      <c r="F254" s="49"/>
      <c r="J254" s="49"/>
      <c r="K254" s="118"/>
    </row>
    <row r="255" spans="4:11" ht="13">
      <c r="D255" s="49"/>
      <c r="E255" s="49"/>
      <c r="F255" s="49"/>
      <c r="J255" s="49"/>
      <c r="K255" s="118"/>
    </row>
    <row r="256" spans="4:11" ht="13">
      <c r="D256" s="49"/>
      <c r="E256" s="49"/>
      <c r="F256" s="49"/>
      <c r="J256" s="49"/>
      <c r="K256" s="118"/>
    </row>
    <row r="257" spans="4:11" ht="13">
      <c r="D257" s="49"/>
      <c r="E257" s="49"/>
      <c r="F257" s="49"/>
      <c r="J257" s="49"/>
      <c r="K257" s="118"/>
    </row>
    <row r="258" spans="4:11" ht="13">
      <c r="D258" s="49"/>
      <c r="E258" s="49"/>
      <c r="F258" s="49"/>
      <c r="J258" s="49"/>
      <c r="K258" s="118"/>
    </row>
    <row r="259" spans="4:11" ht="13">
      <c r="D259" s="49"/>
      <c r="E259" s="49"/>
      <c r="F259" s="49"/>
      <c r="J259" s="49"/>
      <c r="K259" s="118"/>
    </row>
    <row r="260" spans="4:11" ht="13">
      <c r="D260" s="49"/>
      <c r="E260" s="49"/>
      <c r="F260" s="49"/>
      <c r="J260" s="49"/>
      <c r="K260" s="118"/>
    </row>
    <row r="261" spans="4:11" ht="13">
      <c r="D261" s="49"/>
      <c r="E261" s="49"/>
      <c r="F261" s="49"/>
      <c r="J261" s="49"/>
      <c r="K261" s="118"/>
    </row>
    <row r="262" spans="4:11" ht="13">
      <c r="D262" s="49"/>
      <c r="E262" s="49"/>
      <c r="F262" s="49"/>
      <c r="J262" s="49"/>
      <c r="K262" s="118"/>
    </row>
    <row r="263" spans="4:11" ht="13">
      <c r="D263" s="49"/>
      <c r="E263" s="49"/>
      <c r="F263" s="49"/>
      <c r="J263" s="49"/>
      <c r="K263" s="118"/>
    </row>
    <row r="264" spans="4:11" ht="13">
      <c r="D264" s="49"/>
      <c r="E264" s="49"/>
      <c r="F264" s="49"/>
      <c r="J264" s="49"/>
      <c r="K264" s="118"/>
    </row>
    <row r="265" spans="4:11" ht="13">
      <c r="D265" s="49"/>
      <c r="E265" s="49"/>
      <c r="F265" s="49"/>
      <c r="J265" s="49"/>
      <c r="K265" s="118"/>
    </row>
    <row r="266" spans="4:11" ht="13">
      <c r="D266" s="49"/>
      <c r="E266" s="49"/>
      <c r="F266" s="49"/>
      <c r="J266" s="49"/>
      <c r="K266" s="118"/>
    </row>
    <row r="267" spans="4:11" ht="13">
      <c r="D267" s="49"/>
      <c r="E267" s="49"/>
      <c r="F267" s="49"/>
      <c r="J267" s="49"/>
      <c r="K267" s="118"/>
    </row>
    <row r="268" spans="4:11" ht="13">
      <c r="D268" s="49"/>
      <c r="E268" s="49"/>
      <c r="F268" s="49"/>
      <c r="J268" s="49"/>
      <c r="K268" s="118"/>
    </row>
    <row r="269" spans="4:11" ht="13">
      <c r="D269" s="49"/>
      <c r="E269" s="49"/>
      <c r="F269" s="49"/>
      <c r="J269" s="49"/>
      <c r="K269" s="118"/>
    </row>
    <row r="270" spans="4:11" ht="13">
      <c r="D270" s="49"/>
      <c r="E270" s="49"/>
      <c r="F270" s="49"/>
      <c r="J270" s="49"/>
      <c r="K270" s="118"/>
    </row>
    <row r="271" spans="4:11" ht="13">
      <c r="D271" s="49"/>
      <c r="E271" s="49"/>
      <c r="F271" s="49"/>
      <c r="J271" s="49"/>
      <c r="K271" s="118"/>
    </row>
    <row r="272" spans="4:11" ht="13">
      <c r="D272" s="49"/>
      <c r="E272" s="49"/>
      <c r="F272" s="49"/>
      <c r="J272" s="49"/>
      <c r="K272" s="118"/>
    </row>
    <row r="273" spans="4:11" ht="13">
      <c r="D273" s="49"/>
      <c r="E273" s="49"/>
      <c r="F273" s="49"/>
      <c r="J273" s="49"/>
      <c r="K273" s="118"/>
    </row>
    <row r="274" spans="4:11" ht="13">
      <c r="D274" s="49"/>
      <c r="E274" s="49"/>
      <c r="F274" s="49"/>
      <c r="J274" s="49"/>
      <c r="K274" s="118"/>
    </row>
    <row r="275" spans="4:11" ht="13">
      <c r="D275" s="49"/>
      <c r="E275" s="49"/>
      <c r="F275" s="49"/>
      <c r="J275" s="49"/>
      <c r="K275" s="118"/>
    </row>
    <row r="276" spans="4:11" ht="13">
      <c r="D276" s="49"/>
      <c r="E276" s="49"/>
      <c r="F276" s="49"/>
      <c r="J276" s="49"/>
      <c r="K276" s="118"/>
    </row>
    <row r="277" spans="4:11" ht="13">
      <c r="D277" s="49"/>
      <c r="E277" s="49"/>
      <c r="F277" s="49"/>
      <c r="J277" s="49"/>
      <c r="K277" s="118"/>
    </row>
    <row r="278" spans="4:11" ht="13">
      <c r="D278" s="49"/>
      <c r="E278" s="49"/>
      <c r="F278" s="49"/>
      <c r="J278" s="49"/>
      <c r="K278" s="118"/>
    </row>
    <row r="279" spans="4:11" ht="13">
      <c r="D279" s="49"/>
      <c r="E279" s="49"/>
      <c r="F279" s="49"/>
      <c r="J279" s="49"/>
      <c r="K279" s="118"/>
    </row>
    <row r="280" spans="4:11" ht="13">
      <c r="D280" s="49"/>
      <c r="E280" s="49"/>
      <c r="F280" s="49"/>
      <c r="J280" s="49"/>
      <c r="K280" s="118"/>
    </row>
    <row r="281" spans="4:11" ht="13">
      <c r="D281" s="49"/>
      <c r="E281" s="49"/>
      <c r="F281" s="49"/>
      <c r="J281" s="49"/>
      <c r="K281" s="118"/>
    </row>
    <row r="282" spans="4:11" ht="13">
      <c r="D282" s="49"/>
      <c r="E282" s="49"/>
      <c r="F282" s="49"/>
      <c r="J282" s="49"/>
      <c r="K282" s="118"/>
    </row>
    <row r="283" spans="4:11" ht="13">
      <c r="D283" s="49"/>
      <c r="E283" s="49"/>
      <c r="F283" s="49"/>
      <c r="J283" s="49"/>
      <c r="K283" s="118"/>
    </row>
    <row r="284" spans="4:11" ht="13">
      <c r="D284" s="49"/>
      <c r="E284" s="49"/>
      <c r="F284" s="49"/>
      <c r="J284" s="49"/>
      <c r="K284" s="118"/>
    </row>
    <row r="285" spans="4:11" ht="13">
      <c r="D285" s="49"/>
      <c r="E285" s="49"/>
      <c r="F285" s="49"/>
      <c r="J285" s="49"/>
      <c r="K285" s="118"/>
    </row>
    <row r="286" spans="4:11" ht="13">
      <c r="D286" s="49"/>
      <c r="E286" s="49"/>
      <c r="F286" s="49"/>
      <c r="J286" s="49"/>
      <c r="K286" s="118"/>
    </row>
    <row r="287" spans="4:11" ht="13">
      <c r="D287" s="49"/>
      <c r="E287" s="49"/>
      <c r="F287" s="49"/>
      <c r="J287" s="49"/>
      <c r="K287" s="118"/>
    </row>
    <row r="288" spans="4:11" ht="13">
      <c r="D288" s="49"/>
      <c r="E288" s="49"/>
      <c r="F288" s="49"/>
      <c r="J288" s="49"/>
      <c r="K288" s="118"/>
    </row>
    <row r="289" spans="4:11" ht="13">
      <c r="D289" s="49"/>
      <c r="E289" s="49"/>
      <c r="F289" s="49"/>
      <c r="J289" s="49"/>
      <c r="K289" s="118"/>
    </row>
    <row r="290" spans="4:11" ht="13">
      <c r="D290" s="49"/>
      <c r="E290" s="49"/>
      <c r="F290" s="49"/>
      <c r="J290" s="49"/>
      <c r="K290" s="118"/>
    </row>
    <row r="291" spans="4:11" ht="13">
      <c r="D291" s="49"/>
      <c r="E291" s="49"/>
      <c r="F291" s="49"/>
      <c r="J291" s="49"/>
      <c r="K291" s="118"/>
    </row>
    <row r="292" spans="4:11" ht="13">
      <c r="D292" s="49"/>
      <c r="E292" s="49"/>
      <c r="F292" s="49"/>
      <c r="J292" s="49"/>
      <c r="K292" s="118"/>
    </row>
    <row r="293" spans="4:11" ht="13">
      <c r="D293" s="49"/>
      <c r="E293" s="49"/>
      <c r="F293" s="49"/>
      <c r="J293" s="49"/>
      <c r="K293" s="118"/>
    </row>
    <row r="294" spans="4:11" ht="13">
      <c r="D294" s="49"/>
      <c r="E294" s="49"/>
      <c r="F294" s="49"/>
      <c r="J294" s="49"/>
      <c r="K294" s="118"/>
    </row>
    <row r="295" spans="4:11" ht="13">
      <c r="D295" s="49"/>
      <c r="E295" s="49"/>
      <c r="F295" s="49"/>
      <c r="J295" s="49"/>
      <c r="K295" s="118"/>
    </row>
    <row r="296" spans="4:11" ht="13">
      <c r="D296" s="49"/>
      <c r="E296" s="49"/>
      <c r="F296" s="49"/>
      <c r="J296" s="49"/>
      <c r="K296" s="118"/>
    </row>
    <row r="297" spans="4:11" ht="13">
      <c r="D297" s="49"/>
      <c r="E297" s="49"/>
      <c r="F297" s="49"/>
      <c r="J297" s="49"/>
      <c r="K297" s="118"/>
    </row>
    <row r="298" spans="4:11" ht="13">
      <c r="D298" s="49"/>
      <c r="E298" s="49"/>
      <c r="F298" s="49"/>
      <c r="J298" s="49"/>
      <c r="K298" s="118"/>
    </row>
    <row r="299" spans="4:11" ht="13">
      <c r="D299" s="49"/>
      <c r="E299" s="49"/>
      <c r="F299" s="49"/>
      <c r="J299" s="49"/>
      <c r="K299" s="118"/>
    </row>
    <row r="300" spans="4:11" ht="13">
      <c r="D300" s="49"/>
      <c r="E300" s="49"/>
      <c r="F300" s="49"/>
      <c r="J300" s="49"/>
      <c r="K300" s="118"/>
    </row>
    <row r="301" spans="4:11" ht="13">
      <c r="D301" s="49"/>
      <c r="E301" s="49"/>
      <c r="F301" s="49"/>
      <c r="J301" s="49"/>
      <c r="K301" s="118"/>
    </row>
    <row r="302" spans="4:11" ht="13">
      <c r="D302" s="49"/>
      <c r="E302" s="49"/>
      <c r="F302" s="49"/>
      <c r="J302" s="49"/>
      <c r="K302" s="118"/>
    </row>
    <row r="303" spans="4:11" ht="13">
      <c r="D303" s="49"/>
      <c r="E303" s="49"/>
      <c r="F303" s="49"/>
      <c r="J303" s="49"/>
      <c r="K303" s="118"/>
    </row>
    <row r="304" spans="4:11" ht="13">
      <c r="D304" s="49"/>
      <c r="E304" s="49"/>
      <c r="F304" s="49"/>
      <c r="J304" s="49"/>
      <c r="K304" s="118"/>
    </row>
    <row r="305" spans="4:11" ht="13">
      <c r="D305" s="49"/>
      <c r="E305" s="49"/>
      <c r="F305" s="49"/>
      <c r="J305" s="49"/>
      <c r="K305" s="118"/>
    </row>
    <row r="306" spans="4:11" ht="13">
      <c r="D306" s="49"/>
      <c r="E306" s="49"/>
      <c r="F306" s="49"/>
      <c r="J306" s="49"/>
      <c r="K306" s="118"/>
    </row>
    <row r="307" spans="4:11" ht="13">
      <c r="D307" s="49"/>
      <c r="E307" s="49"/>
      <c r="F307" s="49"/>
      <c r="J307" s="49"/>
      <c r="K307" s="118"/>
    </row>
    <row r="308" spans="4:11" ht="13">
      <c r="D308" s="49"/>
      <c r="E308" s="49"/>
      <c r="F308" s="49"/>
      <c r="J308" s="49"/>
      <c r="K308" s="118"/>
    </row>
    <row r="309" spans="4:11" ht="13">
      <c r="D309" s="49"/>
      <c r="E309" s="49"/>
      <c r="F309" s="49"/>
      <c r="J309" s="49"/>
      <c r="K309" s="118"/>
    </row>
    <row r="310" spans="4:11" ht="13">
      <c r="D310" s="49"/>
      <c r="E310" s="49"/>
      <c r="F310" s="49"/>
      <c r="J310" s="49"/>
      <c r="K310" s="118"/>
    </row>
    <row r="311" spans="4:11" ht="13">
      <c r="D311" s="49"/>
      <c r="E311" s="49"/>
      <c r="F311" s="49"/>
      <c r="J311" s="49"/>
      <c r="K311" s="118"/>
    </row>
    <row r="312" spans="4:11" ht="13">
      <c r="D312" s="49"/>
      <c r="E312" s="49"/>
      <c r="F312" s="49"/>
      <c r="J312" s="49"/>
      <c r="K312" s="118"/>
    </row>
    <row r="313" spans="4:11" ht="13">
      <c r="D313" s="49"/>
      <c r="E313" s="49"/>
      <c r="F313" s="49"/>
      <c r="J313" s="49"/>
      <c r="K313" s="118"/>
    </row>
    <row r="314" spans="4:11" ht="13">
      <c r="D314" s="49"/>
      <c r="E314" s="49"/>
      <c r="F314" s="49"/>
      <c r="J314" s="49"/>
      <c r="K314" s="118"/>
    </row>
    <row r="315" spans="4:11" ht="13">
      <c r="D315" s="49"/>
      <c r="E315" s="49"/>
      <c r="F315" s="49"/>
      <c r="J315" s="49"/>
      <c r="K315" s="118"/>
    </row>
    <row r="316" spans="4:11" ht="13">
      <c r="D316" s="49"/>
      <c r="E316" s="49"/>
      <c r="F316" s="49"/>
      <c r="J316" s="49"/>
      <c r="K316" s="118"/>
    </row>
    <row r="317" spans="4:11" ht="13">
      <c r="D317" s="49"/>
      <c r="E317" s="49"/>
      <c r="F317" s="49"/>
      <c r="J317" s="49"/>
      <c r="K317" s="118"/>
    </row>
    <row r="318" spans="4:11" ht="13">
      <c r="D318" s="49"/>
      <c r="E318" s="49"/>
      <c r="F318" s="49"/>
      <c r="J318" s="49"/>
      <c r="K318" s="118"/>
    </row>
    <row r="319" spans="4:11" ht="13">
      <c r="D319" s="49"/>
      <c r="E319" s="49"/>
      <c r="F319" s="49"/>
      <c r="J319" s="49"/>
      <c r="K319" s="118"/>
    </row>
    <row r="320" spans="4:11" ht="13">
      <c r="D320" s="49"/>
      <c r="E320" s="49"/>
      <c r="F320" s="49"/>
      <c r="J320" s="49"/>
      <c r="K320" s="118"/>
    </row>
    <row r="321" spans="4:11" ht="13">
      <c r="D321" s="49"/>
      <c r="E321" s="49"/>
      <c r="F321" s="49"/>
      <c r="J321" s="49"/>
      <c r="K321" s="118"/>
    </row>
    <row r="322" spans="4:11" ht="13">
      <c r="D322" s="49"/>
      <c r="E322" s="49"/>
      <c r="F322" s="49"/>
      <c r="J322" s="49"/>
      <c r="K322" s="118"/>
    </row>
    <row r="323" spans="4:11" ht="13">
      <c r="D323" s="49"/>
      <c r="E323" s="49"/>
      <c r="F323" s="49"/>
      <c r="J323" s="49"/>
      <c r="K323" s="118"/>
    </row>
    <row r="324" spans="4:11" ht="13">
      <c r="D324" s="49"/>
      <c r="E324" s="49"/>
      <c r="F324" s="49"/>
      <c r="J324" s="49"/>
      <c r="K324" s="118"/>
    </row>
    <row r="325" spans="4:11" ht="13">
      <c r="D325" s="49"/>
      <c r="E325" s="49"/>
      <c r="F325" s="49"/>
      <c r="J325" s="49"/>
      <c r="K325" s="118"/>
    </row>
    <row r="326" spans="4:11" ht="13">
      <c r="D326" s="49"/>
      <c r="E326" s="49"/>
      <c r="F326" s="49"/>
      <c r="J326" s="49"/>
      <c r="K326" s="118"/>
    </row>
    <row r="327" spans="4:11" ht="13">
      <c r="D327" s="49"/>
      <c r="E327" s="49"/>
      <c r="F327" s="49"/>
      <c r="J327" s="49"/>
      <c r="K327" s="118"/>
    </row>
    <row r="328" spans="4:11" ht="13">
      <c r="D328" s="49"/>
      <c r="E328" s="49"/>
      <c r="F328" s="49"/>
      <c r="J328" s="49"/>
      <c r="K328" s="118"/>
    </row>
    <row r="329" spans="4:11" ht="13">
      <c r="D329" s="49"/>
      <c r="E329" s="49"/>
      <c r="F329" s="49"/>
      <c r="J329" s="49"/>
      <c r="K329" s="118"/>
    </row>
    <row r="330" spans="4:11" ht="13">
      <c r="D330" s="49"/>
      <c r="E330" s="49"/>
      <c r="F330" s="49"/>
      <c r="J330" s="49"/>
      <c r="K330" s="118"/>
    </row>
    <row r="331" spans="4:11" ht="13">
      <c r="D331" s="49"/>
      <c r="E331" s="49"/>
      <c r="F331" s="49"/>
      <c r="J331" s="49"/>
      <c r="K331" s="118"/>
    </row>
    <row r="332" spans="4:11" ht="13">
      <c r="D332" s="49"/>
      <c r="E332" s="49"/>
      <c r="F332" s="49"/>
      <c r="J332" s="49"/>
      <c r="K332" s="118"/>
    </row>
    <row r="333" spans="4:11" ht="13">
      <c r="D333" s="49"/>
      <c r="E333" s="49"/>
      <c r="F333" s="49"/>
      <c r="J333" s="49"/>
      <c r="K333" s="118"/>
    </row>
    <row r="334" spans="4:11" ht="13">
      <c r="D334" s="49"/>
      <c r="E334" s="49"/>
      <c r="F334" s="49"/>
      <c r="J334" s="49"/>
      <c r="K334" s="118"/>
    </row>
    <row r="335" spans="4:11" ht="13">
      <c r="D335" s="49"/>
      <c r="E335" s="49"/>
      <c r="F335" s="49"/>
      <c r="J335" s="49"/>
      <c r="K335" s="118"/>
    </row>
    <row r="336" spans="4:11" ht="13">
      <c r="D336" s="49"/>
      <c r="E336" s="49"/>
      <c r="F336" s="49"/>
      <c r="J336" s="49"/>
      <c r="K336" s="118"/>
    </row>
    <row r="337" spans="4:11" ht="13">
      <c r="D337" s="49"/>
      <c r="E337" s="49"/>
      <c r="F337" s="49"/>
      <c r="J337" s="49"/>
      <c r="K337" s="118"/>
    </row>
    <row r="338" spans="4:11" ht="13">
      <c r="D338" s="49"/>
      <c r="E338" s="49"/>
      <c r="F338" s="49"/>
      <c r="J338" s="49"/>
      <c r="K338" s="118"/>
    </row>
    <row r="339" spans="4:11" ht="13">
      <c r="D339" s="49"/>
      <c r="E339" s="49"/>
      <c r="F339" s="49"/>
      <c r="J339" s="49"/>
      <c r="K339" s="118"/>
    </row>
    <row r="340" spans="4:11" ht="13">
      <c r="D340" s="49"/>
      <c r="E340" s="49"/>
      <c r="F340" s="49"/>
      <c r="J340" s="49"/>
      <c r="K340" s="118"/>
    </row>
    <row r="341" spans="4:11" ht="13">
      <c r="D341" s="49"/>
      <c r="E341" s="49"/>
      <c r="F341" s="49"/>
      <c r="J341" s="49"/>
      <c r="K341" s="118"/>
    </row>
    <row r="342" spans="4:11" ht="13">
      <c r="D342" s="49"/>
      <c r="E342" s="49"/>
      <c r="F342" s="49"/>
      <c r="J342" s="49"/>
      <c r="K342" s="118"/>
    </row>
    <row r="343" spans="4:11" ht="13">
      <c r="D343" s="49"/>
      <c r="E343" s="49"/>
      <c r="F343" s="49"/>
      <c r="J343" s="49"/>
      <c r="K343" s="118"/>
    </row>
    <row r="344" spans="4:11" ht="13">
      <c r="D344" s="49"/>
      <c r="E344" s="49"/>
      <c r="F344" s="49"/>
      <c r="J344" s="49"/>
      <c r="K344" s="118"/>
    </row>
    <row r="345" spans="4:11" ht="13">
      <c r="D345" s="49"/>
      <c r="E345" s="49"/>
      <c r="F345" s="49"/>
      <c r="J345" s="49"/>
      <c r="K345" s="118"/>
    </row>
    <row r="346" spans="4:11" ht="13">
      <c r="D346" s="49"/>
      <c r="E346" s="49"/>
      <c r="F346" s="49"/>
      <c r="J346" s="49"/>
      <c r="K346" s="118"/>
    </row>
    <row r="347" spans="4:11" ht="13">
      <c r="D347" s="49"/>
      <c r="E347" s="49"/>
      <c r="F347" s="49"/>
      <c r="J347" s="49"/>
      <c r="K347" s="118"/>
    </row>
    <row r="348" spans="4:11" ht="13">
      <c r="D348" s="49"/>
      <c r="E348" s="49"/>
      <c r="F348" s="49"/>
      <c r="J348" s="49"/>
      <c r="K348" s="118"/>
    </row>
    <row r="349" spans="4:11" ht="13">
      <c r="D349" s="49"/>
      <c r="E349" s="49"/>
      <c r="F349" s="49"/>
      <c r="J349" s="49"/>
      <c r="K349" s="118"/>
    </row>
    <row r="350" spans="4:11" ht="13">
      <c r="D350" s="49"/>
      <c r="E350" s="49"/>
      <c r="F350" s="49"/>
      <c r="J350" s="49"/>
      <c r="K350" s="118"/>
    </row>
    <row r="351" spans="4:11" ht="13">
      <c r="D351" s="49"/>
      <c r="E351" s="49"/>
      <c r="F351" s="49"/>
      <c r="J351" s="49"/>
      <c r="K351" s="118"/>
    </row>
    <row r="352" spans="4:11" ht="13">
      <c r="D352" s="49"/>
      <c r="E352" s="49"/>
      <c r="F352" s="49"/>
      <c r="J352" s="49"/>
      <c r="K352" s="118"/>
    </row>
    <row r="353" spans="4:11" ht="13">
      <c r="D353" s="49"/>
      <c r="E353" s="49"/>
      <c r="F353" s="49"/>
      <c r="J353" s="49"/>
      <c r="K353" s="118"/>
    </row>
    <row r="354" spans="4:11" ht="13">
      <c r="D354" s="49"/>
      <c r="E354" s="49"/>
      <c r="F354" s="49"/>
      <c r="J354" s="49"/>
      <c r="K354" s="118"/>
    </row>
    <row r="355" spans="4:11" ht="13">
      <c r="D355" s="49"/>
      <c r="E355" s="49"/>
      <c r="F355" s="49"/>
      <c r="J355" s="49"/>
      <c r="K355" s="118"/>
    </row>
    <row r="356" spans="4:11" ht="13">
      <c r="D356" s="49"/>
      <c r="E356" s="49"/>
      <c r="F356" s="49"/>
      <c r="J356" s="49"/>
      <c r="K356" s="118"/>
    </row>
    <row r="357" spans="4:11" ht="13">
      <c r="D357" s="49"/>
      <c r="E357" s="49"/>
      <c r="F357" s="49"/>
      <c r="J357" s="49"/>
      <c r="K357" s="118"/>
    </row>
    <row r="358" spans="4:11" ht="13">
      <c r="D358" s="49"/>
      <c r="E358" s="49"/>
      <c r="F358" s="49"/>
      <c r="J358" s="49"/>
      <c r="K358" s="118"/>
    </row>
    <row r="359" spans="4:11" ht="13">
      <c r="D359" s="49"/>
      <c r="E359" s="49"/>
      <c r="F359" s="49"/>
      <c r="J359" s="49"/>
      <c r="K359" s="118"/>
    </row>
    <row r="360" spans="4:11" ht="13">
      <c r="D360" s="49"/>
      <c r="E360" s="49"/>
      <c r="F360" s="49"/>
      <c r="J360" s="49"/>
      <c r="K360" s="118"/>
    </row>
    <row r="361" spans="4:11" ht="13">
      <c r="D361" s="49"/>
      <c r="E361" s="49"/>
      <c r="F361" s="49"/>
      <c r="J361" s="49"/>
      <c r="K361" s="118"/>
    </row>
    <row r="362" spans="4:11" ht="13">
      <c r="D362" s="49"/>
      <c r="E362" s="49"/>
      <c r="F362" s="49"/>
      <c r="J362" s="49"/>
      <c r="K362" s="118"/>
    </row>
    <row r="363" spans="4:11" ht="13">
      <c r="D363" s="49"/>
      <c r="E363" s="49"/>
      <c r="F363" s="49"/>
      <c r="J363" s="49"/>
      <c r="K363" s="118"/>
    </row>
    <row r="364" spans="4:11" ht="13">
      <c r="D364" s="49"/>
      <c r="E364" s="49"/>
      <c r="F364" s="49"/>
      <c r="J364" s="49"/>
      <c r="K364" s="118"/>
    </row>
    <row r="365" spans="4:11" ht="13">
      <c r="D365" s="49"/>
      <c r="E365" s="49"/>
      <c r="F365" s="49"/>
      <c r="J365" s="49"/>
      <c r="K365" s="118"/>
    </row>
    <row r="366" spans="4:11" ht="13">
      <c r="D366" s="49"/>
      <c r="E366" s="49"/>
      <c r="F366" s="49"/>
      <c r="J366" s="49"/>
      <c r="K366" s="118"/>
    </row>
    <row r="367" spans="4:11" ht="13">
      <c r="D367" s="49"/>
      <c r="E367" s="49"/>
      <c r="F367" s="49"/>
      <c r="J367" s="49"/>
      <c r="K367" s="118"/>
    </row>
    <row r="368" spans="4:11" ht="13">
      <c r="D368" s="49"/>
      <c r="E368" s="49"/>
      <c r="F368" s="49"/>
      <c r="J368" s="49"/>
      <c r="K368" s="118"/>
    </row>
    <row r="369" spans="4:11" ht="13">
      <c r="D369" s="49"/>
      <c r="E369" s="49"/>
      <c r="F369" s="49"/>
      <c r="J369" s="49"/>
      <c r="K369" s="118"/>
    </row>
    <row r="370" spans="4:11" ht="13">
      <c r="D370" s="49"/>
      <c r="E370" s="49"/>
      <c r="F370" s="49"/>
      <c r="J370" s="49"/>
      <c r="K370" s="118"/>
    </row>
    <row r="371" spans="4:11" ht="13">
      <c r="D371" s="49"/>
      <c r="E371" s="49"/>
      <c r="F371" s="49"/>
      <c r="J371" s="49"/>
      <c r="K371" s="118"/>
    </row>
    <row r="372" spans="4:11" ht="13">
      <c r="D372" s="49"/>
      <c r="E372" s="49"/>
      <c r="F372" s="49"/>
      <c r="J372" s="49"/>
      <c r="K372" s="118"/>
    </row>
    <row r="373" spans="4:11" ht="13">
      <c r="D373" s="49"/>
      <c r="E373" s="49"/>
      <c r="F373" s="49"/>
      <c r="J373" s="49"/>
      <c r="K373" s="118"/>
    </row>
    <row r="374" spans="4:11" ht="13">
      <c r="D374" s="49"/>
      <c r="E374" s="49"/>
      <c r="F374" s="49"/>
      <c r="J374" s="49"/>
      <c r="K374" s="118"/>
    </row>
    <row r="375" spans="4:11" ht="13">
      <c r="D375" s="49"/>
      <c r="E375" s="49"/>
      <c r="F375" s="49"/>
      <c r="J375" s="49"/>
      <c r="K375" s="118"/>
    </row>
    <row r="376" spans="4:11" ht="13">
      <c r="D376" s="49"/>
      <c r="E376" s="49"/>
      <c r="F376" s="49"/>
      <c r="J376" s="49"/>
      <c r="K376" s="118"/>
    </row>
    <row r="377" spans="4:11" ht="13">
      <c r="D377" s="49"/>
      <c r="E377" s="49"/>
      <c r="F377" s="49"/>
      <c r="J377" s="49"/>
      <c r="K377" s="118"/>
    </row>
    <row r="378" spans="4:11" ht="13">
      <c r="D378" s="49"/>
      <c r="E378" s="49"/>
      <c r="F378" s="49"/>
      <c r="J378" s="49"/>
      <c r="K378" s="118"/>
    </row>
    <row r="379" spans="4:11" ht="13">
      <c r="D379" s="49"/>
      <c r="E379" s="49"/>
      <c r="F379" s="49"/>
      <c r="J379" s="49"/>
      <c r="K379" s="118"/>
    </row>
    <row r="380" spans="4:11" ht="13">
      <c r="D380" s="49"/>
      <c r="E380" s="49"/>
      <c r="F380" s="49"/>
      <c r="J380" s="49"/>
      <c r="K380" s="118"/>
    </row>
    <row r="381" spans="4:11" ht="13">
      <c r="D381" s="49"/>
      <c r="E381" s="49"/>
      <c r="F381" s="49"/>
      <c r="J381" s="49"/>
      <c r="K381" s="118"/>
    </row>
    <row r="382" spans="4:11" ht="13">
      <c r="D382" s="49"/>
      <c r="E382" s="49"/>
      <c r="F382" s="49"/>
      <c r="J382" s="49"/>
      <c r="K382" s="118"/>
    </row>
    <row r="383" spans="4:11" ht="13">
      <c r="D383" s="49"/>
      <c r="E383" s="49"/>
      <c r="F383" s="49"/>
      <c r="J383" s="49"/>
      <c r="K383" s="118"/>
    </row>
    <row r="384" spans="4:11" ht="13">
      <c r="D384" s="49"/>
      <c r="E384" s="49"/>
      <c r="F384" s="49"/>
      <c r="J384" s="49"/>
      <c r="K384" s="118"/>
    </row>
    <row r="385" spans="4:11" ht="13">
      <c r="D385" s="49"/>
      <c r="E385" s="49"/>
      <c r="F385" s="49"/>
      <c r="J385" s="49"/>
      <c r="K385" s="118"/>
    </row>
    <row r="386" spans="4:11" ht="13">
      <c r="D386" s="49"/>
      <c r="E386" s="49"/>
      <c r="F386" s="49"/>
      <c r="J386" s="49"/>
      <c r="K386" s="118"/>
    </row>
    <row r="387" spans="4:11" ht="13">
      <c r="D387" s="49"/>
      <c r="E387" s="49"/>
      <c r="F387" s="49"/>
      <c r="J387" s="49"/>
      <c r="K387" s="118"/>
    </row>
    <row r="388" spans="4:11" ht="13">
      <c r="D388" s="49"/>
      <c r="E388" s="49"/>
      <c r="F388" s="49"/>
      <c r="J388" s="49"/>
      <c r="K388" s="118"/>
    </row>
    <row r="389" spans="4:11" ht="13">
      <c r="D389" s="49"/>
      <c r="E389" s="49"/>
      <c r="F389" s="49"/>
      <c r="J389" s="49"/>
      <c r="K389" s="118"/>
    </row>
    <row r="390" spans="4:11" ht="13">
      <c r="D390" s="49"/>
      <c r="E390" s="49"/>
      <c r="F390" s="49"/>
      <c r="J390" s="49"/>
      <c r="K390" s="118"/>
    </row>
    <row r="391" spans="4:11" ht="13">
      <c r="D391" s="49"/>
      <c r="E391" s="49"/>
      <c r="F391" s="49"/>
      <c r="J391" s="49"/>
      <c r="K391" s="118"/>
    </row>
    <row r="392" spans="4:11" ht="13">
      <c r="D392" s="49"/>
      <c r="E392" s="49"/>
      <c r="F392" s="49"/>
      <c r="J392" s="49"/>
      <c r="K392" s="118"/>
    </row>
    <row r="393" spans="4:11" ht="13">
      <c r="D393" s="49"/>
      <c r="E393" s="49"/>
      <c r="F393" s="49"/>
      <c r="J393" s="49"/>
      <c r="K393" s="118"/>
    </row>
    <row r="394" spans="4:11" ht="13">
      <c r="D394" s="49"/>
      <c r="E394" s="49"/>
      <c r="F394" s="49"/>
      <c r="J394" s="49"/>
      <c r="K394" s="118"/>
    </row>
    <row r="395" spans="4:11" ht="13">
      <c r="D395" s="49"/>
      <c r="E395" s="49"/>
      <c r="F395" s="49"/>
      <c r="J395" s="49"/>
      <c r="K395" s="118"/>
    </row>
    <row r="396" spans="4:11" ht="13">
      <c r="D396" s="49"/>
      <c r="E396" s="49"/>
      <c r="F396" s="49"/>
      <c r="J396" s="49"/>
      <c r="K396" s="118"/>
    </row>
    <row r="397" spans="4:11" ht="13">
      <c r="D397" s="49"/>
      <c r="E397" s="49"/>
      <c r="F397" s="49"/>
      <c r="J397" s="49"/>
      <c r="K397" s="118"/>
    </row>
    <row r="398" spans="4:11" ht="13">
      <c r="D398" s="49"/>
      <c r="E398" s="49"/>
      <c r="F398" s="49"/>
      <c r="J398" s="49"/>
      <c r="K398" s="118"/>
    </row>
    <row r="399" spans="4:11" ht="13">
      <c r="D399" s="49"/>
      <c r="E399" s="49"/>
      <c r="F399" s="49"/>
      <c r="J399" s="49"/>
      <c r="K399" s="118"/>
    </row>
    <row r="400" spans="4:11" ht="13">
      <c r="D400" s="49"/>
      <c r="E400" s="49"/>
      <c r="F400" s="49"/>
      <c r="J400" s="49"/>
      <c r="K400" s="118"/>
    </row>
    <row r="401" spans="4:11" ht="13">
      <c r="D401" s="49"/>
      <c r="E401" s="49"/>
      <c r="F401" s="49"/>
      <c r="J401" s="49"/>
      <c r="K401" s="118"/>
    </row>
    <row r="402" spans="4:11" ht="13">
      <c r="D402" s="49"/>
      <c r="E402" s="49"/>
      <c r="F402" s="49"/>
      <c r="J402" s="49"/>
      <c r="K402" s="118"/>
    </row>
    <row r="403" spans="4:11" ht="13">
      <c r="D403" s="49"/>
      <c r="E403" s="49"/>
      <c r="F403" s="49"/>
      <c r="J403" s="49"/>
      <c r="K403" s="118"/>
    </row>
    <row r="404" spans="4:11" ht="13">
      <c r="D404" s="49"/>
      <c r="E404" s="49"/>
      <c r="F404" s="49"/>
      <c r="J404" s="49"/>
      <c r="K404" s="118"/>
    </row>
    <row r="405" spans="4:11" ht="13">
      <c r="D405" s="49"/>
      <c r="E405" s="49"/>
      <c r="F405" s="49"/>
      <c r="J405" s="49"/>
      <c r="K405" s="118"/>
    </row>
    <row r="406" spans="4:11" ht="13">
      <c r="D406" s="49"/>
      <c r="E406" s="49"/>
      <c r="F406" s="49"/>
      <c r="J406" s="49"/>
      <c r="K406" s="118"/>
    </row>
    <row r="407" spans="4:11" ht="13">
      <c r="D407" s="49"/>
      <c r="E407" s="49"/>
      <c r="F407" s="49"/>
      <c r="J407" s="49"/>
      <c r="K407" s="118"/>
    </row>
    <row r="408" spans="4:11" ht="13">
      <c r="D408" s="49"/>
      <c r="E408" s="49"/>
      <c r="F408" s="49"/>
      <c r="J408" s="49"/>
      <c r="K408" s="118"/>
    </row>
    <row r="409" spans="4:11" ht="13">
      <c r="D409" s="49"/>
      <c r="E409" s="49"/>
      <c r="F409" s="49"/>
      <c r="J409" s="49"/>
      <c r="K409" s="118"/>
    </row>
    <row r="410" spans="4:11" ht="13">
      <c r="D410" s="49"/>
      <c r="E410" s="49"/>
      <c r="F410" s="49"/>
      <c r="J410" s="49"/>
      <c r="K410" s="118"/>
    </row>
    <row r="411" spans="4:11" ht="13">
      <c r="D411" s="49"/>
      <c r="E411" s="49"/>
      <c r="F411" s="49"/>
      <c r="J411" s="49"/>
      <c r="K411" s="118"/>
    </row>
    <row r="412" spans="4:11" ht="13">
      <c r="D412" s="49"/>
      <c r="E412" s="49"/>
      <c r="F412" s="49"/>
      <c r="J412" s="49"/>
      <c r="K412" s="118"/>
    </row>
    <row r="413" spans="4:11" ht="13">
      <c r="D413" s="49"/>
      <c r="E413" s="49"/>
      <c r="F413" s="49"/>
      <c r="J413" s="49"/>
      <c r="K413" s="118"/>
    </row>
    <row r="414" spans="4:11" ht="13">
      <c r="D414" s="49"/>
      <c r="E414" s="49"/>
      <c r="F414" s="49"/>
      <c r="J414" s="49"/>
      <c r="K414" s="118"/>
    </row>
    <row r="415" spans="4:11" ht="13">
      <c r="D415" s="49"/>
      <c r="E415" s="49"/>
      <c r="F415" s="49"/>
      <c r="J415" s="49"/>
      <c r="K415" s="118"/>
    </row>
    <row r="416" spans="4:11" ht="13">
      <c r="D416" s="49"/>
      <c r="E416" s="49"/>
      <c r="F416" s="49"/>
      <c r="J416" s="49"/>
      <c r="K416" s="118"/>
    </row>
    <row r="417" spans="4:11" ht="13">
      <c r="D417" s="49"/>
      <c r="E417" s="49"/>
      <c r="F417" s="49"/>
      <c r="J417" s="49"/>
      <c r="K417" s="118"/>
    </row>
    <row r="418" spans="4:11" ht="13">
      <c r="D418" s="49"/>
      <c r="E418" s="49"/>
      <c r="F418" s="49"/>
      <c r="J418" s="49"/>
      <c r="K418" s="118"/>
    </row>
    <row r="419" spans="4:11" ht="13">
      <c r="D419" s="49"/>
      <c r="E419" s="49"/>
      <c r="F419" s="49"/>
      <c r="J419" s="49"/>
      <c r="K419" s="118"/>
    </row>
    <row r="420" spans="4:11" ht="13">
      <c r="D420" s="49"/>
      <c r="E420" s="49"/>
      <c r="F420" s="49"/>
      <c r="J420" s="49"/>
      <c r="K420" s="118"/>
    </row>
    <row r="421" spans="4:11" ht="13">
      <c r="D421" s="49"/>
      <c r="E421" s="49"/>
      <c r="F421" s="49"/>
      <c r="J421" s="49"/>
      <c r="K421" s="118"/>
    </row>
    <row r="422" spans="4:11" ht="13">
      <c r="D422" s="49"/>
      <c r="E422" s="49"/>
      <c r="F422" s="49"/>
      <c r="J422" s="49"/>
      <c r="K422" s="118"/>
    </row>
    <row r="423" spans="4:11" ht="13">
      <c r="D423" s="49"/>
      <c r="E423" s="49"/>
      <c r="F423" s="49"/>
      <c r="J423" s="49"/>
      <c r="K423" s="118"/>
    </row>
    <row r="424" spans="4:11" ht="13">
      <c r="D424" s="49"/>
      <c r="E424" s="49"/>
      <c r="F424" s="49"/>
      <c r="J424" s="49"/>
      <c r="K424" s="118"/>
    </row>
    <row r="425" spans="4:11" ht="13">
      <c r="D425" s="49"/>
      <c r="E425" s="49"/>
      <c r="F425" s="49"/>
      <c r="J425" s="49"/>
      <c r="K425" s="118"/>
    </row>
    <row r="426" spans="4:11" ht="13">
      <c r="D426" s="49"/>
      <c r="E426" s="49"/>
      <c r="F426" s="49"/>
      <c r="J426" s="49"/>
      <c r="K426" s="118"/>
    </row>
    <row r="427" spans="4:11" ht="13">
      <c r="D427" s="49"/>
      <c r="E427" s="49"/>
      <c r="F427" s="49"/>
      <c r="J427" s="49"/>
      <c r="K427" s="118"/>
    </row>
    <row r="428" spans="4:11" ht="13">
      <c r="D428" s="49"/>
      <c r="E428" s="49"/>
      <c r="F428" s="49"/>
      <c r="J428" s="49"/>
      <c r="K428" s="118"/>
    </row>
    <row r="429" spans="4:11" ht="13">
      <c r="D429" s="49"/>
      <c r="E429" s="49"/>
      <c r="F429" s="49"/>
      <c r="J429" s="49"/>
      <c r="K429" s="118"/>
    </row>
    <row r="430" spans="4:11" ht="13">
      <c r="D430" s="49"/>
      <c r="E430" s="49"/>
      <c r="F430" s="49"/>
      <c r="J430" s="49"/>
      <c r="K430" s="118"/>
    </row>
    <row r="431" spans="4:11" ht="13">
      <c r="D431" s="49"/>
      <c r="E431" s="49"/>
      <c r="F431" s="49"/>
      <c r="J431" s="49"/>
      <c r="K431" s="118"/>
    </row>
    <row r="432" spans="4:11" ht="13">
      <c r="D432" s="49"/>
      <c r="E432" s="49"/>
      <c r="F432" s="49"/>
      <c r="J432" s="49"/>
      <c r="K432" s="118"/>
    </row>
    <row r="433" spans="4:11" ht="13">
      <c r="D433" s="49"/>
      <c r="E433" s="49"/>
      <c r="F433" s="49"/>
      <c r="J433" s="49"/>
      <c r="K433" s="118"/>
    </row>
    <row r="434" spans="4:11" ht="13">
      <c r="D434" s="49"/>
      <c r="E434" s="49"/>
      <c r="F434" s="49"/>
      <c r="J434" s="49"/>
      <c r="K434" s="118"/>
    </row>
    <row r="435" spans="4:11" ht="13">
      <c r="D435" s="49"/>
      <c r="E435" s="49"/>
      <c r="F435" s="49"/>
      <c r="J435" s="49"/>
      <c r="K435" s="118"/>
    </row>
    <row r="436" spans="4:11" ht="13">
      <c r="D436" s="49"/>
      <c r="E436" s="49"/>
      <c r="F436" s="49"/>
      <c r="J436" s="49"/>
      <c r="K436" s="118"/>
    </row>
    <row r="437" spans="4:11" ht="13">
      <c r="D437" s="49"/>
      <c r="E437" s="49"/>
      <c r="F437" s="49"/>
      <c r="J437" s="49"/>
      <c r="K437" s="118"/>
    </row>
    <row r="438" spans="4:11" ht="13">
      <c r="D438" s="49"/>
      <c r="E438" s="49"/>
      <c r="F438" s="49"/>
      <c r="J438" s="49"/>
      <c r="K438" s="118"/>
    </row>
    <row r="439" spans="4:11" ht="13">
      <c r="D439" s="49"/>
      <c r="E439" s="49"/>
      <c r="F439" s="49"/>
      <c r="J439" s="49"/>
      <c r="K439" s="118"/>
    </row>
    <row r="440" spans="4:11" ht="13">
      <c r="D440" s="49"/>
      <c r="E440" s="49"/>
      <c r="F440" s="49"/>
      <c r="J440" s="49"/>
      <c r="K440" s="118"/>
    </row>
    <row r="441" spans="4:11" ht="13">
      <c r="D441" s="49"/>
      <c r="E441" s="49"/>
      <c r="F441" s="49"/>
      <c r="J441" s="49"/>
      <c r="K441" s="118"/>
    </row>
    <row r="442" spans="4:11" ht="13">
      <c r="D442" s="49"/>
      <c r="E442" s="49"/>
      <c r="F442" s="49"/>
      <c r="J442" s="49"/>
      <c r="K442" s="118"/>
    </row>
    <row r="443" spans="4:11" ht="13">
      <c r="D443" s="49"/>
      <c r="E443" s="49"/>
      <c r="F443" s="49"/>
      <c r="J443" s="49"/>
      <c r="K443" s="118"/>
    </row>
    <row r="444" spans="4:11" ht="13">
      <c r="D444" s="49"/>
      <c r="E444" s="49"/>
      <c r="F444" s="49"/>
      <c r="J444" s="49"/>
      <c r="K444" s="118"/>
    </row>
    <row r="445" spans="4:11" ht="13">
      <c r="D445" s="49"/>
      <c r="E445" s="49"/>
      <c r="F445" s="49"/>
      <c r="J445" s="49"/>
      <c r="K445" s="118"/>
    </row>
    <row r="446" spans="4:11" ht="13">
      <c r="D446" s="49"/>
      <c r="E446" s="49"/>
      <c r="F446" s="49"/>
      <c r="J446" s="49"/>
      <c r="K446" s="118"/>
    </row>
    <row r="447" spans="4:11" ht="13">
      <c r="D447" s="49"/>
      <c r="E447" s="49"/>
      <c r="F447" s="49"/>
      <c r="J447" s="49"/>
      <c r="K447" s="118"/>
    </row>
    <row r="448" spans="4:11" ht="13">
      <c r="D448" s="49"/>
      <c r="E448" s="49"/>
      <c r="F448" s="49"/>
      <c r="J448" s="49"/>
      <c r="K448" s="118"/>
    </row>
    <row r="449" spans="4:11" ht="13">
      <c r="D449" s="49"/>
      <c r="E449" s="49"/>
      <c r="F449" s="49"/>
      <c r="J449" s="49"/>
      <c r="K449" s="118"/>
    </row>
    <row r="450" spans="4:11" ht="13">
      <c r="D450" s="49"/>
      <c r="E450" s="49"/>
      <c r="F450" s="49"/>
      <c r="J450" s="49"/>
      <c r="K450" s="118"/>
    </row>
    <row r="451" spans="4:11" ht="13">
      <c r="D451" s="49"/>
      <c r="E451" s="49"/>
      <c r="F451" s="49"/>
      <c r="J451" s="49"/>
      <c r="K451" s="118"/>
    </row>
    <row r="452" spans="4:11" ht="13">
      <c r="D452" s="49"/>
      <c r="E452" s="49"/>
      <c r="F452" s="49"/>
      <c r="J452" s="49"/>
      <c r="K452" s="118"/>
    </row>
    <row r="453" spans="4:11" ht="13">
      <c r="D453" s="49"/>
      <c r="E453" s="49"/>
      <c r="F453" s="49"/>
      <c r="J453" s="49"/>
      <c r="K453" s="118"/>
    </row>
    <row r="454" spans="4:11" ht="13">
      <c r="D454" s="49"/>
      <c r="E454" s="49"/>
      <c r="F454" s="49"/>
      <c r="J454" s="49"/>
      <c r="K454" s="118"/>
    </row>
    <row r="455" spans="4:11" ht="13">
      <c r="D455" s="49"/>
      <c r="E455" s="49"/>
      <c r="F455" s="49"/>
      <c r="J455" s="49"/>
      <c r="K455" s="118"/>
    </row>
    <row r="456" spans="4:11" ht="13">
      <c r="D456" s="49"/>
      <c r="E456" s="49"/>
      <c r="F456" s="49"/>
      <c r="J456" s="49"/>
      <c r="K456" s="118"/>
    </row>
    <row r="457" spans="4:11" ht="13">
      <c r="D457" s="49"/>
      <c r="E457" s="49"/>
      <c r="F457" s="49"/>
      <c r="J457" s="49"/>
      <c r="K457" s="118"/>
    </row>
    <row r="458" spans="4:11" ht="13">
      <c r="D458" s="49"/>
      <c r="E458" s="49"/>
      <c r="F458" s="49"/>
      <c r="J458" s="49"/>
      <c r="K458" s="118"/>
    </row>
    <row r="459" spans="4:11" ht="13">
      <c r="D459" s="49"/>
      <c r="E459" s="49"/>
      <c r="F459" s="49"/>
      <c r="J459" s="49"/>
      <c r="K459" s="118"/>
    </row>
    <row r="460" spans="4:11" ht="13">
      <c r="D460" s="49"/>
      <c r="E460" s="49"/>
      <c r="F460" s="49"/>
      <c r="J460" s="49"/>
      <c r="K460" s="118"/>
    </row>
    <row r="461" spans="4:11" ht="13">
      <c r="D461" s="49"/>
      <c r="E461" s="49"/>
      <c r="F461" s="49"/>
      <c r="J461" s="49"/>
      <c r="K461" s="118"/>
    </row>
    <row r="462" spans="4:11" ht="13">
      <c r="D462" s="49"/>
      <c r="E462" s="49"/>
      <c r="F462" s="49"/>
      <c r="J462" s="49"/>
      <c r="K462" s="118"/>
    </row>
    <row r="463" spans="4:11" ht="13">
      <c r="D463" s="49"/>
      <c r="E463" s="49"/>
      <c r="F463" s="49"/>
      <c r="J463" s="49"/>
      <c r="K463" s="118"/>
    </row>
    <row r="464" spans="4:11" ht="13">
      <c r="D464" s="49"/>
      <c r="E464" s="49"/>
      <c r="F464" s="49"/>
      <c r="J464" s="49"/>
      <c r="K464" s="118"/>
    </row>
    <row r="465" spans="4:11" ht="13">
      <c r="D465" s="49"/>
      <c r="E465" s="49"/>
      <c r="F465" s="49"/>
      <c r="J465" s="49"/>
      <c r="K465" s="118"/>
    </row>
    <row r="466" spans="4:11" ht="13">
      <c r="D466" s="49"/>
      <c r="E466" s="49"/>
      <c r="F466" s="49"/>
      <c r="J466" s="49"/>
      <c r="K466" s="118"/>
    </row>
    <row r="467" spans="4:11" ht="13">
      <c r="D467" s="49"/>
      <c r="E467" s="49"/>
      <c r="F467" s="49"/>
      <c r="J467" s="49"/>
      <c r="K467" s="118"/>
    </row>
    <row r="468" spans="4:11" ht="13">
      <c r="D468" s="49"/>
      <c r="E468" s="49"/>
      <c r="F468" s="49"/>
      <c r="J468" s="49"/>
      <c r="K468" s="118"/>
    </row>
    <row r="469" spans="4:11" ht="13">
      <c r="D469" s="49"/>
      <c r="E469" s="49"/>
      <c r="F469" s="49"/>
      <c r="J469" s="49"/>
      <c r="K469" s="118"/>
    </row>
    <row r="470" spans="4:11" ht="13">
      <c r="D470" s="49"/>
      <c r="E470" s="49"/>
      <c r="F470" s="49"/>
      <c r="J470" s="49"/>
      <c r="K470" s="118"/>
    </row>
    <row r="471" spans="4:11" ht="13">
      <c r="D471" s="49"/>
      <c r="E471" s="49"/>
      <c r="F471" s="49"/>
      <c r="J471" s="49"/>
      <c r="K471" s="118"/>
    </row>
    <row r="472" spans="4:11" ht="13">
      <c r="D472" s="49"/>
      <c r="E472" s="49"/>
      <c r="F472" s="49"/>
      <c r="J472" s="49"/>
      <c r="K472" s="118"/>
    </row>
    <row r="473" spans="4:11" ht="13">
      <c r="D473" s="49"/>
      <c r="E473" s="49"/>
      <c r="F473" s="49"/>
      <c r="J473" s="49"/>
      <c r="K473" s="118"/>
    </row>
    <row r="474" spans="4:11" ht="13">
      <c r="D474" s="49"/>
      <c r="E474" s="49"/>
      <c r="F474" s="49"/>
      <c r="J474" s="49"/>
      <c r="K474" s="118"/>
    </row>
    <row r="475" spans="4:11" ht="13">
      <c r="D475" s="49"/>
      <c r="E475" s="49"/>
      <c r="F475" s="49"/>
      <c r="J475" s="49"/>
      <c r="K475" s="118"/>
    </row>
    <row r="476" spans="4:11" ht="13">
      <c r="D476" s="49"/>
      <c r="E476" s="49"/>
      <c r="F476" s="49"/>
      <c r="J476" s="49"/>
      <c r="K476" s="118"/>
    </row>
    <row r="477" spans="4:11" ht="13">
      <c r="D477" s="49"/>
      <c r="E477" s="49"/>
      <c r="F477" s="49"/>
      <c r="J477" s="49"/>
      <c r="K477" s="118"/>
    </row>
    <row r="478" spans="4:11" ht="13">
      <c r="D478" s="49"/>
      <c r="E478" s="49"/>
      <c r="F478" s="49"/>
      <c r="J478" s="49"/>
      <c r="K478" s="118"/>
    </row>
    <row r="479" spans="4:11" ht="13">
      <c r="D479" s="49"/>
      <c r="E479" s="49"/>
      <c r="F479" s="49"/>
      <c r="J479" s="49"/>
      <c r="K479" s="118"/>
    </row>
    <row r="480" spans="4:11" ht="13">
      <c r="D480" s="49"/>
      <c r="E480" s="49"/>
      <c r="F480" s="49"/>
      <c r="J480" s="49"/>
      <c r="K480" s="118"/>
    </row>
    <row r="481" spans="4:11" ht="13">
      <c r="D481" s="49"/>
      <c r="E481" s="49"/>
      <c r="F481" s="49"/>
      <c r="J481" s="49"/>
      <c r="K481" s="118"/>
    </row>
    <row r="482" spans="4:11" ht="13">
      <c r="D482" s="49"/>
      <c r="E482" s="49"/>
      <c r="F482" s="49"/>
      <c r="J482" s="49"/>
      <c r="K482" s="118"/>
    </row>
    <row r="483" spans="4:11" ht="13">
      <c r="D483" s="49"/>
      <c r="E483" s="49"/>
      <c r="F483" s="49"/>
      <c r="J483" s="49"/>
      <c r="K483" s="118"/>
    </row>
    <row r="484" spans="4:11" ht="13">
      <c r="D484" s="49"/>
      <c r="E484" s="49"/>
      <c r="F484" s="49"/>
      <c r="J484" s="49"/>
      <c r="K484" s="118"/>
    </row>
    <row r="485" spans="4:11" ht="13">
      <c r="D485" s="49"/>
      <c r="E485" s="49"/>
      <c r="F485" s="49"/>
      <c r="J485" s="49"/>
      <c r="K485" s="118"/>
    </row>
    <row r="486" spans="4:11" ht="13">
      <c r="D486" s="49"/>
      <c r="E486" s="49"/>
      <c r="F486" s="49"/>
      <c r="J486" s="49"/>
      <c r="K486" s="118"/>
    </row>
    <row r="487" spans="4:11" ht="13">
      <c r="D487" s="49"/>
      <c r="E487" s="49"/>
      <c r="F487" s="49"/>
      <c r="J487" s="49"/>
      <c r="K487" s="118"/>
    </row>
    <row r="488" spans="4:11" ht="13">
      <c r="D488" s="49"/>
      <c r="E488" s="49"/>
      <c r="F488" s="49"/>
      <c r="J488" s="49"/>
      <c r="K488" s="118"/>
    </row>
    <row r="489" spans="4:11" ht="13">
      <c r="D489" s="49"/>
      <c r="E489" s="49"/>
      <c r="F489" s="49"/>
      <c r="J489" s="49"/>
      <c r="K489" s="118"/>
    </row>
    <row r="490" spans="4:11" ht="13">
      <c r="D490" s="49"/>
      <c r="E490" s="49"/>
      <c r="F490" s="49"/>
      <c r="J490" s="49"/>
      <c r="K490" s="118"/>
    </row>
    <row r="491" spans="4:11" ht="13">
      <c r="D491" s="49"/>
      <c r="E491" s="49"/>
      <c r="F491" s="49"/>
      <c r="J491" s="49"/>
      <c r="K491" s="118"/>
    </row>
    <row r="492" spans="4:11" ht="13">
      <c r="D492" s="49"/>
      <c r="E492" s="49"/>
      <c r="F492" s="49"/>
      <c r="J492" s="49"/>
      <c r="K492" s="118"/>
    </row>
    <row r="493" spans="4:11" ht="13">
      <c r="D493" s="49"/>
      <c r="E493" s="49"/>
      <c r="F493" s="49"/>
      <c r="J493" s="49"/>
      <c r="K493" s="118"/>
    </row>
    <row r="494" spans="4:11" ht="13">
      <c r="D494" s="49"/>
      <c r="E494" s="49"/>
      <c r="F494" s="49"/>
      <c r="J494" s="49"/>
      <c r="K494" s="118"/>
    </row>
    <row r="495" spans="4:11" ht="13">
      <c r="D495" s="49"/>
      <c r="E495" s="49"/>
      <c r="F495" s="49"/>
      <c r="J495" s="49"/>
      <c r="K495" s="118"/>
    </row>
    <row r="496" spans="4:11" ht="13">
      <c r="D496" s="49"/>
      <c r="E496" s="49"/>
      <c r="F496" s="49"/>
      <c r="J496" s="49"/>
      <c r="K496" s="118"/>
    </row>
    <row r="497" spans="4:11" ht="13">
      <c r="D497" s="49"/>
      <c r="E497" s="49"/>
      <c r="F497" s="49"/>
      <c r="J497" s="49"/>
      <c r="K497" s="118"/>
    </row>
    <row r="498" spans="4:11" ht="13">
      <c r="D498" s="49"/>
      <c r="E498" s="49"/>
      <c r="F498" s="49"/>
      <c r="J498" s="49"/>
      <c r="K498" s="118"/>
    </row>
    <row r="499" spans="4:11" ht="13">
      <c r="D499" s="49"/>
      <c r="E499" s="49"/>
      <c r="F499" s="49"/>
      <c r="J499" s="49"/>
      <c r="K499" s="118"/>
    </row>
    <row r="500" spans="4:11" ht="13">
      <c r="D500" s="49"/>
      <c r="E500" s="49"/>
      <c r="F500" s="49"/>
      <c r="J500" s="49"/>
      <c r="K500" s="118"/>
    </row>
    <row r="501" spans="4:11" ht="13">
      <c r="D501" s="49"/>
      <c r="E501" s="49"/>
      <c r="F501" s="49"/>
      <c r="J501" s="49"/>
      <c r="K501" s="118"/>
    </row>
    <row r="502" spans="4:11" ht="13">
      <c r="D502" s="49"/>
      <c r="E502" s="49"/>
      <c r="F502" s="49"/>
      <c r="J502" s="49"/>
      <c r="K502" s="118"/>
    </row>
    <row r="503" spans="4:11" ht="13">
      <c r="D503" s="49"/>
      <c r="E503" s="49"/>
      <c r="F503" s="49"/>
      <c r="J503" s="49"/>
      <c r="K503" s="118"/>
    </row>
    <row r="504" spans="4:11" ht="13">
      <c r="D504" s="49"/>
      <c r="E504" s="49"/>
      <c r="F504" s="49"/>
      <c r="J504" s="49"/>
      <c r="K504" s="118"/>
    </row>
    <row r="505" spans="4:11" ht="13">
      <c r="D505" s="49"/>
      <c r="E505" s="49"/>
      <c r="F505" s="49"/>
      <c r="J505" s="49"/>
      <c r="K505" s="118"/>
    </row>
    <row r="506" spans="4:11" ht="13">
      <c r="D506" s="49"/>
      <c r="E506" s="49"/>
      <c r="F506" s="49"/>
      <c r="J506" s="49"/>
      <c r="K506" s="118"/>
    </row>
    <row r="507" spans="4:11" ht="13">
      <c r="D507" s="49"/>
      <c r="E507" s="49"/>
      <c r="F507" s="49"/>
      <c r="J507" s="49"/>
      <c r="K507" s="118"/>
    </row>
    <row r="508" spans="4:11" ht="13">
      <c r="D508" s="49"/>
      <c r="E508" s="49"/>
      <c r="F508" s="49"/>
      <c r="J508" s="49"/>
      <c r="K508" s="118"/>
    </row>
    <row r="509" spans="4:11" ht="13">
      <c r="D509" s="49"/>
      <c r="E509" s="49"/>
      <c r="F509" s="49"/>
      <c r="J509" s="49"/>
      <c r="K509" s="118"/>
    </row>
    <row r="510" spans="4:11" ht="13">
      <c r="D510" s="49"/>
      <c r="E510" s="49"/>
      <c r="F510" s="49"/>
      <c r="J510" s="49"/>
      <c r="K510" s="118"/>
    </row>
    <row r="511" spans="4:11" ht="13">
      <c r="D511" s="49"/>
      <c r="E511" s="49"/>
      <c r="F511" s="49"/>
      <c r="J511" s="49"/>
      <c r="K511" s="118"/>
    </row>
    <row r="512" spans="4:11" ht="13">
      <c r="D512" s="49"/>
      <c r="E512" s="49"/>
      <c r="F512" s="49"/>
      <c r="J512" s="49"/>
      <c r="K512" s="118"/>
    </row>
    <row r="513" spans="4:11" ht="13">
      <c r="D513" s="49"/>
      <c r="E513" s="49"/>
      <c r="F513" s="49"/>
      <c r="J513" s="49"/>
      <c r="K513" s="118"/>
    </row>
    <row r="514" spans="4:11" ht="13">
      <c r="D514" s="49"/>
      <c r="E514" s="49"/>
      <c r="F514" s="49"/>
      <c r="J514" s="49"/>
      <c r="K514" s="118"/>
    </row>
    <row r="515" spans="4:11" ht="13">
      <c r="D515" s="49"/>
      <c r="E515" s="49"/>
      <c r="F515" s="49"/>
      <c r="J515" s="49"/>
      <c r="K515" s="118"/>
    </row>
    <row r="516" spans="4:11" ht="13">
      <c r="D516" s="49"/>
      <c r="E516" s="49"/>
      <c r="F516" s="49"/>
      <c r="J516" s="49"/>
      <c r="K516" s="118"/>
    </row>
    <row r="517" spans="4:11" ht="13">
      <c r="D517" s="49"/>
      <c r="E517" s="49"/>
      <c r="F517" s="49"/>
      <c r="J517" s="49"/>
      <c r="K517" s="118"/>
    </row>
    <row r="518" spans="4:11" ht="13">
      <c r="D518" s="49"/>
      <c r="E518" s="49"/>
      <c r="F518" s="49"/>
      <c r="J518" s="49"/>
      <c r="K518" s="118"/>
    </row>
    <row r="519" spans="4:11" ht="13">
      <c r="D519" s="49"/>
      <c r="E519" s="49"/>
      <c r="F519" s="49"/>
      <c r="J519" s="49"/>
      <c r="K519" s="118"/>
    </row>
    <row r="520" spans="4:11" ht="13">
      <c r="D520" s="49"/>
      <c r="E520" s="49"/>
      <c r="F520" s="49"/>
      <c r="J520" s="49"/>
      <c r="K520" s="118"/>
    </row>
    <row r="521" spans="4:11" ht="13">
      <c r="D521" s="49"/>
      <c r="E521" s="49"/>
      <c r="F521" s="49"/>
      <c r="J521" s="49"/>
      <c r="K521" s="118"/>
    </row>
    <row r="522" spans="4:11" ht="13">
      <c r="D522" s="49"/>
      <c r="E522" s="49"/>
      <c r="F522" s="49"/>
      <c r="J522" s="49"/>
      <c r="K522" s="118"/>
    </row>
    <row r="523" spans="4:11" ht="13">
      <c r="D523" s="49"/>
      <c r="E523" s="49"/>
      <c r="F523" s="49"/>
      <c r="J523" s="49"/>
      <c r="K523" s="118"/>
    </row>
    <row r="524" spans="4:11" ht="13">
      <c r="D524" s="49"/>
      <c r="E524" s="49"/>
      <c r="F524" s="49"/>
      <c r="J524" s="49"/>
      <c r="K524" s="118"/>
    </row>
    <row r="525" spans="4:11" ht="13">
      <c r="D525" s="49"/>
      <c r="E525" s="49"/>
      <c r="F525" s="49"/>
      <c r="J525" s="49"/>
      <c r="K525" s="118"/>
    </row>
    <row r="526" spans="4:11" ht="13">
      <c r="D526" s="49"/>
      <c r="E526" s="49"/>
      <c r="F526" s="49"/>
      <c r="J526" s="49"/>
      <c r="K526" s="118"/>
    </row>
    <row r="527" spans="4:11" ht="13">
      <c r="D527" s="49"/>
      <c r="E527" s="49"/>
      <c r="F527" s="49"/>
      <c r="J527" s="49"/>
      <c r="K527" s="118"/>
    </row>
    <row r="528" spans="4:11" ht="13">
      <c r="D528" s="49"/>
      <c r="E528" s="49"/>
      <c r="F528" s="49"/>
      <c r="J528" s="49"/>
      <c r="K528" s="118"/>
    </row>
    <row r="529" spans="4:11" ht="13">
      <c r="D529" s="49"/>
      <c r="E529" s="49"/>
      <c r="F529" s="49"/>
      <c r="J529" s="49"/>
      <c r="K529" s="118"/>
    </row>
    <row r="530" spans="4:11" ht="13">
      <c r="D530" s="49"/>
      <c r="E530" s="49"/>
      <c r="F530" s="49"/>
      <c r="J530" s="49"/>
      <c r="K530" s="118"/>
    </row>
    <row r="531" spans="4:11" ht="13">
      <c r="D531" s="49"/>
      <c r="E531" s="49"/>
      <c r="F531" s="49"/>
      <c r="J531" s="49"/>
      <c r="K531" s="118"/>
    </row>
    <row r="532" spans="4:11" ht="13">
      <c r="D532" s="49"/>
      <c r="E532" s="49"/>
      <c r="F532" s="49"/>
      <c r="J532" s="49"/>
      <c r="K532" s="118"/>
    </row>
    <row r="533" spans="4:11" ht="13">
      <c r="D533" s="49"/>
      <c r="E533" s="49"/>
      <c r="F533" s="49"/>
      <c r="J533" s="49"/>
      <c r="K533" s="118"/>
    </row>
    <row r="534" spans="4:11" ht="13">
      <c r="D534" s="49"/>
      <c r="E534" s="49"/>
      <c r="F534" s="49"/>
      <c r="J534" s="49"/>
      <c r="K534" s="118"/>
    </row>
    <row r="535" spans="4:11" ht="13">
      <c r="D535" s="49"/>
      <c r="E535" s="49"/>
      <c r="F535" s="49"/>
      <c r="J535" s="49"/>
      <c r="K535" s="118"/>
    </row>
    <row r="536" spans="4:11" ht="13">
      <c r="D536" s="49"/>
      <c r="E536" s="49"/>
      <c r="F536" s="49"/>
      <c r="J536" s="49"/>
      <c r="K536" s="118"/>
    </row>
    <row r="537" spans="4:11" ht="13">
      <c r="D537" s="49"/>
      <c r="E537" s="49"/>
      <c r="F537" s="49"/>
      <c r="J537" s="49"/>
      <c r="K537" s="118"/>
    </row>
    <row r="538" spans="4:11" ht="13">
      <c r="D538" s="49"/>
      <c r="E538" s="49"/>
      <c r="F538" s="49"/>
      <c r="J538" s="49"/>
      <c r="K538" s="118"/>
    </row>
    <row r="539" spans="4:11" ht="13">
      <c r="D539" s="49"/>
      <c r="E539" s="49"/>
      <c r="F539" s="49"/>
      <c r="J539" s="49"/>
      <c r="K539" s="118"/>
    </row>
    <row r="540" spans="4:11" ht="13">
      <c r="D540" s="49"/>
      <c r="E540" s="49"/>
      <c r="F540" s="49"/>
      <c r="J540" s="49"/>
      <c r="K540" s="118"/>
    </row>
    <row r="541" spans="4:11" ht="13">
      <c r="D541" s="49"/>
      <c r="E541" s="49"/>
      <c r="F541" s="49"/>
      <c r="J541" s="49"/>
      <c r="K541" s="118"/>
    </row>
    <row r="542" spans="4:11" ht="13">
      <c r="D542" s="49"/>
      <c r="E542" s="49"/>
      <c r="F542" s="49"/>
      <c r="J542" s="49"/>
      <c r="K542" s="118"/>
    </row>
    <row r="543" spans="4:11" ht="13">
      <c r="D543" s="49"/>
      <c r="E543" s="49"/>
      <c r="F543" s="49"/>
      <c r="J543" s="49"/>
      <c r="K543" s="118"/>
    </row>
    <row r="544" spans="4:11" ht="13">
      <c r="D544" s="49"/>
      <c r="E544" s="49"/>
      <c r="F544" s="49"/>
      <c r="J544" s="49"/>
      <c r="K544" s="118"/>
    </row>
    <row r="545" spans="4:11" ht="13">
      <c r="D545" s="49"/>
      <c r="E545" s="49"/>
      <c r="F545" s="49"/>
      <c r="J545" s="49"/>
      <c r="K545" s="118"/>
    </row>
    <row r="546" spans="4:11" ht="13">
      <c r="D546" s="49"/>
      <c r="E546" s="49"/>
      <c r="F546" s="49"/>
      <c r="J546" s="49"/>
      <c r="K546" s="118"/>
    </row>
    <row r="547" spans="4:11" ht="13">
      <c r="D547" s="49"/>
      <c r="E547" s="49"/>
      <c r="F547" s="49"/>
      <c r="J547" s="49"/>
      <c r="K547" s="118"/>
    </row>
    <row r="548" spans="4:11" ht="13">
      <c r="D548" s="49"/>
      <c r="E548" s="49"/>
      <c r="F548" s="49"/>
      <c r="J548" s="49"/>
      <c r="K548" s="118"/>
    </row>
    <row r="549" spans="4:11" ht="13">
      <c r="D549" s="49"/>
      <c r="E549" s="49"/>
      <c r="F549" s="49"/>
      <c r="J549" s="49"/>
      <c r="K549" s="118"/>
    </row>
    <row r="550" spans="4:11" ht="13">
      <c r="D550" s="49"/>
      <c r="E550" s="49"/>
      <c r="F550" s="49"/>
      <c r="J550" s="49"/>
      <c r="K550" s="118"/>
    </row>
    <row r="551" spans="4:11" ht="13">
      <c r="D551" s="49"/>
      <c r="E551" s="49"/>
      <c r="F551" s="49"/>
      <c r="J551" s="49"/>
      <c r="K551" s="118"/>
    </row>
    <row r="552" spans="4:11" ht="13">
      <c r="D552" s="49"/>
      <c r="E552" s="49"/>
      <c r="F552" s="49"/>
      <c r="J552" s="49"/>
      <c r="K552" s="118"/>
    </row>
    <row r="553" spans="4:11" ht="13">
      <c r="D553" s="49"/>
      <c r="E553" s="49"/>
      <c r="F553" s="49"/>
      <c r="J553" s="49"/>
      <c r="K553" s="118"/>
    </row>
    <row r="554" spans="4:11" ht="13">
      <c r="D554" s="49"/>
      <c r="E554" s="49"/>
      <c r="F554" s="49"/>
      <c r="J554" s="49"/>
      <c r="K554" s="118"/>
    </row>
    <row r="555" spans="4:11" ht="13">
      <c r="D555" s="49"/>
      <c r="E555" s="49"/>
      <c r="F555" s="49"/>
      <c r="J555" s="49"/>
      <c r="K555" s="118"/>
    </row>
    <row r="556" spans="4:11" ht="13">
      <c r="D556" s="49"/>
      <c r="E556" s="49"/>
      <c r="F556" s="49"/>
      <c r="J556" s="49"/>
      <c r="K556" s="118"/>
    </row>
    <row r="557" spans="4:11" ht="13">
      <c r="D557" s="49"/>
      <c r="E557" s="49"/>
      <c r="F557" s="49"/>
      <c r="J557" s="49"/>
      <c r="K557" s="118"/>
    </row>
    <row r="558" spans="4:11" ht="13">
      <c r="D558" s="49"/>
      <c r="E558" s="49"/>
      <c r="F558" s="49"/>
      <c r="J558" s="49"/>
      <c r="K558" s="118"/>
    </row>
    <row r="559" spans="4:11" ht="13">
      <c r="D559" s="49"/>
      <c r="E559" s="49"/>
      <c r="F559" s="49"/>
      <c r="J559" s="49"/>
      <c r="K559" s="118"/>
    </row>
    <row r="560" spans="4:11" ht="13">
      <c r="D560" s="49"/>
      <c r="E560" s="49"/>
      <c r="F560" s="49"/>
      <c r="J560" s="49"/>
      <c r="K560" s="118"/>
    </row>
    <row r="561" spans="4:11" ht="13">
      <c r="D561" s="49"/>
      <c r="E561" s="49"/>
      <c r="F561" s="49"/>
      <c r="J561" s="49"/>
      <c r="K561" s="118"/>
    </row>
    <row r="562" spans="4:11" ht="13">
      <c r="D562" s="49"/>
      <c r="E562" s="49"/>
      <c r="F562" s="49"/>
      <c r="J562" s="49"/>
      <c r="K562" s="118"/>
    </row>
    <row r="563" spans="4:11" ht="13">
      <c r="D563" s="49"/>
      <c r="E563" s="49"/>
      <c r="F563" s="49"/>
      <c r="J563" s="49"/>
      <c r="K563" s="118"/>
    </row>
    <row r="564" spans="4:11" ht="13">
      <c r="D564" s="49"/>
      <c r="E564" s="49"/>
      <c r="F564" s="49"/>
      <c r="J564" s="49"/>
      <c r="K564" s="118"/>
    </row>
    <row r="565" spans="4:11" ht="13">
      <c r="D565" s="49"/>
      <c r="E565" s="49"/>
      <c r="F565" s="49"/>
      <c r="J565" s="49"/>
      <c r="K565" s="118"/>
    </row>
    <row r="566" spans="4:11" ht="13">
      <c r="D566" s="49"/>
      <c r="E566" s="49"/>
      <c r="F566" s="49"/>
      <c r="J566" s="49"/>
      <c r="K566" s="118"/>
    </row>
    <row r="567" spans="4:11" ht="13">
      <c r="D567" s="49"/>
      <c r="E567" s="49"/>
      <c r="F567" s="49"/>
      <c r="J567" s="49"/>
      <c r="K567" s="118"/>
    </row>
    <row r="568" spans="4:11" ht="13">
      <c r="D568" s="49"/>
      <c r="E568" s="49"/>
      <c r="F568" s="49"/>
      <c r="J568" s="49"/>
      <c r="K568" s="118"/>
    </row>
    <row r="569" spans="4:11" ht="13">
      <c r="D569" s="49"/>
      <c r="E569" s="49"/>
      <c r="F569" s="49"/>
      <c r="J569" s="49"/>
      <c r="K569" s="118"/>
    </row>
    <row r="570" spans="4:11" ht="13">
      <c r="D570" s="49"/>
      <c r="E570" s="49"/>
      <c r="F570" s="49"/>
      <c r="J570" s="49"/>
      <c r="K570" s="118"/>
    </row>
    <row r="571" spans="4:11" ht="13">
      <c r="D571" s="49"/>
      <c r="E571" s="49"/>
      <c r="F571" s="49"/>
      <c r="J571" s="49"/>
      <c r="K571" s="118"/>
    </row>
    <row r="572" spans="4:11" ht="13">
      <c r="D572" s="49"/>
      <c r="E572" s="49"/>
      <c r="F572" s="49"/>
      <c r="J572" s="49"/>
      <c r="K572" s="118"/>
    </row>
    <row r="573" spans="4:11" ht="13">
      <c r="D573" s="49"/>
      <c r="E573" s="49"/>
      <c r="F573" s="49"/>
      <c r="J573" s="49"/>
      <c r="K573" s="118"/>
    </row>
    <row r="574" spans="4:11" ht="13">
      <c r="D574" s="49"/>
      <c r="E574" s="49"/>
      <c r="F574" s="49"/>
      <c r="J574" s="49"/>
      <c r="K574" s="118"/>
    </row>
    <row r="575" spans="4:11" ht="13">
      <c r="D575" s="49"/>
      <c r="E575" s="49"/>
      <c r="F575" s="49"/>
      <c r="J575" s="49"/>
      <c r="K575" s="118"/>
    </row>
    <row r="576" spans="4:11" ht="13">
      <c r="D576" s="49"/>
      <c r="E576" s="49"/>
      <c r="F576" s="49"/>
      <c r="J576" s="49"/>
      <c r="K576" s="118"/>
    </row>
    <row r="577" spans="4:11" ht="13">
      <c r="D577" s="49"/>
      <c r="E577" s="49"/>
      <c r="F577" s="49"/>
      <c r="J577" s="49"/>
      <c r="K577" s="118"/>
    </row>
    <row r="578" spans="4:11" ht="13">
      <c r="D578" s="49"/>
      <c r="E578" s="49"/>
      <c r="F578" s="49"/>
      <c r="J578" s="49"/>
      <c r="K578" s="118"/>
    </row>
    <row r="579" spans="4:11" ht="13">
      <c r="D579" s="49"/>
      <c r="E579" s="49"/>
      <c r="F579" s="49"/>
      <c r="J579" s="49"/>
      <c r="K579" s="118"/>
    </row>
    <row r="580" spans="4:11" ht="13">
      <c r="D580" s="49"/>
      <c r="E580" s="49"/>
      <c r="F580" s="49"/>
      <c r="J580" s="49"/>
      <c r="K580" s="118"/>
    </row>
    <row r="581" spans="4:11" ht="13">
      <c r="D581" s="49"/>
      <c r="E581" s="49"/>
      <c r="F581" s="49"/>
      <c r="J581" s="49"/>
      <c r="K581" s="118"/>
    </row>
    <row r="582" spans="4:11" ht="13">
      <c r="D582" s="49"/>
      <c r="E582" s="49"/>
      <c r="F582" s="49"/>
      <c r="J582" s="49"/>
      <c r="K582" s="118"/>
    </row>
    <row r="583" spans="4:11" ht="13">
      <c r="D583" s="49"/>
      <c r="E583" s="49"/>
      <c r="F583" s="49"/>
      <c r="J583" s="49"/>
      <c r="K583" s="118"/>
    </row>
    <row r="584" spans="4:11" ht="13">
      <c r="D584" s="49"/>
      <c r="E584" s="49"/>
      <c r="F584" s="49"/>
      <c r="J584" s="49"/>
      <c r="K584" s="118"/>
    </row>
    <row r="585" spans="4:11" ht="13">
      <c r="D585" s="49"/>
      <c r="E585" s="49"/>
      <c r="F585" s="49"/>
      <c r="J585" s="49"/>
      <c r="K585" s="118"/>
    </row>
    <row r="586" spans="4:11" ht="13">
      <c r="D586" s="49"/>
      <c r="E586" s="49"/>
      <c r="F586" s="49"/>
      <c r="J586" s="49"/>
      <c r="K586" s="118"/>
    </row>
    <row r="587" spans="4:11" ht="13">
      <c r="D587" s="49"/>
      <c r="E587" s="49"/>
      <c r="F587" s="49"/>
      <c r="J587" s="49"/>
      <c r="K587" s="118"/>
    </row>
    <row r="588" spans="4:11" ht="13">
      <c r="D588" s="49"/>
      <c r="E588" s="49"/>
      <c r="F588" s="49"/>
      <c r="J588" s="49"/>
      <c r="K588" s="118"/>
    </row>
    <row r="589" spans="4:11" ht="13">
      <c r="D589" s="49"/>
      <c r="E589" s="49"/>
      <c r="F589" s="49"/>
      <c r="J589" s="49"/>
      <c r="K589" s="118"/>
    </row>
    <row r="590" spans="4:11" ht="13">
      <c r="D590" s="49"/>
      <c r="E590" s="49"/>
      <c r="F590" s="49"/>
      <c r="J590" s="49"/>
      <c r="K590" s="118"/>
    </row>
    <row r="591" spans="4:11" ht="13">
      <c r="D591" s="49"/>
      <c r="E591" s="49"/>
      <c r="F591" s="49"/>
      <c r="J591" s="49"/>
      <c r="K591" s="118"/>
    </row>
    <row r="592" spans="4:11" ht="13">
      <c r="D592" s="49"/>
      <c r="E592" s="49"/>
      <c r="F592" s="49"/>
      <c r="J592" s="49"/>
      <c r="K592" s="118"/>
    </row>
    <row r="593" spans="4:11" ht="13">
      <c r="D593" s="49"/>
      <c r="E593" s="49"/>
      <c r="F593" s="49"/>
      <c r="J593" s="49"/>
      <c r="K593" s="118"/>
    </row>
    <row r="594" spans="4:11" ht="13">
      <c r="D594" s="49"/>
      <c r="E594" s="49"/>
      <c r="F594" s="49"/>
      <c r="J594" s="49"/>
      <c r="K594" s="118"/>
    </row>
    <row r="595" spans="4:11" ht="13">
      <c r="D595" s="49"/>
      <c r="E595" s="49"/>
      <c r="F595" s="49"/>
      <c r="J595" s="49"/>
      <c r="K595" s="118"/>
    </row>
    <row r="596" spans="4:11" ht="13">
      <c r="D596" s="49"/>
      <c r="E596" s="49"/>
      <c r="F596" s="49"/>
      <c r="J596" s="49"/>
      <c r="K596" s="118"/>
    </row>
    <row r="597" spans="4:11" ht="13">
      <c r="D597" s="49"/>
      <c r="E597" s="49"/>
      <c r="F597" s="49"/>
      <c r="J597" s="49"/>
      <c r="K597" s="118"/>
    </row>
    <row r="598" spans="4:11" ht="13">
      <c r="D598" s="49"/>
      <c r="E598" s="49"/>
      <c r="F598" s="49"/>
      <c r="J598" s="49"/>
      <c r="K598" s="118"/>
    </row>
    <row r="599" spans="4:11" ht="13">
      <c r="D599" s="49"/>
      <c r="E599" s="49"/>
      <c r="F599" s="49"/>
      <c r="J599" s="49"/>
      <c r="K599" s="118"/>
    </row>
    <row r="600" spans="4:11" ht="13">
      <c r="D600" s="49"/>
      <c r="E600" s="49"/>
      <c r="F600" s="49"/>
      <c r="J600" s="49"/>
      <c r="K600" s="118"/>
    </row>
    <row r="601" spans="4:11" ht="13">
      <c r="D601" s="49"/>
      <c r="E601" s="49"/>
      <c r="F601" s="49"/>
      <c r="J601" s="49"/>
      <c r="K601" s="118"/>
    </row>
    <row r="602" spans="4:11" ht="13">
      <c r="D602" s="49"/>
      <c r="E602" s="49"/>
      <c r="F602" s="49"/>
      <c r="J602" s="49"/>
      <c r="K602" s="118"/>
    </row>
    <row r="603" spans="4:11" ht="13">
      <c r="D603" s="49"/>
      <c r="E603" s="49"/>
      <c r="F603" s="49"/>
      <c r="J603" s="49"/>
      <c r="K603" s="118"/>
    </row>
    <row r="604" spans="4:11" ht="13">
      <c r="D604" s="49"/>
      <c r="E604" s="49"/>
      <c r="F604" s="49"/>
      <c r="J604" s="49"/>
      <c r="K604" s="118"/>
    </row>
    <row r="605" spans="4:11" ht="13">
      <c r="D605" s="49"/>
      <c r="E605" s="49"/>
      <c r="F605" s="49"/>
      <c r="J605" s="49"/>
      <c r="K605" s="118"/>
    </row>
    <row r="606" spans="4:11" ht="13">
      <c r="D606" s="49"/>
      <c r="E606" s="49"/>
      <c r="F606" s="49"/>
      <c r="J606" s="49"/>
      <c r="K606" s="118"/>
    </row>
    <row r="607" spans="4:11" ht="13">
      <c r="D607" s="49"/>
      <c r="E607" s="49"/>
      <c r="F607" s="49"/>
      <c r="J607" s="49"/>
      <c r="K607" s="118"/>
    </row>
    <row r="608" spans="4:11" ht="13">
      <c r="D608" s="49"/>
      <c r="E608" s="49"/>
      <c r="F608" s="49"/>
      <c r="J608" s="49"/>
      <c r="K608" s="118"/>
    </row>
    <row r="609" spans="4:11" ht="13">
      <c r="D609" s="49"/>
      <c r="E609" s="49"/>
      <c r="F609" s="49"/>
      <c r="J609" s="49"/>
      <c r="K609" s="118"/>
    </row>
    <row r="610" spans="4:11" ht="13">
      <c r="D610" s="49"/>
      <c r="E610" s="49"/>
      <c r="F610" s="49"/>
      <c r="J610" s="49"/>
      <c r="K610" s="118"/>
    </row>
    <row r="611" spans="4:11" ht="13">
      <c r="D611" s="49"/>
      <c r="E611" s="49"/>
      <c r="F611" s="49"/>
      <c r="J611" s="49"/>
      <c r="K611" s="118"/>
    </row>
    <row r="612" spans="4:11" ht="13">
      <c r="D612" s="49"/>
      <c r="E612" s="49"/>
      <c r="F612" s="49"/>
      <c r="J612" s="49"/>
      <c r="K612" s="118"/>
    </row>
    <row r="613" spans="4:11" ht="13">
      <c r="D613" s="49"/>
      <c r="E613" s="49"/>
      <c r="F613" s="49"/>
      <c r="J613" s="49"/>
      <c r="K613" s="118"/>
    </row>
    <row r="614" spans="4:11" ht="13">
      <c r="D614" s="49"/>
      <c r="E614" s="49"/>
      <c r="F614" s="49"/>
      <c r="J614" s="49"/>
      <c r="K614" s="118"/>
    </row>
    <row r="615" spans="4:11" ht="13">
      <c r="D615" s="49"/>
      <c r="E615" s="49"/>
      <c r="F615" s="49"/>
      <c r="J615" s="49"/>
      <c r="K615" s="118"/>
    </row>
    <row r="616" spans="4:11" ht="13">
      <c r="D616" s="49"/>
      <c r="E616" s="49"/>
      <c r="F616" s="49"/>
      <c r="J616" s="49"/>
      <c r="K616" s="118"/>
    </row>
    <row r="617" spans="4:11" ht="13">
      <c r="D617" s="49"/>
      <c r="E617" s="49"/>
      <c r="F617" s="49"/>
      <c r="J617" s="49"/>
      <c r="K617" s="118"/>
    </row>
    <row r="618" spans="4:11" ht="13">
      <c r="D618" s="49"/>
      <c r="E618" s="49"/>
      <c r="F618" s="49"/>
      <c r="J618" s="49"/>
      <c r="K618" s="118"/>
    </row>
    <row r="619" spans="4:11" ht="13">
      <c r="D619" s="49"/>
      <c r="E619" s="49"/>
      <c r="F619" s="49"/>
      <c r="J619" s="49"/>
      <c r="K619" s="118"/>
    </row>
    <row r="620" spans="4:11" ht="13">
      <c r="D620" s="49"/>
      <c r="E620" s="49"/>
      <c r="F620" s="49"/>
      <c r="J620" s="49"/>
      <c r="K620" s="118"/>
    </row>
    <row r="621" spans="4:11" ht="13">
      <c r="D621" s="49"/>
      <c r="E621" s="49"/>
      <c r="F621" s="49"/>
      <c r="J621" s="49"/>
      <c r="K621" s="118"/>
    </row>
    <row r="622" spans="4:11" ht="13">
      <c r="D622" s="49"/>
      <c r="E622" s="49"/>
      <c r="F622" s="49"/>
      <c r="J622" s="49"/>
      <c r="K622" s="118"/>
    </row>
    <row r="623" spans="4:11" ht="13">
      <c r="D623" s="49"/>
      <c r="E623" s="49"/>
      <c r="F623" s="49"/>
      <c r="J623" s="49"/>
      <c r="K623" s="118"/>
    </row>
    <row r="624" spans="4:11" ht="13">
      <c r="D624" s="49"/>
      <c r="E624" s="49"/>
      <c r="F624" s="49"/>
      <c r="J624" s="49"/>
      <c r="K624" s="118"/>
    </row>
    <row r="625" spans="4:11" ht="13">
      <c r="D625" s="49"/>
      <c r="E625" s="49"/>
      <c r="F625" s="49"/>
      <c r="J625" s="49"/>
      <c r="K625" s="118"/>
    </row>
    <row r="626" spans="4:11" ht="13">
      <c r="D626" s="49"/>
      <c r="E626" s="49"/>
      <c r="F626" s="49"/>
      <c r="J626" s="49"/>
      <c r="K626" s="118"/>
    </row>
    <row r="627" spans="4:11" ht="13">
      <c r="D627" s="49"/>
      <c r="E627" s="49"/>
      <c r="F627" s="49"/>
      <c r="J627" s="49"/>
      <c r="K627" s="118"/>
    </row>
    <row r="628" spans="4:11" ht="13">
      <c r="D628" s="49"/>
      <c r="E628" s="49"/>
      <c r="F628" s="49"/>
      <c r="J628" s="49"/>
      <c r="K628" s="118"/>
    </row>
    <row r="629" spans="4:11" ht="13">
      <c r="D629" s="49"/>
      <c r="E629" s="49"/>
      <c r="F629" s="49"/>
      <c r="J629" s="49"/>
      <c r="K629" s="118"/>
    </row>
    <row r="630" spans="4:11" ht="13">
      <c r="D630" s="49"/>
      <c r="E630" s="49"/>
      <c r="F630" s="49"/>
      <c r="J630" s="49"/>
      <c r="K630" s="118"/>
    </row>
    <row r="631" spans="4:11" ht="13">
      <c r="D631" s="49"/>
      <c r="E631" s="49"/>
      <c r="F631" s="49"/>
      <c r="J631" s="49"/>
      <c r="K631" s="118"/>
    </row>
    <row r="632" spans="4:11" ht="13">
      <c r="D632" s="49"/>
      <c r="E632" s="49"/>
      <c r="F632" s="49"/>
      <c r="J632" s="49"/>
      <c r="K632" s="118"/>
    </row>
    <row r="633" spans="4:11" ht="13">
      <c r="D633" s="49"/>
      <c r="E633" s="49"/>
      <c r="F633" s="49"/>
      <c r="J633" s="49"/>
      <c r="K633" s="118"/>
    </row>
    <row r="634" spans="4:11" ht="13">
      <c r="D634" s="49"/>
      <c r="E634" s="49"/>
      <c r="F634" s="49"/>
      <c r="J634" s="49"/>
      <c r="K634" s="118"/>
    </row>
    <row r="635" spans="4:11" ht="13">
      <c r="D635" s="49"/>
      <c r="E635" s="49"/>
      <c r="F635" s="49"/>
      <c r="J635" s="49"/>
      <c r="K635" s="118"/>
    </row>
    <row r="636" spans="4:11" ht="13">
      <c r="D636" s="49"/>
      <c r="E636" s="49"/>
      <c r="F636" s="49"/>
      <c r="J636" s="49"/>
      <c r="K636" s="118"/>
    </row>
    <row r="637" spans="4:11" ht="13">
      <c r="D637" s="49"/>
      <c r="E637" s="49"/>
      <c r="F637" s="49"/>
      <c r="J637" s="49"/>
      <c r="K637" s="118"/>
    </row>
    <row r="638" spans="4:11" ht="13">
      <c r="D638" s="49"/>
      <c r="E638" s="49"/>
      <c r="F638" s="49"/>
      <c r="J638" s="49"/>
      <c r="K638" s="118"/>
    </row>
    <row r="639" spans="4:11" ht="13">
      <c r="D639" s="49"/>
      <c r="E639" s="49"/>
      <c r="F639" s="49"/>
      <c r="J639" s="49"/>
      <c r="K639" s="118"/>
    </row>
    <row r="640" spans="4:11" ht="13">
      <c r="D640" s="49"/>
      <c r="E640" s="49"/>
      <c r="F640" s="49"/>
      <c r="J640" s="49"/>
      <c r="K640" s="118"/>
    </row>
    <row r="641" spans="4:11" ht="13">
      <c r="D641" s="49"/>
      <c r="E641" s="49"/>
      <c r="F641" s="49"/>
      <c r="J641" s="49"/>
      <c r="K641" s="118"/>
    </row>
    <row r="642" spans="4:11" ht="13">
      <c r="D642" s="49"/>
      <c r="E642" s="49"/>
      <c r="F642" s="49"/>
      <c r="J642" s="49"/>
      <c r="K642" s="118"/>
    </row>
    <row r="643" spans="4:11" ht="13">
      <c r="D643" s="49"/>
      <c r="E643" s="49"/>
      <c r="F643" s="49"/>
      <c r="J643" s="49"/>
      <c r="K643" s="118"/>
    </row>
    <row r="644" spans="4:11" ht="13">
      <c r="D644" s="49"/>
      <c r="E644" s="49"/>
      <c r="F644" s="49"/>
      <c r="J644" s="49"/>
      <c r="K644" s="118"/>
    </row>
    <row r="645" spans="4:11" ht="13">
      <c r="D645" s="49"/>
      <c r="E645" s="49"/>
      <c r="F645" s="49"/>
      <c r="J645" s="49"/>
      <c r="K645" s="118"/>
    </row>
    <row r="646" spans="4:11" ht="13">
      <c r="D646" s="49"/>
      <c r="E646" s="49"/>
      <c r="F646" s="49"/>
      <c r="J646" s="49"/>
      <c r="K646" s="118"/>
    </row>
    <row r="647" spans="4:11" ht="13">
      <c r="D647" s="49"/>
      <c r="E647" s="49"/>
      <c r="F647" s="49"/>
      <c r="J647" s="49"/>
      <c r="K647" s="118"/>
    </row>
    <row r="648" spans="4:11" ht="13">
      <c r="D648" s="49"/>
      <c r="E648" s="49"/>
      <c r="F648" s="49"/>
      <c r="J648" s="49"/>
      <c r="K648" s="118"/>
    </row>
    <row r="649" spans="4:11" ht="13">
      <c r="D649" s="49"/>
      <c r="E649" s="49"/>
      <c r="F649" s="49"/>
      <c r="J649" s="49"/>
      <c r="K649" s="118"/>
    </row>
    <row r="650" spans="4:11" ht="13">
      <c r="D650" s="49"/>
      <c r="E650" s="49"/>
      <c r="F650" s="49"/>
      <c r="J650" s="49"/>
      <c r="K650" s="118"/>
    </row>
    <row r="651" spans="4:11" ht="13">
      <c r="D651" s="49"/>
      <c r="E651" s="49"/>
      <c r="F651" s="49"/>
      <c r="J651" s="49"/>
      <c r="K651" s="118"/>
    </row>
    <row r="652" spans="4:11" ht="13">
      <c r="D652" s="49"/>
      <c r="E652" s="49"/>
      <c r="F652" s="49"/>
      <c r="J652" s="49"/>
      <c r="K652" s="118"/>
    </row>
    <row r="653" spans="4:11" ht="13">
      <c r="D653" s="49"/>
      <c r="E653" s="49"/>
      <c r="F653" s="49"/>
      <c r="J653" s="49"/>
      <c r="K653" s="118"/>
    </row>
    <row r="654" spans="4:11" ht="13">
      <c r="D654" s="49"/>
      <c r="E654" s="49"/>
      <c r="F654" s="49"/>
      <c r="J654" s="49"/>
      <c r="K654" s="118"/>
    </row>
    <row r="655" spans="4:11" ht="13">
      <c r="D655" s="49"/>
      <c r="E655" s="49"/>
      <c r="F655" s="49"/>
      <c r="J655" s="49"/>
      <c r="K655" s="118"/>
    </row>
    <row r="656" spans="4:11" ht="13">
      <c r="D656" s="49"/>
      <c r="E656" s="49"/>
      <c r="F656" s="49"/>
      <c r="J656" s="49"/>
      <c r="K656" s="118"/>
    </row>
    <row r="657" spans="4:11" ht="13">
      <c r="D657" s="49"/>
      <c r="E657" s="49"/>
      <c r="F657" s="49"/>
      <c r="J657" s="49"/>
      <c r="K657" s="118"/>
    </row>
    <row r="658" spans="4:11" ht="13">
      <c r="D658" s="49"/>
      <c r="E658" s="49"/>
      <c r="F658" s="49"/>
      <c r="J658" s="49"/>
      <c r="K658" s="118"/>
    </row>
    <row r="659" spans="4:11" ht="13">
      <c r="D659" s="49"/>
      <c r="E659" s="49"/>
      <c r="F659" s="49"/>
      <c r="J659" s="49"/>
      <c r="K659" s="118"/>
    </row>
    <row r="660" spans="4:11" ht="13">
      <c r="D660" s="49"/>
      <c r="E660" s="49"/>
      <c r="F660" s="49"/>
      <c r="J660" s="49"/>
      <c r="K660" s="118"/>
    </row>
    <row r="661" spans="4:11" ht="13">
      <c r="D661" s="49"/>
      <c r="E661" s="49"/>
      <c r="F661" s="49"/>
      <c r="J661" s="49"/>
      <c r="K661" s="118"/>
    </row>
    <row r="662" spans="4:11" ht="13">
      <c r="D662" s="49"/>
      <c r="E662" s="49"/>
      <c r="F662" s="49"/>
      <c r="J662" s="49"/>
      <c r="K662" s="118"/>
    </row>
    <row r="663" spans="4:11" ht="13">
      <c r="D663" s="49"/>
      <c r="E663" s="49"/>
      <c r="F663" s="49"/>
      <c r="J663" s="49"/>
      <c r="K663" s="118"/>
    </row>
    <row r="664" spans="4:11" ht="13">
      <c r="D664" s="49"/>
      <c r="E664" s="49"/>
      <c r="F664" s="49"/>
      <c r="J664" s="49"/>
      <c r="K664" s="118"/>
    </row>
    <row r="665" spans="4:11" ht="13">
      <c r="D665" s="49"/>
      <c r="E665" s="49"/>
      <c r="F665" s="49"/>
      <c r="J665" s="49"/>
      <c r="K665" s="118"/>
    </row>
    <row r="666" spans="4:11" ht="13">
      <c r="D666" s="49"/>
      <c r="E666" s="49"/>
      <c r="F666" s="49"/>
      <c r="J666" s="49"/>
      <c r="K666" s="118"/>
    </row>
    <row r="667" spans="4:11" ht="13">
      <c r="D667" s="49"/>
      <c r="E667" s="49"/>
      <c r="F667" s="49"/>
      <c r="J667" s="49"/>
      <c r="K667" s="118"/>
    </row>
    <row r="668" spans="4:11" ht="13">
      <c r="D668" s="49"/>
      <c r="E668" s="49"/>
      <c r="F668" s="49"/>
      <c r="J668" s="49"/>
      <c r="K668" s="118"/>
    </row>
    <row r="669" spans="4:11" ht="13">
      <c r="D669" s="49"/>
      <c r="E669" s="49"/>
      <c r="F669" s="49"/>
      <c r="J669" s="49"/>
      <c r="K669" s="118"/>
    </row>
    <row r="670" spans="4:11" ht="13">
      <c r="D670" s="49"/>
      <c r="E670" s="49"/>
      <c r="F670" s="49"/>
      <c r="J670" s="49"/>
      <c r="K670" s="118"/>
    </row>
    <row r="671" spans="4:11" ht="13">
      <c r="D671" s="49"/>
      <c r="E671" s="49"/>
      <c r="F671" s="49"/>
      <c r="J671" s="49"/>
      <c r="K671" s="118"/>
    </row>
    <row r="672" spans="4:11" ht="13">
      <c r="D672" s="49"/>
      <c r="E672" s="49"/>
      <c r="F672" s="49"/>
      <c r="J672" s="49"/>
      <c r="K672" s="118"/>
    </row>
    <row r="673" spans="4:11" ht="13">
      <c r="D673" s="49"/>
      <c r="E673" s="49"/>
      <c r="F673" s="49"/>
      <c r="J673" s="49"/>
      <c r="K673" s="118"/>
    </row>
    <row r="674" spans="4:11" ht="13">
      <c r="D674" s="49"/>
      <c r="E674" s="49"/>
      <c r="F674" s="49"/>
      <c r="J674" s="49"/>
      <c r="K674" s="118"/>
    </row>
    <row r="675" spans="4:11" ht="13">
      <c r="D675" s="49"/>
      <c r="E675" s="49"/>
      <c r="F675" s="49"/>
      <c r="J675" s="49"/>
      <c r="K675" s="118"/>
    </row>
    <row r="676" spans="4:11" ht="13">
      <c r="D676" s="49"/>
      <c r="E676" s="49"/>
      <c r="F676" s="49"/>
      <c r="J676" s="49"/>
      <c r="K676" s="118"/>
    </row>
    <row r="677" spans="4:11" ht="13">
      <c r="D677" s="49"/>
      <c r="E677" s="49"/>
      <c r="F677" s="49"/>
      <c r="J677" s="49"/>
      <c r="K677" s="118"/>
    </row>
    <row r="678" spans="4:11" ht="13">
      <c r="D678" s="49"/>
      <c r="E678" s="49"/>
      <c r="F678" s="49"/>
      <c r="J678" s="49"/>
      <c r="K678" s="118"/>
    </row>
    <row r="679" spans="4:11" ht="13">
      <c r="D679" s="49"/>
      <c r="E679" s="49"/>
      <c r="F679" s="49"/>
      <c r="J679" s="49"/>
      <c r="K679" s="118"/>
    </row>
    <row r="680" spans="4:11" ht="13">
      <c r="D680" s="49"/>
      <c r="E680" s="49"/>
      <c r="F680" s="49"/>
      <c r="J680" s="49"/>
      <c r="K680" s="118"/>
    </row>
    <row r="681" spans="4:11" ht="13">
      <c r="D681" s="49"/>
      <c r="E681" s="49"/>
      <c r="F681" s="49"/>
      <c r="J681" s="49"/>
      <c r="K681" s="118"/>
    </row>
    <row r="682" spans="4:11" ht="13">
      <c r="D682" s="49"/>
      <c r="E682" s="49"/>
      <c r="F682" s="49"/>
      <c r="J682" s="49"/>
      <c r="K682" s="118"/>
    </row>
    <row r="683" spans="4:11" ht="13">
      <c r="D683" s="49"/>
      <c r="E683" s="49"/>
      <c r="F683" s="49"/>
      <c r="J683" s="49"/>
      <c r="K683" s="118"/>
    </row>
    <row r="684" spans="4:11" ht="13">
      <c r="D684" s="49"/>
      <c r="E684" s="49"/>
      <c r="F684" s="49"/>
      <c r="J684" s="49"/>
      <c r="K684" s="118"/>
    </row>
    <row r="685" spans="4:11" ht="13">
      <c r="D685" s="49"/>
      <c r="E685" s="49"/>
      <c r="F685" s="49"/>
      <c r="J685" s="49"/>
      <c r="K685" s="118"/>
    </row>
    <row r="686" spans="4:11" ht="13">
      <c r="D686" s="49"/>
      <c r="E686" s="49"/>
      <c r="F686" s="49"/>
      <c r="J686" s="49"/>
      <c r="K686" s="118"/>
    </row>
    <row r="687" spans="4:11" ht="13">
      <c r="D687" s="49"/>
      <c r="E687" s="49"/>
      <c r="F687" s="49"/>
      <c r="J687" s="49"/>
      <c r="K687" s="118"/>
    </row>
    <row r="688" spans="4:11" ht="13">
      <c r="D688" s="49"/>
      <c r="E688" s="49"/>
      <c r="F688" s="49"/>
      <c r="J688" s="49"/>
      <c r="K688" s="118"/>
    </row>
    <row r="689" spans="4:11" ht="13">
      <c r="D689" s="49"/>
      <c r="E689" s="49"/>
      <c r="F689" s="49"/>
      <c r="J689" s="49"/>
      <c r="K689" s="118"/>
    </row>
    <row r="690" spans="4:11" ht="13">
      <c r="D690" s="49"/>
      <c r="E690" s="49"/>
      <c r="F690" s="49"/>
      <c r="J690" s="49"/>
      <c r="K690" s="118"/>
    </row>
    <row r="691" spans="4:11" ht="13">
      <c r="D691" s="49"/>
      <c r="E691" s="49"/>
      <c r="F691" s="49"/>
      <c r="J691" s="49"/>
      <c r="K691" s="118"/>
    </row>
    <row r="692" spans="4:11" ht="13">
      <c r="D692" s="49"/>
      <c r="E692" s="49"/>
      <c r="F692" s="49"/>
      <c r="J692" s="49"/>
      <c r="K692" s="118"/>
    </row>
    <row r="693" spans="4:11" ht="13">
      <c r="D693" s="49"/>
      <c r="E693" s="49"/>
      <c r="F693" s="49"/>
      <c r="J693" s="49"/>
      <c r="K693" s="118"/>
    </row>
    <row r="694" spans="4:11" ht="13">
      <c r="D694" s="49"/>
      <c r="E694" s="49"/>
      <c r="F694" s="49"/>
      <c r="J694" s="49"/>
      <c r="K694" s="118"/>
    </row>
    <row r="695" spans="4:11" ht="13">
      <c r="D695" s="49"/>
      <c r="E695" s="49"/>
      <c r="F695" s="49"/>
      <c r="J695" s="49"/>
      <c r="K695" s="118"/>
    </row>
    <row r="696" spans="4:11" ht="13">
      <c r="D696" s="49"/>
      <c r="E696" s="49"/>
      <c r="F696" s="49"/>
      <c r="J696" s="49"/>
      <c r="K696" s="118"/>
    </row>
    <row r="697" spans="4:11" ht="13">
      <c r="D697" s="49"/>
      <c r="E697" s="49"/>
      <c r="F697" s="49"/>
      <c r="J697" s="49"/>
      <c r="K697" s="118"/>
    </row>
    <row r="698" spans="4:11" ht="13">
      <c r="D698" s="49"/>
      <c r="E698" s="49"/>
      <c r="F698" s="49"/>
      <c r="J698" s="49"/>
      <c r="K698" s="118"/>
    </row>
    <row r="699" spans="4:11" ht="13">
      <c r="D699" s="49"/>
      <c r="E699" s="49"/>
      <c r="F699" s="49"/>
      <c r="J699" s="49"/>
      <c r="K699" s="118"/>
    </row>
    <row r="700" spans="4:11" ht="13">
      <c r="D700" s="49"/>
      <c r="E700" s="49"/>
      <c r="F700" s="49"/>
      <c r="J700" s="49"/>
      <c r="K700" s="118"/>
    </row>
    <row r="701" spans="4:11" ht="13">
      <c r="D701" s="49"/>
      <c r="E701" s="49"/>
      <c r="F701" s="49"/>
      <c r="J701" s="49"/>
      <c r="K701" s="118"/>
    </row>
    <row r="702" spans="4:11" ht="13">
      <c r="D702" s="49"/>
      <c r="E702" s="49"/>
      <c r="F702" s="49"/>
      <c r="J702" s="49"/>
      <c r="K702" s="118"/>
    </row>
    <row r="703" spans="4:11" ht="13">
      <c r="D703" s="49"/>
      <c r="E703" s="49"/>
      <c r="F703" s="49"/>
      <c r="J703" s="49"/>
      <c r="K703" s="118"/>
    </row>
    <row r="704" spans="4:11" ht="13">
      <c r="D704" s="49"/>
      <c r="E704" s="49"/>
      <c r="F704" s="49"/>
      <c r="J704" s="49"/>
      <c r="K704" s="118"/>
    </row>
    <row r="705" spans="4:11" ht="13">
      <c r="D705" s="49"/>
      <c r="E705" s="49"/>
      <c r="F705" s="49"/>
      <c r="J705" s="49"/>
      <c r="K705" s="118"/>
    </row>
    <row r="706" spans="4:11" ht="13">
      <c r="D706" s="49"/>
      <c r="E706" s="49"/>
      <c r="F706" s="49"/>
      <c r="J706" s="49"/>
      <c r="K706" s="118"/>
    </row>
    <row r="707" spans="4:11" ht="13">
      <c r="D707" s="49"/>
      <c r="E707" s="49"/>
      <c r="F707" s="49"/>
      <c r="J707" s="49"/>
      <c r="K707" s="118"/>
    </row>
    <row r="708" spans="4:11" ht="13">
      <c r="D708" s="49"/>
      <c r="E708" s="49"/>
      <c r="F708" s="49"/>
      <c r="J708" s="49"/>
      <c r="K708" s="118"/>
    </row>
    <row r="709" spans="4:11" ht="13">
      <c r="D709" s="49"/>
      <c r="E709" s="49"/>
      <c r="F709" s="49"/>
      <c r="J709" s="49"/>
      <c r="K709" s="118"/>
    </row>
    <row r="710" spans="4:11" ht="13">
      <c r="D710" s="49"/>
      <c r="E710" s="49"/>
      <c r="F710" s="49"/>
      <c r="J710" s="49"/>
      <c r="K710" s="118"/>
    </row>
    <row r="711" spans="4:11" ht="13">
      <c r="D711" s="49"/>
      <c r="E711" s="49"/>
      <c r="F711" s="49"/>
      <c r="J711" s="49"/>
      <c r="K711" s="118"/>
    </row>
    <row r="712" spans="4:11" ht="13">
      <c r="D712" s="49"/>
      <c r="E712" s="49"/>
      <c r="F712" s="49"/>
      <c r="J712" s="49"/>
      <c r="K712" s="118"/>
    </row>
    <row r="713" spans="4:11" ht="13">
      <c r="D713" s="49"/>
      <c r="E713" s="49"/>
      <c r="F713" s="49"/>
      <c r="J713" s="49"/>
      <c r="K713" s="118"/>
    </row>
    <row r="714" spans="4:11" ht="13">
      <c r="D714" s="49"/>
      <c r="E714" s="49"/>
      <c r="F714" s="49"/>
      <c r="J714" s="49"/>
      <c r="K714" s="118"/>
    </row>
    <row r="715" spans="4:11" ht="13">
      <c r="D715" s="49"/>
      <c r="E715" s="49"/>
      <c r="F715" s="49"/>
      <c r="J715" s="49"/>
      <c r="K715" s="118"/>
    </row>
    <row r="716" spans="4:11" ht="13">
      <c r="D716" s="49"/>
      <c r="E716" s="49"/>
      <c r="F716" s="49"/>
      <c r="J716" s="49"/>
      <c r="K716" s="118"/>
    </row>
    <row r="717" spans="4:11" ht="13">
      <c r="D717" s="49"/>
      <c r="E717" s="49"/>
      <c r="F717" s="49"/>
      <c r="J717" s="49"/>
      <c r="K717" s="118"/>
    </row>
    <row r="718" spans="4:11" ht="13">
      <c r="D718" s="49"/>
      <c r="E718" s="49"/>
      <c r="F718" s="49"/>
      <c r="J718" s="49"/>
      <c r="K718" s="118"/>
    </row>
    <row r="719" spans="4:11" ht="13">
      <c r="D719" s="49"/>
      <c r="E719" s="49"/>
      <c r="F719" s="49"/>
      <c r="J719" s="49"/>
      <c r="K719" s="118"/>
    </row>
    <row r="720" spans="4:11" ht="13">
      <c r="D720" s="49"/>
      <c r="E720" s="49"/>
      <c r="F720" s="49"/>
      <c r="J720" s="49"/>
      <c r="K720" s="118"/>
    </row>
    <row r="721" spans="4:11" ht="13">
      <c r="D721" s="49"/>
      <c r="E721" s="49"/>
      <c r="F721" s="49"/>
      <c r="J721" s="49"/>
      <c r="K721" s="118"/>
    </row>
    <row r="722" spans="4:11" ht="13">
      <c r="D722" s="49"/>
      <c r="E722" s="49"/>
      <c r="F722" s="49"/>
      <c r="J722" s="49"/>
      <c r="K722" s="118"/>
    </row>
    <row r="723" spans="4:11" ht="13">
      <c r="D723" s="49"/>
      <c r="E723" s="49"/>
      <c r="F723" s="49"/>
      <c r="J723" s="49"/>
      <c r="K723" s="118"/>
    </row>
    <row r="724" spans="4:11" ht="13">
      <c r="D724" s="49"/>
      <c r="E724" s="49"/>
      <c r="F724" s="49"/>
      <c r="J724" s="49"/>
      <c r="K724" s="118"/>
    </row>
    <row r="725" spans="4:11" ht="13">
      <c r="D725" s="49"/>
      <c r="E725" s="49"/>
      <c r="F725" s="49"/>
      <c r="J725" s="49"/>
      <c r="K725" s="118"/>
    </row>
    <row r="726" spans="4:11" ht="13">
      <c r="D726" s="49"/>
      <c r="E726" s="49"/>
      <c r="F726" s="49"/>
      <c r="J726" s="49"/>
      <c r="K726" s="118"/>
    </row>
    <row r="727" spans="4:11" ht="13">
      <c r="D727" s="49"/>
      <c r="E727" s="49"/>
      <c r="F727" s="49"/>
      <c r="J727" s="49"/>
      <c r="K727" s="118"/>
    </row>
    <row r="728" spans="4:11" ht="13">
      <c r="D728" s="49"/>
      <c r="E728" s="49"/>
      <c r="F728" s="49"/>
      <c r="J728" s="49"/>
      <c r="K728" s="118"/>
    </row>
    <row r="729" spans="4:11" ht="13">
      <c r="D729" s="49"/>
      <c r="E729" s="49"/>
      <c r="F729" s="49"/>
      <c r="J729" s="49"/>
      <c r="K729" s="118"/>
    </row>
    <row r="730" spans="4:11" ht="13">
      <c r="D730" s="49"/>
      <c r="E730" s="49"/>
      <c r="F730" s="49"/>
      <c r="J730" s="49"/>
      <c r="K730" s="118"/>
    </row>
    <row r="731" spans="4:11" ht="13">
      <c r="D731" s="49"/>
      <c r="E731" s="49"/>
      <c r="F731" s="49"/>
      <c r="J731" s="49"/>
      <c r="K731" s="118"/>
    </row>
    <row r="732" spans="4:11" ht="13">
      <c r="D732" s="49"/>
      <c r="E732" s="49"/>
      <c r="F732" s="49"/>
      <c r="J732" s="49"/>
      <c r="K732" s="118"/>
    </row>
    <row r="733" spans="4:11" ht="13">
      <c r="D733" s="49"/>
      <c r="E733" s="49"/>
      <c r="F733" s="49"/>
      <c r="J733" s="49"/>
      <c r="K733" s="118"/>
    </row>
    <row r="734" spans="4:11" ht="13">
      <c r="D734" s="49"/>
      <c r="E734" s="49"/>
      <c r="F734" s="49"/>
      <c r="J734" s="49"/>
      <c r="K734" s="118"/>
    </row>
    <row r="735" spans="4:11" ht="13">
      <c r="D735" s="49"/>
      <c r="E735" s="49"/>
      <c r="F735" s="49"/>
      <c r="J735" s="49"/>
      <c r="K735" s="118"/>
    </row>
    <row r="736" spans="4:11" ht="13">
      <c r="D736" s="49"/>
      <c r="E736" s="49"/>
      <c r="F736" s="49"/>
      <c r="J736" s="49"/>
      <c r="K736" s="118"/>
    </row>
    <row r="737" spans="4:11" ht="13">
      <c r="D737" s="49"/>
      <c r="E737" s="49"/>
      <c r="F737" s="49"/>
      <c r="J737" s="49"/>
      <c r="K737" s="118"/>
    </row>
    <row r="738" spans="4:11" ht="13">
      <c r="D738" s="49"/>
      <c r="E738" s="49"/>
      <c r="F738" s="49"/>
      <c r="J738" s="49"/>
      <c r="K738" s="118"/>
    </row>
    <row r="739" spans="4:11" ht="13">
      <c r="D739" s="49"/>
      <c r="E739" s="49"/>
      <c r="F739" s="49"/>
      <c r="J739" s="49"/>
      <c r="K739" s="118"/>
    </row>
    <row r="740" spans="4:11" ht="13">
      <c r="D740" s="49"/>
      <c r="E740" s="49"/>
      <c r="F740" s="49"/>
      <c r="J740" s="49"/>
      <c r="K740" s="118"/>
    </row>
    <row r="741" spans="4:11" ht="13">
      <c r="D741" s="49"/>
      <c r="E741" s="49"/>
      <c r="F741" s="49"/>
      <c r="J741" s="49"/>
      <c r="K741" s="118"/>
    </row>
    <row r="742" spans="4:11" ht="13">
      <c r="D742" s="49"/>
      <c r="E742" s="49"/>
      <c r="F742" s="49"/>
      <c r="J742" s="49"/>
      <c r="K742" s="118"/>
    </row>
    <row r="743" spans="4:11" ht="13">
      <c r="D743" s="49"/>
      <c r="E743" s="49"/>
      <c r="F743" s="49"/>
      <c r="J743" s="49"/>
      <c r="K743" s="118"/>
    </row>
    <row r="744" spans="4:11" ht="13">
      <c r="D744" s="49"/>
      <c r="E744" s="49"/>
      <c r="F744" s="49"/>
      <c r="J744" s="49"/>
      <c r="K744" s="118"/>
    </row>
    <row r="745" spans="4:11" ht="13">
      <c r="D745" s="49"/>
      <c r="E745" s="49"/>
      <c r="F745" s="49"/>
      <c r="J745" s="49"/>
      <c r="K745" s="118"/>
    </row>
    <row r="746" spans="4:11" ht="13">
      <c r="D746" s="49"/>
      <c r="E746" s="49"/>
      <c r="F746" s="49"/>
      <c r="J746" s="49"/>
      <c r="K746" s="118"/>
    </row>
    <row r="747" spans="4:11" ht="13">
      <c r="D747" s="49"/>
      <c r="E747" s="49"/>
      <c r="F747" s="49"/>
      <c r="J747" s="49"/>
      <c r="K747" s="118"/>
    </row>
    <row r="748" spans="4:11" ht="13">
      <c r="D748" s="49"/>
      <c r="E748" s="49"/>
      <c r="F748" s="49"/>
      <c r="J748" s="49"/>
      <c r="K748" s="118"/>
    </row>
    <row r="749" spans="4:11" ht="13">
      <c r="D749" s="49"/>
      <c r="E749" s="49"/>
      <c r="F749" s="49"/>
      <c r="J749" s="49"/>
      <c r="K749" s="118"/>
    </row>
    <row r="750" spans="4:11" ht="13">
      <c r="D750" s="49"/>
      <c r="E750" s="49"/>
      <c r="F750" s="49"/>
      <c r="J750" s="49"/>
      <c r="K750" s="118"/>
    </row>
    <row r="751" spans="4:11" ht="13">
      <c r="D751" s="49"/>
      <c r="E751" s="49"/>
      <c r="F751" s="49"/>
      <c r="J751" s="49"/>
      <c r="K751" s="118"/>
    </row>
    <row r="752" spans="4:11" ht="13">
      <c r="D752" s="49"/>
      <c r="E752" s="49"/>
      <c r="F752" s="49"/>
      <c r="J752" s="49"/>
      <c r="K752" s="118"/>
    </row>
    <row r="753" spans="4:11" ht="13">
      <c r="D753" s="49"/>
      <c r="E753" s="49"/>
      <c r="F753" s="49"/>
      <c r="J753" s="49"/>
      <c r="K753" s="118"/>
    </row>
    <row r="754" spans="4:11" ht="13">
      <c r="D754" s="49"/>
      <c r="E754" s="49"/>
      <c r="F754" s="49"/>
      <c r="J754" s="49"/>
      <c r="K754" s="118"/>
    </row>
    <row r="755" spans="4:11" ht="13">
      <c r="D755" s="49"/>
      <c r="E755" s="49"/>
      <c r="F755" s="49"/>
      <c r="J755" s="49"/>
      <c r="K755" s="118"/>
    </row>
    <row r="756" spans="4:11" ht="13">
      <c r="D756" s="49"/>
      <c r="E756" s="49"/>
      <c r="F756" s="49"/>
      <c r="J756" s="49"/>
      <c r="K756" s="118"/>
    </row>
    <row r="757" spans="4:11" ht="13">
      <c r="D757" s="49"/>
      <c r="E757" s="49"/>
      <c r="F757" s="49"/>
      <c r="J757" s="49"/>
      <c r="K757" s="118"/>
    </row>
    <row r="758" spans="4:11" ht="13">
      <c r="D758" s="49"/>
      <c r="E758" s="49"/>
      <c r="F758" s="49"/>
      <c r="J758" s="49"/>
      <c r="K758" s="118"/>
    </row>
    <row r="759" spans="4:11" ht="13">
      <c r="D759" s="49"/>
      <c r="E759" s="49"/>
      <c r="F759" s="49"/>
      <c r="J759" s="49"/>
      <c r="K759" s="118"/>
    </row>
    <row r="760" spans="4:11" ht="13">
      <c r="D760" s="49"/>
      <c r="E760" s="49"/>
      <c r="F760" s="49"/>
      <c r="J760" s="49"/>
      <c r="K760" s="118"/>
    </row>
    <row r="761" spans="4:11" ht="13">
      <c r="D761" s="49"/>
      <c r="E761" s="49"/>
      <c r="F761" s="49"/>
      <c r="J761" s="49"/>
      <c r="K761" s="118"/>
    </row>
    <row r="762" spans="4:11" ht="13">
      <c r="D762" s="49"/>
      <c r="E762" s="49"/>
      <c r="F762" s="49"/>
      <c r="J762" s="49"/>
      <c r="K762" s="118"/>
    </row>
    <row r="763" spans="4:11" ht="13">
      <c r="D763" s="49"/>
      <c r="E763" s="49"/>
      <c r="F763" s="49"/>
      <c r="J763" s="49"/>
      <c r="K763" s="118"/>
    </row>
    <row r="764" spans="4:11" ht="13">
      <c r="D764" s="49"/>
      <c r="E764" s="49"/>
      <c r="F764" s="49"/>
      <c r="J764" s="49"/>
      <c r="K764" s="118"/>
    </row>
    <row r="765" spans="4:11" ht="13">
      <c r="D765" s="49"/>
      <c r="E765" s="49"/>
      <c r="F765" s="49"/>
      <c r="J765" s="49"/>
      <c r="K765" s="118"/>
    </row>
    <row r="766" spans="4:11" ht="13">
      <c r="D766" s="49"/>
      <c r="E766" s="49"/>
      <c r="F766" s="49"/>
      <c r="J766" s="49"/>
      <c r="K766" s="118"/>
    </row>
    <row r="767" spans="4:11" ht="13">
      <c r="D767" s="49"/>
      <c r="E767" s="49"/>
      <c r="F767" s="49"/>
      <c r="J767" s="49"/>
      <c r="K767" s="118"/>
    </row>
    <row r="768" spans="4:11" ht="13">
      <c r="D768" s="49"/>
      <c r="E768" s="49"/>
      <c r="F768" s="49"/>
      <c r="J768" s="49"/>
      <c r="K768" s="118"/>
    </row>
    <row r="769" spans="4:11" ht="13">
      <c r="D769" s="49"/>
      <c r="E769" s="49"/>
      <c r="F769" s="49"/>
      <c r="J769" s="49"/>
      <c r="K769" s="118"/>
    </row>
    <row r="770" spans="4:11" ht="13">
      <c r="D770" s="49"/>
      <c r="E770" s="49"/>
      <c r="F770" s="49"/>
      <c r="J770" s="49"/>
      <c r="K770" s="118"/>
    </row>
    <row r="771" spans="4:11" ht="13">
      <c r="D771" s="49"/>
      <c r="E771" s="49"/>
      <c r="F771" s="49"/>
      <c r="J771" s="49"/>
      <c r="K771" s="118"/>
    </row>
    <row r="772" spans="4:11" ht="13">
      <c r="D772" s="49"/>
      <c r="E772" s="49"/>
      <c r="F772" s="49"/>
      <c r="J772" s="49"/>
      <c r="K772" s="118"/>
    </row>
    <row r="773" spans="4:11" ht="13">
      <c r="D773" s="49"/>
      <c r="E773" s="49"/>
      <c r="F773" s="49"/>
      <c r="J773" s="49"/>
      <c r="K773" s="118"/>
    </row>
    <row r="774" spans="4:11" ht="13">
      <c r="D774" s="49"/>
      <c r="E774" s="49"/>
      <c r="F774" s="49"/>
      <c r="J774" s="49"/>
      <c r="K774" s="118"/>
    </row>
    <row r="775" spans="4:11" ht="13">
      <c r="D775" s="49"/>
      <c r="E775" s="49"/>
      <c r="F775" s="49"/>
      <c r="J775" s="49"/>
      <c r="K775" s="118"/>
    </row>
    <row r="776" spans="4:11" ht="13">
      <c r="D776" s="49"/>
      <c r="E776" s="49"/>
      <c r="F776" s="49"/>
      <c r="J776" s="49"/>
      <c r="K776" s="118"/>
    </row>
    <row r="777" spans="4:11" ht="13">
      <c r="D777" s="49"/>
      <c r="E777" s="49"/>
      <c r="F777" s="49"/>
      <c r="J777" s="49"/>
      <c r="K777" s="118"/>
    </row>
    <row r="778" spans="4:11" ht="13">
      <c r="D778" s="49"/>
      <c r="E778" s="49"/>
      <c r="F778" s="49"/>
      <c r="J778" s="49"/>
      <c r="K778" s="118"/>
    </row>
    <row r="779" spans="4:11" ht="13">
      <c r="D779" s="49"/>
      <c r="E779" s="49"/>
      <c r="F779" s="49"/>
      <c r="J779" s="49"/>
      <c r="K779" s="118"/>
    </row>
    <row r="780" spans="4:11" ht="13">
      <c r="D780" s="49"/>
      <c r="E780" s="49"/>
      <c r="F780" s="49"/>
      <c r="J780" s="49"/>
      <c r="K780" s="118"/>
    </row>
    <row r="781" spans="4:11" ht="13">
      <c r="D781" s="49"/>
      <c r="E781" s="49"/>
      <c r="F781" s="49"/>
      <c r="J781" s="49"/>
      <c r="K781" s="118"/>
    </row>
    <row r="782" spans="4:11" ht="13">
      <c r="D782" s="49"/>
      <c r="E782" s="49"/>
      <c r="F782" s="49"/>
      <c r="J782" s="49"/>
      <c r="K782" s="118"/>
    </row>
    <row r="783" spans="4:11" ht="13">
      <c r="D783" s="49"/>
      <c r="E783" s="49"/>
      <c r="F783" s="49"/>
      <c r="J783" s="49"/>
      <c r="K783" s="118"/>
    </row>
    <row r="784" spans="4:11" ht="13">
      <c r="D784" s="49"/>
      <c r="E784" s="49"/>
      <c r="F784" s="49"/>
      <c r="J784" s="49"/>
      <c r="K784" s="118"/>
    </row>
    <row r="785" spans="4:11" ht="13">
      <c r="D785" s="49"/>
      <c r="E785" s="49"/>
      <c r="F785" s="49"/>
      <c r="J785" s="49"/>
      <c r="K785" s="118"/>
    </row>
    <row r="786" spans="4:11" ht="13">
      <c r="D786" s="49"/>
      <c r="E786" s="49"/>
      <c r="F786" s="49"/>
      <c r="J786" s="49"/>
      <c r="K786" s="118"/>
    </row>
    <row r="787" spans="4:11" ht="13">
      <c r="D787" s="49"/>
      <c r="E787" s="49"/>
      <c r="F787" s="49"/>
      <c r="J787" s="49"/>
      <c r="K787" s="118"/>
    </row>
    <row r="788" spans="4:11" ht="13">
      <c r="D788" s="49"/>
      <c r="E788" s="49"/>
      <c r="F788" s="49"/>
      <c r="J788" s="49"/>
      <c r="K788" s="118"/>
    </row>
    <row r="789" spans="4:11" ht="13">
      <c r="D789" s="49"/>
      <c r="E789" s="49"/>
      <c r="F789" s="49"/>
      <c r="J789" s="49"/>
      <c r="K789" s="118"/>
    </row>
    <row r="790" spans="4:11" ht="13">
      <c r="D790" s="49"/>
      <c r="E790" s="49"/>
      <c r="F790" s="49"/>
      <c r="J790" s="49"/>
      <c r="K790" s="118"/>
    </row>
    <row r="791" spans="4:11" ht="13">
      <c r="D791" s="49"/>
      <c r="E791" s="49"/>
      <c r="F791" s="49"/>
      <c r="J791" s="49"/>
      <c r="K791" s="118"/>
    </row>
    <row r="792" spans="4:11" ht="13">
      <c r="D792" s="49"/>
      <c r="E792" s="49"/>
      <c r="F792" s="49"/>
      <c r="J792" s="49"/>
      <c r="K792" s="118"/>
    </row>
    <row r="793" spans="4:11" ht="13">
      <c r="D793" s="49"/>
      <c r="E793" s="49"/>
      <c r="F793" s="49"/>
      <c r="J793" s="49"/>
      <c r="K793" s="118"/>
    </row>
    <row r="794" spans="4:11" ht="13">
      <c r="D794" s="49"/>
      <c r="E794" s="49"/>
      <c r="F794" s="49"/>
      <c r="J794" s="49"/>
      <c r="K794" s="118"/>
    </row>
    <row r="795" spans="4:11" ht="13">
      <c r="D795" s="49"/>
      <c r="E795" s="49"/>
      <c r="F795" s="49"/>
      <c r="J795" s="49"/>
      <c r="K795" s="118"/>
    </row>
    <row r="796" spans="4:11" ht="13">
      <c r="D796" s="49"/>
      <c r="E796" s="49"/>
      <c r="F796" s="49"/>
      <c r="J796" s="49"/>
      <c r="K796" s="118"/>
    </row>
    <row r="797" spans="4:11" ht="13">
      <c r="D797" s="49"/>
      <c r="E797" s="49"/>
      <c r="F797" s="49"/>
      <c r="J797" s="49"/>
      <c r="K797" s="118"/>
    </row>
    <row r="798" spans="4:11" ht="13">
      <c r="D798" s="49"/>
      <c r="E798" s="49"/>
      <c r="F798" s="49"/>
      <c r="J798" s="49"/>
      <c r="K798" s="118"/>
    </row>
    <row r="799" spans="4:11" ht="13">
      <c r="D799" s="49"/>
      <c r="E799" s="49"/>
      <c r="F799" s="49"/>
      <c r="J799" s="49"/>
      <c r="K799" s="118"/>
    </row>
    <row r="800" spans="4:11" ht="13">
      <c r="D800" s="49"/>
      <c r="E800" s="49"/>
      <c r="F800" s="49"/>
      <c r="J800" s="49"/>
      <c r="K800" s="118"/>
    </row>
    <row r="801" spans="4:11" ht="13">
      <c r="D801" s="49"/>
      <c r="E801" s="49"/>
      <c r="F801" s="49"/>
      <c r="J801" s="49"/>
      <c r="K801" s="118"/>
    </row>
    <row r="802" spans="4:11" ht="13">
      <c r="D802" s="49"/>
      <c r="E802" s="49"/>
      <c r="F802" s="49"/>
      <c r="J802" s="49"/>
      <c r="K802" s="118"/>
    </row>
    <row r="803" spans="4:11" ht="13">
      <c r="D803" s="49"/>
      <c r="E803" s="49"/>
      <c r="F803" s="49"/>
      <c r="J803" s="49"/>
      <c r="K803" s="118"/>
    </row>
    <row r="804" spans="4:11" ht="13">
      <c r="D804" s="49"/>
      <c r="E804" s="49"/>
      <c r="F804" s="49"/>
      <c r="J804" s="49"/>
      <c r="K804" s="118"/>
    </row>
    <row r="805" spans="4:11" ht="13">
      <c r="D805" s="49"/>
      <c r="E805" s="49"/>
      <c r="F805" s="49"/>
      <c r="J805" s="49"/>
      <c r="K805" s="118"/>
    </row>
    <row r="806" spans="4:11" ht="13">
      <c r="D806" s="49"/>
      <c r="E806" s="49"/>
      <c r="F806" s="49"/>
      <c r="J806" s="49"/>
      <c r="K806" s="118"/>
    </row>
    <row r="807" spans="4:11" ht="13">
      <c r="D807" s="49"/>
      <c r="E807" s="49"/>
      <c r="F807" s="49"/>
      <c r="J807" s="49"/>
      <c r="K807" s="118"/>
    </row>
    <row r="808" spans="4:11" ht="13">
      <c r="D808" s="49"/>
      <c r="E808" s="49"/>
      <c r="F808" s="49"/>
      <c r="J808" s="49"/>
      <c r="K808" s="118"/>
    </row>
    <row r="809" spans="4:11" ht="13">
      <c r="D809" s="49"/>
      <c r="E809" s="49"/>
      <c r="F809" s="49"/>
      <c r="J809" s="49"/>
      <c r="K809" s="118"/>
    </row>
    <row r="810" spans="4:11" ht="13">
      <c r="D810" s="49"/>
      <c r="E810" s="49"/>
      <c r="F810" s="49"/>
      <c r="J810" s="49"/>
      <c r="K810" s="118"/>
    </row>
    <row r="811" spans="4:11" ht="13">
      <c r="D811" s="49"/>
      <c r="E811" s="49"/>
      <c r="F811" s="49"/>
      <c r="J811" s="49"/>
      <c r="K811" s="118"/>
    </row>
    <row r="812" spans="4:11" ht="13">
      <c r="D812" s="49"/>
      <c r="E812" s="49"/>
      <c r="F812" s="49"/>
      <c r="J812" s="49"/>
      <c r="K812" s="118"/>
    </row>
    <row r="813" spans="4:11" ht="13">
      <c r="D813" s="49"/>
      <c r="E813" s="49"/>
      <c r="F813" s="49"/>
      <c r="J813" s="49"/>
      <c r="K813" s="118"/>
    </row>
    <row r="814" spans="4:11" ht="13">
      <c r="D814" s="49"/>
      <c r="E814" s="49"/>
      <c r="F814" s="49"/>
      <c r="J814" s="49"/>
      <c r="K814" s="118"/>
    </row>
    <row r="815" spans="4:11" ht="13">
      <c r="D815" s="49"/>
      <c r="E815" s="49"/>
      <c r="F815" s="49"/>
      <c r="J815" s="49"/>
      <c r="K815" s="118"/>
    </row>
    <row r="816" spans="4:11" ht="13">
      <c r="D816" s="49"/>
      <c r="E816" s="49"/>
      <c r="F816" s="49"/>
      <c r="J816" s="49"/>
      <c r="K816" s="118"/>
    </row>
    <row r="817" spans="4:11" ht="13">
      <c r="D817" s="49"/>
      <c r="E817" s="49"/>
      <c r="F817" s="49"/>
      <c r="J817" s="49"/>
      <c r="K817" s="118"/>
    </row>
    <row r="818" spans="4:11" ht="13">
      <c r="D818" s="49"/>
      <c r="E818" s="49"/>
      <c r="F818" s="49"/>
      <c r="J818" s="49"/>
      <c r="K818" s="118"/>
    </row>
    <row r="819" spans="4:11" ht="13">
      <c r="D819" s="49"/>
      <c r="E819" s="49"/>
      <c r="F819" s="49"/>
      <c r="J819" s="49"/>
      <c r="K819" s="118"/>
    </row>
    <row r="820" spans="4:11" ht="13">
      <c r="D820" s="49"/>
      <c r="E820" s="49"/>
      <c r="F820" s="49"/>
      <c r="J820" s="49"/>
      <c r="K820" s="118"/>
    </row>
    <row r="821" spans="4:11" ht="13">
      <c r="D821" s="49"/>
      <c r="E821" s="49"/>
      <c r="F821" s="49"/>
      <c r="J821" s="49"/>
      <c r="K821" s="118"/>
    </row>
    <row r="822" spans="4:11" ht="13">
      <c r="D822" s="49"/>
      <c r="E822" s="49"/>
      <c r="F822" s="49"/>
      <c r="J822" s="49"/>
      <c r="K822" s="118"/>
    </row>
    <row r="823" spans="4:11" ht="13">
      <c r="D823" s="49"/>
      <c r="E823" s="49"/>
      <c r="F823" s="49"/>
      <c r="J823" s="49"/>
      <c r="K823" s="118"/>
    </row>
    <row r="824" spans="4:11" ht="13">
      <c r="D824" s="49"/>
      <c r="E824" s="49"/>
      <c r="F824" s="49"/>
      <c r="J824" s="49"/>
      <c r="K824" s="118"/>
    </row>
    <row r="825" spans="4:11" ht="13">
      <c r="D825" s="49"/>
      <c r="E825" s="49"/>
      <c r="F825" s="49"/>
      <c r="J825" s="49"/>
      <c r="K825" s="118"/>
    </row>
    <row r="826" spans="4:11" ht="13">
      <c r="D826" s="49"/>
      <c r="E826" s="49"/>
      <c r="F826" s="49"/>
      <c r="J826" s="49"/>
      <c r="K826" s="118"/>
    </row>
    <row r="827" spans="4:11" ht="13">
      <c r="D827" s="49"/>
      <c r="E827" s="49"/>
      <c r="F827" s="49"/>
      <c r="J827" s="49"/>
      <c r="K827" s="118"/>
    </row>
    <row r="828" spans="4:11" ht="13">
      <c r="D828" s="49"/>
      <c r="E828" s="49"/>
      <c r="F828" s="49"/>
      <c r="J828" s="49"/>
      <c r="K828" s="118"/>
    </row>
    <row r="829" spans="4:11" ht="13">
      <c r="D829" s="49"/>
      <c r="E829" s="49"/>
      <c r="F829" s="49"/>
      <c r="J829" s="49"/>
      <c r="K829" s="118"/>
    </row>
    <row r="830" spans="4:11" ht="13">
      <c r="D830" s="49"/>
      <c r="E830" s="49"/>
      <c r="F830" s="49"/>
      <c r="J830" s="49"/>
      <c r="K830" s="118"/>
    </row>
    <row r="831" spans="4:11" ht="13">
      <c r="D831" s="49"/>
      <c r="E831" s="49"/>
      <c r="F831" s="49"/>
      <c r="J831" s="49"/>
      <c r="K831" s="118"/>
    </row>
    <row r="832" spans="4:11" ht="13">
      <c r="D832" s="49"/>
      <c r="E832" s="49"/>
      <c r="F832" s="49"/>
      <c r="J832" s="49"/>
      <c r="K832" s="118"/>
    </row>
    <row r="833" spans="4:11" ht="13">
      <c r="D833" s="49"/>
      <c r="E833" s="49"/>
      <c r="F833" s="49"/>
      <c r="J833" s="49"/>
      <c r="K833" s="118"/>
    </row>
    <row r="834" spans="4:11" ht="13">
      <c r="D834" s="49"/>
      <c r="E834" s="49"/>
      <c r="F834" s="49"/>
      <c r="J834" s="49"/>
      <c r="K834" s="118"/>
    </row>
    <row r="835" spans="4:11" ht="13">
      <c r="D835" s="49"/>
      <c r="E835" s="49"/>
      <c r="F835" s="49"/>
      <c r="J835" s="49"/>
      <c r="K835" s="118"/>
    </row>
    <row r="836" spans="4:11" ht="13">
      <c r="D836" s="49"/>
      <c r="E836" s="49"/>
      <c r="F836" s="49"/>
      <c r="J836" s="49"/>
      <c r="K836" s="118"/>
    </row>
    <row r="837" spans="4:11" ht="13">
      <c r="D837" s="49"/>
      <c r="E837" s="49"/>
      <c r="F837" s="49"/>
      <c r="J837" s="49"/>
      <c r="K837" s="118"/>
    </row>
    <row r="838" spans="4:11" ht="13">
      <c r="D838" s="49"/>
      <c r="E838" s="49"/>
      <c r="F838" s="49"/>
      <c r="J838" s="49"/>
      <c r="K838" s="118"/>
    </row>
    <row r="839" spans="4:11" ht="13">
      <c r="D839" s="49"/>
      <c r="E839" s="49"/>
      <c r="F839" s="49"/>
      <c r="J839" s="49"/>
      <c r="K839" s="118"/>
    </row>
    <row r="840" spans="4:11" ht="13">
      <c r="D840" s="49"/>
      <c r="E840" s="49"/>
      <c r="F840" s="49"/>
      <c r="J840" s="49"/>
      <c r="K840" s="118"/>
    </row>
    <row r="841" spans="4:11" ht="13">
      <c r="D841" s="49"/>
      <c r="E841" s="49"/>
      <c r="F841" s="49"/>
      <c r="J841" s="49"/>
      <c r="K841" s="118"/>
    </row>
    <row r="842" spans="4:11" ht="13">
      <c r="D842" s="49"/>
      <c r="E842" s="49"/>
      <c r="F842" s="49"/>
      <c r="J842" s="49"/>
      <c r="K842" s="118"/>
    </row>
    <row r="843" spans="4:11" ht="13">
      <c r="D843" s="49"/>
      <c r="E843" s="49"/>
      <c r="F843" s="49"/>
      <c r="J843" s="49"/>
      <c r="K843" s="118"/>
    </row>
    <row r="844" spans="4:11" ht="13">
      <c r="D844" s="49"/>
      <c r="E844" s="49"/>
      <c r="F844" s="49"/>
      <c r="J844" s="49"/>
      <c r="K844" s="118"/>
    </row>
    <row r="845" spans="4:11" ht="13">
      <c r="D845" s="49"/>
      <c r="E845" s="49"/>
      <c r="F845" s="49"/>
      <c r="J845" s="49"/>
      <c r="K845" s="118"/>
    </row>
    <row r="846" spans="4:11" ht="13">
      <c r="D846" s="49"/>
      <c r="E846" s="49"/>
      <c r="F846" s="49"/>
      <c r="J846" s="49"/>
      <c r="K846" s="118"/>
    </row>
    <row r="847" spans="4:11" ht="13">
      <c r="D847" s="49"/>
      <c r="E847" s="49"/>
      <c r="F847" s="49"/>
      <c r="J847" s="49"/>
      <c r="K847" s="118"/>
    </row>
    <row r="848" spans="4:11" ht="13">
      <c r="D848" s="49"/>
      <c r="E848" s="49"/>
      <c r="F848" s="49"/>
      <c r="J848" s="49"/>
      <c r="K848" s="118"/>
    </row>
    <row r="849" spans="4:11" ht="13">
      <c r="D849" s="49"/>
      <c r="E849" s="49"/>
      <c r="F849" s="49"/>
      <c r="J849" s="49"/>
      <c r="K849" s="118"/>
    </row>
    <row r="850" spans="4:11" ht="13">
      <c r="D850" s="49"/>
      <c r="E850" s="49"/>
      <c r="F850" s="49"/>
      <c r="J850" s="49"/>
      <c r="K850" s="118"/>
    </row>
    <row r="851" spans="4:11" ht="13">
      <c r="D851" s="49"/>
      <c r="E851" s="49"/>
      <c r="F851" s="49"/>
      <c r="J851" s="49"/>
      <c r="K851" s="118"/>
    </row>
    <row r="852" spans="4:11" ht="13">
      <c r="D852" s="49"/>
      <c r="E852" s="49"/>
      <c r="F852" s="49"/>
      <c r="J852" s="49"/>
      <c r="K852" s="118"/>
    </row>
    <row r="853" spans="4:11" ht="13">
      <c r="D853" s="49"/>
      <c r="E853" s="49"/>
      <c r="F853" s="49"/>
      <c r="J853" s="49"/>
      <c r="K853" s="118"/>
    </row>
    <row r="854" spans="4:11" ht="13">
      <c r="D854" s="49"/>
      <c r="E854" s="49"/>
      <c r="F854" s="49"/>
      <c r="J854" s="49"/>
      <c r="K854" s="118"/>
    </row>
    <row r="855" spans="4:11" ht="13">
      <c r="D855" s="49"/>
      <c r="E855" s="49"/>
      <c r="F855" s="49"/>
      <c r="J855" s="49"/>
      <c r="K855" s="118"/>
    </row>
    <row r="856" spans="4:11" ht="13">
      <c r="D856" s="49"/>
      <c r="E856" s="49"/>
      <c r="F856" s="49"/>
      <c r="J856" s="49"/>
      <c r="K856" s="118"/>
    </row>
    <row r="857" spans="4:11" ht="13">
      <c r="D857" s="49"/>
      <c r="E857" s="49"/>
      <c r="F857" s="49"/>
      <c r="J857" s="49"/>
      <c r="K857" s="118"/>
    </row>
    <row r="858" spans="4:11" ht="13">
      <c r="D858" s="49"/>
      <c r="E858" s="49"/>
      <c r="F858" s="49"/>
      <c r="J858" s="49"/>
      <c r="K858" s="118"/>
    </row>
    <row r="859" spans="4:11" ht="13">
      <c r="D859" s="49"/>
      <c r="E859" s="49"/>
      <c r="F859" s="49"/>
      <c r="J859" s="49"/>
      <c r="K859" s="118"/>
    </row>
    <row r="860" spans="4:11" ht="13">
      <c r="D860" s="49"/>
      <c r="E860" s="49"/>
      <c r="F860" s="49"/>
      <c r="J860" s="49"/>
      <c r="K860" s="118"/>
    </row>
    <row r="861" spans="4:11" ht="13">
      <c r="D861" s="49"/>
      <c r="E861" s="49"/>
      <c r="F861" s="49"/>
      <c r="J861" s="49"/>
      <c r="K861" s="118"/>
    </row>
    <row r="862" spans="4:11" ht="13">
      <c r="D862" s="49"/>
      <c r="E862" s="49"/>
      <c r="F862" s="49"/>
      <c r="J862" s="49"/>
      <c r="K862" s="118"/>
    </row>
    <row r="863" spans="4:11" ht="13">
      <c r="D863" s="49"/>
      <c r="E863" s="49"/>
      <c r="F863" s="49"/>
      <c r="J863" s="49"/>
      <c r="K863" s="118"/>
    </row>
    <row r="864" spans="4:11" ht="13">
      <c r="D864" s="49"/>
      <c r="E864" s="49"/>
      <c r="F864" s="49"/>
      <c r="J864" s="49"/>
      <c r="K864" s="118"/>
    </row>
    <row r="865" spans="4:11" ht="13">
      <c r="D865" s="49"/>
      <c r="E865" s="49"/>
      <c r="F865" s="49"/>
      <c r="J865" s="49"/>
      <c r="K865" s="118"/>
    </row>
    <row r="866" spans="4:11" ht="13">
      <c r="D866" s="49"/>
      <c r="E866" s="49"/>
      <c r="F866" s="49"/>
      <c r="J866" s="49"/>
      <c r="K866" s="118"/>
    </row>
    <row r="867" spans="4:11" ht="13">
      <c r="D867" s="49"/>
      <c r="E867" s="49"/>
      <c r="F867" s="49"/>
      <c r="J867" s="49"/>
      <c r="K867" s="118"/>
    </row>
    <row r="868" spans="4:11" ht="13">
      <c r="D868" s="49"/>
      <c r="E868" s="49"/>
      <c r="F868" s="49"/>
      <c r="J868" s="49"/>
      <c r="K868" s="118"/>
    </row>
    <row r="869" spans="4:11" ht="13">
      <c r="D869" s="49"/>
      <c r="E869" s="49"/>
      <c r="F869" s="49"/>
      <c r="J869" s="49"/>
      <c r="K869" s="118"/>
    </row>
    <row r="870" spans="4:11" ht="13">
      <c r="D870" s="49"/>
      <c r="E870" s="49"/>
      <c r="F870" s="49"/>
      <c r="J870" s="49"/>
      <c r="K870" s="118"/>
    </row>
    <row r="871" spans="4:11" ht="13">
      <c r="D871" s="49"/>
      <c r="E871" s="49"/>
      <c r="F871" s="49"/>
      <c r="J871" s="49"/>
      <c r="K871" s="118"/>
    </row>
    <row r="872" spans="4:11" ht="13">
      <c r="D872" s="49"/>
      <c r="E872" s="49"/>
      <c r="F872" s="49"/>
      <c r="J872" s="49"/>
      <c r="K872" s="118"/>
    </row>
    <row r="873" spans="4:11" ht="13">
      <c r="D873" s="49"/>
      <c r="E873" s="49"/>
      <c r="F873" s="49"/>
      <c r="J873" s="49"/>
      <c r="K873" s="118"/>
    </row>
    <row r="874" spans="4:11" ht="13">
      <c r="D874" s="49"/>
      <c r="E874" s="49"/>
      <c r="F874" s="49"/>
      <c r="J874" s="49"/>
      <c r="K874" s="118"/>
    </row>
    <row r="875" spans="4:11" ht="13">
      <c r="D875" s="49"/>
      <c r="E875" s="49"/>
      <c r="F875" s="49"/>
      <c r="J875" s="49"/>
      <c r="K875" s="118"/>
    </row>
    <row r="876" spans="4:11" ht="13">
      <c r="D876" s="49"/>
      <c r="E876" s="49"/>
      <c r="F876" s="49"/>
      <c r="J876" s="49"/>
      <c r="K876" s="118"/>
    </row>
    <row r="877" spans="4:11" ht="13">
      <c r="D877" s="49"/>
      <c r="E877" s="49"/>
      <c r="F877" s="49"/>
      <c r="J877" s="49"/>
      <c r="K877" s="118"/>
    </row>
    <row r="878" spans="4:11" ht="13">
      <c r="D878" s="49"/>
      <c r="E878" s="49"/>
      <c r="F878" s="49"/>
      <c r="J878" s="49"/>
      <c r="K878" s="118"/>
    </row>
    <row r="879" spans="4:11" ht="13">
      <c r="D879" s="49"/>
      <c r="E879" s="49"/>
      <c r="F879" s="49"/>
      <c r="J879" s="49"/>
      <c r="K879" s="118"/>
    </row>
    <row r="880" spans="4:11" ht="13">
      <c r="D880" s="49"/>
      <c r="E880" s="49"/>
      <c r="F880" s="49"/>
      <c r="J880" s="49"/>
      <c r="K880" s="118"/>
    </row>
    <row r="881" spans="4:11" ht="13">
      <c r="D881" s="49"/>
      <c r="E881" s="49"/>
      <c r="F881" s="49"/>
      <c r="J881" s="49"/>
      <c r="K881" s="118"/>
    </row>
    <row r="882" spans="4:11" ht="13">
      <c r="D882" s="49"/>
      <c r="E882" s="49"/>
      <c r="F882" s="49"/>
      <c r="J882" s="49"/>
      <c r="K882" s="118"/>
    </row>
    <row r="883" spans="4:11" ht="13">
      <c r="D883" s="49"/>
      <c r="E883" s="49"/>
      <c r="F883" s="49"/>
      <c r="J883" s="49"/>
      <c r="K883" s="118"/>
    </row>
    <row r="884" spans="4:11" ht="13">
      <c r="D884" s="49"/>
      <c r="E884" s="49"/>
      <c r="F884" s="49"/>
      <c r="J884" s="49"/>
      <c r="K884" s="118"/>
    </row>
    <row r="885" spans="4:11" ht="13">
      <c r="D885" s="49"/>
      <c r="E885" s="49"/>
      <c r="F885" s="49"/>
      <c r="J885" s="49"/>
      <c r="K885" s="118"/>
    </row>
    <row r="886" spans="4:11" ht="13">
      <c r="D886" s="49"/>
      <c r="E886" s="49"/>
      <c r="F886" s="49"/>
      <c r="J886" s="49"/>
      <c r="K886" s="118"/>
    </row>
    <row r="887" spans="4:11" ht="13">
      <c r="D887" s="49"/>
      <c r="E887" s="49"/>
      <c r="F887" s="49"/>
      <c r="J887" s="49"/>
      <c r="K887" s="118"/>
    </row>
    <row r="888" spans="4:11" ht="13">
      <c r="D888" s="49"/>
      <c r="E888" s="49"/>
      <c r="F888" s="49"/>
      <c r="J888" s="49"/>
      <c r="K888" s="118"/>
    </row>
    <row r="889" spans="4:11" ht="13">
      <c r="D889" s="49"/>
      <c r="E889" s="49"/>
      <c r="F889" s="49"/>
      <c r="J889" s="49"/>
      <c r="K889" s="118"/>
    </row>
    <row r="890" spans="4:11" ht="13">
      <c r="D890" s="49"/>
      <c r="E890" s="49"/>
      <c r="F890" s="49"/>
      <c r="J890" s="49"/>
      <c r="K890" s="118"/>
    </row>
    <row r="891" spans="4:11" ht="13">
      <c r="D891" s="49"/>
      <c r="E891" s="49"/>
      <c r="F891" s="49"/>
      <c r="J891" s="49"/>
      <c r="K891" s="118"/>
    </row>
    <row r="892" spans="4:11" ht="13">
      <c r="D892" s="49"/>
      <c r="E892" s="49"/>
      <c r="F892" s="49"/>
      <c r="J892" s="49"/>
      <c r="K892" s="118"/>
    </row>
    <row r="893" spans="4:11" ht="13">
      <c r="D893" s="49"/>
      <c r="E893" s="49"/>
      <c r="F893" s="49"/>
      <c r="J893" s="49"/>
      <c r="K893" s="118"/>
    </row>
    <row r="894" spans="4:11" ht="13">
      <c r="D894" s="49"/>
      <c r="E894" s="49"/>
      <c r="F894" s="49"/>
      <c r="J894" s="49"/>
      <c r="K894" s="118"/>
    </row>
    <row r="895" spans="4:11" ht="13">
      <c r="D895" s="49"/>
      <c r="E895" s="49"/>
      <c r="F895" s="49"/>
      <c r="J895" s="49"/>
      <c r="K895" s="118"/>
    </row>
    <row r="896" spans="4:11" ht="13">
      <c r="D896" s="49"/>
      <c r="E896" s="49"/>
      <c r="F896" s="49"/>
      <c r="J896" s="49"/>
      <c r="K896" s="118"/>
    </row>
    <row r="897" spans="4:11" ht="13">
      <c r="D897" s="49"/>
      <c r="E897" s="49"/>
      <c r="F897" s="49"/>
      <c r="J897" s="49"/>
      <c r="K897" s="118"/>
    </row>
    <row r="898" spans="4:11" ht="13">
      <c r="D898" s="49"/>
      <c r="E898" s="49"/>
      <c r="F898" s="49"/>
      <c r="J898" s="49"/>
      <c r="K898" s="118"/>
    </row>
    <row r="899" spans="4:11" ht="13">
      <c r="D899" s="49"/>
      <c r="E899" s="49"/>
      <c r="F899" s="49"/>
      <c r="J899" s="49"/>
      <c r="K899" s="118"/>
    </row>
    <row r="900" spans="4:11" ht="13">
      <c r="D900" s="49"/>
      <c r="E900" s="49"/>
      <c r="F900" s="49"/>
      <c r="J900" s="49"/>
      <c r="K900" s="118"/>
    </row>
    <row r="901" spans="4:11" ht="13">
      <c r="D901" s="49"/>
      <c r="E901" s="49"/>
      <c r="F901" s="49"/>
      <c r="J901" s="49"/>
      <c r="K901" s="118"/>
    </row>
    <row r="902" spans="4:11" ht="13">
      <c r="D902" s="49"/>
      <c r="E902" s="49"/>
      <c r="F902" s="49"/>
      <c r="J902" s="49"/>
      <c r="K902" s="118"/>
    </row>
    <row r="903" spans="4:11" ht="13">
      <c r="D903" s="49"/>
      <c r="E903" s="49"/>
      <c r="F903" s="49"/>
      <c r="J903" s="49"/>
      <c r="K903" s="118"/>
    </row>
    <row r="904" spans="4:11" ht="13">
      <c r="D904" s="49"/>
      <c r="E904" s="49"/>
      <c r="F904" s="49"/>
      <c r="J904" s="49"/>
      <c r="K904" s="118"/>
    </row>
    <row r="905" spans="4:11" ht="13">
      <c r="D905" s="49"/>
      <c r="E905" s="49"/>
      <c r="F905" s="49"/>
      <c r="J905" s="49"/>
      <c r="K905" s="118"/>
    </row>
    <row r="906" spans="4:11" ht="13">
      <c r="D906" s="49"/>
      <c r="E906" s="49"/>
      <c r="F906" s="49"/>
      <c r="J906" s="49"/>
      <c r="K906" s="118"/>
    </row>
    <row r="907" spans="4:11" ht="13">
      <c r="D907" s="49"/>
      <c r="E907" s="49"/>
      <c r="F907" s="49"/>
      <c r="J907" s="49"/>
      <c r="K907" s="118"/>
    </row>
    <row r="908" spans="4:11" ht="13">
      <c r="D908" s="49"/>
      <c r="E908" s="49"/>
      <c r="F908" s="49"/>
      <c r="J908" s="49"/>
      <c r="K908" s="118"/>
    </row>
    <row r="909" spans="4:11" ht="13">
      <c r="D909" s="49"/>
      <c r="E909" s="49"/>
      <c r="F909" s="49"/>
      <c r="J909" s="49"/>
      <c r="K909" s="118"/>
    </row>
    <row r="910" spans="4:11" ht="13">
      <c r="D910" s="49"/>
      <c r="E910" s="49"/>
      <c r="F910" s="49"/>
      <c r="J910" s="49"/>
      <c r="K910" s="118"/>
    </row>
    <row r="911" spans="4:11" ht="13">
      <c r="D911" s="49"/>
      <c r="E911" s="49"/>
      <c r="F911" s="49"/>
      <c r="J911" s="49"/>
      <c r="K911" s="118"/>
    </row>
    <row r="912" spans="4:11" ht="13">
      <c r="D912" s="49"/>
      <c r="E912" s="49"/>
      <c r="F912" s="49"/>
      <c r="J912" s="49"/>
      <c r="K912" s="118"/>
    </row>
    <row r="913" spans="4:11" ht="13">
      <c r="D913" s="49"/>
      <c r="E913" s="49"/>
      <c r="F913" s="49"/>
      <c r="J913" s="49"/>
      <c r="K913" s="118"/>
    </row>
    <row r="914" spans="4:11" ht="13">
      <c r="D914" s="49"/>
      <c r="E914" s="49"/>
      <c r="F914" s="49"/>
      <c r="J914" s="49"/>
      <c r="K914" s="118"/>
    </row>
    <row r="915" spans="4:11" ht="13">
      <c r="D915" s="49"/>
      <c r="E915" s="49"/>
      <c r="F915" s="49"/>
      <c r="J915" s="49"/>
      <c r="K915" s="118"/>
    </row>
    <row r="916" spans="4:11" ht="13">
      <c r="D916" s="49"/>
      <c r="E916" s="49"/>
      <c r="F916" s="49"/>
      <c r="J916" s="49"/>
      <c r="K916" s="118"/>
    </row>
    <row r="917" spans="4:11" ht="13">
      <c r="D917" s="49"/>
      <c r="E917" s="49"/>
      <c r="F917" s="49"/>
      <c r="J917" s="49"/>
      <c r="K917" s="118"/>
    </row>
    <row r="918" spans="4:11" ht="13">
      <c r="D918" s="49"/>
      <c r="E918" s="49"/>
      <c r="F918" s="49"/>
      <c r="J918" s="49"/>
      <c r="K918" s="118"/>
    </row>
    <row r="919" spans="4:11" ht="13">
      <c r="D919" s="49"/>
      <c r="E919" s="49"/>
      <c r="F919" s="49"/>
      <c r="J919" s="49"/>
      <c r="K919" s="118"/>
    </row>
    <row r="920" spans="4:11" ht="13">
      <c r="D920" s="49"/>
      <c r="E920" s="49"/>
      <c r="F920" s="49"/>
      <c r="J920" s="49"/>
      <c r="K920" s="118"/>
    </row>
    <row r="921" spans="4:11" ht="13">
      <c r="D921" s="49"/>
      <c r="E921" s="49"/>
      <c r="F921" s="49"/>
      <c r="J921" s="49"/>
      <c r="K921" s="118"/>
    </row>
    <row r="922" spans="4:11" ht="13">
      <c r="D922" s="49"/>
      <c r="E922" s="49"/>
      <c r="F922" s="49"/>
      <c r="J922" s="49"/>
      <c r="K922" s="118"/>
    </row>
    <row r="923" spans="4:11" ht="13">
      <c r="D923" s="49"/>
      <c r="E923" s="49"/>
      <c r="F923" s="49"/>
      <c r="J923" s="49"/>
      <c r="K923" s="118"/>
    </row>
    <row r="924" spans="4:11" ht="13">
      <c r="D924" s="49"/>
      <c r="E924" s="49"/>
      <c r="F924" s="49"/>
      <c r="J924" s="49"/>
      <c r="K924" s="118"/>
    </row>
    <row r="925" spans="4:11" ht="13">
      <c r="D925" s="49"/>
      <c r="E925" s="49"/>
      <c r="F925" s="49"/>
      <c r="J925" s="49"/>
      <c r="K925" s="118"/>
    </row>
    <row r="926" spans="4:11" ht="13">
      <c r="D926" s="49"/>
      <c r="E926" s="49"/>
      <c r="F926" s="49"/>
      <c r="J926" s="49"/>
      <c r="K926" s="118"/>
    </row>
    <row r="927" spans="4:11" ht="13">
      <c r="D927" s="49"/>
      <c r="E927" s="49"/>
      <c r="F927" s="49"/>
      <c r="J927" s="49"/>
      <c r="K927" s="118"/>
    </row>
    <row r="928" spans="4:11" ht="13">
      <c r="D928" s="49"/>
      <c r="E928" s="49"/>
      <c r="F928" s="49"/>
      <c r="J928" s="49"/>
      <c r="K928" s="118"/>
    </row>
    <row r="929" spans="4:11" ht="13">
      <c r="D929" s="49"/>
      <c r="E929" s="49"/>
      <c r="F929" s="49"/>
      <c r="J929" s="49"/>
      <c r="K929" s="118"/>
    </row>
    <row r="930" spans="4:11" ht="13">
      <c r="D930" s="49"/>
      <c r="E930" s="49"/>
      <c r="F930" s="49"/>
      <c r="J930" s="49"/>
      <c r="K930" s="118"/>
    </row>
    <row r="931" spans="4:11" ht="13">
      <c r="D931" s="49"/>
      <c r="E931" s="49"/>
      <c r="F931" s="49"/>
      <c r="J931" s="49"/>
      <c r="K931" s="118"/>
    </row>
    <row r="932" spans="4:11" ht="13">
      <c r="D932" s="49"/>
      <c r="E932" s="49"/>
      <c r="F932" s="49"/>
      <c r="J932" s="49"/>
      <c r="K932" s="118"/>
    </row>
    <row r="933" spans="4:11" ht="13">
      <c r="D933" s="49"/>
      <c r="E933" s="49"/>
      <c r="F933" s="49"/>
      <c r="J933" s="49"/>
      <c r="K933" s="118"/>
    </row>
    <row r="934" spans="4:11" ht="13">
      <c r="D934" s="49"/>
      <c r="E934" s="49"/>
      <c r="F934" s="49"/>
      <c r="J934" s="49"/>
      <c r="K934" s="118"/>
    </row>
    <row r="935" spans="4:11" ht="13">
      <c r="D935" s="49"/>
      <c r="E935" s="49"/>
      <c r="F935" s="49"/>
      <c r="J935" s="49"/>
      <c r="K935" s="118"/>
    </row>
    <row r="936" spans="4:11" ht="13">
      <c r="D936" s="49"/>
      <c r="E936" s="49"/>
      <c r="F936" s="49"/>
      <c r="J936" s="49"/>
      <c r="K936" s="118"/>
    </row>
    <row r="937" spans="4:11" ht="13">
      <c r="D937" s="49"/>
      <c r="E937" s="49"/>
      <c r="F937" s="49"/>
      <c r="J937" s="49"/>
      <c r="K937" s="118"/>
    </row>
    <row r="938" spans="4:11" ht="13">
      <c r="D938" s="49"/>
      <c r="E938" s="49"/>
      <c r="F938" s="49"/>
      <c r="J938" s="49"/>
      <c r="K938" s="118"/>
    </row>
    <row r="939" spans="4:11" ht="13">
      <c r="D939" s="49"/>
      <c r="E939" s="49"/>
      <c r="F939" s="49"/>
      <c r="J939" s="49"/>
      <c r="K939" s="118"/>
    </row>
    <row r="940" spans="4:11" ht="13">
      <c r="D940" s="49"/>
      <c r="E940" s="49"/>
      <c r="F940" s="49"/>
      <c r="J940" s="49"/>
      <c r="K940" s="118"/>
    </row>
    <row r="941" spans="4:11" ht="13">
      <c r="D941" s="49"/>
      <c r="E941" s="49"/>
      <c r="F941" s="49"/>
      <c r="J941" s="49"/>
      <c r="K941" s="118"/>
    </row>
    <row r="942" spans="4:11" ht="13">
      <c r="D942" s="49"/>
      <c r="E942" s="49"/>
      <c r="F942" s="49"/>
      <c r="J942" s="49"/>
      <c r="K942" s="118"/>
    </row>
    <row r="943" spans="4:11" ht="13">
      <c r="D943" s="49"/>
      <c r="E943" s="49"/>
      <c r="F943" s="49"/>
      <c r="J943" s="49"/>
      <c r="K943" s="118"/>
    </row>
    <row r="944" spans="4:11" ht="13">
      <c r="D944" s="49"/>
      <c r="E944" s="49"/>
      <c r="F944" s="49"/>
      <c r="J944" s="49"/>
      <c r="K944" s="118"/>
    </row>
    <row r="945" spans="4:11" ht="13">
      <c r="D945" s="49"/>
      <c r="E945" s="49"/>
      <c r="F945" s="49"/>
      <c r="J945" s="49"/>
      <c r="K945" s="118"/>
    </row>
    <row r="946" spans="4:11" ht="13">
      <c r="D946" s="49"/>
      <c r="E946" s="49"/>
      <c r="F946" s="49"/>
      <c r="J946" s="49"/>
      <c r="K946" s="118"/>
    </row>
    <row r="947" spans="4:11" ht="13">
      <c r="D947" s="49"/>
      <c r="E947" s="49"/>
      <c r="F947" s="49"/>
      <c r="J947" s="49"/>
      <c r="K947" s="118"/>
    </row>
    <row r="948" spans="4:11" ht="13">
      <c r="D948" s="49"/>
      <c r="E948" s="49"/>
      <c r="F948" s="49"/>
      <c r="J948" s="49"/>
      <c r="K948" s="118"/>
    </row>
    <row r="949" spans="4:11" ht="13">
      <c r="D949" s="49"/>
      <c r="E949" s="49"/>
      <c r="F949" s="49"/>
      <c r="J949" s="49"/>
      <c r="K949" s="118"/>
    </row>
    <row r="950" spans="4:11" ht="13">
      <c r="D950" s="49"/>
      <c r="E950" s="49"/>
      <c r="F950" s="49"/>
      <c r="J950" s="49"/>
      <c r="K950" s="118"/>
    </row>
    <row r="951" spans="4:11" ht="13">
      <c r="D951" s="49"/>
      <c r="E951" s="49"/>
      <c r="F951" s="49"/>
      <c r="J951" s="49"/>
      <c r="K951" s="118"/>
    </row>
    <row r="952" spans="4:11" ht="13">
      <c r="D952" s="49"/>
      <c r="E952" s="49"/>
      <c r="F952" s="49"/>
      <c r="J952" s="49"/>
      <c r="K952" s="118"/>
    </row>
    <row r="953" spans="4:11" ht="13">
      <c r="D953" s="49"/>
      <c r="E953" s="49"/>
      <c r="F953" s="49"/>
      <c r="J953" s="49"/>
      <c r="K953" s="118"/>
    </row>
    <row r="954" spans="4:11" ht="13">
      <c r="D954" s="49"/>
      <c r="E954" s="49"/>
      <c r="F954" s="49"/>
      <c r="J954" s="49"/>
      <c r="K954" s="118"/>
    </row>
    <row r="955" spans="4:11" ht="13">
      <c r="D955" s="49"/>
      <c r="E955" s="49"/>
      <c r="F955" s="49"/>
      <c r="J955" s="49"/>
      <c r="K955" s="118"/>
    </row>
    <row r="956" spans="4:11" ht="13">
      <c r="D956" s="49"/>
      <c r="E956" s="49"/>
      <c r="F956" s="49"/>
      <c r="J956" s="49"/>
      <c r="K956" s="118"/>
    </row>
    <row r="957" spans="4:11" ht="13">
      <c r="D957" s="49"/>
      <c r="E957" s="49"/>
      <c r="F957" s="49"/>
      <c r="J957" s="49"/>
      <c r="K957" s="118"/>
    </row>
    <row r="958" spans="4:11" ht="13">
      <c r="D958" s="49"/>
      <c r="E958" s="49"/>
      <c r="F958" s="49"/>
      <c r="J958" s="49"/>
      <c r="K958" s="118"/>
    </row>
    <row r="959" spans="4:11" ht="13">
      <c r="D959" s="49"/>
      <c r="E959" s="49"/>
      <c r="F959" s="49"/>
      <c r="J959" s="49"/>
      <c r="K959" s="118"/>
    </row>
    <row r="960" spans="4:11" ht="13">
      <c r="D960" s="49"/>
      <c r="E960" s="49"/>
      <c r="F960" s="49"/>
      <c r="J960" s="49"/>
      <c r="K960" s="118"/>
    </row>
    <row r="961" spans="4:11" ht="13">
      <c r="D961" s="49"/>
      <c r="E961" s="49"/>
      <c r="F961" s="49"/>
      <c r="J961" s="49"/>
      <c r="K961" s="118"/>
    </row>
    <row r="962" spans="4:11" ht="13">
      <c r="D962" s="49"/>
      <c r="E962" s="49"/>
      <c r="F962" s="49"/>
      <c r="J962" s="49"/>
      <c r="K962" s="118"/>
    </row>
    <row r="963" spans="4:11" ht="13">
      <c r="D963" s="49"/>
      <c r="E963" s="49"/>
      <c r="F963" s="49"/>
      <c r="J963" s="49"/>
      <c r="K963" s="118"/>
    </row>
    <row r="964" spans="4:11" ht="13">
      <c r="D964" s="49"/>
      <c r="E964" s="49"/>
      <c r="F964" s="49"/>
      <c r="J964" s="49"/>
      <c r="K964" s="118"/>
    </row>
    <row r="965" spans="4:11" ht="13">
      <c r="D965" s="49"/>
      <c r="E965" s="49"/>
      <c r="F965" s="49"/>
      <c r="J965" s="49"/>
      <c r="K965" s="118"/>
    </row>
    <row r="966" spans="4:11" ht="13">
      <c r="D966" s="49"/>
      <c r="E966" s="49"/>
      <c r="F966" s="49"/>
      <c r="J966" s="49"/>
      <c r="K966" s="118"/>
    </row>
    <row r="967" spans="4:11" ht="13">
      <c r="D967" s="49"/>
      <c r="E967" s="49"/>
      <c r="F967" s="49"/>
      <c r="J967" s="49"/>
      <c r="K967" s="118"/>
    </row>
    <row r="968" spans="4:11" ht="13">
      <c r="D968" s="49"/>
      <c r="E968" s="49"/>
      <c r="F968" s="49"/>
      <c r="J968" s="49"/>
      <c r="K968" s="118"/>
    </row>
    <row r="969" spans="4:11" ht="13">
      <c r="D969" s="49"/>
      <c r="E969" s="49"/>
      <c r="F969" s="49"/>
      <c r="J969" s="49"/>
      <c r="K969" s="118"/>
    </row>
    <row r="970" spans="4:11" ht="13">
      <c r="D970" s="49"/>
      <c r="E970" s="49"/>
      <c r="F970" s="49"/>
      <c r="J970" s="49"/>
      <c r="K970" s="118"/>
    </row>
    <row r="971" spans="4:11" ht="13">
      <c r="D971" s="49"/>
      <c r="E971" s="49"/>
      <c r="F971" s="49"/>
      <c r="J971" s="49"/>
      <c r="K971" s="118"/>
    </row>
    <row r="972" spans="4:11" ht="13">
      <c r="D972" s="49"/>
      <c r="E972" s="49"/>
      <c r="F972" s="49"/>
      <c r="J972" s="49"/>
      <c r="K972" s="118"/>
    </row>
    <row r="973" spans="4:11" ht="13">
      <c r="D973" s="49"/>
      <c r="E973" s="49"/>
      <c r="F973" s="49"/>
      <c r="J973" s="49"/>
      <c r="K973" s="118"/>
    </row>
    <row r="974" spans="4:11" ht="13">
      <c r="D974" s="49"/>
      <c r="E974" s="49"/>
      <c r="F974" s="49"/>
      <c r="J974" s="49"/>
      <c r="K974" s="118"/>
    </row>
    <row r="975" spans="4:11" ht="13">
      <c r="D975" s="49"/>
      <c r="E975" s="49"/>
      <c r="F975" s="49"/>
      <c r="J975" s="49"/>
      <c r="K975" s="118"/>
    </row>
    <row r="976" spans="4:11" ht="13">
      <c r="D976" s="49"/>
      <c r="E976" s="49"/>
      <c r="F976" s="49"/>
      <c r="J976" s="49"/>
      <c r="K976" s="118"/>
    </row>
    <row r="977" spans="4:11" ht="13">
      <c r="D977" s="49"/>
      <c r="E977" s="49"/>
      <c r="F977" s="49"/>
      <c r="J977" s="49"/>
      <c r="K977" s="118"/>
    </row>
    <row r="978" spans="4:11" ht="13">
      <c r="D978" s="49"/>
      <c r="E978" s="49"/>
      <c r="F978" s="49"/>
      <c r="J978" s="49"/>
      <c r="K978" s="118"/>
    </row>
    <row r="979" spans="4:11" ht="13">
      <c r="D979" s="49"/>
      <c r="E979" s="49"/>
      <c r="F979" s="49"/>
      <c r="J979" s="49"/>
      <c r="K979" s="118"/>
    </row>
    <row r="980" spans="4:11" ht="13">
      <c r="D980" s="49"/>
      <c r="E980" s="49"/>
      <c r="F980" s="49"/>
      <c r="J980" s="49"/>
      <c r="K980" s="118"/>
    </row>
    <row r="981" spans="4:11" ht="13">
      <c r="D981" s="49"/>
      <c r="E981" s="49"/>
      <c r="F981" s="49"/>
      <c r="J981" s="49"/>
      <c r="K981" s="118"/>
    </row>
    <row r="982" spans="4:11" ht="13">
      <c r="D982" s="49"/>
      <c r="E982" s="49"/>
      <c r="F982" s="49"/>
      <c r="J982" s="49"/>
      <c r="K982" s="118"/>
    </row>
    <row r="983" spans="4:11" ht="13">
      <c r="D983" s="49"/>
      <c r="E983" s="49"/>
      <c r="F983" s="49"/>
      <c r="J983" s="49"/>
      <c r="K983" s="118"/>
    </row>
    <row r="984" spans="4:11" ht="13">
      <c r="D984" s="49"/>
      <c r="E984" s="49"/>
      <c r="F984" s="49"/>
      <c r="J984" s="49"/>
      <c r="K984" s="118"/>
    </row>
    <row r="985" spans="4:11" ht="13">
      <c r="D985" s="49"/>
      <c r="E985" s="49"/>
      <c r="F985" s="49"/>
      <c r="J985" s="49"/>
      <c r="K985" s="118"/>
    </row>
    <row r="986" spans="4:11" ht="13">
      <c r="D986" s="49"/>
      <c r="E986" s="49"/>
      <c r="F986" s="49"/>
      <c r="J986" s="49"/>
      <c r="K986" s="118"/>
    </row>
    <row r="987" spans="4:11" ht="13">
      <c r="D987" s="49"/>
      <c r="E987" s="49"/>
      <c r="F987" s="49"/>
      <c r="J987" s="49"/>
      <c r="K987" s="118"/>
    </row>
    <row r="988" spans="4:11" ht="13">
      <c r="D988" s="49"/>
      <c r="E988" s="49"/>
      <c r="F988" s="49"/>
      <c r="J988" s="49"/>
      <c r="K988" s="118"/>
    </row>
    <row r="989" spans="4:11" ht="13">
      <c r="D989" s="49"/>
      <c r="E989" s="49"/>
      <c r="F989" s="49"/>
      <c r="J989" s="49"/>
      <c r="K989" s="118"/>
    </row>
    <row r="990" spans="4:11" ht="13">
      <c r="D990" s="49"/>
      <c r="E990" s="49"/>
      <c r="F990" s="49"/>
      <c r="J990" s="49"/>
      <c r="K990" s="118"/>
    </row>
    <row r="991" spans="4:11" ht="13">
      <c r="D991" s="49"/>
      <c r="E991" s="49"/>
      <c r="F991" s="49"/>
      <c r="J991" s="49"/>
      <c r="K991" s="118"/>
    </row>
    <row r="992" spans="4:11" ht="13">
      <c r="D992" s="49"/>
      <c r="E992" s="49"/>
      <c r="F992" s="49"/>
      <c r="J992" s="49"/>
      <c r="K992" s="118"/>
    </row>
    <row r="993" spans="4:11" ht="13">
      <c r="D993" s="49"/>
      <c r="E993" s="49"/>
      <c r="F993" s="49"/>
      <c r="J993" s="49"/>
      <c r="K993" s="118"/>
    </row>
    <row r="994" spans="4:11" ht="13">
      <c r="D994" s="49"/>
      <c r="E994" s="49"/>
      <c r="F994" s="49"/>
      <c r="J994" s="49"/>
      <c r="K994" s="118"/>
    </row>
    <row r="995" spans="4:11" ht="13">
      <c r="D995" s="49"/>
      <c r="E995" s="49"/>
      <c r="F995" s="49"/>
      <c r="J995" s="49"/>
      <c r="K995" s="118"/>
    </row>
    <row r="996" spans="4:11" ht="13">
      <c r="D996" s="49"/>
      <c r="E996" s="49"/>
      <c r="F996" s="49"/>
      <c r="J996" s="49"/>
      <c r="K996" s="118"/>
    </row>
    <row r="997" spans="4:11" ht="13">
      <c r="D997" s="49"/>
      <c r="E997" s="49"/>
      <c r="F997" s="49"/>
      <c r="J997" s="49"/>
      <c r="K997" s="118"/>
    </row>
    <row r="998" spans="4:11" ht="13">
      <c r="D998" s="49"/>
      <c r="E998" s="49"/>
      <c r="F998" s="49"/>
      <c r="J998" s="49"/>
      <c r="K998" s="118"/>
    </row>
    <row r="999" spans="4:11" ht="13">
      <c r="D999" s="49"/>
      <c r="E999" s="49"/>
      <c r="F999" s="49"/>
      <c r="J999" s="49"/>
      <c r="K999" s="118"/>
    </row>
    <row r="1000" spans="4:11" ht="13">
      <c r="D1000" s="49"/>
      <c r="E1000" s="49"/>
      <c r="F1000" s="49"/>
      <c r="J1000" s="49"/>
      <c r="K1000" s="118"/>
    </row>
  </sheetData>
  <mergeCells count="2">
    <mergeCell ref="A1:G1"/>
    <mergeCell ref="H1:K1"/>
  </mergeCells>
  <conditionalFormatting sqref="A1:A1000">
    <cfRule type="containsText" dxfId="6" priority="1" operator="containsText" text="Unassigned">
      <formula>NOT(ISERROR(SEARCH(("Unassigned"),(A1))))</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K1000"/>
  <sheetViews>
    <sheetView workbookViewId="0"/>
  </sheetViews>
  <sheetFormatPr baseColWidth="10" defaultColWidth="14.5" defaultRowHeight="15.75" customHeight="1"/>
  <cols>
    <col min="1" max="1" width="14.5" customWidth="1"/>
    <col min="2" max="2" width="15" customWidth="1"/>
    <col min="3" max="3" width="13.83203125" customWidth="1"/>
    <col min="4" max="4" width="18.83203125" customWidth="1"/>
    <col min="5" max="5" width="19.5" customWidth="1"/>
    <col min="6" max="6" width="28" customWidth="1"/>
    <col min="7" max="7" width="23.33203125" customWidth="1"/>
    <col min="8" max="8" width="19.33203125" customWidth="1"/>
    <col min="9" max="9" width="19.5" customWidth="1"/>
    <col min="10" max="10" width="27.5" customWidth="1"/>
    <col min="11" max="11" width="37.5" customWidth="1"/>
  </cols>
  <sheetData>
    <row r="1" spans="1:11" ht="14">
      <c r="A1" s="177" t="s">
        <v>7</v>
      </c>
      <c r="B1" s="178"/>
      <c r="C1" s="178"/>
      <c r="D1" s="178"/>
      <c r="E1" s="178"/>
      <c r="F1" s="178"/>
      <c r="G1" s="179"/>
      <c r="H1" s="182" t="s">
        <v>38</v>
      </c>
      <c r="I1" s="183"/>
      <c r="J1" s="183"/>
      <c r="K1" s="183"/>
    </row>
    <row r="2" spans="1:11" ht="14">
      <c r="A2" s="100" t="s">
        <v>0</v>
      </c>
      <c r="B2" s="101" t="s">
        <v>72</v>
      </c>
      <c r="C2" s="101" t="s">
        <v>73</v>
      </c>
      <c r="D2" s="102" t="s">
        <v>74</v>
      </c>
      <c r="E2" s="102" t="s">
        <v>333</v>
      </c>
      <c r="F2" s="102" t="s">
        <v>334</v>
      </c>
      <c r="G2" s="101" t="s">
        <v>327</v>
      </c>
      <c r="H2" s="103" t="s">
        <v>335</v>
      </c>
      <c r="I2" s="104" t="s">
        <v>336</v>
      </c>
      <c r="J2" s="104" t="s">
        <v>337</v>
      </c>
      <c r="K2" s="105" t="s">
        <v>338</v>
      </c>
    </row>
    <row r="3" spans="1:11" ht="14">
      <c r="A3" t="str">
        <f ca="1">IFERROR(__xludf.DUMMYFUNCTION("filter(Assignments!B3:B1000,Assignments!P3:P1000=""Dosage Sensitivity"",Assignments!O3:O1000=""Comprehensive"")"),"Assigned")</f>
        <v>Assigned</v>
      </c>
      <c r="B3" t="str">
        <f ca="1">IFERROR(__xludf.DUMMYFUNCTION("filter(Assignments!C3:C1000,Assignments!P3:P1000=""Dosage Sensitivity"",Assignments!O3:O1000=""Comprehensive"")"),"")</f>
        <v/>
      </c>
      <c r="C3" s="127">
        <f ca="1">IFERROR(__xludf.DUMMYFUNCTION("filter(Assignments!D3:D1000,Assignments!P3:P1000=""Dosage Sensitivity"",Assignments!O3:O1000=""Comprehensive"")"),43580)</f>
        <v>43580</v>
      </c>
      <c r="D3" s="62" t="str">
        <f ca="1">IFERROR(__xludf.DUMMYFUNCTION("filter(Assignments!E3:E1000,Assignments!P3:P1000=""Dosage Sensitivity"",Assignments!O3:O1000=""Comprehensive"")"),"Yes")</f>
        <v>Yes</v>
      </c>
      <c r="E3" s="62" t="str">
        <f ca="1">IFERROR(__xludf.DUMMYFUNCTION("filter(Assignments!F3:F1000,Assignments!P3:P1000=""Dosage Sensitivity"",Assignments!O3:O1000=""Comprehensive"")"),"Yes")</f>
        <v>Yes</v>
      </c>
      <c r="F3" s="49" t="str">
        <f ca="1">IFERROR(__xludf.DUMMYFUNCTION("filter(Assignments!G3:G1000,Assignments!P3:P1000=""Dosage Sensitivity"",Assignments!O3:O1000=""Comprehensive"")"),"Dosage Sensitivity")</f>
        <v>Dosage Sensitivity</v>
      </c>
      <c r="G3" t="str">
        <f ca="1">IFERROR(__xludf.DUMMYFUNCTION("filter(Assignments!H3:H1000,Assignments!P3:P1000=""Dosage Sensitivity"",Assignments!O3:O1000=""Comprehensive"")"),"Recurrent CNVs")</f>
        <v>Recurrent CNVs</v>
      </c>
      <c r="H3" t="str">
        <f ca="1">IFERROR(__xludf.DUMMYFUNCTION("filter(Assignments!L3:L1000,Assignments!P3:P1000=""Dosage Sensitivity"",Assignments!O3:O1000=""Comprehensive"")"),"Justin Schleede Phd")</f>
        <v>Justin Schleede Phd</v>
      </c>
      <c r="I3" t="str">
        <f ca="1">IFERROR(__xludf.DUMMYFUNCTION("filter(Assignments!M3:M1000,Assignments!P3:P1000=""Dosage Sensitivity"",Assignments!O3:O1000=""Comprehensive"")"),"schleej@labcorp.com")</f>
        <v>schleej@labcorp.com</v>
      </c>
      <c r="J3" s="49" t="str">
        <f ca="1">IFERROR(__xludf.DUMMYFUNCTION("filter(Assignments!O3:O1000,Assignments!P3:P1000=""Dosage Sensitivity"",Assignments!O3:O1000=""Comprehensive"")"),"Comprehensive")</f>
        <v>Comprehensive</v>
      </c>
      <c r="K3" t="str">
        <f ca="1">IFERROR(__xludf.DUMMYFUNCTION("filter(Assignments!W3:W1000,Assignments!P3:P1000=""Dosage Sensitivity"",Assignments!O3:O1000=""Comprehensive"")"),"")</f>
        <v/>
      </c>
    </row>
    <row r="4" spans="1:11" ht="13">
      <c r="A4" t="str">
        <f ca="1">IFERROR(__xludf.DUMMYFUNCTION("""COMPUTED_VALUE"""),"Contacted")</f>
        <v>Contacted</v>
      </c>
      <c r="B4" t="str">
        <f ca="1">IFERROR(__xludf.DUMMYFUNCTION("""COMPUTED_VALUE"""),"")</f>
        <v/>
      </c>
      <c r="C4" s="106">
        <f ca="1">IFERROR(__xludf.DUMMYFUNCTION("""COMPUTED_VALUE"""),43580)</f>
        <v>43580</v>
      </c>
      <c r="D4" s="49" t="str">
        <f ca="1">IFERROR(__xludf.DUMMYFUNCTION("""COMPUTED_VALUE"""),"Yes")</f>
        <v>Yes</v>
      </c>
      <c r="E4" s="49" t="str">
        <f ca="1">IFERROR(__xludf.DUMMYFUNCTION("""COMPUTED_VALUE"""),"Yes")</f>
        <v>Yes</v>
      </c>
      <c r="F4" s="49" t="str">
        <f ca="1">IFERROR(__xludf.DUMMYFUNCTION("""COMPUTED_VALUE"""),"Dosage Sensitivity")</f>
        <v>Dosage Sensitivity</v>
      </c>
      <c r="G4" t="str">
        <f ca="1">IFERROR(__xludf.DUMMYFUNCTION("""COMPUTED_VALUE"""),"")</f>
        <v/>
      </c>
      <c r="H4" t="str">
        <f ca="1">IFERROR(__xludf.DUMMYFUNCTION("""COMPUTED_VALUE"""),"Shulin Zhang")</f>
        <v>Shulin Zhang</v>
      </c>
      <c r="I4" t="str">
        <f ca="1">IFERROR(__xludf.DUMMYFUNCTION("""COMPUTED_VALUE"""),"shulin.zhang@uky.edu")</f>
        <v>shulin.zhang@uky.edu</v>
      </c>
      <c r="J4" s="49" t="str">
        <f ca="1">IFERROR(__xludf.DUMMYFUNCTION("""COMPUTED_VALUE"""),"Comprehensive")</f>
        <v>Comprehensive</v>
      </c>
      <c r="K4" t="str">
        <f ca="1">IFERROR(__xludf.DUMMYFUNCTION("""COMPUTED_VALUE"""),"1) Dosage sensitivity working group expert panel (inherited cancers) 2) Colorectal cancer 3) mitochondrial diseases")</f>
        <v>1) Dosage sensitivity working group expert panel (inherited cancers) 2) Colorectal cancer 3) mitochondrial diseases</v>
      </c>
    </row>
    <row r="5" spans="1:11" ht="13">
      <c r="A5" t="str">
        <f ca="1">IFERROR(__xludf.DUMMYFUNCTION("""COMPUTED_VALUE"""),"Assigned")</f>
        <v>Assigned</v>
      </c>
      <c r="B5" s="107">
        <f ca="1">IFERROR(__xludf.DUMMYFUNCTION("""COMPUTED_VALUE"""),43411)</f>
        <v>43411</v>
      </c>
      <c r="C5" s="108">
        <f ca="1">IFERROR(__xludf.DUMMYFUNCTION("""COMPUTED_VALUE"""),43453)</f>
        <v>43453</v>
      </c>
      <c r="D5" s="49" t="str">
        <f ca="1">IFERROR(__xludf.DUMMYFUNCTION("""COMPUTED_VALUE"""),"Yes")</f>
        <v>Yes</v>
      </c>
      <c r="E5" s="49" t="str">
        <f ca="1">IFERROR(__xludf.DUMMYFUNCTION("""COMPUTED_VALUE"""),"Yes")</f>
        <v>Yes</v>
      </c>
      <c r="F5" s="49" t="str">
        <f ca="1">IFERROR(__xludf.DUMMYFUNCTION("""COMPUTED_VALUE"""),"Dosage Sensitivity")</f>
        <v>Dosage Sensitivity</v>
      </c>
      <c r="G5" t="str">
        <f ca="1">IFERROR(__xludf.DUMMYFUNCTION("""COMPUTED_VALUE"""),"")</f>
        <v/>
      </c>
      <c r="H5" t="str">
        <f ca="1">IFERROR(__xludf.DUMMYFUNCTION("""COMPUTED_VALUE"""),"Preti Jain")</f>
        <v>Preti Jain</v>
      </c>
      <c r="I5" t="str">
        <f ca="1">IFERROR(__xludf.DUMMYFUNCTION("""COMPUTED_VALUE"""),"preti.jain@yale.edu")</f>
        <v>preti.jain@yale.edu</v>
      </c>
      <c r="J5" s="49" t="str">
        <f ca="1">IFERROR(__xludf.DUMMYFUNCTION("""COMPUTED_VALUE"""),"Comprehensive")</f>
        <v>Comprehensive</v>
      </c>
      <c r="K5" t="str">
        <f ca="1">IFERROR(__xludf.DUMMYFUNCTION("""COMPUTED_VALUE"""),"cardiomyopathy, Somatic/Germline Variant Curation, Hereditary Cancer")</f>
        <v>cardiomyopathy, Somatic/Germline Variant Curation, Hereditary Cancer</v>
      </c>
    </row>
    <row r="6" spans="1:11" ht="13">
      <c r="A6" t="str">
        <f ca="1">IFERROR(__xludf.DUMMYFUNCTION("""COMPUTED_VALUE"""),"Assigned")</f>
        <v>Assigned</v>
      </c>
      <c r="B6" s="107">
        <f ca="1">IFERROR(__xludf.DUMMYFUNCTION("""COMPUTED_VALUE"""),43356)</f>
        <v>43356</v>
      </c>
      <c r="C6" s="107">
        <f ca="1">IFERROR(__xludf.DUMMYFUNCTION("""COMPUTED_VALUE"""),43341)</f>
        <v>43341</v>
      </c>
      <c r="D6" s="49" t="str">
        <f ca="1">IFERROR(__xludf.DUMMYFUNCTION("""COMPUTED_VALUE"""),"Yes")</f>
        <v>Yes</v>
      </c>
      <c r="E6" s="49" t="str">
        <f ca="1">IFERROR(__xludf.DUMMYFUNCTION("""COMPUTED_VALUE"""),"Yes")</f>
        <v>Yes</v>
      </c>
      <c r="F6" s="49" t="str">
        <f ca="1">IFERROR(__xludf.DUMMYFUNCTION("""COMPUTED_VALUE"""),"Dosage Sensitivity")</f>
        <v>Dosage Sensitivity</v>
      </c>
      <c r="G6" t="str">
        <f ca="1">IFERROR(__xludf.DUMMYFUNCTION("""COMPUTED_VALUE"""),"")</f>
        <v/>
      </c>
      <c r="H6" t="str">
        <f ca="1">IFERROR(__xludf.DUMMYFUNCTION("""COMPUTED_VALUE"""),"Andrea Vaags")</f>
        <v>Andrea Vaags</v>
      </c>
      <c r="I6" t="str">
        <f ca="1">IFERROR(__xludf.DUMMYFUNCTION("""COMPUTED_VALUE"""),"andrea.vaags@thp.ca")</f>
        <v>andrea.vaags@thp.ca</v>
      </c>
      <c r="J6" s="49" t="str">
        <f ca="1">IFERROR(__xludf.DUMMYFUNCTION("""COMPUTED_VALUE"""),"Comprehensive")</f>
        <v>Comprehensive</v>
      </c>
      <c r="K6" t="str">
        <f ca="1">IFERROR(__xludf.DUMMYFUNCTION("""COMPUTED_VALUE"""),"Somatic/Germline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7" spans="1:11" ht="13">
      <c r="A7" t="str">
        <f ca="1">IFERROR(__xludf.DUMMYFUNCTION("""COMPUTED_VALUE"""),"Assigned")</f>
        <v>Assigned</v>
      </c>
      <c r="B7" s="107">
        <f ca="1">IFERROR(__xludf.DUMMYFUNCTION("""COMPUTED_VALUE"""),43411)</f>
        <v>43411</v>
      </c>
      <c r="C7" s="108">
        <f ca="1">IFERROR(__xludf.DUMMYFUNCTION("""COMPUTED_VALUE"""),43453)</f>
        <v>43453</v>
      </c>
      <c r="D7" s="49" t="str">
        <f ca="1">IFERROR(__xludf.DUMMYFUNCTION("""COMPUTED_VALUE"""),"Yes")</f>
        <v>Yes</v>
      </c>
      <c r="E7" s="49" t="str">
        <f ca="1">IFERROR(__xludf.DUMMYFUNCTION("""COMPUTED_VALUE"""),"Yes")</f>
        <v>Yes</v>
      </c>
      <c r="F7" s="49" t="str">
        <f ca="1">IFERROR(__xludf.DUMMYFUNCTION("""COMPUTED_VALUE"""),"Dosage Sensitivity")</f>
        <v>Dosage Sensitivity</v>
      </c>
      <c r="G7" t="str">
        <f ca="1">IFERROR(__xludf.DUMMYFUNCTION("""COMPUTED_VALUE"""),"")</f>
        <v/>
      </c>
      <c r="H7" t="str">
        <f ca="1">IFERROR(__xludf.DUMMYFUNCTION("""COMPUTED_VALUE"""),"George Burghel")</f>
        <v>George Burghel</v>
      </c>
      <c r="I7" t="str">
        <f ca="1">IFERROR(__xludf.DUMMYFUNCTION("""COMPUTED_VALUE"""),"george.burghel@mft.nhs.uk")</f>
        <v>george.burghel@mft.nhs.uk</v>
      </c>
      <c r="J7" s="49" t="str">
        <f ca="1">IFERROR(__xludf.DUMMYFUNCTION("""COMPUTED_VALUE"""),"Comprehensive")</f>
        <v>Comprehensive</v>
      </c>
      <c r="K7" t="str">
        <f ca="1">IFERROR(__xludf.DUMMYFUNCTION("""COMPUTED_VALUE"""),"Experience with Dosage sensistivy but not curation. ")</f>
        <v xml:space="preserve">Experience with Dosage sensistivy but not curation. </v>
      </c>
    </row>
    <row r="8" spans="1:11" ht="13">
      <c r="A8" t="str">
        <f ca="1">IFERROR(__xludf.DUMMYFUNCTION("""COMPUTED_VALUE"""),"Assigned")</f>
        <v>Assigned</v>
      </c>
      <c r="B8" s="108">
        <f ca="1">IFERROR(__xludf.DUMMYFUNCTION("""COMPUTED_VALUE"""),43430)</f>
        <v>43430</v>
      </c>
      <c r="C8" s="108">
        <f ca="1">IFERROR(__xludf.DUMMYFUNCTION("""COMPUTED_VALUE"""),43453)</f>
        <v>43453</v>
      </c>
      <c r="D8" s="49" t="str">
        <f ca="1">IFERROR(__xludf.DUMMYFUNCTION("""COMPUTED_VALUE"""),"Yes")</f>
        <v>Yes</v>
      </c>
      <c r="E8" s="49" t="str">
        <f ca="1">IFERROR(__xludf.DUMMYFUNCTION("""COMPUTED_VALUE"""),"Yes")</f>
        <v>Yes</v>
      </c>
      <c r="F8" s="49" t="str">
        <f ca="1">IFERROR(__xludf.DUMMYFUNCTION("""COMPUTED_VALUE"""),"Dosage Sensitivity")</f>
        <v>Dosage Sensitivity</v>
      </c>
      <c r="G8" t="str">
        <f ca="1">IFERROR(__xludf.DUMMYFUNCTION("""COMPUTED_VALUE"""),"")</f>
        <v/>
      </c>
      <c r="H8" t="str">
        <f ca="1">IFERROR(__xludf.DUMMYFUNCTION("""COMPUTED_VALUE"""),"Coumarane Mani")</f>
        <v>Coumarane Mani</v>
      </c>
      <c r="I8" t="str">
        <f ca="1">IFERROR(__xludf.DUMMYFUNCTION("""COMPUTED_VALUE"""),"coumarane.mani@aruplab.com")</f>
        <v>coumarane.mani@aruplab.com</v>
      </c>
      <c r="J8" s="49" t="str">
        <f ca="1">IFERROR(__xludf.DUMMYFUNCTION("""COMPUTED_VALUE"""),"Comprehensive")</f>
        <v>Comprehensive</v>
      </c>
      <c r="K8" t="str">
        <f ca="1">IFERROR(__xludf.DUMMYFUNCTION("""COMPUTED_VALUE"""),"1. Somatic/Germline Variant Curation Group 2. Myeloid Malignancy Variant Curation Expert Panel")</f>
        <v>1. Somatic/Germline Variant Curation Group 2. Myeloid Malignancy Variant Curation Expert Panel</v>
      </c>
    </row>
    <row r="9" spans="1:11" ht="13">
      <c r="A9" t="str">
        <f ca="1">IFERROR(__xludf.DUMMYFUNCTION("""COMPUTED_VALUE"""),"Assigned")</f>
        <v>Assigned</v>
      </c>
      <c r="B9" t="str">
        <f ca="1">IFERROR(__xludf.DUMMYFUNCTION("""COMPUTED_VALUE"""),"")</f>
        <v/>
      </c>
      <c r="C9" s="108">
        <f ca="1">IFERROR(__xludf.DUMMYFUNCTION("""COMPUTED_VALUE"""),43453)</f>
        <v>43453</v>
      </c>
      <c r="D9" s="49" t="str">
        <f ca="1">IFERROR(__xludf.DUMMYFUNCTION("""COMPUTED_VALUE"""),"Yes")</f>
        <v>Yes</v>
      </c>
      <c r="E9" s="49" t="str">
        <f ca="1">IFERROR(__xludf.DUMMYFUNCTION("""COMPUTED_VALUE"""),"Yes")</f>
        <v>Yes</v>
      </c>
      <c r="F9" s="49" t="str">
        <f ca="1">IFERROR(__xludf.DUMMYFUNCTION("""COMPUTED_VALUE"""),"Dosage Sensitivity")</f>
        <v>Dosage Sensitivity</v>
      </c>
      <c r="G9" t="str">
        <f ca="1">IFERROR(__xludf.DUMMYFUNCTION("""COMPUTED_VALUE"""),"")</f>
        <v/>
      </c>
      <c r="H9" t="str">
        <f ca="1">IFERROR(__xludf.DUMMYFUNCTION("""COMPUTED_VALUE"""),"Mahesh Iddawela")</f>
        <v>Mahesh Iddawela</v>
      </c>
      <c r="I9" t="str">
        <f ca="1">IFERROR(__xludf.DUMMYFUNCTION("""COMPUTED_VALUE"""),"mahesh.iddawela@monash.edu")</f>
        <v>mahesh.iddawela@monash.edu</v>
      </c>
      <c r="J9" s="49" t="str">
        <f ca="1">IFERROR(__xludf.DUMMYFUNCTION("""COMPUTED_VALUE"""),"Comprehensive")</f>
        <v>Comprehensive</v>
      </c>
      <c r="K9" t="str">
        <f ca="1">IFERROR(__xludf.DUMMYFUNCTION("""COMPUTED_VALUE"""),"Somatic Cancer (TP53), Breast/Ovarian cancer")</f>
        <v>Somatic Cancer (TP53), Breast/Ovarian cancer</v>
      </c>
    </row>
    <row r="10" spans="1:11" ht="13">
      <c r="A10" t="str">
        <f ca="1">IFERROR(__xludf.DUMMYFUNCTION("""COMPUTED_VALUE"""),"Assigned")</f>
        <v>Assigned</v>
      </c>
      <c r="B10" t="str">
        <f ca="1">IFERROR(__xludf.DUMMYFUNCTION("""COMPUTED_VALUE"""),"")</f>
        <v/>
      </c>
      <c r="C10" s="108">
        <f ca="1">IFERROR(__xludf.DUMMYFUNCTION("""COMPUTED_VALUE"""),43453)</f>
        <v>43453</v>
      </c>
      <c r="D10" s="49" t="str">
        <f ca="1">IFERROR(__xludf.DUMMYFUNCTION("""COMPUTED_VALUE"""),"Yes")</f>
        <v>Yes</v>
      </c>
      <c r="E10" s="49" t="str">
        <f ca="1">IFERROR(__xludf.DUMMYFUNCTION("""COMPUTED_VALUE"""),"Yes")</f>
        <v>Yes</v>
      </c>
      <c r="F10" s="49" t="str">
        <f ca="1">IFERROR(__xludf.DUMMYFUNCTION("""COMPUTED_VALUE"""),"Dosage Sensitivity")</f>
        <v>Dosage Sensitivity</v>
      </c>
      <c r="G10" t="str">
        <f ca="1">IFERROR(__xludf.DUMMYFUNCTION("""COMPUTED_VALUE"""),"")</f>
        <v/>
      </c>
      <c r="H10" t="str">
        <f ca="1">IFERROR(__xludf.DUMMYFUNCTION("""COMPUTED_VALUE"""),"Diogo Ventura Lovato")</f>
        <v>Diogo Ventura Lovato</v>
      </c>
      <c r="I10" t="str">
        <f ca="1">IFERROR(__xludf.DUMMYFUNCTION("""COMPUTED_VALUE"""),"diogo.v.lovato@gmail.com")</f>
        <v>diogo.v.lovato@gmail.com</v>
      </c>
      <c r="J10" s="49" t="str">
        <f ca="1">IFERROR(__xludf.DUMMYFUNCTION("""COMPUTED_VALUE"""),"Comprehensive")</f>
        <v>Comprehensive</v>
      </c>
      <c r="K10" t="str">
        <f ca="1">IFERROR(__xludf.DUMMYFUNCTION("""COMPUTED_VALUE"""),"Autism and Intellectual Disability, Epilepsy")</f>
        <v>Autism and Intellectual Disability, Epilepsy</v>
      </c>
    </row>
    <row r="11" spans="1:11" ht="13">
      <c r="A11" t="str">
        <f ca="1">IFERROR(__xludf.DUMMYFUNCTION("""COMPUTED_VALUE"""),"Unresponsive")</f>
        <v>Unresponsive</v>
      </c>
      <c r="B11" s="107">
        <f ca="1">IFERROR(__xludf.DUMMYFUNCTION("""COMPUTED_VALUE"""),43109)</f>
        <v>43109</v>
      </c>
      <c r="C11" t="str">
        <f ca="1">IFERROR(__xludf.DUMMYFUNCTION("""COMPUTED_VALUE"""),"")</f>
        <v/>
      </c>
      <c r="D11" s="49" t="str">
        <f ca="1">IFERROR(__xludf.DUMMYFUNCTION("""COMPUTED_VALUE"""),"No")</f>
        <v>No</v>
      </c>
      <c r="E11" s="49" t="str">
        <f ca="1">IFERROR(__xludf.DUMMYFUNCTION("""COMPUTED_VALUE"""),"No")</f>
        <v>No</v>
      </c>
      <c r="F11" s="49" t="str">
        <f ca="1">IFERROR(__xludf.DUMMYFUNCTION("""COMPUTED_VALUE"""),"Dosage Sensitivity")</f>
        <v>Dosage Sensitivity</v>
      </c>
      <c r="G11" t="str">
        <f ca="1">IFERROR(__xludf.DUMMYFUNCTION("""COMPUTED_VALUE"""),"")</f>
        <v/>
      </c>
      <c r="H11" t="str">
        <f ca="1">IFERROR(__xludf.DUMMYFUNCTION("""COMPUTED_VALUE"""),"Jenna Guiltinan")</f>
        <v>Jenna Guiltinan</v>
      </c>
      <c r="I11" t="str">
        <f ca="1">IFERROR(__xludf.DUMMYFUNCTION("""COMPUTED_VALUE"""),"jenna.guiltinan@invitae.com")</f>
        <v>jenna.guiltinan@invitae.com</v>
      </c>
      <c r="J11" s="49" t="str">
        <f ca="1">IFERROR(__xludf.DUMMYFUNCTION("""COMPUTED_VALUE"""),"Comprehensive")</f>
        <v>Comprehensive</v>
      </c>
      <c r="K11" t="str">
        <f ca="1">IFERROR(__xludf.DUMMYFUNCTION("""COMPUTED_VALUE"""),"Dosage- Hereditary Cancer sounds the most interesting to me, but any of the dosage sensitivity working groups would be great!")</f>
        <v>Dosage- Hereditary Cancer sounds the most interesting to me, but any of the dosage sensitivity working groups would be great!</v>
      </c>
    </row>
    <row r="12" spans="1:11" ht="13">
      <c r="A12" t="str">
        <f ca="1">IFERROR(__xludf.DUMMYFUNCTION("""COMPUTED_VALUE"""),"Contacted")</f>
        <v>Contacted</v>
      </c>
      <c r="B12" t="str">
        <f ca="1">IFERROR(__xludf.DUMMYFUNCTION("""COMPUTED_VALUE"""),"")</f>
        <v/>
      </c>
      <c r="C12" s="106">
        <f ca="1">IFERROR(__xludf.DUMMYFUNCTION("""COMPUTED_VALUE"""),43580)</f>
        <v>43580</v>
      </c>
      <c r="D12" s="49" t="str">
        <f ca="1">IFERROR(__xludf.DUMMYFUNCTION("""COMPUTED_VALUE"""),"Yes")</f>
        <v>Yes</v>
      </c>
      <c r="E12" s="49" t="str">
        <f ca="1">IFERROR(__xludf.DUMMYFUNCTION("""COMPUTED_VALUE"""),"Yes")</f>
        <v>Yes</v>
      </c>
      <c r="F12" s="49" t="str">
        <f ca="1">IFERROR(__xludf.DUMMYFUNCTION("""COMPUTED_VALUE"""),"Dosage Sensitivity")</f>
        <v>Dosage Sensitivity</v>
      </c>
      <c r="G12" t="str">
        <f ca="1">IFERROR(__xludf.DUMMYFUNCTION("""COMPUTED_VALUE"""),"")</f>
        <v/>
      </c>
      <c r="H12" t="str">
        <f ca="1">IFERROR(__xludf.DUMMYFUNCTION("""COMPUTED_VALUE"""),"Nan Jiang")</f>
        <v>Nan Jiang</v>
      </c>
      <c r="I12" t="str">
        <f ca="1">IFERROR(__xludf.DUMMYFUNCTION("""COMPUTED_VALUE"""),"naj018@ucsd.edu")</f>
        <v>naj018@ucsd.edu</v>
      </c>
      <c r="J12" s="49" t="str">
        <f ca="1">IFERROR(__xludf.DUMMYFUNCTION("""COMPUTED_VALUE"""),"Comprehensive")</f>
        <v>Comprehensive</v>
      </c>
      <c r="K12" t="str">
        <f ca="1">IFERROR(__xludf.DUMMYFUNCTION("""COMPUTED_VALUE"""),"I am particularly interested in the variant and gene curation expert panels under dosage sensitivity working group. ")</f>
        <v xml:space="preserve">I am particularly interested in the variant and gene curation expert panels under dosage sensitivity working group. </v>
      </c>
    </row>
    <row r="13" spans="1:11" ht="18" customHeight="1">
      <c r="A13" t="str">
        <f ca="1">IFERROR(__xludf.DUMMYFUNCTION("""COMPUTED_VALUE"""),"Unresponsive")</f>
        <v>Unresponsive</v>
      </c>
      <c r="B13" t="str">
        <f ca="1">IFERROR(__xludf.DUMMYFUNCTION("""COMPUTED_VALUE"""),"")</f>
        <v/>
      </c>
      <c r="C13" t="str">
        <f ca="1">IFERROR(__xludf.DUMMYFUNCTION("""COMPUTED_VALUE"""),"")</f>
        <v/>
      </c>
      <c r="D13" s="49" t="str">
        <f ca="1">IFERROR(__xludf.DUMMYFUNCTION("""COMPUTED_VALUE"""),"No")</f>
        <v>No</v>
      </c>
      <c r="E13" s="49" t="str">
        <f ca="1">IFERROR(__xludf.DUMMYFUNCTION("""COMPUTED_VALUE"""),"No")</f>
        <v>No</v>
      </c>
      <c r="F13" s="49" t="str">
        <f ca="1">IFERROR(__xludf.DUMMYFUNCTION("""COMPUTED_VALUE"""),"Dosage Sensitivity")</f>
        <v>Dosage Sensitivity</v>
      </c>
      <c r="G13" t="str">
        <f ca="1">IFERROR(__xludf.DUMMYFUNCTION("""COMPUTED_VALUE"""),"")</f>
        <v/>
      </c>
      <c r="H13" t="str">
        <f ca="1">IFERROR(__xludf.DUMMYFUNCTION("""COMPUTED_VALUE"""),"Elizabeth Spiteri")</f>
        <v>Elizabeth Spiteri</v>
      </c>
      <c r="I13" t="str">
        <f ca="1">IFERROR(__xludf.DUMMYFUNCTION("""COMPUTED_VALUE"""),"espiteri@gmail.com")</f>
        <v>espiteri@gmail.com</v>
      </c>
      <c r="J13" s="49" t="str">
        <f ca="1">IFERROR(__xludf.DUMMYFUNCTION("""COMPUTED_VALUE"""),"Comprehensive")</f>
        <v>Comprehensive</v>
      </c>
      <c r="K13" t="str">
        <f ca="1">IFERROR(__xludf.DUMMYFUNCTION("""COMPUTED_VALUE"""),"In addition to the somatic panel curation I would also be interested in Breast/Ovarian or Colon Cancer Expert panels ")</f>
        <v xml:space="preserve">In addition to the somatic panel curation I would also be interested in Breast/Ovarian or Colon Cancer Expert panels </v>
      </c>
    </row>
    <row r="14" spans="1:11" ht="13">
      <c r="A14" t="str">
        <f ca="1">IFERROR(__xludf.DUMMYFUNCTION("""COMPUTED_VALUE"""),"Unresponsive")</f>
        <v>Unresponsive</v>
      </c>
      <c r="B14" t="str">
        <f ca="1">IFERROR(__xludf.DUMMYFUNCTION("""COMPUTED_VALUE"""),"")</f>
        <v/>
      </c>
      <c r="C14" t="str">
        <f ca="1">IFERROR(__xludf.DUMMYFUNCTION("""COMPUTED_VALUE"""),"")</f>
        <v/>
      </c>
      <c r="D14" s="49" t="str">
        <f ca="1">IFERROR(__xludf.DUMMYFUNCTION("""COMPUTED_VALUE"""),"No")</f>
        <v>No</v>
      </c>
      <c r="E14" s="49" t="str">
        <f ca="1">IFERROR(__xludf.DUMMYFUNCTION("""COMPUTED_VALUE"""),"No")</f>
        <v>No</v>
      </c>
      <c r="F14" s="49" t="str">
        <f ca="1">IFERROR(__xludf.DUMMYFUNCTION("""COMPUTED_VALUE"""),"Dosage Sensitivity")</f>
        <v>Dosage Sensitivity</v>
      </c>
      <c r="G14" t="str">
        <f ca="1">IFERROR(__xludf.DUMMYFUNCTION("""COMPUTED_VALUE"""),"")</f>
        <v/>
      </c>
      <c r="H14" t="str">
        <f ca="1">IFERROR(__xludf.DUMMYFUNCTION("""COMPUTED_VALUE"""),"Hafsa Amtul")</f>
        <v>Hafsa Amtul</v>
      </c>
      <c r="I14" t="str">
        <f ca="1">IFERROR(__xludf.DUMMYFUNCTION("""COMPUTED_VALUE"""),"hafsa.amtul2502@gmail.com")</f>
        <v>hafsa.amtul2502@gmail.com</v>
      </c>
      <c r="J14" s="49" t="str">
        <f ca="1">IFERROR(__xludf.DUMMYFUNCTION("""COMPUTED_VALUE"""),"Comprehensive")</f>
        <v>Comprehensive</v>
      </c>
      <c r="K14" t="str">
        <f ca="1">IFERROR(__xludf.DUMMYFUNCTION("""COMPUTED_VALUE"""),"Dosage- Neurodevelopemental, Pediatric, Nonsmall cell lung cancer, 
Somatic TP53 ")</f>
        <v xml:space="preserve">Dosage- Neurodevelopemental, Pediatric, Nonsmall cell lung cancer, 
Somatic TP53 </v>
      </c>
    </row>
    <row r="15" spans="1:11" ht="13">
      <c r="A15" t="str">
        <f ca="1">IFERROR(__xludf.DUMMYFUNCTION("""COMPUTED_VALUE"""),"Contacted")</f>
        <v>Contacted</v>
      </c>
      <c r="B15" t="str">
        <f ca="1">IFERROR(__xludf.DUMMYFUNCTION("""COMPUTED_VALUE"""),"")</f>
        <v/>
      </c>
      <c r="C15" s="106">
        <f ca="1">IFERROR(__xludf.DUMMYFUNCTION("""COMPUTED_VALUE"""),43580)</f>
        <v>43580</v>
      </c>
      <c r="D15" s="49" t="str">
        <f ca="1">IFERROR(__xludf.DUMMYFUNCTION("""COMPUTED_VALUE"""),"Yes")</f>
        <v>Yes</v>
      </c>
      <c r="E15" s="49" t="str">
        <f ca="1">IFERROR(__xludf.DUMMYFUNCTION("""COMPUTED_VALUE"""),"Yes")</f>
        <v>Yes</v>
      </c>
      <c r="F15" s="49" t="str">
        <f ca="1">IFERROR(__xludf.DUMMYFUNCTION("""COMPUTED_VALUE"""),"Dosage Sensitivity")</f>
        <v>Dosage Sensitivity</v>
      </c>
      <c r="G15" t="str">
        <f ca="1">IFERROR(__xludf.DUMMYFUNCTION("""COMPUTED_VALUE"""),"")</f>
        <v/>
      </c>
      <c r="H15" t="str">
        <f ca="1">IFERROR(__xludf.DUMMYFUNCTION("""COMPUTED_VALUE"""),"Christine Preston")</f>
        <v>Christine Preston</v>
      </c>
      <c r="I15" t="str">
        <f ca="1">IFERROR(__xludf.DUMMYFUNCTION("""COMPUTED_VALUE"""),"christip@stanford.edu")</f>
        <v>christip@stanford.edu</v>
      </c>
      <c r="J15" s="49" t="str">
        <f ca="1">IFERROR(__xludf.DUMMYFUNCTION("""COMPUTED_VALUE"""),"Comprehensive")</f>
        <v>Comprehensive</v>
      </c>
      <c r="K15" t="str">
        <f ca="1">IFERROR(__xludf.DUMMYFUNCTION("""COMPUTED_VALUE"""),"Dosage Sensitivity Working Group")</f>
        <v>Dosage Sensitivity Working Group</v>
      </c>
    </row>
    <row r="16" spans="1:11" ht="13">
      <c r="A16" t="str">
        <f ca="1">IFERROR(__xludf.DUMMYFUNCTION("""COMPUTED_VALUE"""),"Unassigned")</f>
        <v>Unassigned</v>
      </c>
      <c r="B16" t="str">
        <f ca="1">IFERROR(__xludf.DUMMYFUNCTION("""COMPUTED_VALUE"""),"")</f>
        <v/>
      </c>
      <c r="C16" t="str">
        <f ca="1">IFERROR(__xludf.DUMMYFUNCTION("""COMPUTED_VALUE"""),"")</f>
        <v/>
      </c>
      <c r="D16" s="49" t="str">
        <f ca="1">IFERROR(__xludf.DUMMYFUNCTION("""COMPUTED_VALUE"""),"")</f>
        <v/>
      </c>
      <c r="E16" s="49" t="str">
        <f ca="1">IFERROR(__xludf.DUMMYFUNCTION("""COMPUTED_VALUE"""),"No")</f>
        <v>No</v>
      </c>
      <c r="F16" s="49" t="str">
        <f ca="1">IFERROR(__xludf.DUMMYFUNCTION("""COMPUTED_VALUE"""),"Baseline")</f>
        <v>Baseline</v>
      </c>
      <c r="G16" t="str">
        <f ca="1">IFERROR(__xludf.DUMMYFUNCTION("""COMPUTED_VALUE"""),"")</f>
        <v/>
      </c>
      <c r="H16" t="str">
        <f ca="1">IFERROR(__xludf.DUMMYFUNCTION("""COMPUTED_VALUE"""),"Michelle Paczosa")</f>
        <v>Michelle Paczosa</v>
      </c>
      <c r="I16" t="str">
        <f ca="1">IFERROR(__xludf.DUMMYFUNCTION("""COMPUTED_VALUE"""),"Michelle.K.Paczosa@questdiagnostics.com")</f>
        <v>Michelle.K.Paczosa@questdiagnostics.com</v>
      </c>
      <c r="J16" s="49" t="str">
        <f ca="1">IFERROR(__xludf.DUMMYFUNCTION("""COMPUTED_VALUE"""),"Comprehensive")</f>
        <v>Comprehensive</v>
      </c>
      <c r="K16" t="str">
        <f ca="1">IFERROR(__xludf.DUMMYFUNCTION("""COMPUTED_VALUE"""),"1. Recurrent 2. Neurodevelopmental 3. Cancer 4. Mitochondrial 5.Hereditary Cancer 6. Monogenic Diabetes")</f>
        <v>1. Recurrent 2. Neurodevelopmental 3. Cancer 4. Mitochondrial 5.Hereditary Cancer 6. Monogenic Diabetes</v>
      </c>
    </row>
    <row r="17" spans="1:11" ht="13">
      <c r="A17" t="str">
        <f ca="1">IFERROR(__xludf.DUMMYFUNCTION("""COMPUTED_VALUE"""),"Unassigned")</f>
        <v>Unassigned</v>
      </c>
      <c r="B17" t="str">
        <f ca="1">IFERROR(__xludf.DUMMYFUNCTION("""COMPUTED_VALUE"""),"")</f>
        <v/>
      </c>
      <c r="C17" t="str">
        <f ca="1">IFERROR(__xludf.DUMMYFUNCTION("""COMPUTED_VALUE"""),"")</f>
        <v/>
      </c>
      <c r="D17" s="49" t="str">
        <f ca="1">IFERROR(__xludf.DUMMYFUNCTION("""COMPUTED_VALUE"""),"")</f>
        <v/>
      </c>
      <c r="E17" s="49" t="str">
        <f ca="1">IFERROR(__xludf.DUMMYFUNCTION("""COMPUTED_VALUE"""),"No")</f>
        <v>No</v>
      </c>
      <c r="F17" s="49" t="str">
        <f ca="1">IFERROR(__xludf.DUMMYFUNCTION("""COMPUTED_VALUE"""),"Dosage Sensitivity")</f>
        <v>Dosage Sensitivity</v>
      </c>
      <c r="G17" t="str">
        <f ca="1">IFERROR(__xludf.DUMMYFUNCTION("""COMPUTED_VALUE"""),"")</f>
        <v/>
      </c>
      <c r="H17" t="str">
        <f ca="1">IFERROR(__xludf.DUMMYFUNCTION("""COMPUTED_VALUE"""),"Laura Sack")</f>
        <v>Laura Sack</v>
      </c>
      <c r="I17" t="str">
        <f ca="1">IFERROR(__xludf.DUMMYFUNCTION("""COMPUTED_VALUE"""),"laura@sack.io")</f>
        <v>laura@sack.io</v>
      </c>
      <c r="J17" s="49" t="str">
        <f ca="1">IFERROR(__xludf.DUMMYFUNCTION("""COMPUTED_VALUE"""),"Comprehensive")</f>
        <v>Comprehensive</v>
      </c>
      <c r="K17" t="str">
        <f ca="1">IFERROR(__xludf.DUMMYFUNCTION("""COMPUTED_VALUE"""),"Dosage-Recurrent Regions, Dosage- Neurodevelopemental, Hereditary Cancer, Intellectual Disability and Autism, Epilepsy")</f>
        <v>Dosage-Recurrent Regions, Dosage- Neurodevelopemental, Hereditary Cancer, Intellectual Disability and Autism, Epilepsy</v>
      </c>
    </row>
    <row r="18" spans="1:11" ht="13">
      <c r="A18" t="str">
        <f ca="1">IFERROR(__xludf.DUMMYFUNCTION("""COMPUTED_VALUE"""),"Unassigned")</f>
        <v>Unassigned</v>
      </c>
      <c r="B18" t="str">
        <f ca="1">IFERROR(__xludf.DUMMYFUNCTION("""COMPUTED_VALUE"""),"")</f>
        <v/>
      </c>
      <c r="C18" t="str">
        <f ca="1">IFERROR(__xludf.DUMMYFUNCTION("""COMPUTED_VALUE"""),"")</f>
        <v/>
      </c>
      <c r="D18" s="49" t="str">
        <f ca="1">IFERROR(__xludf.DUMMYFUNCTION("""COMPUTED_VALUE"""),"")</f>
        <v/>
      </c>
      <c r="E18" s="49" t="str">
        <f ca="1">IFERROR(__xludf.DUMMYFUNCTION("""COMPUTED_VALUE"""),"No")</f>
        <v>No</v>
      </c>
      <c r="F18" s="49" t="str">
        <f ca="1">IFERROR(__xludf.DUMMYFUNCTION("""COMPUTED_VALUE"""),"Dosage Sensitivity")</f>
        <v>Dosage Sensitivity</v>
      </c>
      <c r="G18" t="str">
        <f ca="1">IFERROR(__xludf.DUMMYFUNCTION("""COMPUTED_VALUE"""),"")</f>
        <v/>
      </c>
      <c r="H18" t="str">
        <f ca="1">IFERROR(__xludf.DUMMYFUNCTION("""COMPUTED_VALUE"""),"Niroshi Senaratne")</f>
        <v>Niroshi Senaratne</v>
      </c>
      <c r="I18" t="str">
        <f ca="1">IFERROR(__xludf.DUMMYFUNCTION("""COMPUTED_VALUE"""),"niroshi.senaratne@gmail.com")</f>
        <v>niroshi.senaratne@gmail.com</v>
      </c>
      <c r="J18" s="49" t="str">
        <f ca="1">IFERROR(__xludf.DUMMYFUNCTION("""COMPUTED_VALUE"""),"Comprehensive")</f>
        <v>Comprehensive</v>
      </c>
      <c r="K18" t="str">
        <f ca="1">IFERROR(__xludf.DUMMYFUNCTION("""COMPUTED_VALUE"""),"Dosage sensitivity (neurodevelopmental genes subgroup)")</f>
        <v>Dosage sensitivity (neurodevelopmental genes subgroup)</v>
      </c>
    </row>
    <row r="19" spans="1:11" ht="13">
      <c r="A19" t="str">
        <f ca="1">IFERROR(__xludf.DUMMYFUNCTION("""COMPUTED_VALUE"""),"Unassigned")</f>
        <v>Unassigned</v>
      </c>
      <c r="B19" t="str">
        <f ca="1">IFERROR(__xludf.DUMMYFUNCTION("""COMPUTED_VALUE"""),"")</f>
        <v/>
      </c>
      <c r="C19" t="str">
        <f ca="1">IFERROR(__xludf.DUMMYFUNCTION("""COMPUTED_VALUE"""),"")</f>
        <v/>
      </c>
      <c r="D19" s="49" t="str">
        <f ca="1">IFERROR(__xludf.DUMMYFUNCTION("""COMPUTED_VALUE"""),"")</f>
        <v/>
      </c>
      <c r="E19" s="49" t="str">
        <f ca="1">IFERROR(__xludf.DUMMYFUNCTION("""COMPUTED_VALUE"""),"No")</f>
        <v>No</v>
      </c>
      <c r="F19" s="49" t="str">
        <f ca="1">IFERROR(__xludf.DUMMYFUNCTION("""COMPUTED_VALUE"""),"Dosage Sensitivity")</f>
        <v>Dosage Sensitivity</v>
      </c>
      <c r="G19" t="str">
        <f ca="1">IFERROR(__xludf.DUMMYFUNCTION("""COMPUTED_VALUE"""),"")</f>
        <v/>
      </c>
      <c r="H19" t="str">
        <f ca="1">IFERROR(__xludf.DUMMYFUNCTION("""COMPUTED_VALUE"""),"Ankita Patel")</f>
        <v>Ankita Patel</v>
      </c>
      <c r="I19" t="str">
        <f ca="1">IFERROR(__xludf.DUMMYFUNCTION("""COMPUTED_VALUE"""),"aspatel1@yahoo.com")</f>
        <v>aspatel1@yahoo.com</v>
      </c>
      <c r="J19" s="49" t="str">
        <f ca="1">IFERROR(__xludf.DUMMYFUNCTION("""COMPUTED_VALUE"""),"Comprehensive")</f>
        <v>Comprehensive</v>
      </c>
      <c r="K19" t="str">
        <f ca="1">IFERROR(__xludf.DUMMYFUNCTION("""COMPUTED_VALUE"""),"no- can owrk on where there is need")</f>
        <v>no- can owrk on where there is need</v>
      </c>
    </row>
    <row r="20" spans="1:11" ht="13">
      <c r="A20" t="str">
        <f ca="1">IFERROR(__xludf.DUMMYFUNCTION("""COMPUTED_VALUE"""),"Unassigned")</f>
        <v>Unassigned</v>
      </c>
      <c r="B20" t="str">
        <f ca="1">IFERROR(__xludf.DUMMYFUNCTION("""COMPUTED_VALUE"""),"")</f>
        <v/>
      </c>
      <c r="C20" t="str">
        <f ca="1">IFERROR(__xludf.DUMMYFUNCTION("""COMPUTED_VALUE"""),"")</f>
        <v/>
      </c>
      <c r="D20" s="49" t="str">
        <f ca="1">IFERROR(__xludf.DUMMYFUNCTION("""COMPUTED_VALUE"""),"")</f>
        <v/>
      </c>
      <c r="E20" s="49" t="str">
        <f ca="1">IFERROR(__xludf.DUMMYFUNCTION("""COMPUTED_VALUE"""),"No")</f>
        <v>No</v>
      </c>
      <c r="F20" s="49" t="str">
        <f ca="1">IFERROR(__xludf.DUMMYFUNCTION("""COMPUTED_VALUE"""),"NA")</f>
        <v>NA</v>
      </c>
      <c r="G20" t="str">
        <f ca="1">IFERROR(__xludf.DUMMYFUNCTION("""COMPUTED_VALUE"""),"")</f>
        <v/>
      </c>
      <c r="H20" t="str">
        <f ca="1">IFERROR(__xludf.DUMMYFUNCTION("""COMPUTED_VALUE"""),"Cassandra Barrett")</f>
        <v>Cassandra Barrett</v>
      </c>
      <c r="I20" t="str">
        <f ca="1">IFERROR(__xludf.DUMMYFUNCTION("""COMPUTED_VALUE"""),"cas9bar@gmail.com")</f>
        <v>cas9bar@gmail.com</v>
      </c>
      <c r="J20" s="49" t="str">
        <f ca="1">IFERROR(__xludf.DUMMYFUNCTION("""COMPUTED_VALUE"""),"Comprehensive")</f>
        <v>Comprehensive</v>
      </c>
      <c r="K20" t="str">
        <f ca="1">IFERROR(__xludf.DUMMYFUNCTION("""COMPUTED_VALUE"""),"")</f>
        <v/>
      </c>
    </row>
    <row r="21" spans="1:11" ht="13">
      <c r="A21" t="str">
        <f ca="1">IFERROR(__xludf.DUMMYFUNCTION("""COMPUTED_VALUE"""),"Unassigned")</f>
        <v>Unassigned</v>
      </c>
      <c r="B21" t="str">
        <f ca="1">IFERROR(__xludf.DUMMYFUNCTION("""COMPUTED_VALUE"""),"")</f>
        <v/>
      </c>
      <c r="C21" t="str">
        <f ca="1">IFERROR(__xludf.DUMMYFUNCTION("""COMPUTED_VALUE"""),"")</f>
        <v/>
      </c>
      <c r="D21" s="49" t="str">
        <f ca="1">IFERROR(__xludf.DUMMYFUNCTION("""COMPUTED_VALUE"""),"")</f>
        <v/>
      </c>
      <c r="E21" s="49" t="str">
        <f ca="1">IFERROR(__xludf.DUMMYFUNCTION("""COMPUTED_VALUE"""),"No")</f>
        <v>No</v>
      </c>
      <c r="F21" s="49" t="str">
        <f ca="1">IFERROR(__xludf.DUMMYFUNCTION("""COMPUTED_VALUE"""),"NA")</f>
        <v>NA</v>
      </c>
      <c r="G21" t="str">
        <f ca="1">IFERROR(__xludf.DUMMYFUNCTION("""COMPUTED_VALUE"""),"")</f>
        <v/>
      </c>
      <c r="H21" t="str">
        <f ca="1">IFERROR(__xludf.DUMMYFUNCTION("""COMPUTED_VALUE"""),"Ekaterini Iordanou")</f>
        <v>Ekaterini Iordanou</v>
      </c>
      <c r="I21" t="str">
        <f ca="1">IFERROR(__xludf.DUMMYFUNCTION("""COMPUTED_VALUE"""),"iordanoue@childrensdayton.org")</f>
        <v>iordanoue@childrensdayton.org</v>
      </c>
      <c r="J21" s="49" t="str">
        <f ca="1">IFERROR(__xludf.DUMMYFUNCTION("""COMPUTED_VALUE"""),"Comprehensive")</f>
        <v>Comprehensive</v>
      </c>
      <c r="K21" t="str">
        <f ca="1">IFERROR(__xludf.DUMMYFUNCTION("""COMPUTED_VALUE"""),"")</f>
        <v/>
      </c>
    </row>
    <row r="22" spans="1:11" ht="13">
      <c r="A22" t="str">
        <f ca="1">IFERROR(__xludf.DUMMYFUNCTION("""COMPUTED_VALUE"""),"Unassigned")</f>
        <v>Unassigned</v>
      </c>
      <c r="B22" t="str">
        <f ca="1">IFERROR(__xludf.DUMMYFUNCTION("""COMPUTED_VALUE"""),"")</f>
        <v/>
      </c>
      <c r="C22" t="str">
        <f ca="1">IFERROR(__xludf.DUMMYFUNCTION("""COMPUTED_VALUE"""),"")</f>
        <v/>
      </c>
      <c r="D22" s="49" t="str">
        <f ca="1">IFERROR(__xludf.DUMMYFUNCTION("""COMPUTED_VALUE"""),"")</f>
        <v/>
      </c>
      <c r="E22" s="49" t="str">
        <f ca="1">IFERROR(__xludf.DUMMYFUNCTION("""COMPUTED_VALUE"""),"No")</f>
        <v>No</v>
      </c>
      <c r="F22" s="49" t="str">
        <f ca="1">IFERROR(__xludf.DUMMYFUNCTION("""COMPUTED_VALUE"""),"NA")</f>
        <v>NA</v>
      </c>
      <c r="G22" t="str">
        <f ca="1">IFERROR(__xludf.DUMMYFUNCTION("""COMPUTED_VALUE"""),"")</f>
        <v/>
      </c>
      <c r="H22" t="str">
        <f ca="1">IFERROR(__xludf.DUMMYFUNCTION("""COMPUTED_VALUE"""),"Benjamin Clyde")</f>
        <v>Benjamin Clyde</v>
      </c>
      <c r="I22" t="str">
        <f ca="1">IFERROR(__xludf.DUMMYFUNCTION("""COMPUTED_VALUE"""),"benjamin.clyde@aruplab.com")</f>
        <v>benjamin.clyde@aruplab.com</v>
      </c>
      <c r="J22" s="49" t="str">
        <f ca="1">IFERROR(__xludf.DUMMYFUNCTION("""COMPUTED_VALUE"""),"Comprehensive")</f>
        <v>Comprehensive</v>
      </c>
      <c r="K22" t="str">
        <f ca="1">IFERROR(__xludf.DUMMYFUNCTION("""COMPUTED_VALUE"""),"Hereditary Cancer Dosage Sensitivity Subgroup")</f>
        <v>Hereditary Cancer Dosage Sensitivity Subgroup</v>
      </c>
    </row>
    <row r="23" spans="1:11" ht="13">
      <c r="A23" t="str">
        <f ca="1">IFERROR(__xludf.DUMMYFUNCTION("""COMPUTED_VALUE"""),"Unassigned")</f>
        <v>Unassigned</v>
      </c>
      <c r="B23" t="str">
        <f ca="1">IFERROR(__xludf.DUMMYFUNCTION("""COMPUTED_VALUE"""),"")</f>
        <v/>
      </c>
      <c r="C23" t="str">
        <f ca="1">IFERROR(__xludf.DUMMYFUNCTION("""COMPUTED_VALUE"""),"")</f>
        <v/>
      </c>
      <c r="D23" s="49" t="str">
        <f ca="1">IFERROR(__xludf.DUMMYFUNCTION("""COMPUTED_VALUE"""),"")</f>
        <v/>
      </c>
      <c r="E23" s="49" t="str">
        <f ca="1">IFERROR(__xludf.DUMMYFUNCTION("""COMPUTED_VALUE"""),"No")</f>
        <v>No</v>
      </c>
      <c r="F23" s="49" t="str">
        <f ca="1">IFERROR(__xludf.DUMMYFUNCTION("""COMPUTED_VALUE"""),"NA")</f>
        <v>NA</v>
      </c>
      <c r="G23" t="str">
        <f ca="1">IFERROR(__xludf.DUMMYFUNCTION("""COMPUTED_VALUE"""),"")</f>
        <v/>
      </c>
      <c r="H23" t="str">
        <f ca="1">IFERROR(__xludf.DUMMYFUNCTION("""COMPUTED_VALUE"""),"Jaime Nagy")</f>
        <v>Jaime Nagy</v>
      </c>
      <c r="I23" t="str">
        <f ca="1">IFERROR(__xludf.DUMMYFUNCTION("""COMPUTED_VALUE"""),"jaime-nagy@uiowa.edu")</f>
        <v>jaime-nagy@uiowa.edu</v>
      </c>
      <c r="J23" s="49" t="str">
        <f ca="1">IFERROR(__xludf.DUMMYFUNCTION("""COMPUTED_VALUE"""),"Comprehensive")</f>
        <v>Comprehensive</v>
      </c>
      <c r="K23" t="str">
        <f ca="1">IFERROR(__xludf.DUMMYFUNCTION("""COMPUTED_VALUE"""),"Dosage Sensitivity working group")</f>
        <v>Dosage Sensitivity working group</v>
      </c>
    </row>
    <row r="24" spans="1:11" ht="13">
      <c r="D24" s="49"/>
      <c r="E24" s="49"/>
      <c r="F24" s="49"/>
      <c r="J24" s="49"/>
    </row>
    <row r="25" spans="1:11" ht="13">
      <c r="D25" s="49"/>
      <c r="E25" s="49"/>
      <c r="F25" s="49"/>
      <c r="J25" s="49"/>
    </row>
    <row r="26" spans="1:11" ht="13">
      <c r="D26" s="49"/>
      <c r="E26" s="49"/>
      <c r="F26" s="49"/>
      <c r="J26" s="49"/>
    </row>
    <row r="27" spans="1:11" ht="13">
      <c r="D27" s="49"/>
      <c r="E27" s="49"/>
      <c r="F27" s="49"/>
      <c r="J27" s="49"/>
    </row>
    <row r="28" spans="1:11" ht="13">
      <c r="D28" s="49"/>
      <c r="E28" s="49"/>
      <c r="F28" s="49"/>
      <c r="J28" s="49"/>
    </row>
    <row r="29" spans="1:11" ht="13">
      <c r="D29" s="49"/>
      <c r="E29" s="49"/>
      <c r="F29" s="49"/>
      <c r="J29" s="49"/>
    </row>
    <row r="30" spans="1:11" ht="13">
      <c r="D30" s="49"/>
      <c r="E30" s="49"/>
      <c r="F30" s="49"/>
      <c r="J30" s="49"/>
    </row>
    <row r="31" spans="1:11" ht="13">
      <c r="D31" s="49"/>
      <c r="E31" s="49"/>
      <c r="F31" s="49"/>
      <c r="J31" s="49"/>
    </row>
    <row r="32" spans="1:11" ht="13">
      <c r="D32" s="49"/>
      <c r="E32" s="49"/>
      <c r="F32" s="49"/>
      <c r="J32" s="49"/>
    </row>
    <row r="33" spans="4:10" ht="13">
      <c r="D33" s="49"/>
      <c r="E33" s="49"/>
      <c r="F33" s="49"/>
      <c r="J33" s="49"/>
    </row>
    <row r="34" spans="4:10" ht="13">
      <c r="D34" s="49"/>
      <c r="E34" s="49"/>
      <c r="F34" s="49"/>
      <c r="J34" s="49"/>
    </row>
    <row r="35" spans="4:10" ht="13">
      <c r="D35" s="49"/>
      <c r="E35" s="49"/>
      <c r="F35" s="49"/>
      <c r="J35" s="49"/>
    </row>
    <row r="36" spans="4:10" ht="13">
      <c r="D36" s="49"/>
      <c r="E36" s="49"/>
      <c r="F36" s="49"/>
      <c r="J36" s="49"/>
    </row>
    <row r="37" spans="4:10" ht="13">
      <c r="D37" s="49"/>
      <c r="E37" s="49"/>
      <c r="F37" s="49"/>
      <c r="J37" s="49"/>
    </row>
    <row r="38" spans="4:10" ht="13">
      <c r="D38" s="49"/>
      <c r="E38" s="49"/>
      <c r="F38" s="49"/>
      <c r="J38" s="49"/>
    </row>
    <row r="39" spans="4:10" ht="13">
      <c r="D39" s="49"/>
      <c r="E39" s="49"/>
      <c r="F39" s="49"/>
      <c r="J39" s="49"/>
    </row>
    <row r="40" spans="4:10" ht="13">
      <c r="D40" s="49"/>
      <c r="E40" s="49"/>
      <c r="F40" s="49"/>
      <c r="J40" s="49"/>
    </row>
    <row r="41" spans="4:10" ht="13">
      <c r="D41" s="49"/>
      <c r="E41" s="49"/>
      <c r="F41" s="49"/>
      <c r="J41" s="49"/>
    </row>
    <row r="42" spans="4:10" ht="13">
      <c r="D42" s="49"/>
      <c r="E42" s="49"/>
      <c r="F42" s="49"/>
      <c r="J42" s="49"/>
    </row>
    <row r="43" spans="4:10" ht="13">
      <c r="D43" s="49"/>
      <c r="E43" s="49"/>
      <c r="F43" s="49"/>
      <c r="J43" s="49"/>
    </row>
    <row r="44" spans="4:10" ht="13">
      <c r="D44" s="49"/>
      <c r="E44" s="49"/>
      <c r="F44" s="49"/>
      <c r="J44" s="49"/>
    </row>
    <row r="45" spans="4:10" ht="13">
      <c r="D45" s="49"/>
      <c r="E45" s="49"/>
      <c r="F45" s="49"/>
      <c r="J45" s="49"/>
    </row>
    <row r="46" spans="4:10" ht="13">
      <c r="D46" s="49"/>
      <c r="E46" s="49"/>
      <c r="F46" s="49"/>
      <c r="J46" s="49"/>
    </row>
    <row r="47" spans="4:10" ht="13">
      <c r="D47" s="49"/>
      <c r="E47" s="49"/>
      <c r="F47" s="49"/>
      <c r="J47" s="49"/>
    </row>
    <row r="48" spans="4:10" ht="13">
      <c r="D48" s="49"/>
      <c r="E48" s="49"/>
      <c r="F48" s="49"/>
      <c r="J48" s="49"/>
    </row>
    <row r="49" spans="4:10" ht="13">
      <c r="D49" s="49"/>
      <c r="E49" s="49"/>
      <c r="F49" s="49"/>
      <c r="J49" s="49"/>
    </row>
    <row r="50" spans="4:10" ht="13">
      <c r="D50" s="49"/>
      <c r="E50" s="49"/>
      <c r="F50" s="49"/>
      <c r="J50" s="49"/>
    </row>
    <row r="51" spans="4:10" ht="13">
      <c r="D51" s="49"/>
      <c r="E51" s="49"/>
      <c r="F51" s="49"/>
      <c r="J51" s="49"/>
    </row>
    <row r="52" spans="4:10" ht="13">
      <c r="D52" s="49"/>
      <c r="E52" s="49"/>
      <c r="F52" s="49"/>
      <c r="J52" s="49"/>
    </row>
    <row r="53" spans="4:10" ht="13">
      <c r="D53" s="49"/>
      <c r="E53" s="49"/>
      <c r="F53" s="49"/>
      <c r="J53" s="49"/>
    </row>
    <row r="54" spans="4:10" ht="13">
      <c r="D54" s="49"/>
      <c r="E54" s="49"/>
      <c r="F54" s="49"/>
      <c r="J54" s="49"/>
    </row>
    <row r="55" spans="4:10" ht="13">
      <c r="D55" s="49"/>
      <c r="E55" s="49"/>
      <c r="F55" s="49"/>
      <c r="J55" s="49"/>
    </row>
    <row r="56" spans="4:10" ht="13">
      <c r="D56" s="49"/>
      <c r="E56" s="49"/>
      <c r="F56" s="49"/>
      <c r="J56" s="49"/>
    </row>
    <row r="57" spans="4:10" ht="13">
      <c r="D57" s="49"/>
      <c r="E57" s="49"/>
      <c r="F57" s="49"/>
      <c r="J57" s="49"/>
    </row>
    <row r="58" spans="4:10" ht="13">
      <c r="D58" s="49"/>
      <c r="E58" s="49"/>
      <c r="F58" s="49"/>
      <c r="J58" s="49"/>
    </row>
    <row r="59" spans="4:10" ht="13">
      <c r="D59" s="49"/>
      <c r="E59" s="49"/>
      <c r="F59" s="49"/>
      <c r="J59" s="49"/>
    </row>
    <row r="60" spans="4:10" ht="13">
      <c r="D60" s="49"/>
      <c r="E60" s="49"/>
      <c r="F60" s="49"/>
      <c r="J60" s="49"/>
    </row>
    <row r="61" spans="4:10" ht="13">
      <c r="D61" s="49"/>
      <c r="E61" s="49"/>
      <c r="F61" s="49"/>
      <c r="J61" s="49"/>
    </row>
    <row r="62" spans="4:10" ht="13">
      <c r="D62" s="49"/>
      <c r="E62" s="49"/>
      <c r="F62" s="49"/>
      <c r="J62" s="49"/>
    </row>
    <row r="63" spans="4:10" ht="13">
      <c r="D63" s="49"/>
      <c r="E63" s="49"/>
      <c r="F63" s="49"/>
      <c r="J63" s="49"/>
    </row>
    <row r="64" spans="4:10" ht="13">
      <c r="D64" s="49"/>
      <c r="E64" s="49"/>
      <c r="F64" s="49"/>
      <c r="J64" s="49"/>
    </row>
    <row r="65" spans="4:10" ht="13">
      <c r="D65" s="49"/>
      <c r="E65" s="49"/>
      <c r="F65" s="49"/>
      <c r="J65" s="49"/>
    </row>
    <row r="66" spans="4:10" ht="13">
      <c r="D66" s="49"/>
      <c r="E66" s="49"/>
      <c r="F66" s="49"/>
      <c r="J66" s="49"/>
    </row>
    <row r="67" spans="4:10" ht="13">
      <c r="D67" s="49"/>
      <c r="E67" s="49"/>
      <c r="F67" s="49"/>
      <c r="J67" s="49"/>
    </row>
    <row r="68" spans="4:10" ht="13">
      <c r="D68" s="49"/>
      <c r="E68" s="49"/>
      <c r="F68" s="49"/>
      <c r="J68" s="49"/>
    </row>
    <row r="69" spans="4:10" ht="13">
      <c r="D69" s="49"/>
      <c r="E69" s="49"/>
      <c r="F69" s="49"/>
      <c r="J69" s="49"/>
    </row>
    <row r="70" spans="4:10" ht="13">
      <c r="D70" s="49"/>
      <c r="E70" s="49"/>
      <c r="F70" s="49"/>
      <c r="J70" s="49"/>
    </row>
    <row r="71" spans="4:10" ht="13">
      <c r="D71" s="49"/>
      <c r="E71" s="49"/>
      <c r="F71" s="49"/>
      <c r="J71" s="49"/>
    </row>
    <row r="72" spans="4:10" ht="13">
      <c r="D72" s="49"/>
      <c r="E72" s="49"/>
      <c r="F72" s="49"/>
      <c r="J72" s="49"/>
    </row>
    <row r="73" spans="4:10" ht="13">
      <c r="D73" s="49"/>
      <c r="E73" s="49"/>
      <c r="F73" s="49"/>
      <c r="J73" s="49"/>
    </row>
    <row r="74" spans="4:10" ht="13">
      <c r="D74" s="49"/>
      <c r="E74" s="49"/>
      <c r="F74" s="49"/>
      <c r="J74" s="49"/>
    </row>
    <row r="75" spans="4:10" ht="13">
      <c r="D75" s="49"/>
      <c r="E75" s="49"/>
      <c r="F75" s="49"/>
      <c r="J75" s="49"/>
    </row>
    <row r="76" spans="4:10" ht="13">
      <c r="D76" s="49"/>
      <c r="E76" s="49"/>
      <c r="F76" s="49"/>
      <c r="J76" s="49"/>
    </row>
    <row r="77" spans="4:10" ht="13">
      <c r="D77" s="49"/>
      <c r="E77" s="49"/>
      <c r="F77" s="49"/>
      <c r="J77" s="49"/>
    </row>
    <row r="78" spans="4:10" ht="13">
      <c r="D78" s="49"/>
      <c r="E78" s="49"/>
      <c r="F78" s="49"/>
      <c r="J78" s="49"/>
    </row>
    <row r="79" spans="4:10" ht="13">
      <c r="D79" s="49"/>
      <c r="E79" s="49"/>
      <c r="F79" s="49"/>
      <c r="J79" s="49"/>
    </row>
    <row r="80" spans="4:10" ht="13">
      <c r="D80" s="49"/>
      <c r="E80" s="49"/>
      <c r="F80" s="49"/>
      <c r="J80" s="49"/>
    </row>
    <row r="81" spans="4:10" ht="13">
      <c r="D81" s="49"/>
      <c r="E81" s="49"/>
      <c r="F81" s="49"/>
      <c r="J81" s="49"/>
    </row>
    <row r="82" spans="4:10" ht="13">
      <c r="D82" s="49"/>
      <c r="E82" s="49"/>
      <c r="F82" s="49"/>
      <c r="J82" s="49"/>
    </row>
    <row r="83" spans="4:10" ht="13">
      <c r="D83" s="49"/>
      <c r="E83" s="49"/>
      <c r="F83" s="49"/>
      <c r="J83" s="49"/>
    </row>
    <row r="84" spans="4:10" ht="13">
      <c r="D84" s="49"/>
      <c r="E84" s="49"/>
      <c r="F84" s="49"/>
      <c r="J84" s="49"/>
    </row>
    <row r="85" spans="4:10" ht="13">
      <c r="D85" s="49"/>
      <c r="E85" s="49"/>
      <c r="F85" s="49"/>
      <c r="J85" s="49"/>
    </row>
    <row r="86" spans="4:10" ht="13">
      <c r="D86" s="49"/>
      <c r="E86" s="49"/>
      <c r="F86" s="49"/>
      <c r="J86" s="49"/>
    </row>
    <row r="87" spans="4:10" ht="13">
      <c r="D87" s="49"/>
      <c r="E87" s="49"/>
      <c r="F87" s="49"/>
      <c r="J87" s="49"/>
    </row>
    <row r="88" spans="4:10" ht="13">
      <c r="D88" s="49"/>
      <c r="E88" s="49"/>
      <c r="F88" s="49"/>
      <c r="J88" s="49"/>
    </row>
    <row r="89" spans="4:10" ht="13">
      <c r="D89" s="49"/>
      <c r="E89" s="49"/>
      <c r="F89" s="49"/>
      <c r="J89" s="49"/>
    </row>
    <row r="90" spans="4:10" ht="13">
      <c r="D90" s="49"/>
      <c r="E90" s="49"/>
      <c r="F90" s="49"/>
      <c r="J90" s="49"/>
    </row>
    <row r="91" spans="4:10" ht="13">
      <c r="D91" s="49"/>
      <c r="E91" s="49"/>
      <c r="F91" s="49"/>
      <c r="J91" s="49"/>
    </row>
    <row r="92" spans="4:10" ht="13">
      <c r="D92" s="49"/>
      <c r="E92" s="49"/>
      <c r="F92" s="49"/>
      <c r="J92" s="49"/>
    </row>
    <row r="93" spans="4:10" ht="13">
      <c r="D93" s="49"/>
      <c r="E93" s="49"/>
      <c r="F93" s="49"/>
      <c r="J93" s="49"/>
    </row>
    <row r="94" spans="4:10" ht="13">
      <c r="D94" s="49"/>
      <c r="E94" s="49"/>
      <c r="F94" s="49"/>
      <c r="J94" s="49"/>
    </row>
    <row r="95" spans="4:10" ht="13">
      <c r="D95" s="49"/>
      <c r="E95" s="49"/>
      <c r="F95" s="49"/>
      <c r="J95" s="49"/>
    </row>
    <row r="96" spans="4:10" ht="13">
      <c r="D96" s="49"/>
      <c r="E96" s="49"/>
      <c r="F96" s="49"/>
      <c r="J96" s="49"/>
    </row>
    <row r="97" spans="4:10" ht="13">
      <c r="D97" s="49"/>
      <c r="E97" s="49"/>
      <c r="F97" s="49"/>
      <c r="J97" s="49"/>
    </row>
    <row r="98" spans="4:10" ht="13">
      <c r="D98" s="49"/>
      <c r="E98" s="49"/>
      <c r="F98" s="49"/>
      <c r="J98" s="49"/>
    </row>
    <row r="99" spans="4:10" ht="13">
      <c r="D99" s="49"/>
      <c r="E99" s="49"/>
      <c r="F99" s="49"/>
      <c r="J99" s="49"/>
    </row>
    <row r="100" spans="4:10" ht="13">
      <c r="D100" s="49"/>
      <c r="E100" s="49"/>
      <c r="F100" s="49"/>
      <c r="J100" s="49"/>
    </row>
    <row r="101" spans="4:10" ht="13">
      <c r="D101" s="49"/>
      <c r="E101" s="49"/>
      <c r="F101" s="49"/>
      <c r="J101" s="49"/>
    </row>
    <row r="102" spans="4:10" ht="13">
      <c r="D102" s="49"/>
      <c r="E102" s="49"/>
      <c r="F102" s="49"/>
      <c r="J102" s="49"/>
    </row>
    <row r="103" spans="4:10" ht="13">
      <c r="D103" s="49"/>
      <c r="E103" s="49"/>
      <c r="F103" s="49"/>
      <c r="J103" s="49"/>
    </row>
    <row r="104" spans="4:10" ht="13">
      <c r="D104" s="49"/>
      <c r="E104" s="49"/>
      <c r="F104" s="49"/>
      <c r="J104" s="49"/>
    </row>
    <row r="105" spans="4:10" ht="13">
      <c r="D105" s="49"/>
      <c r="E105" s="49"/>
      <c r="F105" s="49"/>
      <c r="J105" s="49"/>
    </row>
    <row r="106" spans="4:10" ht="13">
      <c r="D106" s="49"/>
      <c r="E106" s="49"/>
      <c r="F106" s="49"/>
      <c r="J106" s="49"/>
    </row>
    <row r="107" spans="4:10" ht="13">
      <c r="D107" s="49"/>
      <c r="E107" s="49"/>
      <c r="F107" s="49"/>
      <c r="J107" s="49"/>
    </row>
    <row r="108" spans="4:10" ht="13">
      <c r="D108" s="49"/>
      <c r="E108" s="49"/>
      <c r="F108" s="49"/>
      <c r="J108" s="49"/>
    </row>
    <row r="109" spans="4:10" ht="13">
      <c r="D109" s="49"/>
      <c r="E109" s="49"/>
      <c r="F109" s="49"/>
      <c r="J109" s="49"/>
    </row>
    <row r="110" spans="4:10" ht="13">
      <c r="D110" s="49"/>
      <c r="E110" s="49"/>
      <c r="F110" s="49"/>
      <c r="J110" s="49"/>
    </row>
    <row r="111" spans="4:10" ht="13">
      <c r="D111" s="49"/>
      <c r="E111" s="49"/>
      <c r="F111" s="49"/>
      <c r="J111" s="49"/>
    </row>
    <row r="112" spans="4:10" ht="13">
      <c r="D112" s="49"/>
      <c r="E112" s="49"/>
      <c r="F112" s="49"/>
      <c r="J112" s="49"/>
    </row>
    <row r="113" spans="4:10" ht="13">
      <c r="D113" s="49"/>
      <c r="E113" s="49"/>
      <c r="F113" s="49"/>
      <c r="J113" s="49"/>
    </row>
    <row r="114" spans="4:10" ht="13">
      <c r="D114" s="49"/>
      <c r="E114" s="49"/>
      <c r="F114" s="49"/>
      <c r="J114" s="49"/>
    </row>
    <row r="115" spans="4:10" ht="13">
      <c r="D115" s="49"/>
      <c r="E115" s="49"/>
      <c r="F115" s="49"/>
      <c r="J115" s="49"/>
    </row>
    <row r="116" spans="4:10" ht="13">
      <c r="D116" s="49"/>
      <c r="E116" s="49"/>
      <c r="F116" s="49"/>
      <c r="J116" s="49"/>
    </row>
    <row r="117" spans="4:10" ht="13">
      <c r="D117" s="49"/>
      <c r="E117" s="49"/>
      <c r="F117" s="49"/>
      <c r="J117" s="49"/>
    </row>
    <row r="118" spans="4:10" ht="13">
      <c r="D118" s="49"/>
      <c r="E118" s="49"/>
      <c r="F118" s="49"/>
      <c r="J118" s="49"/>
    </row>
    <row r="119" spans="4:10" ht="13">
      <c r="D119" s="49"/>
      <c r="E119" s="49"/>
      <c r="F119" s="49"/>
      <c r="J119" s="49"/>
    </row>
    <row r="120" spans="4:10" ht="13">
      <c r="D120" s="49"/>
      <c r="E120" s="49"/>
      <c r="F120" s="49"/>
      <c r="J120" s="49"/>
    </row>
    <row r="121" spans="4:10" ht="13">
      <c r="D121" s="49"/>
      <c r="E121" s="49"/>
      <c r="F121" s="49"/>
      <c r="J121" s="49"/>
    </row>
    <row r="122" spans="4:10" ht="13">
      <c r="D122" s="49"/>
      <c r="E122" s="49"/>
      <c r="F122" s="49"/>
      <c r="J122" s="49"/>
    </row>
    <row r="123" spans="4:10" ht="13">
      <c r="D123" s="49"/>
      <c r="E123" s="49"/>
      <c r="F123" s="49"/>
      <c r="J123" s="49"/>
    </row>
    <row r="124" spans="4:10" ht="13">
      <c r="D124" s="49"/>
      <c r="E124" s="49"/>
      <c r="F124" s="49"/>
      <c r="J124" s="49"/>
    </row>
    <row r="125" spans="4:10" ht="13">
      <c r="D125" s="49"/>
      <c r="E125" s="49"/>
      <c r="F125" s="49"/>
      <c r="J125" s="49"/>
    </row>
    <row r="126" spans="4:10" ht="13">
      <c r="D126" s="49"/>
      <c r="E126" s="49"/>
      <c r="F126" s="49"/>
      <c r="J126" s="49"/>
    </row>
    <row r="127" spans="4:10" ht="13">
      <c r="D127" s="49"/>
      <c r="E127" s="49"/>
      <c r="F127" s="49"/>
      <c r="J127" s="49"/>
    </row>
    <row r="128" spans="4:10" ht="13">
      <c r="D128" s="49"/>
      <c r="E128" s="49"/>
      <c r="F128" s="49"/>
      <c r="J128" s="49"/>
    </row>
    <row r="129" spans="4:10" ht="13">
      <c r="D129" s="49"/>
      <c r="E129" s="49"/>
      <c r="F129" s="49"/>
      <c r="J129" s="49"/>
    </row>
    <row r="130" spans="4:10" ht="13">
      <c r="D130" s="49"/>
      <c r="E130" s="49"/>
      <c r="F130" s="49"/>
      <c r="J130" s="49"/>
    </row>
    <row r="131" spans="4:10" ht="13">
      <c r="D131" s="49"/>
      <c r="E131" s="49"/>
      <c r="F131" s="49"/>
      <c r="J131" s="49"/>
    </row>
    <row r="132" spans="4:10" ht="13">
      <c r="D132" s="49"/>
      <c r="E132" s="49"/>
      <c r="F132" s="49"/>
      <c r="J132" s="49"/>
    </row>
    <row r="133" spans="4:10" ht="13">
      <c r="D133" s="49"/>
      <c r="E133" s="49"/>
      <c r="F133" s="49"/>
      <c r="J133" s="49"/>
    </row>
    <row r="134" spans="4:10" ht="13">
      <c r="D134" s="49"/>
      <c r="E134" s="49"/>
      <c r="F134" s="49"/>
      <c r="J134" s="49"/>
    </row>
    <row r="135" spans="4:10" ht="13">
      <c r="D135" s="49"/>
      <c r="E135" s="49"/>
      <c r="F135" s="49"/>
      <c r="J135" s="49"/>
    </row>
    <row r="136" spans="4:10" ht="13">
      <c r="D136" s="49"/>
      <c r="E136" s="49"/>
      <c r="F136" s="49"/>
      <c r="J136" s="49"/>
    </row>
    <row r="137" spans="4:10" ht="13">
      <c r="D137" s="49"/>
      <c r="E137" s="49"/>
      <c r="F137" s="49"/>
      <c r="J137" s="49"/>
    </row>
    <row r="138" spans="4:10" ht="13">
      <c r="D138" s="49"/>
      <c r="E138" s="49"/>
      <c r="F138" s="49"/>
      <c r="J138" s="49"/>
    </row>
    <row r="139" spans="4:10" ht="13">
      <c r="D139" s="49"/>
      <c r="E139" s="49"/>
      <c r="F139" s="49"/>
      <c r="J139" s="49"/>
    </row>
    <row r="140" spans="4:10" ht="13">
      <c r="D140" s="49"/>
      <c r="E140" s="49"/>
      <c r="F140" s="49"/>
      <c r="J140" s="49"/>
    </row>
    <row r="141" spans="4:10" ht="13">
      <c r="D141" s="49"/>
      <c r="E141" s="49"/>
      <c r="F141" s="49"/>
      <c r="J141" s="49"/>
    </row>
    <row r="142" spans="4:10" ht="13">
      <c r="D142" s="49"/>
      <c r="E142" s="49"/>
      <c r="F142" s="49"/>
      <c r="J142" s="49"/>
    </row>
    <row r="143" spans="4:10" ht="13">
      <c r="D143" s="49"/>
      <c r="E143" s="49"/>
      <c r="F143" s="49"/>
      <c r="J143" s="49"/>
    </row>
    <row r="144" spans="4:10" ht="13">
      <c r="D144" s="49"/>
      <c r="E144" s="49"/>
      <c r="F144" s="49"/>
      <c r="J144" s="49"/>
    </row>
    <row r="145" spans="4:10" ht="13">
      <c r="D145" s="49"/>
      <c r="E145" s="49"/>
      <c r="F145" s="49"/>
      <c r="J145" s="49"/>
    </row>
    <row r="146" spans="4:10" ht="13">
      <c r="D146" s="49"/>
      <c r="E146" s="49"/>
      <c r="F146" s="49"/>
      <c r="J146" s="49"/>
    </row>
    <row r="147" spans="4:10" ht="13">
      <c r="D147" s="49"/>
      <c r="E147" s="49"/>
      <c r="F147" s="49"/>
      <c r="J147" s="49"/>
    </row>
    <row r="148" spans="4:10" ht="13">
      <c r="D148" s="49"/>
      <c r="E148" s="49"/>
      <c r="F148" s="49"/>
      <c r="J148" s="49"/>
    </row>
    <row r="149" spans="4:10" ht="13">
      <c r="D149" s="49"/>
      <c r="E149" s="49"/>
      <c r="F149" s="49"/>
      <c r="J149" s="49"/>
    </row>
    <row r="150" spans="4:10" ht="13">
      <c r="D150" s="49"/>
      <c r="E150" s="49"/>
      <c r="F150" s="49"/>
      <c r="J150" s="49"/>
    </row>
    <row r="151" spans="4:10" ht="13">
      <c r="D151" s="49"/>
      <c r="E151" s="49"/>
      <c r="F151" s="49"/>
      <c r="J151" s="49"/>
    </row>
    <row r="152" spans="4:10" ht="13">
      <c r="D152" s="49"/>
      <c r="E152" s="49"/>
      <c r="F152" s="49"/>
      <c r="J152" s="49"/>
    </row>
    <row r="153" spans="4:10" ht="13">
      <c r="D153" s="49"/>
      <c r="E153" s="49"/>
      <c r="F153" s="49"/>
      <c r="J153" s="49"/>
    </row>
    <row r="154" spans="4:10" ht="13">
      <c r="D154" s="49"/>
      <c r="E154" s="49"/>
      <c r="F154" s="49"/>
      <c r="J154" s="49"/>
    </row>
    <row r="155" spans="4:10" ht="13">
      <c r="D155" s="49"/>
      <c r="E155" s="49"/>
      <c r="F155" s="49"/>
      <c r="J155" s="49"/>
    </row>
    <row r="156" spans="4:10" ht="13">
      <c r="D156" s="49"/>
      <c r="E156" s="49"/>
      <c r="F156" s="49"/>
      <c r="J156" s="49"/>
    </row>
    <row r="157" spans="4:10" ht="13">
      <c r="D157" s="49"/>
      <c r="E157" s="49"/>
      <c r="F157" s="49"/>
      <c r="J157" s="49"/>
    </row>
    <row r="158" spans="4:10" ht="13">
      <c r="D158" s="49"/>
      <c r="E158" s="49"/>
      <c r="F158" s="49"/>
      <c r="J158" s="49"/>
    </row>
    <row r="159" spans="4:10" ht="13">
      <c r="D159" s="49"/>
      <c r="E159" s="49"/>
      <c r="F159" s="49"/>
      <c r="J159" s="49"/>
    </row>
    <row r="160" spans="4:10" ht="13">
      <c r="D160" s="49"/>
      <c r="E160" s="49"/>
      <c r="F160" s="49"/>
      <c r="J160" s="49"/>
    </row>
    <row r="161" spans="4:10" ht="13">
      <c r="D161" s="49"/>
      <c r="E161" s="49"/>
      <c r="F161" s="49"/>
      <c r="J161" s="49"/>
    </row>
    <row r="162" spans="4:10" ht="13">
      <c r="D162" s="49"/>
      <c r="E162" s="49"/>
      <c r="F162" s="49"/>
      <c r="J162" s="49"/>
    </row>
    <row r="163" spans="4:10" ht="13">
      <c r="D163" s="49"/>
      <c r="E163" s="49"/>
      <c r="F163" s="49"/>
      <c r="J163" s="49"/>
    </row>
    <row r="164" spans="4:10" ht="13">
      <c r="D164" s="49"/>
      <c r="E164" s="49"/>
      <c r="F164" s="49"/>
      <c r="J164" s="49"/>
    </row>
    <row r="165" spans="4:10" ht="13">
      <c r="D165" s="49"/>
      <c r="E165" s="49"/>
      <c r="F165" s="49"/>
      <c r="J165" s="49"/>
    </row>
    <row r="166" spans="4:10" ht="13">
      <c r="D166" s="49"/>
      <c r="E166" s="49"/>
      <c r="F166" s="49"/>
      <c r="J166" s="49"/>
    </row>
    <row r="167" spans="4:10" ht="13">
      <c r="D167" s="49"/>
      <c r="E167" s="49"/>
      <c r="F167" s="49"/>
      <c r="J167" s="49"/>
    </row>
    <row r="168" spans="4:10" ht="13">
      <c r="D168" s="49"/>
      <c r="E168" s="49"/>
      <c r="F168" s="49"/>
      <c r="J168" s="49"/>
    </row>
    <row r="169" spans="4:10" ht="13">
      <c r="D169" s="49"/>
      <c r="E169" s="49"/>
      <c r="F169" s="49"/>
      <c r="J169" s="49"/>
    </row>
    <row r="170" spans="4:10" ht="13">
      <c r="D170" s="49"/>
      <c r="E170" s="49"/>
      <c r="F170" s="49"/>
      <c r="J170" s="49"/>
    </row>
    <row r="171" spans="4:10" ht="13">
      <c r="D171" s="49"/>
      <c r="E171" s="49"/>
      <c r="F171" s="49"/>
      <c r="J171" s="49"/>
    </row>
    <row r="172" spans="4:10" ht="13">
      <c r="D172" s="49"/>
      <c r="E172" s="49"/>
      <c r="F172" s="49"/>
      <c r="J172" s="49"/>
    </row>
    <row r="173" spans="4:10" ht="13">
      <c r="D173" s="49"/>
      <c r="E173" s="49"/>
      <c r="F173" s="49"/>
      <c r="J173" s="49"/>
    </row>
    <row r="174" spans="4:10" ht="13">
      <c r="D174" s="49"/>
      <c r="E174" s="49"/>
      <c r="F174" s="49"/>
      <c r="J174" s="49"/>
    </row>
    <row r="175" spans="4:10" ht="13">
      <c r="D175" s="49"/>
      <c r="E175" s="49"/>
      <c r="F175" s="49"/>
      <c r="J175" s="49"/>
    </row>
    <row r="176" spans="4:10" ht="13">
      <c r="D176" s="49"/>
      <c r="E176" s="49"/>
      <c r="F176" s="49"/>
      <c r="J176" s="49"/>
    </row>
    <row r="177" spans="4:10" ht="13">
      <c r="D177" s="49"/>
      <c r="E177" s="49"/>
      <c r="F177" s="49"/>
      <c r="J177" s="49"/>
    </row>
    <row r="178" spans="4:10" ht="13">
      <c r="D178" s="49"/>
      <c r="E178" s="49"/>
      <c r="F178" s="49"/>
      <c r="J178" s="49"/>
    </row>
    <row r="179" spans="4:10" ht="13">
      <c r="D179" s="49"/>
      <c r="E179" s="49"/>
      <c r="F179" s="49"/>
      <c r="J179" s="49"/>
    </row>
    <row r="180" spans="4:10" ht="13">
      <c r="D180" s="49"/>
      <c r="E180" s="49"/>
      <c r="F180" s="49"/>
      <c r="J180" s="49"/>
    </row>
    <row r="181" spans="4:10" ht="13">
      <c r="D181" s="49"/>
      <c r="E181" s="49"/>
      <c r="F181" s="49"/>
      <c r="J181" s="49"/>
    </row>
    <row r="182" spans="4:10" ht="13">
      <c r="D182" s="49"/>
      <c r="E182" s="49"/>
      <c r="F182" s="49"/>
      <c r="J182" s="49"/>
    </row>
    <row r="183" spans="4:10" ht="13">
      <c r="D183" s="49"/>
      <c r="E183" s="49"/>
      <c r="F183" s="49"/>
      <c r="J183" s="49"/>
    </row>
    <row r="184" spans="4:10" ht="13">
      <c r="D184" s="49"/>
      <c r="E184" s="49"/>
      <c r="F184" s="49"/>
      <c r="J184" s="49"/>
    </row>
    <row r="185" spans="4:10" ht="13">
      <c r="D185" s="49"/>
      <c r="E185" s="49"/>
      <c r="F185" s="49"/>
      <c r="J185" s="49"/>
    </row>
    <row r="186" spans="4:10" ht="13">
      <c r="D186" s="49"/>
      <c r="E186" s="49"/>
      <c r="F186" s="49"/>
      <c r="J186" s="49"/>
    </row>
    <row r="187" spans="4:10" ht="13">
      <c r="D187" s="49"/>
      <c r="E187" s="49"/>
      <c r="F187" s="49"/>
      <c r="J187" s="49"/>
    </row>
    <row r="188" spans="4:10" ht="13">
      <c r="D188" s="49"/>
      <c r="E188" s="49"/>
      <c r="F188" s="49"/>
      <c r="J188" s="49"/>
    </row>
    <row r="189" spans="4:10" ht="13">
      <c r="D189" s="49"/>
      <c r="E189" s="49"/>
      <c r="F189" s="49"/>
      <c r="J189" s="49"/>
    </row>
    <row r="190" spans="4:10" ht="13">
      <c r="D190" s="49"/>
      <c r="E190" s="49"/>
      <c r="F190" s="49"/>
      <c r="J190" s="49"/>
    </row>
    <row r="191" spans="4:10" ht="13">
      <c r="D191" s="49"/>
      <c r="E191" s="49"/>
      <c r="F191" s="49"/>
      <c r="J191" s="49"/>
    </row>
    <row r="192" spans="4:10" ht="13">
      <c r="D192" s="49"/>
      <c r="E192" s="49"/>
      <c r="F192" s="49"/>
      <c r="J192" s="49"/>
    </row>
    <row r="193" spans="4:10" ht="13">
      <c r="D193" s="49"/>
      <c r="E193" s="49"/>
      <c r="F193" s="49"/>
      <c r="J193" s="49"/>
    </row>
    <row r="194" spans="4:10" ht="13">
      <c r="D194" s="49"/>
      <c r="E194" s="49"/>
      <c r="F194" s="49"/>
      <c r="J194" s="49"/>
    </row>
    <row r="195" spans="4:10" ht="13">
      <c r="D195" s="49"/>
      <c r="E195" s="49"/>
      <c r="F195" s="49"/>
      <c r="J195" s="49"/>
    </row>
    <row r="196" spans="4:10" ht="13">
      <c r="D196" s="49"/>
      <c r="E196" s="49"/>
      <c r="F196" s="49"/>
      <c r="J196" s="49"/>
    </row>
    <row r="197" spans="4:10" ht="13">
      <c r="D197" s="49"/>
      <c r="E197" s="49"/>
      <c r="F197" s="49"/>
      <c r="J197" s="49"/>
    </row>
    <row r="198" spans="4:10" ht="13">
      <c r="D198" s="49"/>
      <c r="E198" s="49"/>
      <c r="F198" s="49"/>
      <c r="J198" s="49"/>
    </row>
    <row r="199" spans="4:10" ht="13">
      <c r="D199" s="49"/>
      <c r="E199" s="49"/>
      <c r="F199" s="49"/>
      <c r="J199" s="49"/>
    </row>
    <row r="200" spans="4:10" ht="13">
      <c r="D200" s="49"/>
      <c r="E200" s="49"/>
      <c r="F200" s="49"/>
      <c r="J200" s="49"/>
    </row>
    <row r="201" spans="4:10" ht="13">
      <c r="D201" s="49"/>
      <c r="E201" s="49"/>
      <c r="F201" s="49"/>
      <c r="J201" s="49"/>
    </row>
    <row r="202" spans="4:10" ht="13">
      <c r="D202" s="49"/>
      <c r="E202" s="49"/>
      <c r="F202" s="49"/>
      <c r="J202" s="49"/>
    </row>
    <row r="203" spans="4:10" ht="13">
      <c r="D203" s="49"/>
      <c r="E203" s="49"/>
      <c r="F203" s="49"/>
      <c r="J203" s="49"/>
    </row>
    <row r="204" spans="4:10" ht="13">
      <c r="D204" s="49"/>
      <c r="E204" s="49"/>
      <c r="F204" s="49"/>
      <c r="J204" s="49"/>
    </row>
    <row r="205" spans="4:10" ht="13">
      <c r="D205" s="49"/>
      <c r="E205" s="49"/>
      <c r="F205" s="49"/>
      <c r="J205" s="49"/>
    </row>
    <row r="206" spans="4:10" ht="13">
      <c r="D206" s="49"/>
      <c r="E206" s="49"/>
      <c r="F206" s="49"/>
      <c r="J206" s="49"/>
    </row>
    <row r="207" spans="4:10" ht="13">
      <c r="D207" s="49"/>
      <c r="E207" s="49"/>
      <c r="F207" s="49"/>
      <c r="J207" s="49"/>
    </row>
    <row r="208" spans="4:10" ht="13">
      <c r="D208" s="49"/>
      <c r="E208" s="49"/>
      <c r="F208" s="49"/>
      <c r="J208" s="49"/>
    </row>
    <row r="209" spans="4:10" ht="13">
      <c r="D209" s="49"/>
      <c r="E209" s="49"/>
      <c r="F209" s="49"/>
      <c r="J209" s="49"/>
    </row>
    <row r="210" spans="4:10" ht="13">
      <c r="D210" s="49"/>
      <c r="E210" s="49"/>
      <c r="F210" s="49"/>
      <c r="J210" s="49"/>
    </row>
    <row r="211" spans="4:10" ht="13">
      <c r="D211" s="49"/>
      <c r="E211" s="49"/>
      <c r="F211" s="49"/>
      <c r="J211" s="49"/>
    </row>
    <row r="212" spans="4:10" ht="13">
      <c r="D212" s="49"/>
      <c r="E212" s="49"/>
      <c r="F212" s="49"/>
      <c r="J212" s="49"/>
    </row>
    <row r="213" spans="4:10" ht="13">
      <c r="D213" s="49"/>
      <c r="E213" s="49"/>
      <c r="F213" s="49"/>
      <c r="J213" s="49"/>
    </row>
    <row r="214" spans="4:10" ht="13">
      <c r="D214" s="49"/>
      <c r="E214" s="49"/>
      <c r="F214" s="49"/>
      <c r="J214" s="49"/>
    </row>
    <row r="215" spans="4:10" ht="13">
      <c r="D215" s="49"/>
      <c r="E215" s="49"/>
      <c r="F215" s="49"/>
      <c r="J215" s="49"/>
    </row>
    <row r="216" spans="4:10" ht="13">
      <c r="D216" s="49"/>
      <c r="E216" s="49"/>
      <c r="F216" s="49"/>
      <c r="J216" s="49"/>
    </row>
    <row r="217" spans="4:10" ht="13">
      <c r="D217" s="49"/>
      <c r="E217" s="49"/>
      <c r="F217" s="49"/>
      <c r="J217" s="49"/>
    </row>
    <row r="218" spans="4:10" ht="13">
      <c r="D218" s="49"/>
      <c r="E218" s="49"/>
      <c r="F218" s="49"/>
      <c r="J218" s="49"/>
    </row>
    <row r="219" spans="4:10" ht="13">
      <c r="D219" s="49"/>
      <c r="E219" s="49"/>
      <c r="F219" s="49"/>
      <c r="J219" s="49"/>
    </row>
    <row r="220" spans="4:10" ht="13">
      <c r="D220" s="49"/>
      <c r="E220" s="49"/>
      <c r="F220" s="49"/>
      <c r="J220" s="49"/>
    </row>
    <row r="221" spans="4:10" ht="13">
      <c r="D221" s="49"/>
      <c r="E221" s="49"/>
      <c r="F221" s="49"/>
      <c r="J221" s="49"/>
    </row>
    <row r="222" spans="4:10" ht="13">
      <c r="D222" s="49"/>
      <c r="E222" s="49"/>
      <c r="F222" s="49"/>
      <c r="J222" s="49"/>
    </row>
    <row r="223" spans="4:10" ht="13">
      <c r="D223" s="49"/>
      <c r="E223" s="49"/>
      <c r="F223" s="49"/>
      <c r="J223" s="49"/>
    </row>
    <row r="224" spans="4:10" ht="13">
      <c r="D224" s="49"/>
      <c r="E224" s="49"/>
      <c r="F224" s="49"/>
      <c r="J224" s="49"/>
    </row>
    <row r="225" spans="4:10" ht="13">
      <c r="D225" s="49"/>
      <c r="E225" s="49"/>
      <c r="F225" s="49"/>
      <c r="J225" s="49"/>
    </row>
    <row r="226" spans="4:10" ht="13">
      <c r="D226" s="49"/>
      <c r="E226" s="49"/>
      <c r="F226" s="49"/>
      <c r="J226" s="49"/>
    </row>
    <row r="227" spans="4:10" ht="13">
      <c r="D227" s="49"/>
      <c r="E227" s="49"/>
      <c r="F227" s="49"/>
      <c r="J227" s="49"/>
    </row>
    <row r="228" spans="4:10" ht="13">
      <c r="D228" s="49"/>
      <c r="E228" s="49"/>
      <c r="F228" s="49"/>
      <c r="J228" s="49"/>
    </row>
    <row r="229" spans="4:10" ht="13">
      <c r="D229" s="49"/>
      <c r="E229" s="49"/>
      <c r="F229" s="49"/>
      <c r="J229" s="49"/>
    </row>
    <row r="230" spans="4:10" ht="13">
      <c r="D230" s="49"/>
      <c r="E230" s="49"/>
      <c r="F230" s="49"/>
      <c r="J230" s="49"/>
    </row>
    <row r="231" spans="4:10" ht="13">
      <c r="D231" s="49"/>
      <c r="E231" s="49"/>
      <c r="F231" s="49"/>
      <c r="J231" s="49"/>
    </row>
    <row r="232" spans="4:10" ht="13">
      <c r="D232" s="49"/>
      <c r="E232" s="49"/>
      <c r="F232" s="49"/>
      <c r="J232" s="49"/>
    </row>
    <row r="233" spans="4:10" ht="13">
      <c r="D233" s="49"/>
      <c r="E233" s="49"/>
      <c r="F233" s="49"/>
      <c r="J233" s="49"/>
    </row>
    <row r="234" spans="4:10" ht="13">
      <c r="D234" s="49"/>
      <c r="E234" s="49"/>
      <c r="F234" s="49"/>
      <c r="J234" s="49"/>
    </row>
    <row r="235" spans="4:10" ht="13">
      <c r="D235" s="49"/>
      <c r="E235" s="49"/>
      <c r="F235" s="49"/>
      <c r="J235" s="49"/>
    </row>
    <row r="236" spans="4:10" ht="13">
      <c r="D236" s="49"/>
      <c r="E236" s="49"/>
      <c r="F236" s="49"/>
      <c r="J236" s="49"/>
    </row>
    <row r="237" spans="4:10" ht="13">
      <c r="D237" s="49"/>
      <c r="E237" s="49"/>
      <c r="F237" s="49"/>
      <c r="J237" s="49"/>
    </row>
    <row r="238" spans="4:10" ht="13">
      <c r="D238" s="49"/>
      <c r="E238" s="49"/>
      <c r="F238" s="49"/>
      <c r="J238" s="49"/>
    </row>
    <row r="239" spans="4:10" ht="13">
      <c r="D239" s="49"/>
      <c r="E239" s="49"/>
      <c r="F239" s="49"/>
      <c r="J239" s="49"/>
    </row>
    <row r="240" spans="4:10" ht="13">
      <c r="D240" s="49"/>
      <c r="E240" s="49"/>
      <c r="F240" s="49"/>
      <c r="J240" s="49"/>
    </row>
    <row r="241" spans="4:10" ht="13">
      <c r="D241" s="49"/>
      <c r="E241" s="49"/>
      <c r="F241" s="49"/>
      <c r="J241" s="49"/>
    </row>
    <row r="242" spans="4:10" ht="13">
      <c r="D242" s="49"/>
      <c r="E242" s="49"/>
      <c r="F242" s="49"/>
      <c r="J242" s="49"/>
    </row>
    <row r="243" spans="4:10" ht="13">
      <c r="D243" s="49"/>
      <c r="E243" s="49"/>
      <c r="F243" s="49"/>
      <c r="J243" s="49"/>
    </row>
    <row r="244" spans="4:10" ht="13">
      <c r="D244" s="49"/>
      <c r="E244" s="49"/>
      <c r="F244" s="49"/>
      <c r="J244" s="49"/>
    </row>
    <row r="245" spans="4:10" ht="13">
      <c r="D245" s="49"/>
      <c r="E245" s="49"/>
      <c r="F245" s="49"/>
      <c r="J245" s="49"/>
    </row>
    <row r="246" spans="4:10" ht="13">
      <c r="D246" s="49"/>
      <c r="E246" s="49"/>
      <c r="F246" s="49"/>
      <c r="J246" s="49"/>
    </row>
    <row r="247" spans="4:10" ht="13">
      <c r="D247" s="49"/>
      <c r="E247" s="49"/>
      <c r="F247" s="49"/>
      <c r="J247" s="49"/>
    </row>
    <row r="248" spans="4:10" ht="13">
      <c r="D248" s="49"/>
      <c r="E248" s="49"/>
      <c r="F248" s="49"/>
      <c r="J248" s="49"/>
    </row>
    <row r="249" spans="4:10" ht="13">
      <c r="D249" s="49"/>
      <c r="E249" s="49"/>
      <c r="F249" s="49"/>
      <c r="J249" s="49"/>
    </row>
    <row r="250" spans="4:10" ht="13">
      <c r="D250" s="49"/>
      <c r="E250" s="49"/>
      <c r="F250" s="49"/>
      <c r="J250" s="49"/>
    </row>
    <row r="251" spans="4:10" ht="13">
      <c r="D251" s="49"/>
      <c r="E251" s="49"/>
      <c r="F251" s="49"/>
      <c r="J251" s="49"/>
    </row>
    <row r="252" spans="4:10" ht="13">
      <c r="D252" s="49"/>
      <c r="E252" s="49"/>
      <c r="F252" s="49"/>
      <c r="J252" s="49"/>
    </row>
    <row r="253" spans="4:10" ht="13">
      <c r="D253" s="49"/>
      <c r="E253" s="49"/>
      <c r="F253" s="49"/>
      <c r="J253" s="49"/>
    </row>
    <row r="254" spans="4:10" ht="13">
      <c r="D254" s="49"/>
      <c r="E254" s="49"/>
      <c r="F254" s="49"/>
      <c r="J254" s="49"/>
    </row>
    <row r="255" spans="4:10" ht="13">
      <c r="D255" s="49"/>
      <c r="E255" s="49"/>
      <c r="F255" s="49"/>
      <c r="J255" s="49"/>
    </row>
    <row r="256" spans="4:10" ht="13">
      <c r="D256" s="49"/>
      <c r="E256" s="49"/>
      <c r="F256" s="49"/>
      <c r="J256" s="49"/>
    </row>
    <row r="257" spans="4:10" ht="13">
      <c r="D257" s="49"/>
      <c r="E257" s="49"/>
      <c r="F257" s="49"/>
      <c r="J257" s="49"/>
    </row>
    <row r="258" spans="4:10" ht="13">
      <c r="D258" s="49"/>
      <c r="E258" s="49"/>
      <c r="F258" s="49"/>
      <c r="J258" s="49"/>
    </row>
    <row r="259" spans="4:10" ht="13">
      <c r="D259" s="49"/>
      <c r="E259" s="49"/>
      <c r="F259" s="49"/>
      <c r="J259" s="49"/>
    </row>
    <row r="260" spans="4:10" ht="13">
      <c r="D260" s="49"/>
      <c r="E260" s="49"/>
      <c r="F260" s="49"/>
      <c r="J260" s="49"/>
    </row>
    <row r="261" spans="4:10" ht="13">
      <c r="D261" s="49"/>
      <c r="E261" s="49"/>
      <c r="F261" s="49"/>
      <c r="J261" s="49"/>
    </row>
    <row r="262" spans="4:10" ht="13">
      <c r="D262" s="49"/>
      <c r="E262" s="49"/>
      <c r="F262" s="49"/>
      <c r="J262" s="49"/>
    </row>
    <row r="263" spans="4:10" ht="13">
      <c r="D263" s="49"/>
      <c r="E263" s="49"/>
      <c r="F263" s="49"/>
      <c r="J263" s="49"/>
    </row>
    <row r="264" spans="4:10" ht="13">
      <c r="D264" s="49"/>
      <c r="E264" s="49"/>
      <c r="F264" s="49"/>
      <c r="J264" s="49"/>
    </row>
    <row r="265" spans="4:10" ht="13">
      <c r="D265" s="49"/>
      <c r="E265" s="49"/>
      <c r="F265" s="49"/>
      <c r="J265" s="49"/>
    </row>
    <row r="266" spans="4:10" ht="13">
      <c r="D266" s="49"/>
      <c r="E266" s="49"/>
      <c r="F266" s="49"/>
      <c r="J266" s="49"/>
    </row>
    <row r="267" spans="4:10" ht="13">
      <c r="D267" s="49"/>
      <c r="E267" s="49"/>
      <c r="F267" s="49"/>
      <c r="J267" s="49"/>
    </row>
    <row r="268" spans="4:10" ht="13">
      <c r="D268" s="49"/>
      <c r="E268" s="49"/>
      <c r="F268" s="49"/>
      <c r="J268" s="49"/>
    </row>
    <row r="269" spans="4:10" ht="13">
      <c r="D269" s="49"/>
      <c r="E269" s="49"/>
      <c r="F269" s="49"/>
      <c r="J269" s="49"/>
    </row>
    <row r="270" spans="4:10" ht="13">
      <c r="D270" s="49"/>
      <c r="E270" s="49"/>
      <c r="F270" s="49"/>
      <c r="J270" s="49"/>
    </row>
    <row r="271" spans="4:10" ht="13">
      <c r="D271" s="49"/>
      <c r="E271" s="49"/>
      <c r="F271" s="49"/>
      <c r="J271" s="49"/>
    </row>
    <row r="272" spans="4:10" ht="13">
      <c r="D272" s="49"/>
      <c r="E272" s="49"/>
      <c r="F272" s="49"/>
      <c r="J272" s="49"/>
    </row>
    <row r="273" spans="4:10" ht="13">
      <c r="D273" s="49"/>
      <c r="E273" s="49"/>
      <c r="F273" s="49"/>
      <c r="J273" s="49"/>
    </row>
    <row r="274" spans="4:10" ht="13">
      <c r="D274" s="49"/>
      <c r="E274" s="49"/>
      <c r="F274" s="49"/>
      <c r="J274" s="49"/>
    </row>
    <row r="275" spans="4:10" ht="13">
      <c r="D275" s="49"/>
      <c r="E275" s="49"/>
      <c r="F275" s="49"/>
      <c r="J275" s="49"/>
    </row>
    <row r="276" spans="4:10" ht="13">
      <c r="D276" s="49"/>
      <c r="E276" s="49"/>
      <c r="F276" s="49"/>
      <c r="J276" s="49"/>
    </row>
    <row r="277" spans="4:10" ht="13">
      <c r="D277" s="49"/>
      <c r="E277" s="49"/>
      <c r="F277" s="49"/>
      <c r="J277" s="49"/>
    </row>
    <row r="278" spans="4:10" ht="13">
      <c r="D278" s="49"/>
      <c r="E278" s="49"/>
      <c r="F278" s="49"/>
      <c r="J278" s="49"/>
    </row>
    <row r="279" spans="4:10" ht="13">
      <c r="D279" s="49"/>
      <c r="E279" s="49"/>
      <c r="F279" s="49"/>
      <c r="J279" s="49"/>
    </row>
    <row r="280" spans="4:10" ht="13">
      <c r="D280" s="49"/>
      <c r="E280" s="49"/>
      <c r="F280" s="49"/>
      <c r="J280" s="49"/>
    </row>
    <row r="281" spans="4:10" ht="13">
      <c r="D281" s="49"/>
      <c r="E281" s="49"/>
      <c r="F281" s="49"/>
      <c r="J281" s="49"/>
    </row>
    <row r="282" spans="4:10" ht="13">
      <c r="D282" s="49"/>
      <c r="E282" s="49"/>
      <c r="F282" s="49"/>
      <c r="J282" s="49"/>
    </row>
    <row r="283" spans="4:10" ht="13">
      <c r="D283" s="49"/>
      <c r="E283" s="49"/>
      <c r="F283" s="49"/>
      <c r="J283" s="49"/>
    </row>
    <row r="284" spans="4:10" ht="13">
      <c r="D284" s="49"/>
      <c r="E284" s="49"/>
      <c r="F284" s="49"/>
      <c r="J284" s="49"/>
    </row>
    <row r="285" spans="4:10" ht="13">
      <c r="D285" s="49"/>
      <c r="E285" s="49"/>
      <c r="F285" s="49"/>
      <c r="J285" s="49"/>
    </row>
    <row r="286" spans="4:10" ht="13">
      <c r="D286" s="49"/>
      <c r="E286" s="49"/>
      <c r="F286" s="49"/>
      <c r="J286" s="49"/>
    </row>
    <row r="287" spans="4:10" ht="13">
      <c r="D287" s="49"/>
      <c r="E287" s="49"/>
      <c r="F287" s="49"/>
      <c r="J287" s="49"/>
    </row>
    <row r="288" spans="4:10" ht="13">
      <c r="D288" s="49"/>
      <c r="E288" s="49"/>
      <c r="F288" s="49"/>
      <c r="J288" s="49"/>
    </row>
    <row r="289" spans="4:10" ht="13">
      <c r="D289" s="49"/>
      <c r="E289" s="49"/>
      <c r="F289" s="49"/>
      <c r="J289" s="49"/>
    </row>
    <row r="290" spans="4:10" ht="13">
      <c r="D290" s="49"/>
      <c r="E290" s="49"/>
      <c r="F290" s="49"/>
      <c r="J290" s="49"/>
    </row>
    <row r="291" spans="4:10" ht="13">
      <c r="D291" s="49"/>
      <c r="E291" s="49"/>
      <c r="F291" s="49"/>
      <c r="J291" s="49"/>
    </row>
    <row r="292" spans="4:10" ht="13">
      <c r="D292" s="49"/>
      <c r="E292" s="49"/>
      <c r="F292" s="49"/>
      <c r="J292" s="49"/>
    </row>
    <row r="293" spans="4:10" ht="13">
      <c r="D293" s="49"/>
      <c r="E293" s="49"/>
      <c r="F293" s="49"/>
      <c r="J293" s="49"/>
    </row>
    <row r="294" spans="4:10" ht="13">
      <c r="D294" s="49"/>
      <c r="E294" s="49"/>
      <c r="F294" s="49"/>
      <c r="J294" s="49"/>
    </row>
    <row r="295" spans="4:10" ht="13">
      <c r="D295" s="49"/>
      <c r="E295" s="49"/>
      <c r="F295" s="49"/>
      <c r="J295" s="49"/>
    </row>
    <row r="296" spans="4:10" ht="13">
      <c r="D296" s="49"/>
      <c r="E296" s="49"/>
      <c r="F296" s="49"/>
      <c r="J296" s="49"/>
    </row>
    <row r="297" spans="4:10" ht="13">
      <c r="D297" s="49"/>
      <c r="E297" s="49"/>
      <c r="F297" s="49"/>
      <c r="J297" s="49"/>
    </row>
    <row r="298" spans="4:10" ht="13">
      <c r="D298" s="49"/>
      <c r="E298" s="49"/>
      <c r="F298" s="49"/>
      <c r="J298" s="49"/>
    </row>
    <row r="299" spans="4:10" ht="13">
      <c r="D299" s="49"/>
      <c r="E299" s="49"/>
      <c r="F299" s="49"/>
      <c r="J299" s="49"/>
    </row>
    <row r="300" spans="4:10" ht="13">
      <c r="D300" s="49"/>
      <c r="E300" s="49"/>
      <c r="F300" s="49"/>
      <c r="J300" s="49"/>
    </row>
    <row r="301" spans="4:10" ht="13">
      <c r="D301" s="49"/>
      <c r="E301" s="49"/>
      <c r="F301" s="49"/>
      <c r="J301" s="49"/>
    </row>
    <row r="302" spans="4:10" ht="13">
      <c r="D302" s="49"/>
      <c r="E302" s="49"/>
      <c r="F302" s="49"/>
      <c r="J302" s="49"/>
    </row>
    <row r="303" spans="4:10" ht="13">
      <c r="D303" s="49"/>
      <c r="E303" s="49"/>
      <c r="F303" s="49"/>
      <c r="J303" s="49"/>
    </row>
    <row r="304" spans="4:10" ht="13">
      <c r="D304" s="49"/>
      <c r="E304" s="49"/>
      <c r="F304" s="49"/>
      <c r="J304" s="49"/>
    </row>
    <row r="305" spans="4:10" ht="13">
      <c r="D305" s="49"/>
      <c r="E305" s="49"/>
      <c r="F305" s="49"/>
      <c r="J305" s="49"/>
    </row>
    <row r="306" spans="4:10" ht="13">
      <c r="D306" s="49"/>
      <c r="E306" s="49"/>
      <c r="F306" s="49"/>
      <c r="J306" s="49"/>
    </row>
    <row r="307" spans="4:10" ht="13">
      <c r="D307" s="49"/>
      <c r="E307" s="49"/>
      <c r="F307" s="49"/>
      <c r="J307" s="49"/>
    </row>
    <row r="308" spans="4:10" ht="13">
      <c r="D308" s="49"/>
      <c r="E308" s="49"/>
      <c r="F308" s="49"/>
      <c r="J308" s="49"/>
    </row>
    <row r="309" spans="4:10" ht="13">
      <c r="D309" s="49"/>
      <c r="E309" s="49"/>
      <c r="F309" s="49"/>
      <c r="J309" s="49"/>
    </row>
    <row r="310" spans="4:10" ht="13">
      <c r="D310" s="49"/>
      <c r="E310" s="49"/>
      <c r="F310" s="49"/>
      <c r="J310" s="49"/>
    </row>
    <row r="311" spans="4:10" ht="13">
      <c r="D311" s="49"/>
      <c r="E311" s="49"/>
      <c r="F311" s="49"/>
      <c r="J311" s="49"/>
    </row>
    <row r="312" spans="4:10" ht="13">
      <c r="D312" s="49"/>
      <c r="E312" s="49"/>
      <c r="F312" s="49"/>
      <c r="J312" s="49"/>
    </row>
    <row r="313" spans="4:10" ht="13">
      <c r="D313" s="49"/>
      <c r="E313" s="49"/>
      <c r="F313" s="49"/>
      <c r="J313" s="49"/>
    </row>
    <row r="314" spans="4:10" ht="13">
      <c r="D314" s="49"/>
      <c r="E314" s="49"/>
      <c r="F314" s="49"/>
      <c r="J314" s="49"/>
    </row>
    <row r="315" spans="4:10" ht="13">
      <c r="D315" s="49"/>
      <c r="E315" s="49"/>
      <c r="F315" s="49"/>
      <c r="J315" s="49"/>
    </row>
    <row r="316" spans="4:10" ht="13">
      <c r="D316" s="49"/>
      <c r="E316" s="49"/>
      <c r="F316" s="49"/>
      <c r="J316" s="49"/>
    </row>
    <row r="317" spans="4:10" ht="13">
      <c r="D317" s="49"/>
      <c r="E317" s="49"/>
      <c r="F317" s="49"/>
      <c r="J317" s="49"/>
    </row>
    <row r="318" spans="4:10" ht="13">
      <c r="D318" s="49"/>
      <c r="E318" s="49"/>
      <c r="F318" s="49"/>
      <c r="J318" s="49"/>
    </row>
    <row r="319" spans="4:10" ht="13">
      <c r="D319" s="49"/>
      <c r="E319" s="49"/>
      <c r="F319" s="49"/>
      <c r="J319" s="49"/>
    </row>
    <row r="320" spans="4:10" ht="13">
      <c r="D320" s="49"/>
      <c r="E320" s="49"/>
      <c r="F320" s="49"/>
      <c r="J320" s="49"/>
    </row>
    <row r="321" spans="4:10" ht="13">
      <c r="D321" s="49"/>
      <c r="E321" s="49"/>
      <c r="F321" s="49"/>
      <c r="J321" s="49"/>
    </row>
    <row r="322" spans="4:10" ht="13">
      <c r="D322" s="49"/>
      <c r="E322" s="49"/>
      <c r="F322" s="49"/>
      <c r="J322" s="49"/>
    </row>
    <row r="323" spans="4:10" ht="13">
      <c r="D323" s="49"/>
      <c r="E323" s="49"/>
      <c r="F323" s="49"/>
      <c r="J323" s="49"/>
    </row>
    <row r="324" spans="4:10" ht="13">
      <c r="D324" s="49"/>
      <c r="E324" s="49"/>
      <c r="F324" s="49"/>
      <c r="J324" s="49"/>
    </row>
    <row r="325" spans="4:10" ht="13">
      <c r="D325" s="49"/>
      <c r="E325" s="49"/>
      <c r="F325" s="49"/>
      <c r="J325" s="49"/>
    </row>
    <row r="326" spans="4:10" ht="13">
      <c r="D326" s="49"/>
      <c r="E326" s="49"/>
      <c r="F326" s="49"/>
      <c r="J326" s="49"/>
    </row>
    <row r="327" spans="4:10" ht="13">
      <c r="D327" s="49"/>
      <c r="E327" s="49"/>
      <c r="F327" s="49"/>
      <c r="J327" s="49"/>
    </row>
    <row r="328" spans="4:10" ht="13">
      <c r="D328" s="49"/>
      <c r="E328" s="49"/>
      <c r="F328" s="49"/>
      <c r="J328" s="49"/>
    </row>
    <row r="329" spans="4:10" ht="13">
      <c r="D329" s="49"/>
      <c r="E329" s="49"/>
      <c r="F329" s="49"/>
      <c r="J329" s="49"/>
    </row>
    <row r="330" spans="4:10" ht="13">
      <c r="D330" s="49"/>
      <c r="E330" s="49"/>
      <c r="F330" s="49"/>
      <c r="J330" s="49"/>
    </row>
    <row r="331" spans="4:10" ht="13">
      <c r="D331" s="49"/>
      <c r="E331" s="49"/>
      <c r="F331" s="49"/>
      <c r="J331" s="49"/>
    </row>
    <row r="332" spans="4:10" ht="13">
      <c r="D332" s="49"/>
      <c r="E332" s="49"/>
      <c r="F332" s="49"/>
      <c r="J332" s="49"/>
    </row>
    <row r="333" spans="4:10" ht="13">
      <c r="D333" s="49"/>
      <c r="E333" s="49"/>
      <c r="F333" s="49"/>
      <c r="J333" s="49"/>
    </row>
    <row r="334" spans="4:10" ht="13">
      <c r="D334" s="49"/>
      <c r="E334" s="49"/>
      <c r="F334" s="49"/>
      <c r="J334" s="49"/>
    </row>
    <row r="335" spans="4:10" ht="13">
      <c r="D335" s="49"/>
      <c r="E335" s="49"/>
      <c r="F335" s="49"/>
      <c r="J335" s="49"/>
    </row>
    <row r="336" spans="4:10" ht="13">
      <c r="D336" s="49"/>
      <c r="E336" s="49"/>
      <c r="F336" s="49"/>
      <c r="J336" s="49"/>
    </row>
    <row r="337" spans="4:10" ht="13">
      <c r="D337" s="49"/>
      <c r="E337" s="49"/>
      <c r="F337" s="49"/>
      <c r="J337" s="49"/>
    </row>
    <row r="338" spans="4:10" ht="13">
      <c r="D338" s="49"/>
      <c r="E338" s="49"/>
      <c r="F338" s="49"/>
      <c r="J338" s="49"/>
    </row>
    <row r="339" spans="4:10" ht="13">
      <c r="D339" s="49"/>
      <c r="E339" s="49"/>
      <c r="F339" s="49"/>
      <c r="J339" s="49"/>
    </row>
    <row r="340" spans="4:10" ht="13">
      <c r="D340" s="49"/>
      <c r="E340" s="49"/>
      <c r="F340" s="49"/>
      <c r="J340" s="49"/>
    </row>
    <row r="341" spans="4:10" ht="13">
      <c r="D341" s="49"/>
      <c r="E341" s="49"/>
      <c r="F341" s="49"/>
      <c r="J341" s="49"/>
    </row>
    <row r="342" spans="4:10" ht="13">
      <c r="D342" s="49"/>
      <c r="E342" s="49"/>
      <c r="F342" s="49"/>
      <c r="J342" s="49"/>
    </row>
    <row r="343" spans="4:10" ht="13">
      <c r="D343" s="49"/>
      <c r="E343" s="49"/>
      <c r="F343" s="49"/>
      <c r="J343" s="49"/>
    </row>
    <row r="344" spans="4:10" ht="13">
      <c r="D344" s="49"/>
      <c r="E344" s="49"/>
      <c r="F344" s="49"/>
      <c r="J344" s="49"/>
    </row>
    <row r="345" spans="4:10" ht="13">
      <c r="D345" s="49"/>
      <c r="E345" s="49"/>
      <c r="F345" s="49"/>
      <c r="J345" s="49"/>
    </row>
    <row r="346" spans="4:10" ht="13">
      <c r="D346" s="49"/>
      <c r="E346" s="49"/>
      <c r="F346" s="49"/>
      <c r="J346" s="49"/>
    </row>
    <row r="347" spans="4:10" ht="13">
      <c r="D347" s="49"/>
      <c r="E347" s="49"/>
      <c r="F347" s="49"/>
      <c r="J347" s="49"/>
    </row>
    <row r="348" spans="4:10" ht="13">
      <c r="D348" s="49"/>
      <c r="E348" s="49"/>
      <c r="F348" s="49"/>
      <c r="J348" s="49"/>
    </row>
    <row r="349" spans="4:10" ht="13">
      <c r="D349" s="49"/>
      <c r="E349" s="49"/>
      <c r="F349" s="49"/>
      <c r="J349" s="49"/>
    </row>
    <row r="350" spans="4:10" ht="13">
      <c r="D350" s="49"/>
      <c r="E350" s="49"/>
      <c r="F350" s="49"/>
      <c r="J350" s="49"/>
    </row>
    <row r="351" spans="4:10" ht="13">
      <c r="D351" s="49"/>
      <c r="E351" s="49"/>
      <c r="F351" s="49"/>
      <c r="J351" s="49"/>
    </row>
    <row r="352" spans="4:10" ht="13">
      <c r="D352" s="49"/>
      <c r="E352" s="49"/>
      <c r="F352" s="49"/>
      <c r="J352" s="49"/>
    </row>
    <row r="353" spans="4:10" ht="13">
      <c r="D353" s="49"/>
      <c r="E353" s="49"/>
      <c r="F353" s="49"/>
      <c r="J353" s="49"/>
    </row>
    <row r="354" spans="4:10" ht="13">
      <c r="D354" s="49"/>
      <c r="E354" s="49"/>
      <c r="F354" s="49"/>
      <c r="J354" s="49"/>
    </row>
    <row r="355" spans="4:10" ht="13">
      <c r="D355" s="49"/>
      <c r="E355" s="49"/>
      <c r="F355" s="49"/>
      <c r="J355" s="49"/>
    </row>
    <row r="356" spans="4:10" ht="13">
      <c r="D356" s="49"/>
      <c r="E356" s="49"/>
      <c r="F356" s="49"/>
      <c r="J356" s="49"/>
    </row>
    <row r="357" spans="4:10" ht="13">
      <c r="D357" s="49"/>
      <c r="E357" s="49"/>
      <c r="F357" s="49"/>
      <c r="J357" s="49"/>
    </row>
    <row r="358" spans="4:10" ht="13">
      <c r="D358" s="49"/>
      <c r="E358" s="49"/>
      <c r="F358" s="49"/>
      <c r="J358" s="49"/>
    </row>
    <row r="359" spans="4:10" ht="13">
      <c r="D359" s="49"/>
      <c r="E359" s="49"/>
      <c r="F359" s="49"/>
      <c r="J359" s="49"/>
    </row>
    <row r="360" spans="4:10" ht="13">
      <c r="D360" s="49"/>
      <c r="E360" s="49"/>
      <c r="F360" s="49"/>
      <c r="J360" s="49"/>
    </row>
    <row r="361" spans="4:10" ht="13">
      <c r="D361" s="49"/>
      <c r="E361" s="49"/>
      <c r="F361" s="49"/>
      <c r="J361" s="49"/>
    </row>
    <row r="362" spans="4:10" ht="13">
      <c r="D362" s="49"/>
      <c r="E362" s="49"/>
      <c r="F362" s="49"/>
      <c r="J362" s="49"/>
    </row>
    <row r="363" spans="4:10" ht="13">
      <c r="D363" s="49"/>
      <c r="E363" s="49"/>
      <c r="F363" s="49"/>
      <c r="J363" s="49"/>
    </row>
    <row r="364" spans="4:10" ht="13">
      <c r="D364" s="49"/>
      <c r="E364" s="49"/>
      <c r="F364" s="49"/>
      <c r="J364" s="49"/>
    </row>
    <row r="365" spans="4:10" ht="13">
      <c r="D365" s="49"/>
      <c r="E365" s="49"/>
      <c r="F365" s="49"/>
      <c r="J365" s="49"/>
    </row>
    <row r="366" spans="4:10" ht="13">
      <c r="D366" s="49"/>
      <c r="E366" s="49"/>
      <c r="F366" s="49"/>
      <c r="J366" s="49"/>
    </row>
    <row r="367" spans="4:10" ht="13">
      <c r="D367" s="49"/>
      <c r="E367" s="49"/>
      <c r="F367" s="49"/>
      <c r="J367" s="49"/>
    </row>
    <row r="368" spans="4:10" ht="13">
      <c r="D368" s="49"/>
      <c r="E368" s="49"/>
      <c r="F368" s="49"/>
      <c r="J368" s="49"/>
    </row>
    <row r="369" spans="4:10" ht="13">
      <c r="D369" s="49"/>
      <c r="E369" s="49"/>
      <c r="F369" s="49"/>
      <c r="J369" s="49"/>
    </row>
    <row r="370" spans="4:10" ht="13">
      <c r="D370" s="49"/>
      <c r="E370" s="49"/>
      <c r="F370" s="49"/>
      <c r="J370" s="49"/>
    </row>
    <row r="371" spans="4:10" ht="13">
      <c r="D371" s="49"/>
      <c r="E371" s="49"/>
      <c r="F371" s="49"/>
      <c r="J371" s="49"/>
    </row>
    <row r="372" spans="4:10" ht="13">
      <c r="D372" s="49"/>
      <c r="E372" s="49"/>
      <c r="F372" s="49"/>
      <c r="J372" s="49"/>
    </row>
    <row r="373" spans="4:10" ht="13">
      <c r="D373" s="49"/>
      <c r="E373" s="49"/>
      <c r="F373" s="49"/>
      <c r="J373" s="49"/>
    </row>
    <row r="374" spans="4:10" ht="13">
      <c r="D374" s="49"/>
      <c r="E374" s="49"/>
      <c r="F374" s="49"/>
      <c r="J374" s="49"/>
    </row>
    <row r="375" spans="4:10" ht="13">
      <c r="D375" s="49"/>
      <c r="E375" s="49"/>
      <c r="F375" s="49"/>
      <c r="J375" s="49"/>
    </row>
    <row r="376" spans="4:10" ht="13">
      <c r="D376" s="49"/>
      <c r="E376" s="49"/>
      <c r="F376" s="49"/>
      <c r="J376" s="49"/>
    </row>
    <row r="377" spans="4:10" ht="13">
      <c r="D377" s="49"/>
      <c r="E377" s="49"/>
      <c r="F377" s="49"/>
      <c r="J377" s="49"/>
    </row>
    <row r="378" spans="4:10" ht="13">
      <c r="D378" s="49"/>
      <c r="E378" s="49"/>
      <c r="F378" s="49"/>
      <c r="J378" s="49"/>
    </row>
    <row r="379" spans="4:10" ht="13">
      <c r="D379" s="49"/>
      <c r="E379" s="49"/>
      <c r="F379" s="49"/>
      <c r="J379" s="49"/>
    </row>
    <row r="380" spans="4:10" ht="13">
      <c r="D380" s="49"/>
      <c r="E380" s="49"/>
      <c r="F380" s="49"/>
      <c r="J380" s="49"/>
    </row>
    <row r="381" spans="4:10" ht="13">
      <c r="D381" s="49"/>
      <c r="E381" s="49"/>
      <c r="F381" s="49"/>
      <c r="J381" s="49"/>
    </row>
    <row r="382" spans="4:10" ht="13">
      <c r="D382" s="49"/>
      <c r="E382" s="49"/>
      <c r="F382" s="49"/>
      <c r="J382" s="49"/>
    </row>
    <row r="383" spans="4:10" ht="13">
      <c r="D383" s="49"/>
      <c r="E383" s="49"/>
      <c r="F383" s="49"/>
      <c r="J383" s="49"/>
    </row>
    <row r="384" spans="4:10" ht="13">
      <c r="D384" s="49"/>
      <c r="E384" s="49"/>
      <c r="F384" s="49"/>
      <c r="J384" s="49"/>
    </row>
    <row r="385" spans="4:10" ht="13">
      <c r="D385" s="49"/>
      <c r="E385" s="49"/>
      <c r="F385" s="49"/>
      <c r="J385" s="49"/>
    </row>
    <row r="386" spans="4:10" ht="13">
      <c r="D386" s="49"/>
      <c r="E386" s="49"/>
      <c r="F386" s="49"/>
      <c r="J386" s="49"/>
    </row>
    <row r="387" spans="4:10" ht="13">
      <c r="D387" s="49"/>
      <c r="E387" s="49"/>
      <c r="F387" s="49"/>
      <c r="J387" s="49"/>
    </row>
    <row r="388" spans="4:10" ht="13">
      <c r="D388" s="49"/>
      <c r="E388" s="49"/>
      <c r="F388" s="49"/>
      <c r="J388" s="49"/>
    </row>
    <row r="389" spans="4:10" ht="13">
      <c r="D389" s="49"/>
      <c r="E389" s="49"/>
      <c r="F389" s="49"/>
      <c r="J389" s="49"/>
    </row>
    <row r="390" spans="4:10" ht="13">
      <c r="D390" s="49"/>
      <c r="E390" s="49"/>
      <c r="F390" s="49"/>
      <c r="J390" s="49"/>
    </row>
    <row r="391" spans="4:10" ht="13">
      <c r="D391" s="49"/>
      <c r="E391" s="49"/>
      <c r="F391" s="49"/>
      <c r="J391" s="49"/>
    </row>
    <row r="392" spans="4:10" ht="13">
      <c r="D392" s="49"/>
      <c r="E392" s="49"/>
      <c r="F392" s="49"/>
      <c r="J392" s="49"/>
    </row>
    <row r="393" spans="4:10" ht="13">
      <c r="D393" s="49"/>
      <c r="E393" s="49"/>
      <c r="F393" s="49"/>
      <c r="J393" s="49"/>
    </row>
    <row r="394" spans="4:10" ht="13">
      <c r="D394" s="49"/>
      <c r="E394" s="49"/>
      <c r="F394" s="49"/>
      <c r="J394" s="49"/>
    </row>
    <row r="395" spans="4:10" ht="13">
      <c r="D395" s="49"/>
      <c r="E395" s="49"/>
      <c r="F395" s="49"/>
      <c r="J395" s="49"/>
    </row>
    <row r="396" spans="4:10" ht="13">
      <c r="D396" s="49"/>
      <c r="E396" s="49"/>
      <c r="F396" s="49"/>
      <c r="J396" s="49"/>
    </row>
    <row r="397" spans="4:10" ht="13">
      <c r="D397" s="49"/>
      <c r="E397" s="49"/>
      <c r="F397" s="49"/>
      <c r="J397" s="49"/>
    </row>
    <row r="398" spans="4:10" ht="13">
      <c r="D398" s="49"/>
      <c r="E398" s="49"/>
      <c r="F398" s="49"/>
      <c r="J398" s="49"/>
    </row>
    <row r="399" spans="4:10" ht="13">
      <c r="D399" s="49"/>
      <c r="E399" s="49"/>
      <c r="F399" s="49"/>
      <c r="J399" s="49"/>
    </row>
    <row r="400" spans="4:10" ht="13">
      <c r="D400" s="49"/>
      <c r="E400" s="49"/>
      <c r="F400" s="49"/>
      <c r="J400" s="49"/>
    </row>
    <row r="401" spans="4:10" ht="13">
      <c r="D401" s="49"/>
      <c r="E401" s="49"/>
      <c r="F401" s="49"/>
      <c r="J401" s="49"/>
    </row>
    <row r="402" spans="4:10" ht="13">
      <c r="D402" s="49"/>
      <c r="E402" s="49"/>
      <c r="F402" s="49"/>
      <c r="J402" s="49"/>
    </row>
    <row r="403" spans="4:10" ht="13">
      <c r="D403" s="49"/>
      <c r="E403" s="49"/>
      <c r="F403" s="49"/>
      <c r="J403" s="49"/>
    </row>
    <row r="404" spans="4:10" ht="13">
      <c r="D404" s="49"/>
      <c r="E404" s="49"/>
      <c r="F404" s="49"/>
      <c r="J404" s="49"/>
    </row>
    <row r="405" spans="4:10" ht="13">
      <c r="D405" s="49"/>
      <c r="E405" s="49"/>
      <c r="F405" s="49"/>
      <c r="J405" s="49"/>
    </row>
    <row r="406" spans="4:10" ht="13">
      <c r="D406" s="49"/>
      <c r="E406" s="49"/>
      <c r="F406" s="49"/>
      <c r="J406" s="49"/>
    </row>
    <row r="407" spans="4:10" ht="13">
      <c r="D407" s="49"/>
      <c r="E407" s="49"/>
      <c r="F407" s="49"/>
      <c r="J407" s="49"/>
    </row>
    <row r="408" spans="4:10" ht="13">
      <c r="D408" s="49"/>
      <c r="E408" s="49"/>
      <c r="F408" s="49"/>
      <c r="J408" s="49"/>
    </row>
    <row r="409" spans="4:10" ht="13">
      <c r="D409" s="49"/>
      <c r="E409" s="49"/>
      <c r="F409" s="49"/>
      <c r="J409" s="49"/>
    </row>
    <row r="410" spans="4:10" ht="13">
      <c r="D410" s="49"/>
      <c r="E410" s="49"/>
      <c r="F410" s="49"/>
      <c r="J410" s="49"/>
    </row>
    <row r="411" spans="4:10" ht="13">
      <c r="D411" s="49"/>
      <c r="E411" s="49"/>
      <c r="F411" s="49"/>
      <c r="J411" s="49"/>
    </row>
    <row r="412" spans="4:10" ht="13">
      <c r="D412" s="49"/>
      <c r="E412" s="49"/>
      <c r="F412" s="49"/>
      <c r="J412" s="49"/>
    </row>
    <row r="413" spans="4:10" ht="13">
      <c r="D413" s="49"/>
      <c r="E413" s="49"/>
      <c r="F413" s="49"/>
      <c r="J413" s="49"/>
    </row>
    <row r="414" spans="4:10" ht="13">
      <c r="D414" s="49"/>
      <c r="E414" s="49"/>
      <c r="F414" s="49"/>
      <c r="J414" s="49"/>
    </row>
    <row r="415" spans="4:10" ht="13">
      <c r="D415" s="49"/>
      <c r="E415" s="49"/>
      <c r="F415" s="49"/>
      <c r="J415" s="49"/>
    </row>
    <row r="416" spans="4:10" ht="13">
      <c r="D416" s="49"/>
      <c r="E416" s="49"/>
      <c r="F416" s="49"/>
      <c r="J416" s="49"/>
    </row>
    <row r="417" spans="4:10" ht="13">
      <c r="D417" s="49"/>
      <c r="E417" s="49"/>
      <c r="F417" s="49"/>
      <c r="J417" s="49"/>
    </row>
    <row r="418" spans="4:10" ht="13">
      <c r="D418" s="49"/>
      <c r="E418" s="49"/>
      <c r="F418" s="49"/>
      <c r="J418" s="49"/>
    </row>
    <row r="419" spans="4:10" ht="13">
      <c r="D419" s="49"/>
      <c r="E419" s="49"/>
      <c r="F419" s="49"/>
      <c r="J419" s="49"/>
    </row>
    <row r="420" spans="4:10" ht="13">
      <c r="D420" s="49"/>
      <c r="E420" s="49"/>
      <c r="F420" s="49"/>
      <c r="J420" s="49"/>
    </row>
    <row r="421" spans="4:10" ht="13">
      <c r="D421" s="49"/>
      <c r="E421" s="49"/>
      <c r="F421" s="49"/>
      <c r="J421" s="49"/>
    </row>
    <row r="422" spans="4:10" ht="13">
      <c r="D422" s="49"/>
      <c r="E422" s="49"/>
      <c r="F422" s="49"/>
      <c r="J422" s="49"/>
    </row>
    <row r="423" spans="4:10" ht="13">
      <c r="D423" s="49"/>
      <c r="E423" s="49"/>
      <c r="F423" s="49"/>
      <c r="J423" s="49"/>
    </row>
    <row r="424" spans="4:10" ht="13">
      <c r="D424" s="49"/>
      <c r="E424" s="49"/>
      <c r="F424" s="49"/>
      <c r="J424" s="49"/>
    </row>
    <row r="425" spans="4:10" ht="13">
      <c r="D425" s="49"/>
      <c r="E425" s="49"/>
      <c r="F425" s="49"/>
      <c r="J425" s="49"/>
    </row>
    <row r="426" spans="4:10" ht="13">
      <c r="D426" s="49"/>
      <c r="E426" s="49"/>
      <c r="F426" s="49"/>
      <c r="J426" s="49"/>
    </row>
    <row r="427" spans="4:10" ht="13">
      <c r="D427" s="49"/>
      <c r="E427" s="49"/>
      <c r="F427" s="49"/>
      <c r="J427" s="49"/>
    </row>
    <row r="428" spans="4:10" ht="13">
      <c r="D428" s="49"/>
      <c r="E428" s="49"/>
      <c r="F428" s="49"/>
      <c r="J428" s="49"/>
    </row>
    <row r="429" spans="4:10" ht="13">
      <c r="D429" s="49"/>
      <c r="E429" s="49"/>
      <c r="F429" s="49"/>
      <c r="J429" s="49"/>
    </row>
    <row r="430" spans="4:10" ht="13">
      <c r="D430" s="49"/>
      <c r="E430" s="49"/>
      <c r="F430" s="49"/>
      <c r="J430" s="49"/>
    </row>
    <row r="431" spans="4:10" ht="13">
      <c r="D431" s="49"/>
      <c r="E431" s="49"/>
      <c r="F431" s="49"/>
      <c r="J431" s="49"/>
    </row>
    <row r="432" spans="4:10" ht="13">
      <c r="D432" s="49"/>
      <c r="E432" s="49"/>
      <c r="F432" s="49"/>
      <c r="J432" s="49"/>
    </row>
    <row r="433" spans="4:10" ht="13">
      <c r="D433" s="49"/>
      <c r="E433" s="49"/>
      <c r="F433" s="49"/>
      <c r="J433" s="49"/>
    </row>
    <row r="434" spans="4:10" ht="13">
      <c r="D434" s="49"/>
      <c r="E434" s="49"/>
      <c r="F434" s="49"/>
      <c r="J434" s="49"/>
    </row>
    <row r="435" spans="4:10" ht="13">
      <c r="D435" s="49"/>
      <c r="E435" s="49"/>
      <c r="F435" s="49"/>
      <c r="J435" s="49"/>
    </row>
    <row r="436" spans="4:10" ht="13">
      <c r="D436" s="49"/>
      <c r="E436" s="49"/>
      <c r="F436" s="49"/>
      <c r="J436" s="49"/>
    </row>
    <row r="437" spans="4:10" ht="13">
      <c r="D437" s="49"/>
      <c r="E437" s="49"/>
      <c r="F437" s="49"/>
      <c r="J437" s="49"/>
    </row>
    <row r="438" spans="4:10" ht="13">
      <c r="D438" s="49"/>
      <c r="E438" s="49"/>
      <c r="F438" s="49"/>
      <c r="J438" s="49"/>
    </row>
    <row r="439" spans="4:10" ht="13">
      <c r="D439" s="49"/>
      <c r="E439" s="49"/>
      <c r="F439" s="49"/>
      <c r="J439" s="49"/>
    </row>
    <row r="440" spans="4:10" ht="13">
      <c r="D440" s="49"/>
      <c r="E440" s="49"/>
      <c r="F440" s="49"/>
      <c r="J440" s="49"/>
    </row>
    <row r="441" spans="4:10" ht="13">
      <c r="D441" s="49"/>
      <c r="E441" s="49"/>
      <c r="F441" s="49"/>
      <c r="J441" s="49"/>
    </row>
    <row r="442" spans="4:10" ht="13">
      <c r="D442" s="49"/>
      <c r="E442" s="49"/>
      <c r="F442" s="49"/>
      <c r="J442" s="49"/>
    </row>
    <row r="443" spans="4:10" ht="13">
      <c r="D443" s="49"/>
      <c r="E443" s="49"/>
      <c r="F443" s="49"/>
      <c r="J443" s="49"/>
    </row>
    <row r="444" spans="4:10" ht="13">
      <c r="D444" s="49"/>
      <c r="E444" s="49"/>
      <c r="F444" s="49"/>
      <c r="J444" s="49"/>
    </row>
    <row r="445" spans="4:10" ht="13">
      <c r="D445" s="49"/>
      <c r="E445" s="49"/>
      <c r="F445" s="49"/>
      <c r="J445" s="49"/>
    </row>
    <row r="446" spans="4:10" ht="13">
      <c r="D446" s="49"/>
      <c r="E446" s="49"/>
      <c r="F446" s="49"/>
      <c r="J446" s="49"/>
    </row>
    <row r="447" spans="4:10" ht="13">
      <c r="D447" s="49"/>
      <c r="E447" s="49"/>
      <c r="F447" s="49"/>
      <c r="J447" s="49"/>
    </row>
    <row r="448" spans="4:10" ht="13">
      <c r="D448" s="49"/>
      <c r="E448" s="49"/>
      <c r="F448" s="49"/>
      <c r="J448" s="49"/>
    </row>
    <row r="449" spans="4:10" ht="13">
      <c r="D449" s="49"/>
      <c r="E449" s="49"/>
      <c r="F449" s="49"/>
      <c r="J449" s="49"/>
    </row>
    <row r="450" spans="4:10" ht="13">
      <c r="D450" s="49"/>
      <c r="E450" s="49"/>
      <c r="F450" s="49"/>
      <c r="J450" s="49"/>
    </row>
    <row r="451" spans="4:10" ht="13">
      <c r="D451" s="49"/>
      <c r="E451" s="49"/>
      <c r="F451" s="49"/>
      <c r="J451" s="49"/>
    </row>
    <row r="452" spans="4:10" ht="13">
      <c r="D452" s="49"/>
      <c r="E452" s="49"/>
      <c r="F452" s="49"/>
      <c r="J452" s="49"/>
    </row>
    <row r="453" spans="4:10" ht="13">
      <c r="D453" s="49"/>
      <c r="E453" s="49"/>
      <c r="F453" s="49"/>
      <c r="J453" s="49"/>
    </row>
    <row r="454" spans="4:10" ht="13">
      <c r="D454" s="49"/>
      <c r="E454" s="49"/>
      <c r="F454" s="49"/>
      <c r="J454" s="49"/>
    </row>
    <row r="455" spans="4:10" ht="13">
      <c r="D455" s="49"/>
      <c r="E455" s="49"/>
      <c r="F455" s="49"/>
      <c r="J455" s="49"/>
    </row>
    <row r="456" spans="4:10" ht="13">
      <c r="D456" s="49"/>
      <c r="E456" s="49"/>
      <c r="F456" s="49"/>
      <c r="J456" s="49"/>
    </row>
    <row r="457" spans="4:10" ht="13">
      <c r="D457" s="49"/>
      <c r="E457" s="49"/>
      <c r="F457" s="49"/>
      <c r="J457" s="49"/>
    </row>
    <row r="458" spans="4:10" ht="13">
      <c r="D458" s="49"/>
      <c r="E458" s="49"/>
      <c r="F458" s="49"/>
      <c r="J458" s="49"/>
    </row>
    <row r="459" spans="4:10" ht="13">
      <c r="D459" s="49"/>
      <c r="E459" s="49"/>
      <c r="F459" s="49"/>
      <c r="J459" s="49"/>
    </row>
    <row r="460" spans="4:10" ht="13">
      <c r="D460" s="49"/>
      <c r="E460" s="49"/>
      <c r="F460" s="49"/>
      <c r="J460" s="49"/>
    </row>
    <row r="461" spans="4:10" ht="13">
      <c r="D461" s="49"/>
      <c r="E461" s="49"/>
      <c r="F461" s="49"/>
      <c r="J461" s="49"/>
    </row>
    <row r="462" spans="4:10" ht="13">
      <c r="D462" s="49"/>
      <c r="E462" s="49"/>
      <c r="F462" s="49"/>
      <c r="J462" s="49"/>
    </row>
    <row r="463" spans="4:10" ht="13">
      <c r="D463" s="49"/>
      <c r="E463" s="49"/>
      <c r="F463" s="49"/>
      <c r="J463" s="49"/>
    </row>
    <row r="464" spans="4:10" ht="13">
      <c r="D464" s="49"/>
      <c r="E464" s="49"/>
      <c r="F464" s="49"/>
      <c r="J464" s="49"/>
    </row>
    <row r="465" spans="4:10" ht="13">
      <c r="D465" s="49"/>
      <c r="E465" s="49"/>
      <c r="F465" s="49"/>
      <c r="J465" s="49"/>
    </row>
    <row r="466" spans="4:10" ht="13">
      <c r="D466" s="49"/>
      <c r="E466" s="49"/>
      <c r="F466" s="49"/>
      <c r="J466" s="49"/>
    </row>
    <row r="467" spans="4:10" ht="13">
      <c r="D467" s="49"/>
      <c r="E467" s="49"/>
      <c r="F467" s="49"/>
      <c r="J467" s="49"/>
    </row>
    <row r="468" spans="4:10" ht="13">
      <c r="D468" s="49"/>
      <c r="E468" s="49"/>
      <c r="F468" s="49"/>
      <c r="J468" s="49"/>
    </row>
    <row r="469" spans="4:10" ht="13">
      <c r="D469" s="49"/>
      <c r="E469" s="49"/>
      <c r="F469" s="49"/>
      <c r="J469" s="49"/>
    </row>
    <row r="470" spans="4:10" ht="13">
      <c r="D470" s="49"/>
      <c r="E470" s="49"/>
      <c r="F470" s="49"/>
      <c r="J470" s="49"/>
    </row>
    <row r="471" spans="4:10" ht="13">
      <c r="D471" s="49"/>
      <c r="E471" s="49"/>
      <c r="F471" s="49"/>
      <c r="J471" s="49"/>
    </row>
    <row r="472" spans="4:10" ht="13">
      <c r="D472" s="49"/>
      <c r="E472" s="49"/>
      <c r="F472" s="49"/>
      <c r="J472" s="49"/>
    </row>
    <row r="473" spans="4:10" ht="13">
      <c r="D473" s="49"/>
      <c r="E473" s="49"/>
      <c r="F473" s="49"/>
      <c r="J473" s="49"/>
    </row>
    <row r="474" spans="4:10" ht="13">
      <c r="D474" s="49"/>
      <c r="E474" s="49"/>
      <c r="F474" s="49"/>
      <c r="J474" s="49"/>
    </row>
    <row r="475" spans="4:10" ht="13">
      <c r="D475" s="49"/>
      <c r="E475" s="49"/>
      <c r="F475" s="49"/>
      <c r="J475" s="49"/>
    </row>
    <row r="476" spans="4:10" ht="13">
      <c r="D476" s="49"/>
      <c r="E476" s="49"/>
      <c r="F476" s="49"/>
      <c r="J476" s="49"/>
    </row>
    <row r="477" spans="4:10" ht="13">
      <c r="D477" s="49"/>
      <c r="E477" s="49"/>
      <c r="F477" s="49"/>
      <c r="J477" s="49"/>
    </row>
    <row r="478" spans="4:10" ht="13">
      <c r="D478" s="49"/>
      <c r="E478" s="49"/>
      <c r="F478" s="49"/>
      <c r="J478" s="49"/>
    </row>
    <row r="479" spans="4:10" ht="13">
      <c r="D479" s="49"/>
      <c r="E479" s="49"/>
      <c r="F479" s="49"/>
      <c r="J479" s="49"/>
    </row>
    <row r="480" spans="4:10" ht="13">
      <c r="D480" s="49"/>
      <c r="E480" s="49"/>
      <c r="F480" s="49"/>
      <c r="J480" s="49"/>
    </row>
    <row r="481" spans="4:10" ht="13">
      <c r="D481" s="49"/>
      <c r="E481" s="49"/>
      <c r="F481" s="49"/>
      <c r="J481" s="49"/>
    </row>
    <row r="482" spans="4:10" ht="13">
      <c r="D482" s="49"/>
      <c r="E482" s="49"/>
      <c r="F482" s="49"/>
      <c r="J482" s="49"/>
    </row>
    <row r="483" spans="4:10" ht="13">
      <c r="D483" s="49"/>
      <c r="E483" s="49"/>
      <c r="F483" s="49"/>
      <c r="J483" s="49"/>
    </row>
    <row r="484" spans="4:10" ht="13">
      <c r="D484" s="49"/>
      <c r="E484" s="49"/>
      <c r="F484" s="49"/>
      <c r="J484" s="49"/>
    </row>
    <row r="485" spans="4:10" ht="13">
      <c r="D485" s="49"/>
      <c r="E485" s="49"/>
      <c r="F485" s="49"/>
      <c r="J485" s="49"/>
    </row>
    <row r="486" spans="4:10" ht="13">
      <c r="D486" s="49"/>
      <c r="E486" s="49"/>
      <c r="F486" s="49"/>
      <c r="J486" s="49"/>
    </row>
    <row r="487" spans="4:10" ht="13">
      <c r="D487" s="49"/>
      <c r="E487" s="49"/>
      <c r="F487" s="49"/>
      <c r="J487" s="49"/>
    </row>
    <row r="488" spans="4:10" ht="13">
      <c r="D488" s="49"/>
      <c r="E488" s="49"/>
      <c r="F488" s="49"/>
      <c r="J488" s="49"/>
    </row>
    <row r="489" spans="4:10" ht="13">
      <c r="D489" s="49"/>
      <c r="E489" s="49"/>
      <c r="F489" s="49"/>
      <c r="J489" s="49"/>
    </row>
    <row r="490" spans="4:10" ht="13">
      <c r="D490" s="49"/>
      <c r="E490" s="49"/>
      <c r="F490" s="49"/>
      <c r="J490" s="49"/>
    </row>
    <row r="491" spans="4:10" ht="13">
      <c r="D491" s="49"/>
      <c r="E491" s="49"/>
      <c r="F491" s="49"/>
      <c r="J491" s="49"/>
    </row>
    <row r="492" spans="4:10" ht="13">
      <c r="D492" s="49"/>
      <c r="E492" s="49"/>
      <c r="F492" s="49"/>
      <c r="J492" s="49"/>
    </row>
    <row r="493" spans="4:10" ht="13">
      <c r="D493" s="49"/>
      <c r="E493" s="49"/>
      <c r="F493" s="49"/>
      <c r="J493" s="49"/>
    </row>
    <row r="494" spans="4:10" ht="13">
      <c r="D494" s="49"/>
      <c r="E494" s="49"/>
      <c r="F494" s="49"/>
      <c r="J494" s="49"/>
    </row>
    <row r="495" spans="4:10" ht="13">
      <c r="D495" s="49"/>
      <c r="E495" s="49"/>
      <c r="F495" s="49"/>
      <c r="J495" s="49"/>
    </row>
    <row r="496" spans="4:10" ht="13">
      <c r="D496" s="49"/>
      <c r="E496" s="49"/>
      <c r="F496" s="49"/>
      <c r="J496" s="49"/>
    </row>
    <row r="497" spans="4:10" ht="13">
      <c r="D497" s="49"/>
      <c r="E497" s="49"/>
      <c r="F497" s="49"/>
      <c r="J497" s="49"/>
    </row>
    <row r="498" spans="4:10" ht="13">
      <c r="D498" s="49"/>
      <c r="E498" s="49"/>
      <c r="F498" s="49"/>
      <c r="J498" s="49"/>
    </row>
    <row r="499" spans="4:10" ht="13">
      <c r="D499" s="49"/>
      <c r="E499" s="49"/>
      <c r="F499" s="49"/>
      <c r="J499" s="49"/>
    </row>
    <row r="500" spans="4:10" ht="13">
      <c r="D500" s="49"/>
      <c r="E500" s="49"/>
      <c r="F500" s="49"/>
      <c r="J500" s="49"/>
    </row>
    <row r="501" spans="4:10" ht="13">
      <c r="D501" s="49"/>
      <c r="E501" s="49"/>
      <c r="F501" s="49"/>
      <c r="J501" s="49"/>
    </row>
    <row r="502" spans="4:10" ht="13">
      <c r="D502" s="49"/>
      <c r="E502" s="49"/>
      <c r="F502" s="49"/>
      <c r="J502" s="49"/>
    </row>
    <row r="503" spans="4:10" ht="13">
      <c r="D503" s="49"/>
      <c r="E503" s="49"/>
      <c r="F503" s="49"/>
      <c r="J503" s="49"/>
    </row>
    <row r="504" spans="4:10" ht="13">
      <c r="D504" s="49"/>
      <c r="E504" s="49"/>
      <c r="F504" s="49"/>
      <c r="J504" s="49"/>
    </row>
    <row r="505" spans="4:10" ht="13">
      <c r="D505" s="49"/>
      <c r="E505" s="49"/>
      <c r="F505" s="49"/>
      <c r="J505" s="49"/>
    </row>
    <row r="506" spans="4:10" ht="13">
      <c r="D506" s="49"/>
      <c r="E506" s="49"/>
      <c r="F506" s="49"/>
      <c r="J506" s="49"/>
    </row>
    <row r="507" spans="4:10" ht="13">
      <c r="D507" s="49"/>
      <c r="E507" s="49"/>
      <c r="F507" s="49"/>
      <c r="J507" s="49"/>
    </row>
    <row r="508" spans="4:10" ht="13">
      <c r="D508" s="49"/>
      <c r="E508" s="49"/>
      <c r="F508" s="49"/>
      <c r="J508" s="49"/>
    </row>
    <row r="509" spans="4:10" ht="13">
      <c r="D509" s="49"/>
      <c r="E509" s="49"/>
      <c r="F509" s="49"/>
      <c r="J509" s="49"/>
    </row>
    <row r="510" spans="4:10" ht="13">
      <c r="D510" s="49"/>
      <c r="E510" s="49"/>
      <c r="F510" s="49"/>
      <c r="J510" s="49"/>
    </row>
    <row r="511" spans="4:10" ht="13">
      <c r="D511" s="49"/>
      <c r="E511" s="49"/>
      <c r="F511" s="49"/>
      <c r="J511" s="49"/>
    </row>
    <row r="512" spans="4:10" ht="13">
      <c r="D512" s="49"/>
      <c r="E512" s="49"/>
      <c r="F512" s="49"/>
      <c r="J512" s="49"/>
    </row>
    <row r="513" spans="4:10" ht="13">
      <c r="D513" s="49"/>
      <c r="E513" s="49"/>
      <c r="F513" s="49"/>
      <c r="J513" s="49"/>
    </row>
    <row r="514" spans="4:10" ht="13">
      <c r="D514" s="49"/>
      <c r="E514" s="49"/>
      <c r="F514" s="49"/>
      <c r="J514" s="49"/>
    </row>
    <row r="515" spans="4:10" ht="13">
      <c r="D515" s="49"/>
      <c r="E515" s="49"/>
      <c r="F515" s="49"/>
      <c r="J515" s="49"/>
    </row>
    <row r="516" spans="4:10" ht="13">
      <c r="D516" s="49"/>
      <c r="E516" s="49"/>
      <c r="F516" s="49"/>
      <c r="J516" s="49"/>
    </row>
    <row r="517" spans="4:10" ht="13">
      <c r="D517" s="49"/>
      <c r="E517" s="49"/>
      <c r="F517" s="49"/>
      <c r="J517" s="49"/>
    </row>
    <row r="518" spans="4:10" ht="13">
      <c r="D518" s="49"/>
      <c r="E518" s="49"/>
      <c r="F518" s="49"/>
      <c r="J518" s="49"/>
    </row>
    <row r="519" spans="4:10" ht="13">
      <c r="D519" s="49"/>
      <c r="E519" s="49"/>
      <c r="F519" s="49"/>
      <c r="J519" s="49"/>
    </row>
    <row r="520" spans="4:10" ht="13">
      <c r="D520" s="49"/>
      <c r="E520" s="49"/>
      <c r="F520" s="49"/>
      <c r="J520" s="49"/>
    </row>
    <row r="521" spans="4:10" ht="13">
      <c r="D521" s="49"/>
      <c r="E521" s="49"/>
      <c r="F521" s="49"/>
      <c r="J521" s="49"/>
    </row>
    <row r="522" spans="4:10" ht="13">
      <c r="D522" s="49"/>
      <c r="E522" s="49"/>
      <c r="F522" s="49"/>
      <c r="J522" s="49"/>
    </row>
    <row r="523" spans="4:10" ht="13">
      <c r="D523" s="49"/>
      <c r="E523" s="49"/>
      <c r="F523" s="49"/>
      <c r="J523" s="49"/>
    </row>
    <row r="524" spans="4:10" ht="13">
      <c r="D524" s="49"/>
      <c r="E524" s="49"/>
      <c r="F524" s="49"/>
      <c r="J524" s="49"/>
    </row>
    <row r="525" spans="4:10" ht="13">
      <c r="D525" s="49"/>
      <c r="E525" s="49"/>
      <c r="F525" s="49"/>
      <c r="J525" s="49"/>
    </row>
    <row r="526" spans="4:10" ht="13">
      <c r="D526" s="49"/>
      <c r="E526" s="49"/>
      <c r="F526" s="49"/>
      <c r="J526" s="49"/>
    </row>
    <row r="527" spans="4:10" ht="13">
      <c r="D527" s="49"/>
      <c r="E527" s="49"/>
      <c r="F527" s="49"/>
      <c r="J527" s="49"/>
    </row>
    <row r="528" spans="4:10" ht="13">
      <c r="D528" s="49"/>
      <c r="E528" s="49"/>
      <c r="F528" s="49"/>
      <c r="J528" s="49"/>
    </row>
    <row r="529" spans="4:10" ht="13">
      <c r="D529" s="49"/>
      <c r="E529" s="49"/>
      <c r="F529" s="49"/>
      <c r="J529" s="49"/>
    </row>
    <row r="530" spans="4:10" ht="13">
      <c r="D530" s="49"/>
      <c r="E530" s="49"/>
      <c r="F530" s="49"/>
      <c r="J530" s="49"/>
    </row>
    <row r="531" spans="4:10" ht="13">
      <c r="D531" s="49"/>
      <c r="E531" s="49"/>
      <c r="F531" s="49"/>
      <c r="J531" s="49"/>
    </row>
    <row r="532" spans="4:10" ht="13">
      <c r="D532" s="49"/>
      <c r="E532" s="49"/>
      <c r="F532" s="49"/>
      <c r="J532" s="49"/>
    </row>
    <row r="533" spans="4:10" ht="13">
      <c r="D533" s="49"/>
      <c r="E533" s="49"/>
      <c r="F533" s="49"/>
      <c r="J533" s="49"/>
    </row>
    <row r="534" spans="4:10" ht="13">
      <c r="D534" s="49"/>
      <c r="E534" s="49"/>
      <c r="F534" s="49"/>
      <c r="J534" s="49"/>
    </row>
    <row r="535" spans="4:10" ht="13">
      <c r="D535" s="49"/>
      <c r="E535" s="49"/>
      <c r="F535" s="49"/>
      <c r="J535" s="49"/>
    </row>
    <row r="536" spans="4:10" ht="13">
      <c r="D536" s="49"/>
      <c r="E536" s="49"/>
      <c r="F536" s="49"/>
      <c r="J536" s="49"/>
    </row>
    <row r="537" spans="4:10" ht="13">
      <c r="D537" s="49"/>
      <c r="E537" s="49"/>
      <c r="F537" s="49"/>
      <c r="J537" s="49"/>
    </row>
    <row r="538" spans="4:10" ht="13">
      <c r="D538" s="49"/>
      <c r="E538" s="49"/>
      <c r="F538" s="49"/>
      <c r="J538" s="49"/>
    </row>
    <row r="539" spans="4:10" ht="13">
      <c r="D539" s="49"/>
      <c r="E539" s="49"/>
      <c r="F539" s="49"/>
      <c r="J539" s="49"/>
    </row>
    <row r="540" spans="4:10" ht="13">
      <c r="D540" s="49"/>
      <c r="E540" s="49"/>
      <c r="F540" s="49"/>
      <c r="J540" s="49"/>
    </row>
    <row r="541" spans="4:10" ht="13">
      <c r="D541" s="49"/>
      <c r="E541" s="49"/>
      <c r="F541" s="49"/>
      <c r="J541" s="49"/>
    </row>
    <row r="542" spans="4:10" ht="13">
      <c r="D542" s="49"/>
      <c r="E542" s="49"/>
      <c r="F542" s="49"/>
      <c r="J542" s="49"/>
    </row>
    <row r="543" spans="4:10" ht="13">
      <c r="D543" s="49"/>
      <c r="E543" s="49"/>
      <c r="F543" s="49"/>
      <c r="J543" s="49"/>
    </row>
    <row r="544" spans="4:10" ht="13">
      <c r="D544" s="49"/>
      <c r="E544" s="49"/>
      <c r="F544" s="49"/>
      <c r="J544" s="49"/>
    </row>
    <row r="545" spans="4:10" ht="13">
      <c r="D545" s="49"/>
      <c r="E545" s="49"/>
      <c r="F545" s="49"/>
      <c r="J545" s="49"/>
    </row>
    <row r="546" spans="4:10" ht="13">
      <c r="D546" s="49"/>
      <c r="E546" s="49"/>
      <c r="F546" s="49"/>
      <c r="J546" s="49"/>
    </row>
    <row r="547" spans="4:10" ht="13">
      <c r="D547" s="49"/>
      <c r="E547" s="49"/>
      <c r="F547" s="49"/>
      <c r="J547" s="49"/>
    </row>
    <row r="548" spans="4:10" ht="13">
      <c r="D548" s="49"/>
      <c r="E548" s="49"/>
      <c r="F548" s="49"/>
      <c r="J548" s="49"/>
    </row>
    <row r="549" spans="4:10" ht="13">
      <c r="D549" s="49"/>
      <c r="E549" s="49"/>
      <c r="F549" s="49"/>
      <c r="J549" s="49"/>
    </row>
    <row r="550" spans="4:10" ht="13">
      <c r="D550" s="49"/>
      <c r="E550" s="49"/>
      <c r="F550" s="49"/>
      <c r="J550" s="49"/>
    </row>
    <row r="551" spans="4:10" ht="13">
      <c r="D551" s="49"/>
      <c r="E551" s="49"/>
      <c r="F551" s="49"/>
      <c r="J551" s="49"/>
    </row>
    <row r="552" spans="4:10" ht="13">
      <c r="D552" s="49"/>
      <c r="E552" s="49"/>
      <c r="F552" s="49"/>
      <c r="J552" s="49"/>
    </row>
    <row r="553" spans="4:10" ht="13">
      <c r="D553" s="49"/>
      <c r="E553" s="49"/>
      <c r="F553" s="49"/>
      <c r="J553" s="49"/>
    </row>
    <row r="554" spans="4:10" ht="13">
      <c r="D554" s="49"/>
      <c r="E554" s="49"/>
      <c r="F554" s="49"/>
      <c r="J554" s="49"/>
    </row>
    <row r="555" spans="4:10" ht="13">
      <c r="D555" s="49"/>
      <c r="E555" s="49"/>
      <c r="F555" s="49"/>
      <c r="J555" s="49"/>
    </row>
    <row r="556" spans="4:10" ht="13">
      <c r="D556" s="49"/>
      <c r="E556" s="49"/>
      <c r="F556" s="49"/>
      <c r="J556" s="49"/>
    </row>
    <row r="557" spans="4:10" ht="13">
      <c r="D557" s="49"/>
      <c r="E557" s="49"/>
      <c r="F557" s="49"/>
      <c r="J557" s="49"/>
    </row>
    <row r="558" spans="4:10" ht="13">
      <c r="D558" s="49"/>
      <c r="E558" s="49"/>
      <c r="F558" s="49"/>
      <c r="J558" s="49"/>
    </row>
    <row r="559" spans="4:10" ht="13">
      <c r="D559" s="49"/>
      <c r="E559" s="49"/>
      <c r="F559" s="49"/>
      <c r="J559" s="49"/>
    </row>
    <row r="560" spans="4:10" ht="13">
      <c r="D560" s="49"/>
      <c r="E560" s="49"/>
      <c r="F560" s="49"/>
      <c r="J560" s="49"/>
    </row>
    <row r="561" spans="4:10" ht="13">
      <c r="D561" s="49"/>
      <c r="E561" s="49"/>
      <c r="F561" s="49"/>
      <c r="J561" s="49"/>
    </row>
    <row r="562" spans="4:10" ht="13">
      <c r="D562" s="49"/>
      <c r="E562" s="49"/>
      <c r="F562" s="49"/>
      <c r="J562" s="49"/>
    </row>
    <row r="563" spans="4:10" ht="13">
      <c r="D563" s="49"/>
      <c r="E563" s="49"/>
      <c r="F563" s="49"/>
      <c r="J563" s="49"/>
    </row>
    <row r="564" spans="4:10" ht="13">
      <c r="D564" s="49"/>
      <c r="E564" s="49"/>
      <c r="F564" s="49"/>
      <c r="J564" s="49"/>
    </row>
    <row r="565" spans="4:10" ht="13">
      <c r="D565" s="49"/>
      <c r="E565" s="49"/>
      <c r="F565" s="49"/>
      <c r="J565" s="49"/>
    </row>
    <row r="566" spans="4:10" ht="13">
      <c r="D566" s="49"/>
      <c r="E566" s="49"/>
      <c r="F566" s="49"/>
      <c r="J566" s="49"/>
    </row>
    <row r="567" spans="4:10" ht="13">
      <c r="D567" s="49"/>
      <c r="E567" s="49"/>
      <c r="F567" s="49"/>
      <c r="J567" s="49"/>
    </row>
    <row r="568" spans="4:10" ht="13">
      <c r="D568" s="49"/>
      <c r="E568" s="49"/>
      <c r="F568" s="49"/>
      <c r="J568" s="49"/>
    </row>
    <row r="569" spans="4:10" ht="13">
      <c r="D569" s="49"/>
      <c r="E569" s="49"/>
      <c r="F569" s="49"/>
      <c r="J569" s="49"/>
    </row>
    <row r="570" spans="4:10" ht="13">
      <c r="D570" s="49"/>
      <c r="E570" s="49"/>
      <c r="F570" s="49"/>
      <c r="J570" s="49"/>
    </row>
    <row r="571" spans="4:10" ht="13">
      <c r="D571" s="49"/>
      <c r="E571" s="49"/>
      <c r="F571" s="49"/>
      <c r="J571" s="49"/>
    </row>
    <row r="572" spans="4:10" ht="13">
      <c r="D572" s="49"/>
      <c r="E572" s="49"/>
      <c r="F572" s="49"/>
      <c r="J572" s="49"/>
    </row>
    <row r="573" spans="4:10" ht="13">
      <c r="D573" s="49"/>
      <c r="E573" s="49"/>
      <c r="F573" s="49"/>
      <c r="J573" s="49"/>
    </row>
    <row r="574" spans="4:10" ht="13">
      <c r="D574" s="49"/>
      <c r="E574" s="49"/>
      <c r="F574" s="49"/>
      <c r="J574" s="49"/>
    </row>
    <row r="575" spans="4:10" ht="13">
      <c r="D575" s="49"/>
      <c r="E575" s="49"/>
      <c r="F575" s="49"/>
      <c r="J575" s="49"/>
    </row>
    <row r="576" spans="4:10" ht="13">
      <c r="D576" s="49"/>
      <c r="E576" s="49"/>
      <c r="F576" s="49"/>
      <c r="J576" s="49"/>
    </row>
    <row r="577" spans="4:10" ht="13">
      <c r="D577" s="49"/>
      <c r="E577" s="49"/>
      <c r="F577" s="49"/>
      <c r="J577" s="49"/>
    </row>
    <row r="578" spans="4:10" ht="13">
      <c r="D578" s="49"/>
      <c r="E578" s="49"/>
      <c r="F578" s="49"/>
      <c r="J578" s="49"/>
    </row>
    <row r="579" spans="4:10" ht="13">
      <c r="D579" s="49"/>
      <c r="E579" s="49"/>
      <c r="F579" s="49"/>
      <c r="J579" s="49"/>
    </row>
    <row r="580" spans="4:10" ht="13">
      <c r="D580" s="49"/>
      <c r="E580" s="49"/>
      <c r="F580" s="49"/>
      <c r="J580" s="49"/>
    </row>
    <row r="581" spans="4:10" ht="13">
      <c r="D581" s="49"/>
      <c r="E581" s="49"/>
      <c r="F581" s="49"/>
      <c r="J581" s="49"/>
    </row>
    <row r="582" spans="4:10" ht="13">
      <c r="D582" s="49"/>
      <c r="E582" s="49"/>
      <c r="F582" s="49"/>
      <c r="J582" s="49"/>
    </row>
    <row r="583" spans="4:10" ht="13">
      <c r="D583" s="49"/>
      <c r="E583" s="49"/>
      <c r="F583" s="49"/>
      <c r="J583" s="49"/>
    </row>
    <row r="584" spans="4:10" ht="13">
      <c r="D584" s="49"/>
      <c r="E584" s="49"/>
      <c r="F584" s="49"/>
      <c r="J584" s="49"/>
    </row>
    <row r="585" spans="4:10" ht="13">
      <c r="D585" s="49"/>
      <c r="E585" s="49"/>
      <c r="F585" s="49"/>
      <c r="J585" s="49"/>
    </row>
    <row r="586" spans="4:10" ht="13">
      <c r="D586" s="49"/>
      <c r="E586" s="49"/>
      <c r="F586" s="49"/>
      <c r="J586" s="49"/>
    </row>
    <row r="587" spans="4:10" ht="13">
      <c r="D587" s="49"/>
      <c r="E587" s="49"/>
      <c r="F587" s="49"/>
      <c r="J587" s="49"/>
    </row>
    <row r="588" spans="4:10" ht="13">
      <c r="D588" s="49"/>
      <c r="E588" s="49"/>
      <c r="F588" s="49"/>
      <c r="J588" s="49"/>
    </row>
    <row r="589" spans="4:10" ht="13">
      <c r="D589" s="49"/>
      <c r="E589" s="49"/>
      <c r="F589" s="49"/>
      <c r="J589" s="49"/>
    </row>
    <row r="590" spans="4:10" ht="13">
      <c r="D590" s="49"/>
      <c r="E590" s="49"/>
      <c r="F590" s="49"/>
      <c r="J590" s="49"/>
    </row>
    <row r="591" spans="4:10" ht="13">
      <c r="D591" s="49"/>
      <c r="E591" s="49"/>
      <c r="F591" s="49"/>
      <c r="J591" s="49"/>
    </row>
    <row r="592" spans="4:10" ht="13">
      <c r="D592" s="49"/>
      <c r="E592" s="49"/>
      <c r="F592" s="49"/>
      <c r="J592" s="49"/>
    </row>
    <row r="593" spans="4:10" ht="13">
      <c r="D593" s="49"/>
      <c r="E593" s="49"/>
      <c r="F593" s="49"/>
      <c r="J593" s="49"/>
    </row>
    <row r="594" spans="4:10" ht="13">
      <c r="D594" s="49"/>
      <c r="E594" s="49"/>
      <c r="F594" s="49"/>
      <c r="J594" s="49"/>
    </row>
    <row r="595" spans="4:10" ht="13">
      <c r="D595" s="49"/>
      <c r="E595" s="49"/>
      <c r="F595" s="49"/>
      <c r="J595" s="49"/>
    </row>
    <row r="596" spans="4:10" ht="13">
      <c r="D596" s="49"/>
      <c r="E596" s="49"/>
      <c r="F596" s="49"/>
      <c r="J596" s="49"/>
    </row>
    <row r="597" spans="4:10" ht="13">
      <c r="D597" s="49"/>
      <c r="E597" s="49"/>
      <c r="F597" s="49"/>
      <c r="J597" s="49"/>
    </row>
    <row r="598" spans="4:10" ht="13">
      <c r="D598" s="49"/>
      <c r="E598" s="49"/>
      <c r="F598" s="49"/>
      <c r="J598" s="49"/>
    </row>
    <row r="599" spans="4:10" ht="13">
      <c r="D599" s="49"/>
      <c r="E599" s="49"/>
      <c r="F599" s="49"/>
      <c r="J599" s="49"/>
    </row>
    <row r="600" spans="4:10" ht="13">
      <c r="D600" s="49"/>
      <c r="E600" s="49"/>
      <c r="F600" s="49"/>
      <c r="J600" s="49"/>
    </row>
    <row r="601" spans="4:10" ht="13">
      <c r="D601" s="49"/>
      <c r="E601" s="49"/>
      <c r="F601" s="49"/>
      <c r="J601" s="49"/>
    </row>
    <row r="602" spans="4:10" ht="13">
      <c r="D602" s="49"/>
      <c r="E602" s="49"/>
      <c r="F602" s="49"/>
      <c r="J602" s="49"/>
    </row>
    <row r="603" spans="4:10" ht="13">
      <c r="D603" s="49"/>
      <c r="E603" s="49"/>
      <c r="F603" s="49"/>
      <c r="J603" s="49"/>
    </row>
    <row r="604" spans="4:10" ht="13">
      <c r="D604" s="49"/>
      <c r="E604" s="49"/>
      <c r="F604" s="49"/>
      <c r="J604" s="49"/>
    </row>
    <row r="605" spans="4:10" ht="13">
      <c r="D605" s="49"/>
      <c r="E605" s="49"/>
      <c r="F605" s="49"/>
      <c r="J605" s="49"/>
    </row>
    <row r="606" spans="4:10" ht="13">
      <c r="D606" s="49"/>
      <c r="E606" s="49"/>
      <c r="F606" s="49"/>
      <c r="J606" s="49"/>
    </row>
    <row r="607" spans="4:10" ht="13">
      <c r="D607" s="49"/>
      <c r="E607" s="49"/>
      <c r="F607" s="49"/>
      <c r="J607" s="49"/>
    </row>
    <row r="608" spans="4:10" ht="13">
      <c r="D608" s="49"/>
      <c r="E608" s="49"/>
      <c r="F608" s="49"/>
      <c r="J608" s="49"/>
    </row>
    <row r="609" spans="4:10" ht="13">
      <c r="D609" s="49"/>
      <c r="E609" s="49"/>
      <c r="F609" s="49"/>
      <c r="J609" s="49"/>
    </row>
    <row r="610" spans="4:10" ht="13">
      <c r="D610" s="49"/>
      <c r="E610" s="49"/>
      <c r="F610" s="49"/>
      <c r="J610" s="49"/>
    </row>
    <row r="611" spans="4:10" ht="13">
      <c r="D611" s="49"/>
      <c r="E611" s="49"/>
      <c r="F611" s="49"/>
      <c r="J611" s="49"/>
    </row>
    <row r="612" spans="4:10" ht="13">
      <c r="D612" s="49"/>
      <c r="E612" s="49"/>
      <c r="F612" s="49"/>
      <c r="J612" s="49"/>
    </row>
    <row r="613" spans="4:10" ht="13">
      <c r="D613" s="49"/>
      <c r="E613" s="49"/>
      <c r="F613" s="49"/>
      <c r="J613" s="49"/>
    </row>
    <row r="614" spans="4:10" ht="13">
      <c r="D614" s="49"/>
      <c r="E614" s="49"/>
      <c r="F614" s="49"/>
      <c r="J614" s="49"/>
    </row>
    <row r="615" spans="4:10" ht="13">
      <c r="D615" s="49"/>
      <c r="E615" s="49"/>
      <c r="F615" s="49"/>
      <c r="J615" s="49"/>
    </row>
    <row r="616" spans="4:10" ht="13">
      <c r="D616" s="49"/>
      <c r="E616" s="49"/>
      <c r="F616" s="49"/>
      <c r="J616" s="49"/>
    </row>
    <row r="617" spans="4:10" ht="13">
      <c r="D617" s="49"/>
      <c r="E617" s="49"/>
      <c r="F617" s="49"/>
      <c r="J617" s="49"/>
    </row>
    <row r="618" spans="4:10" ht="13">
      <c r="D618" s="49"/>
      <c r="E618" s="49"/>
      <c r="F618" s="49"/>
      <c r="J618" s="49"/>
    </row>
    <row r="619" spans="4:10" ht="13">
      <c r="D619" s="49"/>
      <c r="E619" s="49"/>
      <c r="F619" s="49"/>
      <c r="J619" s="49"/>
    </row>
    <row r="620" spans="4:10" ht="13">
      <c r="D620" s="49"/>
      <c r="E620" s="49"/>
      <c r="F620" s="49"/>
      <c r="J620" s="49"/>
    </row>
    <row r="621" spans="4:10" ht="13">
      <c r="D621" s="49"/>
      <c r="E621" s="49"/>
      <c r="F621" s="49"/>
      <c r="J621" s="49"/>
    </row>
    <row r="622" spans="4:10" ht="13">
      <c r="D622" s="49"/>
      <c r="E622" s="49"/>
      <c r="F622" s="49"/>
      <c r="J622" s="49"/>
    </row>
    <row r="623" spans="4:10" ht="13">
      <c r="D623" s="49"/>
      <c r="E623" s="49"/>
      <c r="F623" s="49"/>
      <c r="J623" s="49"/>
    </row>
    <row r="624" spans="4:10" ht="13">
      <c r="D624" s="49"/>
      <c r="E624" s="49"/>
      <c r="F624" s="49"/>
      <c r="J624" s="49"/>
    </row>
    <row r="625" spans="4:10" ht="13">
      <c r="D625" s="49"/>
      <c r="E625" s="49"/>
      <c r="F625" s="49"/>
      <c r="J625" s="49"/>
    </row>
    <row r="626" spans="4:10" ht="13">
      <c r="D626" s="49"/>
      <c r="E626" s="49"/>
      <c r="F626" s="49"/>
      <c r="J626" s="49"/>
    </row>
    <row r="627" spans="4:10" ht="13">
      <c r="D627" s="49"/>
      <c r="E627" s="49"/>
      <c r="F627" s="49"/>
      <c r="J627" s="49"/>
    </row>
    <row r="628" spans="4:10" ht="13">
      <c r="D628" s="49"/>
      <c r="E628" s="49"/>
      <c r="F628" s="49"/>
      <c r="J628" s="49"/>
    </row>
    <row r="629" spans="4:10" ht="13">
      <c r="D629" s="49"/>
      <c r="E629" s="49"/>
      <c r="F629" s="49"/>
      <c r="J629" s="49"/>
    </row>
    <row r="630" spans="4:10" ht="13">
      <c r="D630" s="49"/>
      <c r="E630" s="49"/>
      <c r="F630" s="49"/>
      <c r="J630" s="49"/>
    </row>
    <row r="631" spans="4:10" ht="13">
      <c r="D631" s="49"/>
      <c r="E631" s="49"/>
      <c r="F631" s="49"/>
      <c r="J631" s="49"/>
    </row>
    <row r="632" spans="4:10" ht="13">
      <c r="D632" s="49"/>
      <c r="E632" s="49"/>
      <c r="F632" s="49"/>
      <c r="J632" s="49"/>
    </row>
    <row r="633" spans="4:10" ht="13">
      <c r="D633" s="49"/>
      <c r="E633" s="49"/>
      <c r="F633" s="49"/>
      <c r="J633" s="49"/>
    </row>
    <row r="634" spans="4:10" ht="13">
      <c r="D634" s="49"/>
      <c r="E634" s="49"/>
      <c r="F634" s="49"/>
      <c r="J634" s="49"/>
    </row>
    <row r="635" spans="4:10" ht="13">
      <c r="D635" s="49"/>
      <c r="E635" s="49"/>
      <c r="F635" s="49"/>
      <c r="J635" s="49"/>
    </row>
    <row r="636" spans="4:10" ht="13">
      <c r="D636" s="49"/>
      <c r="E636" s="49"/>
      <c r="F636" s="49"/>
      <c r="J636" s="49"/>
    </row>
    <row r="637" spans="4:10" ht="13">
      <c r="D637" s="49"/>
      <c r="E637" s="49"/>
      <c r="F637" s="49"/>
      <c r="J637" s="49"/>
    </row>
    <row r="638" spans="4:10" ht="13">
      <c r="D638" s="49"/>
      <c r="E638" s="49"/>
      <c r="F638" s="49"/>
      <c r="J638" s="49"/>
    </row>
    <row r="639" spans="4:10" ht="13">
      <c r="D639" s="49"/>
      <c r="E639" s="49"/>
      <c r="F639" s="49"/>
      <c r="J639" s="49"/>
    </row>
    <row r="640" spans="4:10" ht="13">
      <c r="D640" s="49"/>
      <c r="E640" s="49"/>
      <c r="F640" s="49"/>
      <c r="J640" s="49"/>
    </row>
    <row r="641" spans="4:10" ht="13">
      <c r="D641" s="49"/>
      <c r="E641" s="49"/>
      <c r="F641" s="49"/>
      <c r="J641" s="49"/>
    </row>
    <row r="642" spans="4:10" ht="13">
      <c r="D642" s="49"/>
      <c r="E642" s="49"/>
      <c r="F642" s="49"/>
      <c r="J642" s="49"/>
    </row>
    <row r="643" spans="4:10" ht="13">
      <c r="D643" s="49"/>
      <c r="E643" s="49"/>
      <c r="F643" s="49"/>
      <c r="J643" s="49"/>
    </row>
    <row r="644" spans="4:10" ht="13">
      <c r="D644" s="49"/>
      <c r="E644" s="49"/>
      <c r="F644" s="49"/>
      <c r="J644" s="49"/>
    </row>
    <row r="645" spans="4:10" ht="13">
      <c r="D645" s="49"/>
      <c r="E645" s="49"/>
      <c r="F645" s="49"/>
      <c r="J645" s="49"/>
    </row>
    <row r="646" spans="4:10" ht="13">
      <c r="D646" s="49"/>
      <c r="E646" s="49"/>
      <c r="F646" s="49"/>
      <c r="J646" s="49"/>
    </row>
    <row r="647" spans="4:10" ht="13">
      <c r="D647" s="49"/>
      <c r="E647" s="49"/>
      <c r="F647" s="49"/>
      <c r="J647" s="49"/>
    </row>
    <row r="648" spans="4:10" ht="13">
      <c r="D648" s="49"/>
      <c r="E648" s="49"/>
      <c r="F648" s="49"/>
      <c r="J648" s="49"/>
    </row>
    <row r="649" spans="4:10" ht="13">
      <c r="D649" s="49"/>
      <c r="E649" s="49"/>
      <c r="F649" s="49"/>
      <c r="J649" s="49"/>
    </row>
    <row r="650" spans="4:10" ht="13">
      <c r="D650" s="49"/>
      <c r="E650" s="49"/>
      <c r="F650" s="49"/>
      <c r="J650" s="49"/>
    </row>
    <row r="651" spans="4:10" ht="13">
      <c r="D651" s="49"/>
      <c r="E651" s="49"/>
      <c r="F651" s="49"/>
      <c r="J651" s="49"/>
    </row>
    <row r="652" spans="4:10" ht="13">
      <c r="D652" s="49"/>
      <c r="E652" s="49"/>
      <c r="F652" s="49"/>
      <c r="J652" s="49"/>
    </row>
    <row r="653" spans="4:10" ht="13">
      <c r="D653" s="49"/>
      <c r="E653" s="49"/>
      <c r="F653" s="49"/>
      <c r="J653" s="49"/>
    </row>
    <row r="654" spans="4:10" ht="13">
      <c r="D654" s="49"/>
      <c r="E654" s="49"/>
      <c r="F654" s="49"/>
      <c r="J654" s="49"/>
    </row>
    <row r="655" spans="4:10" ht="13">
      <c r="D655" s="49"/>
      <c r="E655" s="49"/>
      <c r="F655" s="49"/>
      <c r="J655" s="49"/>
    </row>
    <row r="656" spans="4:10" ht="13">
      <c r="D656" s="49"/>
      <c r="E656" s="49"/>
      <c r="F656" s="49"/>
      <c r="J656" s="49"/>
    </row>
    <row r="657" spans="4:10" ht="13">
      <c r="D657" s="49"/>
      <c r="E657" s="49"/>
      <c r="F657" s="49"/>
      <c r="J657" s="49"/>
    </row>
    <row r="658" spans="4:10" ht="13">
      <c r="D658" s="49"/>
      <c r="E658" s="49"/>
      <c r="F658" s="49"/>
      <c r="J658" s="49"/>
    </row>
    <row r="659" spans="4:10" ht="13">
      <c r="D659" s="49"/>
      <c r="E659" s="49"/>
      <c r="F659" s="49"/>
      <c r="J659" s="49"/>
    </row>
    <row r="660" spans="4:10" ht="13">
      <c r="D660" s="49"/>
      <c r="E660" s="49"/>
      <c r="F660" s="49"/>
      <c r="J660" s="49"/>
    </row>
    <row r="661" spans="4:10" ht="13">
      <c r="D661" s="49"/>
      <c r="E661" s="49"/>
      <c r="F661" s="49"/>
      <c r="J661" s="49"/>
    </row>
    <row r="662" spans="4:10" ht="13">
      <c r="D662" s="49"/>
      <c r="E662" s="49"/>
      <c r="F662" s="49"/>
      <c r="J662" s="49"/>
    </row>
    <row r="663" spans="4:10" ht="13">
      <c r="D663" s="49"/>
      <c r="E663" s="49"/>
      <c r="F663" s="49"/>
      <c r="J663" s="49"/>
    </row>
    <row r="664" spans="4:10" ht="13">
      <c r="D664" s="49"/>
      <c r="E664" s="49"/>
      <c r="F664" s="49"/>
      <c r="J664" s="49"/>
    </row>
    <row r="665" spans="4:10" ht="13">
      <c r="D665" s="49"/>
      <c r="E665" s="49"/>
      <c r="F665" s="49"/>
      <c r="J665" s="49"/>
    </row>
    <row r="666" spans="4:10" ht="13">
      <c r="D666" s="49"/>
      <c r="E666" s="49"/>
      <c r="F666" s="49"/>
      <c r="J666" s="49"/>
    </row>
    <row r="667" spans="4:10" ht="13">
      <c r="D667" s="49"/>
      <c r="E667" s="49"/>
      <c r="F667" s="49"/>
      <c r="J667" s="49"/>
    </row>
    <row r="668" spans="4:10" ht="13">
      <c r="D668" s="49"/>
      <c r="E668" s="49"/>
      <c r="F668" s="49"/>
      <c r="J668" s="49"/>
    </row>
    <row r="669" spans="4:10" ht="13">
      <c r="D669" s="49"/>
      <c r="E669" s="49"/>
      <c r="F669" s="49"/>
      <c r="J669" s="49"/>
    </row>
    <row r="670" spans="4:10" ht="13">
      <c r="D670" s="49"/>
      <c r="E670" s="49"/>
      <c r="F670" s="49"/>
      <c r="J670" s="49"/>
    </row>
    <row r="671" spans="4:10" ht="13">
      <c r="D671" s="49"/>
      <c r="E671" s="49"/>
      <c r="F671" s="49"/>
      <c r="J671" s="49"/>
    </row>
    <row r="672" spans="4:10" ht="13">
      <c r="D672" s="49"/>
      <c r="E672" s="49"/>
      <c r="F672" s="49"/>
      <c r="J672" s="49"/>
    </row>
    <row r="673" spans="4:10" ht="13">
      <c r="D673" s="49"/>
      <c r="E673" s="49"/>
      <c r="F673" s="49"/>
      <c r="J673" s="49"/>
    </row>
    <row r="674" spans="4:10" ht="13">
      <c r="D674" s="49"/>
      <c r="E674" s="49"/>
      <c r="F674" s="49"/>
      <c r="J674" s="49"/>
    </row>
    <row r="675" spans="4:10" ht="13">
      <c r="D675" s="49"/>
      <c r="E675" s="49"/>
      <c r="F675" s="49"/>
      <c r="J675" s="49"/>
    </row>
    <row r="676" spans="4:10" ht="13">
      <c r="D676" s="49"/>
      <c r="E676" s="49"/>
      <c r="F676" s="49"/>
      <c r="J676" s="49"/>
    </row>
    <row r="677" spans="4:10" ht="13">
      <c r="D677" s="49"/>
      <c r="E677" s="49"/>
      <c r="F677" s="49"/>
      <c r="J677" s="49"/>
    </row>
    <row r="678" spans="4:10" ht="13">
      <c r="D678" s="49"/>
      <c r="E678" s="49"/>
      <c r="F678" s="49"/>
      <c r="J678" s="49"/>
    </row>
    <row r="679" spans="4:10" ht="13">
      <c r="D679" s="49"/>
      <c r="E679" s="49"/>
      <c r="F679" s="49"/>
      <c r="J679" s="49"/>
    </row>
    <row r="680" spans="4:10" ht="13">
      <c r="D680" s="49"/>
      <c r="E680" s="49"/>
      <c r="F680" s="49"/>
      <c r="J680" s="49"/>
    </row>
    <row r="681" spans="4:10" ht="13">
      <c r="D681" s="49"/>
      <c r="E681" s="49"/>
      <c r="F681" s="49"/>
      <c r="J681" s="49"/>
    </row>
    <row r="682" spans="4:10" ht="13">
      <c r="D682" s="49"/>
      <c r="E682" s="49"/>
      <c r="F682" s="49"/>
      <c r="J682" s="49"/>
    </row>
    <row r="683" spans="4:10" ht="13">
      <c r="D683" s="49"/>
      <c r="E683" s="49"/>
      <c r="F683" s="49"/>
      <c r="J683" s="49"/>
    </row>
    <row r="684" spans="4:10" ht="13">
      <c r="D684" s="49"/>
      <c r="E684" s="49"/>
      <c r="F684" s="49"/>
      <c r="J684" s="49"/>
    </row>
    <row r="685" spans="4:10" ht="13">
      <c r="D685" s="49"/>
      <c r="E685" s="49"/>
      <c r="F685" s="49"/>
      <c r="J685" s="49"/>
    </row>
    <row r="686" spans="4:10" ht="13">
      <c r="D686" s="49"/>
      <c r="E686" s="49"/>
      <c r="F686" s="49"/>
      <c r="J686" s="49"/>
    </row>
    <row r="687" spans="4:10" ht="13">
      <c r="D687" s="49"/>
      <c r="E687" s="49"/>
      <c r="F687" s="49"/>
      <c r="J687" s="49"/>
    </row>
    <row r="688" spans="4:10" ht="13">
      <c r="D688" s="49"/>
      <c r="E688" s="49"/>
      <c r="F688" s="49"/>
      <c r="J688" s="49"/>
    </row>
    <row r="689" spans="4:10" ht="13">
      <c r="D689" s="49"/>
      <c r="E689" s="49"/>
      <c r="F689" s="49"/>
      <c r="J689" s="49"/>
    </row>
    <row r="690" spans="4:10" ht="13">
      <c r="D690" s="49"/>
      <c r="E690" s="49"/>
      <c r="F690" s="49"/>
      <c r="J690" s="49"/>
    </row>
    <row r="691" spans="4:10" ht="13">
      <c r="D691" s="49"/>
      <c r="E691" s="49"/>
      <c r="F691" s="49"/>
      <c r="J691" s="49"/>
    </row>
    <row r="692" spans="4:10" ht="13">
      <c r="D692" s="49"/>
      <c r="E692" s="49"/>
      <c r="F692" s="49"/>
      <c r="J692" s="49"/>
    </row>
    <row r="693" spans="4:10" ht="13">
      <c r="D693" s="49"/>
      <c r="E693" s="49"/>
      <c r="F693" s="49"/>
      <c r="J693" s="49"/>
    </row>
    <row r="694" spans="4:10" ht="13">
      <c r="D694" s="49"/>
      <c r="E694" s="49"/>
      <c r="F694" s="49"/>
      <c r="J694" s="49"/>
    </row>
    <row r="695" spans="4:10" ht="13">
      <c r="D695" s="49"/>
      <c r="E695" s="49"/>
      <c r="F695" s="49"/>
      <c r="J695" s="49"/>
    </row>
    <row r="696" spans="4:10" ht="13">
      <c r="D696" s="49"/>
      <c r="E696" s="49"/>
      <c r="F696" s="49"/>
      <c r="J696" s="49"/>
    </row>
    <row r="697" spans="4:10" ht="13">
      <c r="D697" s="49"/>
      <c r="E697" s="49"/>
      <c r="F697" s="49"/>
      <c r="J697" s="49"/>
    </row>
    <row r="698" spans="4:10" ht="13">
      <c r="D698" s="49"/>
      <c r="E698" s="49"/>
      <c r="F698" s="49"/>
      <c r="J698" s="49"/>
    </row>
    <row r="699" spans="4:10" ht="13">
      <c r="D699" s="49"/>
      <c r="E699" s="49"/>
      <c r="F699" s="49"/>
      <c r="J699" s="49"/>
    </row>
    <row r="700" spans="4:10" ht="13">
      <c r="D700" s="49"/>
      <c r="E700" s="49"/>
      <c r="F700" s="49"/>
      <c r="J700" s="49"/>
    </row>
    <row r="701" spans="4:10" ht="13">
      <c r="D701" s="49"/>
      <c r="E701" s="49"/>
      <c r="F701" s="49"/>
      <c r="J701" s="49"/>
    </row>
    <row r="702" spans="4:10" ht="13">
      <c r="D702" s="49"/>
      <c r="E702" s="49"/>
      <c r="F702" s="49"/>
      <c r="J702" s="49"/>
    </row>
    <row r="703" spans="4:10" ht="13">
      <c r="D703" s="49"/>
      <c r="E703" s="49"/>
      <c r="F703" s="49"/>
      <c r="J703" s="49"/>
    </row>
    <row r="704" spans="4:10" ht="13">
      <c r="D704" s="49"/>
      <c r="E704" s="49"/>
      <c r="F704" s="49"/>
      <c r="J704" s="49"/>
    </row>
    <row r="705" spans="4:10" ht="13">
      <c r="D705" s="49"/>
      <c r="E705" s="49"/>
      <c r="F705" s="49"/>
      <c r="J705" s="49"/>
    </row>
    <row r="706" spans="4:10" ht="13">
      <c r="D706" s="49"/>
      <c r="E706" s="49"/>
      <c r="F706" s="49"/>
      <c r="J706" s="49"/>
    </row>
    <row r="707" spans="4:10" ht="13">
      <c r="D707" s="49"/>
      <c r="E707" s="49"/>
      <c r="F707" s="49"/>
      <c r="J707" s="49"/>
    </row>
    <row r="708" spans="4:10" ht="13">
      <c r="D708" s="49"/>
      <c r="E708" s="49"/>
      <c r="F708" s="49"/>
      <c r="J708" s="49"/>
    </row>
    <row r="709" spans="4:10" ht="13">
      <c r="D709" s="49"/>
      <c r="E709" s="49"/>
      <c r="F709" s="49"/>
      <c r="J709" s="49"/>
    </row>
    <row r="710" spans="4:10" ht="13">
      <c r="D710" s="49"/>
      <c r="E710" s="49"/>
      <c r="F710" s="49"/>
      <c r="J710" s="49"/>
    </row>
    <row r="711" spans="4:10" ht="13">
      <c r="D711" s="49"/>
      <c r="E711" s="49"/>
      <c r="F711" s="49"/>
      <c r="J711" s="49"/>
    </row>
    <row r="712" spans="4:10" ht="13">
      <c r="D712" s="49"/>
      <c r="E712" s="49"/>
      <c r="F712" s="49"/>
      <c r="J712" s="49"/>
    </row>
    <row r="713" spans="4:10" ht="13">
      <c r="D713" s="49"/>
      <c r="E713" s="49"/>
      <c r="F713" s="49"/>
      <c r="J713" s="49"/>
    </row>
    <row r="714" spans="4:10" ht="13">
      <c r="D714" s="49"/>
      <c r="E714" s="49"/>
      <c r="F714" s="49"/>
      <c r="J714" s="49"/>
    </row>
    <row r="715" spans="4:10" ht="13">
      <c r="D715" s="49"/>
      <c r="E715" s="49"/>
      <c r="F715" s="49"/>
      <c r="J715" s="49"/>
    </row>
    <row r="716" spans="4:10" ht="13">
      <c r="D716" s="49"/>
      <c r="E716" s="49"/>
      <c r="F716" s="49"/>
      <c r="J716" s="49"/>
    </row>
    <row r="717" spans="4:10" ht="13">
      <c r="D717" s="49"/>
      <c r="E717" s="49"/>
      <c r="F717" s="49"/>
      <c r="J717" s="49"/>
    </row>
    <row r="718" spans="4:10" ht="13">
      <c r="D718" s="49"/>
      <c r="E718" s="49"/>
      <c r="F718" s="49"/>
      <c r="J718" s="49"/>
    </row>
    <row r="719" spans="4:10" ht="13">
      <c r="D719" s="49"/>
      <c r="E719" s="49"/>
      <c r="F719" s="49"/>
      <c r="J719" s="49"/>
    </row>
    <row r="720" spans="4:10" ht="13">
      <c r="D720" s="49"/>
      <c r="E720" s="49"/>
      <c r="F720" s="49"/>
      <c r="J720" s="49"/>
    </row>
    <row r="721" spans="4:10" ht="13">
      <c r="D721" s="49"/>
      <c r="E721" s="49"/>
      <c r="F721" s="49"/>
      <c r="J721" s="49"/>
    </row>
    <row r="722" spans="4:10" ht="13">
      <c r="D722" s="49"/>
      <c r="E722" s="49"/>
      <c r="F722" s="49"/>
      <c r="J722" s="49"/>
    </row>
    <row r="723" spans="4:10" ht="13">
      <c r="D723" s="49"/>
      <c r="E723" s="49"/>
      <c r="F723" s="49"/>
      <c r="J723" s="49"/>
    </row>
    <row r="724" spans="4:10" ht="13">
      <c r="D724" s="49"/>
      <c r="E724" s="49"/>
      <c r="F724" s="49"/>
      <c r="J724" s="49"/>
    </row>
    <row r="725" spans="4:10" ht="13">
      <c r="D725" s="49"/>
      <c r="E725" s="49"/>
      <c r="F725" s="49"/>
      <c r="J725" s="49"/>
    </row>
    <row r="726" spans="4:10" ht="13">
      <c r="D726" s="49"/>
      <c r="E726" s="49"/>
      <c r="F726" s="49"/>
      <c r="J726" s="49"/>
    </row>
    <row r="727" spans="4:10" ht="13">
      <c r="D727" s="49"/>
      <c r="E727" s="49"/>
      <c r="F727" s="49"/>
      <c r="J727" s="49"/>
    </row>
    <row r="728" spans="4:10" ht="13">
      <c r="D728" s="49"/>
      <c r="E728" s="49"/>
      <c r="F728" s="49"/>
      <c r="J728" s="49"/>
    </row>
    <row r="729" spans="4:10" ht="13">
      <c r="D729" s="49"/>
      <c r="E729" s="49"/>
      <c r="F729" s="49"/>
      <c r="J729" s="49"/>
    </row>
    <row r="730" spans="4:10" ht="13">
      <c r="D730" s="49"/>
      <c r="E730" s="49"/>
      <c r="F730" s="49"/>
      <c r="J730" s="49"/>
    </row>
    <row r="731" spans="4:10" ht="13">
      <c r="D731" s="49"/>
      <c r="E731" s="49"/>
      <c r="F731" s="49"/>
      <c r="J731" s="49"/>
    </row>
    <row r="732" spans="4:10" ht="13">
      <c r="D732" s="49"/>
      <c r="E732" s="49"/>
      <c r="F732" s="49"/>
      <c r="J732" s="49"/>
    </row>
    <row r="733" spans="4:10" ht="13">
      <c r="D733" s="49"/>
      <c r="E733" s="49"/>
      <c r="F733" s="49"/>
      <c r="J733" s="49"/>
    </row>
    <row r="734" spans="4:10" ht="13">
      <c r="D734" s="49"/>
      <c r="E734" s="49"/>
      <c r="F734" s="49"/>
      <c r="J734" s="49"/>
    </row>
    <row r="735" spans="4:10" ht="13">
      <c r="D735" s="49"/>
      <c r="E735" s="49"/>
      <c r="F735" s="49"/>
      <c r="J735" s="49"/>
    </row>
    <row r="736" spans="4:10" ht="13">
      <c r="D736" s="49"/>
      <c r="E736" s="49"/>
      <c r="F736" s="49"/>
      <c r="J736" s="49"/>
    </row>
    <row r="737" spans="4:10" ht="13">
      <c r="D737" s="49"/>
      <c r="E737" s="49"/>
      <c r="F737" s="49"/>
      <c r="J737" s="49"/>
    </row>
    <row r="738" spans="4:10" ht="13">
      <c r="D738" s="49"/>
      <c r="E738" s="49"/>
      <c r="F738" s="49"/>
      <c r="J738" s="49"/>
    </row>
    <row r="739" spans="4:10" ht="13">
      <c r="D739" s="49"/>
      <c r="E739" s="49"/>
      <c r="F739" s="49"/>
      <c r="J739" s="49"/>
    </row>
    <row r="740" spans="4:10" ht="13">
      <c r="D740" s="49"/>
      <c r="E740" s="49"/>
      <c r="F740" s="49"/>
      <c r="J740" s="49"/>
    </row>
    <row r="741" spans="4:10" ht="13">
      <c r="D741" s="49"/>
      <c r="E741" s="49"/>
      <c r="F741" s="49"/>
      <c r="J741" s="49"/>
    </row>
    <row r="742" spans="4:10" ht="13">
      <c r="D742" s="49"/>
      <c r="E742" s="49"/>
      <c r="F742" s="49"/>
      <c r="J742" s="49"/>
    </row>
    <row r="743" spans="4:10" ht="13">
      <c r="D743" s="49"/>
      <c r="E743" s="49"/>
      <c r="F743" s="49"/>
      <c r="J743" s="49"/>
    </row>
    <row r="744" spans="4:10" ht="13">
      <c r="D744" s="49"/>
      <c r="E744" s="49"/>
      <c r="F744" s="49"/>
      <c r="J744" s="49"/>
    </row>
    <row r="745" spans="4:10" ht="13">
      <c r="D745" s="49"/>
      <c r="E745" s="49"/>
      <c r="F745" s="49"/>
      <c r="J745" s="49"/>
    </row>
    <row r="746" spans="4:10" ht="13">
      <c r="D746" s="49"/>
      <c r="E746" s="49"/>
      <c r="F746" s="49"/>
      <c r="J746" s="49"/>
    </row>
    <row r="747" spans="4:10" ht="13">
      <c r="D747" s="49"/>
      <c r="E747" s="49"/>
      <c r="F747" s="49"/>
      <c r="J747" s="49"/>
    </row>
    <row r="748" spans="4:10" ht="13">
      <c r="D748" s="49"/>
      <c r="E748" s="49"/>
      <c r="F748" s="49"/>
      <c r="J748" s="49"/>
    </row>
    <row r="749" spans="4:10" ht="13">
      <c r="D749" s="49"/>
      <c r="E749" s="49"/>
      <c r="F749" s="49"/>
      <c r="J749" s="49"/>
    </row>
    <row r="750" spans="4:10" ht="13">
      <c r="D750" s="49"/>
      <c r="E750" s="49"/>
      <c r="F750" s="49"/>
      <c r="J750" s="49"/>
    </row>
    <row r="751" spans="4:10" ht="13">
      <c r="D751" s="49"/>
      <c r="E751" s="49"/>
      <c r="F751" s="49"/>
      <c r="J751" s="49"/>
    </row>
    <row r="752" spans="4:10" ht="13">
      <c r="D752" s="49"/>
      <c r="E752" s="49"/>
      <c r="F752" s="49"/>
      <c r="J752" s="49"/>
    </row>
    <row r="753" spans="4:10" ht="13">
      <c r="D753" s="49"/>
      <c r="E753" s="49"/>
      <c r="F753" s="49"/>
      <c r="J753" s="49"/>
    </row>
    <row r="754" spans="4:10" ht="13">
      <c r="D754" s="49"/>
      <c r="E754" s="49"/>
      <c r="F754" s="49"/>
      <c r="J754" s="49"/>
    </row>
    <row r="755" spans="4:10" ht="13">
      <c r="D755" s="49"/>
      <c r="E755" s="49"/>
      <c r="F755" s="49"/>
      <c r="J755" s="49"/>
    </row>
    <row r="756" spans="4:10" ht="13">
      <c r="D756" s="49"/>
      <c r="E756" s="49"/>
      <c r="F756" s="49"/>
      <c r="J756" s="49"/>
    </row>
    <row r="757" spans="4:10" ht="13">
      <c r="D757" s="49"/>
      <c r="E757" s="49"/>
      <c r="F757" s="49"/>
      <c r="J757" s="49"/>
    </row>
    <row r="758" spans="4:10" ht="13">
      <c r="D758" s="49"/>
      <c r="E758" s="49"/>
      <c r="F758" s="49"/>
      <c r="J758" s="49"/>
    </row>
    <row r="759" spans="4:10" ht="13">
      <c r="D759" s="49"/>
      <c r="E759" s="49"/>
      <c r="F759" s="49"/>
      <c r="J759" s="49"/>
    </row>
    <row r="760" spans="4:10" ht="13">
      <c r="D760" s="49"/>
      <c r="E760" s="49"/>
      <c r="F760" s="49"/>
      <c r="J760" s="49"/>
    </row>
    <row r="761" spans="4:10" ht="13">
      <c r="D761" s="49"/>
      <c r="E761" s="49"/>
      <c r="F761" s="49"/>
      <c r="J761" s="49"/>
    </row>
    <row r="762" spans="4:10" ht="13">
      <c r="D762" s="49"/>
      <c r="E762" s="49"/>
      <c r="F762" s="49"/>
      <c r="J762" s="49"/>
    </row>
    <row r="763" spans="4:10" ht="13">
      <c r="D763" s="49"/>
      <c r="E763" s="49"/>
      <c r="F763" s="49"/>
      <c r="J763" s="49"/>
    </row>
    <row r="764" spans="4:10" ht="13">
      <c r="D764" s="49"/>
      <c r="E764" s="49"/>
      <c r="F764" s="49"/>
      <c r="J764" s="49"/>
    </row>
    <row r="765" spans="4:10" ht="13">
      <c r="D765" s="49"/>
      <c r="E765" s="49"/>
      <c r="F765" s="49"/>
      <c r="J765" s="49"/>
    </row>
    <row r="766" spans="4:10" ht="13">
      <c r="D766" s="49"/>
      <c r="E766" s="49"/>
      <c r="F766" s="49"/>
      <c r="J766" s="49"/>
    </row>
    <row r="767" spans="4:10" ht="13">
      <c r="D767" s="49"/>
      <c r="E767" s="49"/>
      <c r="F767" s="49"/>
      <c r="J767" s="49"/>
    </row>
    <row r="768" spans="4:10" ht="13">
      <c r="D768" s="49"/>
      <c r="E768" s="49"/>
      <c r="F768" s="49"/>
      <c r="J768" s="49"/>
    </row>
    <row r="769" spans="4:10" ht="13">
      <c r="D769" s="49"/>
      <c r="E769" s="49"/>
      <c r="F769" s="49"/>
      <c r="J769" s="49"/>
    </row>
    <row r="770" spans="4:10" ht="13">
      <c r="D770" s="49"/>
      <c r="E770" s="49"/>
      <c r="F770" s="49"/>
      <c r="J770" s="49"/>
    </row>
    <row r="771" spans="4:10" ht="13">
      <c r="D771" s="49"/>
      <c r="E771" s="49"/>
      <c r="F771" s="49"/>
      <c r="J771" s="49"/>
    </row>
    <row r="772" spans="4:10" ht="13">
      <c r="D772" s="49"/>
      <c r="E772" s="49"/>
      <c r="F772" s="49"/>
      <c r="J772" s="49"/>
    </row>
    <row r="773" spans="4:10" ht="13">
      <c r="D773" s="49"/>
      <c r="E773" s="49"/>
      <c r="F773" s="49"/>
      <c r="J773" s="49"/>
    </row>
    <row r="774" spans="4:10" ht="13">
      <c r="D774" s="49"/>
      <c r="E774" s="49"/>
      <c r="F774" s="49"/>
      <c r="J774" s="49"/>
    </row>
    <row r="775" spans="4:10" ht="13">
      <c r="D775" s="49"/>
      <c r="E775" s="49"/>
      <c r="F775" s="49"/>
      <c r="J775" s="49"/>
    </row>
    <row r="776" spans="4:10" ht="13">
      <c r="D776" s="49"/>
      <c r="E776" s="49"/>
      <c r="F776" s="49"/>
      <c r="J776" s="49"/>
    </row>
    <row r="777" spans="4:10" ht="13">
      <c r="D777" s="49"/>
      <c r="E777" s="49"/>
      <c r="F777" s="49"/>
      <c r="J777" s="49"/>
    </row>
    <row r="778" spans="4:10" ht="13">
      <c r="D778" s="49"/>
      <c r="E778" s="49"/>
      <c r="F778" s="49"/>
      <c r="J778" s="49"/>
    </row>
    <row r="779" spans="4:10" ht="13">
      <c r="D779" s="49"/>
      <c r="E779" s="49"/>
      <c r="F779" s="49"/>
      <c r="J779" s="49"/>
    </row>
    <row r="780" spans="4:10" ht="13">
      <c r="D780" s="49"/>
      <c r="E780" s="49"/>
      <c r="F780" s="49"/>
      <c r="J780" s="49"/>
    </row>
    <row r="781" spans="4:10" ht="13">
      <c r="D781" s="49"/>
      <c r="E781" s="49"/>
      <c r="F781" s="49"/>
      <c r="J781" s="49"/>
    </row>
    <row r="782" spans="4:10" ht="13">
      <c r="D782" s="49"/>
      <c r="E782" s="49"/>
      <c r="F782" s="49"/>
      <c r="J782" s="49"/>
    </row>
    <row r="783" spans="4:10" ht="13">
      <c r="D783" s="49"/>
      <c r="E783" s="49"/>
      <c r="F783" s="49"/>
      <c r="J783" s="49"/>
    </row>
    <row r="784" spans="4:10" ht="13">
      <c r="D784" s="49"/>
      <c r="E784" s="49"/>
      <c r="F784" s="49"/>
      <c r="J784" s="49"/>
    </row>
    <row r="785" spans="4:10" ht="13">
      <c r="D785" s="49"/>
      <c r="E785" s="49"/>
      <c r="F785" s="49"/>
      <c r="J785" s="49"/>
    </row>
    <row r="786" spans="4:10" ht="13">
      <c r="D786" s="49"/>
      <c r="E786" s="49"/>
      <c r="F786" s="49"/>
      <c r="J786" s="49"/>
    </row>
    <row r="787" spans="4:10" ht="13">
      <c r="D787" s="49"/>
      <c r="E787" s="49"/>
      <c r="F787" s="49"/>
      <c r="J787" s="49"/>
    </row>
    <row r="788" spans="4:10" ht="13">
      <c r="D788" s="49"/>
      <c r="E788" s="49"/>
      <c r="F788" s="49"/>
      <c r="J788" s="49"/>
    </row>
    <row r="789" spans="4:10" ht="13">
      <c r="D789" s="49"/>
      <c r="E789" s="49"/>
      <c r="F789" s="49"/>
      <c r="J789" s="49"/>
    </row>
    <row r="790" spans="4:10" ht="13">
      <c r="D790" s="49"/>
      <c r="E790" s="49"/>
      <c r="F790" s="49"/>
      <c r="J790" s="49"/>
    </row>
    <row r="791" spans="4:10" ht="13">
      <c r="D791" s="49"/>
      <c r="E791" s="49"/>
      <c r="F791" s="49"/>
      <c r="J791" s="49"/>
    </row>
    <row r="792" spans="4:10" ht="13">
      <c r="D792" s="49"/>
      <c r="E792" s="49"/>
      <c r="F792" s="49"/>
      <c r="J792" s="49"/>
    </row>
    <row r="793" spans="4:10" ht="13">
      <c r="D793" s="49"/>
      <c r="E793" s="49"/>
      <c r="F793" s="49"/>
      <c r="J793" s="49"/>
    </row>
    <row r="794" spans="4:10" ht="13">
      <c r="D794" s="49"/>
      <c r="E794" s="49"/>
      <c r="F794" s="49"/>
      <c r="J794" s="49"/>
    </row>
    <row r="795" spans="4:10" ht="13">
      <c r="D795" s="49"/>
      <c r="E795" s="49"/>
      <c r="F795" s="49"/>
      <c r="J795" s="49"/>
    </row>
    <row r="796" spans="4:10" ht="13">
      <c r="D796" s="49"/>
      <c r="E796" s="49"/>
      <c r="F796" s="49"/>
      <c r="J796" s="49"/>
    </row>
    <row r="797" spans="4:10" ht="13">
      <c r="D797" s="49"/>
      <c r="E797" s="49"/>
      <c r="F797" s="49"/>
      <c r="J797" s="49"/>
    </row>
    <row r="798" spans="4:10" ht="13">
      <c r="D798" s="49"/>
      <c r="E798" s="49"/>
      <c r="F798" s="49"/>
      <c r="J798" s="49"/>
    </row>
    <row r="799" spans="4:10" ht="13">
      <c r="D799" s="49"/>
      <c r="E799" s="49"/>
      <c r="F799" s="49"/>
      <c r="J799" s="49"/>
    </row>
    <row r="800" spans="4:10" ht="13">
      <c r="D800" s="49"/>
      <c r="E800" s="49"/>
      <c r="F800" s="49"/>
      <c r="J800" s="49"/>
    </row>
    <row r="801" spans="4:10" ht="13">
      <c r="D801" s="49"/>
      <c r="E801" s="49"/>
      <c r="F801" s="49"/>
      <c r="J801" s="49"/>
    </row>
    <row r="802" spans="4:10" ht="13">
      <c r="D802" s="49"/>
      <c r="E802" s="49"/>
      <c r="F802" s="49"/>
      <c r="J802" s="49"/>
    </row>
    <row r="803" spans="4:10" ht="13">
      <c r="D803" s="49"/>
      <c r="E803" s="49"/>
      <c r="F803" s="49"/>
      <c r="J803" s="49"/>
    </row>
    <row r="804" spans="4:10" ht="13">
      <c r="D804" s="49"/>
      <c r="E804" s="49"/>
      <c r="F804" s="49"/>
      <c r="J804" s="49"/>
    </row>
    <row r="805" spans="4:10" ht="13">
      <c r="D805" s="49"/>
      <c r="E805" s="49"/>
      <c r="F805" s="49"/>
      <c r="J805" s="49"/>
    </row>
    <row r="806" spans="4:10" ht="13">
      <c r="D806" s="49"/>
      <c r="E806" s="49"/>
      <c r="F806" s="49"/>
      <c r="J806" s="49"/>
    </row>
    <row r="807" spans="4:10" ht="13">
      <c r="D807" s="49"/>
      <c r="E807" s="49"/>
      <c r="F807" s="49"/>
      <c r="J807" s="49"/>
    </row>
    <row r="808" spans="4:10" ht="13">
      <c r="D808" s="49"/>
      <c r="E808" s="49"/>
      <c r="F808" s="49"/>
      <c r="J808" s="49"/>
    </row>
    <row r="809" spans="4:10" ht="13">
      <c r="D809" s="49"/>
      <c r="E809" s="49"/>
      <c r="F809" s="49"/>
      <c r="J809" s="49"/>
    </row>
    <row r="810" spans="4:10" ht="13">
      <c r="D810" s="49"/>
      <c r="E810" s="49"/>
      <c r="F810" s="49"/>
      <c r="J810" s="49"/>
    </row>
    <row r="811" spans="4:10" ht="13">
      <c r="D811" s="49"/>
      <c r="E811" s="49"/>
      <c r="F811" s="49"/>
      <c r="J811" s="49"/>
    </row>
    <row r="812" spans="4:10" ht="13">
      <c r="D812" s="49"/>
      <c r="E812" s="49"/>
      <c r="F812" s="49"/>
      <c r="J812" s="49"/>
    </row>
    <row r="813" spans="4:10" ht="13">
      <c r="D813" s="49"/>
      <c r="E813" s="49"/>
      <c r="F813" s="49"/>
      <c r="J813" s="49"/>
    </row>
    <row r="814" spans="4:10" ht="13">
      <c r="D814" s="49"/>
      <c r="E814" s="49"/>
      <c r="F814" s="49"/>
      <c r="J814" s="49"/>
    </row>
    <row r="815" spans="4:10" ht="13">
      <c r="D815" s="49"/>
      <c r="E815" s="49"/>
      <c r="F815" s="49"/>
      <c r="J815" s="49"/>
    </row>
    <row r="816" spans="4:10" ht="13">
      <c r="D816" s="49"/>
      <c r="E816" s="49"/>
      <c r="F816" s="49"/>
      <c r="J816" s="49"/>
    </row>
    <row r="817" spans="4:10" ht="13">
      <c r="D817" s="49"/>
      <c r="E817" s="49"/>
      <c r="F817" s="49"/>
      <c r="J817" s="49"/>
    </row>
    <row r="818" spans="4:10" ht="13">
      <c r="D818" s="49"/>
      <c r="E818" s="49"/>
      <c r="F818" s="49"/>
      <c r="J818" s="49"/>
    </row>
    <row r="819" spans="4:10" ht="13">
      <c r="D819" s="49"/>
      <c r="E819" s="49"/>
      <c r="F819" s="49"/>
      <c r="J819" s="49"/>
    </row>
    <row r="820" spans="4:10" ht="13">
      <c r="D820" s="49"/>
      <c r="E820" s="49"/>
      <c r="F820" s="49"/>
      <c r="J820" s="49"/>
    </row>
    <row r="821" spans="4:10" ht="13">
      <c r="D821" s="49"/>
      <c r="E821" s="49"/>
      <c r="F821" s="49"/>
      <c r="J821" s="49"/>
    </row>
    <row r="822" spans="4:10" ht="13">
      <c r="D822" s="49"/>
      <c r="E822" s="49"/>
      <c r="F822" s="49"/>
      <c r="J822" s="49"/>
    </row>
    <row r="823" spans="4:10" ht="13">
      <c r="D823" s="49"/>
      <c r="E823" s="49"/>
      <c r="F823" s="49"/>
      <c r="J823" s="49"/>
    </row>
    <row r="824" spans="4:10" ht="13">
      <c r="D824" s="49"/>
      <c r="E824" s="49"/>
      <c r="F824" s="49"/>
      <c r="J824" s="49"/>
    </row>
    <row r="825" spans="4:10" ht="13">
      <c r="D825" s="49"/>
      <c r="E825" s="49"/>
      <c r="F825" s="49"/>
      <c r="J825" s="49"/>
    </row>
    <row r="826" spans="4:10" ht="13">
      <c r="D826" s="49"/>
      <c r="E826" s="49"/>
      <c r="F826" s="49"/>
      <c r="J826" s="49"/>
    </row>
    <row r="827" spans="4:10" ht="13">
      <c r="D827" s="49"/>
      <c r="E827" s="49"/>
      <c r="F827" s="49"/>
      <c r="J827" s="49"/>
    </row>
    <row r="828" spans="4:10" ht="13">
      <c r="D828" s="49"/>
      <c r="E828" s="49"/>
      <c r="F828" s="49"/>
      <c r="J828" s="49"/>
    </row>
    <row r="829" spans="4:10" ht="13">
      <c r="D829" s="49"/>
      <c r="E829" s="49"/>
      <c r="F829" s="49"/>
      <c r="J829" s="49"/>
    </row>
    <row r="830" spans="4:10" ht="13">
      <c r="D830" s="49"/>
      <c r="E830" s="49"/>
      <c r="F830" s="49"/>
      <c r="J830" s="49"/>
    </row>
    <row r="831" spans="4:10" ht="13">
      <c r="D831" s="49"/>
      <c r="E831" s="49"/>
      <c r="F831" s="49"/>
      <c r="J831" s="49"/>
    </row>
    <row r="832" spans="4:10" ht="13">
      <c r="D832" s="49"/>
      <c r="E832" s="49"/>
      <c r="F832" s="49"/>
      <c r="J832" s="49"/>
    </row>
    <row r="833" spans="4:10" ht="13">
      <c r="D833" s="49"/>
      <c r="E833" s="49"/>
      <c r="F833" s="49"/>
      <c r="J833" s="49"/>
    </row>
    <row r="834" spans="4:10" ht="13">
      <c r="D834" s="49"/>
      <c r="E834" s="49"/>
      <c r="F834" s="49"/>
      <c r="J834" s="49"/>
    </row>
    <row r="835" spans="4:10" ht="13">
      <c r="D835" s="49"/>
      <c r="E835" s="49"/>
      <c r="F835" s="49"/>
      <c r="J835" s="49"/>
    </row>
    <row r="836" spans="4:10" ht="13">
      <c r="D836" s="49"/>
      <c r="E836" s="49"/>
      <c r="F836" s="49"/>
      <c r="J836" s="49"/>
    </row>
    <row r="837" spans="4:10" ht="13">
      <c r="D837" s="49"/>
      <c r="E837" s="49"/>
      <c r="F837" s="49"/>
      <c r="J837" s="49"/>
    </row>
    <row r="838" spans="4:10" ht="13">
      <c r="D838" s="49"/>
      <c r="E838" s="49"/>
      <c r="F838" s="49"/>
      <c r="J838" s="49"/>
    </row>
    <row r="839" spans="4:10" ht="13">
      <c r="D839" s="49"/>
      <c r="E839" s="49"/>
      <c r="F839" s="49"/>
      <c r="J839" s="49"/>
    </row>
    <row r="840" spans="4:10" ht="13">
      <c r="D840" s="49"/>
      <c r="E840" s="49"/>
      <c r="F840" s="49"/>
      <c r="J840" s="49"/>
    </row>
    <row r="841" spans="4:10" ht="13">
      <c r="D841" s="49"/>
      <c r="E841" s="49"/>
      <c r="F841" s="49"/>
      <c r="J841" s="49"/>
    </row>
    <row r="842" spans="4:10" ht="13">
      <c r="D842" s="49"/>
      <c r="E842" s="49"/>
      <c r="F842" s="49"/>
      <c r="J842" s="49"/>
    </row>
    <row r="843" spans="4:10" ht="13">
      <c r="D843" s="49"/>
      <c r="E843" s="49"/>
      <c r="F843" s="49"/>
      <c r="J843" s="49"/>
    </row>
    <row r="844" spans="4:10" ht="13">
      <c r="D844" s="49"/>
      <c r="E844" s="49"/>
      <c r="F844" s="49"/>
      <c r="J844" s="49"/>
    </row>
    <row r="845" spans="4:10" ht="13">
      <c r="D845" s="49"/>
      <c r="E845" s="49"/>
      <c r="F845" s="49"/>
      <c r="J845" s="49"/>
    </row>
    <row r="846" spans="4:10" ht="13">
      <c r="D846" s="49"/>
      <c r="E846" s="49"/>
      <c r="F846" s="49"/>
      <c r="J846" s="49"/>
    </row>
    <row r="847" spans="4:10" ht="13">
      <c r="D847" s="49"/>
      <c r="E847" s="49"/>
      <c r="F847" s="49"/>
      <c r="J847" s="49"/>
    </row>
    <row r="848" spans="4:10" ht="13">
      <c r="D848" s="49"/>
      <c r="E848" s="49"/>
      <c r="F848" s="49"/>
      <c r="J848" s="49"/>
    </row>
    <row r="849" spans="4:10" ht="13">
      <c r="D849" s="49"/>
      <c r="E849" s="49"/>
      <c r="F849" s="49"/>
      <c r="J849" s="49"/>
    </row>
    <row r="850" spans="4:10" ht="13">
      <c r="D850" s="49"/>
      <c r="E850" s="49"/>
      <c r="F850" s="49"/>
      <c r="J850" s="49"/>
    </row>
    <row r="851" spans="4:10" ht="13">
      <c r="D851" s="49"/>
      <c r="E851" s="49"/>
      <c r="F851" s="49"/>
      <c r="J851" s="49"/>
    </row>
    <row r="852" spans="4:10" ht="13">
      <c r="D852" s="49"/>
      <c r="E852" s="49"/>
      <c r="F852" s="49"/>
      <c r="J852" s="49"/>
    </row>
    <row r="853" spans="4:10" ht="13">
      <c r="D853" s="49"/>
      <c r="E853" s="49"/>
      <c r="F853" s="49"/>
      <c r="J853" s="49"/>
    </row>
    <row r="854" spans="4:10" ht="13">
      <c r="D854" s="49"/>
      <c r="E854" s="49"/>
      <c r="F854" s="49"/>
      <c r="J854" s="49"/>
    </row>
    <row r="855" spans="4:10" ht="13">
      <c r="D855" s="49"/>
      <c r="E855" s="49"/>
      <c r="F855" s="49"/>
      <c r="J855" s="49"/>
    </row>
    <row r="856" spans="4:10" ht="13">
      <c r="D856" s="49"/>
      <c r="E856" s="49"/>
      <c r="F856" s="49"/>
      <c r="J856" s="49"/>
    </row>
    <row r="857" spans="4:10" ht="13">
      <c r="D857" s="49"/>
      <c r="E857" s="49"/>
      <c r="F857" s="49"/>
      <c r="J857" s="49"/>
    </row>
    <row r="858" spans="4:10" ht="13">
      <c r="D858" s="49"/>
      <c r="E858" s="49"/>
      <c r="F858" s="49"/>
      <c r="J858" s="49"/>
    </row>
    <row r="859" spans="4:10" ht="13">
      <c r="D859" s="49"/>
      <c r="E859" s="49"/>
      <c r="F859" s="49"/>
      <c r="J859" s="49"/>
    </row>
    <row r="860" spans="4:10" ht="13">
      <c r="D860" s="49"/>
      <c r="E860" s="49"/>
      <c r="F860" s="49"/>
      <c r="J860" s="49"/>
    </row>
    <row r="861" spans="4:10" ht="13">
      <c r="D861" s="49"/>
      <c r="E861" s="49"/>
      <c r="F861" s="49"/>
      <c r="J861" s="49"/>
    </row>
    <row r="862" spans="4:10" ht="13">
      <c r="D862" s="49"/>
      <c r="E862" s="49"/>
      <c r="F862" s="49"/>
      <c r="J862" s="49"/>
    </row>
    <row r="863" spans="4:10" ht="13">
      <c r="D863" s="49"/>
      <c r="E863" s="49"/>
      <c r="F863" s="49"/>
      <c r="J863" s="49"/>
    </row>
    <row r="864" spans="4:10" ht="13">
      <c r="D864" s="49"/>
      <c r="E864" s="49"/>
      <c r="F864" s="49"/>
      <c r="J864" s="49"/>
    </row>
    <row r="865" spans="4:10" ht="13">
      <c r="D865" s="49"/>
      <c r="E865" s="49"/>
      <c r="F865" s="49"/>
      <c r="J865" s="49"/>
    </row>
    <row r="866" spans="4:10" ht="13">
      <c r="D866" s="49"/>
      <c r="E866" s="49"/>
      <c r="F866" s="49"/>
      <c r="J866" s="49"/>
    </row>
    <row r="867" spans="4:10" ht="13">
      <c r="D867" s="49"/>
      <c r="E867" s="49"/>
      <c r="F867" s="49"/>
      <c r="J867" s="49"/>
    </row>
    <row r="868" spans="4:10" ht="13">
      <c r="D868" s="49"/>
      <c r="E868" s="49"/>
      <c r="F868" s="49"/>
      <c r="J868" s="49"/>
    </row>
    <row r="869" spans="4:10" ht="13">
      <c r="D869" s="49"/>
      <c r="E869" s="49"/>
      <c r="F869" s="49"/>
      <c r="J869" s="49"/>
    </row>
    <row r="870" spans="4:10" ht="13">
      <c r="D870" s="49"/>
      <c r="E870" s="49"/>
      <c r="F870" s="49"/>
      <c r="J870" s="49"/>
    </row>
    <row r="871" spans="4:10" ht="13">
      <c r="D871" s="49"/>
      <c r="E871" s="49"/>
      <c r="F871" s="49"/>
      <c r="J871" s="49"/>
    </row>
    <row r="872" spans="4:10" ht="13">
      <c r="D872" s="49"/>
      <c r="E872" s="49"/>
      <c r="F872" s="49"/>
      <c r="J872" s="49"/>
    </row>
    <row r="873" spans="4:10" ht="13">
      <c r="D873" s="49"/>
      <c r="E873" s="49"/>
      <c r="F873" s="49"/>
      <c r="J873" s="49"/>
    </row>
    <row r="874" spans="4:10" ht="13">
      <c r="D874" s="49"/>
      <c r="E874" s="49"/>
      <c r="F874" s="49"/>
      <c r="J874" s="49"/>
    </row>
    <row r="875" spans="4:10" ht="13">
      <c r="D875" s="49"/>
      <c r="E875" s="49"/>
      <c r="F875" s="49"/>
      <c r="J875" s="49"/>
    </row>
    <row r="876" spans="4:10" ht="13">
      <c r="D876" s="49"/>
      <c r="E876" s="49"/>
      <c r="F876" s="49"/>
      <c r="J876" s="49"/>
    </row>
    <row r="877" spans="4:10" ht="13">
      <c r="D877" s="49"/>
      <c r="E877" s="49"/>
      <c r="F877" s="49"/>
      <c r="J877" s="49"/>
    </row>
    <row r="878" spans="4:10" ht="13">
      <c r="D878" s="49"/>
      <c r="E878" s="49"/>
      <c r="F878" s="49"/>
      <c r="J878" s="49"/>
    </row>
    <row r="879" spans="4:10" ht="13">
      <c r="D879" s="49"/>
      <c r="E879" s="49"/>
      <c r="F879" s="49"/>
      <c r="J879" s="49"/>
    </row>
    <row r="880" spans="4:10" ht="13">
      <c r="D880" s="49"/>
      <c r="E880" s="49"/>
      <c r="F880" s="49"/>
      <c r="J880" s="49"/>
    </row>
    <row r="881" spans="4:10" ht="13">
      <c r="D881" s="49"/>
      <c r="E881" s="49"/>
      <c r="F881" s="49"/>
      <c r="J881" s="49"/>
    </row>
    <row r="882" spans="4:10" ht="13">
      <c r="D882" s="49"/>
      <c r="E882" s="49"/>
      <c r="F882" s="49"/>
      <c r="J882" s="49"/>
    </row>
    <row r="883" spans="4:10" ht="13">
      <c r="D883" s="49"/>
      <c r="E883" s="49"/>
      <c r="F883" s="49"/>
      <c r="J883" s="49"/>
    </row>
    <row r="884" spans="4:10" ht="13">
      <c r="D884" s="49"/>
      <c r="E884" s="49"/>
      <c r="F884" s="49"/>
      <c r="J884" s="49"/>
    </row>
    <row r="885" spans="4:10" ht="13">
      <c r="D885" s="49"/>
      <c r="E885" s="49"/>
      <c r="F885" s="49"/>
      <c r="J885" s="49"/>
    </row>
    <row r="886" spans="4:10" ht="13">
      <c r="D886" s="49"/>
      <c r="E886" s="49"/>
      <c r="F886" s="49"/>
      <c r="J886" s="49"/>
    </row>
    <row r="887" spans="4:10" ht="13">
      <c r="D887" s="49"/>
      <c r="E887" s="49"/>
      <c r="F887" s="49"/>
      <c r="J887" s="49"/>
    </row>
    <row r="888" spans="4:10" ht="13">
      <c r="D888" s="49"/>
      <c r="E888" s="49"/>
      <c r="F888" s="49"/>
      <c r="J888" s="49"/>
    </row>
    <row r="889" spans="4:10" ht="13">
      <c r="D889" s="49"/>
      <c r="E889" s="49"/>
      <c r="F889" s="49"/>
      <c r="J889" s="49"/>
    </row>
    <row r="890" spans="4:10" ht="13">
      <c r="D890" s="49"/>
      <c r="E890" s="49"/>
      <c r="F890" s="49"/>
      <c r="J890" s="49"/>
    </row>
    <row r="891" spans="4:10" ht="13">
      <c r="D891" s="49"/>
      <c r="E891" s="49"/>
      <c r="F891" s="49"/>
      <c r="J891" s="49"/>
    </row>
    <row r="892" spans="4:10" ht="13">
      <c r="D892" s="49"/>
      <c r="E892" s="49"/>
      <c r="F892" s="49"/>
      <c r="J892" s="49"/>
    </row>
    <row r="893" spans="4:10" ht="13">
      <c r="D893" s="49"/>
      <c r="E893" s="49"/>
      <c r="F893" s="49"/>
      <c r="J893" s="49"/>
    </row>
    <row r="894" spans="4:10" ht="13">
      <c r="D894" s="49"/>
      <c r="E894" s="49"/>
      <c r="F894" s="49"/>
      <c r="J894" s="49"/>
    </row>
    <row r="895" spans="4:10" ht="13">
      <c r="D895" s="49"/>
      <c r="E895" s="49"/>
      <c r="F895" s="49"/>
      <c r="J895" s="49"/>
    </row>
    <row r="896" spans="4:10" ht="13">
      <c r="D896" s="49"/>
      <c r="E896" s="49"/>
      <c r="F896" s="49"/>
      <c r="J896" s="49"/>
    </row>
    <row r="897" spans="4:10" ht="13">
      <c r="D897" s="49"/>
      <c r="E897" s="49"/>
      <c r="F897" s="49"/>
      <c r="J897" s="49"/>
    </row>
    <row r="898" spans="4:10" ht="13">
      <c r="D898" s="49"/>
      <c r="E898" s="49"/>
      <c r="F898" s="49"/>
      <c r="J898" s="49"/>
    </row>
    <row r="899" spans="4:10" ht="13">
      <c r="D899" s="49"/>
      <c r="E899" s="49"/>
      <c r="F899" s="49"/>
      <c r="J899" s="49"/>
    </row>
    <row r="900" spans="4:10" ht="13">
      <c r="D900" s="49"/>
      <c r="E900" s="49"/>
      <c r="F900" s="49"/>
      <c r="J900" s="49"/>
    </row>
    <row r="901" spans="4:10" ht="13">
      <c r="D901" s="49"/>
      <c r="E901" s="49"/>
      <c r="F901" s="49"/>
      <c r="J901" s="49"/>
    </row>
    <row r="902" spans="4:10" ht="13">
      <c r="D902" s="49"/>
      <c r="E902" s="49"/>
      <c r="F902" s="49"/>
      <c r="J902" s="49"/>
    </row>
    <row r="903" spans="4:10" ht="13">
      <c r="D903" s="49"/>
      <c r="E903" s="49"/>
      <c r="F903" s="49"/>
      <c r="J903" s="49"/>
    </row>
    <row r="904" spans="4:10" ht="13">
      <c r="D904" s="49"/>
      <c r="E904" s="49"/>
      <c r="F904" s="49"/>
      <c r="J904" s="49"/>
    </row>
    <row r="905" spans="4:10" ht="13">
      <c r="D905" s="49"/>
      <c r="E905" s="49"/>
      <c r="F905" s="49"/>
      <c r="J905" s="49"/>
    </row>
    <row r="906" spans="4:10" ht="13">
      <c r="D906" s="49"/>
      <c r="E906" s="49"/>
      <c r="F906" s="49"/>
      <c r="J906" s="49"/>
    </row>
    <row r="907" spans="4:10" ht="13">
      <c r="D907" s="49"/>
      <c r="E907" s="49"/>
      <c r="F907" s="49"/>
      <c r="J907" s="49"/>
    </row>
    <row r="908" spans="4:10" ht="13">
      <c r="D908" s="49"/>
      <c r="E908" s="49"/>
      <c r="F908" s="49"/>
      <c r="J908" s="49"/>
    </row>
    <row r="909" spans="4:10" ht="13">
      <c r="D909" s="49"/>
      <c r="E909" s="49"/>
      <c r="F909" s="49"/>
      <c r="J909" s="49"/>
    </row>
    <row r="910" spans="4:10" ht="13">
      <c r="D910" s="49"/>
      <c r="E910" s="49"/>
      <c r="F910" s="49"/>
      <c r="J910" s="49"/>
    </row>
    <row r="911" spans="4:10" ht="13">
      <c r="D911" s="49"/>
      <c r="E911" s="49"/>
      <c r="F911" s="49"/>
      <c r="J911" s="49"/>
    </row>
    <row r="912" spans="4:10" ht="13">
      <c r="D912" s="49"/>
      <c r="E912" s="49"/>
      <c r="F912" s="49"/>
      <c r="J912" s="49"/>
    </row>
    <row r="913" spans="4:10" ht="13">
      <c r="D913" s="49"/>
      <c r="E913" s="49"/>
      <c r="F913" s="49"/>
      <c r="J913" s="49"/>
    </row>
    <row r="914" spans="4:10" ht="13">
      <c r="D914" s="49"/>
      <c r="E914" s="49"/>
      <c r="F914" s="49"/>
      <c r="J914" s="49"/>
    </row>
    <row r="915" spans="4:10" ht="13">
      <c r="D915" s="49"/>
      <c r="E915" s="49"/>
      <c r="F915" s="49"/>
      <c r="J915" s="49"/>
    </row>
    <row r="916" spans="4:10" ht="13">
      <c r="D916" s="49"/>
      <c r="E916" s="49"/>
      <c r="F916" s="49"/>
      <c r="J916" s="49"/>
    </row>
    <row r="917" spans="4:10" ht="13">
      <c r="D917" s="49"/>
      <c r="E917" s="49"/>
      <c r="F917" s="49"/>
      <c r="J917" s="49"/>
    </row>
    <row r="918" spans="4:10" ht="13">
      <c r="D918" s="49"/>
      <c r="E918" s="49"/>
      <c r="F918" s="49"/>
      <c r="J918" s="49"/>
    </row>
    <row r="919" spans="4:10" ht="13">
      <c r="D919" s="49"/>
      <c r="E919" s="49"/>
      <c r="F919" s="49"/>
      <c r="J919" s="49"/>
    </row>
    <row r="920" spans="4:10" ht="13">
      <c r="D920" s="49"/>
      <c r="E920" s="49"/>
      <c r="F920" s="49"/>
      <c r="J920" s="49"/>
    </row>
    <row r="921" spans="4:10" ht="13">
      <c r="D921" s="49"/>
      <c r="E921" s="49"/>
      <c r="F921" s="49"/>
      <c r="J921" s="49"/>
    </row>
    <row r="922" spans="4:10" ht="13">
      <c r="D922" s="49"/>
      <c r="E922" s="49"/>
      <c r="F922" s="49"/>
      <c r="J922" s="49"/>
    </row>
    <row r="923" spans="4:10" ht="13">
      <c r="D923" s="49"/>
      <c r="E923" s="49"/>
      <c r="F923" s="49"/>
      <c r="J923" s="49"/>
    </row>
    <row r="924" spans="4:10" ht="13">
      <c r="D924" s="49"/>
      <c r="E924" s="49"/>
      <c r="F924" s="49"/>
      <c r="J924" s="49"/>
    </row>
    <row r="925" spans="4:10" ht="13">
      <c r="D925" s="49"/>
      <c r="E925" s="49"/>
      <c r="F925" s="49"/>
      <c r="J925" s="49"/>
    </row>
    <row r="926" spans="4:10" ht="13">
      <c r="D926" s="49"/>
      <c r="E926" s="49"/>
      <c r="F926" s="49"/>
      <c r="J926" s="49"/>
    </row>
    <row r="927" spans="4:10" ht="13">
      <c r="D927" s="49"/>
      <c r="E927" s="49"/>
      <c r="F927" s="49"/>
      <c r="J927" s="49"/>
    </row>
    <row r="928" spans="4:10" ht="13">
      <c r="D928" s="49"/>
      <c r="E928" s="49"/>
      <c r="F928" s="49"/>
      <c r="J928" s="49"/>
    </row>
    <row r="929" spans="4:10" ht="13">
      <c r="D929" s="49"/>
      <c r="E929" s="49"/>
      <c r="F929" s="49"/>
      <c r="J929" s="49"/>
    </row>
    <row r="930" spans="4:10" ht="13">
      <c r="D930" s="49"/>
      <c r="E930" s="49"/>
      <c r="F930" s="49"/>
      <c r="J930" s="49"/>
    </row>
    <row r="931" spans="4:10" ht="13">
      <c r="D931" s="49"/>
      <c r="E931" s="49"/>
      <c r="F931" s="49"/>
      <c r="J931" s="49"/>
    </row>
    <row r="932" spans="4:10" ht="13">
      <c r="D932" s="49"/>
      <c r="E932" s="49"/>
      <c r="F932" s="49"/>
      <c r="J932" s="49"/>
    </row>
    <row r="933" spans="4:10" ht="13">
      <c r="D933" s="49"/>
      <c r="E933" s="49"/>
      <c r="F933" s="49"/>
      <c r="J933" s="49"/>
    </row>
    <row r="934" spans="4:10" ht="13">
      <c r="D934" s="49"/>
      <c r="E934" s="49"/>
      <c r="F934" s="49"/>
      <c r="J934" s="49"/>
    </row>
    <row r="935" spans="4:10" ht="13">
      <c r="D935" s="49"/>
      <c r="E935" s="49"/>
      <c r="F935" s="49"/>
      <c r="J935" s="49"/>
    </row>
    <row r="936" spans="4:10" ht="13">
      <c r="D936" s="49"/>
      <c r="E936" s="49"/>
      <c r="F936" s="49"/>
      <c r="J936" s="49"/>
    </row>
    <row r="937" spans="4:10" ht="13">
      <c r="D937" s="49"/>
      <c r="E937" s="49"/>
      <c r="F937" s="49"/>
      <c r="J937" s="49"/>
    </row>
    <row r="938" spans="4:10" ht="13">
      <c r="D938" s="49"/>
      <c r="E938" s="49"/>
      <c r="F938" s="49"/>
      <c r="J938" s="49"/>
    </row>
    <row r="939" spans="4:10" ht="13">
      <c r="D939" s="49"/>
      <c r="E939" s="49"/>
      <c r="F939" s="49"/>
      <c r="J939" s="49"/>
    </row>
    <row r="940" spans="4:10" ht="13">
      <c r="D940" s="49"/>
      <c r="E940" s="49"/>
      <c r="F940" s="49"/>
      <c r="J940" s="49"/>
    </row>
    <row r="941" spans="4:10" ht="13">
      <c r="D941" s="49"/>
      <c r="E941" s="49"/>
      <c r="F941" s="49"/>
      <c r="J941" s="49"/>
    </row>
    <row r="942" spans="4:10" ht="13">
      <c r="D942" s="49"/>
      <c r="E942" s="49"/>
      <c r="F942" s="49"/>
      <c r="J942" s="49"/>
    </row>
    <row r="943" spans="4:10" ht="13">
      <c r="D943" s="49"/>
      <c r="E943" s="49"/>
      <c r="F943" s="49"/>
      <c r="J943" s="49"/>
    </row>
    <row r="944" spans="4:10" ht="13">
      <c r="D944" s="49"/>
      <c r="E944" s="49"/>
      <c r="F944" s="49"/>
      <c r="J944" s="49"/>
    </row>
    <row r="945" spans="4:10" ht="13">
      <c r="D945" s="49"/>
      <c r="E945" s="49"/>
      <c r="F945" s="49"/>
      <c r="J945" s="49"/>
    </row>
    <row r="946" spans="4:10" ht="13">
      <c r="D946" s="49"/>
      <c r="E946" s="49"/>
      <c r="F946" s="49"/>
      <c r="J946" s="49"/>
    </row>
    <row r="947" spans="4:10" ht="13">
      <c r="D947" s="49"/>
      <c r="E947" s="49"/>
      <c r="F947" s="49"/>
      <c r="J947" s="49"/>
    </row>
    <row r="948" spans="4:10" ht="13">
      <c r="D948" s="49"/>
      <c r="E948" s="49"/>
      <c r="F948" s="49"/>
      <c r="J948" s="49"/>
    </row>
    <row r="949" spans="4:10" ht="13">
      <c r="D949" s="49"/>
      <c r="E949" s="49"/>
      <c r="F949" s="49"/>
      <c r="J949" s="49"/>
    </row>
    <row r="950" spans="4:10" ht="13">
      <c r="D950" s="49"/>
      <c r="E950" s="49"/>
      <c r="F950" s="49"/>
      <c r="J950" s="49"/>
    </row>
    <row r="951" spans="4:10" ht="13">
      <c r="D951" s="49"/>
      <c r="E951" s="49"/>
      <c r="F951" s="49"/>
      <c r="J951" s="49"/>
    </row>
    <row r="952" spans="4:10" ht="13">
      <c r="D952" s="49"/>
      <c r="E952" s="49"/>
      <c r="F952" s="49"/>
      <c r="J952" s="49"/>
    </row>
    <row r="953" spans="4:10" ht="13">
      <c r="D953" s="49"/>
      <c r="E953" s="49"/>
      <c r="F953" s="49"/>
      <c r="J953" s="49"/>
    </row>
    <row r="954" spans="4:10" ht="13">
      <c r="D954" s="49"/>
      <c r="E954" s="49"/>
      <c r="F954" s="49"/>
      <c r="J954" s="49"/>
    </row>
    <row r="955" spans="4:10" ht="13">
      <c r="D955" s="49"/>
      <c r="E955" s="49"/>
      <c r="F955" s="49"/>
      <c r="J955" s="49"/>
    </row>
    <row r="956" spans="4:10" ht="13">
      <c r="D956" s="49"/>
      <c r="E956" s="49"/>
      <c r="F956" s="49"/>
      <c r="J956" s="49"/>
    </row>
    <row r="957" spans="4:10" ht="13">
      <c r="D957" s="49"/>
      <c r="E957" s="49"/>
      <c r="F957" s="49"/>
      <c r="J957" s="49"/>
    </row>
    <row r="958" spans="4:10" ht="13">
      <c r="D958" s="49"/>
      <c r="E958" s="49"/>
      <c r="F958" s="49"/>
      <c r="J958" s="49"/>
    </row>
    <row r="959" spans="4:10" ht="13">
      <c r="D959" s="49"/>
      <c r="E959" s="49"/>
      <c r="F959" s="49"/>
      <c r="J959" s="49"/>
    </row>
    <row r="960" spans="4:10" ht="13">
      <c r="D960" s="49"/>
      <c r="E960" s="49"/>
      <c r="F960" s="49"/>
      <c r="J960" s="49"/>
    </row>
    <row r="961" spans="4:10" ht="13">
      <c r="D961" s="49"/>
      <c r="E961" s="49"/>
      <c r="F961" s="49"/>
      <c r="J961" s="49"/>
    </row>
    <row r="962" spans="4:10" ht="13">
      <c r="D962" s="49"/>
      <c r="E962" s="49"/>
      <c r="F962" s="49"/>
      <c r="J962" s="49"/>
    </row>
    <row r="963" spans="4:10" ht="13">
      <c r="D963" s="49"/>
      <c r="E963" s="49"/>
      <c r="F963" s="49"/>
      <c r="J963" s="49"/>
    </row>
    <row r="964" spans="4:10" ht="13">
      <c r="D964" s="49"/>
      <c r="E964" s="49"/>
      <c r="F964" s="49"/>
      <c r="J964" s="49"/>
    </row>
    <row r="965" spans="4:10" ht="13">
      <c r="D965" s="49"/>
      <c r="E965" s="49"/>
      <c r="F965" s="49"/>
      <c r="J965" s="49"/>
    </row>
    <row r="966" spans="4:10" ht="13">
      <c r="D966" s="49"/>
      <c r="E966" s="49"/>
      <c r="F966" s="49"/>
      <c r="J966" s="49"/>
    </row>
    <row r="967" spans="4:10" ht="13">
      <c r="D967" s="49"/>
      <c r="E967" s="49"/>
      <c r="F967" s="49"/>
      <c r="J967" s="49"/>
    </row>
    <row r="968" spans="4:10" ht="13">
      <c r="D968" s="49"/>
      <c r="E968" s="49"/>
      <c r="F968" s="49"/>
      <c r="J968" s="49"/>
    </row>
    <row r="969" spans="4:10" ht="13">
      <c r="D969" s="49"/>
      <c r="E969" s="49"/>
      <c r="F969" s="49"/>
      <c r="J969" s="49"/>
    </row>
    <row r="970" spans="4:10" ht="13">
      <c r="D970" s="49"/>
      <c r="E970" s="49"/>
      <c r="F970" s="49"/>
      <c r="J970" s="49"/>
    </row>
    <row r="971" spans="4:10" ht="13">
      <c r="D971" s="49"/>
      <c r="E971" s="49"/>
      <c r="F971" s="49"/>
      <c r="J971" s="49"/>
    </row>
    <row r="972" spans="4:10" ht="13">
      <c r="D972" s="49"/>
      <c r="E972" s="49"/>
      <c r="F972" s="49"/>
      <c r="J972" s="49"/>
    </row>
    <row r="973" spans="4:10" ht="13">
      <c r="D973" s="49"/>
      <c r="E973" s="49"/>
      <c r="F973" s="49"/>
      <c r="J973" s="49"/>
    </row>
    <row r="974" spans="4:10" ht="13">
      <c r="D974" s="49"/>
      <c r="E974" s="49"/>
      <c r="F974" s="49"/>
      <c r="J974" s="49"/>
    </row>
    <row r="975" spans="4:10" ht="13">
      <c r="D975" s="49"/>
      <c r="E975" s="49"/>
      <c r="F975" s="49"/>
      <c r="J975" s="49"/>
    </row>
    <row r="976" spans="4:10" ht="13">
      <c r="D976" s="49"/>
      <c r="E976" s="49"/>
      <c r="F976" s="49"/>
      <c r="J976" s="49"/>
    </row>
    <row r="977" spans="4:10" ht="13">
      <c r="D977" s="49"/>
      <c r="E977" s="49"/>
      <c r="F977" s="49"/>
      <c r="J977" s="49"/>
    </row>
    <row r="978" spans="4:10" ht="13">
      <c r="D978" s="49"/>
      <c r="E978" s="49"/>
      <c r="F978" s="49"/>
      <c r="J978" s="49"/>
    </row>
    <row r="979" spans="4:10" ht="13">
      <c r="D979" s="49"/>
      <c r="E979" s="49"/>
      <c r="F979" s="49"/>
      <c r="J979" s="49"/>
    </row>
    <row r="980" spans="4:10" ht="13">
      <c r="D980" s="49"/>
      <c r="E980" s="49"/>
      <c r="F980" s="49"/>
      <c r="J980" s="49"/>
    </row>
    <row r="981" spans="4:10" ht="13">
      <c r="D981" s="49"/>
      <c r="E981" s="49"/>
      <c r="F981" s="49"/>
      <c r="J981" s="49"/>
    </row>
    <row r="982" spans="4:10" ht="13">
      <c r="D982" s="49"/>
      <c r="E982" s="49"/>
      <c r="F982" s="49"/>
      <c r="J982" s="49"/>
    </row>
    <row r="983" spans="4:10" ht="13">
      <c r="D983" s="49"/>
      <c r="E983" s="49"/>
      <c r="F983" s="49"/>
      <c r="J983" s="49"/>
    </row>
    <row r="984" spans="4:10" ht="13">
      <c r="D984" s="49"/>
      <c r="E984" s="49"/>
      <c r="F984" s="49"/>
      <c r="J984" s="49"/>
    </row>
    <row r="985" spans="4:10" ht="13">
      <c r="D985" s="49"/>
      <c r="E985" s="49"/>
      <c r="F985" s="49"/>
      <c r="J985" s="49"/>
    </row>
    <row r="986" spans="4:10" ht="13">
      <c r="D986" s="49"/>
      <c r="E986" s="49"/>
      <c r="F986" s="49"/>
      <c r="J986" s="49"/>
    </row>
    <row r="987" spans="4:10" ht="13">
      <c r="D987" s="49"/>
      <c r="E987" s="49"/>
      <c r="F987" s="49"/>
      <c r="J987" s="49"/>
    </row>
    <row r="988" spans="4:10" ht="13">
      <c r="D988" s="49"/>
      <c r="E988" s="49"/>
      <c r="F988" s="49"/>
      <c r="J988" s="49"/>
    </row>
    <row r="989" spans="4:10" ht="13">
      <c r="D989" s="49"/>
      <c r="E989" s="49"/>
      <c r="F989" s="49"/>
      <c r="J989" s="49"/>
    </row>
    <row r="990" spans="4:10" ht="13">
      <c r="D990" s="49"/>
      <c r="E990" s="49"/>
      <c r="F990" s="49"/>
      <c r="J990" s="49"/>
    </row>
    <row r="991" spans="4:10" ht="13">
      <c r="D991" s="49"/>
      <c r="E991" s="49"/>
      <c r="F991" s="49"/>
      <c r="J991" s="49"/>
    </row>
    <row r="992" spans="4:10" ht="13">
      <c r="D992" s="49"/>
      <c r="E992" s="49"/>
      <c r="F992" s="49"/>
      <c r="J992" s="49"/>
    </row>
    <row r="993" spans="4:10" ht="13">
      <c r="D993" s="49"/>
      <c r="E993" s="49"/>
      <c r="F993" s="49"/>
      <c r="J993" s="49"/>
    </row>
    <row r="994" spans="4:10" ht="13">
      <c r="D994" s="49"/>
      <c r="E994" s="49"/>
      <c r="F994" s="49"/>
      <c r="J994" s="49"/>
    </row>
    <row r="995" spans="4:10" ht="13">
      <c r="D995" s="49"/>
      <c r="E995" s="49"/>
      <c r="F995" s="49"/>
      <c r="J995" s="49"/>
    </row>
    <row r="996" spans="4:10" ht="13">
      <c r="D996" s="49"/>
      <c r="E996" s="49"/>
      <c r="F996" s="49"/>
      <c r="J996" s="49"/>
    </row>
    <row r="997" spans="4:10" ht="13">
      <c r="D997" s="49"/>
      <c r="E997" s="49"/>
      <c r="F997" s="49"/>
      <c r="J997" s="49"/>
    </row>
    <row r="998" spans="4:10" ht="13">
      <c r="D998" s="49"/>
      <c r="E998" s="49"/>
      <c r="F998" s="49"/>
      <c r="J998" s="49"/>
    </row>
    <row r="999" spans="4:10" ht="13">
      <c r="D999" s="49"/>
      <c r="E999" s="49"/>
      <c r="F999" s="49"/>
      <c r="J999" s="49"/>
    </row>
    <row r="1000" spans="4:10" ht="13">
      <c r="D1000" s="49"/>
      <c r="E1000" s="49"/>
      <c r="F1000" s="49"/>
      <c r="J1000" s="49"/>
    </row>
  </sheetData>
  <mergeCells count="2">
    <mergeCell ref="A1:G1"/>
    <mergeCell ref="H1:K1"/>
  </mergeCells>
  <conditionalFormatting sqref="A1:A1000">
    <cfRule type="containsText" dxfId="5" priority="1" operator="containsText" text="Unassigned">
      <formula>NOT(ISERROR(SEARCH(("Unassigned"),(A1))))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K1000"/>
  <sheetViews>
    <sheetView workbookViewId="0"/>
  </sheetViews>
  <sheetFormatPr baseColWidth="10" defaultColWidth="14.5" defaultRowHeight="15.75" customHeight="1"/>
  <cols>
    <col min="1" max="1" width="13.83203125" customWidth="1"/>
    <col min="2" max="2" width="15.83203125" customWidth="1"/>
    <col min="4" max="4" width="19" customWidth="1"/>
    <col min="5" max="5" width="21.5" customWidth="1"/>
    <col min="6" max="6" width="28.1640625" customWidth="1"/>
    <col min="8" max="8" width="17.83203125" customWidth="1"/>
    <col min="9" max="9" width="26.1640625" customWidth="1"/>
    <col min="10" max="10" width="27.5" customWidth="1"/>
    <col min="11" max="11" width="27.83203125" customWidth="1"/>
  </cols>
  <sheetData>
    <row r="1" spans="1:11" ht="15.75" customHeight="1">
      <c r="A1" s="177" t="s">
        <v>7</v>
      </c>
      <c r="B1" s="178"/>
      <c r="C1" s="178"/>
      <c r="D1" s="178"/>
      <c r="E1" s="178"/>
      <c r="F1" s="178"/>
      <c r="G1" s="179"/>
      <c r="H1" s="182" t="s">
        <v>38</v>
      </c>
      <c r="I1" s="183"/>
      <c r="J1" s="183"/>
      <c r="K1" s="183"/>
    </row>
    <row r="2" spans="1:11" ht="15.75" customHeight="1">
      <c r="A2" s="100" t="s">
        <v>0</v>
      </c>
      <c r="B2" s="101" t="s">
        <v>72</v>
      </c>
      <c r="C2" s="101" t="s">
        <v>73</v>
      </c>
      <c r="D2" s="102" t="s">
        <v>74</v>
      </c>
      <c r="E2" s="102" t="s">
        <v>333</v>
      </c>
      <c r="F2" s="102" t="s">
        <v>334</v>
      </c>
      <c r="G2" s="101" t="s">
        <v>327</v>
      </c>
      <c r="H2" s="103" t="s">
        <v>335</v>
      </c>
      <c r="I2" s="104" t="s">
        <v>336</v>
      </c>
      <c r="J2" s="104" t="s">
        <v>337</v>
      </c>
      <c r="K2" s="105" t="s">
        <v>338</v>
      </c>
    </row>
    <row r="3" spans="1:11" ht="15.75" customHeight="1">
      <c r="A3" t="str">
        <f ca="1">IFERROR(__xludf.DUMMYFUNCTION("filter(Assignments!B3:B1000,Assignments!P3:P1000=""Somatic Cancer"",Assignments!O3:O1000=""Comprehensive"")"),"Declined")</f>
        <v>Declined</v>
      </c>
      <c r="B3" t="str">
        <f ca="1">IFERROR(__xludf.DUMMYFUNCTION("filter(Assignments!C3:C1000,Assignments!P3:P1000=""Somatic Cancer"",Assignments!O3:O1000=""Comprehensive"")"),"")</f>
        <v/>
      </c>
      <c r="C3" t="str">
        <f ca="1">IFERROR(__xludf.DUMMYFUNCTION("filter(Assignments!D3:D1000,Assignments!P3:P1000=""Somatic Cancer"",Assignments!O3:O1000=""Comprehensive"")"),"")</f>
        <v/>
      </c>
      <c r="D3" s="62" t="str">
        <f ca="1">IFERROR(__xludf.DUMMYFUNCTION("filter(Assignments!E3:E1000,Assignments!P3:P1000=""Somatic Cancer"",Assignments!O3:O1000=""Comprehensive"")"),"No")</f>
        <v>No</v>
      </c>
      <c r="E3" s="62" t="str">
        <f ca="1">IFERROR(__xludf.DUMMYFUNCTION("filter(Assignments!F3:F1000,Assignments!P3:P1000=""Somatic Cancer"",Assignments!O3:O1000=""Comprehensive"")"),"No")</f>
        <v>No</v>
      </c>
      <c r="F3" s="49" t="str">
        <f ca="1">IFERROR(__xludf.DUMMYFUNCTION("filter(Assignments!G3:G1000,Assignments!P3:P1000=""Somatic Cancer"",Assignments!O3:O1000=""Comprehensive"")"),"Somatic Cancer")</f>
        <v>Somatic Cancer</v>
      </c>
      <c r="G3" t="str">
        <f ca="1">IFERROR(__xludf.DUMMYFUNCTION("filter(Assignments!H3:H1000,Assignments!P3:P1000=""Somatic Cancer"",Assignments!O3:O1000=""Comprehensive"")"),"Pediatric cancer")</f>
        <v>Pediatric cancer</v>
      </c>
      <c r="H3" t="str">
        <f ca="1">IFERROR(__xludf.DUMMYFUNCTION("filter(Assignments!L3:L1000,Assignments!P3:P1000=""Somatic Cancer"",Assignments!O3:O1000=""Comprehensive"")"),"Suneeta Mandava")</f>
        <v>Suneeta Mandava</v>
      </c>
      <c r="I3" t="str">
        <f ca="1">IFERROR(__xludf.DUMMYFUNCTION("filter(Assignments!M3:M1000,Assignments!P3:P1000=""Somatic Cancer"",Assignments!O3:O1000=""Comprehensive"")"),"suneeta.mandava@gmail.com")</f>
        <v>suneeta.mandava@gmail.com</v>
      </c>
      <c r="J3" s="49" t="str">
        <f ca="1">IFERROR(__xludf.DUMMYFUNCTION("filter(Assignments!O3:O1000,Assignments!P3:P1000=""Somatic Cancer"",Assignments!O3:O1000=""Comprehensive"")"),"Comprehensive")</f>
        <v>Comprehensive</v>
      </c>
      <c r="K3" t="str">
        <f ca="1">IFERROR(__xludf.DUMMYFUNCTION("filter(Assignments!W3:W1000,Assignments!P3:P1000=""Somatic Cancer"",Assignments!O3:O1000=""Comprehensive"")"),"somatic cancer TP53")</f>
        <v>somatic cancer TP53</v>
      </c>
    </row>
    <row r="4" spans="1:11" ht="15.75" customHeight="1">
      <c r="A4" t="str">
        <f ca="1">IFERROR(__xludf.DUMMYFUNCTION("""COMPUTED_VALUE"""),"Unresponsive")</f>
        <v>Unresponsive</v>
      </c>
      <c r="B4" s="108">
        <f ca="1">IFERROR(__xludf.DUMMYFUNCTION("""COMPUTED_VALUE"""),43474)</f>
        <v>43474</v>
      </c>
      <c r="C4" s="111">
        <f ca="1">IFERROR(__xludf.DUMMYFUNCTION("""COMPUTED_VALUE"""),43476)</f>
        <v>43476</v>
      </c>
      <c r="D4" s="49" t="str">
        <f ca="1">IFERROR(__xludf.DUMMYFUNCTION("""COMPUTED_VALUE"""),"Yes")</f>
        <v>Yes</v>
      </c>
      <c r="E4" s="49" t="str">
        <f ca="1">IFERROR(__xludf.DUMMYFUNCTION("""COMPUTED_VALUE"""),"No")</f>
        <v>No</v>
      </c>
      <c r="F4" s="49" t="str">
        <f ca="1">IFERROR(__xludf.DUMMYFUNCTION("""COMPUTED_VALUE"""),"Somatic Cancer")</f>
        <v>Somatic Cancer</v>
      </c>
      <c r="G4" t="str">
        <f ca="1">IFERROR(__xludf.DUMMYFUNCTION("""COMPUTED_VALUE"""),"Somatic WG")</f>
        <v>Somatic WG</v>
      </c>
      <c r="H4" t="str">
        <f ca="1">IFERROR(__xludf.DUMMYFUNCTION("""COMPUTED_VALUE"""),"Rajavarman Kittu")</f>
        <v>Rajavarman Kittu</v>
      </c>
      <c r="I4" t="str">
        <f ca="1">IFERROR(__xludf.DUMMYFUNCTION("""COMPUTED_VALUE"""),"rajavarman21@gmail.com")</f>
        <v>rajavarman21@gmail.com</v>
      </c>
      <c r="J4" s="49" t="str">
        <f ca="1">IFERROR(__xludf.DUMMYFUNCTION("""COMPUTED_VALUE"""),"Comprehensive")</f>
        <v>Comprehensive</v>
      </c>
      <c r="K4" t="str">
        <f ca="1">IFERROR(__xludf.DUMMYFUNCTION("""COMPUTED_VALUE"""),"As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5" spans="1:11" ht="15.75" customHeight="1">
      <c r="A5" t="str">
        <f ca="1">IFERROR(__xludf.DUMMYFUNCTION("""COMPUTED_VALUE"""),"Unresponsive")</f>
        <v>Unresponsive</v>
      </c>
      <c r="B5" s="106">
        <f ca="1">IFERROR(__xludf.DUMMYFUNCTION("""COMPUTED_VALUE"""),43476)</f>
        <v>43476</v>
      </c>
      <c r="C5" s="111">
        <f ca="1">IFERROR(__xludf.DUMMYFUNCTION("""COMPUTED_VALUE"""),43476)</f>
        <v>43476</v>
      </c>
      <c r="D5" s="49" t="str">
        <f ca="1">IFERROR(__xludf.DUMMYFUNCTION("""COMPUTED_VALUE"""),"Yes")</f>
        <v>Yes</v>
      </c>
      <c r="E5" s="49" t="str">
        <f ca="1">IFERROR(__xludf.DUMMYFUNCTION("""COMPUTED_VALUE"""),"No")</f>
        <v>No</v>
      </c>
      <c r="F5" s="49" t="str">
        <f ca="1">IFERROR(__xludf.DUMMYFUNCTION("""COMPUTED_VALUE"""),"Somatic Cancer")</f>
        <v>Somatic Cancer</v>
      </c>
      <c r="G5" t="str">
        <f ca="1">IFERROR(__xludf.DUMMYFUNCTION("""COMPUTED_VALUE"""),"pancreatic cancer taskforce")</f>
        <v>pancreatic cancer taskforce</v>
      </c>
      <c r="H5" t="str">
        <f ca="1">IFERROR(__xludf.DUMMYFUNCTION("""COMPUTED_VALUE"""),"Sameeha Shirwadkar")</f>
        <v>Sameeha Shirwadkar</v>
      </c>
      <c r="I5" t="str">
        <f ca="1">IFERROR(__xludf.DUMMYFUNCTION("""COMPUTED_VALUE"""),"sameeha9@gmail.com")</f>
        <v>sameeha9@gmail.com</v>
      </c>
      <c r="J5" s="49" t="str">
        <f ca="1">IFERROR(__xludf.DUMMYFUNCTION("""COMPUTED_VALUE"""),"Comprehensive")</f>
        <v>Comprehensive</v>
      </c>
      <c r="K5" t="str">
        <f ca="1">IFERROR(__xludf.DUMMYFUNCTION("""COMPUTED_VALUE"""),"Somatic/Germline Variant Curation Group and TP53 Variant Curation Expert Panel")</f>
        <v>Somatic/Germline Variant Curation Group and TP53 Variant Curation Expert Panel</v>
      </c>
    </row>
    <row r="6" spans="1:11" ht="15.75" customHeight="1">
      <c r="A6" t="str">
        <f ca="1">IFERROR(__xludf.DUMMYFUNCTION("""COMPUTED_VALUE"""),"Unresponsive")</f>
        <v>Unresponsive</v>
      </c>
      <c r="B6" t="str">
        <f ca="1">IFERROR(__xludf.DUMMYFUNCTION("""COMPUTED_VALUE"""),"")</f>
        <v/>
      </c>
      <c r="C6" s="111" t="str">
        <f ca="1">IFERROR(__xludf.DUMMYFUNCTION("""COMPUTED_VALUE"""),"")</f>
        <v/>
      </c>
      <c r="D6" s="49" t="str">
        <f ca="1">IFERROR(__xludf.DUMMYFUNCTION("""COMPUTED_VALUE"""),"No")</f>
        <v>No</v>
      </c>
      <c r="E6" s="49" t="str">
        <f ca="1">IFERROR(__xludf.DUMMYFUNCTION("""COMPUTED_VALUE"""),"No")</f>
        <v>No</v>
      </c>
      <c r="F6" s="49" t="str">
        <f ca="1">IFERROR(__xludf.DUMMYFUNCTION("""COMPUTED_VALUE"""),"Somatic Cancer")</f>
        <v>Somatic Cancer</v>
      </c>
      <c r="G6" t="str">
        <f ca="1">IFERROR(__xludf.DUMMYFUNCTION("""COMPUTED_VALUE"""),"pediatric cancer taskforce")</f>
        <v>pediatric cancer taskforce</v>
      </c>
      <c r="H6" t="str">
        <f ca="1">IFERROR(__xludf.DUMMYFUNCTION("""COMPUTED_VALUE"""),"Heather Williams")</f>
        <v>Heather Williams</v>
      </c>
      <c r="I6" t="str">
        <f ca="1">IFERROR(__xludf.DUMMYFUNCTION("""COMPUTED_VALUE"""),"heather.williams30@nhs.net")</f>
        <v>heather.williams30@nhs.net</v>
      </c>
      <c r="J6" s="49" t="str">
        <f ca="1">IFERROR(__xludf.DUMMYFUNCTION("""COMPUTED_VALUE"""),"Comprehensive")</f>
        <v>Comprehensive</v>
      </c>
      <c r="K6" t="str">
        <f ca="1">IFERROR(__xludf.DUMMYFUNCTION("""COMPUTED_VALUE"""),"Myeloid Malignancy Variant Curation Expert Panel Somatic/Germline Variant Curation Group")</f>
        <v>Myeloid Malignancy Variant Curation Expert Panel Somatic/Germline Variant Curation Group</v>
      </c>
    </row>
    <row r="7" spans="1:11" ht="15.75" customHeight="1">
      <c r="A7" t="str">
        <f ca="1">IFERROR(__xludf.DUMMYFUNCTION("""COMPUTED_VALUE"""),"Unresponsive")</f>
        <v>Unresponsive</v>
      </c>
      <c r="B7" s="107">
        <f ca="1">IFERROR(__xludf.DUMMYFUNCTION("""COMPUTED_VALUE"""),43411)</f>
        <v>43411</v>
      </c>
      <c r="C7" s="111">
        <f ca="1">IFERROR(__xludf.DUMMYFUNCTION("""COMPUTED_VALUE"""),43476)</f>
        <v>43476</v>
      </c>
      <c r="D7" s="49" t="str">
        <f ca="1">IFERROR(__xludf.DUMMYFUNCTION("""COMPUTED_VALUE"""),"Yes")</f>
        <v>Yes</v>
      </c>
      <c r="E7" s="49" t="str">
        <f ca="1">IFERROR(__xludf.DUMMYFUNCTION("""COMPUTED_VALUE"""),"No")</f>
        <v>No</v>
      </c>
      <c r="F7" s="49" t="str">
        <f ca="1">IFERROR(__xludf.DUMMYFUNCTION("""COMPUTED_VALUE"""),"Somatic Cancer")</f>
        <v>Somatic Cancer</v>
      </c>
      <c r="G7" t="str">
        <f ca="1">IFERROR(__xludf.DUMMYFUNCTION("""COMPUTED_VALUE"""),"pediatric cancer taskforce")</f>
        <v>pediatric cancer taskforce</v>
      </c>
      <c r="H7" t="str">
        <f ca="1">IFERROR(__xludf.DUMMYFUNCTION("""COMPUTED_VALUE"""),"Laura Richards")</f>
        <v>Laura Richards</v>
      </c>
      <c r="I7" t="str">
        <f ca="1">IFERROR(__xludf.DUMMYFUNCTION("""COMPUTED_VALUE"""),"lauram.richards@mail.utoronto.ca")</f>
        <v>lauram.richards@mail.utoronto.ca</v>
      </c>
      <c r="J7" s="49" t="str">
        <f ca="1">IFERROR(__xludf.DUMMYFUNCTION("""COMPUTED_VALUE"""),"Comprehensive")</f>
        <v>Comprehensive</v>
      </c>
      <c r="K7" t="str">
        <f ca="1">IFERROR(__xludf.DUMMYFUNCTION("""COMPUTED_VALUE"""),"All expert panels in Hereditary Cancer CDWG")</f>
        <v>All expert panels in Hereditary Cancer CDWG</v>
      </c>
    </row>
    <row r="8" spans="1:11" ht="15.75" customHeight="1">
      <c r="A8" t="str">
        <f ca="1">IFERROR(__xludf.DUMMYFUNCTION("""COMPUTED_VALUE"""),"Unresponsive")</f>
        <v>Unresponsive</v>
      </c>
      <c r="B8" s="107">
        <f ca="1">IFERROR(__xludf.DUMMYFUNCTION("""COMPUTED_VALUE"""),43411)</f>
        <v>43411</v>
      </c>
      <c r="C8" s="111" t="str">
        <f ca="1">IFERROR(__xludf.DUMMYFUNCTION("""COMPUTED_VALUE"""),"")</f>
        <v/>
      </c>
      <c r="D8" s="49" t="str">
        <f ca="1">IFERROR(__xludf.DUMMYFUNCTION("""COMPUTED_VALUE"""),"No")</f>
        <v>No</v>
      </c>
      <c r="E8" s="49" t="str">
        <f ca="1">IFERROR(__xludf.DUMMYFUNCTION("""COMPUTED_VALUE"""),"No")</f>
        <v>No</v>
      </c>
      <c r="F8" s="49" t="str">
        <f ca="1">IFERROR(__xludf.DUMMYFUNCTION("""COMPUTED_VALUE"""),"Somatic Cancer")</f>
        <v>Somatic Cancer</v>
      </c>
      <c r="G8" t="str">
        <f ca="1">IFERROR(__xludf.DUMMYFUNCTION("""COMPUTED_VALUE"""),"")</f>
        <v/>
      </c>
      <c r="H8" t="str">
        <f ca="1">IFERROR(__xludf.DUMMYFUNCTION("""COMPUTED_VALUE"""),"Aysegul Ozanturk")</f>
        <v>Aysegul Ozanturk</v>
      </c>
      <c r="I8" t="str">
        <f ca="1">IFERROR(__xludf.DUMMYFUNCTION("""COMPUTED_VALUE"""),"aozanturk@gmail.com")</f>
        <v>aozanturk@gmail.com</v>
      </c>
      <c r="J8" s="49" t="str">
        <f ca="1">IFERROR(__xludf.DUMMYFUNCTION("""COMPUTED_VALUE"""),"Comprehensive")</f>
        <v>Comprehensive</v>
      </c>
      <c r="K8" t="str">
        <f ca="1">IFERROR(__xludf.DUMMYFUNCTION("""COMPUTED_VALUE"""),"I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9" spans="1:11" ht="15.75" customHeight="1">
      <c r="A9" t="str">
        <f ca="1">IFERROR(__xludf.DUMMYFUNCTION("""COMPUTED_VALUE"""),"Declined")</f>
        <v>Declined</v>
      </c>
      <c r="B9" s="107">
        <f ca="1">IFERROR(__xludf.DUMMYFUNCTION("""COMPUTED_VALUE"""),43411)</f>
        <v>43411</v>
      </c>
      <c r="C9" s="111">
        <f ca="1">IFERROR(__xludf.DUMMYFUNCTION("""COMPUTED_VALUE"""),43476)</f>
        <v>43476</v>
      </c>
      <c r="D9" s="49" t="str">
        <f ca="1">IFERROR(__xludf.DUMMYFUNCTION("""COMPUTED_VALUE"""),"Yes")</f>
        <v>Yes</v>
      </c>
      <c r="E9" s="49" t="str">
        <f ca="1">IFERROR(__xludf.DUMMYFUNCTION("""COMPUTED_VALUE"""),"No")</f>
        <v>No</v>
      </c>
      <c r="F9" s="49" t="str">
        <f ca="1">IFERROR(__xludf.DUMMYFUNCTION("""COMPUTED_VALUE"""),"Somatic Cancer")</f>
        <v>Somatic Cancer</v>
      </c>
      <c r="G9" t="str">
        <f ca="1">IFERROR(__xludf.DUMMYFUNCTION("""COMPUTED_VALUE"""),"pancreatic cancer taskforce")</f>
        <v>pancreatic cancer taskforce</v>
      </c>
      <c r="H9" t="str">
        <f ca="1">IFERROR(__xludf.DUMMYFUNCTION("""COMPUTED_VALUE"""),"Kaylee Barber")</f>
        <v>Kaylee Barber</v>
      </c>
      <c r="I9" t="str">
        <f ca="1">IFERROR(__xludf.DUMMYFUNCTION("""COMPUTED_VALUE"""),"kbarber@bioreference.com")</f>
        <v>kbarber@bioreference.com</v>
      </c>
      <c r="J9" s="49" t="str">
        <f ca="1">IFERROR(__xludf.DUMMYFUNCTION("""COMPUTED_VALUE"""),"Comprehensive")</f>
        <v>Comprehensive</v>
      </c>
      <c r="K9" t="str">
        <f ca="1">IFERROR(__xludf.DUMMYFUNCTION("""COMPUTED_VALUE"""),"Somatic Cancer Working Group, Somatic/Germline Variant Curation Group")</f>
        <v>Somatic Cancer Working Group, Somatic/Germline Variant Curation Group</v>
      </c>
    </row>
    <row r="10" spans="1:11" ht="15.75" customHeight="1">
      <c r="A10" t="str">
        <f ca="1">IFERROR(__xludf.DUMMYFUNCTION("""COMPUTED_VALUE"""),"Assigned")</f>
        <v>Assigned</v>
      </c>
      <c r="B10" s="107">
        <f ca="1">IFERROR(__xludf.DUMMYFUNCTION("""COMPUTED_VALUE"""),43411)</f>
        <v>43411</v>
      </c>
      <c r="C10" s="111">
        <f ca="1">IFERROR(__xludf.DUMMYFUNCTION("""COMPUTED_VALUE"""),43476)</f>
        <v>43476</v>
      </c>
      <c r="D10" s="49" t="str">
        <f ca="1">IFERROR(__xludf.DUMMYFUNCTION("""COMPUTED_VALUE"""),"Yes")</f>
        <v>Yes</v>
      </c>
      <c r="E10" s="49" t="str">
        <f ca="1">IFERROR(__xludf.DUMMYFUNCTION("""COMPUTED_VALUE"""),"No")</f>
        <v>No</v>
      </c>
      <c r="F10" s="49" t="str">
        <f ca="1">IFERROR(__xludf.DUMMYFUNCTION("""COMPUTED_VALUE"""),"Somatic Cancer")</f>
        <v>Somatic Cancer</v>
      </c>
      <c r="G10" t="str">
        <f ca="1">IFERROR(__xludf.DUMMYFUNCTION("""COMPUTED_VALUE"""),"pediatric and pancreatic cancer taskforces")</f>
        <v>pediatric and pancreatic cancer taskforces</v>
      </c>
      <c r="H10" t="str">
        <f ca="1">IFERROR(__xludf.DUMMYFUNCTION("""COMPUTED_VALUE"""),"Wan-Hsin Lin")</f>
        <v>Wan-Hsin Lin</v>
      </c>
      <c r="I10" t="str">
        <f ca="1">IFERROR(__xludf.DUMMYFUNCTION("""COMPUTED_VALUE"""),"lin.wanhsin@mayo.edu")</f>
        <v>lin.wanhsin@mayo.edu</v>
      </c>
      <c r="J10" s="49" t="str">
        <f ca="1">IFERROR(__xludf.DUMMYFUNCTION("""COMPUTED_VALUE"""),"Comprehensive")</f>
        <v>Comprehensive</v>
      </c>
      <c r="K10" t="str">
        <f ca="1">IFERROR(__xludf.DUMMYFUNCTION("""COMPUTED_VALUE"""),"The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11" spans="1:11" ht="15.75" customHeight="1">
      <c r="A11" t="str">
        <f ca="1">IFERROR(__xludf.DUMMYFUNCTION("""COMPUTED_VALUE"""),"Unresponsive")</f>
        <v>Unresponsive</v>
      </c>
      <c r="B11" s="107">
        <f ca="1">IFERROR(__xludf.DUMMYFUNCTION("""COMPUTED_VALUE"""),43411)</f>
        <v>43411</v>
      </c>
      <c r="C11" s="111">
        <f ca="1">IFERROR(__xludf.DUMMYFUNCTION("""COMPUTED_VALUE"""),43476)</f>
        <v>43476</v>
      </c>
      <c r="D11" s="49" t="str">
        <f ca="1">IFERROR(__xludf.DUMMYFUNCTION("""COMPUTED_VALUE"""),"Yes")</f>
        <v>Yes</v>
      </c>
      <c r="E11" s="49" t="str">
        <f ca="1">IFERROR(__xludf.DUMMYFUNCTION("""COMPUTED_VALUE"""),"No")</f>
        <v>No</v>
      </c>
      <c r="F11" s="49" t="str">
        <f ca="1">IFERROR(__xludf.DUMMYFUNCTION("""COMPUTED_VALUE"""),"Somatic Cancer")</f>
        <v>Somatic Cancer</v>
      </c>
      <c r="G11" t="str">
        <f ca="1">IFERROR(__xludf.DUMMYFUNCTION("""COMPUTED_VALUE"""),"pediatric cancer taskforce")</f>
        <v>pediatric cancer taskforce</v>
      </c>
      <c r="H11" t="str">
        <f ca="1">IFERROR(__xludf.DUMMYFUNCTION("""COMPUTED_VALUE"""),"Stefan Rentas")</f>
        <v>Stefan Rentas</v>
      </c>
      <c r="I11" t="str">
        <f ca="1">IFERROR(__xludf.DUMMYFUNCTION("""COMPUTED_VALUE"""),"rentass@email.chop.edu")</f>
        <v>rentass@email.chop.edu</v>
      </c>
      <c r="J11" s="49" t="str">
        <f ca="1">IFERROR(__xludf.DUMMYFUNCTION("""COMPUTED_VALUE"""),"Comprehensive")</f>
        <v>Comprehensive</v>
      </c>
      <c r="K11" t="str">
        <f ca="1">IFERROR(__xludf.DUMMYFUNCTION("""COMPUTED_VALUE"""),"As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12" spans="1:11" ht="15.75" customHeight="1">
      <c r="A12" t="str">
        <f ca="1">IFERROR(__xludf.DUMMYFUNCTION("""COMPUTED_VALUE"""),"Unresponsive")</f>
        <v>Unresponsive</v>
      </c>
      <c r="B12" s="108">
        <f ca="1">IFERROR(__xludf.DUMMYFUNCTION("""COMPUTED_VALUE"""),43434)</f>
        <v>43434</v>
      </c>
      <c r="C12" s="111" t="str">
        <f ca="1">IFERROR(__xludf.DUMMYFUNCTION("""COMPUTED_VALUE"""),"")</f>
        <v/>
      </c>
      <c r="D12" s="49" t="str">
        <f ca="1">IFERROR(__xludf.DUMMYFUNCTION("""COMPUTED_VALUE"""),"No")</f>
        <v>No</v>
      </c>
      <c r="E12" s="49" t="str">
        <f ca="1">IFERROR(__xludf.DUMMYFUNCTION("""COMPUTED_VALUE"""),"No")</f>
        <v>No</v>
      </c>
      <c r="F12" s="49" t="str">
        <f ca="1">IFERROR(__xludf.DUMMYFUNCTION("""COMPUTED_VALUE"""),"Somatic Cancer")</f>
        <v>Somatic Cancer</v>
      </c>
      <c r="G12" t="str">
        <f ca="1">IFERROR(__xludf.DUMMYFUNCTION("""COMPUTED_VALUE"""),"")</f>
        <v/>
      </c>
      <c r="H12" t="str">
        <f ca="1">IFERROR(__xludf.DUMMYFUNCTION("""COMPUTED_VALUE"""),"Willonie Mendonca")</f>
        <v>Willonie Mendonca</v>
      </c>
      <c r="I12" t="str">
        <f ca="1">IFERROR(__xludf.DUMMYFUNCTION("""COMPUTED_VALUE"""),"willonie@gmail.com")</f>
        <v>willonie@gmail.com</v>
      </c>
      <c r="J12" s="49" t="str">
        <f ca="1">IFERROR(__xludf.DUMMYFUNCTION("""COMPUTED_VALUE"""),"Comprehensive")</f>
        <v>Comprehensive</v>
      </c>
      <c r="K12" t="str">
        <f ca="1">IFERROR(__xludf.DUMMYFUNCTION("""COMPUTED_VALUE"""),"Somatic cancer working groupHereditary cancer working group")</f>
        <v>Somatic cancer working groupHereditary cancer working group</v>
      </c>
    </row>
    <row r="13" spans="1:11" ht="15.75" customHeight="1">
      <c r="A13" t="str">
        <f ca="1">IFERROR(__xludf.DUMMYFUNCTION("""COMPUTED_VALUE"""),"Unresponsive")</f>
        <v>Unresponsive</v>
      </c>
      <c r="B13" s="108">
        <f ca="1">IFERROR(__xludf.DUMMYFUNCTION("""COMPUTED_VALUE"""),43434)</f>
        <v>43434</v>
      </c>
      <c r="C13" s="111">
        <f ca="1">IFERROR(__xludf.DUMMYFUNCTION("""COMPUTED_VALUE"""),43476)</f>
        <v>43476</v>
      </c>
      <c r="D13" s="49" t="str">
        <f ca="1">IFERROR(__xludf.DUMMYFUNCTION("""COMPUTED_VALUE"""),"Yes")</f>
        <v>Yes</v>
      </c>
      <c r="E13" s="49" t="str">
        <f ca="1">IFERROR(__xludf.DUMMYFUNCTION("""COMPUTED_VALUE"""),"No")</f>
        <v>No</v>
      </c>
      <c r="F13" s="49" t="str">
        <f ca="1">IFERROR(__xludf.DUMMYFUNCTION("""COMPUTED_VALUE"""),"Somatic Cancer")</f>
        <v>Somatic Cancer</v>
      </c>
      <c r="G13" t="str">
        <f ca="1">IFERROR(__xludf.DUMMYFUNCTION("""COMPUTED_VALUE"""),"pancreatic cancer taskforce")</f>
        <v>pancreatic cancer taskforce</v>
      </c>
      <c r="H13" t="str">
        <f ca="1">IFERROR(__xludf.DUMMYFUNCTION("""COMPUTED_VALUE"""),"Iman Haroun")</f>
        <v>Iman Haroun</v>
      </c>
      <c r="I13" t="str">
        <f ca="1">IFERROR(__xludf.DUMMYFUNCTION("""COMPUTED_VALUE"""),"iman.haroun@readinghealth.org")</f>
        <v>iman.haroun@readinghealth.org</v>
      </c>
      <c r="J13" s="49" t="str">
        <f ca="1">IFERROR(__xludf.DUMMYFUNCTION("""COMPUTED_VALUE"""),"Comprehensive")</f>
        <v>Comprehensive</v>
      </c>
      <c r="K13" t="str">
        <f ca="1">IFERROR(__xludf.DUMMYFUNCTION("""COMPUTED_VALUE"""),"Somatic Cancer, Pancreatic")</f>
        <v>Somatic Cancer, Pancreatic</v>
      </c>
    </row>
    <row r="14" spans="1:11" ht="15.75" customHeight="1">
      <c r="A14" t="str">
        <f ca="1">IFERROR(__xludf.DUMMYFUNCTION("""COMPUTED_VALUE"""),"Contacted")</f>
        <v>Contacted</v>
      </c>
      <c r="B14" t="str">
        <f ca="1">IFERROR(__xludf.DUMMYFUNCTION("""COMPUTED_VALUE"""),"")</f>
        <v/>
      </c>
      <c r="C14" s="111">
        <f ca="1">IFERROR(__xludf.DUMMYFUNCTION("""COMPUTED_VALUE"""),43598)</f>
        <v>43598</v>
      </c>
      <c r="D14" s="49" t="str">
        <f ca="1">IFERROR(__xludf.DUMMYFUNCTION("""COMPUTED_VALUE"""),"Yes")</f>
        <v>Yes</v>
      </c>
      <c r="E14" s="49" t="str">
        <f ca="1">IFERROR(__xludf.DUMMYFUNCTION("""COMPUTED_VALUE"""),"No")</f>
        <v>No</v>
      </c>
      <c r="F14" s="49" t="str">
        <f ca="1">IFERROR(__xludf.DUMMYFUNCTION("""COMPUTED_VALUE"""),"Somatic Cancer")</f>
        <v>Somatic Cancer</v>
      </c>
      <c r="G14" t="str">
        <f ca="1">IFERROR(__xludf.DUMMYFUNCTION("""COMPUTED_VALUE"""),"")</f>
        <v/>
      </c>
      <c r="H14" t="str">
        <f ca="1">IFERROR(__xludf.DUMMYFUNCTION("""COMPUTED_VALUE"""),"Qiuxiang Ou")</f>
        <v>Qiuxiang Ou</v>
      </c>
      <c r="I14" t="str">
        <f ca="1">IFERROR(__xludf.DUMMYFUNCTION("""COMPUTED_VALUE"""),"dorothy.ou@gmail.com")</f>
        <v>dorothy.ou@gmail.com</v>
      </c>
      <c r="J14" s="49" t="str">
        <f ca="1">IFERROR(__xludf.DUMMYFUNCTION("""COMPUTED_VALUE"""),"Comprehensive")</f>
        <v>Comprehensive</v>
      </c>
      <c r="K14" t="str">
        <f ca="1">IFERROR(__xludf.DUMMYFUNCTION("""COMPUTED_VALUE"""),"Somatic Cancer Working Group")</f>
        <v>Somatic Cancer Working Group</v>
      </c>
    </row>
    <row r="15" spans="1:11" ht="15.75" customHeight="1">
      <c r="A15" t="str">
        <f ca="1">IFERROR(__xludf.DUMMYFUNCTION("""COMPUTED_VALUE"""),"Assigned")</f>
        <v>Assigned</v>
      </c>
      <c r="B15" s="107">
        <f ca="1">IFERROR(__xludf.DUMMYFUNCTION("""COMPUTED_VALUE"""),43467)</f>
        <v>43467</v>
      </c>
      <c r="C15" s="108">
        <f ca="1">IFERROR(__xludf.DUMMYFUNCTION("""COMPUTED_VALUE"""),43476)</f>
        <v>43476</v>
      </c>
      <c r="D15" s="49" t="str">
        <f ca="1">IFERROR(__xludf.DUMMYFUNCTION("""COMPUTED_VALUE"""),"Yes")</f>
        <v>Yes</v>
      </c>
      <c r="E15" s="49" t="str">
        <f ca="1">IFERROR(__xludf.DUMMYFUNCTION("""COMPUTED_VALUE"""),"No")</f>
        <v>No</v>
      </c>
      <c r="F15" s="49" t="str">
        <f ca="1">IFERROR(__xludf.DUMMYFUNCTION("""COMPUTED_VALUE"""),"Actionability")</f>
        <v>Actionability</v>
      </c>
      <c r="G15" t="str">
        <f ca="1">IFERROR(__xludf.DUMMYFUNCTION("""COMPUTED_VALUE"""),"Actionability")</f>
        <v>Actionability</v>
      </c>
      <c r="H15" t="str">
        <f ca="1">IFERROR(__xludf.DUMMYFUNCTION("""COMPUTED_VALUE"""),"Laura Fuqua")</f>
        <v>Laura Fuqua</v>
      </c>
      <c r="I15" t="str">
        <f ca="1">IFERROR(__xludf.DUMMYFUNCTION("""COMPUTED_VALUE"""),"laura.fuqua@gmail.com")</f>
        <v>laura.fuqua@gmail.com</v>
      </c>
      <c r="J15" s="49" t="str">
        <f ca="1">IFERROR(__xludf.DUMMYFUNCTION("""COMPUTED_VALUE"""),"Comprehensive")</f>
        <v>Comprehensive</v>
      </c>
      <c r="K15" t="str">
        <f ca="1">IFERROR(__xludf.DUMMYFUNCTION("""COMPUTED_VALUE"""),"NA")</f>
        <v>NA</v>
      </c>
    </row>
    <row r="16" spans="1:11" ht="15.75" customHeight="1">
      <c r="A16" t="str">
        <f ca="1">IFERROR(__xludf.DUMMYFUNCTION("""COMPUTED_VALUE"""),"Unresponsive")</f>
        <v>Unresponsive</v>
      </c>
      <c r="B16" t="str">
        <f ca="1">IFERROR(__xludf.DUMMYFUNCTION("""COMPUTED_VALUE"""),"")</f>
        <v/>
      </c>
      <c r="C16" t="str">
        <f ca="1">IFERROR(__xludf.DUMMYFUNCTION("""COMPUTED_VALUE"""),"")</f>
        <v/>
      </c>
      <c r="D16" s="49" t="str">
        <f ca="1">IFERROR(__xludf.DUMMYFUNCTION("""COMPUTED_VALUE"""),"No")</f>
        <v>No</v>
      </c>
      <c r="E16" s="49" t="str">
        <f ca="1">IFERROR(__xludf.DUMMYFUNCTION("""COMPUTED_VALUE"""),"No")</f>
        <v>No</v>
      </c>
      <c r="F16" s="49" t="str">
        <f ca="1">IFERROR(__xludf.DUMMYFUNCTION("""COMPUTED_VALUE"""),"Somatic Cancer")</f>
        <v>Somatic Cancer</v>
      </c>
      <c r="G16" t="str">
        <f ca="1">IFERROR(__xludf.DUMMYFUNCTION("""COMPUTED_VALUE"""),"")</f>
        <v/>
      </c>
      <c r="H16" t="str">
        <f ca="1">IFERROR(__xludf.DUMMYFUNCTION("""COMPUTED_VALUE"""),"Milda Auglyte")</f>
        <v>Milda Auglyte</v>
      </c>
      <c r="I16" t="str">
        <f ca="1">IFERROR(__xludf.DUMMYFUNCTION("""COMPUTED_VALUE"""),"mildaaug@gmail.com")</f>
        <v>mildaaug@gmail.com</v>
      </c>
      <c r="J16" s="49" t="str">
        <f ca="1">IFERROR(__xludf.DUMMYFUNCTION("""COMPUTED_VALUE"""),"Comprehensive")</f>
        <v>Comprehensive</v>
      </c>
      <c r="K16" t="str">
        <f ca="1">IFERROR(__xludf.DUMMYFUNCTION("""COMPUTED_VALUE"""),"I would be interested in newly forming groups: Breast/Ovarian Cancer, Nonsmall cell lung cancer and Somatic TP53.")</f>
        <v>I would be interested in newly forming groups: Breast/Ovarian Cancer, Nonsmall cell lung cancer and Somatic TP53.</v>
      </c>
    </row>
    <row r="17" spans="1:11" ht="15.75" customHeight="1">
      <c r="A17" t="str">
        <f ca="1">IFERROR(__xludf.DUMMYFUNCTION("""COMPUTED_VALUE"""),"Declined")</f>
        <v>Declined</v>
      </c>
      <c r="B17" t="str">
        <f ca="1">IFERROR(__xludf.DUMMYFUNCTION("""COMPUTED_VALUE"""),"")</f>
        <v/>
      </c>
      <c r="C17" t="str">
        <f ca="1">IFERROR(__xludf.DUMMYFUNCTION("""COMPUTED_VALUE"""),"")</f>
        <v/>
      </c>
      <c r="D17" s="49" t="str">
        <f ca="1">IFERROR(__xludf.DUMMYFUNCTION("""COMPUTED_VALUE"""),"No")</f>
        <v>No</v>
      </c>
      <c r="E17" s="49" t="str">
        <f ca="1">IFERROR(__xludf.DUMMYFUNCTION("""COMPUTED_VALUE"""),"No")</f>
        <v>No</v>
      </c>
      <c r="F17" s="49" t="str">
        <f ca="1">IFERROR(__xludf.DUMMYFUNCTION("""COMPUTED_VALUE"""),"Somatic Cancer")</f>
        <v>Somatic Cancer</v>
      </c>
      <c r="G17" t="str">
        <f ca="1">IFERROR(__xludf.DUMMYFUNCTION("""COMPUTED_VALUE"""),"Pediatric cancer taskforce")</f>
        <v>Pediatric cancer taskforce</v>
      </c>
      <c r="H17" t="str">
        <f ca="1">IFERROR(__xludf.DUMMYFUNCTION("""COMPUTED_VALUE"""),"Andres Ressia")</f>
        <v>Andres Ressia</v>
      </c>
      <c r="I17" t="str">
        <f ca="1">IFERROR(__xludf.DUMMYFUNCTION("""COMPUTED_VALUE"""),"andresressiacolino@gmail.com")</f>
        <v>andresressiacolino@gmail.com</v>
      </c>
      <c r="J17" s="49" t="str">
        <f ca="1">IFERROR(__xludf.DUMMYFUNCTION("""COMPUTED_VALUE"""),"Comprehensive")</f>
        <v>Comprehensive</v>
      </c>
      <c r="K17" t="str">
        <f ca="1">IFERROR(__xludf.DUMMYFUNCTION("""COMPUTED_VALUE"""),"Breast/Ovarian Cancer (newly forming)")</f>
        <v>Breast/Ovarian Cancer (newly forming)</v>
      </c>
    </row>
    <row r="18" spans="1:11" ht="15.75" customHeight="1">
      <c r="A18" t="str">
        <f ca="1">IFERROR(__xludf.DUMMYFUNCTION("""COMPUTED_VALUE"""),"Assigned")</f>
        <v>Assigned</v>
      </c>
      <c r="B18" s="108">
        <f ca="1">IFERROR(__xludf.DUMMYFUNCTION("""COMPUTED_VALUE"""),43452)</f>
        <v>43452</v>
      </c>
      <c r="C18" s="111">
        <f ca="1">IFERROR(__xludf.DUMMYFUNCTION("""COMPUTED_VALUE"""),43581)</f>
        <v>43581</v>
      </c>
      <c r="D18" s="49" t="str">
        <f ca="1">IFERROR(__xludf.DUMMYFUNCTION("""COMPUTED_VALUE"""),"Yes")</f>
        <v>Yes</v>
      </c>
      <c r="E18" s="49" t="str">
        <f ca="1">IFERROR(__xludf.DUMMYFUNCTION("""COMPUTED_VALUE"""),"No")</f>
        <v>No</v>
      </c>
      <c r="F18" s="49" t="str">
        <f ca="1">IFERROR(__xludf.DUMMYFUNCTION("""COMPUTED_VALUE"""),"Somatic Cancer")</f>
        <v>Somatic Cancer</v>
      </c>
      <c r="G18" t="str">
        <f ca="1">IFERROR(__xludf.DUMMYFUNCTION("""COMPUTED_VALUE"""),"Pancreatic cancer taskforce")</f>
        <v>Pancreatic cancer taskforce</v>
      </c>
      <c r="H18" t="str">
        <f ca="1">IFERROR(__xludf.DUMMYFUNCTION("""COMPUTED_VALUE"""),"Parisa Lotfi")</f>
        <v>Parisa Lotfi</v>
      </c>
      <c r="I18" t="str">
        <f ca="1">IFERROR(__xludf.DUMMYFUNCTION("""COMPUTED_VALUE"""),"Parisa_Lotfi@yahoo.com")</f>
        <v>Parisa_Lotfi@yahoo.com</v>
      </c>
      <c r="J18" s="49" t="str">
        <f ca="1">IFERROR(__xludf.DUMMYFUNCTION("""COMPUTED_VALUE"""),"Comprehensive")</f>
        <v>Comprehensive</v>
      </c>
      <c r="K18" t="str">
        <f ca="1">IFERROR(__xludf.DUMMYFUNCTION("""COMPUTED_VALUE"""),"intellectual disability/autism group")</f>
        <v>intellectual disability/autism group</v>
      </c>
    </row>
    <row r="19" spans="1:11" ht="15.75" customHeight="1">
      <c r="A19" t="str">
        <f ca="1">IFERROR(__xludf.DUMMYFUNCTION("""COMPUTED_VALUE"""),"Declined")</f>
        <v>Declined</v>
      </c>
      <c r="B19" s="108">
        <f ca="1">IFERROR(__xludf.DUMMYFUNCTION("""COMPUTED_VALUE"""),43452)</f>
        <v>43452</v>
      </c>
      <c r="C19" t="str">
        <f ca="1">IFERROR(__xludf.DUMMYFUNCTION("""COMPUTED_VALUE"""),"")</f>
        <v/>
      </c>
      <c r="D19" s="49" t="str">
        <f ca="1">IFERROR(__xludf.DUMMYFUNCTION("""COMPUTED_VALUE"""),"No")</f>
        <v>No</v>
      </c>
      <c r="E19" s="49" t="str">
        <f ca="1">IFERROR(__xludf.DUMMYFUNCTION("""COMPUTED_VALUE"""),"No")</f>
        <v>No</v>
      </c>
      <c r="F19" s="49" t="str">
        <f ca="1">IFERROR(__xludf.DUMMYFUNCTION("""COMPUTED_VALUE"""),"Somatic Cancer")</f>
        <v>Somatic Cancer</v>
      </c>
      <c r="G19" t="str">
        <f ca="1">IFERROR(__xludf.DUMMYFUNCTION("""COMPUTED_VALUE"""),"Pediatric cancer taskforce")</f>
        <v>Pediatric cancer taskforce</v>
      </c>
      <c r="H19" t="str">
        <f ca="1">IFERROR(__xludf.DUMMYFUNCTION("""COMPUTED_VALUE"""),"Huei San Leong")</f>
        <v>Huei San Leong</v>
      </c>
      <c r="I19" t="str">
        <f ca="1">IFERROR(__xludf.DUMMYFUNCTION("""COMPUTED_VALUE"""),"hueisan.leong@petermac.org")</f>
        <v>hueisan.leong@petermac.org</v>
      </c>
      <c r="J19" s="49" t="str">
        <f ca="1">IFERROR(__xludf.DUMMYFUNCTION("""COMPUTED_VALUE"""),"Comprehensive")</f>
        <v>Comprehensive</v>
      </c>
      <c r="K19" t="str">
        <f ca="1">IFERROR(__xludf.DUMMYFUNCTION("""COMPUTED_VALUE"""),"1) Breast/Ovarian Cancer 2) Colorectal Cancer 3) CDH1")</f>
        <v>1) Breast/Ovarian Cancer 2) Colorectal Cancer 3) CDH1</v>
      </c>
    </row>
    <row r="20" spans="1:11" ht="15.75" customHeight="1">
      <c r="A20" t="str">
        <f ca="1">IFERROR(__xludf.DUMMYFUNCTION("""COMPUTED_VALUE"""),"Unresponsive")</f>
        <v>Unresponsive</v>
      </c>
      <c r="B20" s="108">
        <f ca="1">IFERROR(__xludf.DUMMYFUNCTION("""COMPUTED_VALUE"""),43452)</f>
        <v>43452</v>
      </c>
      <c r="C20" t="str">
        <f ca="1">IFERROR(__xludf.DUMMYFUNCTION("""COMPUTED_VALUE"""),"")</f>
        <v/>
      </c>
      <c r="D20" s="49" t="str">
        <f ca="1">IFERROR(__xludf.DUMMYFUNCTION("""COMPUTED_VALUE"""),"No")</f>
        <v>No</v>
      </c>
      <c r="E20" s="49" t="str">
        <f ca="1">IFERROR(__xludf.DUMMYFUNCTION("""COMPUTED_VALUE"""),"No")</f>
        <v>No</v>
      </c>
      <c r="F20" s="49" t="str">
        <f ca="1">IFERROR(__xludf.DUMMYFUNCTION("""COMPUTED_VALUE"""),"Somatic Cancer")</f>
        <v>Somatic Cancer</v>
      </c>
      <c r="G20" t="str">
        <f ca="1">IFERROR(__xludf.DUMMYFUNCTION("""COMPUTED_VALUE"""),"")</f>
        <v/>
      </c>
      <c r="H20" t="str">
        <f ca="1">IFERROR(__xludf.DUMMYFUNCTION("""COMPUTED_VALUE"""),"Pandurang Kolekar")</f>
        <v>Pandurang Kolekar</v>
      </c>
      <c r="I20" t="str">
        <f ca="1">IFERROR(__xludf.DUMMYFUNCTION("""COMPUTED_VALUE"""),"pandurang.kolekar@gmail.com")</f>
        <v>pandurang.kolekar@gmail.com</v>
      </c>
      <c r="J20" s="49" t="str">
        <f ca="1">IFERROR(__xludf.DUMMYFUNCTION("""COMPUTED_VALUE"""),"Comprehensive")</f>
        <v>Comprehensive</v>
      </c>
      <c r="K20" t="str">
        <f ca="1">IFERROR(__xludf.DUMMYFUNCTION("""COMPUTED_VALUE"""),"Somatic cancer WG")</f>
        <v>Somatic cancer WG</v>
      </c>
    </row>
    <row r="21" spans="1:11" ht="15.75" customHeight="1">
      <c r="A21" t="str">
        <f ca="1">IFERROR(__xludf.DUMMYFUNCTION("""COMPUTED_VALUE"""),"Unresponsive")</f>
        <v>Unresponsive</v>
      </c>
      <c r="B21" s="108">
        <f ca="1">IFERROR(__xludf.DUMMYFUNCTION("""COMPUTED_VALUE"""),43452)</f>
        <v>43452</v>
      </c>
      <c r="C21" t="str">
        <f ca="1">IFERROR(__xludf.DUMMYFUNCTION("""COMPUTED_VALUE"""),"")</f>
        <v/>
      </c>
      <c r="D21" s="49" t="str">
        <f ca="1">IFERROR(__xludf.DUMMYFUNCTION("""COMPUTED_VALUE"""),"No")</f>
        <v>No</v>
      </c>
      <c r="E21" s="49" t="str">
        <f ca="1">IFERROR(__xludf.DUMMYFUNCTION("""COMPUTED_VALUE"""),"No")</f>
        <v>No</v>
      </c>
      <c r="F21" s="49" t="str">
        <f ca="1">IFERROR(__xludf.DUMMYFUNCTION("""COMPUTED_VALUE"""),"Somatic Cancer")</f>
        <v>Somatic Cancer</v>
      </c>
      <c r="G21" t="str">
        <f ca="1">IFERROR(__xludf.DUMMYFUNCTION("""COMPUTED_VALUE"""),"")</f>
        <v/>
      </c>
      <c r="H21" t="str">
        <f ca="1">IFERROR(__xludf.DUMMYFUNCTION("""COMPUTED_VALUE"""),"Jianhong Zhou")</f>
        <v>Jianhong Zhou</v>
      </c>
      <c r="I21" t="str">
        <f ca="1">IFERROR(__xludf.DUMMYFUNCTION("""COMPUTED_VALUE"""),"jhzhou2008@hotmail.com")</f>
        <v>jhzhou2008@hotmail.com</v>
      </c>
      <c r="J21" s="49" t="str">
        <f ca="1">IFERROR(__xludf.DUMMYFUNCTION("""COMPUTED_VALUE"""),"Comprehensive")</f>
        <v>Comprehensive</v>
      </c>
      <c r="K21" t="str">
        <f ca="1">IFERROR(__xludf.DUMMYFUNCTION("""COMPUTED_VALUE"""),"Somatic Cancer WG")</f>
        <v>Somatic Cancer WG</v>
      </c>
    </row>
    <row r="22" spans="1:11" ht="15.75" customHeight="1">
      <c r="A22" t="str">
        <f ca="1">IFERROR(__xludf.DUMMYFUNCTION("""COMPUTED_VALUE"""),"Contacted")</f>
        <v>Contacted</v>
      </c>
      <c r="B22" t="str">
        <f ca="1">IFERROR(__xludf.DUMMYFUNCTION("""COMPUTED_VALUE"""),"")</f>
        <v/>
      </c>
      <c r="C22" s="111">
        <f ca="1">IFERROR(__xludf.DUMMYFUNCTION("""COMPUTED_VALUE"""),43598)</f>
        <v>43598</v>
      </c>
      <c r="D22" s="49" t="str">
        <f ca="1">IFERROR(__xludf.DUMMYFUNCTION("""COMPUTED_VALUE"""),"Yes")</f>
        <v>Yes</v>
      </c>
      <c r="E22" s="49" t="str">
        <f ca="1">IFERROR(__xludf.DUMMYFUNCTION("""COMPUTED_VALUE"""),"No")</f>
        <v>No</v>
      </c>
      <c r="F22" s="49" t="str">
        <f ca="1">IFERROR(__xludf.DUMMYFUNCTION("""COMPUTED_VALUE"""),"Somatic Cancer")</f>
        <v>Somatic Cancer</v>
      </c>
      <c r="G22" t="str">
        <f ca="1">IFERROR(__xludf.DUMMYFUNCTION("""COMPUTED_VALUE"""),"")</f>
        <v/>
      </c>
      <c r="H22" t="str">
        <f ca="1">IFERROR(__xludf.DUMMYFUNCTION("""COMPUTED_VALUE"""),"Ranjit Shetty")</f>
        <v>Ranjit Shetty</v>
      </c>
      <c r="I22" t="str">
        <f ca="1">IFERROR(__xludf.DUMMYFUNCTION("""COMPUTED_VALUE"""),"ranjit.shetty@novartis.com")</f>
        <v>ranjit.shetty@novartis.com</v>
      </c>
      <c r="J22" s="49" t="str">
        <f ca="1">IFERROR(__xludf.DUMMYFUNCTION("""COMPUTED_VALUE"""),"Comprehensive")</f>
        <v>Comprehensive</v>
      </c>
      <c r="K22" t="str">
        <f ca="1">IFERROR(__xludf.DUMMYFUNCTION("""COMPUTED_VALUE"""),"")</f>
        <v/>
      </c>
    </row>
    <row r="23" spans="1:11" ht="15.75" customHeight="1">
      <c r="A23" t="str">
        <f ca="1">IFERROR(__xludf.DUMMYFUNCTION("""COMPUTED_VALUE"""),"Contacted")</f>
        <v>Contacted</v>
      </c>
      <c r="B23" t="str">
        <f ca="1">IFERROR(__xludf.DUMMYFUNCTION("""COMPUTED_VALUE"""),"")</f>
        <v/>
      </c>
      <c r="C23" s="111">
        <f ca="1">IFERROR(__xludf.DUMMYFUNCTION("""COMPUTED_VALUE"""),43581)</f>
        <v>43581</v>
      </c>
      <c r="D23" s="49" t="str">
        <f ca="1">IFERROR(__xludf.DUMMYFUNCTION("""COMPUTED_VALUE"""),"Yes")</f>
        <v>Yes</v>
      </c>
      <c r="E23" s="49" t="str">
        <f ca="1">IFERROR(__xludf.DUMMYFUNCTION("""COMPUTED_VALUE"""),"No")</f>
        <v>No</v>
      </c>
      <c r="F23" s="49" t="str">
        <f ca="1">IFERROR(__xludf.DUMMYFUNCTION("""COMPUTED_VALUE"""),"Somatic Cancer")</f>
        <v>Somatic Cancer</v>
      </c>
      <c r="G23" t="str">
        <f ca="1">IFERROR(__xludf.DUMMYFUNCTION("""COMPUTED_VALUE"""),"Pediatric cancer taskforce")</f>
        <v>Pediatric cancer taskforce</v>
      </c>
      <c r="H23" t="str">
        <f ca="1">IFERROR(__xludf.DUMMYFUNCTION("""COMPUTED_VALUE"""),"HUILING XU")</f>
        <v>HUILING XU</v>
      </c>
      <c r="I23" t="str">
        <f ca="1">IFERROR(__xludf.DUMMYFUNCTION("""COMPUTED_VALUE"""),"huiling.xu@petermac.org")</f>
        <v>huiling.xu@petermac.org</v>
      </c>
      <c r="J23" s="49" t="str">
        <f ca="1">IFERROR(__xludf.DUMMYFUNCTION("""COMPUTED_VALUE"""),"Comprehensive")</f>
        <v>Comprehensive</v>
      </c>
      <c r="K23" t="str">
        <f ca="1">IFERROR(__xludf.DUMMYFUNCTION("""COMPUTED_VALUE"""),"Somatic cancer working groups")</f>
        <v>Somatic cancer working groups</v>
      </c>
    </row>
    <row r="24" spans="1:11" ht="15.75" customHeight="1">
      <c r="A24" t="str">
        <f ca="1">IFERROR(__xludf.DUMMYFUNCTION("""COMPUTED_VALUE"""),"Contacted")</f>
        <v>Contacted</v>
      </c>
      <c r="B24" t="str">
        <f ca="1">IFERROR(__xludf.DUMMYFUNCTION("""COMPUTED_VALUE"""),"")</f>
        <v/>
      </c>
      <c r="C24" s="111">
        <f ca="1">IFERROR(__xludf.DUMMYFUNCTION("""COMPUTED_VALUE"""),43581)</f>
        <v>43581</v>
      </c>
      <c r="D24" s="49" t="str">
        <f ca="1">IFERROR(__xludf.DUMMYFUNCTION("""COMPUTED_VALUE"""),"Yes")</f>
        <v>Yes</v>
      </c>
      <c r="E24" s="49" t="str">
        <f ca="1">IFERROR(__xludf.DUMMYFUNCTION("""COMPUTED_VALUE"""),"No")</f>
        <v>No</v>
      </c>
      <c r="F24" s="49" t="str">
        <f ca="1">IFERROR(__xludf.DUMMYFUNCTION("""COMPUTED_VALUE"""),"Somatic Cancer")</f>
        <v>Somatic Cancer</v>
      </c>
      <c r="G24" t="str">
        <f ca="1">IFERROR(__xludf.DUMMYFUNCTION("""COMPUTED_VALUE"""),"")</f>
        <v/>
      </c>
      <c r="H24" t="str">
        <f ca="1">IFERROR(__xludf.DUMMYFUNCTION("""COMPUTED_VALUE"""),"Venkataswamy Eswarachari")</f>
        <v>Venkataswamy Eswarachari</v>
      </c>
      <c r="I24" t="str">
        <f ca="1">IFERROR(__xludf.DUMMYFUNCTION("""COMPUTED_VALUE"""),"venkataswamy@medgenome.com")</f>
        <v>venkataswamy@medgenome.com</v>
      </c>
      <c r="J24" s="49" t="str">
        <f ca="1">IFERROR(__xludf.DUMMYFUNCTION("""COMPUTED_VALUE"""),"Comprehensive")</f>
        <v>Comprehensive</v>
      </c>
      <c r="K24" t="str">
        <f ca="1">IFERROR(__xludf.DUMMYFUNCTION("""COMPUTED_VALUE"""),"")</f>
        <v/>
      </c>
    </row>
    <row r="25" spans="1:11" ht="15.75" customHeight="1">
      <c r="A25" t="str">
        <f ca="1">IFERROR(__xludf.DUMMYFUNCTION("""COMPUTED_VALUE"""),"Contacted")</f>
        <v>Contacted</v>
      </c>
      <c r="B25" t="str">
        <f ca="1">IFERROR(__xludf.DUMMYFUNCTION("""COMPUTED_VALUE"""),"")</f>
        <v/>
      </c>
      <c r="C25" s="111">
        <f ca="1">IFERROR(__xludf.DUMMYFUNCTION("""COMPUTED_VALUE"""),43581)</f>
        <v>43581</v>
      </c>
      <c r="D25" s="49" t="str">
        <f ca="1">IFERROR(__xludf.DUMMYFUNCTION("""COMPUTED_VALUE"""),"Yes")</f>
        <v>Yes</v>
      </c>
      <c r="E25" s="49" t="str">
        <f ca="1">IFERROR(__xludf.DUMMYFUNCTION("""COMPUTED_VALUE"""),"No")</f>
        <v>No</v>
      </c>
      <c r="F25" s="49" t="str">
        <f ca="1">IFERROR(__xludf.DUMMYFUNCTION("""COMPUTED_VALUE"""),"Somatic Cancer")</f>
        <v>Somatic Cancer</v>
      </c>
      <c r="G25" t="str">
        <f ca="1">IFERROR(__xludf.DUMMYFUNCTION("""COMPUTED_VALUE"""),"")</f>
        <v/>
      </c>
      <c r="H25" t="str">
        <f ca="1">IFERROR(__xludf.DUMMYFUNCTION("""COMPUTED_VALUE"""),"Ying Zou")</f>
        <v>Ying Zou</v>
      </c>
      <c r="I25" t="str">
        <f ca="1">IFERROR(__xludf.DUMMYFUNCTION("""COMPUTED_VALUE""")," yzou19@jhmi.edu")</f>
        <v xml:space="preserve"> yzou19@jhmi.edu</v>
      </c>
      <c r="J25" s="49" t="str">
        <f ca="1">IFERROR(__xludf.DUMMYFUNCTION("""COMPUTED_VALUE"""),"Comprehensive")</f>
        <v>Comprehensive</v>
      </c>
      <c r="K25" t="str">
        <f ca="1">IFERROR(__xludf.DUMMYFUNCTION("""COMPUTED_VALUE"""),"somatic cancer")</f>
        <v>somatic cancer</v>
      </c>
    </row>
    <row r="26" spans="1:11" ht="15.75" customHeight="1">
      <c r="A26" t="str">
        <f ca="1">IFERROR(__xludf.DUMMYFUNCTION("""COMPUTED_VALUE"""),"Contacted")</f>
        <v>Contacted</v>
      </c>
      <c r="B26" s="108">
        <f ca="1">IFERROR(__xludf.DUMMYFUNCTION("""COMPUTED_VALUE"""),43705)</f>
        <v>43705</v>
      </c>
      <c r="C26" t="str">
        <f ca="1">IFERROR(__xludf.DUMMYFUNCTION("""COMPUTED_VALUE"""),"")</f>
        <v/>
      </c>
      <c r="D26" s="49" t="str">
        <f ca="1">IFERROR(__xludf.DUMMYFUNCTION("""COMPUTED_VALUE"""),"")</f>
        <v/>
      </c>
      <c r="E26" s="49" t="str">
        <f ca="1">IFERROR(__xludf.DUMMYFUNCTION("""COMPUTED_VALUE"""),"No")</f>
        <v>No</v>
      </c>
      <c r="F26" s="49" t="str">
        <f ca="1">IFERROR(__xludf.DUMMYFUNCTION("""COMPUTED_VALUE"""),"Somatic Cancer")</f>
        <v>Somatic Cancer</v>
      </c>
      <c r="G26" t="str">
        <f ca="1">IFERROR(__xludf.DUMMYFUNCTION("""COMPUTED_VALUE"""),"")</f>
        <v/>
      </c>
      <c r="H26" t="str">
        <f ca="1">IFERROR(__xludf.DUMMYFUNCTION("""COMPUTED_VALUE"""),"Erin Sybouts")</f>
        <v>Erin Sybouts</v>
      </c>
      <c r="I26" t="str">
        <f ca="1">IFERROR(__xludf.DUMMYFUNCTION("""COMPUTED_VALUE"""),"sybouts@livemail.uthscsa.edu")</f>
        <v>sybouts@livemail.uthscsa.edu</v>
      </c>
      <c r="J26" s="49" t="str">
        <f ca="1">IFERROR(__xludf.DUMMYFUNCTION("""COMPUTED_VALUE"""),"Comprehensive")</f>
        <v>Comprehensive</v>
      </c>
      <c r="K26" t="str">
        <f ca="1">IFERROR(__xludf.DUMMYFUNCTION("""COMPUTED_VALUE"""),"TP53")</f>
        <v>TP53</v>
      </c>
    </row>
    <row r="27" spans="1:11" ht="15.75" customHeight="1">
      <c r="A27" t="str">
        <f ca="1">IFERROR(__xludf.DUMMYFUNCTION("""COMPUTED_VALUE"""),"Unresponsive")</f>
        <v>Unresponsive</v>
      </c>
      <c r="B27" t="str">
        <f ca="1">IFERROR(__xludf.DUMMYFUNCTION("""COMPUTED_VALUE"""),"")</f>
        <v/>
      </c>
      <c r="C27" s="108">
        <f ca="1">IFERROR(__xludf.DUMMYFUNCTION("""COMPUTED_VALUE"""),43476)</f>
        <v>43476</v>
      </c>
      <c r="D27" s="49" t="str">
        <f ca="1">IFERROR(__xludf.DUMMYFUNCTION("""COMPUTED_VALUE"""),"Yes")</f>
        <v>Yes</v>
      </c>
      <c r="E27" s="49" t="str">
        <f ca="1">IFERROR(__xludf.DUMMYFUNCTION("""COMPUTED_VALUE"""),"No")</f>
        <v>No</v>
      </c>
      <c r="F27" s="49" t="str">
        <f ca="1">IFERROR(__xludf.DUMMYFUNCTION("""COMPUTED_VALUE"""),"Somatic Cancer")</f>
        <v>Somatic Cancer</v>
      </c>
      <c r="G27" t="str">
        <f ca="1">IFERROR(__xludf.DUMMYFUNCTION("""COMPUTED_VALUE"""),"")</f>
        <v/>
      </c>
      <c r="H27" t="str">
        <f ca="1">IFERROR(__xludf.DUMMYFUNCTION("""COMPUTED_VALUE"""),"Lisa Dyer")</f>
        <v>Lisa Dyer</v>
      </c>
      <c r="I27" t="str">
        <f ca="1">IFERROR(__xludf.DUMMYFUNCTION("""COMPUTED_VALUE"""),"Lisa.Dyer@cchmc.org")</f>
        <v>Lisa.Dyer@cchmc.org</v>
      </c>
      <c r="J27" s="49" t="str">
        <f ca="1">IFERROR(__xludf.DUMMYFUNCTION("""COMPUTED_VALUE"""),"Comprehensive")</f>
        <v>Comprehensive</v>
      </c>
      <c r="K27" t="str">
        <f ca="1">IFERROR(__xludf.DUMMYFUNCTION("""COMPUTED_VALUE"""),"")</f>
        <v/>
      </c>
    </row>
    <row r="28" spans="1:11" ht="15.75" customHeight="1">
      <c r="A28" t="str">
        <f ca="1">IFERROR(__xludf.DUMMYFUNCTION("""COMPUTED_VALUE"""),"Contacted")</f>
        <v>Contacted</v>
      </c>
      <c r="B28" s="108">
        <f ca="1">IFERROR(__xludf.DUMMYFUNCTION("""COMPUTED_VALUE"""),43705)</f>
        <v>43705</v>
      </c>
      <c r="C28" s="106">
        <f ca="1">IFERROR(__xludf.DUMMYFUNCTION("""COMPUTED_VALUE"""),43719)</f>
        <v>43719</v>
      </c>
      <c r="D28" s="49" t="str">
        <f ca="1">IFERROR(__xludf.DUMMYFUNCTION("""COMPUTED_VALUE"""),"No")</f>
        <v>No</v>
      </c>
      <c r="E28" s="49" t="str">
        <f ca="1">IFERROR(__xludf.DUMMYFUNCTION("""COMPUTED_VALUE"""),"No")</f>
        <v>No</v>
      </c>
      <c r="F28" s="49" t="str">
        <f ca="1">IFERROR(__xludf.DUMMYFUNCTION("""COMPUTED_VALUE"""),"Somatic Cancer")</f>
        <v>Somatic Cancer</v>
      </c>
      <c r="G28" t="str">
        <f ca="1">IFERROR(__xludf.DUMMYFUNCTION("""COMPUTED_VALUE"""),"")</f>
        <v/>
      </c>
      <c r="H28" t="str">
        <f ca="1">IFERROR(__xludf.DUMMYFUNCTION("""COMPUTED_VALUE"""),"Christina Bridges")</f>
        <v>Christina Bridges</v>
      </c>
      <c r="I28" t="str">
        <f ca="1">IFERROR(__xludf.DUMMYFUNCTION("""COMPUTED_VALUE"""),"c.bridges@med.unc.edu")</f>
        <v>c.bridges@med.unc.edu</v>
      </c>
      <c r="J28" s="49" t="str">
        <f ca="1">IFERROR(__xludf.DUMMYFUNCTION("""COMPUTED_VALUE"""),"Comprehensive")</f>
        <v>Comprehensive</v>
      </c>
      <c r="K28" t="str">
        <f ca="1">IFERROR(__xludf.DUMMYFUNCTION("""COMPUTED_VALUE"""),"I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9" spans="1:11" ht="15.75" customHeight="1">
      <c r="A29" t="str">
        <f ca="1">IFERROR(__xludf.DUMMYFUNCTION("""COMPUTED_VALUE"""),"Contacted")</f>
        <v>Contacted</v>
      </c>
      <c r="B29" s="108">
        <f ca="1">IFERROR(__xludf.DUMMYFUNCTION("""COMPUTED_VALUE"""),43705)</f>
        <v>43705</v>
      </c>
      <c r="C29" s="106">
        <f ca="1">IFERROR(__xludf.DUMMYFUNCTION("""COMPUTED_VALUE"""),43719)</f>
        <v>43719</v>
      </c>
      <c r="D29" s="49" t="str">
        <f ca="1">IFERROR(__xludf.DUMMYFUNCTION("""COMPUTED_VALUE"""),"No")</f>
        <v>No</v>
      </c>
      <c r="E29" s="49" t="str">
        <f ca="1">IFERROR(__xludf.DUMMYFUNCTION("""COMPUTED_VALUE"""),"No")</f>
        <v>No</v>
      </c>
      <c r="F29" s="49" t="str">
        <f ca="1">IFERROR(__xludf.DUMMYFUNCTION("""COMPUTED_VALUE"""),"Somatic Cancer")</f>
        <v>Somatic Cancer</v>
      </c>
      <c r="G29" t="str">
        <f ca="1">IFERROR(__xludf.DUMMYFUNCTION("""COMPUTED_VALUE"""),"")</f>
        <v/>
      </c>
      <c r="H29" t="str">
        <f ca="1">IFERROR(__xludf.DUMMYFUNCTION("""COMPUTED_VALUE"""),"Priyabrata Panigrahi")</f>
        <v>Priyabrata Panigrahi</v>
      </c>
      <c r="I29" t="str">
        <f ca="1">IFERROR(__xludf.DUMMYFUNCTION("""COMPUTED_VALUE"""),"pb.panigrahi86@gmail.com")</f>
        <v>pb.panigrahi86@gmail.com</v>
      </c>
      <c r="J29" s="49" t="str">
        <f ca="1">IFERROR(__xludf.DUMMYFUNCTION("""COMPUTED_VALUE"""),"Comprehensive")</f>
        <v>Comprehensive</v>
      </c>
      <c r="K29" t="str">
        <f ca="1">IFERROR(__xludf.DUMMYFUNCTION("""COMPUTED_VALUE"""),"Dont know")</f>
        <v>Dont know</v>
      </c>
    </row>
    <row r="30" spans="1:11" ht="15.75" customHeight="1">
      <c r="A30" t="str">
        <f ca="1">IFERROR(__xludf.DUMMYFUNCTION("""COMPUTED_VALUE"""),"Assigned")</f>
        <v>Assigned</v>
      </c>
      <c r="B30" s="108">
        <f ca="1">IFERROR(__xludf.DUMMYFUNCTION("""COMPUTED_VALUE"""),43705)</f>
        <v>43705</v>
      </c>
      <c r="C30" s="106">
        <f ca="1">IFERROR(__xludf.DUMMYFUNCTION("""COMPUTED_VALUE"""),43719)</f>
        <v>43719</v>
      </c>
      <c r="D30" s="49" t="str">
        <f ca="1">IFERROR(__xludf.DUMMYFUNCTION("""COMPUTED_VALUE"""),"Yes")</f>
        <v>Yes</v>
      </c>
      <c r="E30" s="49" t="str">
        <f ca="1">IFERROR(__xludf.DUMMYFUNCTION("""COMPUTED_VALUE"""),"No")</f>
        <v>No</v>
      </c>
      <c r="F30" s="49" t="str">
        <f ca="1">IFERROR(__xludf.DUMMYFUNCTION("""COMPUTED_VALUE"""),"Somatic Cancer")</f>
        <v>Somatic Cancer</v>
      </c>
      <c r="G30" t="str">
        <f ca="1">IFERROR(__xludf.DUMMYFUNCTION("""COMPUTED_VALUE"""),"hematological cancer taskforce")</f>
        <v>hematological cancer taskforce</v>
      </c>
      <c r="H30" t="str">
        <f ca="1">IFERROR(__xludf.DUMMYFUNCTION("""COMPUTED_VALUE"""),"Lori Millner")</f>
        <v>Lori Millner</v>
      </c>
      <c r="I30" t="str">
        <f ca="1">IFERROR(__xludf.DUMMYFUNCTION("""COMPUTED_VALUE"""),"lorimillner77@gmail.com")</f>
        <v>lorimillner77@gmail.com</v>
      </c>
      <c r="J30" s="49" t="str">
        <f ca="1">IFERROR(__xludf.DUMMYFUNCTION("""COMPUTED_VALUE"""),"Comprehensive")</f>
        <v>Comprehensive</v>
      </c>
      <c r="K30" t="str">
        <f ca="1">IFERROR(__xludf.DUMMYFUNCTION("""COMPUTED_VALUE"""),"")</f>
        <v/>
      </c>
    </row>
    <row r="31" spans="1:11" ht="15.75" customHeight="1">
      <c r="A31" t="str">
        <f ca="1">IFERROR(__xludf.DUMMYFUNCTION("""COMPUTED_VALUE"""),"Assigned")</f>
        <v>Assigned</v>
      </c>
      <c r="B31" s="108">
        <f ca="1">IFERROR(__xludf.DUMMYFUNCTION("""COMPUTED_VALUE"""),43705)</f>
        <v>43705</v>
      </c>
      <c r="C31" s="106">
        <f ca="1">IFERROR(__xludf.DUMMYFUNCTION("""COMPUTED_VALUE"""),43719)</f>
        <v>43719</v>
      </c>
      <c r="D31" s="49" t="str">
        <f ca="1">IFERROR(__xludf.DUMMYFUNCTION("""COMPUTED_VALUE"""),"Yes")</f>
        <v>Yes</v>
      </c>
      <c r="E31" s="49" t="str">
        <f ca="1">IFERROR(__xludf.DUMMYFUNCTION("""COMPUTED_VALUE"""),"No")</f>
        <v>No</v>
      </c>
      <c r="F31" s="49" t="str">
        <f ca="1">IFERROR(__xludf.DUMMYFUNCTION("""COMPUTED_VALUE"""),"Somatic Cancer")</f>
        <v>Somatic Cancer</v>
      </c>
      <c r="G31" t="str">
        <f ca="1">IFERROR(__xludf.DUMMYFUNCTION("""COMPUTED_VALUE"""),"Pediatric cancer and Hematological cancer taskforce")</f>
        <v>Pediatric cancer and Hematological cancer taskforce</v>
      </c>
      <c r="H31" t="str">
        <f ca="1">IFERROR(__xludf.DUMMYFUNCTION("""COMPUTED_VALUE"""),"Panieh Terraf")</f>
        <v>Panieh Terraf</v>
      </c>
      <c r="I31" t="str">
        <f ca="1">IFERROR(__xludf.DUMMYFUNCTION("""COMPUTED_VALUE"""),"pterraf@bwh.harvard.edu")</f>
        <v>pterraf@bwh.harvard.edu</v>
      </c>
      <c r="J31" s="49" t="str">
        <f ca="1">IFERROR(__xludf.DUMMYFUNCTION("""COMPUTED_VALUE"""),"Comprehensive")</f>
        <v>Comprehensive</v>
      </c>
      <c r="K31" t="str">
        <f ca="1">IFERROR(__xludf.DUMMYFUNCTION("""COMPUTED_VALUE"""),"Variant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row>
    <row r="32" spans="1:11" ht="15.75" customHeight="1">
      <c r="A32" t="str">
        <f ca="1">IFERROR(__xludf.DUMMYFUNCTION("""COMPUTED_VALUE"""),"Contacted")</f>
        <v>Contacted</v>
      </c>
      <c r="B32" s="108">
        <f ca="1">IFERROR(__xludf.DUMMYFUNCTION("""COMPUTED_VALUE"""),43705)</f>
        <v>43705</v>
      </c>
      <c r="C32" s="106">
        <f ca="1">IFERROR(__xludf.DUMMYFUNCTION("""COMPUTED_VALUE"""),43719)</f>
        <v>43719</v>
      </c>
      <c r="D32" s="49" t="str">
        <f ca="1">IFERROR(__xludf.DUMMYFUNCTION("""COMPUTED_VALUE"""),"Yes")</f>
        <v>Yes</v>
      </c>
      <c r="E32" s="49" t="str">
        <f ca="1">IFERROR(__xludf.DUMMYFUNCTION("""COMPUTED_VALUE"""),"No")</f>
        <v>No</v>
      </c>
      <c r="F32" s="49" t="str">
        <f ca="1">IFERROR(__xludf.DUMMYFUNCTION("""COMPUTED_VALUE"""),"Somatic Cancer")</f>
        <v>Somatic Cancer</v>
      </c>
      <c r="G32" t="str">
        <f ca="1">IFERROR(__xludf.DUMMYFUNCTION("""COMPUTED_VALUE"""),"")</f>
        <v/>
      </c>
      <c r="H32" t="str">
        <f ca="1">IFERROR(__xludf.DUMMYFUNCTION("""COMPUTED_VALUE"""),"Eric Kil")</f>
        <v>Eric Kil</v>
      </c>
      <c r="I32" t="str">
        <f ca="1">IFERROR(__xludf.DUMMYFUNCTION("""COMPUTED_VALUE"""),"ekil18@students.kgi.edu")</f>
        <v>ekil18@students.kgi.edu</v>
      </c>
      <c r="J32" s="49" t="str">
        <f ca="1">IFERROR(__xludf.DUMMYFUNCTION("""COMPUTED_VALUE"""),"comprehensive")</f>
        <v>comprehensive</v>
      </c>
      <c r="K32" t="str">
        <f ca="1">IFERROR(__xludf.DUMMYFUNCTION("""COMPUTED_VALUE"""),"I am interested in neuro-related conditions and cancer.")</f>
        <v>I am interested in neuro-related conditions and cancer.</v>
      </c>
    </row>
    <row r="33" spans="1:11" ht="15.75" customHeight="1">
      <c r="A33" t="str">
        <f ca="1">IFERROR(__xludf.DUMMYFUNCTION("""COMPUTED_VALUE"""),"Assigned")</f>
        <v>Assigned</v>
      </c>
      <c r="B33" s="108">
        <f ca="1">IFERROR(__xludf.DUMMYFUNCTION("""COMPUTED_VALUE"""),43705)</f>
        <v>43705</v>
      </c>
      <c r="C33" s="106">
        <f ca="1">IFERROR(__xludf.DUMMYFUNCTION("""COMPUTED_VALUE"""),43719)</f>
        <v>43719</v>
      </c>
      <c r="D33" s="49" t="str">
        <f ca="1">IFERROR(__xludf.DUMMYFUNCTION("""COMPUTED_VALUE"""),"Yes")</f>
        <v>Yes</v>
      </c>
      <c r="E33" s="49" t="str">
        <f ca="1">IFERROR(__xludf.DUMMYFUNCTION("""COMPUTED_VALUE"""),"No")</f>
        <v>No</v>
      </c>
      <c r="F33" s="49" t="str">
        <f ca="1">IFERROR(__xludf.DUMMYFUNCTION("""COMPUTED_VALUE"""),"Somatic Cancer")</f>
        <v>Somatic Cancer</v>
      </c>
      <c r="G33" t="str">
        <f ca="1">IFERROR(__xludf.DUMMYFUNCTION("""COMPUTED_VALUE"""),"Genitourinary cancer taskforce")</f>
        <v>Genitourinary cancer taskforce</v>
      </c>
      <c r="H33" t="str">
        <f ca="1">IFERROR(__xludf.DUMMYFUNCTION("""COMPUTED_VALUE"""),"Joseph Steward")</f>
        <v>Joseph Steward</v>
      </c>
      <c r="I33" t="str">
        <f ca="1">IFERROR(__xludf.DUMMYFUNCTION("""COMPUTED_VALUE"""),"jsteward2930@gmail.com")</f>
        <v>jsteward2930@gmail.com</v>
      </c>
      <c r="J33" s="49" t="str">
        <f ca="1">IFERROR(__xludf.DUMMYFUNCTION("""COMPUTED_VALUE"""),"comprehensive")</f>
        <v>comprehensive</v>
      </c>
      <c r="K33" t="str">
        <f ca="1">IFERROR(__xludf.DUMMYFUNCTION("""COMPUTED_VALUE"""),"Pancreatic ")</f>
        <v xml:space="preserve">Pancreatic </v>
      </c>
    </row>
    <row r="34" spans="1:11" ht="15.75" customHeight="1">
      <c r="A34" t="str">
        <f ca="1">IFERROR(__xludf.DUMMYFUNCTION("""COMPUTED_VALUE"""),"Assigned")</f>
        <v>Assigned</v>
      </c>
      <c r="B34" s="108">
        <f ca="1">IFERROR(__xludf.DUMMYFUNCTION("""COMPUTED_VALUE"""),43705)</f>
        <v>43705</v>
      </c>
      <c r="C34" s="108">
        <f ca="1">IFERROR(__xludf.DUMMYFUNCTION("""COMPUTED_VALUE"""),43719)</f>
        <v>43719</v>
      </c>
      <c r="D34" s="49" t="str">
        <f ca="1">IFERROR(__xludf.DUMMYFUNCTION("""COMPUTED_VALUE"""),"Yes")</f>
        <v>Yes</v>
      </c>
      <c r="E34" s="49" t="str">
        <f ca="1">IFERROR(__xludf.DUMMYFUNCTION("""COMPUTED_VALUE"""),"No")</f>
        <v>No</v>
      </c>
      <c r="F34" s="49" t="str">
        <f ca="1">IFERROR(__xludf.DUMMYFUNCTION("""COMPUTED_VALUE"""),"Somatic Cancer")</f>
        <v>Somatic Cancer</v>
      </c>
      <c r="G34" t="str">
        <f ca="1">IFERROR(__xludf.DUMMYFUNCTION("""COMPUTED_VALUE"""),"Hematological Cancer taskforce")</f>
        <v>Hematological Cancer taskforce</v>
      </c>
      <c r="H34" t="str">
        <f ca="1">IFERROR(__xludf.DUMMYFUNCTION("""COMPUTED_VALUE"""),"FENGLI ZHANG")</f>
        <v>FENGLI ZHANG</v>
      </c>
      <c r="I34" t="str">
        <f ca="1">IFERROR(__xludf.DUMMYFUNCTION("""COMPUTED_VALUE"""),"fengli.zhang@slh.wisc.edu")</f>
        <v>fengli.zhang@slh.wisc.edu</v>
      </c>
      <c r="J34" s="49" t="str">
        <f ca="1">IFERROR(__xludf.DUMMYFUNCTION("""COMPUTED_VALUE"""),"Comprehensive")</f>
        <v>Comprehensive</v>
      </c>
      <c r="K34" t="str">
        <f ca="1">IFERROR(__xludf.DUMMYFUNCTION("""COMPUTED_VALUE"""),"Cancer")</f>
        <v>Cancer</v>
      </c>
    </row>
    <row r="35" spans="1:11" ht="15.75" customHeight="1">
      <c r="A35" t="str">
        <f ca="1">IFERROR(__xludf.DUMMYFUNCTION("""COMPUTED_VALUE"""),"Contacted")</f>
        <v>Contacted</v>
      </c>
      <c r="B35" t="str">
        <f ca="1">IFERROR(__xludf.DUMMYFUNCTION("""COMPUTED_VALUE"""),"")</f>
        <v/>
      </c>
      <c r="C35" t="str">
        <f ca="1">IFERROR(__xludf.DUMMYFUNCTION("""COMPUTED_VALUE"""),"")</f>
        <v/>
      </c>
      <c r="D35" s="49" t="str">
        <f ca="1">IFERROR(__xludf.DUMMYFUNCTION("""COMPUTED_VALUE"""),"")</f>
        <v/>
      </c>
      <c r="E35" s="49" t="str">
        <f ca="1">IFERROR(__xludf.DUMMYFUNCTION("""COMPUTED_VALUE"""),"No")</f>
        <v>No</v>
      </c>
      <c r="F35" s="49" t="str">
        <f ca="1">IFERROR(__xludf.DUMMYFUNCTION("""COMPUTED_VALUE"""),"NA")</f>
        <v>NA</v>
      </c>
      <c r="G35" t="str">
        <f ca="1">IFERROR(__xludf.DUMMYFUNCTION("""COMPUTED_VALUE"""),"")</f>
        <v/>
      </c>
      <c r="H35" t="str">
        <f ca="1">IFERROR(__xludf.DUMMYFUNCTION("""COMPUTED_VALUE"""),"Donia Hany Mostafa ")</f>
        <v xml:space="preserve">Donia Hany Mostafa </v>
      </c>
      <c r="I35" t="str">
        <f ca="1">IFERROR(__xludf.DUMMYFUNCTION("""COMPUTED_VALUE"""),"donia.1518105@stemkalubya.moe.edu.eg")</f>
        <v>donia.1518105@stemkalubya.moe.edu.eg</v>
      </c>
      <c r="J35" s="49" t="str">
        <f ca="1">IFERROR(__xludf.DUMMYFUNCTION("""COMPUTED_VALUE"""),"Comprehensive")</f>
        <v>Comprehensive</v>
      </c>
      <c r="K35" t="str">
        <f ca="1">IFERROR(__xludf.DUMMYFUNCTION("""COMPUTED_VALUE"""),"Yes,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row>
    <row r="36" spans="1:11" ht="15.75" customHeight="1">
      <c r="A36" t="str">
        <f ca="1">IFERROR(__xludf.DUMMYFUNCTION("""COMPUTED_VALUE"""),"Unassigned")</f>
        <v>Unassigned</v>
      </c>
      <c r="B36" t="str">
        <f ca="1">IFERROR(__xludf.DUMMYFUNCTION("""COMPUTED_VALUE"""),"")</f>
        <v/>
      </c>
      <c r="C36" t="str">
        <f ca="1">IFERROR(__xludf.DUMMYFUNCTION("""COMPUTED_VALUE"""),"")</f>
        <v/>
      </c>
      <c r="D36" s="49" t="str">
        <f ca="1">IFERROR(__xludf.DUMMYFUNCTION("""COMPUTED_VALUE"""),"")</f>
        <v/>
      </c>
      <c r="E36" s="49" t="str">
        <f ca="1">IFERROR(__xludf.DUMMYFUNCTION("""COMPUTED_VALUE"""),"No")</f>
        <v>No</v>
      </c>
      <c r="F36" s="49" t="str">
        <f ca="1">IFERROR(__xludf.DUMMYFUNCTION("""COMPUTED_VALUE"""),"Somatic Cancer")</f>
        <v>Somatic Cancer</v>
      </c>
      <c r="G36" t="str">
        <f ca="1">IFERROR(__xludf.DUMMYFUNCTION("""COMPUTED_VALUE"""),"")</f>
        <v/>
      </c>
      <c r="H36" t="str">
        <f ca="1">IFERROR(__xludf.DUMMYFUNCTION("""COMPUTED_VALUE"""),"Rasha hekal ")</f>
        <v xml:space="preserve">Rasha hekal </v>
      </c>
      <c r="I36" t="str">
        <f ca="1">IFERROR(__xludf.DUMMYFUNCTION("""COMPUTED_VALUE"""),"rasha.hekal.152003@gmail.com")</f>
        <v>rasha.hekal.152003@gmail.com</v>
      </c>
      <c r="J36" s="49" t="str">
        <f ca="1">IFERROR(__xludf.DUMMYFUNCTION("""COMPUTED_VALUE"""),"Comprehensive")</f>
        <v>Comprehensive</v>
      </c>
      <c r="K36" t="str">
        <f ca="1">IFERROR(__xludf.DUMMYFUNCTION("""COMPUTED_VALUE"""),"Yes I am very interested to join this group. ")</f>
        <v xml:space="preserve">Yes I am very interested to join this group. </v>
      </c>
    </row>
    <row r="37" spans="1:11" ht="15.75" customHeight="1">
      <c r="A37" t="str">
        <f ca="1">IFERROR(__xludf.DUMMYFUNCTION("""COMPUTED_VALUE"""),"Unassigned")</f>
        <v>Unassigned</v>
      </c>
      <c r="B37" t="str">
        <f ca="1">IFERROR(__xludf.DUMMYFUNCTION("""COMPUTED_VALUE"""),"")</f>
        <v/>
      </c>
      <c r="C37" t="str">
        <f ca="1">IFERROR(__xludf.DUMMYFUNCTION("""COMPUTED_VALUE"""),"")</f>
        <v/>
      </c>
      <c r="D37" s="49" t="str">
        <f ca="1">IFERROR(__xludf.DUMMYFUNCTION("""COMPUTED_VALUE"""),"")</f>
        <v/>
      </c>
      <c r="E37" s="49" t="str">
        <f ca="1">IFERROR(__xludf.DUMMYFUNCTION("""COMPUTED_VALUE"""),"No")</f>
        <v>No</v>
      </c>
      <c r="F37" s="49" t="str">
        <f ca="1">IFERROR(__xludf.DUMMYFUNCTION("""COMPUTED_VALUE"""),"Somatic Cancer")</f>
        <v>Somatic Cancer</v>
      </c>
      <c r="G37" t="str">
        <f ca="1">IFERROR(__xludf.DUMMYFUNCTION("""COMPUTED_VALUE"""),"")</f>
        <v/>
      </c>
      <c r="H37" t="str">
        <f ca="1">IFERROR(__xludf.DUMMYFUNCTION("""COMPUTED_VALUE"""),"Nihal Ahmed ")</f>
        <v xml:space="preserve">Nihal Ahmed </v>
      </c>
      <c r="I37" t="str">
        <f ca="1">IFERROR(__xludf.DUMMYFUNCTION("""COMPUTED_VALUE"""),"nihalahmed087@gmail.com")</f>
        <v>nihalahmed087@gmail.com</v>
      </c>
      <c r="J37" s="49" t="str">
        <f ca="1">IFERROR(__xludf.DUMMYFUNCTION("""COMPUTED_VALUE"""),"Comprehensive")</f>
        <v>Comprehensive</v>
      </c>
      <c r="K37" t="str">
        <f ca="1">IFERROR(__xludf.DUMMYFUNCTION("""COMPUTED_VALUE"""),"Not so interested ")</f>
        <v xml:space="preserve">Not so interested </v>
      </c>
    </row>
    <row r="38" spans="1:11" ht="15.75" customHeight="1">
      <c r="A38" t="str">
        <f ca="1">IFERROR(__xludf.DUMMYFUNCTION("""COMPUTED_VALUE"""),"Unassigned")</f>
        <v>Unassigned</v>
      </c>
      <c r="B38" t="str">
        <f ca="1">IFERROR(__xludf.DUMMYFUNCTION("""COMPUTED_VALUE"""),"")</f>
        <v/>
      </c>
      <c r="C38" t="str">
        <f ca="1">IFERROR(__xludf.DUMMYFUNCTION("""COMPUTED_VALUE"""),"")</f>
        <v/>
      </c>
      <c r="D38" s="49" t="str">
        <f ca="1">IFERROR(__xludf.DUMMYFUNCTION("""COMPUTED_VALUE"""),"")</f>
        <v/>
      </c>
      <c r="E38" s="49" t="str">
        <f ca="1">IFERROR(__xludf.DUMMYFUNCTION("""COMPUTED_VALUE"""),"No")</f>
        <v>No</v>
      </c>
      <c r="F38" s="49" t="str">
        <f ca="1">IFERROR(__xludf.DUMMYFUNCTION("""COMPUTED_VALUE"""),"Somatic Cancer")</f>
        <v>Somatic Cancer</v>
      </c>
      <c r="G38" t="str">
        <f ca="1">IFERROR(__xludf.DUMMYFUNCTION("""COMPUTED_VALUE"""),"")</f>
        <v/>
      </c>
      <c r="H38" t="str">
        <f ca="1">IFERROR(__xludf.DUMMYFUNCTION("""COMPUTED_VALUE"""),"Zonggao Shi")</f>
        <v>Zonggao Shi</v>
      </c>
      <c r="I38" t="str">
        <f ca="1">IFERROR(__xludf.DUMMYFUNCTION("""COMPUTED_VALUE"""),"zshi1@stjude.org")</f>
        <v>zshi1@stjude.org</v>
      </c>
      <c r="J38" s="49" t="str">
        <f ca="1">IFERROR(__xludf.DUMMYFUNCTION("""COMPUTED_VALUE"""),"Comprehensive")</f>
        <v>Comprehensive</v>
      </c>
      <c r="K38" t="str">
        <f ca="1">IFERROR(__xludf.DUMMYFUNCTION("""COMPUTED_VALUE"""),"Yes, Somatic Cancer Pediatric Taskforce would be a good match")</f>
        <v>Yes, Somatic Cancer Pediatric Taskforce would be a good match</v>
      </c>
    </row>
    <row r="39" spans="1:11" ht="15.75" customHeight="1">
      <c r="A39" t="str">
        <f ca="1">IFERROR(__xludf.DUMMYFUNCTION("""COMPUTED_VALUE"""),"Unassigned")</f>
        <v>Unassigned</v>
      </c>
      <c r="B39" t="str">
        <f ca="1">IFERROR(__xludf.DUMMYFUNCTION("""COMPUTED_VALUE"""),"")</f>
        <v/>
      </c>
      <c r="C39" t="str">
        <f ca="1">IFERROR(__xludf.DUMMYFUNCTION("""COMPUTED_VALUE"""),"")</f>
        <v/>
      </c>
      <c r="D39" s="49" t="str">
        <f ca="1">IFERROR(__xludf.DUMMYFUNCTION("""COMPUTED_VALUE"""),"")</f>
        <v/>
      </c>
      <c r="E39" s="49" t="str">
        <f ca="1">IFERROR(__xludf.DUMMYFUNCTION("""COMPUTED_VALUE"""),"No")</f>
        <v>No</v>
      </c>
      <c r="F39" s="49" t="str">
        <f ca="1">IFERROR(__xludf.DUMMYFUNCTION("""COMPUTED_VALUE"""),"Somatic Cancer")</f>
        <v>Somatic Cancer</v>
      </c>
      <c r="G39" t="str">
        <f ca="1">IFERROR(__xludf.DUMMYFUNCTION("""COMPUTED_VALUE"""),"")</f>
        <v/>
      </c>
      <c r="H39" t="str">
        <f ca="1">IFERROR(__xludf.DUMMYFUNCTION("""COMPUTED_VALUE"""),"Emilie Lalonde")</f>
        <v>Emilie Lalonde</v>
      </c>
      <c r="I39" t="str">
        <f ca="1">IFERROR(__xludf.DUMMYFUNCTION("""COMPUTED_VALUE"""),"lalondee@email.chop.edu")</f>
        <v>lalondee@email.chop.edu</v>
      </c>
      <c r="J39" s="49" t="str">
        <f ca="1">IFERROR(__xludf.DUMMYFUNCTION("""COMPUTED_VALUE"""),"Comprehensive")</f>
        <v>Comprehensive</v>
      </c>
      <c r="K39" t="str">
        <f ca="1">IFERROR(__xludf.DUMMYFUNCTION("""COMPUTED_VALUE"""),"Somatic cancer WG, hereditary cancer EP, RASopathy EP, Myeloid Malignancy EP, dosage hereditary cancer WG, others as needed")</f>
        <v>Somatic cancer WG, hereditary cancer EP, RASopathy EP, Myeloid Malignancy EP, dosage hereditary cancer WG, others as needed</v>
      </c>
    </row>
    <row r="40" spans="1:11" ht="15.75" customHeight="1">
      <c r="A40" t="str">
        <f ca="1">IFERROR(__xludf.DUMMYFUNCTION("""COMPUTED_VALUE"""),"Unassigned")</f>
        <v>Unassigned</v>
      </c>
      <c r="B40" t="str">
        <f ca="1">IFERROR(__xludf.DUMMYFUNCTION("""COMPUTED_VALUE"""),"")</f>
        <v/>
      </c>
      <c r="C40" t="str">
        <f ca="1">IFERROR(__xludf.DUMMYFUNCTION("""COMPUTED_VALUE"""),"")</f>
        <v/>
      </c>
      <c r="D40" s="49" t="str">
        <f ca="1">IFERROR(__xludf.DUMMYFUNCTION("""COMPUTED_VALUE"""),"")</f>
        <v/>
      </c>
      <c r="E40" s="49" t="str">
        <f ca="1">IFERROR(__xludf.DUMMYFUNCTION("""COMPUTED_VALUE"""),"No")</f>
        <v>No</v>
      </c>
      <c r="F40" s="49" t="str">
        <f ca="1">IFERROR(__xludf.DUMMYFUNCTION("""COMPUTED_VALUE"""),"Somatic Cancer")</f>
        <v>Somatic Cancer</v>
      </c>
      <c r="G40" t="str">
        <f ca="1">IFERROR(__xludf.DUMMYFUNCTION("""COMPUTED_VALUE"""),"")</f>
        <v/>
      </c>
      <c r="H40" t="str">
        <f ca="1">IFERROR(__xludf.DUMMYFUNCTION("""COMPUTED_VALUE"""),"KC Vavra")</f>
        <v>KC Vavra</v>
      </c>
      <c r="I40" t="str">
        <f ca="1">IFERROR(__xludf.DUMMYFUNCTION("""COMPUTED_VALUE"""),"kc.vavra@agilent.com")</f>
        <v>kc.vavra@agilent.com</v>
      </c>
      <c r="J40" s="49" t="str">
        <f ca="1">IFERROR(__xludf.DUMMYFUNCTION("""COMPUTED_VALUE"""),"Comprehensive")</f>
        <v>Comprehensive</v>
      </c>
      <c r="K40" t="str">
        <f ca="1">IFERROR(__xludf.DUMMYFUNCTION("""COMPUTED_VALUE"""),"")</f>
        <v/>
      </c>
    </row>
    <row r="41" spans="1:11" ht="15.75" customHeight="1">
      <c r="A41" t="str">
        <f ca="1">IFERROR(__xludf.DUMMYFUNCTION("""COMPUTED_VALUE"""),"Unassigned")</f>
        <v>Unassigned</v>
      </c>
      <c r="B41" t="str">
        <f ca="1">IFERROR(__xludf.DUMMYFUNCTION("""COMPUTED_VALUE"""),"")</f>
        <v/>
      </c>
      <c r="C41" t="str">
        <f ca="1">IFERROR(__xludf.DUMMYFUNCTION("""COMPUTED_VALUE"""),"")</f>
        <v/>
      </c>
      <c r="D41" s="49" t="str">
        <f ca="1">IFERROR(__xludf.DUMMYFUNCTION("""COMPUTED_VALUE"""),"")</f>
        <v/>
      </c>
      <c r="E41" s="49" t="str">
        <f ca="1">IFERROR(__xludf.DUMMYFUNCTION("""COMPUTED_VALUE"""),"No")</f>
        <v>No</v>
      </c>
      <c r="F41" s="49" t="str">
        <f ca="1">IFERROR(__xludf.DUMMYFUNCTION("""COMPUTED_VALUE"""),"Somatic Cancer")</f>
        <v>Somatic Cancer</v>
      </c>
      <c r="G41" t="str">
        <f ca="1">IFERROR(__xludf.DUMMYFUNCTION("""COMPUTED_VALUE"""),"")</f>
        <v/>
      </c>
      <c r="H41" t="str">
        <f ca="1">IFERROR(__xludf.DUMMYFUNCTION("""COMPUTED_VALUE"""),"Eileen Chen")</f>
        <v>Eileen Chen</v>
      </c>
      <c r="I41" t="str">
        <f ca="1">IFERROR(__xludf.DUMMYFUNCTION("""COMPUTED_VALUE"""),"eileen.chen.x.q@sgh.com.sg")</f>
        <v>eileen.chen.x.q@sgh.com.sg</v>
      </c>
      <c r="J41" s="49" t="str">
        <f ca="1">IFERROR(__xludf.DUMMYFUNCTION("""COMPUTED_VALUE"""),"Comprehensive")</f>
        <v>Comprehensive</v>
      </c>
      <c r="K41" t="str">
        <f ca="1">IFERROR(__xludf.DUMMYFUNCTION("""COMPUTED_VALUE"""),"Yes. Somatic Cancer Working Group as the first choice.")</f>
        <v>Yes. Somatic Cancer Working Group as the first choice.</v>
      </c>
    </row>
    <row r="42" spans="1:11" ht="15.75" customHeight="1">
      <c r="A42" t="str">
        <f ca="1">IFERROR(__xludf.DUMMYFUNCTION("""COMPUTED_VALUE"""),"Unassigned")</f>
        <v>Unassigned</v>
      </c>
      <c r="B42" t="str">
        <f ca="1">IFERROR(__xludf.DUMMYFUNCTION("""COMPUTED_VALUE"""),"")</f>
        <v/>
      </c>
      <c r="C42" t="str">
        <f ca="1">IFERROR(__xludf.DUMMYFUNCTION("""COMPUTED_VALUE"""),"")</f>
        <v/>
      </c>
      <c r="D42" s="49" t="str">
        <f ca="1">IFERROR(__xludf.DUMMYFUNCTION("""COMPUTED_VALUE"""),"")</f>
        <v/>
      </c>
      <c r="E42" s="49" t="str">
        <f ca="1">IFERROR(__xludf.DUMMYFUNCTION("""COMPUTED_VALUE"""),"No")</f>
        <v>No</v>
      </c>
      <c r="F42" s="49" t="str">
        <f ca="1">IFERROR(__xludf.DUMMYFUNCTION("""COMPUTED_VALUE"""),"Somatic Cancer")</f>
        <v>Somatic Cancer</v>
      </c>
      <c r="G42" t="str">
        <f ca="1">IFERROR(__xludf.DUMMYFUNCTION("""COMPUTED_VALUE"""),"")</f>
        <v/>
      </c>
      <c r="H42" t="str">
        <f ca="1">IFERROR(__xludf.DUMMYFUNCTION("""COMPUTED_VALUE"""),"Qing Zhang")</f>
        <v>Qing Zhang</v>
      </c>
      <c r="I42" t="str">
        <f ca="1">IFERROR(__xludf.DUMMYFUNCTION("""COMPUTED_VALUE"""),"qz1seattle@yahoo.com")</f>
        <v>qz1seattle@yahoo.com</v>
      </c>
      <c r="J42" s="49" t="str">
        <f ca="1">IFERROR(__xludf.DUMMYFUNCTION("""COMPUTED_VALUE"""),"Comprehensive")</f>
        <v>Comprehensive</v>
      </c>
      <c r="K42" t="str">
        <f ca="1">IFERROR(__xludf.DUMMYFUNCTION("""COMPUTED_VALUE"""),"Somatic Cancer Working Group")</f>
        <v>Somatic Cancer Working Group</v>
      </c>
    </row>
    <row r="43" spans="1:11" ht="15.75" customHeight="1">
      <c r="A43" t="str">
        <f ca="1">IFERROR(__xludf.DUMMYFUNCTION("""COMPUTED_VALUE"""),"Unassigned")</f>
        <v>Unassigned</v>
      </c>
      <c r="B43" t="str">
        <f ca="1">IFERROR(__xludf.DUMMYFUNCTION("""COMPUTED_VALUE"""),"")</f>
        <v/>
      </c>
      <c r="C43" t="str">
        <f ca="1">IFERROR(__xludf.DUMMYFUNCTION("""COMPUTED_VALUE"""),"")</f>
        <v/>
      </c>
      <c r="D43" s="49" t="str">
        <f ca="1">IFERROR(__xludf.DUMMYFUNCTION("""COMPUTED_VALUE"""),"")</f>
        <v/>
      </c>
      <c r="E43" s="49" t="str">
        <f ca="1">IFERROR(__xludf.DUMMYFUNCTION("""COMPUTED_VALUE"""),"No")</f>
        <v>No</v>
      </c>
      <c r="F43" s="49" t="str">
        <f ca="1">IFERROR(__xludf.DUMMYFUNCTION("""COMPUTED_VALUE"""),"Somatic Cancer")</f>
        <v>Somatic Cancer</v>
      </c>
      <c r="G43" t="str">
        <f ca="1">IFERROR(__xludf.DUMMYFUNCTION("""COMPUTED_VALUE"""),"")</f>
        <v/>
      </c>
      <c r="H43" t="str">
        <f ca="1">IFERROR(__xludf.DUMMYFUNCTION("""COMPUTED_VALUE"""),"Gokce Toruner")</f>
        <v>Gokce Toruner</v>
      </c>
      <c r="I43" t="str">
        <f ca="1">IFERROR(__xludf.DUMMYFUNCTION("""COMPUTED_VALUE"""),"gatoruner@mdanderson.org")</f>
        <v>gatoruner@mdanderson.org</v>
      </c>
      <c r="J43" s="49" t="str">
        <f ca="1">IFERROR(__xludf.DUMMYFUNCTION("""COMPUTED_VALUE"""),"Comprehensive")</f>
        <v>Comprehensive</v>
      </c>
      <c r="K43" t="str">
        <f ca="1">IFERROR(__xludf.DUMMYFUNCTION("""COMPUTED_VALUE"""),"Somatic Cancer")</f>
        <v>Somatic Cancer</v>
      </c>
    </row>
    <row r="44" spans="1:11" ht="15.75" customHeight="1">
      <c r="A44" t="str">
        <f ca="1">IFERROR(__xludf.DUMMYFUNCTION("""COMPUTED_VALUE"""),"Unassigned")</f>
        <v>Unassigned</v>
      </c>
      <c r="B44" t="str">
        <f ca="1">IFERROR(__xludf.DUMMYFUNCTION("""COMPUTED_VALUE"""),"")</f>
        <v/>
      </c>
      <c r="C44" t="str">
        <f ca="1">IFERROR(__xludf.DUMMYFUNCTION("""COMPUTED_VALUE"""),"")</f>
        <v/>
      </c>
      <c r="D44" s="49" t="str">
        <f ca="1">IFERROR(__xludf.DUMMYFUNCTION("""COMPUTED_VALUE"""),"")</f>
        <v/>
      </c>
      <c r="E44" s="49" t="str">
        <f ca="1">IFERROR(__xludf.DUMMYFUNCTION("""COMPUTED_VALUE"""),"No")</f>
        <v>No</v>
      </c>
      <c r="F44" s="49" t="str">
        <f ca="1">IFERROR(__xludf.DUMMYFUNCTION("""COMPUTED_VALUE"""),"Somatic Cancer")</f>
        <v>Somatic Cancer</v>
      </c>
      <c r="G44" t="str">
        <f ca="1">IFERROR(__xludf.DUMMYFUNCTION("""COMPUTED_VALUE"""),"")</f>
        <v/>
      </c>
      <c r="H44" t="str">
        <f ca="1">IFERROR(__xludf.DUMMYFUNCTION("""COMPUTED_VALUE"""),"Nicole Hinceman")</f>
        <v>Nicole Hinceman</v>
      </c>
      <c r="I44" t="str">
        <f ca="1">IFERROR(__xludf.DUMMYFUNCTION("""COMPUTED_VALUE"""),"nhinceman@genedx.com")</f>
        <v>nhinceman@genedx.com</v>
      </c>
      <c r="J44" s="49" t="str">
        <f ca="1">IFERROR(__xludf.DUMMYFUNCTION("""COMPUTED_VALUE"""),"Comprehensive")</f>
        <v>Comprehensive</v>
      </c>
      <c r="K44" t="str">
        <f ca="1">IFERROR(__xludf.DUMMYFUNCTION("""COMPUTED_VALUE"""),"Pediatric Somatic Cancer Working Group")</f>
        <v>Pediatric Somatic Cancer Working Group</v>
      </c>
    </row>
    <row r="45" spans="1:11" ht="15.75" customHeight="1">
      <c r="A45" t="str">
        <f ca="1">IFERROR(__xludf.DUMMYFUNCTION("""COMPUTED_VALUE"""),"Unassigned")</f>
        <v>Unassigned</v>
      </c>
      <c r="B45" t="str">
        <f ca="1">IFERROR(__xludf.DUMMYFUNCTION("""COMPUTED_VALUE"""),"")</f>
        <v/>
      </c>
      <c r="C45" t="str">
        <f ca="1">IFERROR(__xludf.DUMMYFUNCTION("""COMPUTED_VALUE"""),"")</f>
        <v/>
      </c>
      <c r="D45" s="49" t="str">
        <f ca="1">IFERROR(__xludf.DUMMYFUNCTION("""COMPUTED_VALUE"""),"")</f>
        <v/>
      </c>
      <c r="E45" s="49" t="str">
        <f ca="1">IFERROR(__xludf.DUMMYFUNCTION("""COMPUTED_VALUE"""),"No")</f>
        <v>No</v>
      </c>
      <c r="F45" s="49" t="str">
        <f ca="1">IFERROR(__xludf.DUMMYFUNCTION("""COMPUTED_VALUE"""),"Somatic Cancer")</f>
        <v>Somatic Cancer</v>
      </c>
      <c r="G45" t="str">
        <f ca="1">IFERROR(__xludf.DUMMYFUNCTION("""COMPUTED_VALUE"""),"")</f>
        <v/>
      </c>
      <c r="H45" t="str">
        <f ca="1">IFERROR(__xludf.DUMMYFUNCTION("""COMPUTED_VALUE"""),"cynthia chow")</f>
        <v>cynthia chow</v>
      </c>
      <c r="I45" t="str">
        <f ca="1">IFERROR(__xludf.DUMMYFUNCTION("""COMPUTED_VALUE"""),"cchow3@bccancer.bc.ca")</f>
        <v>cchow3@bccancer.bc.ca</v>
      </c>
      <c r="J45" s="49" t="str">
        <f ca="1">IFERROR(__xludf.DUMMYFUNCTION("""COMPUTED_VALUE"""),"Comprehensive")</f>
        <v>Comprehensive</v>
      </c>
      <c r="K45" t="str">
        <f ca="1">IFERROR(__xludf.DUMMYFUNCTION("""COMPUTED_VALUE"""),"")</f>
        <v/>
      </c>
    </row>
    <row r="46" spans="1:11" ht="15.75" customHeight="1">
      <c r="A46" t="str">
        <f ca="1">IFERROR(__xludf.DUMMYFUNCTION("""COMPUTED_VALUE"""),"Unassigned")</f>
        <v>Unassigned</v>
      </c>
      <c r="B46" t="str">
        <f ca="1">IFERROR(__xludf.DUMMYFUNCTION("""COMPUTED_VALUE"""),"")</f>
        <v/>
      </c>
      <c r="C46" t="str">
        <f ca="1">IFERROR(__xludf.DUMMYFUNCTION("""COMPUTED_VALUE"""),"")</f>
        <v/>
      </c>
      <c r="D46" s="49" t="str">
        <f ca="1">IFERROR(__xludf.DUMMYFUNCTION("""COMPUTED_VALUE"""),"")</f>
        <v/>
      </c>
      <c r="E46" s="49" t="str">
        <f ca="1">IFERROR(__xludf.DUMMYFUNCTION("""COMPUTED_VALUE"""),"No")</f>
        <v>No</v>
      </c>
      <c r="F46" s="49" t="str">
        <f ca="1">IFERROR(__xludf.DUMMYFUNCTION("""COMPUTED_VALUE"""),"NA")</f>
        <v>NA</v>
      </c>
      <c r="G46" t="str">
        <f ca="1">IFERROR(__xludf.DUMMYFUNCTION("""COMPUTED_VALUE"""),"")</f>
        <v/>
      </c>
      <c r="H46" t="str">
        <f ca="1">IFERROR(__xludf.DUMMYFUNCTION("""COMPUTED_VALUE"""),"Nan Jiang")</f>
        <v>Nan Jiang</v>
      </c>
      <c r="I46" t="str">
        <f ca="1">IFERROR(__xludf.DUMMYFUNCTION("""COMPUTED_VALUE"""),"nj2421@cumc.columbia.edu")</f>
        <v>nj2421@cumc.columbia.edu</v>
      </c>
      <c r="J46" s="49" t="str">
        <f ca="1">IFERROR(__xludf.DUMMYFUNCTION("""COMPUTED_VALUE"""),"Comprehensive")</f>
        <v>Comprehensive</v>
      </c>
      <c r="K46" t="str">
        <f ca="1">IFERROR(__xludf.DUMMYFUNCTION("""COMPUTED_VALUE"""),"Hereditary Cancer, Brain Malformations , Somatic Cancer Pediatric")</f>
        <v>Hereditary Cancer, Brain Malformations , Somatic Cancer Pediatric</v>
      </c>
    </row>
    <row r="47" spans="1:11" ht="15.75" customHeight="1">
      <c r="D47" s="49"/>
      <c r="E47" s="49"/>
      <c r="F47" s="49"/>
      <c r="J47" s="49"/>
    </row>
    <row r="48" spans="1:11" ht="15.75" customHeight="1">
      <c r="D48" s="49"/>
      <c r="E48" s="49"/>
      <c r="F48" s="49"/>
      <c r="J48" s="49"/>
    </row>
    <row r="49" spans="4:10" ht="15.75" customHeight="1">
      <c r="D49" s="49"/>
      <c r="E49" s="49"/>
      <c r="F49" s="49"/>
      <c r="J49" s="49"/>
    </row>
    <row r="50" spans="4:10" ht="15.75" customHeight="1">
      <c r="D50" s="49"/>
      <c r="E50" s="49"/>
      <c r="F50" s="49"/>
      <c r="J50" s="49"/>
    </row>
    <row r="51" spans="4:10" ht="15.75" customHeight="1">
      <c r="D51" s="49"/>
      <c r="E51" s="49"/>
      <c r="F51" s="49"/>
      <c r="J51" s="49"/>
    </row>
    <row r="52" spans="4:10" ht="15.75" customHeight="1">
      <c r="D52" s="49"/>
      <c r="E52" s="49"/>
      <c r="F52" s="49"/>
      <c r="J52" s="49"/>
    </row>
    <row r="53" spans="4:10" ht="15.75" customHeight="1">
      <c r="D53" s="49"/>
      <c r="E53" s="49"/>
      <c r="F53" s="49"/>
      <c r="J53" s="49"/>
    </row>
    <row r="54" spans="4:10" ht="15.75" customHeight="1">
      <c r="D54" s="49"/>
      <c r="E54" s="49"/>
      <c r="F54" s="49"/>
      <c r="J54" s="49"/>
    </row>
    <row r="55" spans="4:10" ht="15.75" customHeight="1">
      <c r="D55" s="49"/>
      <c r="E55" s="49"/>
      <c r="F55" s="49"/>
      <c r="J55" s="49"/>
    </row>
    <row r="56" spans="4:10" ht="15.75" customHeight="1">
      <c r="D56" s="49"/>
      <c r="E56" s="49"/>
      <c r="F56" s="49"/>
      <c r="J56" s="49"/>
    </row>
    <row r="57" spans="4:10" ht="15.75" customHeight="1">
      <c r="D57" s="49"/>
      <c r="E57" s="49"/>
      <c r="F57" s="49"/>
      <c r="J57" s="49"/>
    </row>
    <row r="58" spans="4:10" ht="15.75" customHeight="1">
      <c r="D58" s="49"/>
      <c r="E58" s="49"/>
      <c r="F58" s="49"/>
      <c r="J58" s="49"/>
    </row>
    <row r="59" spans="4:10" ht="15.75" customHeight="1">
      <c r="D59" s="49"/>
      <c r="E59" s="49"/>
      <c r="F59" s="49"/>
      <c r="J59" s="49"/>
    </row>
    <row r="60" spans="4:10" ht="15.75" customHeight="1">
      <c r="D60" s="49"/>
      <c r="E60" s="49"/>
      <c r="F60" s="49"/>
      <c r="J60" s="49"/>
    </row>
    <row r="61" spans="4:10" ht="15.75" customHeight="1">
      <c r="D61" s="49"/>
      <c r="E61" s="49"/>
      <c r="F61" s="49"/>
      <c r="J61" s="49"/>
    </row>
    <row r="62" spans="4:10" ht="15.75" customHeight="1">
      <c r="D62" s="49"/>
      <c r="E62" s="49"/>
      <c r="F62" s="49"/>
      <c r="J62" s="49"/>
    </row>
    <row r="63" spans="4:10" ht="15.75" customHeight="1">
      <c r="D63" s="49"/>
      <c r="E63" s="49"/>
      <c r="F63" s="49"/>
      <c r="J63" s="49"/>
    </row>
    <row r="64" spans="4:10" ht="15.75" customHeight="1">
      <c r="D64" s="49"/>
      <c r="E64" s="49"/>
      <c r="F64" s="49"/>
      <c r="J64" s="49"/>
    </row>
    <row r="65" spans="4:10" ht="15.75" customHeight="1">
      <c r="D65" s="49"/>
      <c r="E65" s="49"/>
      <c r="F65" s="49"/>
      <c r="J65" s="49"/>
    </row>
    <row r="66" spans="4:10" ht="13">
      <c r="D66" s="49"/>
      <c r="E66" s="49"/>
      <c r="F66" s="49"/>
      <c r="J66" s="49"/>
    </row>
    <row r="67" spans="4:10" ht="13">
      <c r="D67" s="49"/>
      <c r="E67" s="49"/>
      <c r="F67" s="49"/>
      <c r="J67" s="49"/>
    </row>
    <row r="68" spans="4:10" ht="13">
      <c r="D68" s="49"/>
      <c r="E68" s="49"/>
      <c r="F68" s="49"/>
      <c r="J68" s="49"/>
    </row>
    <row r="69" spans="4:10" ht="13">
      <c r="D69" s="49"/>
      <c r="E69" s="49"/>
      <c r="F69" s="49"/>
      <c r="J69" s="49"/>
    </row>
    <row r="70" spans="4:10" ht="13">
      <c r="D70" s="49"/>
      <c r="E70" s="49"/>
      <c r="F70" s="49"/>
      <c r="J70" s="49"/>
    </row>
    <row r="71" spans="4:10" ht="13">
      <c r="D71" s="49"/>
      <c r="E71" s="49"/>
      <c r="F71" s="49"/>
      <c r="J71" s="49"/>
    </row>
    <row r="72" spans="4:10" ht="13">
      <c r="D72" s="49"/>
      <c r="E72" s="49"/>
      <c r="F72" s="49"/>
      <c r="J72" s="49"/>
    </row>
    <row r="73" spans="4:10" ht="13">
      <c r="D73" s="49"/>
      <c r="E73" s="49"/>
      <c r="F73" s="49"/>
      <c r="J73" s="49"/>
    </row>
    <row r="74" spans="4:10" ht="13">
      <c r="D74" s="49"/>
      <c r="E74" s="49"/>
      <c r="F74" s="49"/>
      <c r="J74" s="49"/>
    </row>
    <row r="75" spans="4:10" ht="13">
      <c r="D75" s="49"/>
      <c r="E75" s="49"/>
      <c r="F75" s="49"/>
      <c r="J75" s="49"/>
    </row>
    <row r="76" spans="4:10" ht="13">
      <c r="D76" s="49"/>
      <c r="E76" s="49"/>
      <c r="F76" s="49"/>
      <c r="J76" s="49"/>
    </row>
    <row r="77" spans="4:10" ht="13">
      <c r="D77" s="49"/>
      <c r="E77" s="49"/>
      <c r="F77" s="49"/>
      <c r="J77" s="49"/>
    </row>
    <row r="78" spans="4:10" ht="13">
      <c r="D78" s="49"/>
      <c r="E78" s="49"/>
      <c r="F78" s="49"/>
      <c r="J78" s="49"/>
    </row>
    <row r="79" spans="4:10" ht="13">
      <c r="D79" s="49"/>
      <c r="E79" s="49"/>
      <c r="F79" s="49"/>
      <c r="J79" s="49"/>
    </row>
    <row r="80" spans="4:10" ht="13">
      <c r="D80" s="49"/>
      <c r="E80" s="49"/>
      <c r="F80" s="49"/>
      <c r="J80" s="49"/>
    </row>
    <row r="81" spans="4:10" ht="13">
      <c r="D81" s="49"/>
      <c r="E81" s="49"/>
      <c r="F81" s="49"/>
      <c r="J81" s="49"/>
    </row>
    <row r="82" spans="4:10" ht="13">
      <c r="D82" s="49"/>
      <c r="E82" s="49"/>
      <c r="F82" s="49"/>
      <c r="J82" s="49"/>
    </row>
    <row r="83" spans="4:10" ht="13">
      <c r="D83" s="49"/>
      <c r="E83" s="49"/>
      <c r="F83" s="49"/>
      <c r="J83" s="49"/>
    </row>
    <row r="84" spans="4:10" ht="13">
      <c r="D84" s="49"/>
      <c r="E84" s="49"/>
      <c r="F84" s="49"/>
      <c r="J84" s="49"/>
    </row>
    <row r="85" spans="4:10" ht="13">
      <c r="D85" s="49"/>
      <c r="E85" s="49"/>
      <c r="F85" s="49"/>
      <c r="J85" s="49"/>
    </row>
    <row r="86" spans="4:10" ht="13">
      <c r="D86" s="49"/>
      <c r="E86" s="49"/>
      <c r="F86" s="49"/>
      <c r="J86" s="49"/>
    </row>
    <row r="87" spans="4:10" ht="13">
      <c r="D87" s="49"/>
      <c r="E87" s="49"/>
      <c r="F87" s="49"/>
      <c r="J87" s="49"/>
    </row>
    <row r="88" spans="4:10" ht="13">
      <c r="D88" s="49"/>
      <c r="E88" s="49"/>
      <c r="F88" s="49"/>
      <c r="J88" s="49"/>
    </row>
    <row r="89" spans="4:10" ht="13">
      <c r="D89" s="49"/>
      <c r="E89" s="49"/>
      <c r="F89" s="49"/>
      <c r="J89" s="49"/>
    </row>
    <row r="90" spans="4:10" ht="13">
      <c r="D90" s="49"/>
      <c r="E90" s="49"/>
      <c r="F90" s="49"/>
      <c r="J90" s="49"/>
    </row>
    <row r="91" spans="4:10" ht="13">
      <c r="D91" s="49"/>
      <c r="E91" s="49"/>
      <c r="F91" s="49"/>
      <c r="J91" s="49"/>
    </row>
    <row r="92" spans="4:10" ht="13">
      <c r="D92" s="49"/>
      <c r="E92" s="49"/>
      <c r="F92" s="49"/>
      <c r="J92" s="49"/>
    </row>
    <row r="93" spans="4:10" ht="13">
      <c r="D93" s="49"/>
      <c r="E93" s="49"/>
      <c r="F93" s="49"/>
      <c r="J93" s="49"/>
    </row>
    <row r="94" spans="4:10" ht="13">
      <c r="D94" s="49"/>
      <c r="E94" s="49"/>
      <c r="F94" s="49"/>
      <c r="J94" s="49"/>
    </row>
    <row r="95" spans="4:10" ht="13">
      <c r="D95" s="49"/>
      <c r="E95" s="49"/>
      <c r="F95" s="49"/>
      <c r="J95" s="49"/>
    </row>
    <row r="96" spans="4:10" ht="13">
      <c r="D96" s="49"/>
      <c r="E96" s="49"/>
      <c r="F96" s="49"/>
      <c r="J96" s="49"/>
    </row>
    <row r="97" spans="4:10" ht="13">
      <c r="D97" s="49"/>
      <c r="E97" s="49"/>
      <c r="F97" s="49"/>
      <c r="J97" s="49"/>
    </row>
    <row r="98" spans="4:10" ht="13">
      <c r="D98" s="49"/>
      <c r="E98" s="49"/>
      <c r="F98" s="49"/>
      <c r="J98" s="49"/>
    </row>
    <row r="99" spans="4:10" ht="13">
      <c r="D99" s="49"/>
      <c r="E99" s="49"/>
      <c r="F99" s="49"/>
      <c r="J99" s="49"/>
    </row>
    <row r="100" spans="4:10" ht="13">
      <c r="D100" s="49"/>
      <c r="E100" s="49"/>
      <c r="F100" s="49"/>
      <c r="J100" s="49"/>
    </row>
    <row r="101" spans="4:10" ht="13">
      <c r="D101" s="49"/>
      <c r="E101" s="49"/>
      <c r="F101" s="49"/>
      <c r="J101" s="49"/>
    </row>
    <row r="102" spans="4:10" ht="13">
      <c r="D102" s="49"/>
      <c r="E102" s="49"/>
      <c r="F102" s="49"/>
      <c r="J102" s="49"/>
    </row>
    <row r="103" spans="4:10" ht="13">
      <c r="D103" s="49"/>
      <c r="E103" s="49"/>
      <c r="F103" s="49"/>
      <c r="J103" s="49"/>
    </row>
    <row r="104" spans="4:10" ht="13">
      <c r="D104" s="49"/>
      <c r="E104" s="49"/>
      <c r="F104" s="49"/>
      <c r="J104" s="49"/>
    </row>
    <row r="105" spans="4:10" ht="13">
      <c r="D105" s="49"/>
      <c r="E105" s="49"/>
      <c r="F105" s="49"/>
      <c r="J105" s="49"/>
    </row>
    <row r="106" spans="4:10" ht="13">
      <c r="D106" s="49"/>
      <c r="E106" s="49"/>
      <c r="F106" s="49"/>
      <c r="J106" s="49"/>
    </row>
    <row r="107" spans="4:10" ht="13">
      <c r="D107" s="49"/>
      <c r="E107" s="49"/>
      <c r="F107" s="49"/>
      <c r="J107" s="49"/>
    </row>
    <row r="108" spans="4:10" ht="13">
      <c r="D108" s="49"/>
      <c r="E108" s="49"/>
      <c r="F108" s="49"/>
      <c r="J108" s="49"/>
    </row>
    <row r="109" spans="4:10" ht="13">
      <c r="D109" s="49"/>
      <c r="E109" s="49"/>
      <c r="F109" s="49"/>
      <c r="J109" s="49"/>
    </row>
    <row r="110" spans="4:10" ht="13">
      <c r="D110" s="49"/>
      <c r="E110" s="49"/>
      <c r="F110" s="49"/>
      <c r="J110" s="49"/>
    </row>
    <row r="111" spans="4:10" ht="13">
      <c r="D111" s="49"/>
      <c r="E111" s="49"/>
      <c r="F111" s="49"/>
      <c r="J111" s="49"/>
    </row>
    <row r="112" spans="4:10" ht="13">
      <c r="D112" s="49"/>
      <c r="E112" s="49"/>
      <c r="F112" s="49"/>
      <c r="J112" s="49"/>
    </row>
    <row r="113" spans="4:10" ht="13">
      <c r="D113" s="49"/>
      <c r="E113" s="49"/>
      <c r="F113" s="49"/>
      <c r="J113" s="49"/>
    </row>
    <row r="114" spans="4:10" ht="13">
      <c r="D114" s="49"/>
      <c r="E114" s="49"/>
      <c r="F114" s="49"/>
      <c r="J114" s="49"/>
    </row>
    <row r="115" spans="4:10" ht="13">
      <c r="D115" s="49"/>
      <c r="E115" s="49"/>
      <c r="F115" s="49"/>
      <c r="J115" s="49"/>
    </row>
    <row r="116" spans="4:10" ht="13">
      <c r="D116" s="49"/>
      <c r="E116" s="49"/>
      <c r="F116" s="49"/>
      <c r="J116" s="49"/>
    </row>
    <row r="117" spans="4:10" ht="13">
      <c r="D117" s="49"/>
      <c r="E117" s="49"/>
      <c r="F117" s="49"/>
      <c r="J117" s="49"/>
    </row>
    <row r="118" spans="4:10" ht="13">
      <c r="D118" s="49"/>
      <c r="E118" s="49"/>
      <c r="F118" s="49"/>
      <c r="J118" s="49"/>
    </row>
    <row r="119" spans="4:10" ht="13">
      <c r="D119" s="49"/>
      <c r="E119" s="49"/>
      <c r="F119" s="49"/>
      <c r="J119" s="49"/>
    </row>
    <row r="120" spans="4:10" ht="13">
      <c r="D120" s="49"/>
      <c r="E120" s="49"/>
      <c r="F120" s="49"/>
      <c r="J120" s="49"/>
    </row>
    <row r="121" spans="4:10" ht="13">
      <c r="D121" s="49"/>
      <c r="E121" s="49"/>
      <c r="F121" s="49"/>
      <c r="J121" s="49"/>
    </row>
    <row r="122" spans="4:10" ht="13">
      <c r="D122" s="49"/>
      <c r="E122" s="49"/>
      <c r="F122" s="49"/>
      <c r="J122" s="49"/>
    </row>
    <row r="123" spans="4:10" ht="13">
      <c r="D123" s="49"/>
      <c r="E123" s="49"/>
      <c r="F123" s="49"/>
      <c r="J123" s="49"/>
    </row>
    <row r="124" spans="4:10" ht="13">
      <c r="D124" s="49"/>
      <c r="E124" s="49"/>
      <c r="F124" s="49"/>
      <c r="J124" s="49"/>
    </row>
    <row r="125" spans="4:10" ht="13">
      <c r="D125" s="49"/>
      <c r="E125" s="49"/>
      <c r="F125" s="49"/>
      <c r="J125" s="49"/>
    </row>
    <row r="126" spans="4:10" ht="13">
      <c r="D126" s="49"/>
      <c r="E126" s="49"/>
      <c r="F126" s="49"/>
      <c r="J126" s="49"/>
    </row>
    <row r="127" spans="4:10" ht="13">
      <c r="D127" s="49"/>
      <c r="E127" s="49"/>
      <c r="F127" s="49"/>
      <c r="J127" s="49"/>
    </row>
    <row r="128" spans="4:10" ht="13">
      <c r="D128" s="49"/>
      <c r="E128" s="49"/>
      <c r="F128" s="49"/>
      <c r="J128" s="49"/>
    </row>
    <row r="129" spans="4:10" ht="13">
      <c r="D129" s="49"/>
      <c r="E129" s="49"/>
      <c r="F129" s="49"/>
      <c r="J129" s="49"/>
    </row>
    <row r="130" spans="4:10" ht="13">
      <c r="D130" s="49"/>
      <c r="E130" s="49"/>
      <c r="F130" s="49"/>
      <c r="J130" s="49"/>
    </row>
    <row r="131" spans="4:10" ht="13">
      <c r="D131" s="49"/>
      <c r="E131" s="49"/>
      <c r="F131" s="49"/>
      <c r="J131" s="49"/>
    </row>
    <row r="132" spans="4:10" ht="13">
      <c r="D132" s="49"/>
      <c r="E132" s="49"/>
      <c r="F132" s="49"/>
      <c r="J132" s="49"/>
    </row>
    <row r="133" spans="4:10" ht="13">
      <c r="D133" s="49"/>
      <c r="E133" s="49"/>
      <c r="F133" s="49"/>
      <c r="J133" s="49"/>
    </row>
    <row r="134" spans="4:10" ht="13">
      <c r="D134" s="49"/>
      <c r="E134" s="49"/>
      <c r="F134" s="49"/>
      <c r="J134" s="49"/>
    </row>
    <row r="135" spans="4:10" ht="13">
      <c r="D135" s="49"/>
      <c r="E135" s="49"/>
      <c r="F135" s="49"/>
      <c r="J135" s="49"/>
    </row>
    <row r="136" spans="4:10" ht="13">
      <c r="D136" s="49"/>
      <c r="E136" s="49"/>
      <c r="F136" s="49"/>
      <c r="J136" s="49"/>
    </row>
    <row r="137" spans="4:10" ht="13">
      <c r="D137" s="49"/>
      <c r="E137" s="49"/>
      <c r="F137" s="49"/>
      <c r="J137" s="49"/>
    </row>
    <row r="138" spans="4:10" ht="13">
      <c r="D138" s="49"/>
      <c r="E138" s="49"/>
      <c r="F138" s="49"/>
      <c r="J138" s="49"/>
    </row>
    <row r="139" spans="4:10" ht="13">
      <c r="D139" s="49"/>
      <c r="E139" s="49"/>
      <c r="F139" s="49"/>
      <c r="J139" s="49"/>
    </row>
    <row r="140" spans="4:10" ht="13">
      <c r="D140" s="49"/>
      <c r="E140" s="49"/>
      <c r="F140" s="49"/>
      <c r="J140" s="49"/>
    </row>
    <row r="141" spans="4:10" ht="13">
      <c r="D141" s="49"/>
      <c r="E141" s="49"/>
      <c r="F141" s="49"/>
      <c r="J141" s="49"/>
    </row>
    <row r="142" spans="4:10" ht="13">
      <c r="D142" s="49"/>
      <c r="E142" s="49"/>
      <c r="F142" s="49"/>
      <c r="J142" s="49"/>
    </row>
    <row r="143" spans="4:10" ht="13">
      <c r="D143" s="49"/>
      <c r="E143" s="49"/>
      <c r="F143" s="49"/>
      <c r="J143" s="49"/>
    </row>
    <row r="144" spans="4:10" ht="13">
      <c r="D144" s="49"/>
      <c r="E144" s="49"/>
      <c r="F144" s="49"/>
      <c r="J144" s="49"/>
    </row>
    <row r="145" spans="4:10" ht="13">
      <c r="D145" s="49"/>
      <c r="E145" s="49"/>
      <c r="F145" s="49"/>
      <c r="J145" s="49"/>
    </row>
    <row r="146" spans="4:10" ht="13">
      <c r="D146" s="49"/>
      <c r="E146" s="49"/>
      <c r="F146" s="49"/>
      <c r="J146" s="49"/>
    </row>
    <row r="147" spans="4:10" ht="13">
      <c r="D147" s="49"/>
      <c r="E147" s="49"/>
      <c r="F147" s="49"/>
      <c r="J147" s="49"/>
    </row>
    <row r="148" spans="4:10" ht="13">
      <c r="D148" s="49"/>
      <c r="E148" s="49"/>
      <c r="F148" s="49"/>
      <c r="J148" s="49"/>
    </row>
    <row r="149" spans="4:10" ht="13">
      <c r="D149" s="49"/>
      <c r="E149" s="49"/>
      <c r="F149" s="49"/>
      <c r="J149" s="49"/>
    </row>
    <row r="150" spans="4:10" ht="13">
      <c r="D150" s="49"/>
      <c r="E150" s="49"/>
      <c r="F150" s="49"/>
      <c r="J150" s="49"/>
    </row>
    <row r="151" spans="4:10" ht="13">
      <c r="D151" s="49"/>
      <c r="E151" s="49"/>
      <c r="F151" s="49"/>
      <c r="J151" s="49"/>
    </row>
    <row r="152" spans="4:10" ht="13">
      <c r="D152" s="49"/>
      <c r="E152" s="49"/>
      <c r="F152" s="49"/>
      <c r="J152" s="49"/>
    </row>
    <row r="153" spans="4:10" ht="13">
      <c r="D153" s="49"/>
      <c r="E153" s="49"/>
      <c r="F153" s="49"/>
      <c r="J153" s="49"/>
    </row>
    <row r="154" spans="4:10" ht="13">
      <c r="D154" s="49"/>
      <c r="E154" s="49"/>
      <c r="F154" s="49"/>
      <c r="J154" s="49"/>
    </row>
    <row r="155" spans="4:10" ht="13">
      <c r="D155" s="49"/>
      <c r="E155" s="49"/>
      <c r="F155" s="49"/>
      <c r="J155" s="49"/>
    </row>
    <row r="156" spans="4:10" ht="13">
      <c r="D156" s="49"/>
      <c r="E156" s="49"/>
      <c r="F156" s="49"/>
      <c r="J156" s="49"/>
    </row>
    <row r="157" spans="4:10" ht="13">
      <c r="D157" s="49"/>
      <c r="E157" s="49"/>
      <c r="F157" s="49"/>
      <c r="J157" s="49"/>
    </row>
    <row r="158" spans="4:10" ht="13">
      <c r="D158" s="49"/>
      <c r="E158" s="49"/>
      <c r="F158" s="49"/>
      <c r="J158" s="49"/>
    </row>
    <row r="159" spans="4:10" ht="13">
      <c r="D159" s="49"/>
      <c r="E159" s="49"/>
      <c r="F159" s="49"/>
      <c r="J159" s="49"/>
    </row>
    <row r="160" spans="4:10" ht="13">
      <c r="D160" s="49"/>
      <c r="E160" s="49"/>
      <c r="F160" s="49"/>
      <c r="J160" s="49"/>
    </row>
    <row r="161" spans="4:10" ht="13">
      <c r="D161" s="49"/>
      <c r="E161" s="49"/>
      <c r="F161" s="49"/>
      <c r="J161" s="49"/>
    </row>
    <row r="162" spans="4:10" ht="13">
      <c r="D162" s="49"/>
      <c r="E162" s="49"/>
      <c r="F162" s="49"/>
      <c r="J162" s="49"/>
    </row>
    <row r="163" spans="4:10" ht="13">
      <c r="D163" s="49"/>
      <c r="E163" s="49"/>
      <c r="F163" s="49"/>
      <c r="J163" s="49"/>
    </row>
    <row r="164" spans="4:10" ht="13">
      <c r="D164" s="49"/>
      <c r="E164" s="49"/>
      <c r="F164" s="49"/>
      <c r="J164" s="49"/>
    </row>
    <row r="165" spans="4:10" ht="13">
      <c r="D165" s="49"/>
      <c r="E165" s="49"/>
      <c r="F165" s="49"/>
      <c r="J165" s="49"/>
    </row>
    <row r="166" spans="4:10" ht="13">
      <c r="D166" s="49"/>
      <c r="E166" s="49"/>
      <c r="F166" s="49"/>
      <c r="J166" s="49"/>
    </row>
    <row r="167" spans="4:10" ht="13">
      <c r="D167" s="49"/>
      <c r="E167" s="49"/>
      <c r="F167" s="49"/>
      <c r="J167" s="49"/>
    </row>
    <row r="168" spans="4:10" ht="13">
      <c r="D168" s="49"/>
      <c r="E168" s="49"/>
      <c r="F168" s="49"/>
      <c r="J168" s="49"/>
    </row>
    <row r="169" spans="4:10" ht="13">
      <c r="D169" s="49"/>
      <c r="E169" s="49"/>
      <c r="F169" s="49"/>
      <c r="J169" s="49"/>
    </row>
    <row r="170" spans="4:10" ht="13">
      <c r="D170" s="49"/>
      <c r="E170" s="49"/>
      <c r="F170" s="49"/>
      <c r="J170" s="49"/>
    </row>
    <row r="171" spans="4:10" ht="13">
      <c r="D171" s="49"/>
      <c r="E171" s="49"/>
      <c r="F171" s="49"/>
      <c r="J171" s="49"/>
    </row>
    <row r="172" spans="4:10" ht="13">
      <c r="D172" s="49"/>
      <c r="E172" s="49"/>
      <c r="F172" s="49"/>
      <c r="J172" s="49"/>
    </row>
    <row r="173" spans="4:10" ht="13">
      <c r="D173" s="49"/>
      <c r="E173" s="49"/>
      <c r="F173" s="49"/>
      <c r="J173" s="49"/>
    </row>
    <row r="174" spans="4:10" ht="13">
      <c r="D174" s="49"/>
      <c r="E174" s="49"/>
      <c r="F174" s="49"/>
      <c r="J174" s="49"/>
    </row>
    <row r="175" spans="4:10" ht="13">
      <c r="D175" s="49"/>
      <c r="E175" s="49"/>
      <c r="F175" s="49"/>
      <c r="J175" s="49"/>
    </row>
    <row r="176" spans="4:10" ht="13">
      <c r="D176" s="49"/>
      <c r="E176" s="49"/>
      <c r="F176" s="49"/>
      <c r="J176" s="49"/>
    </row>
    <row r="177" spans="4:10" ht="13">
      <c r="D177" s="49"/>
      <c r="E177" s="49"/>
      <c r="F177" s="49"/>
      <c r="J177" s="49"/>
    </row>
    <row r="178" spans="4:10" ht="13">
      <c r="D178" s="49"/>
      <c r="E178" s="49"/>
      <c r="F178" s="49"/>
      <c r="J178" s="49"/>
    </row>
    <row r="179" spans="4:10" ht="13">
      <c r="D179" s="49"/>
      <c r="E179" s="49"/>
      <c r="F179" s="49"/>
      <c r="J179" s="49"/>
    </row>
    <row r="180" spans="4:10" ht="13">
      <c r="D180" s="49"/>
      <c r="E180" s="49"/>
      <c r="F180" s="49"/>
      <c r="J180" s="49"/>
    </row>
    <row r="181" spans="4:10" ht="13">
      <c r="D181" s="49"/>
      <c r="E181" s="49"/>
      <c r="F181" s="49"/>
      <c r="J181" s="49"/>
    </row>
    <row r="182" spans="4:10" ht="13">
      <c r="D182" s="49"/>
      <c r="E182" s="49"/>
      <c r="F182" s="49"/>
      <c r="J182" s="49"/>
    </row>
    <row r="183" spans="4:10" ht="13">
      <c r="D183" s="49"/>
      <c r="E183" s="49"/>
      <c r="F183" s="49"/>
      <c r="J183" s="49"/>
    </row>
    <row r="184" spans="4:10" ht="13">
      <c r="D184" s="49"/>
      <c r="E184" s="49"/>
      <c r="F184" s="49"/>
      <c r="J184" s="49"/>
    </row>
    <row r="185" spans="4:10" ht="13">
      <c r="D185" s="49"/>
      <c r="E185" s="49"/>
      <c r="F185" s="49"/>
      <c r="J185" s="49"/>
    </row>
    <row r="186" spans="4:10" ht="13">
      <c r="D186" s="49"/>
      <c r="E186" s="49"/>
      <c r="F186" s="49"/>
      <c r="J186" s="49"/>
    </row>
    <row r="187" spans="4:10" ht="13">
      <c r="D187" s="49"/>
      <c r="E187" s="49"/>
      <c r="F187" s="49"/>
      <c r="J187" s="49"/>
    </row>
    <row r="188" spans="4:10" ht="13">
      <c r="D188" s="49"/>
      <c r="E188" s="49"/>
      <c r="F188" s="49"/>
      <c r="J188" s="49"/>
    </row>
    <row r="189" spans="4:10" ht="13">
      <c r="D189" s="49"/>
      <c r="E189" s="49"/>
      <c r="F189" s="49"/>
      <c r="J189" s="49"/>
    </row>
    <row r="190" spans="4:10" ht="13">
      <c r="D190" s="49"/>
      <c r="E190" s="49"/>
      <c r="F190" s="49"/>
      <c r="J190" s="49"/>
    </row>
    <row r="191" spans="4:10" ht="13">
      <c r="D191" s="49"/>
      <c r="E191" s="49"/>
      <c r="F191" s="49"/>
      <c r="J191" s="49"/>
    </row>
    <row r="192" spans="4:10" ht="13">
      <c r="D192" s="49"/>
      <c r="E192" s="49"/>
      <c r="F192" s="49"/>
      <c r="J192" s="49"/>
    </row>
    <row r="193" spans="4:10" ht="13">
      <c r="D193" s="49"/>
      <c r="E193" s="49"/>
      <c r="F193" s="49"/>
      <c r="J193" s="49"/>
    </row>
    <row r="194" spans="4:10" ht="13">
      <c r="D194" s="49"/>
      <c r="E194" s="49"/>
      <c r="F194" s="49"/>
      <c r="J194" s="49"/>
    </row>
    <row r="195" spans="4:10" ht="13">
      <c r="D195" s="49"/>
      <c r="E195" s="49"/>
      <c r="F195" s="49"/>
      <c r="J195" s="49"/>
    </row>
    <row r="196" spans="4:10" ht="13">
      <c r="D196" s="49"/>
      <c r="E196" s="49"/>
      <c r="F196" s="49"/>
      <c r="J196" s="49"/>
    </row>
    <row r="197" spans="4:10" ht="13">
      <c r="D197" s="49"/>
      <c r="E197" s="49"/>
      <c r="F197" s="49"/>
      <c r="J197" s="49"/>
    </row>
    <row r="198" spans="4:10" ht="13">
      <c r="D198" s="49"/>
      <c r="E198" s="49"/>
      <c r="F198" s="49"/>
      <c r="J198" s="49"/>
    </row>
    <row r="199" spans="4:10" ht="13">
      <c r="D199" s="49"/>
      <c r="E199" s="49"/>
      <c r="F199" s="49"/>
      <c r="J199" s="49"/>
    </row>
    <row r="200" spans="4:10" ht="13">
      <c r="D200" s="49"/>
      <c r="E200" s="49"/>
      <c r="F200" s="49"/>
      <c r="J200" s="49"/>
    </row>
    <row r="201" spans="4:10" ht="13">
      <c r="D201" s="49"/>
      <c r="E201" s="49"/>
      <c r="F201" s="49"/>
      <c r="J201" s="49"/>
    </row>
    <row r="202" spans="4:10" ht="13">
      <c r="D202" s="49"/>
      <c r="E202" s="49"/>
      <c r="F202" s="49"/>
      <c r="J202" s="49"/>
    </row>
    <row r="203" spans="4:10" ht="13">
      <c r="D203" s="49"/>
      <c r="E203" s="49"/>
      <c r="F203" s="49"/>
      <c r="J203" s="49"/>
    </row>
    <row r="204" spans="4:10" ht="13">
      <c r="D204" s="49"/>
      <c r="E204" s="49"/>
      <c r="F204" s="49"/>
      <c r="J204" s="49"/>
    </row>
    <row r="205" spans="4:10" ht="13">
      <c r="D205" s="49"/>
      <c r="E205" s="49"/>
      <c r="F205" s="49"/>
      <c r="J205" s="49"/>
    </row>
    <row r="206" spans="4:10" ht="13">
      <c r="D206" s="49"/>
      <c r="E206" s="49"/>
      <c r="F206" s="49"/>
      <c r="J206" s="49"/>
    </row>
    <row r="207" spans="4:10" ht="13">
      <c r="D207" s="49"/>
      <c r="E207" s="49"/>
      <c r="F207" s="49"/>
      <c r="J207" s="49"/>
    </row>
    <row r="208" spans="4:10" ht="13">
      <c r="D208" s="49"/>
      <c r="E208" s="49"/>
      <c r="F208" s="49"/>
      <c r="J208" s="49"/>
    </row>
    <row r="209" spans="4:10" ht="13">
      <c r="D209" s="49"/>
      <c r="E209" s="49"/>
      <c r="F209" s="49"/>
      <c r="J209" s="49"/>
    </row>
    <row r="210" spans="4:10" ht="13">
      <c r="D210" s="49"/>
      <c r="E210" s="49"/>
      <c r="F210" s="49"/>
      <c r="J210" s="49"/>
    </row>
    <row r="211" spans="4:10" ht="13">
      <c r="D211" s="49"/>
      <c r="E211" s="49"/>
      <c r="F211" s="49"/>
      <c r="J211" s="49"/>
    </row>
    <row r="212" spans="4:10" ht="13">
      <c r="D212" s="49"/>
      <c r="E212" s="49"/>
      <c r="F212" s="49"/>
      <c r="J212" s="49"/>
    </row>
    <row r="213" spans="4:10" ht="13">
      <c r="D213" s="49"/>
      <c r="E213" s="49"/>
      <c r="F213" s="49"/>
      <c r="J213" s="49"/>
    </row>
    <row r="214" spans="4:10" ht="13">
      <c r="D214" s="49"/>
      <c r="E214" s="49"/>
      <c r="F214" s="49"/>
      <c r="J214" s="49"/>
    </row>
    <row r="215" spans="4:10" ht="13">
      <c r="D215" s="49"/>
      <c r="E215" s="49"/>
      <c r="F215" s="49"/>
      <c r="J215" s="49"/>
    </row>
    <row r="216" spans="4:10" ht="13">
      <c r="D216" s="49"/>
      <c r="E216" s="49"/>
      <c r="F216" s="49"/>
      <c r="J216" s="49"/>
    </row>
    <row r="217" spans="4:10" ht="13">
      <c r="D217" s="49"/>
      <c r="E217" s="49"/>
      <c r="F217" s="49"/>
      <c r="J217" s="49"/>
    </row>
    <row r="218" spans="4:10" ht="13">
      <c r="D218" s="49"/>
      <c r="E218" s="49"/>
      <c r="F218" s="49"/>
      <c r="J218" s="49"/>
    </row>
    <row r="219" spans="4:10" ht="13">
      <c r="D219" s="49"/>
      <c r="E219" s="49"/>
      <c r="F219" s="49"/>
      <c r="J219" s="49"/>
    </row>
    <row r="220" spans="4:10" ht="13">
      <c r="D220" s="49"/>
      <c r="E220" s="49"/>
      <c r="F220" s="49"/>
      <c r="J220" s="49"/>
    </row>
    <row r="221" spans="4:10" ht="13">
      <c r="D221" s="49"/>
      <c r="E221" s="49"/>
      <c r="F221" s="49"/>
      <c r="J221" s="49"/>
    </row>
    <row r="222" spans="4:10" ht="13">
      <c r="D222" s="49"/>
      <c r="E222" s="49"/>
      <c r="F222" s="49"/>
      <c r="J222" s="49"/>
    </row>
    <row r="223" spans="4:10" ht="13">
      <c r="D223" s="49"/>
      <c r="E223" s="49"/>
      <c r="F223" s="49"/>
      <c r="J223" s="49"/>
    </row>
    <row r="224" spans="4:10" ht="13">
      <c r="D224" s="49"/>
      <c r="E224" s="49"/>
      <c r="F224" s="49"/>
      <c r="J224" s="49"/>
    </row>
    <row r="225" spans="4:10" ht="13">
      <c r="D225" s="49"/>
      <c r="E225" s="49"/>
      <c r="F225" s="49"/>
      <c r="J225" s="49"/>
    </row>
    <row r="226" spans="4:10" ht="13">
      <c r="D226" s="49"/>
      <c r="E226" s="49"/>
      <c r="F226" s="49"/>
      <c r="J226" s="49"/>
    </row>
    <row r="227" spans="4:10" ht="13">
      <c r="D227" s="49"/>
      <c r="E227" s="49"/>
      <c r="F227" s="49"/>
      <c r="J227" s="49"/>
    </row>
    <row r="228" spans="4:10" ht="13">
      <c r="D228" s="49"/>
      <c r="E228" s="49"/>
      <c r="F228" s="49"/>
      <c r="J228" s="49"/>
    </row>
    <row r="229" spans="4:10" ht="13">
      <c r="D229" s="49"/>
      <c r="E229" s="49"/>
      <c r="F229" s="49"/>
      <c r="J229" s="49"/>
    </row>
    <row r="230" spans="4:10" ht="13">
      <c r="D230" s="49"/>
      <c r="E230" s="49"/>
      <c r="F230" s="49"/>
      <c r="J230" s="49"/>
    </row>
    <row r="231" spans="4:10" ht="13">
      <c r="D231" s="49"/>
      <c r="E231" s="49"/>
      <c r="F231" s="49"/>
      <c r="J231" s="49"/>
    </row>
    <row r="232" spans="4:10" ht="13">
      <c r="D232" s="49"/>
      <c r="E232" s="49"/>
      <c r="F232" s="49"/>
      <c r="J232" s="49"/>
    </row>
    <row r="233" spans="4:10" ht="13">
      <c r="D233" s="49"/>
      <c r="E233" s="49"/>
      <c r="F233" s="49"/>
      <c r="J233" s="49"/>
    </row>
    <row r="234" spans="4:10" ht="13">
      <c r="D234" s="49"/>
      <c r="E234" s="49"/>
      <c r="F234" s="49"/>
      <c r="J234" s="49"/>
    </row>
    <row r="235" spans="4:10" ht="13">
      <c r="D235" s="49"/>
      <c r="E235" s="49"/>
      <c r="F235" s="49"/>
      <c r="J235" s="49"/>
    </row>
    <row r="236" spans="4:10" ht="13">
      <c r="D236" s="49"/>
      <c r="E236" s="49"/>
      <c r="F236" s="49"/>
      <c r="J236" s="49"/>
    </row>
    <row r="237" spans="4:10" ht="13">
      <c r="D237" s="49"/>
      <c r="E237" s="49"/>
      <c r="F237" s="49"/>
      <c r="J237" s="49"/>
    </row>
    <row r="238" spans="4:10" ht="13">
      <c r="D238" s="49"/>
      <c r="E238" s="49"/>
      <c r="F238" s="49"/>
      <c r="J238" s="49"/>
    </row>
    <row r="239" spans="4:10" ht="13">
      <c r="D239" s="49"/>
      <c r="E239" s="49"/>
      <c r="F239" s="49"/>
      <c r="J239" s="49"/>
    </row>
    <row r="240" spans="4:10" ht="13">
      <c r="D240" s="49"/>
      <c r="E240" s="49"/>
      <c r="F240" s="49"/>
      <c r="J240" s="49"/>
    </row>
    <row r="241" spans="4:10" ht="13">
      <c r="D241" s="49"/>
      <c r="E241" s="49"/>
      <c r="F241" s="49"/>
      <c r="J241" s="49"/>
    </row>
    <row r="242" spans="4:10" ht="13">
      <c r="D242" s="49"/>
      <c r="E242" s="49"/>
      <c r="F242" s="49"/>
      <c r="J242" s="49"/>
    </row>
    <row r="243" spans="4:10" ht="13">
      <c r="D243" s="49"/>
      <c r="E243" s="49"/>
      <c r="F243" s="49"/>
      <c r="J243" s="49"/>
    </row>
    <row r="244" spans="4:10" ht="13">
      <c r="D244" s="49"/>
      <c r="E244" s="49"/>
      <c r="F244" s="49"/>
      <c r="J244" s="49"/>
    </row>
    <row r="245" spans="4:10" ht="13">
      <c r="D245" s="49"/>
      <c r="E245" s="49"/>
      <c r="F245" s="49"/>
      <c r="J245" s="49"/>
    </row>
    <row r="246" spans="4:10" ht="13">
      <c r="D246" s="49"/>
      <c r="E246" s="49"/>
      <c r="F246" s="49"/>
      <c r="J246" s="49"/>
    </row>
    <row r="247" spans="4:10" ht="13">
      <c r="D247" s="49"/>
      <c r="E247" s="49"/>
      <c r="F247" s="49"/>
      <c r="J247" s="49"/>
    </row>
    <row r="248" spans="4:10" ht="13">
      <c r="D248" s="49"/>
      <c r="E248" s="49"/>
      <c r="F248" s="49"/>
      <c r="J248" s="49"/>
    </row>
    <row r="249" spans="4:10" ht="13">
      <c r="D249" s="49"/>
      <c r="E249" s="49"/>
      <c r="F249" s="49"/>
      <c r="J249" s="49"/>
    </row>
    <row r="250" spans="4:10" ht="13">
      <c r="D250" s="49"/>
      <c r="E250" s="49"/>
      <c r="F250" s="49"/>
      <c r="J250" s="49"/>
    </row>
    <row r="251" spans="4:10" ht="13">
      <c r="D251" s="49"/>
      <c r="E251" s="49"/>
      <c r="F251" s="49"/>
      <c r="J251" s="49"/>
    </row>
    <row r="252" spans="4:10" ht="13">
      <c r="D252" s="49"/>
      <c r="E252" s="49"/>
      <c r="F252" s="49"/>
      <c r="J252" s="49"/>
    </row>
    <row r="253" spans="4:10" ht="13">
      <c r="D253" s="49"/>
      <c r="E253" s="49"/>
      <c r="F253" s="49"/>
      <c r="J253" s="49"/>
    </row>
    <row r="254" spans="4:10" ht="13">
      <c r="D254" s="49"/>
      <c r="E254" s="49"/>
      <c r="F254" s="49"/>
      <c r="J254" s="49"/>
    </row>
    <row r="255" spans="4:10" ht="13">
      <c r="D255" s="49"/>
      <c r="E255" s="49"/>
      <c r="F255" s="49"/>
      <c r="J255" s="49"/>
    </row>
    <row r="256" spans="4:10" ht="13">
      <c r="D256" s="49"/>
      <c r="E256" s="49"/>
      <c r="F256" s="49"/>
      <c r="J256" s="49"/>
    </row>
    <row r="257" spans="4:10" ht="13">
      <c r="D257" s="49"/>
      <c r="E257" s="49"/>
      <c r="F257" s="49"/>
      <c r="J257" s="49"/>
    </row>
    <row r="258" spans="4:10" ht="13">
      <c r="D258" s="49"/>
      <c r="E258" s="49"/>
      <c r="F258" s="49"/>
      <c r="J258" s="49"/>
    </row>
    <row r="259" spans="4:10" ht="13">
      <c r="D259" s="49"/>
      <c r="E259" s="49"/>
      <c r="F259" s="49"/>
      <c r="J259" s="49"/>
    </row>
    <row r="260" spans="4:10" ht="13">
      <c r="D260" s="49"/>
      <c r="E260" s="49"/>
      <c r="F260" s="49"/>
      <c r="J260" s="49"/>
    </row>
    <row r="261" spans="4:10" ht="13">
      <c r="D261" s="49"/>
      <c r="E261" s="49"/>
      <c r="F261" s="49"/>
      <c r="J261" s="49"/>
    </row>
    <row r="262" spans="4:10" ht="13">
      <c r="D262" s="49"/>
      <c r="E262" s="49"/>
      <c r="F262" s="49"/>
      <c r="J262" s="49"/>
    </row>
    <row r="263" spans="4:10" ht="13">
      <c r="D263" s="49"/>
      <c r="E263" s="49"/>
      <c r="F263" s="49"/>
      <c r="J263" s="49"/>
    </row>
    <row r="264" spans="4:10" ht="13">
      <c r="D264" s="49"/>
      <c r="E264" s="49"/>
      <c r="F264" s="49"/>
      <c r="J264" s="49"/>
    </row>
    <row r="265" spans="4:10" ht="13">
      <c r="D265" s="49"/>
      <c r="E265" s="49"/>
      <c r="F265" s="49"/>
      <c r="J265" s="49"/>
    </row>
    <row r="266" spans="4:10" ht="13">
      <c r="D266" s="49"/>
      <c r="E266" s="49"/>
      <c r="F266" s="49"/>
      <c r="J266" s="49"/>
    </row>
    <row r="267" spans="4:10" ht="13">
      <c r="D267" s="49"/>
      <c r="E267" s="49"/>
      <c r="F267" s="49"/>
      <c r="J267" s="49"/>
    </row>
    <row r="268" spans="4:10" ht="13">
      <c r="D268" s="49"/>
      <c r="E268" s="49"/>
      <c r="F268" s="49"/>
      <c r="J268" s="49"/>
    </row>
    <row r="269" spans="4:10" ht="13">
      <c r="D269" s="49"/>
      <c r="E269" s="49"/>
      <c r="F269" s="49"/>
      <c r="J269" s="49"/>
    </row>
    <row r="270" spans="4:10" ht="13">
      <c r="D270" s="49"/>
      <c r="E270" s="49"/>
      <c r="F270" s="49"/>
      <c r="J270" s="49"/>
    </row>
    <row r="271" spans="4:10" ht="13">
      <c r="D271" s="49"/>
      <c r="E271" s="49"/>
      <c r="F271" s="49"/>
      <c r="J271" s="49"/>
    </row>
    <row r="272" spans="4:10" ht="13">
      <c r="D272" s="49"/>
      <c r="E272" s="49"/>
      <c r="F272" s="49"/>
      <c r="J272" s="49"/>
    </row>
    <row r="273" spans="4:10" ht="13">
      <c r="D273" s="49"/>
      <c r="E273" s="49"/>
      <c r="F273" s="49"/>
      <c r="J273" s="49"/>
    </row>
    <row r="274" spans="4:10" ht="13">
      <c r="D274" s="49"/>
      <c r="E274" s="49"/>
      <c r="F274" s="49"/>
      <c r="J274" s="49"/>
    </row>
    <row r="275" spans="4:10" ht="13">
      <c r="D275" s="49"/>
      <c r="E275" s="49"/>
      <c r="F275" s="49"/>
      <c r="J275" s="49"/>
    </row>
    <row r="276" spans="4:10" ht="13">
      <c r="D276" s="49"/>
      <c r="E276" s="49"/>
      <c r="F276" s="49"/>
      <c r="J276" s="49"/>
    </row>
    <row r="277" spans="4:10" ht="13">
      <c r="D277" s="49"/>
      <c r="E277" s="49"/>
      <c r="F277" s="49"/>
      <c r="J277" s="49"/>
    </row>
    <row r="278" spans="4:10" ht="13">
      <c r="D278" s="49"/>
      <c r="E278" s="49"/>
      <c r="F278" s="49"/>
      <c r="J278" s="49"/>
    </row>
    <row r="279" spans="4:10" ht="13">
      <c r="D279" s="49"/>
      <c r="E279" s="49"/>
      <c r="F279" s="49"/>
      <c r="J279" s="49"/>
    </row>
    <row r="280" spans="4:10" ht="13">
      <c r="D280" s="49"/>
      <c r="E280" s="49"/>
      <c r="F280" s="49"/>
      <c r="J280" s="49"/>
    </row>
    <row r="281" spans="4:10" ht="13">
      <c r="D281" s="49"/>
      <c r="E281" s="49"/>
      <c r="F281" s="49"/>
      <c r="J281" s="49"/>
    </row>
    <row r="282" spans="4:10" ht="13">
      <c r="D282" s="49"/>
      <c r="E282" s="49"/>
      <c r="F282" s="49"/>
      <c r="J282" s="49"/>
    </row>
    <row r="283" spans="4:10" ht="13">
      <c r="D283" s="49"/>
      <c r="E283" s="49"/>
      <c r="F283" s="49"/>
      <c r="J283" s="49"/>
    </row>
    <row r="284" spans="4:10" ht="13">
      <c r="D284" s="49"/>
      <c r="E284" s="49"/>
      <c r="F284" s="49"/>
      <c r="J284" s="49"/>
    </row>
    <row r="285" spans="4:10" ht="13">
      <c r="D285" s="49"/>
      <c r="E285" s="49"/>
      <c r="F285" s="49"/>
      <c r="J285" s="49"/>
    </row>
    <row r="286" spans="4:10" ht="13">
      <c r="D286" s="49"/>
      <c r="E286" s="49"/>
      <c r="F286" s="49"/>
      <c r="J286" s="49"/>
    </row>
    <row r="287" spans="4:10" ht="13">
      <c r="D287" s="49"/>
      <c r="E287" s="49"/>
      <c r="F287" s="49"/>
      <c r="J287" s="49"/>
    </row>
    <row r="288" spans="4:10" ht="13">
      <c r="D288" s="49"/>
      <c r="E288" s="49"/>
      <c r="F288" s="49"/>
      <c r="J288" s="49"/>
    </row>
    <row r="289" spans="4:10" ht="13">
      <c r="D289" s="49"/>
      <c r="E289" s="49"/>
      <c r="F289" s="49"/>
      <c r="J289" s="49"/>
    </row>
    <row r="290" spans="4:10" ht="13">
      <c r="D290" s="49"/>
      <c r="E290" s="49"/>
      <c r="F290" s="49"/>
      <c r="J290" s="49"/>
    </row>
    <row r="291" spans="4:10" ht="13">
      <c r="D291" s="49"/>
      <c r="E291" s="49"/>
      <c r="F291" s="49"/>
      <c r="J291" s="49"/>
    </row>
    <row r="292" spans="4:10" ht="13">
      <c r="D292" s="49"/>
      <c r="E292" s="49"/>
      <c r="F292" s="49"/>
      <c r="J292" s="49"/>
    </row>
    <row r="293" spans="4:10" ht="13">
      <c r="D293" s="49"/>
      <c r="E293" s="49"/>
      <c r="F293" s="49"/>
      <c r="J293" s="49"/>
    </row>
    <row r="294" spans="4:10" ht="13">
      <c r="D294" s="49"/>
      <c r="E294" s="49"/>
      <c r="F294" s="49"/>
      <c r="J294" s="49"/>
    </row>
    <row r="295" spans="4:10" ht="13">
      <c r="D295" s="49"/>
      <c r="E295" s="49"/>
      <c r="F295" s="49"/>
      <c r="J295" s="49"/>
    </row>
    <row r="296" spans="4:10" ht="13">
      <c r="D296" s="49"/>
      <c r="E296" s="49"/>
      <c r="F296" s="49"/>
      <c r="J296" s="49"/>
    </row>
    <row r="297" spans="4:10" ht="13">
      <c r="D297" s="49"/>
      <c r="E297" s="49"/>
      <c r="F297" s="49"/>
      <c r="J297" s="49"/>
    </row>
    <row r="298" spans="4:10" ht="13">
      <c r="D298" s="49"/>
      <c r="E298" s="49"/>
      <c r="F298" s="49"/>
      <c r="J298" s="49"/>
    </row>
    <row r="299" spans="4:10" ht="13">
      <c r="D299" s="49"/>
      <c r="E299" s="49"/>
      <c r="F299" s="49"/>
      <c r="J299" s="49"/>
    </row>
    <row r="300" spans="4:10" ht="13">
      <c r="D300" s="49"/>
      <c r="E300" s="49"/>
      <c r="F300" s="49"/>
      <c r="J300" s="49"/>
    </row>
    <row r="301" spans="4:10" ht="13">
      <c r="D301" s="49"/>
      <c r="E301" s="49"/>
      <c r="F301" s="49"/>
      <c r="J301" s="49"/>
    </row>
    <row r="302" spans="4:10" ht="13">
      <c r="D302" s="49"/>
      <c r="E302" s="49"/>
      <c r="F302" s="49"/>
      <c r="J302" s="49"/>
    </row>
    <row r="303" spans="4:10" ht="13">
      <c r="D303" s="49"/>
      <c r="E303" s="49"/>
      <c r="F303" s="49"/>
      <c r="J303" s="49"/>
    </row>
    <row r="304" spans="4:10" ht="13">
      <c r="D304" s="49"/>
      <c r="E304" s="49"/>
      <c r="F304" s="49"/>
      <c r="J304" s="49"/>
    </row>
    <row r="305" spans="4:10" ht="13">
      <c r="D305" s="49"/>
      <c r="E305" s="49"/>
      <c r="F305" s="49"/>
      <c r="J305" s="49"/>
    </row>
    <row r="306" spans="4:10" ht="13">
      <c r="D306" s="49"/>
      <c r="E306" s="49"/>
      <c r="F306" s="49"/>
      <c r="J306" s="49"/>
    </row>
    <row r="307" spans="4:10" ht="13">
      <c r="D307" s="49"/>
      <c r="E307" s="49"/>
      <c r="F307" s="49"/>
      <c r="J307" s="49"/>
    </row>
    <row r="308" spans="4:10" ht="13">
      <c r="D308" s="49"/>
      <c r="E308" s="49"/>
      <c r="F308" s="49"/>
      <c r="J308" s="49"/>
    </row>
    <row r="309" spans="4:10" ht="13">
      <c r="D309" s="49"/>
      <c r="E309" s="49"/>
      <c r="F309" s="49"/>
      <c r="J309" s="49"/>
    </row>
    <row r="310" spans="4:10" ht="13">
      <c r="D310" s="49"/>
      <c r="E310" s="49"/>
      <c r="F310" s="49"/>
      <c r="J310" s="49"/>
    </row>
    <row r="311" spans="4:10" ht="13">
      <c r="D311" s="49"/>
      <c r="E311" s="49"/>
      <c r="F311" s="49"/>
      <c r="J311" s="49"/>
    </row>
    <row r="312" spans="4:10" ht="13">
      <c r="D312" s="49"/>
      <c r="E312" s="49"/>
      <c r="F312" s="49"/>
      <c r="J312" s="49"/>
    </row>
    <row r="313" spans="4:10" ht="13">
      <c r="D313" s="49"/>
      <c r="E313" s="49"/>
      <c r="F313" s="49"/>
      <c r="J313" s="49"/>
    </row>
    <row r="314" spans="4:10" ht="13">
      <c r="D314" s="49"/>
      <c r="E314" s="49"/>
      <c r="F314" s="49"/>
      <c r="J314" s="49"/>
    </row>
    <row r="315" spans="4:10" ht="13">
      <c r="D315" s="49"/>
      <c r="E315" s="49"/>
      <c r="F315" s="49"/>
      <c r="J315" s="49"/>
    </row>
    <row r="316" spans="4:10" ht="13">
      <c r="D316" s="49"/>
      <c r="E316" s="49"/>
      <c r="F316" s="49"/>
      <c r="J316" s="49"/>
    </row>
    <row r="317" spans="4:10" ht="13">
      <c r="D317" s="49"/>
      <c r="E317" s="49"/>
      <c r="F317" s="49"/>
      <c r="J317" s="49"/>
    </row>
    <row r="318" spans="4:10" ht="13">
      <c r="D318" s="49"/>
      <c r="E318" s="49"/>
      <c r="F318" s="49"/>
      <c r="J318" s="49"/>
    </row>
    <row r="319" spans="4:10" ht="13">
      <c r="D319" s="49"/>
      <c r="E319" s="49"/>
      <c r="F319" s="49"/>
      <c r="J319" s="49"/>
    </row>
    <row r="320" spans="4:10" ht="13">
      <c r="D320" s="49"/>
      <c r="E320" s="49"/>
      <c r="F320" s="49"/>
      <c r="J320" s="49"/>
    </row>
    <row r="321" spans="4:10" ht="13">
      <c r="D321" s="49"/>
      <c r="E321" s="49"/>
      <c r="F321" s="49"/>
      <c r="J321" s="49"/>
    </row>
    <row r="322" spans="4:10" ht="13">
      <c r="D322" s="49"/>
      <c r="E322" s="49"/>
      <c r="F322" s="49"/>
      <c r="J322" s="49"/>
    </row>
    <row r="323" spans="4:10" ht="13">
      <c r="D323" s="49"/>
      <c r="E323" s="49"/>
      <c r="F323" s="49"/>
      <c r="J323" s="49"/>
    </row>
    <row r="324" spans="4:10" ht="13">
      <c r="D324" s="49"/>
      <c r="E324" s="49"/>
      <c r="F324" s="49"/>
      <c r="J324" s="49"/>
    </row>
    <row r="325" spans="4:10" ht="13">
      <c r="D325" s="49"/>
      <c r="E325" s="49"/>
      <c r="F325" s="49"/>
      <c r="J325" s="49"/>
    </row>
    <row r="326" spans="4:10" ht="13">
      <c r="D326" s="49"/>
      <c r="E326" s="49"/>
      <c r="F326" s="49"/>
      <c r="J326" s="49"/>
    </row>
    <row r="327" spans="4:10" ht="13">
      <c r="D327" s="49"/>
      <c r="E327" s="49"/>
      <c r="F327" s="49"/>
      <c r="J327" s="49"/>
    </row>
    <row r="328" spans="4:10" ht="13">
      <c r="D328" s="49"/>
      <c r="E328" s="49"/>
      <c r="F328" s="49"/>
      <c r="J328" s="49"/>
    </row>
    <row r="329" spans="4:10" ht="13">
      <c r="D329" s="49"/>
      <c r="E329" s="49"/>
      <c r="F329" s="49"/>
      <c r="J329" s="49"/>
    </row>
    <row r="330" spans="4:10" ht="13">
      <c r="D330" s="49"/>
      <c r="E330" s="49"/>
      <c r="F330" s="49"/>
      <c r="J330" s="49"/>
    </row>
    <row r="331" spans="4:10" ht="13">
      <c r="D331" s="49"/>
      <c r="E331" s="49"/>
      <c r="F331" s="49"/>
      <c r="J331" s="49"/>
    </row>
    <row r="332" spans="4:10" ht="13">
      <c r="D332" s="49"/>
      <c r="E332" s="49"/>
      <c r="F332" s="49"/>
      <c r="J332" s="49"/>
    </row>
    <row r="333" spans="4:10" ht="13">
      <c r="D333" s="49"/>
      <c r="E333" s="49"/>
      <c r="F333" s="49"/>
      <c r="J333" s="49"/>
    </row>
    <row r="334" spans="4:10" ht="13">
      <c r="D334" s="49"/>
      <c r="E334" s="49"/>
      <c r="F334" s="49"/>
      <c r="J334" s="49"/>
    </row>
    <row r="335" spans="4:10" ht="13">
      <c r="D335" s="49"/>
      <c r="E335" s="49"/>
      <c r="F335" s="49"/>
      <c r="J335" s="49"/>
    </row>
    <row r="336" spans="4:10" ht="13">
      <c r="D336" s="49"/>
      <c r="E336" s="49"/>
      <c r="F336" s="49"/>
      <c r="J336" s="49"/>
    </row>
    <row r="337" spans="4:10" ht="13">
      <c r="D337" s="49"/>
      <c r="E337" s="49"/>
      <c r="F337" s="49"/>
      <c r="J337" s="49"/>
    </row>
    <row r="338" spans="4:10" ht="13">
      <c r="D338" s="49"/>
      <c r="E338" s="49"/>
      <c r="F338" s="49"/>
      <c r="J338" s="49"/>
    </row>
    <row r="339" spans="4:10" ht="13">
      <c r="D339" s="49"/>
      <c r="E339" s="49"/>
      <c r="F339" s="49"/>
      <c r="J339" s="49"/>
    </row>
    <row r="340" spans="4:10" ht="13">
      <c r="D340" s="49"/>
      <c r="E340" s="49"/>
      <c r="F340" s="49"/>
      <c r="J340" s="49"/>
    </row>
    <row r="341" spans="4:10" ht="13">
      <c r="D341" s="49"/>
      <c r="E341" s="49"/>
      <c r="F341" s="49"/>
      <c r="J341" s="49"/>
    </row>
    <row r="342" spans="4:10" ht="13">
      <c r="D342" s="49"/>
      <c r="E342" s="49"/>
      <c r="F342" s="49"/>
      <c r="J342" s="49"/>
    </row>
    <row r="343" spans="4:10" ht="13">
      <c r="D343" s="49"/>
      <c r="E343" s="49"/>
      <c r="F343" s="49"/>
      <c r="J343" s="49"/>
    </row>
    <row r="344" spans="4:10" ht="13">
      <c r="D344" s="49"/>
      <c r="E344" s="49"/>
      <c r="F344" s="49"/>
      <c r="J344" s="49"/>
    </row>
    <row r="345" spans="4:10" ht="13">
      <c r="D345" s="49"/>
      <c r="E345" s="49"/>
      <c r="F345" s="49"/>
      <c r="J345" s="49"/>
    </row>
    <row r="346" spans="4:10" ht="13">
      <c r="D346" s="49"/>
      <c r="E346" s="49"/>
      <c r="F346" s="49"/>
      <c r="J346" s="49"/>
    </row>
    <row r="347" spans="4:10" ht="13">
      <c r="D347" s="49"/>
      <c r="E347" s="49"/>
      <c r="F347" s="49"/>
      <c r="J347" s="49"/>
    </row>
    <row r="348" spans="4:10" ht="13">
      <c r="D348" s="49"/>
      <c r="E348" s="49"/>
      <c r="F348" s="49"/>
      <c r="J348" s="49"/>
    </row>
    <row r="349" spans="4:10" ht="13">
      <c r="D349" s="49"/>
      <c r="E349" s="49"/>
      <c r="F349" s="49"/>
      <c r="J349" s="49"/>
    </row>
    <row r="350" spans="4:10" ht="13">
      <c r="D350" s="49"/>
      <c r="E350" s="49"/>
      <c r="F350" s="49"/>
      <c r="J350" s="49"/>
    </row>
    <row r="351" spans="4:10" ht="13">
      <c r="D351" s="49"/>
      <c r="E351" s="49"/>
      <c r="F351" s="49"/>
      <c r="J351" s="49"/>
    </row>
    <row r="352" spans="4:10" ht="13">
      <c r="D352" s="49"/>
      <c r="E352" s="49"/>
      <c r="F352" s="49"/>
      <c r="J352" s="49"/>
    </row>
    <row r="353" spans="4:10" ht="13">
      <c r="D353" s="49"/>
      <c r="E353" s="49"/>
      <c r="F353" s="49"/>
      <c r="J353" s="49"/>
    </row>
    <row r="354" spans="4:10" ht="13">
      <c r="D354" s="49"/>
      <c r="E354" s="49"/>
      <c r="F354" s="49"/>
      <c r="J354" s="49"/>
    </row>
    <row r="355" spans="4:10" ht="13">
      <c r="D355" s="49"/>
      <c r="E355" s="49"/>
      <c r="F355" s="49"/>
      <c r="J355" s="49"/>
    </row>
    <row r="356" spans="4:10" ht="13">
      <c r="D356" s="49"/>
      <c r="E356" s="49"/>
      <c r="F356" s="49"/>
      <c r="J356" s="49"/>
    </row>
    <row r="357" spans="4:10" ht="13">
      <c r="D357" s="49"/>
      <c r="E357" s="49"/>
      <c r="F357" s="49"/>
      <c r="J357" s="49"/>
    </row>
    <row r="358" spans="4:10" ht="13">
      <c r="D358" s="49"/>
      <c r="E358" s="49"/>
      <c r="F358" s="49"/>
      <c r="J358" s="49"/>
    </row>
    <row r="359" spans="4:10" ht="13">
      <c r="D359" s="49"/>
      <c r="E359" s="49"/>
      <c r="F359" s="49"/>
      <c r="J359" s="49"/>
    </row>
    <row r="360" spans="4:10" ht="13">
      <c r="D360" s="49"/>
      <c r="E360" s="49"/>
      <c r="F360" s="49"/>
      <c r="J360" s="49"/>
    </row>
    <row r="361" spans="4:10" ht="13">
      <c r="D361" s="49"/>
      <c r="E361" s="49"/>
      <c r="F361" s="49"/>
      <c r="J361" s="49"/>
    </row>
    <row r="362" spans="4:10" ht="13">
      <c r="D362" s="49"/>
      <c r="E362" s="49"/>
      <c r="F362" s="49"/>
      <c r="J362" s="49"/>
    </row>
    <row r="363" spans="4:10" ht="13">
      <c r="D363" s="49"/>
      <c r="E363" s="49"/>
      <c r="F363" s="49"/>
      <c r="J363" s="49"/>
    </row>
    <row r="364" spans="4:10" ht="13">
      <c r="D364" s="49"/>
      <c r="E364" s="49"/>
      <c r="F364" s="49"/>
      <c r="J364" s="49"/>
    </row>
    <row r="365" spans="4:10" ht="13">
      <c r="D365" s="49"/>
      <c r="E365" s="49"/>
      <c r="F365" s="49"/>
      <c r="J365" s="49"/>
    </row>
    <row r="366" spans="4:10" ht="13">
      <c r="D366" s="49"/>
      <c r="E366" s="49"/>
      <c r="F366" s="49"/>
      <c r="J366" s="49"/>
    </row>
    <row r="367" spans="4:10" ht="13">
      <c r="D367" s="49"/>
      <c r="E367" s="49"/>
      <c r="F367" s="49"/>
      <c r="J367" s="49"/>
    </row>
    <row r="368" spans="4:10" ht="13">
      <c r="D368" s="49"/>
      <c r="E368" s="49"/>
      <c r="F368" s="49"/>
      <c r="J368" s="49"/>
    </row>
    <row r="369" spans="4:10" ht="13">
      <c r="D369" s="49"/>
      <c r="E369" s="49"/>
      <c r="F369" s="49"/>
      <c r="J369" s="49"/>
    </row>
    <row r="370" spans="4:10" ht="13">
      <c r="D370" s="49"/>
      <c r="E370" s="49"/>
      <c r="F370" s="49"/>
      <c r="J370" s="49"/>
    </row>
    <row r="371" spans="4:10" ht="13">
      <c r="D371" s="49"/>
      <c r="E371" s="49"/>
      <c r="F371" s="49"/>
      <c r="J371" s="49"/>
    </row>
    <row r="372" spans="4:10" ht="13">
      <c r="D372" s="49"/>
      <c r="E372" s="49"/>
      <c r="F372" s="49"/>
      <c r="J372" s="49"/>
    </row>
    <row r="373" spans="4:10" ht="13">
      <c r="D373" s="49"/>
      <c r="E373" s="49"/>
      <c r="F373" s="49"/>
      <c r="J373" s="49"/>
    </row>
    <row r="374" spans="4:10" ht="13">
      <c r="D374" s="49"/>
      <c r="E374" s="49"/>
      <c r="F374" s="49"/>
      <c r="J374" s="49"/>
    </row>
    <row r="375" spans="4:10" ht="13">
      <c r="D375" s="49"/>
      <c r="E375" s="49"/>
      <c r="F375" s="49"/>
      <c r="J375" s="49"/>
    </row>
    <row r="376" spans="4:10" ht="13">
      <c r="D376" s="49"/>
      <c r="E376" s="49"/>
      <c r="F376" s="49"/>
      <c r="J376" s="49"/>
    </row>
    <row r="377" spans="4:10" ht="13">
      <c r="D377" s="49"/>
      <c r="E377" s="49"/>
      <c r="F377" s="49"/>
      <c r="J377" s="49"/>
    </row>
    <row r="378" spans="4:10" ht="13">
      <c r="D378" s="49"/>
      <c r="E378" s="49"/>
      <c r="F378" s="49"/>
      <c r="J378" s="49"/>
    </row>
    <row r="379" spans="4:10" ht="13">
      <c r="D379" s="49"/>
      <c r="E379" s="49"/>
      <c r="F379" s="49"/>
      <c r="J379" s="49"/>
    </row>
    <row r="380" spans="4:10" ht="13">
      <c r="D380" s="49"/>
      <c r="E380" s="49"/>
      <c r="F380" s="49"/>
      <c r="J380" s="49"/>
    </row>
    <row r="381" spans="4:10" ht="13">
      <c r="D381" s="49"/>
      <c r="E381" s="49"/>
      <c r="F381" s="49"/>
      <c r="J381" s="49"/>
    </row>
    <row r="382" spans="4:10" ht="13">
      <c r="D382" s="49"/>
      <c r="E382" s="49"/>
      <c r="F382" s="49"/>
      <c r="J382" s="49"/>
    </row>
    <row r="383" spans="4:10" ht="13">
      <c r="D383" s="49"/>
      <c r="E383" s="49"/>
      <c r="F383" s="49"/>
      <c r="J383" s="49"/>
    </row>
    <row r="384" spans="4:10" ht="13">
      <c r="D384" s="49"/>
      <c r="E384" s="49"/>
      <c r="F384" s="49"/>
      <c r="J384" s="49"/>
    </row>
    <row r="385" spans="4:10" ht="13">
      <c r="D385" s="49"/>
      <c r="E385" s="49"/>
      <c r="F385" s="49"/>
      <c r="J385" s="49"/>
    </row>
    <row r="386" spans="4:10" ht="13">
      <c r="D386" s="49"/>
      <c r="E386" s="49"/>
      <c r="F386" s="49"/>
      <c r="J386" s="49"/>
    </row>
    <row r="387" spans="4:10" ht="13">
      <c r="D387" s="49"/>
      <c r="E387" s="49"/>
      <c r="F387" s="49"/>
      <c r="J387" s="49"/>
    </row>
    <row r="388" spans="4:10" ht="13">
      <c r="D388" s="49"/>
      <c r="E388" s="49"/>
      <c r="F388" s="49"/>
      <c r="J388" s="49"/>
    </row>
    <row r="389" spans="4:10" ht="13">
      <c r="D389" s="49"/>
      <c r="E389" s="49"/>
      <c r="F389" s="49"/>
      <c r="J389" s="49"/>
    </row>
    <row r="390" spans="4:10" ht="13">
      <c r="D390" s="49"/>
      <c r="E390" s="49"/>
      <c r="F390" s="49"/>
      <c r="J390" s="49"/>
    </row>
    <row r="391" spans="4:10" ht="13">
      <c r="D391" s="49"/>
      <c r="E391" s="49"/>
      <c r="F391" s="49"/>
      <c r="J391" s="49"/>
    </row>
    <row r="392" spans="4:10" ht="13">
      <c r="D392" s="49"/>
      <c r="E392" s="49"/>
      <c r="F392" s="49"/>
      <c r="J392" s="49"/>
    </row>
    <row r="393" spans="4:10" ht="13">
      <c r="D393" s="49"/>
      <c r="E393" s="49"/>
      <c r="F393" s="49"/>
      <c r="J393" s="49"/>
    </row>
    <row r="394" spans="4:10" ht="13">
      <c r="D394" s="49"/>
      <c r="E394" s="49"/>
      <c r="F394" s="49"/>
      <c r="J394" s="49"/>
    </row>
    <row r="395" spans="4:10" ht="13">
      <c r="D395" s="49"/>
      <c r="E395" s="49"/>
      <c r="F395" s="49"/>
      <c r="J395" s="49"/>
    </row>
    <row r="396" spans="4:10" ht="13">
      <c r="D396" s="49"/>
      <c r="E396" s="49"/>
      <c r="F396" s="49"/>
      <c r="J396" s="49"/>
    </row>
    <row r="397" spans="4:10" ht="13">
      <c r="D397" s="49"/>
      <c r="E397" s="49"/>
      <c r="F397" s="49"/>
      <c r="J397" s="49"/>
    </row>
    <row r="398" spans="4:10" ht="13">
      <c r="D398" s="49"/>
      <c r="E398" s="49"/>
      <c r="F398" s="49"/>
      <c r="J398" s="49"/>
    </row>
    <row r="399" spans="4:10" ht="13">
      <c r="D399" s="49"/>
      <c r="E399" s="49"/>
      <c r="F399" s="49"/>
      <c r="J399" s="49"/>
    </row>
    <row r="400" spans="4:10" ht="13">
      <c r="D400" s="49"/>
      <c r="E400" s="49"/>
      <c r="F400" s="49"/>
      <c r="J400" s="49"/>
    </row>
    <row r="401" spans="4:10" ht="13">
      <c r="D401" s="49"/>
      <c r="E401" s="49"/>
      <c r="F401" s="49"/>
      <c r="J401" s="49"/>
    </row>
    <row r="402" spans="4:10" ht="13">
      <c r="D402" s="49"/>
      <c r="E402" s="49"/>
      <c r="F402" s="49"/>
      <c r="J402" s="49"/>
    </row>
    <row r="403" spans="4:10" ht="13">
      <c r="D403" s="49"/>
      <c r="E403" s="49"/>
      <c r="F403" s="49"/>
      <c r="J403" s="49"/>
    </row>
    <row r="404" spans="4:10" ht="13">
      <c r="D404" s="49"/>
      <c r="E404" s="49"/>
      <c r="F404" s="49"/>
      <c r="J404" s="49"/>
    </row>
    <row r="405" spans="4:10" ht="13">
      <c r="D405" s="49"/>
      <c r="E405" s="49"/>
      <c r="F405" s="49"/>
      <c r="J405" s="49"/>
    </row>
    <row r="406" spans="4:10" ht="13">
      <c r="D406" s="49"/>
      <c r="E406" s="49"/>
      <c r="F406" s="49"/>
      <c r="J406" s="49"/>
    </row>
    <row r="407" spans="4:10" ht="13">
      <c r="D407" s="49"/>
      <c r="E407" s="49"/>
      <c r="F407" s="49"/>
      <c r="J407" s="49"/>
    </row>
    <row r="408" spans="4:10" ht="13">
      <c r="D408" s="49"/>
      <c r="E408" s="49"/>
      <c r="F408" s="49"/>
      <c r="J408" s="49"/>
    </row>
    <row r="409" spans="4:10" ht="13">
      <c r="D409" s="49"/>
      <c r="E409" s="49"/>
      <c r="F409" s="49"/>
      <c r="J409" s="49"/>
    </row>
    <row r="410" spans="4:10" ht="13">
      <c r="D410" s="49"/>
      <c r="E410" s="49"/>
      <c r="F410" s="49"/>
      <c r="J410" s="49"/>
    </row>
    <row r="411" spans="4:10" ht="13">
      <c r="D411" s="49"/>
      <c r="E411" s="49"/>
      <c r="F411" s="49"/>
      <c r="J411" s="49"/>
    </row>
    <row r="412" spans="4:10" ht="13">
      <c r="D412" s="49"/>
      <c r="E412" s="49"/>
      <c r="F412" s="49"/>
      <c r="J412" s="49"/>
    </row>
    <row r="413" spans="4:10" ht="13">
      <c r="D413" s="49"/>
      <c r="E413" s="49"/>
      <c r="F413" s="49"/>
      <c r="J413" s="49"/>
    </row>
    <row r="414" spans="4:10" ht="13">
      <c r="D414" s="49"/>
      <c r="E414" s="49"/>
      <c r="F414" s="49"/>
      <c r="J414" s="49"/>
    </row>
    <row r="415" spans="4:10" ht="13">
      <c r="D415" s="49"/>
      <c r="E415" s="49"/>
      <c r="F415" s="49"/>
      <c r="J415" s="49"/>
    </row>
    <row r="416" spans="4:10" ht="13">
      <c r="D416" s="49"/>
      <c r="E416" s="49"/>
      <c r="F416" s="49"/>
      <c r="J416" s="49"/>
    </row>
    <row r="417" spans="4:10" ht="13">
      <c r="D417" s="49"/>
      <c r="E417" s="49"/>
      <c r="F417" s="49"/>
      <c r="J417" s="49"/>
    </row>
    <row r="418" spans="4:10" ht="13">
      <c r="D418" s="49"/>
      <c r="E418" s="49"/>
      <c r="F418" s="49"/>
      <c r="J418" s="49"/>
    </row>
    <row r="419" spans="4:10" ht="13">
      <c r="D419" s="49"/>
      <c r="E419" s="49"/>
      <c r="F419" s="49"/>
      <c r="J419" s="49"/>
    </row>
    <row r="420" spans="4:10" ht="13">
      <c r="D420" s="49"/>
      <c r="E420" s="49"/>
      <c r="F420" s="49"/>
      <c r="J420" s="49"/>
    </row>
    <row r="421" spans="4:10" ht="13">
      <c r="D421" s="49"/>
      <c r="E421" s="49"/>
      <c r="F421" s="49"/>
      <c r="J421" s="49"/>
    </row>
    <row r="422" spans="4:10" ht="13">
      <c r="D422" s="49"/>
      <c r="E422" s="49"/>
      <c r="F422" s="49"/>
      <c r="J422" s="49"/>
    </row>
    <row r="423" spans="4:10" ht="13">
      <c r="D423" s="49"/>
      <c r="E423" s="49"/>
      <c r="F423" s="49"/>
      <c r="J423" s="49"/>
    </row>
    <row r="424" spans="4:10" ht="13">
      <c r="D424" s="49"/>
      <c r="E424" s="49"/>
      <c r="F424" s="49"/>
      <c r="J424" s="49"/>
    </row>
    <row r="425" spans="4:10" ht="13">
      <c r="D425" s="49"/>
      <c r="E425" s="49"/>
      <c r="F425" s="49"/>
      <c r="J425" s="49"/>
    </row>
    <row r="426" spans="4:10" ht="13">
      <c r="D426" s="49"/>
      <c r="E426" s="49"/>
      <c r="F426" s="49"/>
      <c r="J426" s="49"/>
    </row>
    <row r="427" spans="4:10" ht="13">
      <c r="D427" s="49"/>
      <c r="E427" s="49"/>
      <c r="F427" s="49"/>
      <c r="J427" s="49"/>
    </row>
    <row r="428" spans="4:10" ht="13">
      <c r="D428" s="49"/>
      <c r="E428" s="49"/>
      <c r="F428" s="49"/>
      <c r="J428" s="49"/>
    </row>
    <row r="429" spans="4:10" ht="13">
      <c r="D429" s="49"/>
      <c r="E429" s="49"/>
      <c r="F429" s="49"/>
      <c r="J429" s="49"/>
    </row>
    <row r="430" spans="4:10" ht="13">
      <c r="D430" s="49"/>
      <c r="E430" s="49"/>
      <c r="F430" s="49"/>
      <c r="J430" s="49"/>
    </row>
    <row r="431" spans="4:10" ht="13">
      <c r="D431" s="49"/>
      <c r="E431" s="49"/>
      <c r="F431" s="49"/>
      <c r="J431" s="49"/>
    </row>
    <row r="432" spans="4:10" ht="13">
      <c r="D432" s="49"/>
      <c r="E432" s="49"/>
      <c r="F432" s="49"/>
      <c r="J432" s="49"/>
    </row>
    <row r="433" spans="4:10" ht="13">
      <c r="D433" s="49"/>
      <c r="E433" s="49"/>
      <c r="F433" s="49"/>
      <c r="J433" s="49"/>
    </row>
    <row r="434" spans="4:10" ht="13">
      <c r="D434" s="49"/>
      <c r="E434" s="49"/>
      <c r="F434" s="49"/>
      <c r="J434" s="49"/>
    </row>
    <row r="435" spans="4:10" ht="13">
      <c r="D435" s="49"/>
      <c r="E435" s="49"/>
      <c r="F435" s="49"/>
      <c r="J435" s="49"/>
    </row>
    <row r="436" spans="4:10" ht="13">
      <c r="D436" s="49"/>
      <c r="E436" s="49"/>
      <c r="F436" s="49"/>
      <c r="J436" s="49"/>
    </row>
    <row r="437" spans="4:10" ht="13">
      <c r="D437" s="49"/>
      <c r="E437" s="49"/>
      <c r="F437" s="49"/>
      <c r="J437" s="49"/>
    </row>
    <row r="438" spans="4:10" ht="13">
      <c r="D438" s="49"/>
      <c r="E438" s="49"/>
      <c r="F438" s="49"/>
      <c r="J438" s="49"/>
    </row>
    <row r="439" spans="4:10" ht="13">
      <c r="D439" s="49"/>
      <c r="E439" s="49"/>
      <c r="F439" s="49"/>
      <c r="J439" s="49"/>
    </row>
    <row r="440" spans="4:10" ht="13">
      <c r="D440" s="49"/>
      <c r="E440" s="49"/>
      <c r="F440" s="49"/>
      <c r="J440" s="49"/>
    </row>
    <row r="441" spans="4:10" ht="13">
      <c r="D441" s="49"/>
      <c r="E441" s="49"/>
      <c r="F441" s="49"/>
      <c r="J441" s="49"/>
    </row>
    <row r="442" spans="4:10" ht="13">
      <c r="D442" s="49"/>
      <c r="E442" s="49"/>
      <c r="F442" s="49"/>
      <c r="J442" s="49"/>
    </row>
    <row r="443" spans="4:10" ht="13">
      <c r="D443" s="49"/>
      <c r="E443" s="49"/>
      <c r="F443" s="49"/>
      <c r="J443" s="49"/>
    </row>
    <row r="444" spans="4:10" ht="13">
      <c r="D444" s="49"/>
      <c r="E444" s="49"/>
      <c r="F444" s="49"/>
      <c r="J444" s="49"/>
    </row>
    <row r="445" spans="4:10" ht="13">
      <c r="D445" s="49"/>
      <c r="E445" s="49"/>
      <c r="F445" s="49"/>
      <c r="J445" s="49"/>
    </row>
    <row r="446" spans="4:10" ht="13">
      <c r="D446" s="49"/>
      <c r="E446" s="49"/>
      <c r="F446" s="49"/>
      <c r="J446" s="49"/>
    </row>
    <row r="447" spans="4:10" ht="13">
      <c r="D447" s="49"/>
      <c r="E447" s="49"/>
      <c r="F447" s="49"/>
      <c r="J447" s="49"/>
    </row>
    <row r="448" spans="4:10" ht="13">
      <c r="D448" s="49"/>
      <c r="E448" s="49"/>
      <c r="F448" s="49"/>
      <c r="J448" s="49"/>
    </row>
    <row r="449" spans="4:10" ht="13">
      <c r="D449" s="49"/>
      <c r="E449" s="49"/>
      <c r="F449" s="49"/>
      <c r="J449" s="49"/>
    </row>
    <row r="450" spans="4:10" ht="13">
      <c r="D450" s="49"/>
      <c r="E450" s="49"/>
      <c r="F450" s="49"/>
      <c r="J450" s="49"/>
    </row>
    <row r="451" spans="4:10" ht="13">
      <c r="D451" s="49"/>
      <c r="E451" s="49"/>
      <c r="F451" s="49"/>
      <c r="J451" s="49"/>
    </row>
    <row r="452" spans="4:10" ht="13">
      <c r="D452" s="49"/>
      <c r="E452" s="49"/>
      <c r="F452" s="49"/>
      <c r="J452" s="49"/>
    </row>
    <row r="453" spans="4:10" ht="13">
      <c r="D453" s="49"/>
      <c r="E453" s="49"/>
      <c r="F453" s="49"/>
      <c r="J453" s="49"/>
    </row>
    <row r="454" spans="4:10" ht="13">
      <c r="D454" s="49"/>
      <c r="E454" s="49"/>
      <c r="F454" s="49"/>
      <c r="J454" s="49"/>
    </row>
    <row r="455" spans="4:10" ht="13">
      <c r="D455" s="49"/>
      <c r="E455" s="49"/>
      <c r="F455" s="49"/>
      <c r="J455" s="49"/>
    </row>
    <row r="456" spans="4:10" ht="13">
      <c r="D456" s="49"/>
      <c r="E456" s="49"/>
      <c r="F456" s="49"/>
      <c r="J456" s="49"/>
    </row>
    <row r="457" spans="4:10" ht="13">
      <c r="D457" s="49"/>
      <c r="E457" s="49"/>
      <c r="F457" s="49"/>
      <c r="J457" s="49"/>
    </row>
    <row r="458" spans="4:10" ht="13">
      <c r="D458" s="49"/>
      <c r="E458" s="49"/>
      <c r="F458" s="49"/>
      <c r="J458" s="49"/>
    </row>
    <row r="459" spans="4:10" ht="13">
      <c r="D459" s="49"/>
      <c r="E459" s="49"/>
      <c r="F459" s="49"/>
      <c r="J459" s="49"/>
    </row>
    <row r="460" spans="4:10" ht="13">
      <c r="D460" s="49"/>
      <c r="E460" s="49"/>
      <c r="F460" s="49"/>
      <c r="J460" s="49"/>
    </row>
    <row r="461" spans="4:10" ht="13">
      <c r="D461" s="49"/>
      <c r="E461" s="49"/>
      <c r="F461" s="49"/>
      <c r="J461" s="49"/>
    </row>
    <row r="462" spans="4:10" ht="13">
      <c r="D462" s="49"/>
      <c r="E462" s="49"/>
      <c r="F462" s="49"/>
      <c r="J462" s="49"/>
    </row>
    <row r="463" spans="4:10" ht="13">
      <c r="D463" s="49"/>
      <c r="E463" s="49"/>
      <c r="F463" s="49"/>
      <c r="J463" s="49"/>
    </row>
    <row r="464" spans="4:10" ht="13">
      <c r="D464" s="49"/>
      <c r="E464" s="49"/>
      <c r="F464" s="49"/>
      <c r="J464" s="49"/>
    </row>
    <row r="465" spans="4:10" ht="13">
      <c r="D465" s="49"/>
      <c r="E465" s="49"/>
      <c r="F465" s="49"/>
      <c r="J465" s="49"/>
    </row>
    <row r="466" spans="4:10" ht="13">
      <c r="D466" s="49"/>
      <c r="E466" s="49"/>
      <c r="F466" s="49"/>
      <c r="J466" s="49"/>
    </row>
    <row r="467" spans="4:10" ht="13">
      <c r="D467" s="49"/>
      <c r="E467" s="49"/>
      <c r="F467" s="49"/>
      <c r="J467" s="49"/>
    </row>
    <row r="468" spans="4:10" ht="13">
      <c r="D468" s="49"/>
      <c r="E468" s="49"/>
      <c r="F468" s="49"/>
      <c r="J468" s="49"/>
    </row>
    <row r="469" spans="4:10" ht="13">
      <c r="D469" s="49"/>
      <c r="E469" s="49"/>
      <c r="F469" s="49"/>
      <c r="J469" s="49"/>
    </row>
    <row r="470" spans="4:10" ht="13">
      <c r="D470" s="49"/>
      <c r="E470" s="49"/>
      <c r="F470" s="49"/>
      <c r="J470" s="49"/>
    </row>
    <row r="471" spans="4:10" ht="13">
      <c r="D471" s="49"/>
      <c r="E471" s="49"/>
      <c r="F471" s="49"/>
      <c r="J471" s="49"/>
    </row>
    <row r="472" spans="4:10" ht="13">
      <c r="D472" s="49"/>
      <c r="E472" s="49"/>
      <c r="F472" s="49"/>
      <c r="J472" s="49"/>
    </row>
    <row r="473" spans="4:10" ht="13">
      <c r="D473" s="49"/>
      <c r="E473" s="49"/>
      <c r="F473" s="49"/>
      <c r="J473" s="49"/>
    </row>
    <row r="474" spans="4:10" ht="13">
      <c r="D474" s="49"/>
      <c r="E474" s="49"/>
      <c r="F474" s="49"/>
      <c r="J474" s="49"/>
    </row>
    <row r="475" spans="4:10" ht="13">
      <c r="D475" s="49"/>
      <c r="E475" s="49"/>
      <c r="F475" s="49"/>
      <c r="J475" s="49"/>
    </row>
    <row r="476" spans="4:10" ht="13">
      <c r="D476" s="49"/>
      <c r="E476" s="49"/>
      <c r="F476" s="49"/>
      <c r="J476" s="49"/>
    </row>
    <row r="477" spans="4:10" ht="13">
      <c r="D477" s="49"/>
      <c r="E477" s="49"/>
      <c r="F477" s="49"/>
      <c r="J477" s="49"/>
    </row>
    <row r="478" spans="4:10" ht="13">
      <c r="D478" s="49"/>
      <c r="E478" s="49"/>
      <c r="F478" s="49"/>
      <c r="J478" s="49"/>
    </row>
    <row r="479" spans="4:10" ht="13">
      <c r="D479" s="49"/>
      <c r="E479" s="49"/>
      <c r="F479" s="49"/>
      <c r="J479" s="49"/>
    </row>
    <row r="480" spans="4:10" ht="13">
      <c r="D480" s="49"/>
      <c r="E480" s="49"/>
      <c r="F480" s="49"/>
      <c r="J480" s="49"/>
    </row>
    <row r="481" spans="4:10" ht="13">
      <c r="D481" s="49"/>
      <c r="E481" s="49"/>
      <c r="F481" s="49"/>
      <c r="J481" s="49"/>
    </row>
    <row r="482" spans="4:10" ht="13">
      <c r="D482" s="49"/>
      <c r="E482" s="49"/>
      <c r="F482" s="49"/>
      <c r="J482" s="49"/>
    </row>
    <row r="483" spans="4:10" ht="13">
      <c r="D483" s="49"/>
      <c r="E483" s="49"/>
      <c r="F483" s="49"/>
      <c r="J483" s="49"/>
    </row>
    <row r="484" spans="4:10" ht="13">
      <c r="D484" s="49"/>
      <c r="E484" s="49"/>
      <c r="F484" s="49"/>
      <c r="J484" s="49"/>
    </row>
    <row r="485" spans="4:10" ht="13">
      <c r="D485" s="49"/>
      <c r="E485" s="49"/>
      <c r="F485" s="49"/>
      <c r="J485" s="49"/>
    </row>
    <row r="486" spans="4:10" ht="13">
      <c r="D486" s="49"/>
      <c r="E486" s="49"/>
      <c r="F486" s="49"/>
      <c r="J486" s="49"/>
    </row>
    <row r="487" spans="4:10" ht="13">
      <c r="D487" s="49"/>
      <c r="E487" s="49"/>
      <c r="F487" s="49"/>
      <c r="J487" s="49"/>
    </row>
    <row r="488" spans="4:10" ht="13">
      <c r="D488" s="49"/>
      <c r="E488" s="49"/>
      <c r="F488" s="49"/>
      <c r="J488" s="49"/>
    </row>
    <row r="489" spans="4:10" ht="13">
      <c r="D489" s="49"/>
      <c r="E489" s="49"/>
      <c r="F489" s="49"/>
      <c r="J489" s="49"/>
    </row>
    <row r="490" spans="4:10" ht="13">
      <c r="D490" s="49"/>
      <c r="E490" s="49"/>
      <c r="F490" s="49"/>
      <c r="J490" s="49"/>
    </row>
    <row r="491" spans="4:10" ht="13">
      <c r="D491" s="49"/>
      <c r="E491" s="49"/>
      <c r="F491" s="49"/>
      <c r="J491" s="49"/>
    </row>
    <row r="492" spans="4:10" ht="13">
      <c r="D492" s="49"/>
      <c r="E492" s="49"/>
      <c r="F492" s="49"/>
      <c r="J492" s="49"/>
    </row>
    <row r="493" spans="4:10" ht="13">
      <c r="D493" s="49"/>
      <c r="E493" s="49"/>
      <c r="F493" s="49"/>
      <c r="J493" s="49"/>
    </row>
    <row r="494" spans="4:10" ht="13">
      <c r="D494" s="49"/>
      <c r="E494" s="49"/>
      <c r="F494" s="49"/>
      <c r="J494" s="49"/>
    </row>
    <row r="495" spans="4:10" ht="13">
      <c r="D495" s="49"/>
      <c r="E495" s="49"/>
      <c r="F495" s="49"/>
      <c r="J495" s="49"/>
    </row>
    <row r="496" spans="4:10" ht="13">
      <c r="D496" s="49"/>
      <c r="E496" s="49"/>
      <c r="F496" s="49"/>
      <c r="J496" s="49"/>
    </row>
    <row r="497" spans="4:10" ht="13">
      <c r="D497" s="49"/>
      <c r="E497" s="49"/>
      <c r="F497" s="49"/>
      <c r="J497" s="49"/>
    </row>
    <row r="498" spans="4:10" ht="13">
      <c r="D498" s="49"/>
      <c r="E498" s="49"/>
      <c r="F498" s="49"/>
      <c r="J498" s="49"/>
    </row>
    <row r="499" spans="4:10" ht="13">
      <c r="D499" s="49"/>
      <c r="E499" s="49"/>
      <c r="F499" s="49"/>
      <c r="J499" s="49"/>
    </row>
    <row r="500" spans="4:10" ht="13">
      <c r="D500" s="49"/>
      <c r="E500" s="49"/>
      <c r="F500" s="49"/>
      <c r="J500" s="49"/>
    </row>
    <row r="501" spans="4:10" ht="13">
      <c r="D501" s="49"/>
      <c r="E501" s="49"/>
      <c r="F501" s="49"/>
      <c r="J501" s="49"/>
    </row>
    <row r="502" spans="4:10" ht="13">
      <c r="D502" s="49"/>
      <c r="E502" s="49"/>
      <c r="F502" s="49"/>
      <c r="J502" s="49"/>
    </row>
    <row r="503" spans="4:10" ht="13">
      <c r="D503" s="49"/>
      <c r="E503" s="49"/>
      <c r="F503" s="49"/>
      <c r="J503" s="49"/>
    </row>
    <row r="504" spans="4:10" ht="13">
      <c r="D504" s="49"/>
      <c r="E504" s="49"/>
      <c r="F504" s="49"/>
      <c r="J504" s="49"/>
    </row>
    <row r="505" spans="4:10" ht="13">
      <c r="D505" s="49"/>
      <c r="E505" s="49"/>
      <c r="F505" s="49"/>
      <c r="J505" s="49"/>
    </row>
    <row r="506" spans="4:10" ht="13">
      <c r="D506" s="49"/>
      <c r="E506" s="49"/>
      <c r="F506" s="49"/>
      <c r="J506" s="49"/>
    </row>
    <row r="507" spans="4:10" ht="13">
      <c r="D507" s="49"/>
      <c r="E507" s="49"/>
      <c r="F507" s="49"/>
      <c r="J507" s="49"/>
    </row>
    <row r="508" spans="4:10" ht="13">
      <c r="D508" s="49"/>
      <c r="E508" s="49"/>
      <c r="F508" s="49"/>
      <c r="J508" s="49"/>
    </row>
    <row r="509" spans="4:10" ht="13">
      <c r="D509" s="49"/>
      <c r="E509" s="49"/>
      <c r="F509" s="49"/>
      <c r="J509" s="49"/>
    </row>
    <row r="510" spans="4:10" ht="13">
      <c r="D510" s="49"/>
      <c r="E510" s="49"/>
      <c r="F510" s="49"/>
      <c r="J510" s="49"/>
    </row>
    <row r="511" spans="4:10" ht="13">
      <c r="D511" s="49"/>
      <c r="E511" s="49"/>
      <c r="F511" s="49"/>
      <c r="J511" s="49"/>
    </row>
    <row r="512" spans="4:10" ht="13">
      <c r="D512" s="49"/>
      <c r="E512" s="49"/>
      <c r="F512" s="49"/>
      <c r="J512" s="49"/>
    </row>
    <row r="513" spans="4:10" ht="13">
      <c r="D513" s="49"/>
      <c r="E513" s="49"/>
      <c r="F513" s="49"/>
      <c r="J513" s="49"/>
    </row>
    <row r="514" spans="4:10" ht="13">
      <c r="D514" s="49"/>
      <c r="E514" s="49"/>
      <c r="F514" s="49"/>
      <c r="J514" s="49"/>
    </row>
    <row r="515" spans="4:10" ht="13">
      <c r="D515" s="49"/>
      <c r="E515" s="49"/>
      <c r="F515" s="49"/>
      <c r="J515" s="49"/>
    </row>
    <row r="516" spans="4:10" ht="13">
      <c r="D516" s="49"/>
      <c r="E516" s="49"/>
      <c r="F516" s="49"/>
      <c r="J516" s="49"/>
    </row>
    <row r="517" spans="4:10" ht="13">
      <c r="D517" s="49"/>
      <c r="E517" s="49"/>
      <c r="F517" s="49"/>
      <c r="J517" s="49"/>
    </row>
    <row r="518" spans="4:10" ht="13">
      <c r="D518" s="49"/>
      <c r="E518" s="49"/>
      <c r="F518" s="49"/>
      <c r="J518" s="49"/>
    </row>
    <row r="519" spans="4:10" ht="13">
      <c r="D519" s="49"/>
      <c r="E519" s="49"/>
      <c r="F519" s="49"/>
      <c r="J519" s="49"/>
    </row>
    <row r="520" spans="4:10" ht="13">
      <c r="D520" s="49"/>
      <c r="E520" s="49"/>
      <c r="F520" s="49"/>
      <c r="J520" s="49"/>
    </row>
    <row r="521" spans="4:10" ht="13">
      <c r="D521" s="49"/>
      <c r="E521" s="49"/>
      <c r="F521" s="49"/>
      <c r="J521" s="49"/>
    </row>
    <row r="522" spans="4:10" ht="13">
      <c r="D522" s="49"/>
      <c r="E522" s="49"/>
      <c r="F522" s="49"/>
      <c r="J522" s="49"/>
    </row>
    <row r="523" spans="4:10" ht="13">
      <c r="D523" s="49"/>
      <c r="E523" s="49"/>
      <c r="F523" s="49"/>
      <c r="J523" s="49"/>
    </row>
    <row r="524" spans="4:10" ht="13">
      <c r="D524" s="49"/>
      <c r="E524" s="49"/>
      <c r="F524" s="49"/>
      <c r="J524" s="49"/>
    </row>
    <row r="525" spans="4:10" ht="13">
      <c r="D525" s="49"/>
      <c r="E525" s="49"/>
      <c r="F525" s="49"/>
      <c r="J525" s="49"/>
    </row>
    <row r="526" spans="4:10" ht="13">
      <c r="D526" s="49"/>
      <c r="E526" s="49"/>
      <c r="F526" s="49"/>
      <c r="J526" s="49"/>
    </row>
    <row r="527" spans="4:10" ht="13">
      <c r="D527" s="49"/>
      <c r="E527" s="49"/>
      <c r="F527" s="49"/>
      <c r="J527" s="49"/>
    </row>
    <row r="528" spans="4:10" ht="13">
      <c r="D528" s="49"/>
      <c r="E528" s="49"/>
      <c r="F528" s="49"/>
      <c r="J528" s="49"/>
    </row>
    <row r="529" spans="4:10" ht="13">
      <c r="D529" s="49"/>
      <c r="E529" s="49"/>
      <c r="F529" s="49"/>
      <c r="J529" s="49"/>
    </row>
    <row r="530" spans="4:10" ht="13">
      <c r="D530" s="49"/>
      <c r="E530" s="49"/>
      <c r="F530" s="49"/>
      <c r="J530" s="49"/>
    </row>
    <row r="531" spans="4:10" ht="13">
      <c r="D531" s="49"/>
      <c r="E531" s="49"/>
      <c r="F531" s="49"/>
      <c r="J531" s="49"/>
    </row>
    <row r="532" spans="4:10" ht="13">
      <c r="D532" s="49"/>
      <c r="E532" s="49"/>
      <c r="F532" s="49"/>
      <c r="J532" s="49"/>
    </row>
    <row r="533" spans="4:10" ht="13">
      <c r="D533" s="49"/>
      <c r="E533" s="49"/>
      <c r="F533" s="49"/>
      <c r="J533" s="49"/>
    </row>
    <row r="534" spans="4:10" ht="13">
      <c r="D534" s="49"/>
      <c r="E534" s="49"/>
      <c r="F534" s="49"/>
      <c r="J534" s="49"/>
    </row>
    <row r="535" spans="4:10" ht="13">
      <c r="D535" s="49"/>
      <c r="E535" s="49"/>
      <c r="F535" s="49"/>
      <c r="J535" s="49"/>
    </row>
    <row r="536" spans="4:10" ht="13">
      <c r="D536" s="49"/>
      <c r="E536" s="49"/>
      <c r="F536" s="49"/>
      <c r="J536" s="49"/>
    </row>
    <row r="537" spans="4:10" ht="13">
      <c r="D537" s="49"/>
      <c r="E537" s="49"/>
      <c r="F537" s="49"/>
      <c r="J537" s="49"/>
    </row>
    <row r="538" spans="4:10" ht="13">
      <c r="D538" s="49"/>
      <c r="E538" s="49"/>
      <c r="F538" s="49"/>
      <c r="J538" s="49"/>
    </row>
    <row r="539" spans="4:10" ht="13">
      <c r="D539" s="49"/>
      <c r="E539" s="49"/>
      <c r="F539" s="49"/>
      <c r="J539" s="49"/>
    </row>
    <row r="540" spans="4:10" ht="13">
      <c r="D540" s="49"/>
      <c r="E540" s="49"/>
      <c r="F540" s="49"/>
      <c r="J540" s="49"/>
    </row>
    <row r="541" spans="4:10" ht="13">
      <c r="D541" s="49"/>
      <c r="E541" s="49"/>
      <c r="F541" s="49"/>
      <c r="J541" s="49"/>
    </row>
    <row r="542" spans="4:10" ht="13">
      <c r="D542" s="49"/>
      <c r="E542" s="49"/>
      <c r="F542" s="49"/>
      <c r="J542" s="49"/>
    </row>
    <row r="543" spans="4:10" ht="13">
      <c r="D543" s="49"/>
      <c r="E543" s="49"/>
      <c r="F543" s="49"/>
      <c r="J543" s="49"/>
    </row>
    <row r="544" spans="4:10" ht="13">
      <c r="D544" s="49"/>
      <c r="E544" s="49"/>
      <c r="F544" s="49"/>
      <c r="J544" s="49"/>
    </row>
    <row r="545" spans="4:10" ht="13">
      <c r="D545" s="49"/>
      <c r="E545" s="49"/>
      <c r="F545" s="49"/>
      <c r="J545" s="49"/>
    </row>
    <row r="546" spans="4:10" ht="13">
      <c r="D546" s="49"/>
      <c r="E546" s="49"/>
      <c r="F546" s="49"/>
      <c r="J546" s="49"/>
    </row>
    <row r="547" spans="4:10" ht="13">
      <c r="D547" s="49"/>
      <c r="E547" s="49"/>
      <c r="F547" s="49"/>
      <c r="J547" s="49"/>
    </row>
    <row r="548" spans="4:10" ht="13">
      <c r="D548" s="49"/>
      <c r="E548" s="49"/>
      <c r="F548" s="49"/>
      <c r="J548" s="49"/>
    </row>
    <row r="549" spans="4:10" ht="13">
      <c r="D549" s="49"/>
      <c r="E549" s="49"/>
      <c r="F549" s="49"/>
      <c r="J549" s="49"/>
    </row>
    <row r="550" spans="4:10" ht="13">
      <c r="D550" s="49"/>
      <c r="E550" s="49"/>
      <c r="F550" s="49"/>
      <c r="J550" s="49"/>
    </row>
    <row r="551" spans="4:10" ht="13">
      <c r="D551" s="49"/>
      <c r="E551" s="49"/>
      <c r="F551" s="49"/>
      <c r="J551" s="49"/>
    </row>
    <row r="552" spans="4:10" ht="13">
      <c r="D552" s="49"/>
      <c r="E552" s="49"/>
      <c r="F552" s="49"/>
      <c r="J552" s="49"/>
    </row>
    <row r="553" spans="4:10" ht="13">
      <c r="D553" s="49"/>
      <c r="E553" s="49"/>
      <c r="F553" s="49"/>
      <c r="J553" s="49"/>
    </row>
    <row r="554" spans="4:10" ht="13">
      <c r="D554" s="49"/>
      <c r="E554" s="49"/>
      <c r="F554" s="49"/>
      <c r="J554" s="49"/>
    </row>
    <row r="555" spans="4:10" ht="13">
      <c r="D555" s="49"/>
      <c r="E555" s="49"/>
      <c r="F555" s="49"/>
      <c r="J555" s="49"/>
    </row>
    <row r="556" spans="4:10" ht="13">
      <c r="D556" s="49"/>
      <c r="E556" s="49"/>
      <c r="F556" s="49"/>
      <c r="J556" s="49"/>
    </row>
    <row r="557" spans="4:10" ht="13">
      <c r="D557" s="49"/>
      <c r="E557" s="49"/>
      <c r="F557" s="49"/>
      <c r="J557" s="49"/>
    </row>
    <row r="558" spans="4:10" ht="13">
      <c r="D558" s="49"/>
      <c r="E558" s="49"/>
      <c r="F558" s="49"/>
      <c r="J558" s="49"/>
    </row>
    <row r="559" spans="4:10" ht="13">
      <c r="D559" s="49"/>
      <c r="E559" s="49"/>
      <c r="F559" s="49"/>
      <c r="J559" s="49"/>
    </row>
    <row r="560" spans="4:10" ht="13">
      <c r="D560" s="49"/>
      <c r="E560" s="49"/>
      <c r="F560" s="49"/>
      <c r="J560" s="49"/>
    </row>
    <row r="561" spans="4:10" ht="13">
      <c r="D561" s="49"/>
      <c r="E561" s="49"/>
      <c r="F561" s="49"/>
      <c r="J561" s="49"/>
    </row>
    <row r="562" spans="4:10" ht="13">
      <c r="D562" s="49"/>
      <c r="E562" s="49"/>
      <c r="F562" s="49"/>
      <c r="J562" s="49"/>
    </row>
    <row r="563" spans="4:10" ht="13">
      <c r="D563" s="49"/>
      <c r="E563" s="49"/>
      <c r="F563" s="49"/>
      <c r="J563" s="49"/>
    </row>
    <row r="564" spans="4:10" ht="13">
      <c r="D564" s="49"/>
      <c r="E564" s="49"/>
      <c r="F564" s="49"/>
      <c r="J564" s="49"/>
    </row>
    <row r="565" spans="4:10" ht="13">
      <c r="D565" s="49"/>
      <c r="E565" s="49"/>
      <c r="F565" s="49"/>
      <c r="J565" s="49"/>
    </row>
    <row r="566" spans="4:10" ht="13">
      <c r="D566" s="49"/>
      <c r="E566" s="49"/>
      <c r="F566" s="49"/>
      <c r="J566" s="49"/>
    </row>
    <row r="567" spans="4:10" ht="13">
      <c r="D567" s="49"/>
      <c r="E567" s="49"/>
      <c r="F567" s="49"/>
      <c r="J567" s="49"/>
    </row>
    <row r="568" spans="4:10" ht="13">
      <c r="D568" s="49"/>
      <c r="E568" s="49"/>
      <c r="F568" s="49"/>
      <c r="J568" s="49"/>
    </row>
    <row r="569" spans="4:10" ht="13">
      <c r="D569" s="49"/>
      <c r="E569" s="49"/>
      <c r="F569" s="49"/>
      <c r="J569" s="49"/>
    </row>
    <row r="570" spans="4:10" ht="13">
      <c r="D570" s="49"/>
      <c r="E570" s="49"/>
      <c r="F570" s="49"/>
      <c r="J570" s="49"/>
    </row>
    <row r="571" spans="4:10" ht="13">
      <c r="D571" s="49"/>
      <c r="E571" s="49"/>
      <c r="F571" s="49"/>
      <c r="J571" s="49"/>
    </row>
    <row r="572" spans="4:10" ht="13">
      <c r="D572" s="49"/>
      <c r="E572" s="49"/>
      <c r="F572" s="49"/>
      <c r="J572" s="49"/>
    </row>
    <row r="573" spans="4:10" ht="13">
      <c r="D573" s="49"/>
      <c r="E573" s="49"/>
      <c r="F573" s="49"/>
      <c r="J573" s="49"/>
    </row>
    <row r="574" spans="4:10" ht="13">
      <c r="D574" s="49"/>
      <c r="E574" s="49"/>
      <c r="F574" s="49"/>
      <c r="J574" s="49"/>
    </row>
    <row r="575" spans="4:10" ht="13">
      <c r="D575" s="49"/>
      <c r="E575" s="49"/>
      <c r="F575" s="49"/>
      <c r="J575" s="49"/>
    </row>
    <row r="576" spans="4:10" ht="13">
      <c r="D576" s="49"/>
      <c r="E576" s="49"/>
      <c r="F576" s="49"/>
      <c r="J576" s="49"/>
    </row>
    <row r="577" spans="4:10" ht="13">
      <c r="D577" s="49"/>
      <c r="E577" s="49"/>
      <c r="F577" s="49"/>
      <c r="J577" s="49"/>
    </row>
    <row r="578" spans="4:10" ht="13">
      <c r="D578" s="49"/>
      <c r="E578" s="49"/>
      <c r="F578" s="49"/>
      <c r="J578" s="49"/>
    </row>
    <row r="579" spans="4:10" ht="13">
      <c r="D579" s="49"/>
      <c r="E579" s="49"/>
      <c r="F579" s="49"/>
      <c r="J579" s="49"/>
    </row>
    <row r="580" spans="4:10" ht="13">
      <c r="D580" s="49"/>
      <c r="E580" s="49"/>
      <c r="F580" s="49"/>
      <c r="J580" s="49"/>
    </row>
    <row r="581" spans="4:10" ht="13">
      <c r="D581" s="49"/>
      <c r="E581" s="49"/>
      <c r="F581" s="49"/>
      <c r="J581" s="49"/>
    </row>
    <row r="582" spans="4:10" ht="13">
      <c r="D582" s="49"/>
      <c r="E582" s="49"/>
      <c r="F582" s="49"/>
      <c r="J582" s="49"/>
    </row>
    <row r="583" spans="4:10" ht="13">
      <c r="D583" s="49"/>
      <c r="E583" s="49"/>
      <c r="F583" s="49"/>
      <c r="J583" s="49"/>
    </row>
    <row r="584" spans="4:10" ht="13">
      <c r="D584" s="49"/>
      <c r="E584" s="49"/>
      <c r="F584" s="49"/>
      <c r="J584" s="49"/>
    </row>
    <row r="585" spans="4:10" ht="13">
      <c r="D585" s="49"/>
      <c r="E585" s="49"/>
      <c r="F585" s="49"/>
      <c r="J585" s="49"/>
    </row>
    <row r="586" spans="4:10" ht="13">
      <c r="D586" s="49"/>
      <c r="E586" s="49"/>
      <c r="F586" s="49"/>
      <c r="J586" s="49"/>
    </row>
    <row r="587" spans="4:10" ht="13">
      <c r="D587" s="49"/>
      <c r="E587" s="49"/>
      <c r="F587" s="49"/>
      <c r="J587" s="49"/>
    </row>
    <row r="588" spans="4:10" ht="13">
      <c r="D588" s="49"/>
      <c r="E588" s="49"/>
      <c r="F588" s="49"/>
      <c r="J588" s="49"/>
    </row>
    <row r="589" spans="4:10" ht="13">
      <c r="D589" s="49"/>
      <c r="E589" s="49"/>
      <c r="F589" s="49"/>
      <c r="J589" s="49"/>
    </row>
    <row r="590" spans="4:10" ht="13">
      <c r="D590" s="49"/>
      <c r="E590" s="49"/>
      <c r="F590" s="49"/>
      <c r="J590" s="49"/>
    </row>
    <row r="591" spans="4:10" ht="13">
      <c r="D591" s="49"/>
      <c r="E591" s="49"/>
      <c r="F591" s="49"/>
      <c r="J591" s="49"/>
    </row>
    <row r="592" spans="4:10" ht="13">
      <c r="D592" s="49"/>
      <c r="E592" s="49"/>
      <c r="F592" s="49"/>
      <c r="J592" s="49"/>
    </row>
    <row r="593" spans="4:10" ht="13">
      <c r="D593" s="49"/>
      <c r="E593" s="49"/>
      <c r="F593" s="49"/>
      <c r="J593" s="49"/>
    </row>
    <row r="594" spans="4:10" ht="13">
      <c r="D594" s="49"/>
      <c r="E594" s="49"/>
      <c r="F594" s="49"/>
      <c r="J594" s="49"/>
    </row>
    <row r="595" spans="4:10" ht="13">
      <c r="D595" s="49"/>
      <c r="E595" s="49"/>
      <c r="F595" s="49"/>
      <c r="J595" s="49"/>
    </row>
    <row r="596" spans="4:10" ht="13">
      <c r="D596" s="49"/>
      <c r="E596" s="49"/>
      <c r="F596" s="49"/>
      <c r="J596" s="49"/>
    </row>
    <row r="597" spans="4:10" ht="13">
      <c r="D597" s="49"/>
      <c r="E597" s="49"/>
      <c r="F597" s="49"/>
      <c r="J597" s="49"/>
    </row>
    <row r="598" spans="4:10" ht="13">
      <c r="D598" s="49"/>
      <c r="E598" s="49"/>
      <c r="F598" s="49"/>
      <c r="J598" s="49"/>
    </row>
    <row r="599" spans="4:10" ht="13">
      <c r="D599" s="49"/>
      <c r="E599" s="49"/>
      <c r="F599" s="49"/>
      <c r="J599" s="49"/>
    </row>
    <row r="600" spans="4:10" ht="13">
      <c r="D600" s="49"/>
      <c r="E600" s="49"/>
      <c r="F600" s="49"/>
      <c r="J600" s="49"/>
    </row>
    <row r="601" spans="4:10" ht="13">
      <c r="D601" s="49"/>
      <c r="E601" s="49"/>
      <c r="F601" s="49"/>
      <c r="J601" s="49"/>
    </row>
    <row r="602" spans="4:10" ht="13">
      <c r="D602" s="49"/>
      <c r="E602" s="49"/>
      <c r="F602" s="49"/>
      <c r="J602" s="49"/>
    </row>
    <row r="603" spans="4:10" ht="13">
      <c r="D603" s="49"/>
      <c r="E603" s="49"/>
      <c r="F603" s="49"/>
      <c r="J603" s="49"/>
    </row>
    <row r="604" spans="4:10" ht="13">
      <c r="D604" s="49"/>
      <c r="E604" s="49"/>
      <c r="F604" s="49"/>
      <c r="J604" s="49"/>
    </row>
    <row r="605" spans="4:10" ht="13">
      <c r="D605" s="49"/>
      <c r="E605" s="49"/>
      <c r="F605" s="49"/>
      <c r="J605" s="49"/>
    </row>
    <row r="606" spans="4:10" ht="13">
      <c r="D606" s="49"/>
      <c r="E606" s="49"/>
      <c r="F606" s="49"/>
      <c r="J606" s="49"/>
    </row>
    <row r="607" spans="4:10" ht="13">
      <c r="D607" s="49"/>
      <c r="E607" s="49"/>
      <c r="F607" s="49"/>
      <c r="J607" s="49"/>
    </row>
    <row r="608" spans="4:10" ht="13">
      <c r="D608" s="49"/>
      <c r="E608" s="49"/>
      <c r="F608" s="49"/>
      <c r="J608" s="49"/>
    </row>
    <row r="609" spans="4:10" ht="13">
      <c r="D609" s="49"/>
      <c r="E609" s="49"/>
      <c r="F609" s="49"/>
      <c r="J609" s="49"/>
    </row>
    <row r="610" spans="4:10" ht="13">
      <c r="D610" s="49"/>
      <c r="E610" s="49"/>
      <c r="F610" s="49"/>
      <c r="J610" s="49"/>
    </row>
    <row r="611" spans="4:10" ht="13">
      <c r="D611" s="49"/>
      <c r="E611" s="49"/>
      <c r="F611" s="49"/>
      <c r="J611" s="49"/>
    </row>
    <row r="612" spans="4:10" ht="13">
      <c r="D612" s="49"/>
      <c r="E612" s="49"/>
      <c r="F612" s="49"/>
      <c r="J612" s="49"/>
    </row>
    <row r="613" spans="4:10" ht="13">
      <c r="D613" s="49"/>
      <c r="E613" s="49"/>
      <c r="F613" s="49"/>
      <c r="J613" s="49"/>
    </row>
    <row r="614" spans="4:10" ht="13">
      <c r="D614" s="49"/>
      <c r="E614" s="49"/>
      <c r="F614" s="49"/>
      <c r="J614" s="49"/>
    </row>
    <row r="615" spans="4:10" ht="13">
      <c r="D615" s="49"/>
      <c r="E615" s="49"/>
      <c r="F615" s="49"/>
      <c r="J615" s="49"/>
    </row>
    <row r="616" spans="4:10" ht="13">
      <c r="D616" s="49"/>
      <c r="E616" s="49"/>
      <c r="F616" s="49"/>
      <c r="J616" s="49"/>
    </row>
    <row r="617" spans="4:10" ht="13">
      <c r="D617" s="49"/>
      <c r="E617" s="49"/>
      <c r="F617" s="49"/>
      <c r="J617" s="49"/>
    </row>
    <row r="618" spans="4:10" ht="13">
      <c r="D618" s="49"/>
      <c r="E618" s="49"/>
      <c r="F618" s="49"/>
      <c r="J618" s="49"/>
    </row>
    <row r="619" spans="4:10" ht="13">
      <c r="D619" s="49"/>
      <c r="E619" s="49"/>
      <c r="F619" s="49"/>
      <c r="J619" s="49"/>
    </row>
    <row r="620" spans="4:10" ht="13">
      <c r="D620" s="49"/>
      <c r="E620" s="49"/>
      <c r="F620" s="49"/>
      <c r="J620" s="49"/>
    </row>
    <row r="621" spans="4:10" ht="13">
      <c r="D621" s="49"/>
      <c r="E621" s="49"/>
      <c r="F621" s="49"/>
      <c r="J621" s="49"/>
    </row>
    <row r="622" spans="4:10" ht="13">
      <c r="D622" s="49"/>
      <c r="E622" s="49"/>
      <c r="F622" s="49"/>
      <c r="J622" s="49"/>
    </row>
    <row r="623" spans="4:10" ht="13">
      <c r="D623" s="49"/>
      <c r="E623" s="49"/>
      <c r="F623" s="49"/>
      <c r="J623" s="49"/>
    </row>
    <row r="624" spans="4:10" ht="13">
      <c r="D624" s="49"/>
      <c r="E624" s="49"/>
      <c r="F624" s="49"/>
      <c r="J624" s="49"/>
    </row>
    <row r="625" spans="4:10" ht="13">
      <c r="D625" s="49"/>
      <c r="E625" s="49"/>
      <c r="F625" s="49"/>
      <c r="J625" s="49"/>
    </row>
    <row r="626" spans="4:10" ht="13">
      <c r="D626" s="49"/>
      <c r="E626" s="49"/>
      <c r="F626" s="49"/>
      <c r="J626" s="49"/>
    </row>
    <row r="627" spans="4:10" ht="13">
      <c r="D627" s="49"/>
      <c r="E627" s="49"/>
      <c r="F627" s="49"/>
      <c r="J627" s="49"/>
    </row>
    <row r="628" spans="4:10" ht="13">
      <c r="D628" s="49"/>
      <c r="E628" s="49"/>
      <c r="F628" s="49"/>
      <c r="J628" s="49"/>
    </row>
    <row r="629" spans="4:10" ht="13">
      <c r="D629" s="49"/>
      <c r="E629" s="49"/>
      <c r="F629" s="49"/>
      <c r="J629" s="49"/>
    </row>
    <row r="630" spans="4:10" ht="13">
      <c r="D630" s="49"/>
      <c r="E630" s="49"/>
      <c r="F630" s="49"/>
      <c r="J630" s="49"/>
    </row>
    <row r="631" spans="4:10" ht="13">
      <c r="D631" s="49"/>
      <c r="E631" s="49"/>
      <c r="F631" s="49"/>
      <c r="J631" s="49"/>
    </row>
    <row r="632" spans="4:10" ht="13">
      <c r="D632" s="49"/>
      <c r="E632" s="49"/>
      <c r="F632" s="49"/>
      <c r="J632" s="49"/>
    </row>
    <row r="633" spans="4:10" ht="13">
      <c r="D633" s="49"/>
      <c r="E633" s="49"/>
      <c r="F633" s="49"/>
      <c r="J633" s="49"/>
    </row>
    <row r="634" spans="4:10" ht="13">
      <c r="D634" s="49"/>
      <c r="E634" s="49"/>
      <c r="F634" s="49"/>
      <c r="J634" s="49"/>
    </row>
    <row r="635" spans="4:10" ht="13">
      <c r="D635" s="49"/>
      <c r="E635" s="49"/>
      <c r="F635" s="49"/>
      <c r="J635" s="49"/>
    </row>
    <row r="636" spans="4:10" ht="13">
      <c r="D636" s="49"/>
      <c r="E636" s="49"/>
      <c r="F636" s="49"/>
      <c r="J636" s="49"/>
    </row>
    <row r="637" spans="4:10" ht="13">
      <c r="D637" s="49"/>
      <c r="E637" s="49"/>
      <c r="F637" s="49"/>
      <c r="J637" s="49"/>
    </row>
    <row r="638" spans="4:10" ht="13">
      <c r="D638" s="49"/>
      <c r="E638" s="49"/>
      <c r="F638" s="49"/>
      <c r="J638" s="49"/>
    </row>
    <row r="639" spans="4:10" ht="13">
      <c r="D639" s="49"/>
      <c r="E639" s="49"/>
      <c r="F639" s="49"/>
      <c r="J639" s="49"/>
    </row>
    <row r="640" spans="4:10" ht="13">
      <c r="D640" s="49"/>
      <c r="E640" s="49"/>
      <c r="F640" s="49"/>
      <c r="J640" s="49"/>
    </row>
    <row r="641" spans="4:10" ht="13">
      <c r="D641" s="49"/>
      <c r="E641" s="49"/>
      <c r="F641" s="49"/>
      <c r="J641" s="49"/>
    </row>
    <row r="642" spans="4:10" ht="13">
      <c r="D642" s="49"/>
      <c r="E642" s="49"/>
      <c r="F642" s="49"/>
      <c r="J642" s="49"/>
    </row>
    <row r="643" spans="4:10" ht="13">
      <c r="D643" s="49"/>
      <c r="E643" s="49"/>
      <c r="F643" s="49"/>
      <c r="J643" s="49"/>
    </row>
    <row r="644" spans="4:10" ht="13">
      <c r="D644" s="49"/>
      <c r="E644" s="49"/>
      <c r="F644" s="49"/>
      <c r="J644" s="49"/>
    </row>
    <row r="645" spans="4:10" ht="13">
      <c r="D645" s="49"/>
      <c r="E645" s="49"/>
      <c r="F645" s="49"/>
      <c r="J645" s="49"/>
    </row>
    <row r="646" spans="4:10" ht="13">
      <c r="D646" s="49"/>
      <c r="E646" s="49"/>
      <c r="F646" s="49"/>
      <c r="J646" s="49"/>
    </row>
    <row r="647" spans="4:10" ht="13">
      <c r="D647" s="49"/>
      <c r="E647" s="49"/>
      <c r="F647" s="49"/>
      <c r="J647" s="49"/>
    </row>
    <row r="648" spans="4:10" ht="13">
      <c r="D648" s="49"/>
      <c r="E648" s="49"/>
      <c r="F648" s="49"/>
      <c r="J648" s="49"/>
    </row>
    <row r="649" spans="4:10" ht="13">
      <c r="D649" s="49"/>
      <c r="E649" s="49"/>
      <c r="F649" s="49"/>
      <c r="J649" s="49"/>
    </row>
    <row r="650" spans="4:10" ht="13">
      <c r="D650" s="49"/>
      <c r="E650" s="49"/>
      <c r="F650" s="49"/>
      <c r="J650" s="49"/>
    </row>
    <row r="651" spans="4:10" ht="13">
      <c r="D651" s="49"/>
      <c r="E651" s="49"/>
      <c r="F651" s="49"/>
      <c r="J651" s="49"/>
    </row>
    <row r="652" spans="4:10" ht="13">
      <c r="D652" s="49"/>
      <c r="E652" s="49"/>
      <c r="F652" s="49"/>
      <c r="J652" s="49"/>
    </row>
    <row r="653" spans="4:10" ht="13">
      <c r="D653" s="49"/>
      <c r="E653" s="49"/>
      <c r="F653" s="49"/>
      <c r="J653" s="49"/>
    </row>
    <row r="654" spans="4:10" ht="13">
      <c r="D654" s="49"/>
      <c r="E654" s="49"/>
      <c r="F654" s="49"/>
      <c r="J654" s="49"/>
    </row>
    <row r="655" spans="4:10" ht="13">
      <c r="D655" s="49"/>
      <c r="E655" s="49"/>
      <c r="F655" s="49"/>
      <c r="J655" s="49"/>
    </row>
    <row r="656" spans="4:10" ht="13">
      <c r="D656" s="49"/>
      <c r="E656" s="49"/>
      <c r="F656" s="49"/>
      <c r="J656" s="49"/>
    </row>
    <row r="657" spans="4:10" ht="13">
      <c r="D657" s="49"/>
      <c r="E657" s="49"/>
      <c r="F657" s="49"/>
      <c r="J657" s="49"/>
    </row>
    <row r="658" spans="4:10" ht="13">
      <c r="D658" s="49"/>
      <c r="E658" s="49"/>
      <c r="F658" s="49"/>
      <c r="J658" s="49"/>
    </row>
    <row r="659" spans="4:10" ht="13">
      <c r="D659" s="49"/>
      <c r="E659" s="49"/>
      <c r="F659" s="49"/>
      <c r="J659" s="49"/>
    </row>
    <row r="660" spans="4:10" ht="13">
      <c r="D660" s="49"/>
      <c r="E660" s="49"/>
      <c r="F660" s="49"/>
      <c r="J660" s="49"/>
    </row>
    <row r="661" spans="4:10" ht="13">
      <c r="D661" s="49"/>
      <c r="E661" s="49"/>
      <c r="F661" s="49"/>
      <c r="J661" s="49"/>
    </row>
    <row r="662" spans="4:10" ht="13">
      <c r="D662" s="49"/>
      <c r="E662" s="49"/>
      <c r="F662" s="49"/>
      <c r="J662" s="49"/>
    </row>
    <row r="663" spans="4:10" ht="13">
      <c r="D663" s="49"/>
      <c r="E663" s="49"/>
      <c r="F663" s="49"/>
      <c r="J663" s="49"/>
    </row>
    <row r="664" spans="4:10" ht="13">
      <c r="D664" s="49"/>
      <c r="E664" s="49"/>
      <c r="F664" s="49"/>
      <c r="J664" s="49"/>
    </row>
    <row r="665" spans="4:10" ht="13">
      <c r="D665" s="49"/>
      <c r="E665" s="49"/>
      <c r="F665" s="49"/>
      <c r="J665" s="49"/>
    </row>
    <row r="666" spans="4:10" ht="13">
      <c r="D666" s="49"/>
      <c r="E666" s="49"/>
      <c r="F666" s="49"/>
      <c r="J666" s="49"/>
    </row>
    <row r="667" spans="4:10" ht="13">
      <c r="D667" s="49"/>
      <c r="E667" s="49"/>
      <c r="F667" s="49"/>
      <c r="J667" s="49"/>
    </row>
    <row r="668" spans="4:10" ht="13">
      <c r="D668" s="49"/>
      <c r="E668" s="49"/>
      <c r="F668" s="49"/>
      <c r="J668" s="49"/>
    </row>
    <row r="669" spans="4:10" ht="13">
      <c r="D669" s="49"/>
      <c r="E669" s="49"/>
      <c r="F669" s="49"/>
      <c r="J669" s="49"/>
    </row>
    <row r="670" spans="4:10" ht="13">
      <c r="D670" s="49"/>
      <c r="E670" s="49"/>
      <c r="F670" s="49"/>
      <c r="J670" s="49"/>
    </row>
    <row r="671" spans="4:10" ht="13">
      <c r="D671" s="49"/>
      <c r="E671" s="49"/>
      <c r="F671" s="49"/>
      <c r="J671" s="49"/>
    </row>
    <row r="672" spans="4:10" ht="13">
      <c r="D672" s="49"/>
      <c r="E672" s="49"/>
      <c r="F672" s="49"/>
      <c r="J672" s="49"/>
    </row>
    <row r="673" spans="4:10" ht="13">
      <c r="D673" s="49"/>
      <c r="E673" s="49"/>
      <c r="F673" s="49"/>
      <c r="J673" s="49"/>
    </row>
    <row r="674" spans="4:10" ht="13">
      <c r="D674" s="49"/>
      <c r="E674" s="49"/>
      <c r="F674" s="49"/>
      <c r="J674" s="49"/>
    </row>
    <row r="675" spans="4:10" ht="13">
      <c r="D675" s="49"/>
      <c r="E675" s="49"/>
      <c r="F675" s="49"/>
      <c r="J675" s="49"/>
    </row>
    <row r="676" spans="4:10" ht="13">
      <c r="D676" s="49"/>
      <c r="E676" s="49"/>
      <c r="F676" s="49"/>
      <c r="J676" s="49"/>
    </row>
    <row r="677" spans="4:10" ht="13">
      <c r="D677" s="49"/>
      <c r="E677" s="49"/>
      <c r="F677" s="49"/>
      <c r="J677" s="49"/>
    </row>
    <row r="678" spans="4:10" ht="13">
      <c r="D678" s="49"/>
      <c r="E678" s="49"/>
      <c r="F678" s="49"/>
      <c r="J678" s="49"/>
    </row>
    <row r="679" spans="4:10" ht="13">
      <c r="D679" s="49"/>
      <c r="E679" s="49"/>
      <c r="F679" s="49"/>
      <c r="J679" s="49"/>
    </row>
    <row r="680" spans="4:10" ht="13">
      <c r="D680" s="49"/>
      <c r="E680" s="49"/>
      <c r="F680" s="49"/>
      <c r="J680" s="49"/>
    </row>
    <row r="681" spans="4:10" ht="13">
      <c r="D681" s="49"/>
      <c r="E681" s="49"/>
      <c r="F681" s="49"/>
      <c r="J681" s="49"/>
    </row>
    <row r="682" spans="4:10" ht="13">
      <c r="D682" s="49"/>
      <c r="E682" s="49"/>
      <c r="F682" s="49"/>
      <c r="J682" s="49"/>
    </row>
    <row r="683" spans="4:10" ht="13">
      <c r="D683" s="49"/>
      <c r="E683" s="49"/>
      <c r="F683" s="49"/>
      <c r="J683" s="49"/>
    </row>
    <row r="684" spans="4:10" ht="13">
      <c r="D684" s="49"/>
      <c r="E684" s="49"/>
      <c r="F684" s="49"/>
      <c r="J684" s="49"/>
    </row>
    <row r="685" spans="4:10" ht="13">
      <c r="D685" s="49"/>
      <c r="E685" s="49"/>
      <c r="F685" s="49"/>
      <c r="J685" s="49"/>
    </row>
    <row r="686" spans="4:10" ht="13">
      <c r="D686" s="49"/>
      <c r="E686" s="49"/>
      <c r="F686" s="49"/>
      <c r="J686" s="49"/>
    </row>
    <row r="687" spans="4:10" ht="13">
      <c r="D687" s="49"/>
      <c r="E687" s="49"/>
      <c r="F687" s="49"/>
      <c r="J687" s="49"/>
    </row>
    <row r="688" spans="4:10" ht="13">
      <c r="D688" s="49"/>
      <c r="E688" s="49"/>
      <c r="F688" s="49"/>
      <c r="J688" s="49"/>
    </row>
    <row r="689" spans="4:10" ht="13">
      <c r="D689" s="49"/>
      <c r="E689" s="49"/>
      <c r="F689" s="49"/>
      <c r="J689" s="49"/>
    </row>
    <row r="690" spans="4:10" ht="13">
      <c r="D690" s="49"/>
      <c r="E690" s="49"/>
      <c r="F690" s="49"/>
      <c r="J690" s="49"/>
    </row>
    <row r="691" spans="4:10" ht="13">
      <c r="D691" s="49"/>
      <c r="E691" s="49"/>
      <c r="F691" s="49"/>
      <c r="J691" s="49"/>
    </row>
    <row r="692" spans="4:10" ht="13">
      <c r="D692" s="49"/>
      <c r="E692" s="49"/>
      <c r="F692" s="49"/>
      <c r="J692" s="49"/>
    </row>
    <row r="693" spans="4:10" ht="13">
      <c r="D693" s="49"/>
      <c r="E693" s="49"/>
      <c r="F693" s="49"/>
      <c r="J693" s="49"/>
    </row>
    <row r="694" spans="4:10" ht="13">
      <c r="D694" s="49"/>
      <c r="E694" s="49"/>
      <c r="F694" s="49"/>
      <c r="J694" s="49"/>
    </row>
    <row r="695" spans="4:10" ht="13">
      <c r="D695" s="49"/>
      <c r="E695" s="49"/>
      <c r="F695" s="49"/>
      <c r="J695" s="49"/>
    </row>
    <row r="696" spans="4:10" ht="13">
      <c r="D696" s="49"/>
      <c r="E696" s="49"/>
      <c r="F696" s="49"/>
      <c r="J696" s="49"/>
    </row>
    <row r="697" spans="4:10" ht="13">
      <c r="D697" s="49"/>
      <c r="E697" s="49"/>
      <c r="F697" s="49"/>
      <c r="J697" s="49"/>
    </row>
    <row r="698" spans="4:10" ht="13">
      <c r="D698" s="49"/>
      <c r="E698" s="49"/>
      <c r="F698" s="49"/>
      <c r="J698" s="49"/>
    </row>
    <row r="699" spans="4:10" ht="13">
      <c r="D699" s="49"/>
      <c r="E699" s="49"/>
      <c r="F699" s="49"/>
      <c r="J699" s="49"/>
    </row>
    <row r="700" spans="4:10" ht="13">
      <c r="D700" s="49"/>
      <c r="E700" s="49"/>
      <c r="F700" s="49"/>
      <c r="J700" s="49"/>
    </row>
    <row r="701" spans="4:10" ht="13">
      <c r="D701" s="49"/>
      <c r="E701" s="49"/>
      <c r="F701" s="49"/>
      <c r="J701" s="49"/>
    </row>
    <row r="702" spans="4:10" ht="13">
      <c r="D702" s="49"/>
      <c r="E702" s="49"/>
      <c r="F702" s="49"/>
      <c r="J702" s="49"/>
    </row>
    <row r="703" spans="4:10" ht="13">
      <c r="D703" s="49"/>
      <c r="E703" s="49"/>
      <c r="F703" s="49"/>
      <c r="J703" s="49"/>
    </row>
    <row r="704" spans="4:10" ht="13">
      <c r="D704" s="49"/>
      <c r="E704" s="49"/>
      <c r="F704" s="49"/>
      <c r="J704" s="49"/>
    </row>
    <row r="705" spans="4:10" ht="13">
      <c r="D705" s="49"/>
      <c r="E705" s="49"/>
      <c r="F705" s="49"/>
      <c r="J705" s="49"/>
    </row>
    <row r="706" spans="4:10" ht="13">
      <c r="D706" s="49"/>
      <c r="E706" s="49"/>
      <c r="F706" s="49"/>
      <c r="J706" s="49"/>
    </row>
    <row r="707" spans="4:10" ht="13">
      <c r="D707" s="49"/>
      <c r="E707" s="49"/>
      <c r="F707" s="49"/>
      <c r="J707" s="49"/>
    </row>
    <row r="708" spans="4:10" ht="13">
      <c r="D708" s="49"/>
      <c r="E708" s="49"/>
      <c r="F708" s="49"/>
      <c r="J708" s="49"/>
    </row>
    <row r="709" spans="4:10" ht="13">
      <c r="D709" s="49"/>
      <c r="E709" s="49"/>
      <c r="F709" s="49"/>
      <c r="J709" s="49"/>
    </row>
    <row r="710" spans="4:10" ht="13">
      <c r="D710" s="49"/>
      <c r="E710" s="49"/>
      <c r="F710" s="49"/>
      <c r="J710" s="49"/>
    </row>
    <row r="711" spans="4:10" ht="13">
      <c r="D711" s="49"/>
      <c r="E711" s="49"/>
      <c r="F711" s="49"/>
      <c r="J711" s="49"/>
    </row>
    <row r="712" spans="4:10" ht="13">
      <c r="D712" s="49"/>
      <c r="E712" s="49"/>
      <c r="F712" s="49"/>
      <c r="J712" s="49"/>
    </row>
    <row r="713" spans="4:10" ht="13">
      <c r="D713" s="49"/>
      <c r="E713" s="49"/>
      <c r="F713" s="49"/>
      <c r="J713" s="49"/>
    </row>
    <row r="714" spans="4:10" ht="13">
      <c r="D714" s="49"/>
      <c r="E714" s="49"/>
      <c r="F714" s="49"/>
      <c r="J714" s="49"/>
    </row>
    <row r="715" spans="4:10" ht="13">
      <c r="D715" s="49"/>
      <c r="E715" s="49"/>
      <c r="F715" s="49"/>
      <c r="J715" s="49"/>
    </row>
    <row r="716" spans="4:10" ht="13">
      <c r="D716" s="49"/>
      <c r="E716" s="49"/>
      <c r="F716" s="49"/>
      <c r="J716" s="49"/>
    </row>
    <row r="717" spans="4:10" ht="13">
      <c r="D717" s="49"/>
      <c r="E717" s="49"/>
      <c r="F717" s="49"/>
      <c r="J717" s="49"/>
    </row>
    <row r="718" spans="4:10" ht="13">
      <c r="D718" s="49"/>
      <c r="E718" s="49"/>
      <c r="F718" s="49"/>
      <c r="J718" s="49"/>
    </row>
    <row r="719" spans="4:10" ht="13">
      <c r="D719" s="49"/>
      <c r="E719" s="49"/>
      <c r="F719" s="49"/>
      <c r="J719" s="49"/>
    </row>
    <row r="720" spans="4:10" ht="13">
      <c r="D720" s="49"/>
      <c r="E720" s="49"/>
      <c r="F720" s="49"/>
      <c r="J720" s="49"/>
    </row>
    <row r="721" spans="4:10" ht="13">
      <c r="D721" s="49"/>
      <c r="E721" s="49"/>
      <c r="F721" s="49"/>
      <c r="J721" s="49"/>
    </row>
    <row r="722" spans="4:10" ht="13">
      <c r="D722" s="49"/>
      <c r="E722" s="49"/>
      <c r="F722" s="49"/>
      <c r="J722" s="49"/>
    </row>
    <row r="723" spans="4:10" ht="13">
      <c r="D723" s="49"/>
      <c r="E723" s="49"/>
      <c r="F723" s="49"/>
      <c r="J723" s="49"/>
    </row>
    <row r="724" spans="4:10" ht="13">
      <c r="D724" s="49"/>
      <c r="E724" s="49"/>
      <c r="F724" s="49"/>
      <c r="J724" s="49"/>
    </row>
    <row r="725" spans="4:10" ht="13">
      <c r="D725" s="49"/>
      <c r="E725" s="49"/>
      <c r="F725" s="49"/>
      <c r="J725" s="49"/>
    </row>
    <row r="726" spans="4:10" ht="13">
      <c r="D726" s="49"/>
      <c r="E726" s="49"/>
      <c r="F726" s="49"/>
      <c r="J726" s="49"/>
    </row>
    <row r="727" spans="4:10" ht="13">
      <c r="D727" s="49"/>
      <c r="E727" s="49"/>
      <c r="F727" s="49"/>
      <c r="J727" s="49"/>
    </row>
    <row r="728" spans="4:10" ht="13">
      <c r="D728" s="49"/>
      <c r="E728" s="49"/>
      <c r="F728" s="49"/>
      <c r="J728" s="49"/>
    </row>
    <row r="729" spans="4:10" ht="13">
      <c r="D729" s="49"/>
      <c r="E729" s="49"/>
      <c r="F729" s="49"/>
      <c r="J729" s="49"/>
    </row>
    <row r="730" spans="4:10" ht="13">
      <c r="D730" s="49"/>
      <c r="E730" s="49"/>
      <c r="F730" s="49"/>
      <c r="J730" s="49"/>
    </row>
    <row r="731" spans="4:10" ht="13">
      <c r="D731" s="49"/>
      <c r="E731" s="49"/>
      <c r="F731" s="49"/>
      <c r="J731" s="49"/>
    </row>
    <row r="732" spans="4:10" ht="13">
      <c r="D732" s="49"/>
      <c r="E732" s="49"/>
      <c r="F732" s="49"/>
      <c r="J732" s="49"/>
    </row>
    <row r="733" spans="4:10" ht="13">
      <c r="D733" s="49"/>
      <c r="E733" s="49"/>
      <c r="F733" s="49"/>
      <c r="J733" s="49"/>
    </row>
    <row r="734" spans="4:10" ht="13">
      <c r="D734" s="49"/>
      <c r="E734" s="49"/>
      <c r="F734" s="49"/>
      <c r="J734" s="49"/>
    </row>
    <row r="735" spans="4:10" ht="13">
      <c r="D735" s="49"/>
      <c r="E735" s="49"/>
      <c r="F735" s="49"/>
      <c r="J735" s="49"/>
    </row>
    <row r="736" spans="4:10" ht="13">
      <c r="D736" s="49"/>
      <c r="E736" s="49"/>
      <c r="F736" s="49"/>
      <c r="J736" s="49"/>
    </row>
    <row r="737" spans="4:10" ht="13">
      <c r="D737" s="49"/>
      <c r="E737" s="49"/>
      <c r="F737" s="49"/>
      <c r="J737" s="49"/>
    </row>
    <row r="738" spans="4:10" ht="13">
      <c r="D738" s="49"/>
      <c r="E738" s="49"/>
      <c r="F738" s="49"/>
      <c r="J738" s="49"/>
    </row>
    <row r="739" spans="4:10" ht="13">
      <c r="D739" s="49"/>
      <c r="E739" s="49"/>
      <c r="F739" s="49"/>
      <c r="J739" s="49"/>
    </row>
    <row r="740" spans="4:10" ht="13">
      <c r="D740" s="49"/>
      <c r="E740" s="49"/>
      <c r="F740" s="49"/>
      <c r="J740" s="49"/>
    </row>
    <row r="741" spans="4:10" ht="13">
      <c r="D741" s="49"/>
      <c r="E741" s="49"/>
      <c r="F741" s="49"/>
      <c r="J741" s="49"/>
    </row>
    <row r="742" spans="4:10" ht="13">
      <c r="D742" s="49"/>
      <c r="E742" s="49"/>
      <c r="F742" s="49"/>
      <c r="J742" s="49"/>
    </row>
    <row r="743" spans="4:10" ht="13">
      <c r="D743" s="49"/>
      <c r="E743" s="49"/>
      <c r="F743" s="49"/>
      <c r="J743" s="49"/>
    </row>
    <row r="744" spans="4:10" ht="13">
      <c r="D744" s="49"/>
      <c r="E744" s="49"/>
      <c r="F744" s="49"/>
      <c r="J744" s="49"/>
    </row>
    <row r="745" spans="4:10" ht="13">
      <c r="D745" s="49"/>
      <c r="E745" s="49"/>
      <c r="F745" s="49"/>
      <c r="J745" s="49"/>
    </row>
    <row r="746" spans="4:10" ht="13">
      <c r="D746" s="49"/>
      <c r="E746" s="49"/>
      <c r="F746" s="49"/>
      <c r="J746" s="49"/>
    </row>
    <row r="747" spans="4:10" ht="13">
      <c r="D747" s="49"/>
      <c r="E747" s="49"/>
      <c r="F747" s="49"/>
      <c r="J747" s="49"/>
    </row>
    <row r="748" spans="4:10" ht="13">
      <c r="D748" s="49"/>
      <c r="E748" s="49"/>
      <c r="F748" s="49"/>
      <c r="J748" s="49"/>
    </row>
    <row r="749" spans="4:10" ht="13">
      <c r="D749" s="49"/>
      <c r="E749" s="49"/>
      <c r="F749" s="49"/>
      <c r="J749" s="49"/>
    </row>
    <row r="750" spans="4:10" ht="13">
      <c r="D750" s="49"/>
      <c r="E750" s="49"/>
      <c r="F750" s="49"/>
      <c r="J750" s="49"/>
    </row>
    <row r="751" spans="4:10" ht="13">
      <c r="D751" s="49"/>
      <c r="E751" s="49"/>
      <c r="F751" s="49"/>
      <c r="J751" s="49"/>
    </row>
    <row r="752" spans="4:10" ht="13">
      <c r="D752" s="49"/>
      <c r="E752" s="49"/>
      <c r="F752" s="49"/>
      <c r="J752" s="49"/>
    </row>
    <row r="753" spans="4:10" ht="13">
      <c r="D753" s="49"/>
      <c r="E753" s="49"/>
      <c r="F753" s="49"/>
      <c r="J753" s="49"/>
    </row>
    <row r="754" spans="4:10" ht="13">
      <c r="D754" s="49"/>
      <c r="E754" s="49"/>
      <c r="F754" s="49"/>
      <c r="J754" s="49"/>
    </row>
    <row r="755" spans="4:10" ht="13">
      <c r="D755" s="49"/>
      <c r="E755" s="49"/>
      <c r="F755" s="49"/>
      <c r="J755" s="49"/>
    </row>
    <row r="756" spans="4:10" ht="13">
      <c r="D756" s="49"/>
      <c r="E756" s="49"/>
      <c r="F756" s="49"/>
      <c r="J756" s="49"/>
    </row>
    <row r="757" spans="4:10" ht="13">
      <c r="D757" s="49"/>
      <c r="E757" s="49"/>
      <c r="F757" s="49"/>
      <c r="J757" s="49"/>
    </row>
    <row r="758" spans="4:10" ht="13">
      <c r="D758" s="49"/>
      <c r="E758" s="49"/>
      <c r="F758" s="49"/>
      <c r="J758" s="49"/>
    </row>
    <row r="759" spans="4:10" ht="13">
      <c r="D759" s="49"/>
      <c r="E759" s="49"/>
      <c r="F759" s="49"/>
      <c r="J759" s="49"/>
    </row>
    <row r="760" spans="4:10" ht="13">
      <c r="D760" s="49"/>
      <c r="E760" s="49"/>
      <c r="F760" s="49"/>
      <c r="J760" s="49"/>
    </row>
    <row r="761" spans="4:10" ht="13">
      <c r="D761" s="49"/>
      <c r="E761" s="49"/>
      <c r="F761" s="49"/>
      <c r="J761" s="49"/>
    </row>
    <row r="762" spans="4:10" ht="13">
      <c r="D762" s="49"/>
      <c r="E762" s="49"/>
      <c r="F762" s="49"/>
      <c r="J762" s="49"/>
    </row>
    <row r="763" spans="4:10" ht="13">
      <c r="D763" s="49"/>
      <c r="E763" s="49"/>
      <c r="F763" s="49"/>
      <c r="J763" s="49"/>
    </row>
    <row r="764" spans="4:10" ht="13">
      <c r="D764" s="49"/>
      <c r="E764" s="49"/>
      <c r="F764" s="49"/>
      <c r="J764" s="49"/>
    </row>
    <row r="765" spans="4:10" ht="13">
      <c r="D765" s="49"/>
      <c r="E765" s="49"/>
      <c r="F765" s="49"/>
      <c r="J765" s="49"/>
    </row>
    <row r="766" spans="4:10" ht="13">
      <c r="D766" s="49"/>
      <c r="E766" s="49"/>
      <c r="F766" s="49"/>
      <c r="J766" s="49"/>
    </row>
    <row r="767" spans="4:10" ht="13">
      <c r="D767" s="49"/>
      <c r="E767" s="49"/>
      <c r="F767" s="49"/>
      <c r="J767" s="49"/>
    </row>
    <row r="768" spans="4:10" ht="13">
      <c r="D768" s="49"/>
      <c r="E768" s="49"/>
      <c r="F768" s="49"/>
      <c r="J768" s="49"/>
    </row>
    <row r="769" spans="4:10" ht="13">
      <c r="D769" s="49"/>
      <c r="E769" s="49"/>
      <c r="F769" s="49"/>
      <c r="J769" s="49"/>
    </row>
    <row r="770" spans="4:10" ht="13">
      <c r="D770" s="49"/>
      <c r="E770" s="49"/>
      <c r="F770" s="49"/>
      <c r="J770" s="49"/>
    </row>
    <row r="771" spans="4:10" ht="13">
      <c r="D771" s="49"/>
      <c r="E771" s="49"/>
      <c r="F771" s="49"/>
      <c r="J771" s="49"/>
    </row>
    <row r="772" spans="4:10" ht="13">
      <c r="D772" s="49"/>
      <c r="E772" s="49"/>
      <c r="F772" s="49"/>
      <c r="J772" s="49"/>
    </row>
    <row r="773" spans="4:10" ht="13">
      <c r="D773" s="49"/>
      <c r="E773" s="49"/>
      <c r="F773" s="49"/>
      <c r="J773" s="49"/>
    </row>
    <row r="774" spans="4:10" ht="13">
      <c r="D774" s="49"/>
      <c r="E774" s="49"/>
      <c r="F774" s="49"/>
      <c r="J774" s="49"/>
    </row>
    <row r="775" spans="4:10" ht="13">
      <c r="D775" s="49"/>
      <c r="E775" s="49"/>
      <c r="F775" s="49"/>
      <c r="J775" s="49"/>
    </row>
    <row r="776" spans="4:10" ht="13">
      <c r="D776" s="49"/>
      <c r="E776" s="49"/>
      <c r="F776" s="49"/>
      <c r="J776" s="49"/>
    </row>
    <row r="777" spans="4:10" ht="13">
      <c r="D777" s="49"/>
      <c r="E777" s="49"/>
      <c r="F777" s="49"/>
      <c r="J777" s="49"/>
    </row>
    <row r="778" spans="4:10" ht="13">
      <c r="D778" s="49"/>
      <c r="E778" s="49"/>
      <c r="F778" s="49"/>
      <c r="J778" s="49"/>
    </row>
    <row r="779" spans="4:10" ht="13">
      <c r="D779" s="49"/>
      <c r="E779" s="49"/>
      <c r="F779" s="49"/>
      <c r="J779" s="49"/>
    </row>
    <row r="780" spans="4:10" ht="13">
      <c r="D780" s="49"/>
      <c r="E780" s="49"/>
      <c r="F780" s="49"/>
      <c r="J780" s="49"/>
    </row>
    <row r="781" spans="4:10" ht="13">
      <c r="D781" s="49"/>
      <c r="E781" s="49"/>
      <c r="F781" s="49"/>
      <c r="J781" s="49"/>
    </row>
    <row r="782" spans="4:10" ht="13">
      <c r="D782" s="49"/>
      <c r="E782" s="49"/>
      <c r="F782" s="49"/>
      <c r="J782" s="49"/>
    </row>
    <row r="783" spans="4:10" ht="13">
      <c r="D783" s="49"/>
      <c r="E783" s="49"/>
      <c r="F783" s="49"/>
      <c r="J783" s="49"/>
    </row>
    <row r="784" spans="4:10" ht="13">
      <c r="D784" s="49"/>
      <c r="E784" s="49"/>
      <c r="F784" s="49"/>
      <c r="J784" s="49"/>
    </row>
    <row r="785" spans="4:10" ht="13">
      <c r="D785" s="49"/>
      <c r="E785" s="49"/>
      <c r="F785" s="49"/>
      <c r="J785" s="49"/>
    </row>
    <row r="786" spans="4:10" ht="13">
      <c r="D786" s="49"/>
      <c r="E786" s="49"/>
      <c r="F786" s="49"/>
      <c r="J786" s="49"/>
    </row>
    <row r="787" spans="4:10" ht="13">
      <c r="D787" s="49"/>
      <c r="E787" s="49"/>
      <c r="F787" s="49"/>
      <c r="J787" s="49"/>
    </row>
    <row r="788" spans="4:10" ht="13">
      <c r="D788" s="49"/>
      <c r="E788" s="49"/>
      <c r="F788" s="49"/>
      <c r="J788" s="49"/>
    </row>
    <row r="789" spans="4:10" ht="13">
      <c r="D789" s="49"/>
      <c r="E789" s="49"/>
      <c r="F789" s="49"/>
      <c r="J789" s="49"/>
    </row>
    <row r="790" spans="4:10" ht="13">
      <c r="D790" s="49"/>
      <c r="E790" s="49"/>
      <c r="F790" s="49"/>
      <c r="J790" s="49"/>
    </row>
    <row r="791" spans="4:10" ht="13">
      <c r="D791" s="49"/>
      <c r="E791" s="49"/>
      <c r="F791" s="49"/>
      <c r="J791" s="49"/>
    </row>
    <row r="792" spans="4:10" ht="13">
      <c r="D792" s="49"/>
      <c r="E792" s="49"/>
      <c r="F792" s="49"/>
      <c r="J792" s="49"/>
    </row>
    <row r="793" spans="4:10" ht="13">
      <c r="D793" s="49"/>
      <c r="E793" s="49"/>
      <c r="F793" s="49"/>
      <c r="J793" s="49"/>
    </row>
    <row r="794" spans="4:10" ht="13">
      <c r="D794" s="49"/>
      <c r="E794" s="49"/>
      <c r="F794" s="49"/>
      <c r="J794" s="49"/>
    </row>
    <row r="795" spans="4:10" ht="13">
      <c r="D795" s="49"/>
      <c r="E795" s="49"/>
      <c r="F795" s="49"/>
      <c r="J795" s="49"/>
    </row>
    <row r="796" spans="4:10" ht="13">
      <c r="D796" s="49"/>
      <c r="E796" s="49"/>
      <c r="F796" s="49"/>
      <c r="J796" s="49"/>
    </row>
    <row r="797" spans="4:10" ht="13">
      <c r="D797" s="49"/>
      <c r="E797" s="49"/>
      <c r="F797" s="49"/>
      <c r="J797" s="49"/>
    </row>
    <row r="798" spans="4:10" ht="13">
      <c r="D798" s="49"/>
      <c r="E798" s="49"/>
      <c r="F798" s="49"/>
      <c r="J798" s="49"/>
    </row>
    <row r="799" spans="4:10" ht="13">
      <c r="D799" s="49"/>
      <c r="E799" s="49"/>
      <c r="F799" s="49"/>
      <c r="J799" s="49"/>
    </row>
    <row r="800" spans="4:10" ht="13">
      <c r="D800" s="49"/>
      <c r="E800" s="49"/>
      <c r="F800" s="49"/>
      <c r="J800" s="49"/>
    </row>
    <row r="801" spans="4:10" ht="13">
      <c r="D801" s="49"/>
      <c r="E801" s="49"/>
      <c r="F801" s="49"/>
      <c r="J801" s="49"/>
    </row>
    <row r="802" spans="4:10" ht="13">
      <c r="D802" s="49"/>
      <c r="E802" s="49"/>
      <c r="F802" s="49"/>
      <c r="J802" s="49"/>
    </row>
    <row r="803" spans="4:10" ht="13">
      <c r="D803" s="49"/>
      <c r="E803" s="49"/>
      <c r="F803" s="49"/>
      <c r="J803" s="49"/>
    </row>
    <row r="804" spans="4:10" ht="13">
      <c r="D804" s="49"/>
      <c r="E804" s="49"/>
      <c r="F804" s="49"/>
      <c r="J804" s="49"/>
    </row>
    <row r="805" spans="4:10" ht="13">
      <c r="D805" s="49"/>
      <c r="E805" s="49"/>
      <c r="F805" s="49"/>
      <c r="J805" s="49"/>
    </row>
    <row r="806" spans="4:10" ht="13">
      <c r="D806" s="49"/>
      <c r="E806" s="49"/>
      <c r="F806" s="49"/>
      <c r="J806" s="49"/>
    </row>
    <row r="807" spans="4:10" ht="13">
      <c r="D807" s="49"/>
      <c r="E807" s="49"/>
      <c r="F807" s="49"/>
      <c r="J807" s="49"/>
    </row>
    <row r="808" spans="4:10" ht="13">
      <c r="D808" s="49"/>
      <c r="E808" s="49"/>
      <c r="F808" s="49"/>
      <c r="J808" s="49"/>
    </row>
    <row r="809" spans="4:10" ht="13">
      <c r="D809" s="49"/>
      <c r="E809" s="49"/>
      <c r="F809" s="49"/>
      <c r="J809" s="49"/>
    </row>
    <row r="810" spans="4:10" ht="13">
      <c r="D810" s="49"/>
      <c r="E810" s="49"/>
      <c r="F810" s="49"/>
      <c r="J810" s="49"/>
    </row>
    <row r="811" spans="4:10" ht="13">
      <c r="D811" s="49"/>
      <c r="E811" s="49"/>
      <c r="F811" s="49"/>
      <c r="J811" s="49"/>
    </row>
    <row r="812" spans="4:10" ht="13">
      <c r="D812" s="49"/>
      <c r="E812" s="49"/>
      <c r="F812" s="49"/>
      <c r="J812" s="49"/>
    </row>
    <row r="813" spans="4:10" ht="13">
      <c r="D813" s="49"/>
      <c r="E813" s="49"/>
      <c r="F813" s="49"/>
      <c r="J813" s="49"/>
    </row>
    <row r="814" spans="4:10" ht="13">
      <c r="D814" s="49"/>
      <c r="E814" s="49"/>
      <c r="F814" s="49"/>
      <c r="J814" s="49"/>
    </row>
    <row r="815" spans="4:10" ht="13">
      <c r="D815" s="49"/>
      <c r="E815" s="49"/>
      <c r="F815" s="49"/>
      <c r="J815" s="49"/>
    </row>
    <row r="816" spans="4:10" ht="13">
      <c r="D816" s="49"/>
      <c r="E816" s="49"/>
      <c r="F816" s="49"/>
      <c r="J816" s="49"/>
    </row>
    <row r="817" spans="4:10" ht="13">
      <c r="D817" s="49"/>
      <c r="E817" s="49"/>
      <c r="F817" s="49"/>
      <c r="J817" s="49"/>
    </row>
    <row r="818" spans="4:10" ht="13">
      <c r="D818" s="49"/>
      <c r="E818" s="49"/>
      <c r="F818" s="49"/>
      <c r="J818" s="49"/>
    </row>
    <row r="819" spans="4:10" ht="13">
      <c r="D819" s="49"/>
      <c r="E819" s="49"/>
      <c r="F819" s="49"/>
      <c r="J819" s="49"/>
    </row>
    <row r="820" spans="4:10" ht="13">
      <c r="D820" s="49"/>
      <c r="E820" s="49"/>
      <c r="F820" s="49"/>
      <c r="J820" s="49"/>
    </row>
    <row r="821" spans="4:10" ht="13">
      <c r="D821" s="49"/>
      <c r="E821" s="49"/>
      <c r="F821" s="49"/>
      <c r="J821" s="49"/>
    </row>
    <row r="822" spans="4:10" ht="13">
      <c r="D822" s="49"/>
      <c r="E822" s="49"/>
      <c r="F822" s="49"/>
      <c r="J822" s="49"/>
    </row>
    <row r="823" spans="4:10" ht="13">
      <c r="D823" s="49"/>
      <c r="E823" s="49"/>
      <c r="F823" s="49"/>
      <c r="J823" s="49"/>
    </row>
    <row r="824" spans="4:10" ht="13">
      <c r="D824" s="49"/>
      <c r="E824" s="49"/>
      <c r="F824" s="49"/>
      <c r="J824" s="49"/>
    </row>
    <row r="825" spans="4:10" ht="13">
      <c r="D825" s="49"/>
      <c r="E825" s="49"/>
      <c r="F825" s="49"/>
      <c r="J825" s="49"/>
    </row>
    <row r="826" spans="4:10" ht="13">
      <c r="D826" s="49"/>
      <c r="E826" s="49"/>
      <c r="F826" s="49"/>
      <c r="J826" s="49"/>
    </row>
    <row r="827" spans="4:10" ht="13">
      <c r="D827" s="49"/>
      <c r="E827" s="49"/>
      <c r="F827" s="49"/>
      <c r="J827" s="49"/>
    </row>
    <row r="828" spans="4:10" ht="13">
      <c r="D828" s="49"/>
      <c r="E828" s="49"/>
      <c r="F828" s="49"/>
      <c r="J828" s="49"/>
    </row>
    <row r="829" spans="4:10" ht="13">
      <c r="D829" s="49"/>
      <c r="E829" s="49"/>
      <c r="F829" s="49"/>
      <c r="J829" s="49"/>
    </row>
    <row r="830" spans="4:10" ht="13">
      <c r="D830" s="49"/>
      <c r="E830" s="49"/>
      <c r="F830" s="49"/>
      <c r="J830" s="49"/>
    </row>
    <row r="831" spans="4:10" ht="13">
      <c r="D831" s="49"/>
      <c r="E831" s="49"/>
      <c r="F831" s="49"/>
      <c r="J831" s="49"/>
    </row>
    <row r="832" spans="4:10" ht="13">
      <c r="D832" s="49"/>
      <c r="E832" s="49"/>
      <c r="F832" s="49"/>
      <c r="J832" s="49"/>
    </row>
    <row r="833" spans="4:10" ht="13">
      <c r="D833" s="49"/>
      <c r="E833" s="49"/>
      <c r="F833" s="49"/>
      <c r="J833" s="49"/>
    </row>
    <row r="834" spans="4:10" ht="13">
      <c r="D834" s="49"/>
      <c r="E834" s="49"/>
      <c r="F834" s="49"/>
      <c r="J834" s="49"/>
    </row>
    <row r="835" spans="4:10" ht="13">
      <c r="D835" s="49"/>
      <c r="E835" s="49"/>
      <c r="F835" s="49"/>
      <c r="J835" s="49"/>
    </row>
    <row r="836" spans="4:10" ht="13">
      <c r="D836" s="49"/>
      <c r="E836" s="49"/>
      <c r="F836" s="49"/>
      <c r="J836" s="49"/>
    </row>
    <row r="837" spans="4:10" ht="13">
      <c r="D837" s="49"/>
      <c r="E837" s="49"/>
      <c r="F837" s="49"/>
      <c r="J837" s="49"/>
    </row>
    <row r="838" spans="4:10" ht="13">
      <c r="D838" s="49"/>
      <c r="E838" s="49"/>
      <c r="F838" s="49"/>
      <c r="J838" s="49"/>
    </row>
    <row r="839" spans="4:10" ht="13">
      <c r="D839" s="49"/>
      <c r="E839" s="49"/>
      <c r="F839" s="49"/>
      <c r="J839" s="49"/>
    </row>
    <row r="840" spans="4:10" ht="13">
      <c r="D840" s="49"/>
      <c r="E840" s="49"/>
      <c r="F840" s="49"/>
      <c r="J840" s="49"/>
    </row>
    <row r="841" spans="4:10" ht="13">
      <c r="D841" s="49"/>
      <c r="E841" s="49"/>
      <c r="F841" s="49"/>
      <c r="J841" s="49"/>
    </row>
    <row r="842" spans="4:10" ht="13">
      <c r="D842" s="49"/>
      <c r="E842" s="49"/>
      <c r="F842" s="49"/>
      <c r="J842" s="49"/>
    </row>
    <row r="843" spans="4:10" ht="13">
      <c r="D843" s="49"/>
      <c r="E843" s="49"/>
      <c r="F843" s="49"/>
      <c r="J843" s="49"/>
    </row>
    <row r="844" spans="4:10" ht="13">
      <c r="D844" s="49"/>
      <c r="E844" s="49"/>
      <c r="F844" s="49"/>
      <c r="J844" s="49"/>
    </row>
    <row r="845" spans="4:10" ht="13">
      <c r="D845" s="49"/>
      <c r="E845" s="49"/>
      <c r="F845" s="49"/>
      <c r="J845" s="49"/>
    </row>
    <row r="846" spans="4:10" ht="13">
      <c r="D846" s="49"/>
      <c r="E846" s="49"/>
      <c r="F846" s="49"/>
      <c r="J846" s="49"/>
    </row>
    <row r="847" spans="4:10" ht="13">
      <c r="D847" s="49"/>
      <c r="E847" s="49"/>
      <c r="F847" s="49"/>
      <c r="J847" s="49"/>
    </row>
    <row r="848" spans="4:10" ht="13">
      <c r="D848" s="49"/>
      <c r="E848" s="49"/>
      <c r="F848" s="49"/>
      <c r="J848" s="49"/>
    </row>
    <row r="849" spans="4:10" ht="13">
      <c r="D849" s="49"/>
      <c r="E849" s="49"/>
      <c r="F849" s="49"/>
      <c r="J849" s="49"/>
    </row>
    <row r="850" spans="4:10" ht="13">
      <c r="D850" s="49"/>
      <c r="E850" s="49"/>
      <c r="F850" s="49"/>
      <c r="J850" s="49"/>
    </row>
    <row r="851" spans="4:10" ht="13">
      <c r="D851" s="49"/>
      <c r="E851" s="49"/>
      <c r="F851" s="49"/>
      <c r="J851" s="49"/>
    </row>
    <row r="852" spans="4:10" ht="13">
      <c r="D852" s="49"/>
      <c r="E852" s="49"/>
      <c r="F852" s="49"/>
      <c r="J852" s="49"/>
    </row>
    <row r="853" spans="4:10" ht="13">
      <c r="D853" s="49"/>
      <c r="E853" s="49"/>
      <c r="F853" s="49"/>
      <c r="J853" s="49"/>
    </row>
    <row r="854" spans="4:10" ht="13">
      <c r="D854" s="49"/>
      <c r="E854" s="49"/>
      <c r="F854" s="49"/>
      <c r="J854" s="49"/>
    </row>
    <row r="855" spans="4:10" ht="13">
      <c r="D855" s="49"/>
      <c r="E855" s="49"/>
      <c r="F855" s="49"/>
      <c r="J855" s="49"/>
    </row>
    <row r="856" spans="4:10" ht="13">
      <c r="D856" s="49"/>
      <c r="E856" s="49"/>
      <c r="F856" s="49"/>
      <c r="J856" s="49"/>
    </row>
    <row r="857" spans="4:10" ht="13">
      <c r="D857" s="49"/>
      <c r="E857" s="49"/>
      <c r="F857" s="49"/>
      <c r="J857" s="49"/>
    </row>
    <row r="858" spans="4:10" ht="13">
      <c r="D858" s="49"/>
      <c r="E858" s="49"/>
      <c r="F858" s="49"/>
      <c r="J858" s="49"/>
    </row>
    <row r="859" spans="4:10" ht="13">
      <c r="D859" s="49"/>
      <c r="E859" s="49"/>
      <c r="F859" s="49"/>
      <c r="J859" s="49"/>
    </row>
    <row r="860" spans="4:10" ht="13">
      <c r="D860" s="49"/>
      <c r="E860" s="49"/>
      <c r="F860" s="49"/>
      <c r="J860" s="49"/>
    </row>
    <row r="861" spans="4:10" ht="13">
      <c r="D861" s="49"/>
      <c r="E861" s="49"/>
      <c r="F861" s="49"/>
      <c r="J861" s="49"/>
    </row>
    <row r="862" spans="4:10" ht="13">
      <c r="D862" s="49"/>
      <c r="E862" s="49"/>
      <c r="F862" s="49"/>
      <c r="J862" s="49"/>
    </row>
    <row r="863" spans="4:10" ht="13">
      <c r="D863" s="49"/>
      <c r="E863" s="49"/>
      <c r="F863" s="49"/>
      <c r="J863" s="49"/>
    </row>
    <row r="864" spans="4:10" ht="13">
      <c r="D864" s="49"/>
      <c r="E864" s="49"/>
      <c r="F864" s="49"/>
      <c r="J864" s="49"/>
    </row>
    <row r="865" spans="4:10" ht="13">
      <c r="D865" s="49"/>
      <c r="E865" s="49"/>
      <c r="F865" s="49"/>
      <c r="J865" s="49"/>
    </row>
    <row r="866" spans="4:10" ht="13">
      <c r="D866" s="49"/>
      <c r="E866" s="49"/>
      <c r="F866" s="49"/>
      <c r="J866" s="49"/>
    </row>
    <row r="867" spans="4:10" ht="13">
      <c r="D867" s="49"/>
      <c r="E867" s="49"/>
      <c r="F867" s="49"/>
      <c r="J867" s="49"/>
    </row>
    <row r="868" spans="4:10" ht="13">
      <c r="D868" s="49"/>
      <c r="E868" s="49"/>
      <c r="F868" s="49"/>
      <c r="J868" s="49"/>
    </row>
    <row r="869" spans="4:10" ht="13">
      <c r="D869" s="49"/>
      <c r="E869" s="49"/>
      <c r="F869" s="49"/>
      <c r="J869" s="49"/>
    </row>
    <row r="870" spans="4:10" ht="13">
      <c r="D870" s="49"/>
      <c r="E870" s="49"/>
      <c r="F870" s="49"/>
      <c r="J870" s="49"/>
    </row>
    <row r="871" spans="4:10" ht="13">
      <c r="D871" s="49"/>
      <c r="E871" s="49"/>
      <c r="F871" s="49"/>
      <c r="J871" s="49"/>
    </row>
    <row r="872" spans="4:10" ht="13">
      <c r="D872" s="49"/>
      <c r="E872" s="49"/>
      <c r="F872" s="49"/>
      <c r="J872" s="49"/>
    </row>
    <row r="873" spans="4:10" ht="13">
      <c r="D873" s="49"/>
      <c r="E873" s="49"/>
      <c r="F873" s="49"/>
      <c r="J873" s="49"/>
    </row>
    <row r="874" spans="4:10" ht="13">
      <c r="D874" s="49"/>
      <c r="E874" s="49"/>
      <c r="F874" s="49"/>
      <c r="J874" s="49"/>
    </row>
    <row r="875" spans="4:10" ht="13">
      <c r="D875" s="49"/>
      <c r="E875" s="49"/>
      <c r="F875" s="49"/>
      <c r="J875" s="49"/>
    </row>
    <row r="876" spans="4:10" ht="13">
      <c r="D876" s="49"/>
      <c r="E876" s="49"/>
      <c r="F876" s="49"/>
      <c r="J876" s="49"/>
    </row>
    <row r="877" spans="4:10" ht="13">
      <c r="D877" s="49"/>
      <c r="E877" s="49"/>
      <c r="F877" s="49"/>
      <c r="J877" s="49"/>
    </row>
    <row r="878" spans="4:10" ht="13">
      <c r="D878" s="49"/>
      <c r="E878" s="49"/>
      <c r="F878" s="49"/>
      <c r="J878" s="49"/>
    </row>
    <row r="879" spans="4:10" ht="13">
      <c r="D879" s="49"/>
      <c r="E879" s="49"/>
      <c r="F879" s="49"/>
      <c r="J879" s="49"/>
    </row>
    <row r="880" spans="4:10" ht="13">
      <c r="D880" s="49"/>
      <c r="E880" s="49"/>
      <c r="F880" s="49"/>
      <c r="J880" s="49"/>
    </row>
    <row r="881" spans="4:10" ht="13">
      <c r="D881" s="49"/>
      <c r="E881" s="49"/>
      <c r="F881" s="49"/>
      <c r="J881" s="49"/>
    </row>
    <row r="882" spans="4:10" ht="13">
      <c r="D882" s="49"/>
      <c r="E882" s="49"/>
      <c r="F882" s="49"/>
      <c r="J882" s="49"/>
    </row>
    <row r="883" spans="4:10" ht="13">
      <c r="D883" s="49"/>
      <c r="E883" s="49"/>
      <c r="F883" s="49"/>
      <c r="J883" s="49"/>
    </row>
    <row r="884" spans="4:10" ht="13">
      <c r="D884" s="49"/>
      <c r="E884" s="49"/>
      <c r="F884" s="49"/>
      <c r="J884" s="49"/>
    </row>
    <row r="885" spans="4:10" ht="13">
      <c r="D885" s="49"/>
      <c r="E885" s="49"/>
      <c r="F885" s="49"/>
      <c r="J885" s="49"/>
    </row>
    <row r="886" spans="4:10" ht="13">
      <c r="D886" s="49"/>
      <c r="E886" s="49"/>
      <c r="F886" s="49"/>
      <c r="J886" s="49"/>
    </row>
    <row r="887" spans="4:10" ht="13">
      <c r="D887" s="49"/>
      <c r="E887" s="49"/>
      <c r="F887" s="49"/>
      <c r="J887" s="49"/>
    </row>
    <row r="888" spans="4:10" ht="13">
      <c r="D888" s="49"/>
      <c r="E888" s="49"/>
      <c r="F888" s="49"/>
      <c r="J888" s="49"/>
    </row>
    <row r="889" spans="4:10" ht="13">
      <c r="D889" s="49"/>
      <c r="E889" s="49"/>
      <c r="F889" s="49"/>
      <c r="J889" s="49"/>
    </row>
    <row r="890" spans="4:10" ht="13">
      <c r="D890" s="49"/>
      <c r="E890" s="49"/>
      <c r="F890" s="49"/>
      <c r="J890" s="49"/>
    </row>
    <row r="891" spans="4:10" ht="13">
      <c r="D891" s="49"/>
      <c r="E891" s="49"/>
      <c r="F891" s="49"/>
      <c r="J891" s="49"/>
    </row>
    <row r="892" spans="4:10" ht="13">
      <c r="D892" s="49"/>
      <c r="E892" s="49"/>
      <c r="F892" s="49"/>
      <c r="J892" s="49"/>
    </row>
    <row r="893" spans="4:10" ht="13">
      <c r="D893" s="49"/>
      <c r="E893" s="49"/>
      <c r="F893" s="49"/>
      <c r="J893" s="49"/>
    </row>
    <row r="894" spans="4:10" ht="13">
      <c r="D894" s="49"/>
      <c r="E894" s="49"/>
      <c r="F894" s="49"/>
      <c r="J894" s="49"/>
    </row>
    <row r="895" spans="4:10" ht="13">
      <c r="D895" s="49"/>
      <c r="E895" s="49"/>
      <c r="F895" s="49"/>
      <c r="J895" s="49"/>
    </row>
    <row r="896" spans="4:10" ht="13">
      <c r="D896" s="49"/>
      <c r="E896" s="49"/>
      <c r="F896" s="49"/>
      <c r="J896" s="49"/>
    </row>
    <row r="897" spans="4:10" ht="13">
      <c r="D897" s="49"/>
      <c r="E897" s="49"/>
      <c r="F897" s="49"/>
      <c r="J897" s="49"/>
    </row>
    <row r="898" spans="4:10" ht="13">
      <c r="D898" s="49"/>
      <c r="E898" s="49"/>
      <c r="F898" s="49"/>
      <c r="J898" s="49"/>
    </row>
    <row r="899" spans="4:10" ht="13">
      <c r="D899" s="49"/>
      <c r="E899" s="49"/>
      <c r="F899" s="49"/>
      <c r="J899" s="49"/>
    </row>
    <row r="900" spans="4:10" ht="13">
      <c r="D900" s="49"/>
      <c r="E900" s="49"/>
      <c r="F900" s="49"/>
      <c r="J900" s="49"/>
    </row>
    <row r="901" spans="4:10" ht="13">
      <c r="D901" s="49"/>
      <c r="E901" s="49"/>
      <c r="F901" s="49"/>
      <c r="J901" s="49"/>
    </row>
    <row r="902" spans="4:10" ht="13">
      <c r="D902" s="49"/>
      <c r="E902" s="49"/>
      <c r="F902" s="49"/>
      <c r="J902" s="49"/>
    </row>
    <row r="903" spans="4:10" ht="13">
      <c r="D903" s="49"/>
      <c r="E903" s="49"/>
      <c r="F903" s="49"/>
      <c r="J903" s="49"/>
    </row>
    <row r="904" spans="4:10" ht="13">
      <c r="D904" s="49"/>
      <c r="E904" s="49"/>
      <c r="F904" s="49"/>
      <c r="J904" s="49"/>
    </row>
    <row r="905" spans="4:10" ht="13">
      <c r="D905" s="49"/>
      <c r="E905" s="49"/>
      <c r="F905" s="49"/>
      <c r="J905" s="49"/>
    </row>
    <row r="906" spans="4:10" ht="13">
      <c r="D906" s="49"/>
      <c r="E906" s="49"/>
      <c r="F906" s="49"/>
      <c r="J906" s="49"/>
    </row>
    <row r="907" spans="4:10" ht="13">
      <c r="D907" s="49"/>
      <c r="E907" s="49"/>
      <c r="F907" s="49"/>
      <c r="J907" s="49"/>
    </row>
    <row r="908" spans="4:10" ht="13">
      <c r="D908" s="49"/>
      <c r="E908" s="49"/>
      <c r="F908" s="49"/>
      <c r="J908" s="49"/>
    </row>
    <row r="909" spans="4:10" ht="13">
      <c r="D909" s="49"/>
      <c r="E909" s="49"/>
      <c r="F909" s="49"/>
      <c r="J909" s="49"/>
    </row>
    <row r="910" spans="4:10" ht="13">
      <c r="D910" s="49"/>
      <c r="E910" s="49"/>
      <c r="F910" s="49"/>
      <c r="J910" s="49"/>
    </row>
    <row r="911" spans="4:10" ht="13">
      <c r="D911" s="49"/>
      <c r="E911" s="49"/>
      <c r="F911" s="49"/>
      <c r="J911" s="49"/>
    </row>
    <row r="912" spans="4:10" ht="13">
      <c r="D912" s="49"/>
      <c r="E912" s="49"/>
      <c r="F912" s="49"/>
      <c r="J912" s="49"/>
    </row>
    <row r="913" spans="4:10" ht="13">
      <c r="D913" s="49"/>
      <c r="E913" s="49"/>
      <c r="F913" s="49"/>
      <c r="J913" s="49"/>
    </row>
    <row r="914" spans="4:10" ht="13">
      <c r="D914" s="49"/>
      <c r="E914" s="49"/>
      <c r="F914" s="49"/>
      <c r="J914" s="49"/>
    </row>
    <row r="915" spans="4:10" ht="13">
      <c r="D915" s="49"/>
      <c r="E915" s="49"/>
      <c r="F915" s="49"/>
      <c r="J915" s="49"/>
    </row>
    <row r="916" spans="4:10" ht="13">
      <c r="D916" s="49"/>
      <c r="E916" s="49"/>
      <c r="F916" s="49"/>
      <c r="J916" s="49"/>
    </row>
    <row r="917" spans="4:10" ht="13">
      <c r="D917" s="49"/>
      <c r="E917" s="49"/>
      <c r="F917" s="49"/>
      <c r="J917" s="49"/>
    </row>
    <row r="918" spans="4:10" ht="13">
      <c r="D918" s="49"/>
      <c r="E918" s="49"/>
      <c r="F918" s="49"/>
      <c r="J918" s="49"/>
    </row>
    <row r="919" spans="4:10" ht="13">
      <c r="D919" s="49"/>
      <c r="E919" s="49"/>
      <c r="F919" s="49"/>
      <c r="J919" s="49"/>
    </row>
    <row r="920" spans="4:10" ht="13">
      <c r="D920" s="49"/>
      <c r="E920" s="49"/>
      <c r="F920" s="49"/>
      <c r="J920" s="49"/>
    </row>
    <row r="921" spans="4:10" ht="13">
      <c r="D921" s="49"/>
      <c r="E921" s="49"/>
      <c r="F921" s="49"/>
      <c r="J921" s="49"/>
    </row>
    <row r="922" spans="4:10" ht="13">
      <c r="D922" s="49"/>
      <c r="E922" s="49"/>
      <c r="F922" s="49"/>
      <c r="J922" s="49"/>
    </row>
    <row r="923" spans="4:10" ht="13">
      <c r="D923" s="49"/>
      <c r="E923" s="49"/>
      <c r="F923" s="49"/>
      <c r="J923" s="49"/>
    </row>
    <row r="924" spans="4:10" ht="13">
      <c r="D924" s="49"/>
      <c r="E924" s="49"/>
      <c r="F924" s="49"/>
      <c r="J924" s="49"/>
    </row>
    <row r="925" spans="4:10" ht="13">
      <c r="D925" s="49"/>
      <c r="E925" s="49"/>
      <c r="F925" s="49"/>
      <c r="J925" s="49"/>
    </row>
    <row r="926" spans="4:10" ht="13">
      <c r="D926" s="49"/>
      <c r="E926" s="49"/>
      <c r="F926" s="49"/>
      <c r="J926" s="49"/>
    </row>
    <row r="927" spans="4:10" ht="13">
      <c r="D927" s="49"/>
      <c r="E927" s="49"/>
      <c r="F927" s="49"/>
      <c r="J927" s="49"/>
    </row>
    <row r="928" spans="4:10" ht="13">
      <c r="D928" s="49"/>
      <c r="E928" s="49"/>
      <c r="F928" s="49"/>
      <c r="J928" s="49"/>
    </row>
    <row r="929" spans="4:10" ht="13">
      <c r="D929" s="49"/>
      <c r="E929" s="49"/>
      <c r="F929" s="49"/>
      <c r="J929" s="49"/>
    </row>
    <row r="930" spans="4:10" ht="13">
      <c r="D930" s="49"/>
      <c r="E930" s="49"/>
      <c r="F930" s="49"/>
      <c r="J930" s="49"/>
    </row>
    <row r="931" spans="4:10" ht="13">
      <c r="D931" s="49"/>
      <c r="E931" s="49"/>
      <c r="F931" s="49"/>
      <c r="J931" s="49"/>
    </row>
    <row r="932" spans="4:10" ht="13">
      <c r="D932" s="49"/>
      <c r="E932" s="49"/>
      <c r="F932" s="49"/>
      <c r="J932" s="49"/>
    </row>
    <row r="933" spans="4:10" ht="13">
      <c r="D933" s="49"/>
      <c r="E933" s="49"/>
      <c r="F933" s="49"/>
      <c r="J933" s="49"/>
    </row>
    <row r="934" spans="4:10" ht="13">
      <c r="D934" s="49"/>
      <c r="E934" s="49"/>
      <c r="F934" s="49"/>
      <c r="J934" s="49"/>
    </row>
    <row r="935" spans="4:10" ht="13">
      <c r="D935" s="49"/>
      <c r="E935" s="49"/>
      <c r="F935" s="49"/>
      <c r="J935" s="49"/>
    </row>
    <row r="936" spans="4:10" ht="13">
      <c r="D936" s="49"/>
      <c r="E936" s="49"/>
      <c r="F936" s="49"/>
      <c r="J936" s="49"/>
    </row>
    <row r="937" spans="4:10" ht="13">
      <c r="D937" s="49"/>
      <c r="E937" s="49"/>
      <c r="F937" s="49"/>
      <c r="J937" s="49"/>
    </row>
    <row r="938" spans="4:10" ht="13">
      <c r="D938" s="49"/>
      <c r="E938" s="49"/>
      <c r="F938" s="49"/>
      <c r="J938" s="49"/>
    </row>
    <row r="939" spans="4:10" ht="13">
      <c r="D939" s="49"/>
      <c r="E939" s="49"/>
      <c r="F939" s="49"/>
      <c r="J939" s="49"/>
    </row>
    <row r="940" spans="4:10" ht="13">
      <c r="D940" s="49"/>
      <c r="E940" s="49"/>
      <c r="F940" s="49"/>
      <c r="J940" s="49"/>
    </row>
    <row r="941" spans="4:10" ht="13">
      <c r="D941" s="49"/>
      <c r="E941" s="49"/>
      <c r="F941" s="49"/>
      <c r="J941" s="49"/>
    </row>
    <row r="942" spans="4:10" ht="13">
      <c r="D942" s="49"/>
      <c r="E942" s="49"/>
      <c r="F942" s="49"/>
      <c r="J942" s="49"/>
    </row>
    <row r="943" spans="4:10" ht="13">
      <c r="D943" s="49"/>
      <c r="E943" s="49"/>
      <c r="F943" s="49"/>
      <c r="J943" s="49"/>
    </row>
    <row r="944" spans="4:10" ht="13">
      <c r="D944" s="49"/>
      <c r="E944" s="49"/>
      <c r="F944" s="49"/>
      <c r="J944" s="49"/>
    </row>
    <row r="945" spans="4:10" ht="13">
      <c r="D945" s="49"/>
      <c r="E945" s="49"/>
      <c r="F945" s="49"/>
      <c r="J945" s="49"/>
    </row>
    <row r="946" spans="4:10" ht="13">
      <c r="D946" s="49"/>
      <c r="E946" s="49"/>
      <c r="F946" s="49"/>
      <c r="J946" s="49"/>
    </row>
    <row r="947" spans="4:10" ht="13">
      <c r="D947" s="49"/>
      <c r="E947" s="49"/>
      <c r="F947" s="49"/>
      <c r="J947" s="49"/>
    </row>
    <row r="948" spans="4:10" ht="13">
      <c r="D948" s="49"/>
      <c r="E948" s="49"/>
      <c r="F948" s="49"/>
      <c r="J948" s="49"/>
    </row>
    <row r="949" spans="4:10" ht="13">
      <c r="D949" s="49"/>
      <c r="E949" s="49"/>
      <c r="F949" s="49"/>
      <c r="J949" s="49"/>
    </row>
    <row r="950" spans="4:10" ht="13">
      <c r="D950" s="49"/>
      <c r="E950" s="49"/>
      <c r="F950" s="49"/>
      <c r="J950" s="49"/>
    </row>
    <row r="951" spans="4:10" ht="13">
      <c r="D951" s="49"/>
      <c r="E951" s="49"/>
      <c r="F951" s="49"/>
      <c r="J951" s="49"/>
    </row>
    <row r="952" spans="4:10" ht="13">
      <c r="D952" s="49"/>
      <c r="E952" s="49"/>
      <c r="F952" s="49"/>
      <c r="J952" s="49"/>
    </row>
    <row r="953" spans="4:10" ht="13">
      <c r="D953" s="49"/>
      <c r="E953" s="49"/>
      <c r="F953" s="49"/>
      <c r="J953" s="49"/>
    </row>
    <row r="954" spans="4:10" ht="13">
      <c r="D954" s="49"/>
      <c r="E954" s="49"/>
      <c r="F954" s="49"/>
      <c r="J954" s="49"/>
    </row>
    <row r="955" spans="4:10" ht="13">
      <c r="D955" s="49"/>
      <c r="E955" s="49"/>
      <c r="F955" s="49"/>
      <c r="J955" s="49"/>
    </row>
    <row r="956" spans="4:10" ht="13">
      <c r="D956" s="49"/>
      <c r="E956" s="49"/>
      <c r="F956" s="49"/>
      <c r="J956" s="49"/>
    </row>
    <row r="957" spans="4:10" ht="13">
      <c r="D957" s="49"/>
      <c r="E957" s="49"/>
      <c r="F957" s="49"/>
      <c r="J957" s="49"/>
    </row>
    <row r="958" spans="4:10" ht="13">
      <c r="D958" s="49"/>
      <c r="E958" s="49"/>
      <c r="F958" s="49"/>
      <c r="J958" s="49"/>
    </row>
    <row r="959" spans="4:10" ht="13">
      <c r="D959" s="49"/>
      <c r="E959" s="49"/>
      <c r="F959" s="49"/>
      <c r="J959" s="49"/>
    </row>
    <row r="960" spans="4:10" ht="13">
      <c r="D960" s="49"/>
      <c r="E960" s="49"/>
      <c r="F960" s="49"/>
      <c r="J960" s="49"/>
    </row>
    <row r="961" spans="4:10" ht="13">
      <c r="D961" s="49"/>
      <c r="E961" s="49"/>
      <c r="F961" s="49"/>
      <c r="J961" s="49"/>
    </row>
    <row r="962" spans="4:10" ht="13">
      <c r="D962" s="49"/>
      <c r="E962" s="49"/>
      <c r="F962" s="49"/>
      <c r="J962" s="49"/>
    </row>
    <row r="963" spans="4:10" ht="13">
      <c r="D963" s="49"/>
      <c r="E963" s="49"/>
      <c r="F963" s="49"/>
      <c r="J963" s="49"/>
    </row>
    <row r="964" spans="4:10" ht="13">
      <c r="D964" s="49"/>
      <c r="E964" s="49"/>
      <c r="F964" s="49"/>
      <c r="J964" s="49"/>
    </row>
    <row r="965" spans="4:10" ht="13">
      <c r="D965" s="49"/>
      <c r="E965" s="49"/>
      <c r="F965" s="49"/>
      <c r="J965" s="49"/>
    </row>
    <row r="966" spans="4:10" ht="13">
      <c r="D966" s="49"/>
      <c r="E966" s="49"/>
      <c r="F966" s="49"/>
      <c r="J966" s="49"/>
    </row>
    <row r="967" spans="4:10" ht="13">
      <c r="D967" s="49"/>
      <c r="E967" s="49"/>
      <c r="F967" s="49"/>
      <c r="J967" s="49"/>
    </row>
    <row r="968" spans="4:10" ht="13">
      <c r="D968" s="49"/>
      <c r="E968" s="49"/>
      <c r="F968" s="49"/>
      <c r="J968" s="49"/>
    </row>
    <row r="969" spans="4:10" ht="13">
      <c r="D969" s="49"/>
      <c r="E969" s="49"/>
      <c r="F969" s="49"/>
      <c r="J969" s="49"/>
    </row>
    <row r="970" spans="4:10" ht="13">
      <c r="D970" s="49"/>
      <c r="E970" s="49"/>
      <c r="F970" s="49"/>
      <c r="J970" s="49"/>
    </row>
    <row r="971" spans="4:10" ht="13">
      <c r="D971" s="49"/>
      <c r="E971" s="49"/>
      <c r="F971" s="49"/>
      <c r="J971" s="49"/>
    </row>
    <row r="972" spans="4:10" ht="13">
      <c r="D972" s="49"/>
      <c r="E972" s="49"/>
      <c r="F972" s="49"/>
      <c r="J972" s="49"/>
    </row>
    <row r="973" spans="4:10" ht="13">
      <c r="D973" s="49"/>
      <c r="E973" s="49"/>
      <c r="F973" s="49"/>
      <c r="J973" s="49"/>
    </row>
    <row r="974" spans="4:10" ht="13">
      <c r="D974" s="49"/>
      <c r="E974" s="49"/>
      <c r="F974" s="49"/>
      <c r="J974" s="49"/>
    </row>
    <row r="975" spans="4:10" ht="13">
      <c r="D975" s="49"/>
      <c r="E975" s="49"/>
      <c r="F975" s="49"/>
      <c r="J975" s="49"/>
    </row>
    <row r="976" spans="4:10" ht="13">
      <c r="D976" s="49"/>
      <c r="E976" s="49"/>
      <c r="F976" s="49"/>
      <c r="J976" s="49"/>
    </row>
    <row r="977" spans="4:10" ht="13">
      <c r="D977" s="49"/>
      <c r="E977" s="49"/>
      <c r="F977" s="49"/>
      <c r="J977" s="49"/>
    </row>
    <row r="978" spans="4:10" ht="13">
      <c r="D978" s="49"/>
      <c r="E978" s="49"/>
      <c r="F978" s="49"/>
      <c r="J978" s="49"/>
    </row>
    <row r="979" spans="4:10" ht="13">
      <c r="D979" s="49"/>
      <c r="E979" s="49"/>
      <c r="F979" s="49"/>
      <c r="J979" s="49"/>
    </row>
    <row r="980" spans="4:10" ht="13">
      <c r="D980" s="49"/>
      <c r="E980" s="49"/>
      <c r="F980" s="49"/>
      <c r="J980" s="49"/>
    </row>
    <row r="981" spans="4:10" ht="13">
      <c r="D981" s="49"/>
      <c r="E981" s="49"/>
      <c r="F981" s="49"/>
      <c r="J981" s="49"/>
    </row>
    <row r="982" spans="4:10" ht="13">
      <c r="D982" s="49"/>
      <c r="E982" s="49"/>
      <c r="F982" s="49"/>
      <c r="J982" s="49"/>
    </row>
    <row r="983" spans="4:10" ht="13">
      <c r="D983" s="49"/>
      <c r="E983" s="49"/>
      <c r="F983" s="49"/>
      <c r="J983" s="49"/>
    </row>
    <row r="984" spans="4:10" ht="13">
      <c r="D984" s="49"/>
      <c r="E984" s="49"/>
      <c r="F984" s="49"/>
      <c r="J984" s="49"/>
    </row>
    <row r="985" spans="4:10" ht="13">
      <c r="D985" s="49"/>
      <c r="E985" s="49"/>
      <c r="F985" s="49"/>
      <c r="J985" s="49"/>
    </row>
    <row r="986" spans="4:10" ht="13">
      <c r="D986" s="49"/>
      <c r="E986" s="49"/>
      <c r="F986" s="49"/>
      <c r="J986" s="49"/>
    </row>
    <row r="987" spans="4:10" ht="13">
      <c r="D987" s="49"/>
      <c r="E987" s="49"/>
      <c r="F987" s="49"/>
      <c r="J987" s="49"/>
    </row>
    <row r="988" spans="4:10" ht="13">
      <c r="D988" s="49"/>
      <c r="E988" s="49"/>
      <c r="F988" s="49"/>
      <c r="J988" s="49"/>
    </row>
    <row r="989" spans="4:10" ht="13">
      <c r="D989" s="49"/>
      <c r="E989" s="49"/>
      <c r="F989" s="49"/>
      <c r="J989" s="49"/>
    </row>
    <row r="990" spans="4:10" ht="13">
      <c r="D990" s="49"/>
      <c r="E990" s="49"/>
      <c r="F990" s="49"/>
      <c r="J990" s="49"/>
    </row>
    <row r="991" spans="4:10" ht="13">
      <c r="D991" s="49"/>
      <c r="E991" s="49"/>
      <c r="F991" s="49"/>
      <c r="J991" s="49"/>
    </row>
    <row r="992" spans="4:10" ht="13">
      <c r="D992" s="49"/>
      <c r="E992" s="49"/>
      <c r="F992" s="49"/>
      <c r="J992" s="49"/>
    </row>
    <row r="993" spans="4:10" ht="13">
      <c r="D993" s="49"/>
      <c r="E993" s="49"/>
      <c r="F993" s="49"/>
      <c r="J993" s="49"/>
    </row>
    <row r="994" spans="4:10" ht="13">
      <c r="D994" s="49"/>
      <c r="E994" s="49"/>
      <c r="F994" s="49"/>
      <c r="J994" s="49"/>
    </row>
    <row r="995" spans="4:10" ht="13">
      <c r="D995" s="49"/>
      <c r="E995" s="49"/>
      <c r="F995" s="49"/>
      <c r="J995" s="49"/>
    </row>
    <row r="996" spans="4:10" ht="13">
      <c r="D996" s="49"/>
      <c r="E996" s="49"/>
      <c r="F996" s="49"/>
      <c r="J996" s="49"/>
    </row>
    <row r="997" spans="4:10" ht="13">
      <c r="D997" s="49"/>
      <c r="E997" s="49"/>
      <c r="F997" s="49"/>
      <c r="J997" s="49"/>
    </row>
    <row r="998" spans="4:10" ht="13">
      <c r="D998" s="49"/>
      <c r="E998" s="49"/>
      <c r="F998" s="49"/>
      <c r="J998" s="49"/>
    </row>
    <row r="999" spans="4:10" ht="13">
      <c r="D999" s="49"/>
      <c r="E999" s="49"/>
      <c r="F999" s="49"/>
      <c r="J999" s="49"/>
    </row>
    <row r="1000" spans="4:10" ht="13">
      <c r="D1000" s="49"/>
      <c r="E1000" s="49"/>
      <c r="F1000" s="49"/>
      <c r="J1000" s="49"/>
    </row>
  </sheetData>
  <mergeCells count="2">
    <mergeCell ref="A1:G1"/>
    <mergeCell ref="H1:K1"/>
  </mergeCells>
  <conditionalFormatting sqref="A1:A1000">
    <cfRule type="containsText" dxfId="4" priority="1" operator="containsText" text="Unassigned">
      <formula>NOT(ISERROR(SEARCH(("Unassigned"),(A1))))</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D1311"/>
  <sheetViews>
    <sheetView workbookViewId="0"/>
  </sheetViews>
  <sheetFormatPr baseColWidth="10" defaultColWidth="14.5" defaultRowHeight="15.75" customHeight="1"/>
  <cols>
    <col min="1" max="1" width="22" customWidth="1"/>
    <col min="2" max="2" width="25.33203125" customWidth="1"/>
    <col min="3" max="3" width="31.1640625" customWidth="1"/>
    <col min="4" max="4" width="15.1640625" customWidth="1"/>
    <col min="5" max="5" width="16.5" customWidth="1"/>
    <col min="6" max="6" width="21.6640625" customWidth="1"/>
    <col min="7" max="7" width="22.83203125" customWidth="1"/>
    <col min="8" max="8" width="21.1640625" customWidth="1"/>
    <col min="9" max="9" width="25.5" customWidth="1"/>
    <col min="10" max="10" width="23.5" customWidth="1"/>
    <col min="11" max="11" width="29.33203125" customWidth="1"/>
    <col min="12" max="12" width="23.33203125" customWidth="1"/>
    <col min="13" max="13" width="24.5" customWidth="1"/>
    <col min="14" max="14" width="32.1640625" customWidth="1"/>
  </cols>
  <sheetData>
    <row r="1" spans="1:30" ht="17">
      <c r="A1" s="128" t="s">
        <v>58</v>
      </c>
      <c r="B1" s="128" t="s">
        <v>81</v>
      </c>
      <c r="C1" s="128" t="s">
        <v>363</v>
      </c>
      <c r="D1" s="129" t="s">
        <v>364</v>
      </c>
      <c r="E1" s="129" t="s">
        <v>365</v>
      </c>
      <c r="F1" s="130" t="s">
        <v>333</v>
      </c>
      <c r="G1" s="130" t="s">
        <v>76</v>
      </c>
      <c r="H1" s="131" t="s">
        <v>366</v>
      </c>
      <c r="I1" s="131" t="s">
        <v>367</v>
      </c>
      <c r="J1" s="131" t="s">
        <v>368</v>
      </c>
      <c r="K1" s="131" t="s">
        <v>369</v>
      </c>
      <c r="L1" s="131" t="s">
        <v>370</v>
      </c>
      <c r="M1" s="131" t="s">
        <v>102</v>
      </c>
      <c r="N1" s="132"/>
      <c r="O1" s="132"/>
      <c r="P1" s="132"/>
      <c r="Q1" s="132"/>
      <c r="R1" s="132"/>
      <c r="S1" s="132"/>
      <c r="T1" s="132"/>
      <c r="U1" s="132"/>
      <c r="V1" s="132"/>
      <c r="W1" s="132"/>
      <c r="X1" s="132"/>
      <c r="Y1" s="132"/>
      <c r="Z1" s="132"/>
      <c r="AA1" s="132"/>
      <c r="AB1" s="132"/>
      <c r="AC1" s="132"/>
      <c r="AD1" s="132"/>
    </row>
    <row r="2" spans="1:30" ht="14">
      <c r="A2" s="133">
        <f ca="1">IFERROR(__xludf.DUMMYFUNCTION("FILTER(Assignments!A3:A1311, Assignments!E3:E1311=""Yes"")"),43446.6507934143)</f>
        <v>43446.650793414301</v>
      </c>
      <c r="B2" s="134" t="str">
        <f ca="1">IFERROR(__xludf.DUMMYFUNCTION("FILTER(Assignments!L3:L1311, Assignments!E3:E1311=""Yes"")"),"Xiaodong Wang")</f>
        <v>Xiaodong Wang</v>
      </c>
      <c r="C2" s="134" t="str">
        <f ca="1">IFERROR(__xludf.DUMMYFUNCTION("FILTER(Assignments!M3:M1311, Assignments!E3:E1311=""Yes"")"),"xdwang@ciphergene.com")</f>
        <v>xdwang@ciphergene.com</v>
      </c>
      <c r="D2" s="134" t="str">
        <f ca="1">IFERROR(__xludf.DUMMYFUNCTION("FILTER(Assignments!B3:B1311,Assignments!E3:E1311=""Yes"")"),"Contacted")</f>
        <v>Contacted</v>
      </c>
      <c r="E2" s="135">
        <f ca="1">IFERROR(__xludf.DUMMYFUNCTION("filter(Assignments!D3:D1311,Assignments!E3:E1311=""Yes"")"),43570)</f>
        <v>43570</v>
      </c>
      <c r="F2" s="136" t="str">
        <f ca="1">IFERROR(__xludf.DUMMYFUNCTION("filter(Assignments!F3:F1311, Assignments!E3:E1311=""Yes"")"),"Yes")</f>
        <v>Yes</v>
      </c>
      <c r="G2" s="62" t="str">
        <f ca="1">IFERROR(__xludf.DUMMYFUNCTION("filter(Assignments!G3:G1311,Assignments!E3:E1311=""Yes"")"),"Gene Disease Validity")</f>
        <v>Gene Disease Validity</v>
      </c>
      <c r="H2" s="62" t="str">
        <f ca="1">IFERROR(__xludf.DUMMYFUNCTION("filter(Assignments!H3:H1311,Assignments!E3:E1311=""Yes"")"),"Epilepsy")</f>
        <v>Epilepsy</v>
      </c>
      <c r="I2" s="137">
        <f t="shared" ref="I2:I123" ca="1" si="0">EDATE(E2,3)</f>
        <v>43661</v>
      </c>
      <c r="J2" s="138">
        <f ca="1">IFERROR(__xludf.DUMMYFUNCTION("filter(Assignments!J3:J1311,Assignments!E3:E1311=""Yes"")"),43712)</f>
        <v>43712</v>
      </c>
      <c r="K2" s="139">
        <f t="shared" ref="K2:K123" ca="1" si="1">EDATE(E2,6)</f>
        <v>43753</v>
      </c>
      <c r="L2" s="88" t="str">
        <f ca="1">IFERROR(__xludf.DUMMYFUNCTION("filter(Assignments!K3:K1311,Assignments!E3:E1311=""Yes"")"),"")</f>
        <v/>
      </c>
      <c r="M2" s="49"/>
      <c r="N2" s="49"/>
      <c r="O2" s="49"/>
      <c r="P2" s="49"/>
      <c r="Q2" s="49"/>
      <c r="R2" s="49"/>
      <c r="S2" s="49"/>
      <c r="T2" s="49"/>
      <c r="U2" s="49"/>
      <c r="V2" s="49"/>
      <c r="W2" s="49"/>
      <c r="X2" s="49"/>
      <c r="Y2" s="49"/>
      <c r="Z2" s="49"/>
      <c r="AA2" s="49"/>
      <c r="AB2" s="49"/>
      <c r="AC2" s="49"/>
      <c r="AD2" s="49"/>
    </row>
    <row r="3" spans="1:30" ht="14">
      <c r="A3" s="140">
        <f ca="1">IFERROR(__xludf.DUMMYFUNCTION("""COMPUTED_VALUE"""),43447.4211071527)</f>
        <v>43447.421107152702</v>
      </c>
      <c r="B3" s="141" t="str">
        <f ca="1">IFERROR(__xludf.DUMMYFUNCTION("""COMPUTED_VALUE"""),"Jennifer Howe")</f>
        <v>Jennifer Howe</v>
      </c>
      <c r="C3" s="141" t="str">
        <f ca="1">IFERROR(__xludf.DUMMYFUNCTION("""COMPUTED_VALUE"""),"jhowe@sickkids.ca")</f>
        <v>jhowe@sickkids.ca</v>
      </c>
      <c r="D3" s="49" t="str">
        <f ca="1">IFERROR(__xludf.DUMMYFUNCTION("""COMPUTED_VALUE"""),"Declined")</f>
        <v>Declined</v>
      </c>
      <c r="E3" s="88">
        <f ca="1">IFERROR(__xludf.DUMMYFUNCTION("""COMPUTED_VALUE"""),43446)</f>
        <v>43446</v>
      </c>
      <c r="F3" s="49" t="str">
        <f ca="1">IFERROR(__xludf.DUMMYFUNCTION("""COMPUTED_VALUE"""),"Yes")</f>
        <v>Yes</v>
      </c>
      <c r="G3" s="49" t="str">
        <f ca="1">IFERROR(__xludf.DUMMYFUNCTION("""COMPUTED_VALUE"""),"Gene Disease Validity")</f>
        <v>Gene Disease Validity</v>
      </c>
      <c r="H3" s="49" t="str">
        <f ca="1">IFERROR(__xludf.DUMMYFUNCTION("""COMPUTED_VALUE"""),"ID Autism")</f>
        <v>ID Autism</v>
      </c>
      <c r="I3" s="142">
        <f t="shared" ca="1" si="0"/>
        <v>43536</v>
      </c>
      <c r="J3" s="88">
        <f ca="1">IFERROR(__xludf.DUMMYFUNCTION("""COMPUTED_VALUE"""),43592)</f>
        <v>43592</v>
      </c>
      <c r="K3" s="139">
        <f t="shared" ca="1" si="1"/>
        <v>43628</v>
      </c>
      <c r="L3" s="88">
        <f ca="1">IFERROR(__xludf.DUMMYFUNCTION("""COMPUTED_VALUE"""),43713)</f>
        <v>43713</v>
      </c>
      <c r="M3" s="49"/>
      <c r="N3" s="49"/>
      <c r="O3" s="49"/>
      <c r="P3" s="49"/>
      <c r="Q3" s="49"/>
      <c r="R3" s="49"/>
      <c r="S3" s="49"/>
      <c r="T3" s="49"/>
      <c r="U3" s="49"/>
      <c r="V3" s="49"/>
      <c r="W3" s="49"/>
      <c r="X3" s="49"/>
      <c r="Y3" s="49"/>
      <c r="Z3" s="49"/>
      <c r="AA3" s="49"/>
      <c r="AB3" s="49"/>
      <c r="AC3" s="49"/>
      <c r="AD3" s="49"/>
    </row>
    <row r="4" spans="1:30" ht="14">
      <c r="A4" s="140">
        <f ca="1">IFERROR(__xludf.DUMMYFUNCTION("""COMPUTED_VALUE"""),43378.4807523148)</f>
        <v>43378.480752314797</v>
      </c>
      <c r="B4" s="141" t="str">
        <f ca="1">IFERROR(__xludf.DUMMYFUNCTION("""COMPUTED_VALUE"""),"Kalpana Panneerselvam")</f>
        <v>Kalpana Panneerselvam</v>
      </c>
      <c r="C4" s="141" t="str">
        <f ca="1">IFERROR(__xludf.DUMMYFUNCTION("""COMPUTED_VALUE"""),"kalpanarpanneerselvam@gmail.com")</f>
        <v>kalpanarpanneerselvam@gmail.com</v>
      </c>
      <c r="D4" s="49" t="str">
        <f ca="1">IFERROR(__xludf.DUMMYFUNCTION("""COMPUTED_VALUE"""),"Declined")</f>
        <v>Declined</v>
      </c>
      <c r="E4" s="88">
        <f ca="1">IFERROR(__xludf.DUMMYFUNCTION("""COMPUTED_VALUE"""),43446)</f>
        <v>43446</v>
      </c>
      <c r="F4" s="98" t="str">
        <f ca="1">IFERROR(__xludf.DUMMYFUNCTION("""COMPUTED_VALUE"""),"Yes")</f>
        <v>Yes</v>
      </c>
      <c r="G4" s="49" t="str">
        <f ca="1">IFERROR(__xludf.DUMMYFUNCTION("""COMPUTED_VALUE"""),"Gene Disease Validity")</f>
        <v>Gene Disease Validity</v>
      </c>
      <c r="H4" s="49" t="str">
        <f ca="1">IFERROR(__xludf.DUMMYFUNCTION("""COMPUTED_VALUE"""),"Hereditary Cancer")</f>
        <v>Hereditary Cancer</v>
      </c>
      <c r="I4" s="142">
        <f t="shared" ca="1" si="0"/>
        <v>43536</v>
      </c>
      <c r="J4" s="88">
        <f ca="1">IFERROR(__xludf.DUMMYFUNCTION("""COMPUTED_VALUE"""),43592)</f>
        <v>43592</v>
      </c>
      <c r="K4" s="139">
        <f t="shared" ca="1" si="1"/>
        <v>43628</v>
      </c>
      <c r="L4" s="88">
        <f ca="1">IFERROR(__xludf.DUMMYFUNCTION("""COMPUTED_VALUE"""),43713)</f>
        <v>43713</v>
      </c>
      <c r="M4" s="49"/>
      <c r="N4" s="49"/>
      <c r="O4" s="49"/>
      <c r="P4" s="49"/>
      <c r="Q4" s="49"/>
      <c r="R4" s="49"/>
      <c r="S4" s="49"/>
      <c r="T4" s="49"/>
      <c r="U4" s="49"/>
      <c r="V4" s="49"/>
      <c r="W4" s="49"/>
      <c r="X4" s="49"/>
      <c r="Y4" s="49"/>
      <c r="Z4" s="49"/>
      <c r="AA4" s="49"/>
      <c r="AB4" s="49"/>
      <c r="AC4" s="49"/>
      <c r="AD4" s="49"/>
    </row>
    <row r="5" spans="1:30" ht="14">
      <c r="A5" s="140">
        <f ca="1">IFERROR(__xludf.DUMMYFUNCTION("""COMPUTED_VALUE"""),43447.7193945254)</f>
        <v>43447.719394525397</v>
      </c>
      <c r="B5" s="141" t="str">
        <f ca="1">IFERROR(__xludf.DUMMYFUNCTION("""COMPUTED_VALUE"""),"Justin Schleede Phd")</f>
        <v>Justin Schleede Phd</v>
      </c>
      <c r="C5" s="141" t="str">
        <f ca="1">IFERROR(__xludf.DUMMYFUNCTION("""COMPUTED_VALUE"""),"schleej@labcorp.com")</f>
        <v>schleej@labcorp.com</v>
      </c>
      <c r="D5" s="49" t="str">
        <f ca="1">IFERROR(__xludf.DUMMYFUNCTION("""COMPUTED_VALUE"""),"Assigned")</f>
        <v>Assigned</v>
      </c>
      <c r="E5" s="87">
        <f ca="1">IFERROR(__xludf.DUMMYFUNCTION("""COMPUTED_VALUE"""),43580)</f>
        <v>43580</v>
      </c>
      <c r="F5" s="87" t="str">
        <f ca="1">IFERROR(__xludf.DUMMYFUNCTION("""COMPUTED_VALUE"""),"Yes")</f>
        <v>Yes</v>
      </c>
      <c r="G5" s="49" t="str">
        <f ca="1">IFERROR(__xludf.DUMMYFUNCTION("""COMPUTED_VALUE"""),"Dosage Sensitivity")</f>
        <v>Dosage Sensitivity</v>
      </c>
      <c r="H5" s="49" t="str">
        <f ca="1">IFERROR(__xludf.DUMMYFUNCTION("""COMPUTED_VALUE"""),"Recurrent CNVs")</f>
        <v>Recurrent CNVs</v>
      </c>
      <c r="I5" s="142">
        <f t="shared" ca="1" si="0"/>
        <v>43671</v>
      </c>
      <c r="J5" s="88">
        <f ca="1">IFERROR(__xludf.DUMMYFUNCTION("""COMPUTED_VALUE"""),43712)</f>
        <v>43712</v>
      </c>
      <c r="K5" s="139">
        <f t="shared" ca="1" si="1"/>
        <v>43763</v>
      </c>
      <c r="L5" s="88" t="str">
        <f ca="1">IFERROR(__xludf.DUMMYFUNCTION("""COMPUTED_VALUE"""),"")</f>
        <v/>
      </c>
      <c r="M5" s="49"/>
      <c r="N5" s="49"/>
      <c r="O5" s="49"/>
      <c r="P5" s="49"/>
      <c r="Q5" s="49"/>
      <c r="R5" s="49"/>
      <c r="S5" s="49"/>
      <c r="T5" s="49"/>
      <c r="U5" s="49"/>
      <c r="V5" s="49"/>
      <c r="W5" s="49"/>
      <c r="X5" s="49"/>
      <c r="Y5" s="49"/>
      <c r="Z5" s="49"/>
      <c r="AA5" s="49"/>
      <c r="AB5" s="49"/>
      <c r="AC5" s="49"/>
      <c r="AD5" s="49"/>
    </row>
    <row r="6" spans="1:30" ht="14">
      <c r="A6" s="140">
        <f ca="1">IFERROR(__xludf.DUMMYFUNCTION("""COMPUTED_VALUE"""),43452.6249173148)</f>
        <v>43452.624917314803</v>
      </c>
      <c r="B6" s="141" t="str">
        <f ca="1">IFERROR(__xludf.DUMMYFUNCTION("""COMPUTED_VALUE"""),"Juan Carlos Diaz ")</f>
        <v xml:space="preserve">Juan Carlos Diaz </v>
      </c>
      <c r="C6" s="141" t="str">
        <f ca="1">IFERROR(__xludf.DUMMYFUNCTION("""COMPUTED_VALUE"""),"cuallijuan@hotmail.com ")</f>
        <v xml:space="preserve">cuallijuan@hotmail.com </v>
      </c>
      <c r="D6" s="49" t="str">
        <f ca="1">IFERROR(__xludf.DUMMYFUNCTION("""COMPUTED_VALUE"""),"Contacted")</f>
        <v>Contacted</v>
      </c>
      <c r="E6" s="87">
        <f ca="1">IFERROR(__xludf.DUMMYFUNCTION("""COMPUTED_VALUE"""),43678)</f>
        <v>43678</v>
      </c>
      <c r="F6" s="88" t="str">
        <f ca="1">IFERROR(__xludf.DUMMYFUNCTION("""COMPUTED_VALUE"""),"No")</f>
        <v>No</v>
      </c>
      <c r="G6" s="49" t="str">
        <f ca="1">IFERROR(__xludf.DUMMYFUNCTION("""COMPUTED_VALUE"""),"Actionability")</f>
        <v>Actionability</v>
      </c>
      <c r="H6" s="49" t="str">
        <f ca="1">IFERROR(__xludf.DUMMYFUNCTION("""COMPUTED_VALUE"""),"")</f>
        <v/>
      </c>
      <c r="I6" s="142">
        <f t="shared" ca="1" si="0"/>
        <v>43770</v>
      </c>
      <c r="J6" s="49" t="str">
        <f ca="1">IFERROR(__xludf.DUMMYFUNCTION("""COMPUTED_VALUE"""),"")</f>
        <v/>
      </c>
      <c r="K6" s="139">
        <f t="shared" ca="1" si="1"/>
        <v>43862</v>
      </c>
      <c r="L6" s="49" t="str">
        <f ca="1">IFERROR(__xludf.DUMMYFUNCTION("""COMPUTED_VALUE"""),"")</f>
        <v/>
      </c>
      <c r="M6" s="49"/>
      <c r="N6" s="49"/>
      <c r="O6" s="49"/>
      <c r="P6" s="49"/>
      <c r="Q6" s="49"/>
      <c r="R6" s="49"/>
      <c r="S6" s="49"/>
      <c r="T6" s="49"/>
      <c r="U6" s="49"/>
      <c r="V6" s="49"/>
      <c r="W6" s="49"/>
      <c r="X6" s="49"/>
      <c r="Y6" s="49"/>
      <c r="Z6" s="49"/>
      <c r="AA6" s="49"/>
      <c r="AB6" s="49"/>
      <c r="AC6" s="49"/>
      <c r="AD6" s="49"/>
    </row>
    <row r="7" spans="1:30" ht="14">
      <c r="A7" s="140">
        <f ca="1">IFERROR(__xludf.DUMMYFUNCTION("""COMPUTED_VALUE"""),43453.5543628703)</f>
        <v>43453.554362870302</v>
      </c>
      <c r="B7" s="141" t="str">
        <f ca="1">IFERROR(__xludf.DUMMYFUNCTION("""COMPUTED_VALUE"""),"Tomohiko Ai")</f>
        <v>Tomohiko Ai</v>
      </c>
      <c r="C7" s="141" t="str">
        <f ca="1">IFERROR(__xludf.DUMMYFUNCTION("""COMPUTED_VALUE"""),"Tomohiko.Ai@osumc.edu")</f>
        <v>Tomohiko.Ai@osumc.edu</v>
      </c>
      <c r="D7" s="49" t="str">
        <f ca="1">IFERROR(__xludf.DUMMYFUNCTION("""COMPUTED_VALUE"""),"Contacted")</f>
        <v>Contacted</v>
      </c>
      <c r="E7" s="87">
        <f ca="1">IFERROR(__xludf.DUMMYFUNCTION("""COMPUTED_VALUE"""),43570)</f>
        <v>43570</v>
      </c>
      <c r="F7" s="99" t="str">
        <f ca="1">IFERROR(__xludf.DUMMYFUNCTION("""COMPUTED_VALUE"""),"Yes")</f>
        <v>Yes</v>
      </c>
      <c r="G7" s="49" t="str">
        <f ca="1">IFERROR(__xludf.DUMMYFUNCTION("""COMPUTED_VALUE"""),"Gene Disease Validity")</f>
        <v>Gene Disease Validity</v>
      </c>
      <c r="H7" s="49" t="str">
        <f ca="1">IFERROR(__xludf.DUMMYFUNCTION("""COMPUTED_VALUE"""),"Dilated Cardiomyopathy")</f>
        <v>Dilated Cardiomyopathy</v>
      </c>
      <c r="I7" s="142">
        <f t="shared" ca="1" si="0"/>
        <v>43661</v>
      </c>
      <c r="J7" s="88">
        <f ca="1">IFERROR(__xludf.DUMMYFUNCTION("""COMPUTED_VALUE"""),43712)</f>
        <v>43712</v>
      </c>
      <c r="K7" s="139">
        <f t="shared" ca="1" si="1"/>
        <v>43753</v>
      </c>
      <c r="L7" s="88" t="str">
        <f ca="1">IFERROR(__xludf.DUMMYFUNCTION("""COMPUTED_VALUE"""),"")</f>
        <v/>
      </c>
      <c r="M7" s="49"/>
      <c r="N7" s="49"/>
      <c r="O7" s="49"/>
      <c r="P7" s="49"/>
      <c r="Q7" s="49"/>
      <c r="R7" s="49"/>
      <c r="S7" s="49"/>
      <c r="T7" s="49"/>
      <c r="U7" s="49"/>
      <c r="V7" s="49"/>
      <c r="W7" s="49"/>
      <c r="X7" s="49"/>
      <c r="Y7" s="49"/>
      <c r="Z7" s="49"/>
      <c r="AA7" s="49"/>
      <c r="AB7" s="49"/>
      <c r="AC7" s="49"/>
      <c r="AD7" s="49"/>
    </row>
    <row r="8" spans="1:30" ht="14">
      <c r="A8" s="140">
        <f ca="1">IFERROR(__xludf.DUMMYFUNCTION("""COMPUTED_VALUE"""),43404.8743634259)</f>
        <v>43404.874363425901</v>
      </c>
      <c r="B8" s="141" t="str">
        <f ca="1">IFERROR(__xludf.DUMMYFUNCTION("""COMPUTED_VALUE"""),"Rajavarman Kittu")</f>
        <v>Rajavarman Kittu</v>
      </c>
      <c r="C8" s="141" t="str">
        <f ca="1">IFERROR(__xludf.DUMMYFUNCTION("""COMPUTED_VALUE"""),"rajavarman21@gmail.com")</f>
        <v>rajavarman21@gmail.com</v>
      </c>
      <c r="D8" s="49" t="str">
        <f ca="1">IFERROR(__xludf.DUMMYFUNCTION("""COMPUTED_VALUE"""),"Unresponsive")</f>
        <v>Unresponsive</v>
      </c>
      <c r="E8" s="98">
        <f ca="1">IFERROR(__xludf.DUMMYFUNCTION("""COMPUTED_VALUE"""),43476)</f>
        <v>43476</v>
      </c>
      <c r="F8" s="87" t="str">
        <f ca="1">IFERROR(__xludf.DUMMYFUNCTION("""COMPUTED_VALUE"""),"No")</f>
        <v>No</v>
      </c>
      <c r="G8" s="49" t="str">
        <f ca="1">IFERROR(__xludf.DUMMYFUNCTION("""COMPUTED_VALUE"""),"Somatic Cancer")</f>
        <v>Somatic Cancer</v>
      </c>
      <c r="H8" s="49" t="str">
        <f ca="1">IFERROR(__xludf.DUMMYFUNCTION("""COMPUTED_VALUE"""),"Somatic WG")</f>
        <v>Somatic WG</v>
      </c>
      <c r="I8" s="142">
        <f t="shared" ca="1" si="0"/>
        <v>43566</v>
      </c>
      <c r="J8" s="88">
        <f ca="1">IFERROR(__xludf.DUMMYFUNCTION("""COMPUTED_VALUE"""),43592)</f>
        <v>43592</v>
      </c>
      <c r="K8" s="139">
        <f t="shared" ca="1" si="1"/>
        <v>43657</v>
      </c>
      <c r="L8" s="49" t="str">
        <f ca="1">IFERROR(__xludf.DUMMYFUNCTION("""COMPUTED_VALUE"""),"-")</f>
        <v>-</v>
      </c>
      <c r="M8" s="49"/>
      <c r="N8" s="49"/>
      <c r="O8" s="49"/>
      <c r="P8" s="49"/>
      <c r="Q8" s="49"/>
      <c r="R8" s="49"/>
      <c r="S8" s="49"/>
      <c r="T8" s="49"/>
      <c r="U8" s="49"/>
      <c r="V8" s="49"/>
      <c r="W8" s="49"/>
      <c r="X8" s="49"/>
      <c r="Y8" s="49"/>
      <c r="Z8" s="49"/>
      <c r="AA8" s="49"/>
      <c r="AB8" s="49"/>
      <c r="AC8" s="49"/>
      <c r="AD8" s="49"/>
    </row>
    <row r="9" spans="1:30" ht="14">
      <c r="A9" s="140">
        <f ca="1">IFERROR(__xludf.DUMMYFUNCTION("""COMPUTED_VALUE"""),43454.6513332638)</f>
        <v>43454.651333263799</v>
      </c>
      <c r="B9" s="141" t="str">
        <f ca="1">IFERROR(__xludf.DUMMYFUNCTION("""COMPUTED_VALUE"""),"Rhea Vallente")</f>
        <v>Rhea Vallente</v>
      </c>
      <c r="C9" s="141" t="str">
        <f ca="1">IFERROR(__xludf.DUMMYFUNCTION("""COMPUTED_VALUE"""),"rvallente@fulgentgenetics.com")</f>
        <v>rvallente@fulgentgenetics.com</v>
      </c>
      <c r="D9" s="49" t="str">
        <f ca="1">IFERROR(__xludf.DUMMYFUNCTION("""COMPUTED_VALUE"""),"Contacted")</f>
        <v>Contacted</v>
      </c>
      <c r="E9" s="87">
        <f ca="1">IFERROR(__xludf.DUMMYFUNCTION("""COMPUTED_VALUE"""),43678)</f>
        <v>43678</v>
      </c>
      <c r="F9" s="87" t="str">
        <f ca="1">IFERROR(__xludf.DUMMYFUNCTION("""COMPUTED_VALUE"""),"No")</f>
        <v>No</v>
      </c>
      <c r="G9" s="49" t="str">
        <f ca="1">IFERROR(__xludf.DUMMYFUNCTION("""COMPUTED_VALUE"""),"Actionability")</f>
        <v>Actionability</v>
      </c>
      <c r="H9" s="49" t="str">
        <f ca="1">IFERROR(__xludf.DUMMYFUNCTION("""COMPUTED_VALUE"""),"")</f>
        <v/>
      </c>
      <c r="I9" s="142">
        <f t="shared" ca="1" si="0"/>
        <v>43770</v>
      </c>
      <c r="J9" s="49" t="str">
        <f ca="1">IFERROR(__xludf.DUMMYFUNCTION("""COMPUTED_VALUE"""),"")</f>
        <v/>
      </c>
      <c r="K9" s="139">
        <f t="shared" ca="1" si="1"/>
        <v>43862</v>
      </c>
      <c r="L9" s="49" t="str">
        <f ca="1">IFERROR(__xludf.DUMMYFUNCTION("""COMPUTED_VALUE"""),"")</f>
        <v/>
      </c>
      <c r="M9" s="49"/>
      <c r="N9" s="49"/>
      <c r="O9" s="49"/>
      <c r="P9" s="49"/>
      <c r="Q9" s="49"/>
      <c r="R9" s="49"/>
      <c r="S9" s="49"/>
      <c r="T9" s="49"/>
      <c r="U9" s="49"/>
      <c r="V9" s="49"/>
      <c r="W9" s="49"/>
      <c r="X9" s="49"/>
      <c r="Y9" s="49"/>
      <c r="Z9" s="49"/>
      <c r="AA9" s="49"/>
      <c r="AB9" s="49"/>
      <c r="AC9" s="49"/>
      <c r="AD9" s="49"/>
    </row>
    <row r="10" spans="1:30" ht="14">
      <c r="A10" s="140">
        <f ca="1">IFERROR(__xludf.DUMMYFUNCTION("""COMPUTED_VALUE"""),43462.7220768287)</f>
        <v>43462.722076828701</v>
      </c>
      <c r="B10" s="141" t="str">
        <f ca="1">IFERROR(__xludf.DUMMYFUNCTION("""COMPUTED_VALUE"""),"Caitlin Hale")</f>
        <v>Caitlin Hale</v>
      </c>
      <c r="C10" s="141" t="str">
        <f ca="1">IFERROR(__xludf.DUMMYFUNCTION("""COMPUTED_VALUE"""),"CHale@stanfordchildrens.org")</f>
        <v>CHale@stanfordchildrens.org</v>
      </c>
      <c r="D10" s="49" t="str">
        <f ca="1">IFERROR(__xludf.DUMMYFUNCTION("""COMPUTED_VALUE"""),"Declined")</f>
        <v>Declined</v>
      </c>
      <c r="E10" s="88">
        <f ca="1">IFERROR(__xludf.DUMMYFUNCTION("""COMPUTED_VALUE"""),43585)</f>
        <v>43585</v>
      </c>
      <c r="F10" s="99" t="str">
        <f ca="1">IFERROR(__xludf.DUMMYFUNCTION("""COMPUTED_VALUE"""),"Yes")</f>
        <v>Yes</v>
      </c>
      <c r="G10" s="49" t="str">
        <f ca="1">IFERROR(__xludf.DUMMYFUNCTION("""COMPUTED_VALUE"""),"Gene Disease Validity")</f>
        <v>Gene Disease Validity</v>
      </c>
      <c r="H10" s="49" t="str">
        <f ca="1">IFERROR(__xludf.DUMMYFUNCTION("""COMPUTED_VALUE"""),"ID/Autism")</f>
        <v>ID/Autism</v>
      </c>
      <c r="I10" s="142">
        <f t="shared" ca="1" si="0"/>
        <v>43676</v>
      </c>
      <c r="J10" s="88">
        <f ca="1">IFERROR(__xludf.DUMMYFUNCTION("""COMPUTED_VALUE"""),43712)</f>
        <v>43712</v>
      </c>
      <c r="K10" s="139">
        <f t="shared" ca="1" si="1"/>
        <v>43768</v>
      </c>
      <c r="L10" s="88" t="str">
        <f ca="1">IFERROR(__xludf.DUMMYFUNCTION("""COMPUTED_VALUE"""),"")</f>
        <v/>
      </c>
      <c r="M10" s="49"/>
      <c r="N10" s="49"/>
      <c r="O10" s="49"/>
      <c r="P10" s="49"/>
      <c r="Q10" s="49"/>
      <c r="R10" s="49"/>
      <c r="S10" s="49"/>
      <c r="T10" s="49"/>
      <c r="U10" s="49"/>
      <c r="V10" s="49"/>
      <c r="W10" s="49"/>
      <c r="X10" s="49"/>
      <c r="Y10" s="49"/>
      <c r="Z10" s="49"/>
      <c r="AA10" s="49"/>
      <c r="AB10" s="49"/>
      <c r="AC10" s="49"/>
      <c r="AD10" s="49"/>
    </row>
    <row r="11" spans="1:30" ht="14">
      <c r="A11" s="140">
        <f ca="1">IFERROR(__xludf.DUMMYFUNCTION("""COMPUTED_VALUE"""),43465.4694648842)</f>
        <v>43465.469464884198</v>
      </c>
      <c r="B11" s="141" t="str">
        <f ca="1">IFERROR(__xludf.DUMMYFUNCTION("""COMPUTED_VALUE"""),"Melissa Murfin")</f>
        <v>Melissa Murfin</v>
      </c>
      <c r="C11" s="141" t="str">
        <f ca="1">IFERROR(__xludf.DUMMYFUNCTION("""COMPUTED_VALUE"""),"mmurfin@elon.edu")</f>
        <v>mmurfin@elon.edu</v>
      </c>
      <c r="D11" s="49" t="str">
        <f ca="1">IFERROR(__xludf.DUMMYFUNCTION("""COMPUTED_VALUE"""),"Contacted")</f>
        <v>Contacted</v>
      </c>
      <c r="E11" s="99">
        <f ca="1">IFERROR(__xludf.DUMMYFUNCTION("""COMPUTED_VALUE"""),43567)</f>
        <v>43567</v>
      </c>
      <c r="F11" s="87" t="str">
        <f ca="1">IFERROR(__xludf.DUMMYFUNCTION("""COMPUTED_VALUE"""),"Yes")</f>
        <v>Yes</v>
      </c>
      <c r="G11" s="49" t="str">
        <f ca="1">IFERROR(__xludf.DUMMYFUNCTION("""COMPUTED_VALUE"""),"Actionability")</f>
        <v>Actionability</v>
      </c>
      <c r="H11" s="49" t="str">
        <f ca="1">IFERROR(__xludf.DUMMYFUNCTION("""COMPUTED_VALUE"""),"Actionability")</f>
        <v>Actionability</v>
      </c>
      <c r="I11" s="142">
        <f t="shared" ca="1" si="0"/>
        <v>43658</v>
      </c>
      <c r="J11" s="88">
        <f ca="1">IFERROR(__xludf.DUMMYFUNCTION("""COMPUTED_VALUE"""),43712)</f>
        <v>43712</v>
      </c>
      <c r="K11" s="139">
        <f t="shared" ca="1" si="1"/>
        <v>43750</v>
      </c>
      <c r="L11" s="88" t="str">
        <f ca="1">IFERROR(__xludf.DUMMYFUNCTION("""COMPUTED_VALUE"""),"")</f>
        <v/>
      </c>
      <c r="M11" s="49"/>
      <c r="N11" s="49"/>
      <c r="O11" s="49"/>
      <c r="P11" s="49"/>
      <c r="Q11" s="49"/>
      <c r="R11" s="49"/>
      <c r="S11" s="49"/>
      <c r="T11" s="49"/>
      <c r="U11" s="49"/>
      <c r="V11" s="49"/>
      <c r="W11" s="49"/>
      <c r="X11" s="49"/>
      <c r="Y11" s="49"/>
      <c r="Z11" s="49"/>
      <c r="AA11" s="49"/>
      <c r="AB11" s="49"/>
      <c r="AC11" s="49"/>
      <c r="AD11" s="49"/>
    </row>
    <row r="12" spans="1:30" ht="14">
      <c r="A12" s="140">
        <f ca="1">IFERROR(__xludf.DUMMYFUNCTION("""COMPUTED_VALUE"""),43467.2898761111)</f>
        <v>43467.289876111099</v>
      </c>
      <c r="B12" s="141" t="str">
        <f ca="1">IFERROR(__xludf.DUMMYFUNCTION("""COMPUTED_VALUE"""),"Ana León")</f>
        <v>Ana León</v>
      </c>
      <c r="C12" s="141" t="str">
        <f ca="1">IFERROR(__xludf.DUMMYFUNCTION("""COMPUTED_VALUE"""),"aleon@pros.upv.es")</f>
        <v>aleon@pros.upv.es</v>
      </c>
      <c r="D12" s="49" t="str">
        <f ca="1">IFERROR(__xludf.DUMMYFUNCTION("""COMPUTED_VALUE"""),"Contacted")</f>
        <v>Contacted</v>
      </c>
      <c r="E12" s="87">
        <f ca="1">IFERROR(__xludf.DUMMYFUNCTION("""COMPUTED_VALUE"""),43585)</f>
        <v>43585</v>
      </c>
      <c r="F12" s="88" t="str">
        <f ca="1">IFERROR(__xludf.DUMMYFUNCTION("""COMPUTED_VALUE"""),"Yes")</f>
        <v>Yes</v>
      </c>
      <c r="G12" s="49" t="str">
        <f ca="1">IFERROR(__xludf.DUMMYFUNCTION("""COMPUTED_VALUE"""),"Gene Disease Validity")</f>
        <v>Gene Disease Validity</v>
      </c>
      <c r="H12" s="49" t="str">
        <f ca="1">IFERROR(__xludf.DUMMYFUNCTION("""COMPUTED_VALUE"""),"Hemo/Thrombo")</f>
        <v>Hemo/Thrombo</v>
      </c>
      <c r="I12" s="142">
        <f t="shared" ca="1" si="0"/>
        <v>43676</v>
      </c>
      <c r="J12" s="88">
        <f ca="1">IFERROR(__xludf.DUMMYFUNCTION("""COMPUTED_VALUE"""),43712)</f>
        <v>43712</v>
      </c>
      <c r="K12" s="139">
        <f t="shared" ca="1" si="1"/>
        <v>43768</v>
      </c>
      <c r="L12" s="88" t="str">
        <f ca="1">IFERROR(__xludf.DUMMYFUNCTION("""COMPUTED_VALUE"""),"")</f>
        <v/>
      </c>
      <c r="M12" s="49"/>
      <c r="N12" s="49"/>
      <c r="O12" s="49"/>
      <c r="P12" s="49"/>
      <c r="Q12" s="49"/>
      <c r="R12" s="49"/>
      <c r="S12" s="49"/>
      <c r="T12" s="49"/>
      <c r="U12" s="49"/>
      <c r="V12" s="49"/>
      <c r="W12" s="49"/>
      <c r="X12" s="49"/>
      <c r="Y12" s="49"/>
      <c r="Z12" s="49"/>
      <c r="AA12" s="49"/>
      <c r="AB12" s="49"/>
      <c r="AC12" s="49"/>
      <c r="AD12" s="49"/>
    </row>
    <row r="13" spans="1:30" ht="14">
      <c r="A13" s="140">
        <f ca="1">IFERROR(__xludf.DUMMYFUNCTION("""COMPUTED_VALUE"""),43469.322247662)</f>
        <v>43469.322247661999</v>
      </c>
      <c r="B13" s="141" t="str">
        <f ca="1">IFERROR(__xludf.DUMMYFUNCTION("""COMPUTED_VALUE"""),"Catalina Betancur")</f>
        <v>Catalina Betancur</v>
      </c>
      <c r="C13" s="141" t="str">
        <f ca="1">IFERROR(__xludf.DUMMYFUNCTION("""COMPUTED_VALUE"""),"Catalina.Betancur@inserm.fr")</f>
        <v>Catalina.Betancur@inserm.fr</v>
      </c>
      <c r="D13" s="49" t="str">
        <f ca="1">IFERROR(__xludf.DUMMYFUNCTION("""COMPUTED_VALUE"""),"Assigned")</f>
        <v>Assigned</v>
      </c>
      <c r="E13" s="88">
        <f ca="1">IFERROR(__xludf.DUMMYFUNCTION("""COMPUTED_VALUE"""),43446)</f>
        <v>43446</v>
      </c>
      <c r="F13" s="87" t="str">
        <f ca="1">IFERROR(__xludf.DUMMYFUNCTION("""COMPUTED_VALUE"""),"Yes")</f>
        <v>Yes</v>
      </c>
      <c r="G13" s="49" t="str">
        <f ca="1">IFERROR(__xludf.DUMMYFUNCTION("""COMPUTED_VALUE"""),"Gene Disease Validity")</f>
        <v>Gene Disease Validity</v>
      </c>
      <c r="H13" s="49" t="str">
        <f ca="1">IFERROR(__xludf.DUMMYFUNCTION("""COMPUTED_VALUE"""),"ID Autism")</f>
        <v>ID Autism</v>
      </c>
      <c r="I13" s="142">
        <f t="shared" ca="1" si="0"/>
        <v>43536</v>
      </c>
      <c r="J13" s="49" t="str">
        <f ca="1">IFERROR(__xludf.DUMMYFUNCTION("""COMPUTED_VALUE"""),"")</f>
        <v/>
      </c>
      <c r="K13" s="139">
        <f t="shared" ca="1" si="1"/>
        <v>43628</v>
      </c>
      <c r="L13" s="49" t="str">
        <f ca="1">IFERROR(__xludf.DUMMYFUNCTION("""COMPUTED_VALUE"""),"")</f>
        <v/>
      </c>
      <c r="M13" s="49"/>
      <c r="N13" s="49"/>
      <c r="O13" s="49"/>
      <c r="P13" s="49"/>
      <c r="Q13" s="49"/>
      <c r="R13" s="49"/>
      <c r="S13" s="49"/>
      <c r="T13" s="49"/>
      <c r="U13" s="49"/>
      <c r="V13" s="49"/>
      <c r="W13" s="49"/>
      <c r="X13" s="49"/>
      <c r="Y13" s="49"/>
      <c r="Z13" s="49"/>
      <c r="AA13" s="49"/>
      <c r="AB13" s="49"/>
      <c r="AC13" s="49"/>
      <c r="AD13" s="49"/>
    </row>
    <row r="14" spans="1:30" ht="14">
      <c r="A14" s="140">
        <f ca="1">IFERROR(__xludf.DUMMYFUNCTION("""COMPUTED_VALUE"""),43472.4257775925)</f>
        <v>43472.4257775925</v>
      </c>
      <c r="B14" s="141" t="str">
        <f ca="1">IFERROR(__xludf.DUMMYFUNCTION("""COMPUTED_VALUE"""),"Shulin Zhang")</f>
        <v>Shulin Zhang</v>
      </c>
      <c r="C14" s="141" t="str">
        <f ca="1">IFERROR(__xludf.DUMMYFUNCTION("""COMPUTED_VALUE"""),"shulin.zhang@uky.edu")</f>
        <v>shulin.zhang@uky.edu</v>
      </c>
      <c r="D14" s="49" t="str">
        <f ca="1">IFERROR(__xludf.DUMMYFUNCTION("""COMPUTED_VALUE"""),"Contacted")</f>
        <v>Contacted</v>
      </c>
      <c r="E14" s="87">
        <f ca="1">IFERROR(__xludf.DUMMYFUNCTION("""COMPUTED_VALUE"""),43580)</f>
        <v>43580</v>
      </c>
      <c r="F14" s="87" t="str">
        <f ca="1">IFERROR(__xludf.DUMMYFUNCTION("""COMPUTED_VALUE"""),"Yes")</f>
        <v>Yes</v>
      </c>
      <c r="G14" s="49" t="str">
        <f ca="1">IFERROR(__xludf.DUMMYFUNCTION("""COMPUTED_VALUE"""),"Dosage Sensitivity")</f>
        <v>Dosage Sensitivity</v>
      </c>
      <c r="H14" s="49" t="str">
        <f ca="1">IFERROR(__xludf.DUMMYFUNCTION("""COMPUTED_VALUE"""),"")</f>
        <v/>
      </c>
      <c r="I14" s="142">
        <f t="shared" ca="1" si="0"/>
        <v>43671</v>
      </c>
      <c r="J14" s="88">
        <f ca="1">IFERROR(__xludf.DUMMYFUNCTION("""COMPUTED_VALUE"""),43712)</f>
        <v>43712</v>
      </c>
      <c r="K14" s="139">
        <f t="shared" ca="1" si="1"/>
        <v>43763</v>
      </c>
      <c r="L14" s="88" t="str">
        <f ca="1">IFERROR(__xludf.DUMMYFUNCTION("""COMPUTED_VALUE"""),"")</f>
        <v/>
      </c>
      <c r="M14" s="49"/>
      <c r="N14" s="49"/>
      <c r="O14" s="49"/>
      <c r="P14" s="49"/>
      <c r="Q14" s="49"/>
      <c r="R14" s="49"/>
      <c r="S14" s="49"/>
      <c r="T14" s="49"/>
      <c r="U14" s="49"/>
      <c r="V14" s="49"/>
      <c r="W14" s="49"/>
      <c r="X14" s="49"/>
      <c r="Y14" s="49"/>
      <c r="Z14" s="49"/>
      <c r="AA14" s="49"/>
      <c r="AB14" s="49"/>
      <c r="AC14" s="49"/>
      <c r="AD14" s="49"/>
    </row>
    <row r="15" spans="1:30" ht="14">
      <c r="A15" s="140">
        <f ca="1">IFERROR(__xludf.DUMMYFUNCTION("""COMPUTED_VALUE"""),43472.5372556018)</f>
        <v>43472.537255601797</v>
      </c>
      <c r="B15" s="141" t="str">
        <f ca="1">IFERROR(__xludf.DUMMYFUNCTION("""COMPUTED_VALUE"""),"Marwan Shinawi")</f>
        <v>Marwan Shinawi</v>
      </c>
      <c r="C15" s="141" t="str">
        <f ca="1">IFERROR(__xludf.DUMMYFUNCTION("""COMPUTED_VALUE"""),"mshinawi@wustl.edu")</f>
        <v>mshinawi@wustl.edu</v>
      </c>
      <c r="D15" s="49" t="str">
        <f ca="1">IFERROR(__xludf.DUMMYFUNCTION("""COMPUTED_VALUE"""),"Contacted")</f>
        <v>Contacted</v>
      </c>
      <c r="E15" s="99">
        <f ca="1">IFERROR(__xludf.DUMMYFUNCTION("""COMPUTED_VALUE"""),43567)</f>
        <v>43567</v>
      </c>
      <c r="F15" s="87" t="str">
        <f ca="1">IFERROR(__xludf.DUMMYFUNCTION("""COMPUTED_VALUE"""),"No")</f>
        <v>No</v>
      </c>
      <c r="G15" s="49" t="str">
        <f ca="1">IFERROR(__xludf.DUMMYFUNCTION("""COMPUTED_VALUE"""),"Actionability")</f>
        <v>Actionability</v>
      </c>
      <c r="H15" s="49" t="str">
        <f ca="1">IFERROR(__xludf.DUMMYFUNCTION("""COMPUTED_VALUE"""),"")</f>
        <v/>
      </c>
      <c r="I15" s="142">
        <f t="shared" ca="1" si="0"/>
        <v>43658</v>
      </c>
      <c r="J15" s="49" t="str">
        <f ca="1">IFERROR(__xludf.DUMMYFUNCTION("""COMPUTED_VALUE"""),"")</f>
        <v/>
      </c>
      <c r="K15" s="139">
        <f t="shared" ca="1" si="1"/>
        <v>43750</v>
      </c>
      <c r="L15" s="49" t="str">
        <f ca="1">IFERROR(__xludf.DUMMYFUNCTION("""COMPUTED_VALUE"""),"")</f>
        <v/>
      </c>
      <c r="M15" s="49"/>
      <c r="N15" s="49"/>
      <c r="O15" s="49"/>
      <c r="P15" s="49"/>
      <c r="Q15" s="49"/>
      <c r="R15" s="49"/>
      <c r="S15" s="49"/>
      <c r="T15" s="49"/>
      <c r="U15" s="49"/>
      <c r="V15" s="49"/>
      <c r="W15" s="49"/>
      <c r="X15" s="49"/>
      <c r="Y15" s="49"/>
      <c r="Z15" s="49"/>
      <c r="AA15" s="49"/>
      <c r="AB15" s="49"/>
      <c r="AC15" s="49"/>
      <c r="AD15" s="49"/>
    </row>
    <row r="16" spans="1:30" ht="14">
      <c r="A16" s="140">
        <f ca="1">IFERROR(__xludf.DUMMYFUNCTION("""COMPUTED_VALUE"""),43473.390765081)</f>
        <v>43473.390765081</v>
      </c>
      <c r="B16" s="141" t="str">
        <f ca="1">IFERROR(__xludf.DUMMYFUNCTION("""COMPUTED_VALUE"""),"Adam Coovadia")</f>
        <v>Adam Coovadia</v>
      </c>
      <c r="C16" s="141" t="str">
        <f ca="1">IFERROR(__xludf.DUMMYFUNCTION("""COMPUTED_VALUE"""),"coovadiaa@gmail.com")</f>
        <v>coovadiaa@gmail.com</v>
      </c>
      <c r="D16" s="49" t="str">
        <f ca="1">IFERROR(__xludf.DUMMYFUNCTION("""COMPUTED_VALUE"""),"Contacted")</f>
        <v>Contacted</v>
      </c>
      <c r="E16" s="87">
        <f ca="1">IFERROR(__xludf.DUMMYFUNCTION("""COMPUTED_VALUE"""),43605)</f>
        <v>43605</v>
      </c>
      <c r="F16" s="88" t="str">
        <f ca="1">IFERROR(__xludf.DUMMYFUNCTION("""COMPUTED_VALUE"""),"Yes")</f>
        <v>Yes</v>
      </c>
      <c r="G16" s="49" t="str">
        <f ca="1">IFERROR(__xludf.DUMMYFUNCTION("""COMPUTED_VALUE"""),"Variant Pathogenicity")</f>
        <v>Variant Pathogenicity</v>
      </c>
      <c r="H16" s="49" t="str">
        <f ca="1">IFERROR(__xludf.DUMMYFUNCTION("""COMPUTED_VALUE"""),"Hearing Loss")</f>
        <v>Hearing Loss</v>
      </c>
      <c r="I16" s="142">
        <f t="shared" ca="1" si="0"/>
        <v>43697</v>
      </c>
      <c r="J16" s="88">
        <f ca="1">IFERROR(__xludf.DUMMYFUNCTION("""COMPUTED_VALUE"""),43712)</f>
        <v>43712</v>
      </c>
      <c r="K16" s="139">
        <f t="shared" ca="1" si="1"/>
        <v>43789</v>
      </c>
      <c r="L16" s="88" t="str">
        <f ca="1">IFERROR(__xludf.DUMMYFUNCTION("""COMPUTED_VALUE"""),"")</f>
        <v/>
      </c>
      <c r="M16" s="49"/>
      <c r="N16" s="49"/>
      <c r="O16" s="49"/>
      <c r="P16" s="49"/>
      <c r="Q16" s="49"/>
      <c r="R16" s="49"/>
      <c r="S16" s="49"/>
      <c r="T16" s="49"/>
      <c r="U16" s="49"/>
      <c r="V16" s="49"/>
      <c r="W16" s="49"/>
      <c r="X16" s="49"/>
      <c r="Y16" s="49"/>
      <c r="Z16" s="49"/>
      <c r="AA16" s="49"/>
      <c r="AB16" s="49"/>
      <c r="AC16" s="49"/>
      <c r="AD16" s="49"/>
    </row>
    <row r="17" spans="1:30" ht="14">
      <c r="A17" s="140">
        <f ca="1">IFERROR(__xludf.DUMMYFUNCTION("""COMPUTED_VALUE"""),43332.5812152777)</f>
        <v>43332.5812152777</v>
      </c>
      <c r="B17" s="141" t="str">
        <f ca="1">IFERROR(__xludf.DUMMYFUNCTION("""COMPUTED_VALUE"""),"Volkan Okur")</f>
        <v>Volkan Okur</v>
      </c>
      <c r="C17" s="141" t="str">
        <f ca="1">IFERROR(__xludf.DUMMYFUNCTION("""COMPUTED_VALUE"""),"vokur@bcm.edu")</f>
        <v>vokur@bcm.edu</v>
      </c>
      <c r="D17" s="49" t="str">
        <f ca="1">IFERROR(__xludf.DUMMYFUNCTION("""COMPUTED_VALUE"""),"Assigned")</f>
        <v>Assigned</v>
      </c>
      <c r="E17" s="88">
        <f ca="1">IFERROR(__xludf.DUMMYFUNCTION("""COMPUTED_VALUE"""),43446)</f>
        <v>43446</v>
      </c>
      <c r="F17" s="87" t="str">
        <f ca="1">IFERROR(__xludf.DUMMYFUNCTION("""COMPUTED_VALUE"""),"Yes")</f>
        <v>Yes</v>
      </c>
      <c r="G17" s="49" t="str">
        <f ca="1">IFERROR(__xludf.DUMMYFUNCTION("""COMPUTED_VALUE"""),"Gene Disease Validity")</f>
        <v>Gene Disease Validity</v>
      </c>
      <c r="H17" s="49" t="str">
        <f ca="1">IFERROR(__xludf.DUMMYFUNCTION("""COMPUTED_VALUE"""),"Hereditary Cancer")</f>
        <v>Hereditary Cancer</v>
      </c>
      <c r="I17" s="142">
        <f t="shared" ca="1" si="0"/>
        <v>43536</v>
      </c>
      <c r="J17" s="88">
        <f ca="1">IFERROR(__xludf.DUMMYFUNCTION("""COMPUTED_VALUE"""),43592)</f>
        <v>43592</v>
      </c>
      <c r="K17" s="139">
        <f t="shared" ca="1" si="1"/>
        <v>43628</v>
      </c>
      <c r="L17" s="88">
        <f ca="1">IFERROR(__xludf.DUMMYFUNCTION("""COMPUTED_VALUE"""),43713)</f>
        <v>43713</v>
      </c>
      <c r="M17" s="49"/>
      <c r="N17" s="49"/>
      <c r="O17" s="49"/>
      <c r="P17" s="49"/>
      <c r="Q17" s="49"/>
      <c r="R17" s="49"/>
      <c r="S17" s="49"/>
      <c r="T17" s="49"/>
      <c r="U17" s="49"/>
      <c r="V17" s="49"/>
      <c r="W17" s="49"/>
      <c r="X17" s="49"/>
      <c r="Y17" s="49"/>
      <c r="Z17" s="49"/>
      <c r="AA17" s="49"/>
      <c r="AB17" s="49"/>
      <c r="AC17" s="49"/>
      <c r="AD17" s="49"/>
    </row>
    <row r="18" spans="1:30" ht="14">
      <c r="A18" s="140">
        <f ca="1">IFERROR(__xludf.DUMMYFUNCTION("""COMPUTED_VALUE"""),43332.5822685185)</f>
        <v>43332.582268518498</v>
      </c>
      <c r="B18" s="141" t="str">
        <f ca="1">IFERROR(__xludf.DUMMYFUNCTION("""COMPUTED_VALUE"""),"Mythily Ganapathi")</f>
        <v>Mythily Ganapathi</v>
      </c>
      <c r="C18" s="141" t="str">
        <f ca="1">IFERROR(__xludf.DUMMYFUNCTION("""COMPUTED_VALUE"""),"mg3560@cumc.columbia.edu")</f>
        <v>mg3560@cumc.columbia.edu</v>
      </c>
      <c r="D18" s="49" t="str">
        <f ca="1">IFERROR(__xludf.DUMMYFUNCTION("""COMPUTED_VALUE"""),"Assigned")</f>
        <v>Assigned</v>
      </c>
      <c r="E18" s="88">
        <f ca="1">IFERROR(__xludf.DUMMYFUNCTION("""COMPUTED_VALUE"""),43446)</f>
        <v>43446</v>
      </c>
      <c r="F18" s="87" t="str">
        <f ca="1">IFERROR(__xludf.DUMMYFUNCTION("""COMPUTED_VALUE"""),"Yes")</f>
        <v>Yes</v>
      </c>
      <c r="G18" s="49" t="str">
        <f ca="1">IFERROR(__xludf.DUMMYFUNCTION("""COMPUTED_VALUE"""),"Gene Disease Validity")</f>
        <v>Gene Disease Validity</v>
      </c>
      <c r="H18" s="49" t="str">
        <f ca="1">IFERROR(__xludf.DUMMYFUNCTION("""COMPUTED_VALUE"""),"ID/Autism")</f>
        <v>ID/Autism</v>
      </c>
      <c r="I18" s="142">
        <f t="shared" ca="1" si="0"/>
        <v>43536</v>
      </c>
      <c r="J18" s="88">
        <f ca="1">IFERROR(__xludf.DUMMYFUNCTION("""COMPUTED_VALUE"""),43592)</f>
        <v>43592</v>
      </c>
      <c r="K18" s="139">
        <f t="shared" ca="1" si="1"/>
        <v>43628</v>
      </c>
      <c r="L18" s="88">
        <f ca="1">IFERROR(__xludf.DUMMYFUNCTION("""COMPUTED_VALUE"""),43713)</f>
        <v>43713</v>
      </c>
      <c r="M18" s="49"/>
      <c r="N18" s="49"/>
      <c r="O18" s="49"/>
      <c r="P18" s="49"/>
      <c r="Q18" s="49"/>
      <c r="R18" s="49"/>
      <c r="S18" s="49"/>
      <c r="T18" s="49"/>
      <c r="U18" s="49"/>
      <c r="V18" s="49"/>
      <c r="W18" s="49"/>
      <c r="X18" s="49"/>
      <c r="Y18" s="49"/>
      <c r="Z18" s="49"/>
      <c r="AA18" s="49"/>
      <c r="AB18" s="49"/>
      <c r="AC18" s="49"/>
      <c r="AD18" s="49"/>
    </row>
    <row r="19" spans="1:30" ht="14">
      <c r="A19" s="143">
        <f ca="1">IFERROR(__xludf.DUMMYFUNCTION("""COMPUTED_VALUE"""),43332.5831597222)</f>
        <v>43332.583159722199</v>
      </c>
      <c r="B19" s="141" t="str">
        <f ca="1">IFERROR(__xludf.DUMMYFUNCTION("""COMPUTED_VALUE"""),"Leslie Oldfield")</f>
        <v>Leslie Oldfield</v>
      </c>
      <c r="C19" s="141" t="str">
        <f ca="1">IFERROR(__xludf.DUMMYFUNCTION("""COMPUTED_VALUE"""),"leslie.oldfield@gmail.com")</f>
        <v>leslie.oldfield@gmail.com</v>
      </c>
      <c r="D19" s="49" t="str">
        <f ca="1">IFERROR(__xludf.DUMMYFUNCTION("""COMPUTED_VALUE"""),"Unresponsive")</f>
        <v>Unresponsive</v>
      </c>
      <c r="E19" s="87">
        <f ca="1">IFERROR(__xludf.DUMMYFUNCTION("""COMPUTED_VALUE"""),43585)</f>
        <v>43585</v>
      </c>
      <c r="F19" s="87" t="str">
        <f ca="1">IFERROR(__xludf.DUMMYFUNCTION("""COMPUTED_VALUE"""),"No")</f>
        <v>No</v>
      </c>
      <c r="G19" s="49" t="str">
        <f ca="1">IFERROR(__xludf.DUMMYFUNCTION("""COMPUTED_VALUE"""),"Gene Disease Validity")</f>
        <v>Gene Disease Validity</v>
      </c>
      <c r="H19" s="49" t="str">
        <f ca="1">IFERROR(__xludf.DUMMYFUNCTION("""COMPUTED_VALUE"""),"")</f>
        <v/>
      </c>
      <c r="I19" s="142">
        <f t="shared" ca="1" si="0"/>
        <v>43676</v>
      </c>
      <c r="J19" s="49" t="str">
        <f ca="1">IFERROR(__xludf.DUMMYFUNCTION("""COMPUTED_VALUE"""),"")</f>
        <v/>
      </c>
      <c r="K19" s="139">
        <f t="shared" ca="1" si="1"/>
        <v>43768</v>
      </c>
      <c r="L19" s="49" t="str">
        <f ca="1">IFERROR(__xludf.DUMMYFUNCTION("""COMPUTED_VALUE"""),"")</f>
        <v/>
      </c>
      <c r="M19" s="49"/>
      <c r="N19" s="49"/>
      <c r="O19" s="49"/>
      <c r="P19" s="49"/>
      <c r="Q19" s="49"/>
      <c r="R19" s="49"/>
      <c r="S19" s="49"/>
      <c r="T19" s="49"/>
      <c r="U19" s="49"/>
      <c r="V19" s="49"/>
      <c r="W19" s="49"/>
      <c r="X19" s="49"/>
      <c r="Y19" s="49"/>
      <c r="Z19" s="49"/>
      <c r="AA19" s="49"/>
      <c r="AB19" s="49"/>
      <c r="AC19" s="49"/>
      <c r="AD19" s="49"/>
    </row>
    <row r="20" spans="1:30" ht="14">
      <c r="A20" s="140">
        <f ca="1">IFERROR(__xludf.DUMMYFUNCTION("""COMPUTED_VALUE"""),43333.5866782407)</f>
        <v>43333.586678240703</v>
      </c>
      <c r="B20" s="141" t="str">
        <f ca="1">IFERROR(__xludf.DUMMYFUNCTION("""COMPUTED_VALUE"""),"John Shoffner")</f>
        <v>John Shoffner</v>
      </c>
      <c r="C20" s="141" t="str">
        <f ca="1">IFERROR(__xludf.DUMMYFUNCTION("""COMPUTED_VALUE"""),"jmsiv9903@icloud.com")</f>
        <v>jmsiv9903@icloud.com</v>
      </c>
      <c r="D20" s="49" t="str">
        <f ca="1">IFERROR(__xludf.DUMMYFUNCTION("""COMPUTED_VALUE"""),"Assigned")</f>
        <v>Assigned</v>
      </c>
      <c r="E20" s="88">
        <f ca="1">IFERROR(__xludf.DUMMYFUNCTION("""COMPUTED_VALUE"""),43446)</f>
        <v>43446</v>
      </c>
      <c r="F20" s="87" t="str">
        <f ca="1">IFERROR(__xludf.DUMMYFUNCTION("""COMPUTED_VALUE"""),"Yes")</f>
        <v>Yes</v>
      </c>
      <c r="G20" s="49" t="str">
        <f ca="1">IFERROR(__xludf.DUMMYFUNCTION("""COMPUTED_VALUE"""),"Gene Disease Validity")</f>
        <v>Gene Disease Validity</v>
      </c>
      <c r="H20" s="49" t="str">
        <f ca="1">IFERROR(__xludf.DUMMYFUNCTION("""COMPUTED_VALUE"""),"Mitochondrial GCEP")</f>
        <v>Mitochondrial GCEP</v>
      </c>
      <c r="I20" s="142">
        <f t="shared" ca="1" si="0"/>
        <v>43536</v>
      </c>
      <c r="J20" s="88">
        <f ca="1">IFERROR(__xludf.DUMMYFUNCTION("""COMPUTED_VALUE"""),43592)</f>
        <v>43592</v>
      </c>
      <c r="K20" s="139">
        <f t="shared" ca="1" si="1"/>
        <v>43628</v>
      </c>
      <c r="L20" s="88">
        <f ca="1">IFERROR(__xludf.DUMMYFUNCTION("""COMPUTED_VALUE"""),43713)</f>
        <v>43713</v>
      </c>
      <c r="M20" s="49"/>
      <c r="N20" s="49"/>
      <c r="O20" s="49"/>
      <c r="P20" s="49"/>
      <c r="Q20" s="49"/>
      <c r="R20" s="49"/>
      <c r="S20" s="49"/>
      <c r="T20" s="49"/>
      <c r="U20" s="49"/>
      <c r="V20" s="49"/>
      <c r="W20" s="49"/>
      <c r="X20" s="49"/>
      <c r="Y20" s="49"/>
      <c r="Z20" s="49"/>
      <c r="AA20" s="49"/>
      <c r="AB20" s="49"/>
      <c r="AC20" s="49"/>
      <c r="AD20" s="49"/>
    </row>
    <row r="21" spans="1:30" ht="14">
      <c r="A21" s="140">
        <f ca="1">IFERROR(__xludf.DUMMYFUNCTION("""COMPUTED_VALUE"""),43335.5874884259)</f>
        <v>43335.587488425903</v>
      </c>
      <c r="B21" s="141" t="str">
        <f ca="1">IFERROR(__xludf.DUMMYFUNCTION("""COMPUTED_VALUE"""),"Isabelle Thiffault")</f>
        <v>Isabelle Thiffault</v>
      </c>
      <c r="C21" s="141" t="str">
        <f ca="1">IFERROR(__xludf.DUMMYFUNCTION("""COMPUTED_VALUE"""),"ithiffault@cmh.edu")</f>
        <v>ithiffault@cmh.edu</v>
      </c>
      <c r="D21" s="49" t="str">
        <f ca="1">IFERROR(__xludf.DUMMYFUNCTION("""COMPUTED_VALUE"""),"Assigned")</f>
        <v>Assigned</v>
      </c>
      <c r="E21" s="88">
        <f ca="1">IFERROR(__xludf.DUMMYFUNCTION("""COMPUTED_VALUE"""),43446)</f>
        <v>43446</v>
      </c>
      <c r="F21" s="87" t="str">
        <f ca="1">IFERROR(__xludf.DUMMYFUNCTION("""COMPUTED_VALUE"""),"Yes")</f>
        <v>Yes</v>
      </c>
      <c r="G21" s="49" t="str">
        <f ca="1">IFERROR(__xludf.DUMMYFUNCTION("""COMPUTED_VALUE"""),"Gene Disease Validity")</f>
        <v>Gene Disease Validity</v>
      </c>
      <c r="H21" s="49" t="str">
        <f ca="1">IFERROR(__xludf.DUMMYFUNCTION("""COMPUTED_VALUE"""),"Mitochondrial GCEP")</f>
        <v>Mitochondrial GCEP</v>
      </c>
      <c r="I21" s="142">
        <f t="shared" ca="1" si="0"/>
        <v>43536</v>
      </c>
      <c r="J21" s="88">
        <f ca="1">IFERROR(__xludf.DUMMYFUNCTION("""COMPUTED_VALUE"""),43592)</f>
        <v>43592</v>
      </c>
      <c r="K21" s="139">
        <f t="shared" ca="1" si="1"/>
        <v>43628</v>
      </c>
      <c r="L21" s="88">
        <f ca="1">IFERROR(__xludf.DUMMYFUNCTION("""COMPUTED_VALUE"""),43713)</f>
        <v>43713</v>
      </c>
      <c r="M21" s="49"/>
      <c r="N21" s="49"/>
      <c r="O21" s="49"/>
      <c r="P21" s="49"/>
      <c r="Q21" s="49"/>
      <c r="R21" s="49"/>
      <c r="S21" s="49"/>
      <c r="T21" s="49"/>
      <c r="U21" s="49"/>
      <c r="V21" s="49"/>
      <c r="W21" s="49"/>
      <c r="X21" s="49"/>
      <c r="Y21" s="49"/>
      <c r="Z21" s="49"/>
      <c r="AA21" s="49"/>
      <c r="AB21" s="49"/>
      <c r="AC21" s="49"/>
      <c r="AD21" s="49"/>
    </row>
    <row r="22" spans="1:30" ht="14">
      <c r="A22" s="140">
        <f ca="1">IFERROR(__xludf.DUMMYFUNCTION("""COMPUTED_VALUE"""),43350.5902777777)</f>
        <v>43350.590277777701</v>
      </c>
      <c r="B22" s="141" t="str">
        <f ca="1">IFERROR(__xludf.DUMMYFUNCTION("""COMPUTED_VALUE"""),"Colin Ellis")</f>
        <v>Colin Ellis</v>
      </c>
      <c r="C22" s="141" t="str">
        <f ca="1">IFERROR(__xludf.DUMMYFUNCTION("""COMPUTED_VALUE"""),"colin.ellis@uphs.upenn.edu")</f>
        <v>colin.ellis@uphs.upenn.edu</v>
      </c>
      <c r="D22" s="49" t="str">
        <f ca="1">IFERROR(__xludf.DUMMYFUNCTION("""COMPUTED_VALUE"""),"Assigned")</f>
        <v>Assigned</v>
      </c>
      <c r="E22" s="88">
        <f ca="1">IFERROR(__xludf.DUMMYFUNCTION("""COMPUTED_VALUE"""),43446)</f>
        <v>43446</v>
      </c>
      <c r="F22" s="87" t="str">
        <f ca="1">IFERROR(__xludf.DUMMYFUNCTION("""COMPUTED_VALUE"""),"Yes")</f>
        <v>Yes</v>
      </c>
      <c r="G22" s="49" t="str">
        <f ca="1">IFERROR(__xludf.DUMMYFUNCTION("""COMPUTED_VALUE"""),"Gene Disease Validity")</f>
        <v>Gene Disease Validity</v>
      </c>
      <c r="H22" s="49" t="str">
        <f ca="1">IFERROR(__xludf.DUMMYFUNCTION("""COMPUTED_VALUE"""),"Epilepsy GCEP")</f>
        <v>Epilepsy GCEP</v>
      </c>
      <c r="I22" s="142">
        <f t="shared" ca="1" si="0"/>
        <v>43536</v>
      </c>
      <c r="J22" s="88">
        <f ca="1">IFERROR(__xludf.DUMMYFUNCTION("""COMPUTED_VALUE"""),43592)</f>
        <v>43592</v>
      </c>
      <c r="K22" s="139">
        <f t="shared" ca="1" si="1"/>
        <v>43628</v>
      </c>
      <c r="L22" s="88">
        <f ca="1">IFERROR(__xludf.DUMMYFUNCTION("""COMPUTED_VALUE"""),43713)</f>
        <v>43713</v>
      </c>
      <c r="M22" s="49"/>
      <c r="N22" s="49"/>
      <c r="O22" s="49"/>
      <c r="P22" s="49"/>
      <c r="Q22" s="49"/>
      <c r="R22" s="49"/>
      <c r="S22" s="49"/>
      <c r="T22" s="49"/>
      <c r="U22" s="49"/>
      <c r="V22" s="49"/>
      <c r="W22" s="49"/>
      <c r="X22" s="49"/>
      <c r="Y22" s="49"/>
      <c r="Z22" s="49"/>
      <c r="AA22" s="49"/>
      <c r="AB22" s="49"/>
      <c r="AC22" s="49"/>
      <c r="AD22" s="49"/>
    </row>
    <row r="23" spans="1:30" ht="14">
      <c r="A23" s="140">
        <f ca="1">IFERROR(__xludf.DUMMYFUNCTION("""COMPUTED_VALUE"""),43354.5908796296)</f>
        <v>43354.590879629599</v>
      </c>
      <c r="B23" s="141" t="str">
        <f ca="1">IFERROR(__xludf.DUMMYFUNCTION("""COMPUTED_VALUE"""),"Mansour Zamanpoor")</f>
        <v>Mansour Zamanpoor</v>
      </c>
      <c r="C23" s="141" t="str">
        <f ca="1">IFERROR(__xludf.DUMMYFUNCTION("""COMPUTED_VALUE"""),"mansour.zamanpoor@ccdhb.org.nz")</f>
        <v>mansour.zamanpoor@ccdhb.org.nz</v>
      </c>
      <c r="D23" s="49" t="str">
        <f ca="1">IFERROR(__xludf.DUMMYFUNCTION("""COMPUTED_VALUE"""),"Declined")</f>
        <v>Declined</v>
      </c>
      <c r="E23" s="88">
        <f ca="1">IFERROR(__xludf.DUMMYFUNCTION("""COMPUTED_VALUE"""),43446)</f>
        <v>43446</v>
      </c>
      <c r="F23" s="98" t="str">
        <f ca="1">IFERROR(__xludf.DUMMYFUNCTION("""COMPUTED_VALUE"""),"Yes")</f>
        <v>Yes</v>
      </c>
      <c r="G23" s="49" t="str">
        <f ca="1">IFERROR(__xludf.DUMMYFUNCTION("""COMPUTED_VALUE"""),"Gene Disease Validity")</f>
        <v>Gene Disease Validity</v>
      </c>
      <c r="H23" s="49" t="str">
        <f ca="1">IFERROR(__xludf.DUMMYFUNCTION("""COMPUTED_VALUE"""),"Hereditary Cancer")</f>
        <v>Hereditary Cancer</v>
      </c>
      <c r="I23" s="142">
        <f t="shared" ca="1" si="0"/>
        <v>43536</v>
      </c>
      <c r="J23" s="88">
        <f ca="1">IFERROR(__xludf.DUMMYFUNCTION("""COMPUTED_VALUE"""),43592)</f>
        <v>43592</v>
      </c>
      <c r="K23" s="139">
        <f t="shared" ca="1" si="1"/>
        <v>43628</v>
      </c>
      <c r="L23" s="88">
        <f ca="1">IFERROR(__xludf.DUMMYFUNCTION("""COMPUTED_VALUE"""),43713)</f>
        <v>43713</v>
      </c>
      <c r="M23" s="49"/>
      <c r="N23" s="49"/>
      <c r="O23" s="49"/>
      <c r="P23" s="49"/>
      <c r="Q23" s="49"/>
      <c r="R23" s="49"/>
      <c r="S23" s="49"/>
      <c r="T23" s="49"/>
      <c r="U23" s="49"/>
      <c r="V23" s="49"/>
      <c r="W23" s="49"/>
      <c r="X23" s="49"/>
      <c r="Y23" s="49"/>
      <c r="Z23" s="49"/>
      <c r="AA23" s="49"/>
      <c r="AB23" s="49"/>
      <c r="AC23" s="49"/>
      <c r="AD23" s="49"/>
    </row>
    <row r="24" spans="1:30" ht="14">
      <c r="A24" s="140">
        <f ca="1">IFERROR(__xludf.DUMMYFUNCTION("""COMPUTED_VALUE"""),43356.5915972222)</f>
        <v>43356.591597222199</v>
      </c>
      <c r="B24" s="141" t="str">
        <f ca="1">IFERROR(__xludf.DUMMYFUNCTION("""COMPUTED_VALUE"""),"Benjamin Kang")</f>
        <v>Benjamin Kang</v>
      </c>
      <c r="C24" s="141" t="str">
        <f ca="1">IFERROR(__xludf.DUMMYFUNCTION("""COMPUTED_VALUE"""),"bekang@emory.edu")</f>
        <v>bekang@emory.edu</v>
      </c>
      <c r="D24" s="49" t="str">
        <f ca="1">IFERROR(__xludf.DUMMYFUNCTION("""COMPUTED_VALUE"""),"Assigned")</f>
        <v>Assigned</v>
      </c>
      <c r="E24" s="88">
        <f ca="1">IFERROR(__xludf.DUMMYFUNCTION("""COMPUTED_VALUE"""),43446)</f>
        <v>43446</v>
      </c>
      <c r="F24" s="99" t="str">
        <f ca="1">IFERROR(__xludf.DUMMYFUNCTION("""COMPUTED_VALUE"""),"Yes")</f>
        <v>Yes</v>
      </c>
      <c r="G24" s="49" t="str">
        <f ca="1">IFERROR(__xludf.DUMMYFUNCTION("""COMPUTED_VALUE"""),"Gene Disease Validity")</f>
        <v>Gene Disease Validity</v>
      </c>
      <c r="H24" s="49" t="str">
        <f ca="1">IFERROR(__xludf.DUMMYFUNCTION("""COMPUTED_VALUE"""),"Epilepsy ")</f>
        <v xml:space="preserve">Epilepsy </v>
      </c>
      <c r="I24" s="142">
        <f t="shared" ca="1" si="0"/>
        <v>43536</v>
      </c>
      <c r="J24" s="88">
        <f ca="1">IFERROR(__xludf.DUMMYFUNCTION("""COMPUTED_VALUE"""),43592)</f>
        <v>43592</v>
      </c>
      <c r="K24" s="139">
        <f t="shared" ca="1" si="1"/>
        <v>43628</v>
      </c>
      <c r="L24" s="88">
        <f ca="1">IFERROR(__xludf.DUMMYFUNCTION("""COMPUTED_VALUE"""),43713)</f>
        <v>43713</v>
      </c>
      <c r="M24" s="49"/>
      <c r="N24" s="49"/>
      <c r="O24" s="49"/>
      <c r="P24" s="49"/>
      <c r="Q24" s="49"/>
      <c r="R24" s="49"/>
      <c r="S24" s="49"/>
      <c r="T24" s="49"/>
      <c r="U24" s="49"/>
      <c r="V24" s="49"/>
      <c r="W24" s="49"/>
      <c r="X24" s="49"/>
      <c r="Y24" s="49"/>
      <c r="Z24" s="49"/>
      <c r="AA24" s="49"/>
      <c r="AB24" s="49"/>
      <c r="AC24" s="49"/>
      <c r="AD24" s="49"/>
    </row>
    <row r="25" spans="1:30" ht="14">
      <c r="A25" s="140">
        <f ca="1">IFERROR(__xludf.DUMMYFUNCTION("""COMPUTED_VALUE"""),43357.5930671296)</f>
        <v>43357.593067129601</v>
      </c>
      <c r="B25" s="141" t="str">
        <f ca="1">IFERROR(__xludf.DUMMYFUNCTION("""COMPUTED_VALUE"""),"Ljubica Caldovic")</f>
        <v>Ljubica Caldovic</v>
      </c>
      <c r="C25" s="141" t="str">
        <f ca="1">IFERROR(__xludf.DUMMYFUNCTION("""COMPUTED_VALUE"""),"lcaldovic@childrensnational.org")</f>
        <v>lcaldovic@childrensnational.org</v>
      </c>
      <c r="D25" s="49" t="str">
        <f ca="1">IFERROR(__xludf.DUMMYFUNCTION("""COMPUTED_VALUE"""),"Contacted")</f>
        <v>Contacted</v>
      </c>
      <c r="E25" s="88">
        <f ca="1">IFERROR(__xludf.DUMMYFUNCTION("""COMPUTED_VALUE"""),43585)</f>
        <v>43585</v>
      </c>
      <c r="F25" s="99" t="str">
        <f ca="1">IFERROR(__xludf.DUMMYFUNCTION("""COMPUTED_VALUE"""),"Yes")</f>
        <v>Yes</v>
      </c>
      <c r="G25" s="49" t="str">
        <f ca="1">IFERROR(__xludf.DUMMYFUNCTION("""COMPUTED_VALUE"""),"Gene Disease Validity")</f>
        <v>Gene Disease Validity</v>
      </c>
      <c r="H25" s="49" t="str">
        <f ca="1">IFERROR(__xludf.DUMMYFUNCTION("""COMPUTED_VALUE"""),"Aminoacidopathy")</f>
        <v>Aminoacidopathy</v>
      </c>
      <c r="I25" s="142">
        <f t="shared" ca="1" si="0"/>
        <v>43676</v>
      </c>
      <c r="J25" s="49" t="str">
        <f ca="1">IFERROR(__xludf.DUMMYFUNCTION("""COMPUTED_VALUE"""),"")</f>
        <v/>
      </c>
      <c r="K25" s="139">
        <f t="shared" ca="1" si="1"/>
        <v>43768</v>
      </c>
      <c r="L25" s="49" t="str">
        <f ca="1">IFERROR(__xludf.DUMMYFUNCTION("""COMPUTED_VALUE"""),"")</f>
        <v/>
      </c>
      <c r="M25" s="49"/>
      <c r="N25" s="49"/>
      <c r="O25" s="49"/>
      <c r="P25" s="49"/>
      <c r="Q25" s="49"/>
      <c r="R25" s="49"/>
      <c r="S25" s="49"/>
      <c r="T25" s="49"/>
      <c r="U25" s="49"/>
      <c r="V25" s="49"/>
      <c r="W25" s="49"/>
      <c r="X25" s="49"/>
      <c r="Y25" s="49"/>
      <c r="Z25" s="49"/>
      <c r="AA25" s="49"/>
      <c r="AB25" s="49"/>
      <c r="AC25" s="49"/>
      <c r="AD25" s="49"/>
    </row>
    <row r="26" spans="1:30" ht="14">
      <c r="A26" s="140">
        <f ca="1">IFERROR(__xludf.DUMMYFUNCTION("""COMPUTED_VALUE"""),43384.5971412037)</f>
        <v>43384.597141203703</v>
      </c>
      <c r="B26" s="141" t="str">
        <f ca="1">IFERROR(__xludf.DUMMYFUNCTION("""COMPUTED_VALUE"""),"Vaidehi Jobanputra")</f>
        <v>Vaidehi Jobanputra</v>
      </c>
      <c r="C26" s="141" t="str">
        <f ca="1">IFERROR(__xludf.DUMMYFUNCTION("""COMPUTED_VALUE"""),"vjobanputra@nygenome.org")</f>
        <v>vjobanputra@nygenome.org</v>
      </c>
      <c r="D26" s="49" t="str">
        <f ca="1">IFERROR(__xludf.DUMMYFUNCTION("""COMPUTED_VALUE"""),"Contacted")</f>
        <v>Contacted</v>
      </c>
      <c r="E26" s="88">
        <f ca="1">IFERROR(__xludf.DUMMYFUNCTION("""COMPUTED_VALUE"""),43446)</f>
        <v>43446</v>
      </c>
      <c r="F26" s="99" t="str">
        <f ca="1">IFERROR(__xludf.DUMMYFUNCTION("""COMPUTED_VALUE"""),"No")</f>
        <v>No</v>
      </c>
      <c r="G26" s="49" t="str">
        <f ca="1">IFERROR(__xludf.DUMMYFUNCTION("""COMPUTED_VALUE"""),"Gene Disease Validity")</f>
        <v>Gene Disease Validity</v>
      </c>
      <c r="H26" s="49" t="str">
        <f ca="1">IFERROR(__xludf.DUMMYFUNCTION("""COMPUTED_VALUE"""),"")</f>
        <v/>
      </c>
      <c r="I26" s="142">
        <f t="shared" ca="1" si="0"/>
        <v>43536</v>
      </c>
      <c r="J26" s="49" t="str">
        <f ca="1">IFERROR(__xludf.DUMMYFUNCTION("""COMPUTED_VALUE"""),"")</f>
        <v/>
      </c>
      <c r="K26" s="139">
        <f t="shared" ca="1" si="1"/>
        <v>43628</v>
      </c>
      <c r="L26" s="49" t="str">
        <f ca="1">IFERROR(__xludf.DUMMYFUNCTION("""COMPUTED_VALUE"""),"")</f>
        <v/>
      </c>
      <c r="M26" s="49"/>
      <c r="N26" s="49"/>
      <c r="O26" s="49"/>
      <c r="P26" s="49"/>
      <c r="Q26" s="49"/>
      <c r="R26" s="49"/>
      <c r="S26" s="49"/>
      <c r="T26" s="49"/>
      <c r="U26" s="49"/>
      <c r="V26" s="49"/>
      <c r="W26" s="49"/>
      <c r="X26" s="49"/>
      <c r="Y26" s="49"/>
      <c r="Z26" s="49"/>
      <c r="AA26" s="49"/>
      <c r="AB26" s="49"/>
      <c r="AC26" s="49"/>
      <c r="AD26" s="49"/>
    </row>
    <row r="27" spans="1:30" ht="14">
      <c r="A27" s="140">
        <f ca="1">IFERROR(__xludf.DUMMYFUNCTION("""COMPUTED_VALUE"""),43413.5994675925)</f>
        <v>43413.599467592503</v>
      </c>
      <c r="B27" s="141" t="str">
        <f ca="1">IFERROR(__xludf.DUMMYFUNCTION("""COMPUTED_VALUE"""),"Erik Thorland")</f>
        <v>Erik Thorland</v>
      </c>
      <c r="C27" s="141" t="str">
        <f ca="1">IFERROR(__xludf.DUMMYFUNCTION("""COMPUTED_VALUE"""),"thorland.erik@mayo.edu")</f>
        <v>thorland.erik@mayo.edu</v>
      </c>
      <c r="D27" s="49" t="str">
        <f ca="1">IFERROR(__xludf.DUMMYFUNCTION("""COMPUTED_VALUE"""),"Contacted")</f>
        <v>Contacted</v>
      </c>
      <c r="E27" s="87">
        <f ca="1">IFERROR(__xludf.DUMMYFUNCTION("""COMPUTED_VALUE"""),43585)</f>
        <v>43585</v>
      </c>
      <c r="F27" s="49" t="str">
        <f ca="1">IFERROR(__xludf.DUMMYFUNCTION("""COMPUTED_VALUE"""),"No")</f>
        <v>No</v>
      </c>
      <c r="G27" s="49" t="str">
        <f ca="1">IFERROR(__xludf.DUMMYFUNCTION("""COMPUTED_VALUE"""),"Gene Disease Validity")</f>
        <v>Gene Disease Validity</v>
      </c>
      <c r="H27" s="49" t="str">
        <f ca="1">IFERROR(__xludf.DUMMYFUNCTION("""COMPUTED_VALUE"""),"Epilepsy")</f>
        <v>Epilepsy</v>
      </c>
      <c r="I27" s="142">
        <f t="shared" ca="1" si="0"/>
        <v>43676</v>
      </c>
      <c r="J27" s="88">
        <f ca="1">IFERROR(__xludf.DUMMYFUNCTION("""COMPUTED_VALUE"""),43712)</f>
        <v>43712</v>
      </c>
      <c r="K27" s="139">
        <f t="shared" ca="1" si="1"/>
        <v>43768</v>
      </c>
      <c r="L27" s="88" t="str">
        <f ca="1">IFERROR(__xludf.DUMMYFUNCTION("""COMPUTED_VALUE"""),"")</f>
        <v/>
      </c>
      <c r="M27" s="49"/>
      <c r="N27" s="49"/>
      <c r="O27" s="49"/>
      <c r="P27" s="49"/>
      <c r="Q27" s="49"/>
      <c r="R27" s="49"/>
      <c r="S27" s="49"/>
      <c r="T27" s="49"/>
      <c r="U27" s="49"/>
      <c r="V27" s="49"/>
      <c r="W27" s="49"/>
      <c r="X27" s="49"/>
      <c r="Y27" s="49"/>
      <c r="Z27" s="49"/>
      <c r="AA27" s="49"/>
      <c r="AB27" s="49"/>
      <c r="AC27" s="49"/>
      <c r="AD27" s="49"/>
    </row>
    <row r="28" spans="1:30" ht="14">
      <c r="A28" s="140">
        <f ca="1">IFERROR(__xludf.DUMMYFUNCTION("""COMPUTED_VALUE"""),43434.6006134259)</f>
        <v>43434.600613425901</v>
      </c>
      <c r="B28" s="141" t="str">
        <f ca="1">IFERROR(__xludf.DUMMYFUNCTION("""COMPUTED_VALUE"""),"Olivia Rennie")</f>
        <v>Olivia Rennie</v>
      </c>
      <c r="C28" s="141" t="str">
        <f ca="1">IFERROR(__xludf.DUMMYFUNCTION("""COMPUTED_VALUE"""),"olivia.rennie@sickkids.ca")</f>
        <v>olivia.rennie@sickkids.ca</v>
      </c>
      <c r="D28" s="49" t="str">
        <f ca="1">IFERROR(__xludf.DUMMYFUNCTION("""COMPUTED_VALUE"""),"Assigned")</f>
        <v>Assigned</v>
      </c>
      <c r="E28" s="88">
        <f ca="1">IFERROR(__xludf.DUMMYFUNCTION("""COMPUTED_VALUE"""),43446)</f>
        <v>43446</v>
      </c>
      <c r="F28" s="87" t="str">
        <f ca="1">IFERROR(__xludf.DUMMYFUNCTION("""COMPUTED_VALUE"""),"Yes")</f>
        <v>Yes</v>
      </c>
      <c r="G28" s="49" t="str">
        <f ca="1">IFERROR(__xludf.DUMMYFUNCTION("""COMPUTED_VALUE"""),"Gene Disease Validity")</f>
        <v>Gene Disease Validity</v>
      </c>
      <c r="H28" s="49" t="str">
        <f ca="1">IFERROR(__xludf.DUMMYFUNCTION("""COMPUTED_VALUE"""),"ID Autism")</f>
        <v>ID Autism</v>
      </c>
      <c r="I28" s="142">
        <f t="shared" ca="1" si="0"/>
        <v>43536</v>
      </c>
      <c r="J28" s="88">
        <f ca="1">IFERROR(__xludf.DUMMYFUNCTION("""COMPUTED_VALUE"""),43592)</f>
        <v>43592</v>
      </c>
      <c r="K28" s="139">
        <f t="shared" ca="1" si="1"/>
        <v>43628</v>
      </c>
      <c r="L28" s="88">
        <f ca="1">IFERROR(__xludf.DUMMYFUNCTION("""COMPUTED_VALUE"""),43713)</f>
        <v>43713</v>
      </c>
      <c r="M28" s="49"/>
      <c r="N28" s="49"/>
      <c r="O28" s="49"/>
      <c r="P28" s="49"/>
      <c r="Q28" s="49"/>
      <c r="R28" s="49"/>
      <c r="S28" s="49"/>
      <c r="T28" s="49"/>
      <c r="U28" s="49"/>
      <c r="V28" s="49"/>
      <c r="W28" s="49"/>
      <c r="X28" s="49"/>
      <c r="Y28" s="49"/>
      <c r="Z28" s="49"/>
      <c r="AA28" s="49"/>
      <c r="AB28" s="49"/>
      <c r="AC28" s="49"/>
      <c r="AD28" s="49"/>
    </row>
    <row r="29" spans="1:30" ht="14">
      <c r="A29" s="140">
        <f ca="1">IFERROR(__xludf.DUMMYFUNCTION("""COMPUTED_VALUE"""),43473.6013753472)</f>
        <v>43473.6013753472</v>
      </c>
      <c r="B29" s="141" t="str">
        <f ca="1">IFERROR(__xludf.DUMMYFUNCTION("""COMPUTED_VALUE"""),"Kira Dies")</f>
        <v>Kira Dies</v>
      </c>
      <c r="C29" s="141" t="str">
        <f ca="1">IFERROR(__xludf.DUMMYFUNCTION("""COMPUTED_VALUE"""),"Kira.Dies@childrens.harvard.edu")</f>
        <v>Kira.Dies@childrens.harvard.edu</v>
      </c>
      <c r="D29" s="49" t="str">
        <f ca="1">IFERROR(__xludf.DUMMYFUNCTION("""COMPUTED_VALUE"""),"Declined")</f>
        <v>Declined</v>
      </c>
      <c r="E29" s="88">
        <f ca="1">IFERROR(__xludf.DUMMYFUNCTION("""COMPUTED_VALUE"""),43446)</f>
        <v>43446</v>
      </c>
      <c r="F29" s="87" t="str">
        <f ca="1">IFERROR(__xludf.DUMMYFUNCTION("""COMPUTED_VALUE"""),"Yes")</f>
        <v>Yes</v>
      </c>
      <c r="G29" s="49" t="str">
        <f ca="1">IFERROR(__xludf.DUMMYFUNCTION("""COMPUTED_VALUE"""),"Gene Disease Validity")</f>
        <v>Gene Disease Validity</v>
      </c>
      <c r="H29" s="49" t="str">
        <f ca="1">IFERROR(__xludf.DUMMYFUNCTION("""COMPUTED_VALUE"""),"ID Autism")</f>
        <v>ID Autism</v>
      </c>
      <c r="I29" s="142">
        <f t="shared" ca="1" si="0"/>
        <v>43536</v>
      </c>
      <c r="J29" s="88">
        <f ca="1">IFERROR(__xludf.DUMMYFUNCTION("""COMPUTED_VALUE"""),43592)</f>
        <v>43592</v>
      </c>
      <c r="K29" s="139">
        <f t="shared" ca="1" si="1"/>
        <v>43628</v>
      </c>
      <c r="L29" s="88">
        <f ca="1">IFERROR(__xludf.DUMMYFUNCTION("""COMPUTED_VALUE"""),43713)</f>
        <v>43713</v>
      </c>
      <c r="M29" s="49"/>
      <c r="N29" s="49"/>
      <c r="O29" s="49"/>
      <c r="P29" s="49"/>
      <c r="Q29" s="49"/>
      <c r="R29" s="49"/>
      <c r="S29" s="49"/>
      <c r="T29" s="49"/>
      <c r="U29" s="49"/>
      <c r="V29" s="49"/>
      <c r="W29" s="49"/>
      <c r="X29" s="49"/>
      <c r="Y29" s="49"/>
      <c r="Z29" s="49"/>
      <c r="AA29" s="49"/>
      <c r="AB29" s="49"/>
      <c r="AC29" s="49"/>
      <c r="AD29" s="49"/>
    </row>
    <row r="30" spans="1:30" ht="14">
      <c r="A30" s="140">
        <f ca="1">IFERROR(__xludf.DUMMYFUNCTION("""COMPUTED_VALUE"""),43335.6058796296)</f>
        <v>43335.605879629598</v>
      </c>
      <c r="B30" s="141" t="str">
        <f ca="1">IFERROR(__xludf.DUMMYFUNCTION("""COMPUTED_VALUE"""),"Sainan Wei")</f>
        <v>Sainan Wei</v>
      </c>
      <c r="C30" s="141" t="str">
        <f ca="1">IFERROR(__xludf.DUMMYFUNCTION("""COMPUTED_VALUE"""),"sainan.wei@uky.edu ")</f>
        <v xml:space="preserve">sainan.wei@uky.edu </v>
      </c>
      <c r="D30" s="49" t="str">
        <f ca="1">IFERROR(__xludf.DUMMYFUNCTION("""COMPUTED_VALUE"""),"Assigned")</f>
        <v>Assigned</v>
      </c>
      <c r="E30" s="99">
        <f ca="1">IFERROR(__xludf.DUMMYFUNCTION("""COMPUTED_VALUE"""),43341)</f>
        <v>43341</v>
      </c>
      <c r="F30" s="99" t="str">
        <f ca="1">IFERROR(__xludf.DUMMYFUNCTION("""COMPUTED_VALUE"""),"Yes")</f>
        <v>Yes</v>
      </c>
      <c r="G30" s="49" t="str">
        <f ca="1">IFERROR(__xludf.DUMMYFUNCTION("""COMPUTED_VALUE"""),"Gene Disease Validity")</f>
        <v>Gene Disease Validity</v>
      </c>
      <c r="H30" s="49" t="str">
        <f ca="1">IFERROR(__xludf.DUMMYFUNCTION("""COMPUTED_VALUE"""),"Hereditary Cancer")</f>
        <v>Hereditary Cancer</v>
      </c>
      <c r="I30" s="142">
        <f t="shared" ca="1" si="0"/>
        <v>43433</v>
      </c>
      <c r="J30" s="88">
        <f ca="1">IFERROR(__xludf.DUMMYFUNCTION("""COMPUTED_VALUE"""),43592)</f>
        <v>43592</v>
      </c>
      <c r="K30" s="139">
        <f t="shared" ca="1" si="1"/>
        <v>43524</v>
      </c>
      <c r="L30" s="88">
        <f ca="1">IFERROR(__xludf.DUMMYFUNCTION("""COMPUTED_VALUE"""),43713)</f>
        <v>43713</v>
      </c>
      <c r="M30" s="49"/>
      <c r="N30" s="49"/>
      <c r="O30" s="49"/>
      <c r="P30" s="49"/>
      <c r="Q30" s="49"/>
      <c r="R30" s="49"/>
      <c r="S30" s="49"/>
      <c r="T30" s="49"/>
      <c r="U30" s="49"/>
      <c r="V30" s="49"/>
      <c r="W30" s="49"/>
      <c r="X30" s="49"/>
      <c r="Y30" s="49"/>
      <c r="Z30" s="49"/>
      <c r="AA30" s="49"/>
      <c r="AB30" s="49"/>
      <c r="AC30" s="49"/>
      <c r="AD30" s="49"/>
    </row>
    <row r="31" spans="1:30" ht="14">
      <c r="A31" s="140">
        <f ca="1">IFERROR(__xludf.DUMMYFUNCTION("""COMPUTED_VALUE"""),43339.6066319444)</f>
        <v>43339.6066319444</v>
      </c>
      <c r="B31" s="141" t="str">
        <f ca="1">IFERROR(__xludf.DUMMYFUNCTION("""COMPUTED_VALUE"""),"Preti Jain")</f>
        <v>Preti Jain</v>
      </c>
      <c r="C31" s="141" t="str">
        <f ca="1">IFERROR(__xludf.DUMMYFUNCTION("""COMPUTED_VALUE"""),"preti.jain@yale.edu")</f>
        <v>preti.jain@yale.edu</v>
      </c>
      <c r="D31" s="49" t="str">
        <f ca="1">IFERROR(__xludf.DUMMYFUNCTION("""COMPUTED_VALUE"""),"Assigned")</f>
        <v>Assigned</v>
      </c>
      <c r="E31" s="88">
        <f ca="1">IFERROR(__xludf.DUMMYFUNCTION("""COMPUTED_VALUE"""),43453)</f>
        <v>43453</v>
      </c>
      <c r="F31" s="98" t="str">
        <f ca="1">IFERROR(__xludf.DUMMYFUNCTION("""COMPUTED_VALUE"""),"Yes")</f>
        <v>Yes</v>
      </c>
      <c r="G31" s="49" t="str">
        <f ca="1">IFERROR(__xludf.DUMMYFUNCTION("""COMPUTED_VALUE"""),"Dosage Sensitivity")</f>
        <v>Dosage Sensitivity</v>
      </c>
      <c r="H31" s="49" t="str">
        <f ca="1">IFERROR(__xludf.DUMMYFUNCTION("""COMPUTED_VALUE"""),"")</f>
        <v/>
      </c>
      <c r="I31" s="142">
        <f t="shared" ca="1" si="0"/>
        <v>43543</v>
      </c>
      <c r="J31" s="88">
        <f ca="1">IFERROR(__xludf.DUMMYFUNCTION("""COMPUTED_VALUE"""),43592)</f>
        <v>43592</v>
      </c>
      <c r="K31" s="139">
        <f t="shared" ca="1" si="1"/>
        <v>43635</v>
      </c>
      <c r="L31" s="88">
        <f ca="1">IFERROR(__xludf.DUMMYFUNCTION("""COMPUTED_VALUE"""),43713)</f>
        <v>43713</v>
      </c>
      <c r="M31" s="49"/>
      <c r="N31" s="49"/>
      <c r="O31" s="49"/>
      <c r="P31" s="49"/>
      <c r="Q31" s="49"/>
      <c r="R31" s="49"/>
      <c r="S31" s="49"/>
      <c r="T31" s="49"/>
      <c r="U31" s="49"/>
      <c r="V31" s="49"/>
      <c r="W31" s="49"/>
      <c r="X31" s="49"/>
      <c r="Y31" s="49"/>
      <c r="Z31" s="49"/>
      <c r="AA31" s="49"/>
      <c r="AB31" s="49"/>
      <c r="AC31" s="49"/>
      <c r="AD31" s="49"/>
    </row>
    <row r="32" spans="1:30" ht="14">
      <c r="A32" s="140">
        <f ca="1">IFERROR(__xludf.DUMMYFUNCTION("""COMPUTED_VALUE"""),43355.6103819444)</f>
        <v>43355.610381944403</v>
      </c>
      <c r="B32" s="141" t="str">
        <f ca="1">IFERROR(__xludf.DUMMYFUNCTION("""COMPUTED_VALUE"""),"Andrea Vaags")</f>
        <v>Andrea Vaags</v>
      </c>
      <c r="C32" s="141" t="str">
        <f ca="1">IFERROR(__xludf.DUMMYFUNCTION("""COMPUTED_VALUE"""),"andrea.vaags@thp.ca")</f>
        <v>andrea.vaags@thp.ca</v>
      </c>
      <c r="D32" s="49" t="str">
        <f ca="1">IFERROR(__xludf.DUMMYFUNCTION("""COMPUTED_VALUE"""),"Assigned")</f>
        <v>Assigned</v>
      </c>
      <c r="E32" s="99">
        <f ca="1">IFERROR(__xludf.DUMMYFUNCTION("""COMPUTED_VALUE"""),43341)</f>
        <v>43341</v>
      </c>
      <c r="F32" s="87" t="str">
        <f ca="1">IFERROR(__xludf.DUMMYFUNCTION("""COMPUTED_VALUE"""),"Yes")</f>
        <v>Yes</v>
      </c>
      <c r="G32" s="49" t="str">
        <f ca="1">IFERROR(__xludf.DUMMYFUNCTION("""COMPUTED_VALUE"""),"Dosage Sensitivity")</f>
        <v>Dosage Sensitivity</v>
      </c>
      <c r="H32" s="49" t="str">
        <f ca="1">IFERROR(__xludf.DUMMYFUNCTION("""COMPUTED_VALUE"""),"")</f>
        <v/>
      </c>
      <c r="I32" s="142">
        <f t="shared" ca="1" si="0"/>
        <v>43433</v>
      </c>
      <c r="J32" s="88">
        <f ca="1">IFERROR(__xludf.DUMMYFUNCTION("""COMPUTED_VALUE"""),43592)</f>
        <v>43592</v>
      </c>
      <c r="K32" s="139">
        <f t="shared" ca="1" si="1"/>
        <v>43524</v>
      </c>
      <c r="L32" s="88">
        <f ca="1">IFERROR(__xludf.DUMMYFUNCTION("""COMPUTED_VALUE"""),43713)</f>
        <v>43713</v>
      </c>
      <c r="M32" s="49"/>
      <c r="N32" s="49"/>
      <c r="O32" s="49"/>
      <c r="P32" s="49"/>
      <c r="Q32" s="49"/>
      <c r="R32" s="49"/>
      <c r="S32" s="49"/>
      <c r="T32" s="49"/>
      <c r="U32" s="49"/>
      <c r="V32" s="49"/>
      <c r="W32" s="49"/>
      <c r="X32" s="49"/>
      <c r="Y32" s="49"/>
      <c r="Z32" s="49"/>
      <c r="AA32" s="49"/>
      <c r="AB32" s="49"/>
      <c r="AC32" s="49"/>
      <c r="AD32" s="49"/>
    </row>
    <row r="33" spans="1:30" ht="16.5" customHeight="1">
      <c r="A33" s="140">
        <f ca="1">IFERROR(__xludf.DUMMYFUNCTION("""COMPUTED_VALUE"""),43402.6114351851)</f>
        <v>43402.611435185099</v>
      </c>
      <c r="B33" s="141" t="str">
        <f ca="1">IFERROR(__xludf.DUMMYFUNCTION("""COMPUTED_VALUE"""),"George Burghel")</f>
        <v>George Burghel</v>
      </c>
      <c r="C33" s="141" t="str">
        <f ca="1">IFERROR(__xludf.DUMMYFUNCTION("""COMPUTED_VALUE"""),"george.burghel@mft.nhs.uk")</f>
        <v>george.burghel@mft.nhs.uk</v>
      </c>
      <c r="D33" s="49" t="str">
        <f ca="1">IFERROR(__xludf.DUMMYFUNCTION("""COMPUTED_VALUE"""),"Assigned")</f>
        <v>Assigned</v>
      </c>
      <c r="E33" s="88">
        <f ca="1">IFERROR(__xludf.DUMMYFUNCTION("""COMPUTED_VALUE"""),43453)</f>
        <v>43453</v>
      </c>
      <c r="F33" s="98" t="str">
        <f ca="1">IFERROR(__xludf.DUMMYFUNCTION("""COMPUTED_VALUE"""),"Yes")</f>
        <v>Yes</v>
      </c>
      <c r="G33" s="49" t="str">
        <f ca="1">IFERROR(__xludf.DUMMYFUNCTION("""COMPUTED_VALUE"""),"Dosage Sensitivity")</f>
        <v>Dosage Sensitivity</v>
      </c>
      <c r="H33" s="49" t="str">
        <f ca="1">IFERROR(__xludf.DUMMYFUNCTION("""COMPUTED_VALUE"""),"")</f>
        <v/>
      </c>
      <c r="I33" s="142">
        <f t="shared" ca="1" si="0"/>
        <v>43543</v>
      </c>
      <c r="J33" s="88">
        <f ca="1">IFERROR(__xludf.DUMMYFUNCTION("""COMPUTED_VALUE"""),43592)</f>
        <v>43592</v>
      </c>
      <c r="K33" s="139">
        <f t="shared" ca="1" si="1"/>
        <v>43635</v>
      </c>
      <c r="L33" s="88">
        <f ca="1">IFERROR(__xludf.DUMMYFUNCTION("""COMPUTED_VALUE"""),43713)</f>
        <v>43713</v>
      </c>
      <c r="M33" s="49"/>
      <c r="N33" s="49"/>
      <c r="O33" s="49"/>
      <c r="P33" s="49"/>
      <c r="Q33" s="49"/>
      <c r="R33" s="49"/>
      <c r="S33" s="49"/>
      <c r="T33" s="49"/>
      <c r="U33" s="49"/>
      <c r="V33" s="49"/>
      <c r="W33" s="49"/>
      <c r="X33" s="49"/>
      <c r="Y33" s="49"/>
      <c r="Z33" s="49"/>
      <c r="AA33" s="49"/>
      <c r="AB33" s="49"/>
      <c r="AC33" s="49"/>
      <c r="AD33" s="49"/>
    </row>
    <row r="34" spans="1:30" ht="14">
      <c r="A34" s="140">
        <f ca="1">IFERROR(__xludf.DUMMYFUNCTION("""COMPUTED_VALUE"""),43417.6121643518)</f>
        <v>43417.612164351798</v>
      </c>
      <c r="B34" s="141" t="str">
        <f ca="1">IFERROR(__xludf.DUMMYFUNCTION("""COMPUTED_VALUE"""),"Coumarane Mani")</f>
        <v>Coumarane Mani</v>
      </c>
      <c r="C34" s="141" t="str">
        <f ca="1">IFERROR(__xludf.DUMMYFUNCTION("""COMPUTED_VALUE"""),"coumarane.mani@aruplab.com")</f>
        <v>coumarane.mani@aruplab.com</v>
      </c>
      <c r="D34" s="49" t="str">
        <f ca="1">IFERROR(__xludf.DUMMYFUNCTION("""COMPUTED_VALUE"""),"Assigned")</f>
        <v>Assigned</v>
      </c>
      <c r="E34" s="88">
        <f ca="1">IFERROR(__xludf.DUMMYFUNCTION("""COMPUTED_VALUE"""),43453)</f>
        <v>43453</v>
      </c>
      <c r="F34" s="98" t="str">
        <f ca="1">IFERROR(__xludf.DUMMYFUNCTION("""COMPUTED_VALUE"""),"Yes")</f>
        <v>Yes</v>
      </c>
      <c r="G34" s="49" t="str">
        <f ca="1">IFERROR(__xludf.DUMMYFUNCTION("""COMPUTED_VALUE"""),"Dosage Sensitivity")</f>
        <v>Dosage Sensitivity</v>
      </c>
      <c r="H34" s="49" t="str">
        <f ca="1">IFERROR(__xludf.DUMMYFUNCTION("""COMPUTED_VALUE"""),"")</f>
        <v/>
      </c>
      <c r="I34" s="142">
        <f t="shared" ca="1" si="0"/>
        <v>43543</v>
      </c>
      <c r="J34" s="88">
        <f ca="1">IFERROR(__xludf.DUMMYFUNCTION("""COMPUTED_VALUE"""),43592)</f>
        <v>43592</v>
      </c>
      <c r="K34" s="139">
        <f t="shared" ca="1" si="1"/>
        <v>43635</v>
      </c>
      <c r="L34" s="88">
        <f ca="1">IFERROR(__xludf.DUMMYFUNCTION("""COMPUTED_VALUE"""),43713)</f>
        <v>43713</v>
      </c>
      <c r="M34" s="49"/>
      <c r="N34" s="49"/>
      <c r="O34" s="49"/>
      <c r="P34" s="49"/>
      <c r="Q34" s="49"/>
      <c r="R34" s="49"/>
      <c r="S34" s="49"/>
      <c r="T34" s="49"/>
      <c r="U34" s="49"/>
      <c r="V34" s="49"/>
      <c r="W34" s="49"/>
      <c r="X34" s="49"/>
      <c r="Y34" s="49"/>
      <c r="Z34" s="49"/>
      <c r="AA34" s="49"/>
      <c r="AB34" s="49"/>
      <c r="AC34" s="49"/>
      <c r="AD34" s="49"/>
    </row>
    <row r="35" spans="1:30" ht="14">
      <c r="A35" s="140">
        <f ca="1">IFERROR(__xludf.DUMMYFUNCTION("""COMPUTED_VALUE"""),43438.613125)</f>
        <v>43438.613125000003</v>
      </c>
      <c r="B35" s="141" t="str">
        <f ca="1">IFERROR(__xludf.DUMMYFUNCTION("""COMPUTED_VALUE"""),"Mahesh Iddawela")</f>
        <v>Mahesh Iddawela</v>
      </c>
      <c r="C35" s="141" t="str">
        <f ca="1">IFERROR(__xludf.DUMMYFUNCTION("""COMPUTED_VALUE"""),"mahesh.iddawela@monash.edu")</f>
        <v>mahesh.iddawela@monash.edu</v>
      </c>
      <c r="D35" s="49" t="str">
        <f ca="1">IFERROR(__xludf.DUMMYFUNCTION("""COMPUTED_VALUE"""),"Assigned")</f>
        <v>Assigned</v>
      </c>
      <c r="E35" s="88">
        <f ca="1">IFERROR(__xludf.DUMMYFUNCTION("""COMPUTED_VALUE"""),43453)</f>
        <v>43453</v>
      </c>
      <c r="F35" s="88" t="str">
        <f ca="1">IFERROR(__xludf.DUMMYFUNCTION("""COMPUTED_VALUE"""),"Yes")</f>
        <v>Yes</v>
      </c>
      <c r="G35" s="49" t="str">
        <f ca="1">IFERROR(__xludf.DUMMYFUNCTION("""COMPUTED_VALUE"""),"Dosage Sensitivity")</f>
        <v>Dosage Sensitivity</v>
      </c>
      <c r="H35" s="49" t="str">
        <f ca="1">IFERROR(__xludf.DUMMYFUNCTION("""COMPUTED_VALUE"""),"")</f>
        <v/>
      </c>
      <c r="I35" s="142">
        <f t="shared" ca="1" si="0"/>
        <v>43543</v>
      </c>
      <c r="J35" s="88">
        <f ca="1">IFERROR(__xludf.DUMMYFUNCTION("""COMPUTED_VALUE"""),43592)</f>
        <v>43592</v>
      </c>
      <c r="K35" s="139">
        <f t="shared" ca="1" si="1"/>
        <v>43635</v>
      </c>
      <c r="L35" s="88">
        <f ca="1">IFERROR(__xludf.DUMMYFUNCTION("""COMPUTED_VALUE"""),43713)</f>
        <v>43713</v>
      </c>
      <c r="M35" s="49"/>
      <c r="N35" s="49"/>
      <c r="O35" s="49"/>
      <c r="P35" s="49"/>
      <c r="Q35" s="49"/>
      <c r="R35" s="49"/>
      <c r="S35" s="49"/>
      <c r="T35" s="49"/>
      <c r="U35" s="49"/>
      <c r="V35" s="49"/>
      <c r="W35" s="49"/>
      <c r="X35" s="49"/>
      <c r="Y35" s="49"/>
      <c r="Z35" s="49"/>
      <c r="AA35" s="49"/>
      <c r="AB35" s="49"/>
      <c r="AC35" s="49"/>
      <c r="AD35" s="49"/>
    </row>
    <row r="36" spans="1:30" ht="14">
      <c r="A36" s="140">
        <f ca="1">IFERROR(__xludf.DUMMYFUNCTION("""COMPUTED_VALUE"""),43440.6138657407)</f>
        <v>43440.613865740699</v>
      </c>
      <c r="B36" s="141" t="str">
        <f ca="1">IFERROR(__xludf.DUMMYFUNCTION("""COMPUTED_VALUE"""),"Diogo Ventura Lovato")</f>
        <v>Diogo Ventura Lovato</v>
      </c>
      <c r="C36" s="141" t="str">
        <f ca="1">IFERROR(__xludf.DUMMYFUNCTION("""COMPUTED_VALUE"""),"diogo.v.lovato@gmail.com")</f>
        <v>diogo.v.lovato@gmail.com</v>
      </c>
      <c r="D36" s="49" t="str">
        <f ca="1">IFERROR(__xludf.DUMMYFUNCTION("""COMPUTED_VALUE"""),"Assigned")</f>
        <v>Assigned</v>
      </c>
      <c r="E36" s="88">
        <f ca="1">IFERROR(__xludf.DUMMYFUNCTION("""COMPUTED_VALUE"""),43453)</f>
        <v>43453</v>
      </c>
      <c r="F36" s="87" t="str">
        <f ca="1">IFERROR(__xludf.DUMMYFUNCTION("""COMPUTED_VALUE"""),"Yes")</f>
        <v>Yes</v>
      </c>
      <c r="G36" s="49" t="str">
        <f ca="1">IFERROR(__xludf.DUMMYFUNCTION("""COMPUTED_VALUE"""),"Dosage Sensitivity")</f>
        <v>Dosage Sensitivity</v>
      </c>
      <c r="H36" s="49" t="str">
        <f ca="1">IFERROR(__xludf.DUMMYFUNCTION("""COMPUTED_VALUE"""),"")</f>
        <v/>
      </c>
      <c r="I36" s="142">
        <f t="shared" ca="1" si="0"/>
        <v>43543</v>
      </c>
      <c r="J36" s="88">
        <f ca="1">IFERROR(__xludf.DUMMYFUNCTION("""COMPUTED_VALUE"""),43592)</f>
        <v>43592</v>
      </c>
      <c r="K36" s="139">
        <f t="shared" ca="1" si="1"/>
        <v>43635</v>
      </c>
      <c r="L36" s="88">
        <f ca="1">IFERROR(__xludf.DUMMYFUNCTION("""COMPUTED_VALUE"""),43713)</f>
        <v>43713</v>
      </c>
      <c r="M36" s="49"/>
      <c r="N36" s="49"/>
      <c r="O36" s="49"/>
      <c r="P36" s="49"/>
      <c r="Q36" s="49"/>
      <c r="R36" s="49"/>
      <c r="S36" s="49"/>
      <c r="T36" s="49"/>
      <c r="U36" s="49"/>
      <c r="V36" s="49"/>
      <c r="W36" s="49"/>
      <c r="X36" s="49"/>
      <c r="Y36" s="49"/>
      <c r="Z36" s="49"/>
      <c r="AA36" s="49"/>
      <c r="AB36" s="49"/>
      <c r="AC36" s="49"/>
      <c r="AD36" s="49"/>
    </row>
    <row r="37" spans="1:30" ht="14">
      <c r="A37" s="140">
        <f ca="1">IFERROR(__xludf.DUMMYFUNCTION("""COMPUTED_VALUE"""),43343.3983217592)</f>
        <v>43343.398321759203</v>
      </c>
      <c r="B37" s="141" t="str">
        <f ca="1">IFERROR(__xludf.DUMMYFUNCTION("""COMPUTED_VALUE"""),"Sameeha Shirwadkar")</f>
        <v>Sameeha Shirwadkar</v>
      </c>
      <c r="C37" s="141" t="str">
        <f ca="1">IFERROR(__xludf.DUMMYFUNCTION("""COMPUTED_VALUE"""),"sameeha9@gmail.com")</f>
        <v>sameeha9@gmail.com</v>
      </c>
      <c r="D37" s="49" t="str">
        <f ca="1">IFERROR(__xludf.DUMMYFUNCTION("""COMPUTED_VALUE"""),"Unresponsive")</f>
        <v>Unresponsive</v>
      </c>
      <c r="E37" s="98">
        <f ca="1">IFERROR(__xludf.DUMMYFUNCTION("""COMPUTED_VALUE"""),43476)</f>
        <v>43476</v>
      </c>
      <c r="F37" s="99" t="str">
        <f ca="1">IFERROR(__xludf.DUMMYFUNCTION("""COMPUTED_VALUE"""),"No")</f>
        <v>No</v>
      </c>
      <c r="G37" s="49" t="str">
        <f ca="1">IFERROR(__xludf.DUMMYFUNCTION("""COMPUTED_VALUE"""),"Somatic Cancer")</f>
        <v>Somatic Cancer</v>
      </c>
      <c r="H37" s="49" t="str">
        <f ca="1">IFERROR(__xludf.DUMMYFUNCTION("""COMPUTED_VALUE"""),"pancreatic cancer taskforce")</f>
        <v>pancreatic cancer taskforce</v>
      </c>
      <c r="I37" s="142">
        <f t="shared" ca="1" si="0"/>
        <v>43566</v>
      </c>
      <c r="J37" s="88">
        <f ca="1">IFERROR(__xludf.DUMMYFUNCTION("""COMPUTED_VALUE"""),43592)</f>
        <v>43592</v>
      </c>
      <c r="K37" s="139">
        <f t="shared" ca="1" si="1"/>
        <v>43657</v>
      </c>
      <c r="L37" s="49" t="str">
        <f ca="1">IFERROR(__xludf.DUMMYFUNCTION("""COMPUTED_VALUE"""),"-")</f>
        <v>-</v>
      </c>
      <c r="M37" s="49"/>
      <c r="N37" s="49"/>
      <c r="O37" s="49"/>
      <c r="P37" s="49"/>
      <c r="Q37" s="49"/>
      <c r="R37" s="49"/>
      <c r="S37" s="49"/>
      <c r="T37" s="49"/>
      <c r="U37" s="49"/>
      <c r="V37" s="49"/>
      <c r="W37" s="49"/>
      <c r="X37" s="49"/>
      <c r="Y37" s="49"/>
      <c r="Z37" s="49"/>
      <c r="AA37" s="49"/>
      <c r="AB37" s="49"/>
      <c r="AC37" s="49"/>
      <c r="AD37" s="49"/>
    </row>
    <row r="38" spans="1:30" ht="14">
      <c r="A38" s="140">
        <f ca="1">IFERROR(__xludf.DUMMYFUNCTION("""COMPUTED_VALUE"""),43368.4021643518)</f>
        <v>43368.402164351799</v>
      </c>
      <c r="B38" s="141" t="str">
        <f ca="1">IFERROR(__xludf.DUMMYFUNCTION("""COMPUTED_VALUE"""),"Laura Richards")</f>
        <v>Laura Richards</v>
      </c>
      <c r="C38" s="141" t="str">
        <f ca="1">IFERROR(__xludf.DUMMYFUNCTION("""COMPUTED_VALUE"""),"lauram.richards@mail.utoronto.ca")</f>
        <v>lauram.richards@mail.utoronto.ca</v>
      </c>
      <c r="D38" s="49" t="str">
        <f ca="1">IFERROR(__xludf.DUMMYFUNCTION("""COMPUTED_VALUE"""),"Unresponsive")</f>
        <v>Unresponsive</v>
      </c>
      <c r="E38" s="98">
        <f ca="1">IFERROR(__xludf.DUMMYFUNCTION("""COMPUTED_VALUE"""),43476)</f>
        <v>43476</v>
      </c>
      <c r="F38" s="98" t="str">
        <f ca="1">IFERROR(__xludf.DUMMYFUNCTION("""COMPUTED_VALUE"""),"No")</f>
        <v>No</v>
      </c>
      <c r="G38" s="49" t="str">
        <f ca="1">IFERROR(__xludf.DUMMYFUNCTION("""COMPUTED_VALUE"""),"Somatic Cancer")</f>
        <v>Somatic Cancer</v>
      </c>
      <c r="H38" s="49" t="str">
        <f ca="1">IFERROR(__xludf.DUMMYFUNCTION("""COMPUTED_VALUE"""),"pediatric cancer taskforce")</f>
        <v>pediatric cancer taskforce</v>
      </c>
      <c r="I38" s="142">
        <f t="shared" ca="1" si="0"/>
        <v>43566</v>
      </c>
      <c r="J38" s="88">
        <f ca="1">IFERROR(__xludf.DUMMYFUNCTION("""COMPUTED_VALUE"""),43592)</f>
        <v>43592</v>
      </c>
      <c r="K38" s="139">
        <f t="shared" ca="1" si="1"/>
        <v>43657</v>
      </c>
      <c r="L38" s="88">
        <f ca="1">IFERROR(__xludf.DUMMYFUNCTION("""COMPUTED_VALUE"""),43713)</f>
        <v>43713</v>
      </c>
      <c r="M38" s="49"/>
      <c r="N38" s="49"/>
      <c r="O38" s="49"/>
      <c r="P38" s="49"/>
      <c r="Q38" s="49"/>
      <c r="R38" s="49"/>
      <c r="S38" s="49"/>
      <c r="T38" s="49"/>
      <c r="U38" s="49"/>
      <c r="V38" s="49"/>
      <c r="W38" s="49"/>
      <c r="X38" s="49"/>
      <c r="Y38" s="49"/>
      <c r="Z38" s="49"/>
      <c r="AA38" s="49"/>
      <c r="AB38" s="49"/>
      <c r="AC38" s="49"/>
      <c r="AD38" s="49"/>
    </row>
    <row r="39" spans="1:30" ht="14">
      <c r="A39" s="140">
        <f ca="1">IFERROR(__xludf.DUMMYFUNCTION("""COMPUTED_VALUE"""),43382.4137731481)</f>
        <v>43382.413773148102</v>
      </c>
      <c r="B39" s="141" t="str">
        <f ca="1">IFERROR(__xludf.DUMMYFUNCTION("""COMPUTED_VALUE"""),"Kaylee Barber")</f>
        <v>Kaylee Barber</v>
      </c>
      <c r="C39" s="141" t="str">
        <f ca="1">IFERROR(__xludf.DUMMYFUNCTION("""COMPUTED_VALUE"""),"kbarber@bioreference.com")</f>
        <v>kbarber@bioreference.com</v>
      </c>
      <c r="D39" s="49" t="str">
        <f ca="1">IFERROR(__xludf.DUMMYFUNCTION("""COMPUTED_VALUE"""),"Declined")</f>
        <v>Declined</v>
      </c>
      <c r="E39" s="98">
        <f ca="1">IFERROR(__xludf.DUMMYFUNCTION("""COMPUTED_VALUE"""),43476)</f>
        <v>43476</v>
      </c>
      <c r="F39" s="87" t="str">
        <f ca="1">IFERROR(__xludf.DUMMYFUNCTION("""COMPUTED_VALUE"""),"No")</f>
        <v>No</v>
      </c>
      <c r="G39" s="49" t="str">
        <f ca="1">IFERROR(__xludf.DUMMYFUNCTION("""COMPUTED_VALUE"""),"Somatic Cancer")</f>
        <v>Somatic Cancer</v>
      </c>
      <c r="H39" s="49" t="str">
        <f ca="1">IFERROR(__xludf.DUMMYFUNCTION("""COMPUTED_VALUE"""),"pancreatic cancer taskforce")</f>
        <v>pancreatic cancer taskforce</v>
      </c>
      <c r="I39" s="142">
        <f t="shared" ca="1" si="0"/>
        <v>43566</v>
      </c>
      <c r="J39" s="88">
        <f ca="1">IFERROR(__xludf.DUMMYFUNCTION("""COMPUTED_VALUE"""),43592)</f>
        <v>43592</v>
      </c>
      <c r="K39" s="139">
        <f t="shared" ca="1" si="1"/>
        <v>43657</v>
      </c>
      <c r="L39" s="49" t="str">
        <f ca="1">IFERROR(__xludf.DUMMYFUNCTION("""COMPUTED_VALUE"""),"-")</f>
        <v>-</v>
      </c>
      <c r="M39" s="49"/>
      <c r="N39" s="49"/>
      <c r="O39" s="49"/>
      <c r="P39" s="49"/>
      <c r="Q39" s="49"/>
      <c r="R39" s="49"/>
      <c r="S39" s="49"/>
      <c r="T39" s="49"/>
      <c r="U39" s="49"/>
      <c r="V39" s="49"/>
      <c r="W39" s="49"/>
      <c r="X39" s="49"/>
      <c r="Y39" s="49"/>
      <c r="Z39" s="49"/>
      <c r="AA39" s="49"/>
      <c r="AB39" s="49"/>
      <c r="AC39" s="49"/>
      <c r="AD39" s="49"/>
    </row>
    <row r="40" spans="1:30" ht="14">
      <c r="A40" s="140">
        <f ca="1">IFERROR(__xludf.DUMMYFUNCTION("""COMPUTED_VALUE"""),43395.4167361111)</f>
        <v>43395.416736111103</v>
      </c>
      <c r="B40" s="141" t="str">
        <f ca="1">IFERROR(__xludf.DUMMYFUNCTION("""COMPUTED_VALUE"""),"Wan-Hsin Lin")</f>
        <v>Wan-Hsin Lin</v>
      </c>
      <c r="C40" s="141" t="str">
        <f ca="1">IFERROR(__xludf.DUMMYFUNCTION("""COMPUTED_VALUE"""),"lin.wanhsin@mayo.edu")</f>
        <v>lin.wanhsin@mayo.edu</v>
      </c>
      <c r="D40" s="49" t="str">
        <f ca="1">IFERROR(__xludf.DUMMYFUNCTION("""COMPUTED_VALUE"""),"Assigned")</f>
        <v>Assigned</v>
      </c>
      <c r="E40" s="98">
        <f ca="1">IFERROR(__xludf.DUMMYFUNCTION("""COMPUTED_VALUE"""),43476)</f>
        <v>43476</v>
      </c>
      <c r="F40" s="87" t="str">
        <f ca="1">IFERROR(__xludf.DUMMYFUNCTION("""COMPUTED_VALUE"""),"No")</f>
        <v>No</v>
      </c>
      <c r="G40" s="49" t="str">
        <f ca="1">IFERROR(__xludf.DUMMYFUNCTION("""COMPUTED_VALUE"""),"Somatic Cancer")</f>
        <v>Somatic Cancer</v>
      </c>
      <c r="H40" s="49" t="str">
        <f ca="1">IFERROR(__xludf.DUMMYFUNCTION("""COMPUTED_VALUE"""),"pediatric and pancreatic cancer taskforces")</f>
        <v>pediatric and pancreatic cancer taskforces</v>
      </c>
      <c r="I40" s="142">
        <f t="shared" ca="1" si="0"/>
        <v>43566</v>
      </c>
      <c r="J40" s="88">
        <f ca="1">IFERROR(__xludf.DUMMYFUNCTION("""COMPUTED_VALUE"""),43592)</f>
        <v>43592</v>
      </c>
      <c r="K40" s="139">
        <f t="shared" ca="1" si="1"/>
        <v>43657</v>
      </c>
      <c r="L40" s="88">
        <f ca="1">IFERROR(__xludf.DUMMYFUNCTION("""COMPUTED_VALUE"""),43713)</f>
        <v>43713</v>
      </c>
      <c r="M40" s="49"/>
      <c r="N40" s="49"/>
      <c r="O40" s="49"/>
      <c r="P40" s="49"/>
      <c r="Q40" s="49"/>
      <c r="R40" s="49"/>
      <c r="S40" s="49"/>
      <c r="T40" s="49"/>
      <c r="U40" s="49"/>
      <c r="V40" s="49"/>
      <c r="W40" s="49"/>
      <c r="X40" s="49"/>
      <c r="Y40" s="49"/>
      <c r="Z40" s="49"/>
      <c r="AA40" s="49"/>
      <c r="AB40" s="49"/>
      <c r="AC40" s="49"/>
      <c r="AD40" s="49"/>
    </row>
    <row r="41" spans="1:30" ht="14">
      <c r="A41" s="140">
        <f ca="1">IFERROR(__xludf.DUMMYFUNCTION("""COMPUTED_VALUE"""),43398.4188425926)</f>
        <v>43398.418842592597</v>
      </c>
      <c r="B41" s="141" t="str">
        <f ca="1">IFERROR(__xludf.DUMMYFUNCTION("""COMPUTED_VALUE"""),"Stefan Rentas")</f>
        <v>Stefan Rentas</v>
      </c>
      <c r="C41" s="141" t="str">
        <f ca="1">IFERROR(__xludf.DUMMYFUNCTION("""COMPUTED_VALUE"""),"rentass@email.chop.edu")</f>
        <v>rentass@email.chop.edu</v>
      </c>
      <c r="D41" s="49" t="str">
        <f ca="1">IFERROR(__xludf.DUMMYFUNCTION("""COMPUTED_VALUE"""),"Unresponsive")</f>
        <v>Unresponsive</v>
      </c>
      <c r="E41" s="98">
        <f ca="1">IFERROR(__xludf.DUMMYFUNCTION("""COMPUTED_VALUE"""),43476)</f>
        <v>43476</v>
      </c>
      <c r="F41" s="98" t="str">
        <f ca="1">IFERROR(__xludf.DUMMYFUNCTION("""COMPUTED_VALUE"""),"No")</f>
        <v>No</v>
      </c>
      <c r="G41" s="49" t="str">
        <f ca="1">IFERROR(__xludf.DUMMYFUNCTION("""COMPUTED_VALUE"""),"Somatic Cancer")</f>
        <v>Somatic Cancer</v>
      </c>
      <c r="H41" s="49" t="str">
        <f ca="1">IFERROR(__xludf.DUMMYFUNCTION("""COMPUTED_VALUE"""),"pediatric cancer taskforce")</f>
        <v>pediatric cancer taskforce</v>
      </c>
      <c r="I41" s="142">
        <f t="shared" ca="1" si="0"/>
        <v>43566</v>
      </c>
      <c r="J41" s="88">
        <f ca="1">IFERROR(__xludf.DUMMYFUNCTION("""COMPUTED_VALUE"""),43592)</f>
        <v>43592</v>
      </c>
      <c r="K41" s="139">
        <f t="shared" ca="1" si="1"/>
        <v>43657</v>
      </c>
      <c r="L41" s="88">
        <f ca="1">IFERROR(__xludf.DUMMYFUNCTION("""COMPUTED_VALUE"""),43713)</f>
        <v>43713</v>
      </c>
      <c r="M41" s="49"/>
      <c r="N41" s="49"/>
      <c r="O41" s="49"/>
      <c r="P41" s="49"/>
      <c r="Q41" s="49"/>
      <c r="R41" s="49"/>
      <c r="S41" s="49"/>
      <c r="T41" s="49"/>
      <c r="U41" s="49"/>
      <c r="V41" s="49"/>
      <c r="W41" s="49"/>
      <c r="X41" s="49"/>
      <c r="Y41" s="49"/>
      <c r="Z41" s="49"/>
      <c r="AA41" s="49"/>
      <c r="AB41" s="49"/>
      <c r="AC41" s="49"/>
      <c r="AD41" s="49"/>
    </row>
    <row r="42" spans="1:30" ht="14">
      <c r="A42" s="140">
        <f ca="1">IFERROR(__xludf.DUMMYFUNCTION("""COMPUTED_VALUE"""),43422.4216203703)</f>
        <v>43422.421620370304</v>
      </c>
      <c r="B42" s="141" t="str">
        <f ca="1">IFERROR(__xludf.DUMMYFUNCTION("""COMPUTED_VALUE"""),"Iman Haroun")</f>
        <v>Iman Haroun</v>
      </c>
      <c r="C42" s="141" t="str">
        <f ca="1">IFERROR(__xludf.DUMMYFUNCTION("""COMPUTED_VALUE"""),"iman.haroun@readinghealth.org")</f>
        <v>iman.haroun@readinghealth.org</v>
      </c>
      <c r="D42" s="49" t="str">
        <f ca="1">IFERROR(__xludf.DUMMYFUNCTION("""COMPUTED_VALUE"""),"Unresponsive")</f>
        <v>Unresponsive</v>
      </c>
      <c r="E42" s="98">
        <f ca="1">IFERROR(__xludf.DUMMYFUNCTION("""COMPUTED_VALUE"""),43476)</f>
        <v>43476</v>
      </c>
      <c r="F42" s="88" t="str">
        <f ca="1">IFERROR(__xludf.DUMMYFUNCTION("""COMPUTED_VALUE"""),"No")</f>
        <v>No</v>
      </c>
      <c r="G42" s="49" t="str">
        <f ca="1">IFERROR(__xludf.DUMMYFUNCTION("""COMPUTED_VALUE"""),"Somatic Cancer")</f>
        <v>Somatic Cancer</v>
      </c>
      <c r="H42" s="49" t="str">
        <f ca="1">IFERROR(__xludf.DUMMYFUNCTION("""COMPUTED_VALUE"""),"pancreatic cancer taskforce")</f>
        <v>pancreatic cancer taskforce</v>
      </c>
      <c r="I42" s="142">
        <f t="shared" ca="1" si="0"/>
        <v>43566</v>
      </c>
      <c r="J42" s="88">
        <f ca="1">IFERROR(__xludf.DUMMYFUNCTION("""COMPUTED_VALUE"""),43592)</f>
        <v>43592</v>
      </c>
      <c r="K42" s="139">
        <f t="shared" ca="1" si="1"/>
        <v>43657</v>
      </c>
      <c r="L42" s="49" t="str">
        <f ca="1">IFERROR(__xludf.DUMMYFUNCTION("""COMPUTED_VALUE"""),"-")</f>
        <v>-</v>
      </c>
      <c r="M42" s="49"/>
      <c r="N42" s="49"/>
      <c r="O42" s="49"/>
      <c r="P42" s="49"/>
      <c r="Q42" s="49"/>
      <c r="R42" s="49"/>
      <c r="S42" s="49"/>
      <c r="T42" s="49"/>
      <c r="U42" s="49"/>
      <c r="V42" s="49"/>
      <c r="W42" s="49"/>
      <c r="X42" s="49"/>
      <c r="Y42" s="49"/>
      <c r="Z42" s="49"/>
      <c r="AA42" s="49"/>
      <c r="AB42" s="49"/>
      <c r="AC42" s="49"/>
      <c r="AD42" s="49"/>
    </row>
    <row r="43" spans="1:30" ht="14">
      <c r="A43" s="140">
        <f ca="1">IFERROR(__xludf.DUMMYFUNCTION("""COMPUTED_VALUE"""),43334.4335879629)</f>
        <v>43334.4335879629</v>
      </c>
      <c r="B43" s="141" t="str">
        <f ca="1">IFERROR(__xludf.DUMMYFUNCTION("""COMPUTED_VALUE"""),"Luke Drury")</f>
        <v>Luke Drury</v>
      </c>
      <c r="C43" s="141" t="str">
        <f ca="1">IFERROR(__xludf.DUMMYFUNCTION("""COMPUTED_VALUE"""),"luke.drury@preventiongenetics.com")</f>
        <v>luke.drury@preventiongenetics.com</v>
      </c>
      <c r="D43" s="49" t="str">
        <f ca="1">IFERROR(__xludf.DUMMYFUNCTION("""COMPUTED_VALUE"""),"Unresponsive")</f>
        <v>Unresponsive</v>
      </c>
      <c r="E43" s="87">
        <f ca="1">IFERROR(__xludf.DUMMYFUNCTION("""COMPUTED_VALUE"""),43605)</f>
        <v>43605</v>
      </c>
      <c r="F43" s="87" t="str">
        <f ca="1">IFERROR(__xludf.DUMMYFUNCTION("""COMPUTED_VALUE"""),"Yes")</f>
        <v>Yes</v>
      </c>
      <c r="G43" s="49" t="str">
        <f ca="1">IFERROR(__xludf.DUMMYFUNCTION("""COMPUTED_VALUE"""),"Variant Pathogenicity")</f>
        <v>Variant Pathogenicity</v>
      </c>
      <c r="H43" s="49" t="str">
        <f ca="1">IFERROR(__xludf.DUMMYFUNCTION("""COMPUTED_VALUE"""),"")</f>
        <v/>
      </c>
      <c r="I43" s="142">
        <f t="shared" ca="1" si="0"/>
        <v>43697</v>
      </c>
      <c r="J43" s="49" t="str">
        <f ca="1">IFERROR(__xludf.DUMMYFUNCTION("""COMPUTED_VALUE"""),"")</f>
        <v/>
      </c>
      <c r="K43" s="139">
        <f t="shared" ca="1" si="1"/>
        <v>43789</v>
      </c>
      <c r="L43" s="49" t="str">
        <f ca="1">IFERROR(__xludf.DUMMYFUNCTION("""COMPUTED_VALUE"""),"")</f>
        <v/>
      </c>
      <c r="M43" s="49"/>
      <c r="N43" s="49"/>
      <c r="O43" s="49"/>
      <c r="P43" s="49"/>
      <c r="Q43" s="49"/>
      <c r="R43" s="49"/>
      <c r="S43" s="49"/>
      <c r="T43" s="49"/>
      <c r="U43" s="49"/>
      <c r="V43" s="49"/>
      <c r="W43" s="49"/>
      <c r="X43" s="49"/>
      <c r="Y43" s="49"/>
      <c r="Z43" s="49"/>
      <c r="AA43" s="49"/>
      <c r="AB43" s="49"/>
      <c r="AC43" s="49"/>
      <c r="AD43" s="49"/>
    </row>
    <row r="44" spans="1:30" ht="14">
      <c r="A44" s="140">
        <f ca="1">IFERROR(__xludf.DUMMYFUNCTION("""COMPUTED_VALUE"""),43336.4358333333)</f>
        <v>43336.4358333333</v>
      </c>
      <c r="B44" s="141" t="str">
        <f ca="1">IFERROR(__xludf.DUMMYFUNCTION("""COMPUTED_VALUE"""),"Lynne Rosenblum")</f>
        <v>Lynne Rosenblum</v>
      </c>
      <c r="C44" s="141" t="str">
        <f ca="1">IFERROR(__xludf.DUMMYFUNCTION("""COMPUTED_VALUE"""),"lynne.rosenblum@integratedgenetics.com")</f>
        <v>lynne.rosenblum@integratedgenetics.com</v>
      </c>
      <c r="D44" s="49" t="str">
        <f ca="1">IFERROR(__xludf.DUMMYFUNCTION("""COMPUTED_VALUE"""),"Assigned")</f>
        <v>Assigned</v>
      </c>
      <c r="E44" s="87">
        <f ca="1">IFERROR(__xludf.DUMMYFUNCTION("""COMPUTED_VALUE"""),43605)</f>
        <v>43605</v>
      </c>
      <c r="F44" s="87" t="str">
        <f ca="1">IFERROR(__xludf.DUMMYFUNCTION("""COMPUTED_VALUE"""),"Yes")</f>
        <v>Yes</v>
      </c>
      <c r="G44" s="49" t="str">
        <f ca="1">IFERROR(__xludf.DUMMYFUNCTION("""COMPUTED_VALUE"""),"Variant Pathogenicity")</f>
        <v>Variant Pathogenicity</v>
      </c>
      <c r="H44" s="49" t="str">
        <f ca="1">IFERROR(__xludf.DUMMYFUNCTION("""COMPUTED_VALUE"""),"Storage Disease")</f>
        <v>Storage Disease</v>
      </c>
      <c r="I44" s="142">
        <f t="shared" ca="1" si="0"/>
        <v>43697</v>
      </c>
      <c r="J44" s="88">
        <f ca="1">IFERROR(__xludf.DUMMYFUNCTION("""COMPUTED_VALUE"""),43712)</f>
        <v>43712</v>
      </c>
      <c r="K44" s="139">
        <f t="shared" ca="1" si="1"/>
        <v>43789</v>
      </c>
      <c r="L44" s="88" t="str">
        <f ca="1">IFERROR(__xludf.DUMMYFUNCTION("""COMPUTED_VALUE"""),"")</f>
        <v/>
      </c>
      <c r="M44" s="49"/>
      <c r="N44" s="49"/>
      <c r="O44" s="49"/>
      <c r="P44" s="49"/>
      <c r="Q44" s="49"/>
      <c r="R44" s="49"/>
      <c r="S44" s="49"/>
      <c r="T44" s="49"/>
      <c r="U44" s="49"/>
      <c r="V44" s="49"/>
      <c r="W44" s="49"/>
      <c r="X44" s="49"/>
      <c r="Y44" s="49"/>
      <c r="Z44" s="49"/>
      <c r="AA44" s="49"/>
      <c r="AB44" s="49"/>
      <c r="AC44" s="49"/>
      <c r="AD44" s="49"/>
    </row>
    <row r="45" spans="1:30" ht="14">
      <c r="A45" s="140">
        <f ca="1">IFERROR(__xludf.DUMMYFUNCTION("""COMPUTED_VALUE"""),43340.4389236111)</f>
        <v>43340.438923611102</v>
      </c>
      <c r="B45" s="141" t="str">
        <f ca="1">IFERROR(__xludf.DUMMYFUNCTION("""COMPUTED_VALUE"""),"Yang Wang")</f>
        <v>Yang Wang</v>
      </c>
      <c r="C45" s="141" t="str">
        <f ca="1">IFERROR(__xludf.DUMMYFUNCTION("""COMPUTED_VALUE"""),"yangwangcmg@gmail.com")</f>
        <v>yangwangcmg@gmail.com</v>
      </c>
      <c r="D45" s="49" t="str">
        <f ca="1">IFERROR(__xludf.DUMMYFUNCTION("""COMPUTED_VALUE"""),"Assigned")</f>
        <v>Assigned</v>
      </c>
      <c r="E45" s="87">
        <f ca="1">IFERROR(__xludf.DUMMYFUNCTION("""COMPUTED_VALUE"""),43605)</f>
        <v>43605</v>
      </c>
      <c r="F45" s="87" t="str">
        <f ca="1">IFERROR(__xludf.DUMMYFUNCTION("""COMPUTED_VALUE"""),"No")</f>
        <v>No</v>
      </c>
      <c r="G45" s="49" t="str">
        <f ca="1">IFERROR(__xludf.DUMMYFUNCTION("""COMPUTED_VALUE"""),"Variant Pathogenicity")</f>
        <v>Variant Pathogenicity</v>
      </c>
      <c r="H45" s="49" t="str">
        <f ca="1">IFERROR(__xludf.DUMMYFUNCTION("""COMPUTED_VALUE"""),"ACADVL")</f>
        <v>ACADVL</v>
      </c>
      <c r="I45" s="142">
        <f t="shared" ca="1" si="0"/>
        <v>43697</v>
      </c>
      <c r="J45" s="88">
        <f ca="1">IFERROR(__xludf.DUMMYFUNCTION("""COMPUTED_VALUE"""),43712)</f>
        <v>43712</v>
      </c>
      <c r="K45" s="139">
        <f t="shared" ca="1" si="1"/>
        <v>43789</v>
      </c>
      <c r="L45" s="88" t="str">
        <f ca="1">IFERROR(__xludf.DUMMYFUNCTION("""COMPUTED_VALUE"""),"")</f>
        <v/>
      </c>
      <c r="M45" s="49"/>
      <c r="N45" s="49"/>
      <c r="O45" s="49"/>
      <c r="P45" s="49"/>
      <c r="Q45" s="49"/>
      <c r="R45" s="49"/>
      <c r="S45" s="49"/>
      <c r="T45" s="49"/>
      <c r="U45" s="49"/>
      <c r="V45" s="49"/>
      <c r="W45" s="49"/>
      <c r="X45" s="49"/>
      <c r="Y45" s="49"/>
      <c r="Z45" s="49"/>
      <c r="AA45" s="49"/>
      <c r="AB45" s="49"/>
      <c r="AC45" s="49"/>
      <c r="AD45" s="49"/>
    </row>
    <row r="46" spans="1:30" ht="14">
      <c r="A46" s="140">
        <f ca="1">IFERROR(__xludf.DUMMYFUNCTION("""COMPUTED_VALUE"""),43340.4416666666)</f>
        <v>43340.4416666666</v>
      </c>
      <c r="B46" s="141" t="str">
        <f ca="1">IFERROR(__xludf.DUMMYFUNCTION("""COMPUTED_VALUE"""),"Elaine Spector ")</f>
        <v xml:space="preserve">Elaine Spector </v>
      </c>
      <c r="C46" s="141" t="str">
        <f ca="1">IFERROR(__xludf.DUMMYFUNCTION("""COMPUTED_VALUE"""),"elaine.spector@childrenscolorado.org")</f>
        <v>elaine.spector@childrenscolorado.org</v>
      </c>
      <c r="D46" s="49" t="str">
        <f ca="1">IFERROR(__xludf.DUMMYFUNCTION("""COMPUTED_VALUE"""),"Contacted")</f>
        <v>Contacted</v>
      </c>
      <c r="E46" s="88">
        <f ca="1">IFERROR(__xludf.DUMMYFUNCTION("""COMPUTED_VALUE"""),43446)</f>
        <v>43446</v>
      </c>
      <c r="F46" s="87" t="str">
        <f ca="1">IFERROR(__xludf.DUMMYFUNCTION("""COMPUTED_VALUE"""),"No")</f>
        <v>No</v>
      </c>
      <c r="G46" s="49" t="str">
        <f ca="1">IFERROR(__xludf.DUMMYFUNCTION("""COMPUTED_VALUE"""),"Gene Disease Validity")</f>
        <v>Gene Disease Validity</v>
      </c>
      <c r="H46" s="49" t="str">
        <f ca="1">IFERROR(__xludf.DUMMYFUNCTION("""COMPUTED_VALUE"""),"")</f>
        <v/>
      </c>
      <c r="I46" s="142">
        <f t="shared" ca="1" si="0"/>
        <v>43536</v>
      </c>
      <c r="J46" s="49" t="str">
        <f ca="1">IFERROR(__xludf.DUMMYFUNCTION("""COMPUTED_VALUE"""),"")</f>
        <v/>
      </c>
      <c r="K46" s="139">
        <f t="shared" ca="1" si="1"/>
        <v>43628</v>
      </c>
      <c r="L46" s="49" t="str">
        <f ca="1">IFERROR(__xludf.DUMMYFUNCTION("""COMPUTED_VALUE"""),"")</f>
        <v/>
      </c>
      <c r="M46" s="49"/>
      <c r="N46" s="49"/>
      <c r="O46" s="49"/>
      <c r="P46" s="49"/>
      <c r="Q46" s="49"/>
      <c r="R46" s="49"/>
      <c r="S46" s="49"/>
      <c r="T46" s="49"/>
      <c r="U46" s="49"/>
      <c r="V46" s="49"/>
      <c r="W46" s="49"/>
      <c r="X46" s="49"/>
      <c r="Y46" s="49"/>
      <c r="Z46" s="49"/>
      <c r="AA46" s="49"/>
      <c r="AB46" s="49"/>
      <c r="AC46" s="49"/>
      <c r="AD46" s="49"/>
    </row>
    <row r="47" spans="1:30" ht="14">
      <c r="A47" s="140">
        <f ca="1">IFERROR(__xludf.DUMMYFUNCTION("""COMPUTED_VALUE"""),43369.4483449074)</f>
        <v>43369.448344907403</v>
      </c>
      <c r="B47" s="141" t="str">
        <f ca="1">IFERROR(__xludf.DUMMYFUNCTION("""COMPUTED_VALUE"""),"Rhonda Lassiter ")</f>
        <v xml:space="preserve">Rhonda Lassiter </v>
      </c>
      <c r="C47" s="141" t="str">
        <f ca="1">IFERROR(__xludf.DUMMYFUNCTION("""COMPUTED_VALUE"""),"rlassiter@ambrygen.com")</f>
        <v>rlassiter@ambrygen.com</v>
      </c>
      <c r="D47" s="49" t="str">
        <f ca="1">IFERROR(__xludf.DUMMYFUNCTION("""COMPUTED_VALUE"""),"Assigned")</f>
        <v>Assigned</v>
      </c>
      <c r="E47" s="87">
        <f ca="1">IFERROR(__xludf.DUMMYFUNCTION("""COMPUTED_VALUE"""),43608)</f>
        <v>43608</v>
      </c>
      <c r="F47" s="87" t="str">
        <f ca="1">IFERROR(__xludf.DUMMYFUNCTION("""COMPUTED_VALUE"""),"Yes")</f>
        <v>Yes</v>
      </c>
      <c r="G47" s="49" t="str">
        <f ca="1">IFERROR(__xludf.DUMMYFUNCTION("""COMPUTED_VALUE"""),"Variant Pathogenicity")</f>
        <v>Variant Pathogenicity</v>
      </c>
      <c r="H47" s="49" t="str">
        <f ca="1">IFERROR(__xludf.DUMMYFUNCTION("""COMPUTED_VALUE"""),"Brain Malformations")</f>
        <v>Brain Malformations</v>
      </c>
      <c r="I47" s="142">
        <f t="shared" ca="1" si="0"/>
        <v>43700</v>
      </c>
      <c r="J47" s="88">
        <f ca="1">IFERROR(__xludf.DUMMYFUNCTION("""COMPUTED_VALUE"""),43712)</f>
        <v>43712</v>
      </c>
      <c r="K47" s="139">
        <f t="shared" ca="1" si="1"/>
        <v>43792</v>
      </c>
      <c r="L47" s="88" t="str">
        <f ca="1">IFERROR(__xludf.DUMMYFUNCTION("""COMPUTED_VALUE"""),"")</f>
        <v/>
      </c>
      <c r="M47" s="49"/>
      <c r="N47" s="49"/>
      <c r="O47" s="49"/>
      <c r="P47" s="49"/>
      <c r="Q47" s="49"/>
      <c r="R47" s="49"/>
      <c r="S47" s="49"/>
      <c r="T47" s="49"/>
      <c r="U47" s="49"/>
      <c r="V47" s="49"/>
      <c r="W47" s="49"/>
      <c r="X47" s="49"/>
      <c r="Y47" s="49"/>
      <c r="Z47" s="49"/>
      <c r="AA47" s="49"/>
      <c r="AB47" s="49"/>
      <c r="AC47" s="49"/>
      <c r="AD47" s="49"/>
    </row>
    <row r="48" spans="1:30" ht="14">
      <c r="A48" s="140">
        <f ca="1">IFERROR(__xludf.DUMMYFUNCTION("""COMPUTED_VALUE"""),43389.4523379629)</f>
        <v>43389.452337962903</v>
      </c>
      <c r="B48" s="141" t="str">
        <f ca="1">IFERROR(__xludf.DUMMYFUNCTION("""COMPUTED_VALUE"""),"Emma Reble ")</f>
        <v xml:space="preserve">Emma Reble </v>
      </c>
      <c r="C48" s="141" t="str">
        <f ca="1">IFERROR(__xludf.DUMMYFUNCTION("""COMPUTED_VALUE"""),"reblee@smh.ca")</f>
        <v>reblee@smh.ca</v>
      </c>
      <c r="D48" s="49" t="str">
        <f ca="1">IFERROR(__xludf.DUMMYFUNCTION("""COMPUTED_VALUE"""),"Contacted")</f>
        <v>Contacted</v>
      </c>
      <c r="E48" s="87">
        <f ca="1">IFERROR(__xludf.DUMMYFUNCTION("""COMPUTED_VALUE"""),43608)</f>
        <v>43608</v>
      </c>
      <c r="F48" s="87" t="str">
        <f ca="1">IFERROR(__xludf.DUMMYFUNCTION("""COMPUTED_VALUE"""),"Yes")</f>
        <v>Yes</v>
      </c>
      <c r="G48" s="49" t="str">
        <f ca="1">IFERROR(__xludf.DUMMYFUNCTION("""COMPUTED_VALUE"""),"Variant Pathogenicity")</f>
        <v>Variant Pathogenicity</v>
      </c>
      <c r="H48" s="49" t="str">
        <f ca="1">IFERROR(__xludf.DUMMYFUNCTION("""COMPUTED_VALUE"""),"Mito")</f>
        <v>Mito</v>
      </c>
      <c r="I48" s="142">
        <f t="shared" ca="1" si="0"/>
        <v>43700</v>
      </c>
      <c r="J48" s="88">
        <f ca="1">IFERROR(__xludf.DUMMYFUNCTION("""COMPUTED_VALUE"""),43712)</f>
        <v>43712</v>
      </c>
      <c r="K48" s="139">
        <f t="shared" ca="1" si="1"/>
        <v>43792</v>
      </c>
      <c r="L48" s="88" t="str">
        <f ca="1">IFERROR(__xludf.DUMMYFUNCTION("""COMPUTED_VALUE"""),"")</f>
        <v/>
      </c>
      <c r="M48" s="49"/>
      <c r="N48" s="49"/>
      <c r="O48" s="49"/>
      <c r="P48" s="49"/>
      <c r="Q48" s="49"/>
      <c r="R48" s="49"/>
      <c r="S48" s="49"/>
      <c r="T48" s="49"/>
      <c r="U48" s="49"/>
      <c r="V48" s="49"/>
      <c r="W48" s="49"/>
      <c r="X48" s="49"/>
      <c r="Y48" s="49"/>
      <c r="Z48" s="49"/>
      <c r="AA48" s="49"/>
      <c r="AB48" s="49"/>
      <c r="AC48" s="49"/>
      <c r="AD48" s="49"/>
    </row>
    <row r="49" spans="1:30" ht="14">
      <c r="A49" s="140">
        <f ca="1">IFERROR(__xludf.DUMMYFUNCTION("""COMPUTED_VALUE"""),43395.4551967592)</f>
        <v>43395.455196759198</v>
      </c>
      <c r="B49" s="141" t="str">
        <f ca="1">IFERROR(__xludf.DUMMYFUNCTION("""COMPUTED_VALUE"""),"Qiliang Ding")</f>
        <v>Qiliang Ding</v>
      </c>
      <c r="C49" s="141" t="str">
        <f ca="1">IFERROR(__xludf.DUMMYFUNCTION("""COMPUTED_VALUE"""),"qd29@cornell.edu")</f>
        <v>qd29@cornell.edu</v>
      </c>
      <c r="D49" s="49" t="str">
        <f ca="1">IFERROR(__xludf.DUMMYFUNCTION("""COMPUTED_VALUE"""),"Assigned")</f>
        <v>Assigned</v>
      </c>
      <c r="E49" s="87">
        <f ca="1">IFERROR(__xludf.DUMMYFUNCTION("""COMPUTED_VALUE"""),43608)</f>
        <v>43608</v>
      </c>
      <c r="F49" s="87" t="str">
        <f ca="1">IFERROR(__xludf.DUMMYFUNCTION("""COMPUTED_VALUE"""),"Yes")</f>
        <v>Yes</v>
      </c>
      <c r="G49" s="49" t="str">
        <f ca="1">IFERROR(__xludf.DUMMYFUNCTION("""COMPUTED_VALUE"""),"Variant Pathogenicity")</f>
        <v>Variant Pathogenicity</v>
      </c>
      <c r="H49" s="49" t="str">
        <f ca="1">IFERROR(__xludf.DUMMYFUNCTION("""COMPUTED_VALUE"""),"Coagulation Factor Deficiency")</f>
        <v>Coagulation Factor Deficiency</v>
      </c>
      <c r="I49" s="142">
        <f t="shared" ca="1" si="0"/>
        <v>43700</v>
      </c>
      <c r="J49" s="88">
        <f ca="1">IFERROR(__xludf.DUMMYFUNCTION("""COMPUTED_VALUE"""),43712)</f>
        <v>43712</v>
      </c>
      <c r="K49" s="139">
        <f t="shared" ca="1" si="1"/>
        <v>43792</v>
      </c>
      <c r="L49" s="88" t="str">
        <f ca="1">IFERROR(__xludf.DUMMYFUNCTION("""COMPUTED_VALUE"""),"")</f>
        <v/>
      </c>
      <c r="M49" s="49"/>
      <c r="N49" s="49"/>
      <c r="O49" s="49"/>
      <c r="P49" s="49"/>
      <c r="Q49" s="49"/>
      <c r="R49" s="49"/>
      <c r="S49" s="49"/>
      <c r="T49" s="49"/>
      <c r="U49" s="49"/>
      <c r="V49" s="49"/>
      <c r="W49" s="49"/>
      <c r="X49" s="49"/>
      <c r="Y49" s="49"/>
      <c r="Z49" s="49"/>
      <c r="AA49" s="49"/>
      <c r="AB49" s="49"/>
      <c r="AC49" s="49"/>
      <c r="AD49" s="49"/>
    </row>
    <row r="50" spans="1:30" ht="14">
      <c r="A50" s="140">
        <f ca="1">IFERROR(__xludf.DUMMYFUNCTION("""COMPUTED_VALUE"""),43398.4593402777)</f>
        <v>43398.459340277703</v>
      </c>
      <c r="B50" s="141" t="str">
        <f ca="1">IFERROR(__xludf.DUMMYFUNCTION("""COMPUTED_VALUE"""),"Amy Donahue")</f>
        <v>Amy Donahue</v>
      </c>
      <c r="C50" s="141" t="str">
        <f ca="1">IFERROR(__xludf.DUMMYFUNCTION("""COMPUTED_VALUE"""),"adonahue@mcw.edu")</f>
        <v>adonahue@mcw.edu</v>
      </c>
      <c r="D50" s="49" t="str">
        <f ca="1">IFERROR(__xludf.DUMMYFUNCTION("""COMPUTED_VALUE"""),"Contacted")</f>
        <v>Contacted</v>
      </c>
      <c r="E50" s="87">
        <f ca="1">IFERROR(__xludf.DUMMYFUNCTION("""COMPUTED_VALUE"""),43608)</f>
        <v>43608</v>
      </c>
      <c r="F50" s="98" t="str">
        <f ca="1">IFERROR(__xludf.DUMMYFUNCTION("""COMPUTED_VALUE"""),"No")</f>
        <v>No</v>
      </c>
      <c r="G50" s="49" t="str">
        <f ca="1">IFERROR(__xludf.DUMMYFUNCTION("""COMPUTED_VALUE"""),"Variant Pathogenicity")</f>
        <v>Variant Pathogenicity</v>
      </c>
      <c r="H50" s="49" t="str">
        <f ca="1">IFERROR(__xludf.DUMMYFUNCTION("""COMPUTED_VALUE"""),"")</f>
        <v/>
      </c>
      <c r="I50" s="142">
        <f t="shared" ca="1" si="0"/>
        <v>43700</v>
      </c>
      <c r="J50" s="49" t="str">
        <f ca="1">IFERROR(__xludf.DUMMYFUNCTION("""COMPUTED_VALUE"""),"")</f>
        <v/>
      </c>
      <c r="K50" s="139">
        <f t="shared" ca="1" si="1"/>
        <v>43792</v>
      </c>
      <c r="L50" s="49" t="str">
        <f ca="1">IFERROR(__xludf.DUMMYFUNCTION("""COMPUTED_VALUE"""),"")</f>
        <v/>
      </c>
      <c r="M50" s="49"/>
      <c r="N50" s="49"/>
      <c r="O50" s="49"/>
      <c r="P50" s="49"/>
      <c r="Q50" s="49"/>
      <c r="R50" s="49"/>
      <c r="S50" s="49"/>
      <c r="T50" s="49"/>
      <c r="U50" s="49"/>
      <c r="V50" s="49"/>
      <c r="W50" s="49"/>
      <c r="X50" s="49"/>
      <c r="Y50" s="49"/>
      <c r="Z50" s="49"/>
      <c r="AA50" s="49"/>
      <c r="AB50" s="49"/>
      <c r="AC50" s="49"/>
      <c r="AD50" s="49"/>
    </row>
    <row r="51" spans="1:30" ht="14">
      <c r="A51" s="140">
        <f ca="1">IFERROR(__xludf.DUMMYFUNCTION("""COMPUTED_VALUE"""),43409.4609143518)</f>
        <v>43409.460914351803</v>
      </c>
      <c r="B51" s="141" t="str">
        <f ca="1">IFERROR(__xludf.DUMMYFUNCTION("""COMPUTED_VALUE"""),"Dave Ferguson")</f>
        <v>Dave Ferguson</v>
      </c>
      <c r="C51" s="141" t="str">
        <f ca="1">IFERROR(__xludf.DUMMYFUNCTION("""COMPUTED_VALUE"""),"dferguso@uci.edu")</f>
        <v>dferguso@uci.edu</v>
      </c>
      <c r="D51" s="49" t="str">
        <f ca="1">IFERROR(__xludf.DUMMYFUNCTION("""COMPUTED_VALUE"""),"Assigned")</f>
        <v>Assigned</v>
      </c>
      <c r="E51" s="87">
        <f ca="1">IFERROR(__xludf.DUMMYFUNCTION("""COMPUTED_VALUE"""),43605)</f>
        <v>43605</v>
      </c>
      <c r="F51" s="87" t="str">
        <f ca="1">IFERROR(__xludf.DUMMYFUNCTION("""COMPUTED_VALUE"""),"Yes")</f>
        <v>Yes</v>
      </c>
      <c r="G51" s="49" t="str">
        <f ca="1">IFERROR(__xludf.DUMMYFUNCTION("""COMPUTED_VALUE"""),"Variant Pathogenicity")</f>
        <v>Variant Pathogenicity</v>
      </c>
      <c r="H51" s="49" t="str">
        <f ca="1">IFERROR(__xludf.DUMMYFUNCTION("""COMPUTED_VALUE"""),"Mito")</f>
        <v>Mito</v>
      </c>
      <c r="I51" s="142">
        <f t="shared" ca="1" si="0"/>
        <v>43697</v>
      </c>
      <c r="J51" s="88">
        <f ca="1">IFERROR(__xludf.DUMMYFUNCTION("""COMPUTED_VALUE"""),43712)</f>
        <v>43712</v>
      </c>
      <c r="K51" s="139">
        <f t="shared" ca="1" si="1"/>
        <v>43789</v>
      </c>
      <c r="L51" s="88" t="str">
        <f ca="1">IFERROR(__xludf.DUMMYFUNCTION("""COMPUTED_VALUE"""),"")</f>
        <v/>
      </c>
      <c r="M51" s="49"/>
      <c r="N51" s="49"/>
      <c r="O51" s="49"/>
      <c r="P51" s="49"/>
      <c r="Q51" s="49"/>
      <c r="R51" s="49"/>
      <c r="S51" s="49"/>
      <c r="T51" s="49"/>
      <c r="U51" s="49"/>
      <c r="V51" s="49"/>
      <c r="W51" s="49"/>
      <c r="X51" s="49"/>
      <c r="Y51" s="49"/>
      <c r="Z51" s="49"/>
      <c r="AA51" s="49"/>
      <c r="AB51" s="49"/>
      <c r="AC51" s="49"/>
      <c r="AD51" s="49"/>
    </row>
    <row r="52" spans="1:30" ht="14">
      <c r="A52" s="140">
        <f ca="1">IFERROR(__xludf.DUMMYFUNCTION("""COMPUTED_VALUE"""),43418.4655555555)</f>
        <v>43418.4655555555</v>
      </c>
      <c r="B52" s="141" t="str">
        <f ca="1">IFERROR(__xludf.DUMMYFUNCTION("""COMPUTED_VALUE"""),"Alisdair Philp")</f>
        <v>Alisdair Philp</v>
      </c>
      <c r="C52" s="141" t="str">
        <f ca="1">IFERROR(__xludf.DUMMYFUNCTION("""COMPUTED_VALUE"""),"arphilp@gmail.com")</f>
        <v>arphilp@gmail.com</v>
      </c>
      <c r="D52" s="49" t="str">
        <f ca="1">IFERROR(__xludf.DUMMYFUNCTION("""COMPUTED_VALUE"""),"Assigned")</f>
        <v>Assigned</v>
      </c>
      <c r="E52" s="87">
        <f ca="1">IFERROR(__xludf.DUMMYFUNCTION("""COMPUTED_VALUE"""),43608)</f>
        <v>43608</v>
      </c>
      <c r="F52" s="87" t="str">
        <f ca="1">IFERROR(__xludf.DUMMYFUNCTION("""COMPUTED_VALUE"""),"Yes")</f>
        <v>Yes</v>
      </c>
      <c r="G52" s="49" t="str">
        <f ca="1">IFERROR(__xludf.DUMMYFUNCTION("""COMPUTED_VALUE"""),"Variant Pathogenicity")</f>
        <v>Variant Pathogenicity</v>
      </c>
      <c r="H52" s="49" t="str">
        <f ca="1">IFERROR(__xludf.DUMMYFUNCTION("""COMPUTED_VALUE"""),"TP53")</f>
        <v>TP53</v>
      </c>
      <c r="I52" s="142">
        <f t="shared" ca="1" si="0"/>
        <v>43700</v>
      </c>
      <c r="J52" s="88">
        <f ca="1">IFERROR(__xludf.DUMMYFUNCTION("""COMPUTED_VALUE"""),43712)</f>
        <v>43712</v>
      </c>
      <c r="K52" s="139">
        <f t="shared" ca="1" si="1"/>
        <v>43792</v>
      </c>
      <c r="L52" s="88" t="str">
        <f ca="1">IFERROR(__xludf.DUMMYFUNCTION("""COMPUTED_VALUE"""),"")</f>
        <v/>
      </c>
      <c r="M52" s="49"/>
      <c r="N52" s="49"/>
      <c r="O52" s="49"/>
      <c r="P52" s="49"/>
      <c r="Q52" s="49"/>
      <c r="R52" s="49"/>
      <c r="S52" s="49"/>
      <c r="T52" s="49"/>
      <c r="U52" s="49"/>
      <c r="V52" s="49"/>
      <c r="W52" s="49"/>
      <c r="X52" s="49"/>
      <c r="Y52" s="49"/>
      <c r="Z52" s="49"/>
      <c r="AA52" s="49"/>
      <c r="AB52" s="49"/>
      <c r="AC52" s="49"/>
      <c r="AD52" s="49"/>
    </row>
    <row r="53" spans="1:30" ht="14">
      <c r="A53" s="140">
        <f ca="1">IFERROR(__xludf.DUMMYFUNCTION("""COMPUTED_VALUE"""),43483.533421493)</f>
        <v>43483.533421492997</v>
      </c>
      <c r="B53" s="141" t="str">
        <f ca="1">IFERROR(__xludf.DUMMYFUNCTION("""COMPUTED_VALUE"""),"Nan Jiang")</f>
        <v>Nan Jiang</v>
      </c>
      <c r="C53" s="141" t="str">
        <f ca="1">IFERROR(__xludf.DUMMYFUNCTION("""COMPUTED_VALUE"""),"naj018@ucsd.edu")</f>
        <v>naj018@ucsd.edu</v>
      </c>
      <c r="D53" s="49" t="str">
        <f ca="1">IFERROR(__xludf.DUMMYFUNCTION("""COMPUTED_VALUE"""),"Contacted")</f>
        <v>Contacted</v>
      </c>
      <c r="E53" s="87">
        <f ca="1">IFERROR(__xludf.DUMMYFUNCTION("""COMPUTED_VALUE"""),43580)</f>
        <v>43580</v>
      </c>
      <c r="F53" s="87" t="str">
        <f ca="1">IFERROR(__xludf.DUMMYFUNCTION("""COMPUTED_VALUE"""),"Yes")</f>
        <v>Yes</v>
      </c>
      <c r="G53" s="49" t="str">
        <f ca="1">IFERROR(__xludf.DUMMYFUNCTION("""COMPUTED_VALUE"""),"Dosage Sensitivity")</f>
        <v>Dosage Sensitivity</v>
      </c>
      <c r="H53" s="49" t="str">
        <f ca="1">IFERROR(__xludf.DUMMYFUNCTION("""COMPUTED_VALUE"""),"")</f>
        <v/>
      </c>
      <c r="I53" s="142">
        <f t="shared" ca="1" si="0"/>
        <v>43671</v>
      </c>
      <c r="J53" s="88">
        <f ca="1">IFERROR(__xludf.DUMMYFUNCTION("""COMPUTED_VALUE"""),43712)</f>
        <v>43712</v>
      </c>
      <c r="K53" s="139">
        <f t="shared" ca="1" si="1"/>
        <v>43763</v>
      </c>
      <c r="L53" s="88" t="str">
        <f ca="1">IFERROR(__xludf.DUMMYFUNCTION("""COMPUTED_VALUE"""),"")</f>
        <v/>
      </c>
      <c r="M53" s="49"/>
      <c r="N53" s="49"/>
      <c r="O53" s="49"/>
      <c r="P53" s="49"/>
      <c r="Q53" s="49"/>
      <c r="R53" s="49"/>
      <c r="S53" s="49"/>
      <c r="T53" s="49"/>
      <c r="U53" s="49"/>
      <c r="V53" s="49"/>
      <c r="W53" s="49"/>
      <c r="X53" s="49"/>
      <c r="Y53" s="49"/>
      <c r="Z53" s="49"/>
      <c r="AA53" s="49"/>
      <c r="AB53" s="49"/>
      <c r="AC53" s="49"/>
      <c r="AD53" s="49"/>
    </row>
    <row r="54" spans="1:30" ht="14">
      <c r="A54" s="140">
        <f ca="1">IFERROR(__xludf.DUMMYFUNCTION("""COMPUTED_VALUE"""),43483.5545959027)</f>
        <v>43483.5545959027</v>
      </c>
      <c r="B54" s="141" t="str">
        <f ca="1">IFERROR(__xludf.DUMMYFUNCTION("""COMPUTED_VALUE"""),"Ny Hoang")</f>
        <v>Ny Hoang</v>
      </c>
      <c r="C54" s="141" t="str">
        <f ca="1">IFERROR(__xludf.DUMMYFUNCTION("""COMPUTED_VALUE"""),"ny.hoang@sickkids.ca")</f>
        <v>ny.hoang@sickkids.ca</v>
      </c>
      <c r="D54" s="49" t="str">
        <f ca="1">IFERROR(__xludf.DUMMYFUNCTION("""COMPUTED_VALUE"""),"Declined")</f>
        <v>Declined</v>
      </c>
      <c r="E54" s="88">
        <f ca="1">IFERROR(__xludf.DUMMYFUNCTION("""COMPUTED_VALUE"""),43446)</f>
        <v>43446</v>
      </c>
      <c r="F54" s="87" t="str">
        <f ca="1">IFERROR(__xludf.DUMMYFUNCTION("""COMPUTED_VALUE"""),"Yes")</f>
        <v>Yes</v>
      </c>
      <c r="G54" s="49" t="str">
        <f ca="1">IFERROR(__xludf.DUMMYFUNCTION("""COMPUTED_VALUE"""),"Gene Disease Validity")</f>
        <v>Gene Disease Validity</v>
      </c>
      <c r="H54" s="49" t="str">
        <f ca="1">IFERROR(__xludf.DUMMYFUNCTION("""COMPUTED_VALUE"""),"ID Autism")</f>
        <v>ID Autism</v>
      </c>
      <c r="I54" s="142">
        <f t="shared" ca="1" si="0"/>
        <v>43536</v>
      </c>
      <c r="J54" s="88">
        <f ca="1">IFERROR(__xludf.DUMMYFUNCTION("""COMPUTED_VALUE"""),43592)</f>
        <v>43592</v>
      </c>
      <c r="K54" s="139">
        <f t="shared" ca="1" si="1"/>
        <v>43628</v>
      </c>
      <c r="L54" s="88">
        <f ca="1">IFERROR(__xludf.DUMMYFUNCTION("""COMPUTED_VALUE"""),43713)</f>
        <v>43713</v>
      </c>
      <c r="M54" s="49"/>
      <c r="N54" s="49"/>
      <c r="O54" s="49"/>
      <c r="P54" s="49"/>
      <c r="Q54" s="49"/>
      <c r="R54" s="49"/>
      <c r="S54" s="49"/>
      <c r="T54" s="49"/>
      <c r="U54" s="49"/>
      <c r="V54" s="49"/>
      <c r="W54" s="49"/>
      <c r="X54" s="49"/>
      <c r="Y54" s="49"/>
      <c r="Z54" s="49"/>
      <c r="AA54" s="49"/>
      <c r="AB54" s="49"/>
      <c r="AC54" s="49"/>
      <c r="AD54" s="49"/>
    </row>
    <row r="55" spans="1:30" ht="14">
      <c r="A55" s="140">
        <f ca="1">IFERROR(__xludf.DUMMYFUNCTION("""COMPUTED_VALUE"""),43485.6961549652)</f>
        <v>43485.696154965197</v>
      </c>
      <c r="B55" s="141" t="str">
        <f ca="1">IFERROR(__xludf.DUMMYFUNCTION("""COMPUTED_VALUE"""),"Qiuxiang Ou")</f>
        <v>Qiuxiang Ou</v>
      </c>
      <c r="C55" s="141" t="str">
        <f ca="1">IFERROR(__xludf.DUMMYFUNCTION("""COMPUTED_VALUE"""),"dorothy.ou@gmail.com")</f>
        <v>dorothy.ou@gmail.com</v>
      </c>
      <c r="D55" s="49" t="str">
        <f ca="1">IFERROR(__xludf.DUMMYFUNCTION("""COMPUTED_VALUE"""),"Contacted")</f>
        <v>Contacted</v>
      </c>
      <c r="E55" s="98">
        <f ca="1">IFERROR(__xludf.DUMMYFUNCTION("""COMPUTED_VALUE"""),43598)</f>
        <v>43598</v>
      </c>
      <c r="F55" s="87" t="str">
        <f ca="1">IFERROR(__xludf.DUMMYFUNCTION("""COMPUTED_VALUE"""),"No")</f>
        <v>No</v>
      </c>
      <c r="G55" s="49" t="str">
        <f ca="1">IFERROR(__xludf.DUMMYFUNCTION("""COMPUTED_VALUE"""),"Somatic Cancer")</f>
        <v>Somatic Cancer</v>
      </c>
      <c r="H55" s="49" t="str">
        <f ca="1">IFERROR(__xludf.DUMMYFUNCTION("""COMPUTED_VALUE"""),"")</f>
        <v/>
      </c>
      <c r="I55" s="142">
        <f t="shared" ca="1" si="0"/>
        <v>43690</v>
      </c>
      <c r="J55" s="88">
        <f ca="1">IFERROR(__xludf.DUMMYFUNCTION("""COMPUTED_VALUE"""),43712)</f>
        <v>43712</v>
      </c>
      <c r="K55" s="139">
        <f t="shared" ca="1" si="1"/>
        <v>43782</v>
      </c>
      <c r="L55" s="88" t="str">
        <f ca="1">IFERROR(__xludf.DUMMYFUNCTION("""COMPUTED_VALUE"""),"")</f>
        <v/>
      </c>
      <c r="M55" s="49"/>
      <c r="N55" s="49"/>
      <c r="O55" s="49"/>
      <c r="P55" s="49"/>
      <c r="Q55" s="49"/>
      <c r="R55" s="49"/>
      <c r="S55" s="49"/>
      <c r="T55" s="49"/>
      <c r="U55" s="49"/>
      <c r="V55" s="49"/>
      <c r="W55" s="49"/>
      <c r="X55" s="49"/>
      <c r="Y55" s="49"/>
      <c r="Z55" s="49"/>
      <c r="AA55" s="49"/>
      <c r="AB55" s="49"/>
      <c r="AC55" s="49"/>
      <c r="AD55" s="49"/>
    </row>
    <row r="56" spans="1:30" ht="14">
      <c r="A56" s="140">
        <f ca="1">IFERROR(__xludf.DUMMYFUNCTION("""COMPUTED_VALUE"""),43416.3743634259)</f>
        <v>43416.374363425901</v>
      </c>
      <c r="B56" s="141" t="str">
        <f ca="1">IFERROR(__xludf.DUMMYFUNCTION("""COMPUTED_VALUE"""),"Kylin Boehler")</f>
        <v>Kylin Boehler</v>
      </c>
      <c r="C56" s="141" t="str">
        <f ca="1">IFERROR(__xludf.DUMMYFUNCTION("""COMPUTED_VALUE"""),"kylin.y.boehler@questdiagnostics.com")</f>
        <v>kylin.y.boehler@questdiagnostics.com</v>
      </c>
      <c r="D56" s="49" t="str">
        <f ca="1">IFERROR(__xludf.DUMMYFUNCTION("""COMPUTED_VALUE"""),"Assigned")</f>
        <v>Assigned</v>
      </c>
      <c r="E56" s="99">
        <f ca="1">IFERROR(__xludf.DUMMYFUNCTION("""COMPUTED_VALUE"""),43522)</f>
        <v>43522</v>
      </c>
      <c r="F56" s="88" t="str">
        <f ca="1">IFERROR(__xludf.DUMMYFUNCTION("""COMPUTED_VALUE"""),"Yes")</f>
        <v>Yes</v>
      </c>
      <c r="G56" s="49" t="str">
        <f ca="1">IFERROR(__xludf.DUMMYFUNCTION("""COMPUTED_VALUE"""),"Actionability")</f>
        <v>Actionability</v>
      </c>
      <c r="H56" s="49" t="str">
        <f ca="1">IFERROR(__xludf.DUMMYFUNCTION("""COMPUTED_VALUE"""),"Actionability")</f>
        <v>Actionability</v>
      </c>
      <c r="I56" s="142">
        <f t="shared" ca="1" si="0"/>
        <v>43611</v>
      </c>
      <c r="J56" s="49" t="str">
        <f ca="1">IFERROR(__xludf.DUMMYFUNCTION("""COMPUTED_VALUE"""),"")</f>
        <v/>
      </c>
      <c r="K56" s="139">
        <f t="shared" ca="1" si="1"/>
        <v>43703</v>
      </c>
      <c r="L56" s="49" t="str">
        <f ca="1">IFERROR(__xludf.DUMMYFUNCTION("""COMPUTED_VALUE"""),"")</f>
        <v/>
      </c>
      <c r="M56" s="49"/>
      <c r="N56" s="49"/>
      <c r="O56" s="49"/>
      <c r="P56" s="49"/>
      <c r="Q56" s="49"/>
      <c r="R56" s="49"/>
      <c r="S56" s="49"/>
      <c r="T56" s="49"/>
      <c r="U56" s="49"/>
      <c r="V56" s="49"/>
      <c r="W56" s="49"/>
      <c r="X56" s="49"/>
      <c r="Y56" s="49"/>
      <c r="Z56" s="49"/>
      <c r="AA56" s="49"/>
      <c r="AB56" s="49"/>
      <c r="AC56" s="49"/>
      <c r="AD56" s="49"/>
    </row>
    <row r="57" spans="1:30" ht="14">
      <c r="A57" s="140">
        <f ca="1">IFERROR(__xludf.DUMMYFUNCTION("""COMPUTED_VALUE"""),43378.381261574)</f>
        <v>43378.381261574003</v>
      </c>
      <c r="B57" s="141" t="str">
        <f ca="1">IFERROR(__xludf.DUMMYFUNCTION("""COMPUTED_VALUE"""),"Nharimann Azima")</f>
        <v>Nharimann Azima</v>
      </c>
      <c r="C57" s="141" t="str">
        <f ca="1">IFERROR(__xludf.DUMMYFUNCTION("""COMPUTED_VALUE"""),"naa3f@gwu.edu")</f>
        <v>naa3f@gwu.edu</v>
      </c>
      <c r="D57" s="49" t="str">
        <f ca="1">IFERROR(__xludf.DUMMYFUNCTION("""COMPUTED_VALUE"""),"Unresponsive")</f>
        <v>Unresponsive</v>
      </c>
      <c r="E57" s="99">
        <f ca="1">IFERROR(__xludf.DUMMYFUNCTION("""COMPUTED_VALUE"""),43567)</f>
        <v>43567</v>
      </c>
      <c r="F57" s="87" t="str">
        <f ca="1">IFERROR(__xludf.DUMMYFUNCTION("""COMPUTED_VALUE"""),"No")</f>
        <v>No</v>
      </c>
      <c r="G57" s="49" t="str">
        <f ca="1">IFERROR(__xludf.DUMMYFUNCTION("""COMPUTED_VALUE"""),"Actionability")</f>
        <v>Actionability</v>
      </c>
      <c r="H57" s="49" t="str">
        <f ca="1">IFERROR(__xludf.DUMMYFUNCTION("""COMPUTED_VALUE"""),"")</f>
        <v/>
      </c>
      <c r="I57" s="142">
        <f t="shared" ca="1" si="0"/>
        <v>43658</v>
      </c>
      <c r="J57" s="49" t="str">
        <f ca="1">IFERROR(__xludf.DUMMYFUNCTION("""COMPUTED_VALUE"""),"")</f>
        <v/>
      </c>
      <c r="K57" s="139">
        <f t="shared" ca="1" si="1"/>
        <v>43750</v>
      </c>
      <c r="L57" s="49" t="str">
        <f ca="1">IFERROR(__xludf.DUMMYFUNCTION("""COMPUTED_VALUE"""),"")</f>
        <v/>
      </c>
      <c r="M57" s="49"/>
      <c r="N57" s="49"/>
      <c r="O57" s="49"/>
      <c r="P57" s="49"/>
      <c r="Q57" s="49"/>
      <c r="R57" s="49"/>
      <c r="S57" s="49"/>
      <c r="T57" s="49"/>
      <c r="U57" s="49"/>
      <c r="V57" s="49"/>
      <c r="W57" s="49"/>
      <c r="X57" s="49"/>
      <c r="Y57" s="49"/>
      <c r="Z57" s="49"/>
      <c r="AA57" s="49"/>
      <c r="AB57" s="49"/>
      <c r="AC57" s="49"/>
      <c r="AD57" s="49"/>
    </row>
    <row r="58" spans="1:30" ht="14">
      <c r="A58" s="140">
        <f ca="1">IFERROR(__xludf.DUMMYFUNCTION("""COMPUTED_VALUE"""),43415.383449074)</f>
        <v>43415.383449073997</v>
      </c>
      <c r="B58" s="141" t="str">
        <f ca="1">IFERROR(__xludf.DUMMYFUNCTION("""COMPUTED_VALUE"""),"Krzysztof Szczaluba")</f>
        <v>Krzysztof Szczaluba</v>
      </c>
      <c r="C58" s="141" t="str">
        <f ca="1">IFERROR(__xludf.DUMMYFUNCTION("""COMPUTED_VALUE"""),"krzysztof.szczaluba@gmail.com")</f>
        <v>krzysztof.szczaluba@gmail.com</v>
      </c>
      <c r="D58" s="49" t="str">
        <f ca="1">IFERROR(__xludf.DUMMYFUNCTION("""COMPUTED_VALUE"""),"Assigned")</f>
        <v>Assigned</v>
      </c>
      <c r="E58" s="87">
        <f ca="1">IFERROR(__xludf.DUMMYFUNCTION("""COMPUTED_VALUE"""),43678)</f>
        <v>43678</v>
      </c>
      <c r="F58" s="87" t="str">
        <f ca="1">IFERROR(__xludf.DUMMYFUNCTION("""COMPUTED_VALUE"""),"Yes")</f>
        <v>Yes</v>
      </c>
      <c r="G58" s="49" t="str">
        <f ca="1">IFERROR(__xludf.DUMMYFUNCTION("""COMPUTED_VALUE"""),"Actionability")</f>
        <v>Actionability</v>
      </c>
      <c r="H58" s="49" t="str">
        <f ca="1">IFERROR(__xludf.DUMMYFUNCTION("""COMPUTED_VALUE"""),"Actionability")</f>
        <v>Actionability</v>
      </c>
      <c r="I58" s="142">
        <f t="shared" ca="1" si="0"/>
        <v>43770</v>
      </c>
      <c r="J58" s="49" t="str">
        <f ca="1">IFERROR(__xludf.DUMMYFUNCTION("""COMPUTED_VALUE"""),"")</f>
        <v/>
      </c>
      <c r="K58" s="139">
        <f t="shared" ca="1" si="1"/>
        <v>43862</v>
      </c>
      <c r="L58" s="49" t="str">
        <f ca="1">IFERROR(__xludf.DUMMYFUNCTION("""COMPUTED_VALUE"""),"")</f>
        <v/>
      </c>
      <c r="M58" s="49"/>
      <c r="N58" s="49"/>
      <c r="O58" s="49"/>
      <c r="P58" s="49"/>
      <c r="Q58" s="49"/>
      <c r="R58" s="49"/>
      <c r="S58" s="49"/>
      <c r="T58" s="49"/>
      <c r="U58" s="49"/>
      <c r="V58" s="49"/>
      <c r="W58" s="49"/>
      <c r="X58" s="49"/>
      <c r="Y58" s="49"/>
      <c r="Z58" s="49"/>
      <c r="AA58" s="49"/>
      <c r="AB58" s="49"/>
      <c r="AC58" s="49"/>
      <c r="AD58" s="49"/>
    </row>
    <row r="59" spans="1:30" ht="14">
      <c r="A59" s="140">
        <f ca="1">IFERROR(__xludf.DUMMYFUNCTION("""COMPUTED_VALUE"""),43418.3868287037)</f>
        <v>43418.386828703697</v>
      </c>
      <c r="B59" s="141" t="str">
        <f ca="1">IFERROR(__xludf.DUMMYFUNCTION("""COMPUTED_VALUE"""),"Fiona Curtis")</f>
        <v>Fiona Curtis</v>
      </c>
      <c r="C59" s="141" t="str">
        <f ca="1">IFERROR(__xludf.DUMMYFUNCTION("""COMPUTED_VALUE"""),"fionakatherinecurtis@yahoo.ca")</f>
        <v>fionakatherinecurtis@yahoo.ca</v>
      </c>
      <c r="D59" s="49" t="str">
        <f ca="1">IFERROR(__xludf.DUMMYFUNCTION("""COMPUTED_VALUE"""),"Unresponsive")</f>
        <v>Unresponsive</v>
      </c>
      <c r="E59" s="99">
        <f ca="1">IFERROR(__xludf.DUMMYFUNCTION("""COMPUTED_VALUE"""),43522)</f>
        <v>43522</v>
      </c>
      <c r="F59" s="98" t="str">
        <f ca="1">IFERROR(__xludf.DUMMYFUNCTION("""COMPUTED_VALUE"""),"No")</f>
        <v>No</v>
      </c>
      <c r="G59" s="49" t="str">
        <f ca="1">IFERROR(__xludf.DUMMYFUNCTION("""COMPUTED_VALUE"""),"Actionability")</f>
        <v>Actionability</v>
      </c>
      <c r="H59" s="49" t="str">
        <f ca="1">IFERROR(__xludf.DUMMYFUNCTION("""COMPUTED_VALUE"""),"Actionability")</f>
        <v>Actionability</v>
      </c>
      <c r="I59" s="142">
        <f t="shared" ca="1" si="0"/>
        <v>43611</v>
      </c>
      <c r="J59" s="49" t="str">
        <f ca="1">IFERROR(__xludf.DUMMYFUNCTION("""COMPUTED_VALUE"""),"")</f>
        <v/>
      </c>
      <c r="K59" s="139">
        <f t="shared" ca="1" si="1"/>
        <v>43703</v>
      </c>
      <c r="L59" s="49" t="str">
        <f ca="1">IFERROR(__xludf.DUMMYFUNCTION("""COMPUTED_VALUE"""),"")</f>
        <v/>
      </c>
      <c r="M59" s="49"/>
      <c r="N59" s="49"/>
      <c r="O59" s="49"/>
      <c r="P59" s="49"/>
      <c r="Q59" s="49"/>
      <c r="R59" s="49"/>
      <c r="S59" s="49"/>
      <c r="T59" s="49"/>
      <c r="U59" s="49"/>
      <c r="V59" s="49"/>
      <c r="W59" s="49"/>
      <c r="X59" s="49"/>
      <c r="Y59" s="49"/>
      <c r="Z59" s="49"/>
      <c r="AA59" s="49"/>
      <c r="AB59" s="49"/>
      <c r="AC59" s="49"/>
      <c r="AD59" s="49"/>
    </row>
    <row r="60" spans="1:30" ht="18" customHeight="1">
      <c r="A60" s="140">
        <f ca="1">IFERROR(__xludf.DUMMYFUNCTION("""COMPUTED_VALUE"""),43430.4000462963)</f>
        <v>43430.400046296301</v>
      </c>
      <c r="B60" s="141" t="str">
        <f ca="1">IFERROR(__xludf.DUMMYFUNCTION("""COMPUTED_VALUE"""),"Laura Fuqua")</f>
        <v>Laura Fuqua</v>
      </c>
      <c r="C60" s="141" t="str">
        <f ca="1">IFERROR(__xludf.DUMMYFUNCTION("""COMPUTED_VALUE"""),"laura.fuqua@gmail.com")</f>
        <v>laura.fuqua@gmail.com</v>
      </c>
      <c r="D60" s="49" t="str">
        <f ca="1">IFERROR(__xludf.DUMMYFUNCTION("""COMPUTED_VALUE"""),"Assigned")</f>
        <v>Assigned</v>
      </c>
      <c r="E60" s="88">
        <f ca="1">IFERROR(__xludf.DUMMYFUNCTION("""COMPUTED_VALUE"""),43476)</f>
        <v>43476</v>
      </c>
      <c r="F60" s="88" t="str">
        <f ca="1">IFERROR(__xludf.DUMMYFUNCTION("""COMPUTED_VALUE"""),"No")</f>
        <v>No</v>
      </c>
      <c r="G60" s="49" t="str">
        <f ca="1">IFERROR(__xludf.DUMMYFUNCTION("""COMPUTED_VALUE"""),"Actionability")</f>
        <v>Actionability</v>
      </c>
      <c r="H60" s="49" t="str">
        <f ca="1">IFERROR(__xludf.DUMMYFUNCTION("""COMPUTED_VALUE"""),"Actionability")</f>
        <v>Actionability</v>
      </c>
      <c r="I60" s="142">
        <f t="shared" ca="1" si="0"/>
        <v>43566</v>
      </c>
      <c r="J60" s="88">
        <f ca="1">IFERROR(__xludf.DUMMYFUNCTION("""COMPUTED_VALUE"""),43593)</f>
        <v>43593</v>
      </c>
      <c r="K60" s="139">
        <f t="shared" ca="1" si="1"/>
        <v>43657</v>
      </c>
      <c r="L60" s="88">
        <f ca="1">IFERROR(__xludf.DUMMYFUNCTION("""COMPUTED_VALUE"""),43713)</f>
        <v>43713</v>
      </c>
      <c r="M60" s="49"/>
      <c r="N60" s="49"/>
      <c r="O60" s="49"/>
      <c r="P60" s="49"/>
      <c r="Q60" s="49"/>
      <c r="R60" s="49"/>
      <c r="S60" s="49"/>
      <c r="T60" s="49"/>
      <c r="U60" s="49"/>
      <c r="V60" s="49"/>
      <c r="W60" s="49"/>
      <c r="X60" s="49"/>
      <c r="Y60" s="49"/>
      <c r="Z60" s="49"/>
      <c r="AA60" s="49"/>
      <c r="AB60" s="49"/>
      <c r="AC60" s="49"/>
      <c r="AD60" s="49"/>
    </row>
    <row r="61" spans="1:30" ht="17.25" customHeight="1">
      <c r="A61" s="140">
        <f ca="1">IFERROR(__xludf.DUMMYFUNCTION("""COMPUTED_VALUE"""),43437.4019097222)</f>
        <v>43437.401909722197</v>
      </c>
      <c r="B61" s="141" t="str">
        <f ca="1">IFERROR(__xludf.DUMMYFUNCTION("""COMPUTED_VALUE"""),"Morgan Similuk")</f>
        <v>Morgan Similuk</v>
      </c>
      <c r="C61" s="141" t="str">
        <f ca="1">IFERROR(__xludf.DUMMYFUNCTION("""COMPUTED_VALUE"""),"Morgan.similuk@nih.gov")</f>
        <v>Morgan.similuk@nih.gov</v>
      </c>
      <c r="D61" s="49" t="str">
        <f ca="1">IFERROR(__xludf.DUMMYFUNCTION("""COMPUTED_VALUE"""),"Follow up email")</f>
        <v>Follow up email</v>
      </c>
      <c r="E61" s="87">
        <f ca="1">IFERROR(__xludf.DUMMYFUNCTION("""COMPUTED_VALUE"""),43769)</f>
        <v>43769</v>
      </c>
      <c r="F61" s="88" t="str">
        <f ca="1">IFERROR(__xludf.DUMMYFUNCTION("""COMPUTED_VALUE"""),"Yes")</f>
        <v>Yes</v>
      </c>
      <c r="G61" s="49" t="str">
        <f ca="1">IFERROR(__xludf.DUMMYFUNCTION("""COMPUTED_VALUE"""),"Actionability")</f>
        <v>Actionability</v>
      </c>
      <c r="H61" s="49" t="str">
        <f ca="1">IFERROR(__xludf.DUMMYFUNCTION("""COMPUTED_VALUE"""),"Actionability")</f>
        <v>Actionability</v>
      </c>
      <c r="I61" s="142">
        <f t="shared" ca="1" si="0"/>
        <v>43861</v>
      </c>
      <c r="J61" s="49" t="str">
        <f ca="1">IFERROR(__xludf.DUMMYFUNCTION("""COMPUTED_VALUE"""),"")</f>
        <v/>
      </c>
      <c r="K61" s="139">
        <f t="shared" ca="1" si="1"/>
        <v>43951</v>
      </c>
      <c r="L61" s="49" t="str">
        <f ca="1">IFERROR(__xludf.DUMMYFUNCTION("""COMPUTED_VALUE"""),"")</f>
        <v/>
      </c>
      <c r="M61" s="49"/>
      <c r="N61" s="49"/>
      <c r="O61" s="49"/>
      <c r="P61" s="49"/>
      <c r="Q61" s="49"/>
      <c r="R61" s="49"/>
      <c r="S61" s="49"/>
      <c r="T61" s="49"/>
      <c r="U61" s="49"/>
      <c r="V61" s="49"/>
      <c r="W61" s="49"/>
      <c r="X61" s="49"/>
      <c r="Y61" s="49"/>
      <c r="Z61" s="49"/>
      <c r="AA61" s="49"/>
      <c r="AB61" s="49"/>
      <c r="AC61" s="49"/>
      <c r="AD61" s="49"/>
    </row>
    <row r="62" spans="1:30" ht="14">
      <c r="A62" s="140">
        <f ca="1">IFERROR(__xludf.DUMMYFUNCTION("""COMPUTED_VALUE"""),43439.406574074)</f>
        <v>43439.406574073997</v>
      </c>
      <c r="B62" s="141" t="str">
        <f ca="1">IFERROR(__xludf.DUMMYFUNCTION("""COMPUTED_VALUE"""),"Sandra P Smieszek")</f>
        <v>Sandra P Smieszek</v>
      </c>
      <c r="C62" s="141" t="str">
        <f ca="1">IFERROR(__xludf.DUMMYFUNCTION("""COMPUTED_VALUE"""),"sps92@case.edu")</f>
        <v>sps92@case.edu</v>
      </c>
      <c r="D62" s="49" t="str">
        <f ca="1">IFERROR(__xludf.DUMMYFUNCTION("""COMPUTED_VALUE"""),"Unresponsive")</f>
        <v>Unresponsive</v>
      </c>
      <c r="E62" s="87">
        <f ca="1">IFERROR(__xludf.DUMMYFUNCTION("""COMPUTED_VALUE"""),43678)</f>
        <v>43678</v>
      </c>
      <c r="F62" s="87" t="str">
        <f ca="1">IFERROR(__xludf.DUMMYFUNCTION("""COMPUTED_VALUE"""),"No")</f>
        <v>No</v>
      </c>
      <c r="G62" s="49" t="str">
        <f ca="1">IFERROR(__xludf.DUMMYFUNCTION("""COMPUTED_VALUE"""),"Actionability")</f>
        <v>Actionability</v>
      </c>
      <c r="H62" s="49" t="str">
        <f ca="1">IFERROR(__xludf.DUMMYFUNCTION("""COMPUTED_VALUE"""),"")</f>
        <v/>
      </c>
      <c r="I62" s="142">
        <f t="shared" ca="1" si="0"/>
        <v>43770</v>
      </c>
      <c r="J62" s="49" t="str">
        <f ca="1">IFERROR(__xludf.DUMMYFUNCTION("""COMPUTED_VALUE"""),"")</f>
        <v/>
      </c>
      <c r="K62" s="139">
        <f t="shared" ca="1" si="1"/>
        <v>43862</v>
      </c>
      <c r="L62" s="49" t="str">
        <f ca="1">IFERROR(__xludf.DUMMYFUNCTION("""COMPUTED_VALUE"""),"")</f>
        <v/>
      </c>
      <c r="M62" s="49"/>
      <c r="N62" s="49"/>
      <c r="O62" s="49"/>
      <c r="P62" s="49"/>
      <c r="Q62" s="49"/>
      <c r="R62" s="49"/>
      <c r="S62" s="49"/>
      <c r="T62" s="49"/>
      <c r="U62" s="49"/>
      <c r="V62" s="49"/>
      <c r="W62" s="49"/>
      <c r="X62" s="49"/>
      <c r="Y62" s="49"/>
      <c r="Z62" s="49"/>
      <c r="AA62" s="49"/>
      <c r="AB62" s="49"/>
      <c r="AC62" s="49"/>
      <c r="AD62" s="49"/>
    </row>
    <row r="63" spans="1:30" ht="14">
      <c r="A63" s="140">
        <f ca="1">IFERROR(__xludf.DUMMYFUNCTION("""COMPUTED_VALUE"""),43354.4229282407)</f>
        <v>43354.422928240703</v>
      </c>
      <c r="B63" s="141" t="str">
        <f ca="1">IFERROR(__xludf.DUMMYFUNCTION("""COMPUTED_VALUE"""),"Parisa Lotfi")</f>
        <v>Parisa Lotfi</v>
      </c>
      <c r="C63" s="141" t="str">
        <f ca="1">IFERROR(__xludf.DUMMYFUNCTION("""COMPUTED_VALUE"""),"Parisa_Lotfi@yahoo.com")</f>
        <v>Parisa_Lotfi@yahoo.com</v>
      </c>
      <c r="D63" s="49" t="str">
        <f ca="1">IFERROR(__xludf.DUMMYFUNCTION("""COMPUTED_VALUE"""),"Assigned")</f>
        <v>Assigned</v>
      </c>
      <c r="E63" s="98">
        <f ca="1">IFERROR(__xludf.DUMMYFUNCTION("""COMPUTED_VALUE"""),43581)</f>
        <v>43581</v>
      </c>
      <c r="F63" s="88" t="str">
        <f ca="1">IFERROR(__xludf.DUMMYFUNCTION("""COMPUTED_VALUE"""),"No")</f>
        <v>No</v>
      </c>
      <c r="G63" s="49" t="str">
        <f ca="1">IFERROR(__xludf.DUMMYFUNCTION("""COMPUTED_VALUE"""),"Somatic Cancer")</f>
        <v>Somatic Cancer</v>
      </c>
      <c r="H63" s="49" t="str">
        <f ca="1">IFERROR(__xludf.DUMMYFUNCTION("""COMPUTED_VALUE"""),"Pancreatic cancer taskforce")</f>
        <v>Pancreatic cancer taskforce</v>
      </c>
      <c r="I63" s="142">
        <f t="shared" ca="1" si="0"/>
        <v>43672</v>
      </c>
      <c r="J63" s="88">
        <f ca="1">IFERROR(__xludf.DUMMYFUNCTION("""COMPUTED_VALUE"""),43712)</f>
        <v>43712</v>
      </c>
      <c r="K63" s="139">
        <f t="shared" ca="1" si="1"/>
        <v>43764</v>
      </c>
      <c r="L63" s="88" t="str">
        <f ca="1">IFERROR(__xludf.DUMMYFUNCTION("""COMPUTED_VALUE"""),"")</f>
        <v/>
      </c>
      <c r="M63" s="49"/>
      <c r="N63" s="49"/>
      <c r="O63" s="49"/>
      <c r="P63" s="49"/>
      <c r="Q63" s="49"/>
      <c r="R63" s="49"/>
      <c r="S63" s="49"/>
      <c r="T63" s="49"/>
      <c r="U63" s="49"/>
      <c r="V63" s="49"/>
      <c r="W63" s="49"/>
      <c r="X63" s="49"/>
      <c r="Y63" s="49"/>
      <c r="Z63" s="49"/>
      <c r="AA63" s="49"/>
      <c r="AB63" s="49"/>
      <c r="AC63" s="49"/>
      <c r="AD63" s="49"/>
    </row>
    <row r="64" spans="1:30" ht="14">
      <c r="A64" s="140">
        <f ca="1">IFERROR(__xludf.DUMMYFUNCTION("""COMPUTED_VALUE"""),43496.5735918171)</f>
        <v>43496.573591817098</v>
      </c>
      <c r="B64" s="141" t="str">
        <f ca="1">IFERROR(__xludf.DUMMYFUNCTION("""COMPUTED_VALUE"""),"Szabolcs Szelinger")</f>
        <v>Szabolcs Szelinger</v>
      </c>
      <c r="C64" s="141" t="str">
        <f ca="1">IFERROR(__xludf.DUMMYFUNCTION("""COMPUTED_VALUE"""),"sszelinger@tgen.org")</f>
        <v>sszelinger@tgen.org</v>
      </c>
      <c r="D64" s="49" t="str">
        <f ca="1">IFERROR(__xludf.DUMMYFUNCTION("""COMPUTED_VALUE"""),"Contacted")</f>
        <v>Contacted</v>
      </c>
      <c r="E64" s="87">
        <f ca="1">IFERROR(__xludf.DUMMYFUNCTION("""COMPUTED_VALUE"""),43692)</f>
        <v>43692</v>
      </c>
      <c r="F64" s="88" t="str">
        <f ca="1">IFERROR(__xludf.DUMMYFUNCTION("""COMPUTED_VALUE"""),"No")</f>
        <v>No</v>
      </c>
      <c r="G64" s="49" t="str">
        <f ca="1">IFERROR(__xludf.DUMMYFUNCTION("""COMPUTED_VALUE"""),"Gene Disease Validity")</f>
        <v>Gene Disease Validity</v>
      </c>
      <c r="H64" s="49" t="str">
        <f ca="1">IFERROR(__xludf.DUMMYFUNCTION("""COMPUTED_VALUE"""),"")</f>
        <v/>
      </c>
      <c r="I64" s="142">
        <f t="shared" ca="1" si="0"/>
        <v>43784</v>
      </c>
      <c r="J64" s="49" t="str">
        <f ca="1">IFERROR(__xludf.DUMMYFUNCTION("""COMPUTED_VALUE"""),"")</f>
        <v/>
      </c>
      <c r="K64" s="139">
        <f t="shared" ca="1" si="1"/>
        <v>43876</v>
      </c>
      <c r="L64" s="49" t="str">
        <f ca="1">IFERROR(__xludf.DUMMYFUNCTION("""COMPUTED_VALUE"""),"")</f>
        <v/>
      </c>
      <c r="M64" s="49"/>
      <c r="N64" s="49"/>
      <c r="O64" s="49"/>
      <c r="P64" s="49"/>
      <c r="Q64" s="49"/>
      <c r="R64" s="49"/>
      <c r="S64" s="49"/>
      <c r="T64" s="49"/>
      <c r="U64" s="49"/>
      <c r="V64" s="49"/>
      <c r="W64" s="49"/>
      <c r="X64" s="49"/>
      <c r="Y64" s="49"/>
      <c r="Z64" s="49"/>
      <c r="AA64" s="49"/>
      <c r="AB64" s="49"/>
      <c r="AC64" s="49"/>
      <c r="AD64" s="49"/>
    </row>
    <row r="65" spans="1:30" ht="17.25" customHeight="1">
      <c r="A65" s="140">
        <f ca="1">IFERROR(__xludf.DUMMYFUNCTION("""COMPUTED_VALUE"""),43498.5072570138)</f>
        <v>43498.5072570138</v>
      </c>
      <c r="B65" s="141" t="str">
        <f ca="1">IFERROR(__xludf.DUMMYFUNCTION("""COMPUTED_VALUE"""),"Ramesh Vaidyanathan")</f>
        <v>Ramesh Vaidyanathan</v>
      </c>
      <c r="C65" s="141" t="str">
        <f ca="1">IFERROR(__xludf.DUMMYFUNCTION("""COMPUTED_VALUE"""),"vaid@rocketmail.com")</f>
        <v>vaid@rocketmail.com</v>
      </c>
      <c r="D65" s="49" t="str">
        <f ca="1">IFERROR(__xludf.DUMMYFUNCTION("""COMPUTED_VALUE"""),"Unresponsive")</f>
        <v>Unresponsive</v>
      </c>
      <c r="E65" s="99">
        <f ca="1">IFERROR(__xludf.DUMMYFUNCTION("""COMPUTED_VALUE"""),43567)</f>
        <v>43567</v>
      </c>
      <c r="F65" s="88" t="str">
        <f ca="1">IFERROR(__xludf.DUMMYFUNCTION("""COMPUTED_VALUE"""),"Yes")</f>
        <v>Yes</v>
      </c>
      <c r="G65" s="49" t="str">
        <f ca="1">IFERROR(__xludf.DUMMYFUNCTION("""COMPUTED_VALUE"""),"Actionability")</f>
        <v>Actionability</v>
      </c>
      <c r="H65" s="49" t="str">
        <f ca="1">IFERROR(__xludf.DUMMYFUNCTION("""COMPUTED_VALUE"""),"Actionability")</f>
        <v>Actionability</v>
      </c>
      <c r="I65" s="142">
        <f t="shared" ca="1" si="0"/>
        <v>43658</v>
      </c>
      <c r="J65" s="88">
        <f ca="1">IFERROR(__xludf.DUMMYFUNCTION("""COMPUTED_VALUE"""),43712)</f>
        <v>43712</v>
      </c>
      <c r="K65" s="139">
        <f t="shared" ca="1" si="1"/>
        <v>43750</v>
      </c>
      <c r="L65" s="88" t="str">
        <f ca="1">IFERROR(__xludf.DUMMYFUNCTION("""COMPUTED_VALUE"""),"")</f>
        <v/>
      </c>
      <c r="M65" s="49"/>
      <c r="N65" s="49"/>
      <c r="O65" s="49"/>
      <c r="P65" s="49"/>
      <c r="Q65" s="49"/>
      <c r="R65" s="49"/>
      <c r="S65" s="49"/>
      <c r="T65" s="49"/>
      <c r="U65" s="49"/>
      <c r="V65" s="49"/>
      <c r="W65" s="49"/>
      <c r="X65" s="49"/>
      <c r="Y65" s="49"/>
      <c r="Z65" s="49"/>
      <c r="AA65" s="49"/>
      <c r="AB65" s="49"/>
      <c r="AC65" s="49"/>
      <c r="AD65" s="49"/>
    </row>
    <row r="66" spans="1:30" ht="14">
      <c r="A66" s="140">
        <f ca="1">IFERROR(__xludf.DUMMYFUNCTION("""COMPUTED_VALUE"""),43504.6443726967)</f>
        <v>43504.644372696697</v>
      </c>
      <c r="B66" s="141" t="str">
        <f ca="1">IFERROR(__xludf.DUMMYFUNCTION("""COMPUTED_VALUE"""),"Ranjit Shetty")</f>
        <v>Ranjit Shetty</v>
      </c>
      <c r="C66" s="141" t="str">
        <f ca="1">IFERROR(__xludf.DUMMYFUNCTION("""COMPUTED_VALUE"""),"ranjit.shetty@novartis.com")</f>
        <v>ranjit.shetty@novartis.com</v>
      </c>
      <c r="D66" s="49" t="str">
        <f ca="1">IFERROR(__xludf.DUMMYFUNCTION("""COMPUTED_VALUE"""),"Contacted")</f>
        <v>Contacted</v>
      </c>
      <c r="E66" s="98">
        <f ca="1">IFERROR(__xludf.DUMMYFUNCTION("""COMPUTED_VALUE"""),43598)</f>
        <v>43598</v>
      </c>
      <c r="F66" s="88" t="str">
        <f ca="1">IFERROR(__xludf.DUMMYFUNCTION("""COMPUTED_VALUE"""),"No")</f>
        <v>No</v>
      </c>
      <c r="G66" s="49" t="str">
        <f ca="1">IFERROR(__xludf.DUMMYFUNCTION("""COMPUTED_VALUE"""),"Somatic Cancer")</f>
        <v>Somatic Cancer</v>
      </c>
      <c r="H66" s="49" t="str">
        <f ca="1">IFERROR(__xludf.DUMMYFUNCTION("""COMPUTED_VALUE"""),"")</f>
        <v/>
      </c>
      <c r="I66" s="142">
        <f t="shared" ca="1" si="0"/>
        <v>43690</v>
      </c>
      <c r="J66" s="49" t="str">
        <f ca="1">IFERROR(__xludf.DUMMYFUNCTION("""COMPUTED_VALUE"""),"")</f>
        <v/>
      </c>
      <c r="K66" s="139">
        <f t="shared" ca="1" si="1"/>
        <v>43782</v>
      </c>
      <c r="L66" s="49" t="str">
        <f ca="1">IFERROR(__xludf.DUMMYFUNCTION("""COMPUTED_VALUE"""),"")</f>
        <v/>
      </c>
      <c r="M66" s="49"/>
      <c r="N66" s="49"/>
      <c r="O66" s="49"/>
      <c r="P66" s="49"/>
      <c r="Q66" s="49"/>
      <c r="R66" s="49"/>
      <c r="S66" s="49"/>
      <c r="T66" s="49"/>
      <c r="U66" s="49"/>
      <c r="V66" s="49"/>
      <c r="W66" s="49"/>
      <c r="X66" s="49"/>
      <c r="Y66" s="49"/>
      <c r="Z66" s="49"/>
      <c r="AA66" s="49"/>
      <c r="AB66" s="49"/>
      <c r="AC66" s="49"/>
      <c r="AD66" s="49"/>
    </row>
    <row r="67" spans="1:30" ht="14">
      <c r="A67" s="140">
        <f ca="1">IFERROR(__xludf.DUMMYFUNCTION("""COMPUTED_VALUE"""),43510.1569569444)</f>
        <v>43510.156956944396</v>
      </c>
      <c r="B67" s="141" t="str">
        <f ca="1">IFERROR(__xludf.DUMMYFUNCTION("""COMPUTED_VALUE"""),"Brooke H. Miller")</f>
        <v>Brooke H. Miller</v>
      </c>
      <c r="C67" s="141" t="str">
        <f ca="1">IFERROR(__xludf.DUMMYFUNCTION("""COMPUTED_VALUE"""),"brooke.h.miller@gmail.com")</f>
        <v>brooke.h.miller@gmail.com</v>
      </c>
      <c r="D67" s="49" t="str">
        <f ca="1">IFERROR(__xludf.DUMMYFUNCTION("""COMPUTED_VALUE"""),"Contacted")</f>
        <v>Contacted</v>
      </c>
      <c r="E67" s="87">
        <f ca="1">IFERROR(__xludf.DUMMYFUNCTION("""COMPUTED_VALUE"""),43696)</f>
        <v>43696</v>
      </c>
      <c r="F67" s="88" t="str">
        <f ca="1">IFERROR(__xludf.DUMMYFUNCTION("""COMPUTED_VALUE"""),"No")</f>
        <v>No</v>
      </c>
      <c r="G67" s="49" t="str">
        <f ca="1">IFERROR(__xludf.DUMMYFUNCTION("""COMPUTED_VALUE"""),"Gene Disease Validity")</f>
        <v>Gene Disease Validity</v>
      </c>
      <c r="H67" s="49" t="str">
        <f ca="1">IFERROR(__xludf.DUMMYFUNCTION("""COMPUTED_VALUE"""),"")</f>
        <v/>
      </c>
      <c r="I67" s="142">
        <f t="shared" ca="1" si="0"/>
        <v>43788</v>
      </c>
      <c r="J67" s="49" t="str">
        <f ca="1">IFERROR(__xludf.DUMMYFUNCTION("""COMPUTED_VALUE"""),"")</f>
        <v/>
      </c>
      <c r="K67" s="139">
        <f t="shared" ca="1" si="1"/>
        <v>43880</v>
      </c>
      <c r="L67" s="49" t="str">
        <f ca="1">IFERROR(__xludf.DUMMYFUNCTION("""COMPUTED_VALUE"""),"")</f>
        <v/>
      </c>
      <c r="M67" s="49"/>
      <c r="N67" s="49"/>
      <c r="O67" s="49"/>
      <c r="P67" s="49"/>
      <c r="Q67" s="49"/>
      <c r="R67" s="49"/>
      <c r="S67" s="49"/>
      <c r="T67" s="49"/>
      <c r="U67" s="49"/>
      <c r="V67" s="49"/>
      <c r="W67" s="49"/>
      <c r="X67" s="49"/>
      <c r="Y67" s="49"/>
      <c r="Z67" s="49"/>
      <c r="AA67" s="49"/>
      <c r="AB67" s="49"/>
      <c r="AC67" s="49"/>
      <c r="AD67" s="49"/>
    </row>
    <row r="68" spans="1:30" ht="14">
      <c r="A68" s="140">
        <f ca="1">IFERROR(__xludf.DUMMYFUNCTION("""COMPUTED_VALUE"""),43515.3258305902)</f>
        <v>43515.325830590198</v>
      </c>
      <c r="B68" s="141" t="str">
        <f ca="1">IFERROR(__xludf.DUMMYFUNCTION("""COMPUTED_VALUE"""),"HUILING XU")</f>
        <v>HUILING XU</v>
      </c>
      <c r="C68" s="141" t="str">
        <f ca="1">IFERROR(__xludf.DUMMYFUNCTION("""COMPUTED_VALUE"""),"huiling.xu@petermac.org")</f>
        <v>huiling.xu@petermac.org</v>
      </c>
      <c r="D68" s="49" t="str">
        <f ca="1">IFERROR(__xludf.DUMMYFUNCTION("""COMPUTED_VALUE"""),"Contacted")</f>
        <v>Contacted</v>
      </c>
      <c r="E68" s="98">
        <f ca="1">IFERROR(__xludf.DUMMYFUNCTION("""COMPUTED_VALUE"""),43581)</f>
        <v>43581</v>
      </c>
      <c r="F68" s="88" t="str">
        <f ca="1">IFERROR(__xludf.DUMMYFUNCTION("""COMPUTED_VALUE"""),"No")</f>
        <v>No</v>
      </c>
      <c r="G68" s="49" t="str">
        <f ca="1">IFERROR(__xludf.DUMMYFUNCTION("""COMPUTED_VALUE"""),"Somatic Cancer")</f>
        <v>Somatic Cancer</v>
      </c>
      <c r="H68" s="49" t="str">
        <f ca="1">IFERROR(__xludf.DUMMYFUNCTION("""COMPUTED_VALUE"""),"Pediatric cancer taskforce")</f>
        <v>Pediatric cancer taskforce</v>
      </c>
      <c r="I68" s="142">
        <f t="shared" ca="1" si="0"/>
        <v>43672</v>
      </c>
      <c r="J68" s="88">
        <f ca="1">IFERROR(__xludf.DUMMYFUNCTION("""COMPUTED_VALUE"""),43712)</f>
        <v>43712</v>
      </c>
      <c r="K68" s="139">
        <f t="shared" ca="1" si="1"/>
        <v>43764</v>
      </c>
      <c r="L68" s="88" t="str">
        <f ca="1">IFERROR(__xludf.DUMMYFUNCTION("""COMPUTED_VALUE"""),"")</f>
        <v/>
      </c>
      <c r="M68" s="49"/>
      <c r="N68" s="49"/>
      <c r="O68" s="49"/>
      <c r="P68" s="49"/>
      <c r="Q68" s="49"/>
      <c r="R68" s="49"/>
      <c r="S68" s="49"/>
      <c r="T68" s="49"/>
      <c r="U68" s="49"/>
      <c r="V68" s="49"/>
      <c r="W68" s="49"/>
      <c r="X68" s="49"/>
      <c r="Y68" s="49"/>
      <c r="Z68" s="49"/>
      <c r="AA68" s="49"/>
      <c r="AB68" s="49"/>
      <c r="AC68" s="49"/>
      <c r="AD68" s="49"/>
    </row>
    <row r="69" spans="1:30" ht="14">
      <c r="A69" s="140">
        <f ca="1">IFERROR(__xludf.DUMMYFUNCTION("""COMPUTED_VALUE"""),43524.4983121643)</f>
        <v>43524.498312164302</v>
      </c>
      <c r="B69" s="141" t="str">
        <f ca="1">IFERROR(__xludf.DUMMYFUNCTION("""COMPUTED_VALUE"""),"Nilufar Inamdar")</f>
        <v>Nilufar Inamdar</v>
      </c>
      <c r="C69" s="141" t="str">
        <f ca="1">IFERROR(__xludf.DUMMYFUNCTION("""COMPUTED_VALUE"""),"inamdar555@yahoo.com")</f>
        <v>inamdar555@yahoo.com</v>
      </c>
      <c r="D69" s="49" t="str">
        <f ca="1">IFERROR(__xludf.DUMMYFUNCTION("""COMPUTED_VALUE"""),"Contacted")</f>
        <v>Contacted</v>
      </c>
      <c r="E69" s="98">
        <f ca="1">IFERROR(__xludf.DUMMYFUNCTION("""COMPUTED_VALUE"""),43570)</f>
        <v>43570</v>
      </c>
      <c r="F69" s="88" t="str">
        <f ca="1">IFERROR(__xludf.DUMMYFUNCTION("""COMPUTED_VALUE"""),"Yes")</f>
        <v>Yes</v>
      </c>
      <c r="G69" s="49" t="str">
        <f ca="1">IFERROR(__xludf.DUMMYFUNCTION("""COMPUTED_VALUE"""),"Gene Disease Validity")</f>
        <v>Gene Disease Validity</v>
      </c>
      <c r="H69" s="49" t="str">
        <f ca="1">IFERROR(__xludf.DUMMYFUNCTION("""COMPUTED_VALUE"""),"Aminoacidopathy")</f>
        <v>Aminoacidopathy</v>
      </c>
      <c r="I69" s="142">
        <f t="shared" ca="1" si="0"/>
        <v>43661</v>
      </c>
      <c r="J69" s="88">
        <f ca="1">IFERROR(__xludf.DUMMYFUNCTION("""COMPUTED_VALUE"""),43712)</f>
        <v>43712</v>
      </c>
      <c r="K69" s="139">
        <f t="shared" ca="1" si="1"/>
        <v>43753</v>
      </c>
      <c r="L69" s="88" t="str">
        <f ca="1">IFERROR(__xludf.DUMMYFUNCTION("""COMPUTED_VALUE"""),"")</f>
        <v/>
      </c>
      <c r="M69" s="49"/>
      <c r="N69" s="49"/>
      <c r="O69" s="49"/>
      <c r="P69" s="49"/>
      <c r="Q69" s="49"/>
      <c r="R69" s="49"/>
      <c r="S69" s="49"/>
      <c r="T69" s="49"/>
      <c r="U69" s="49"/>
      <c r="V69" s="49"/>
      <c r="W69" s="49"/>
      <c r="X69" s="49"/>
      <c r="Y69" s="49"/>
      <c r="Z69" s="49"/>
      <c r="AA69" s="49"/>
      <c r="AB69" s="49"/>
      <c r="AC69" s="49"/>
      <c r="AD69" s="49"/>
    </row>
    <row r="70" spans="1:30" ht="14">
      <c r="A70" s="140">
        <f ca="1">IFERROR(__xludf.DUMMYFUNCTION("""COMPUTED_VALUE"""),43525.5038873958)</f>
        <v>43525.503887395796</v>
      </c>
      <c r="B70" s="141" t="str">
        <f ca="1">IFERROR(__xludf.DUMMYFUNCTION("""COMPUTED_VALUE"""),"Michael McLachlan")</f>
        <v>Michael McLachlan</v>
      </c>
      <c r="C70" s="141" t="str">
        <f ca="1">IFERROR(__xludf.DUMMYFUNCTION("""COMPUTED_VALUE"""),"mikejmclachlan@gmail.com")</f>
        <v>mikejmclachlan@gmail.com</v>
      </c>
      <c r="D70" s="49" t="str">
        <f ca="1">IFERROR(__xludf.DUMMYFUNCTION("""COMPUTED_VALUE"""),"Contacted")</f>
        <v>Contacted</v>
      </c>
      <c r="E70" s="88">
        <f ca="1">IFERROR(__xludf.DUMMYFUNCTION("""COMPUTED_VALUE"""),43608)</f>
        <v>43608</v>
      </c>
      <c r="F70" s="88" t="str">
        <f ca="1">IFERROR(__xludf.DUMMYFUNCTION("""COMPUTED_VALUE"""),"Yes")</f>
        <v>Yes</v>
      </c>
      <c r="G70" s="49" t="str">
        <f ca="1">IFERROR(__xludf.DUMMYFUNCTION("""COMPUTED_VALUE"""),"Variant Pathogenicity")</f>
        <v>Variant Pathogenicity</v>
      </c>
      <c r="H70" s="49" t="str">
        <f ca="1">IFERROR(__xludf.DUMMYFUNCTION("""COMPUTED_VALUE"""),"ACADVL")</f>
        <v>ACADVL</v>
      </c>
      <c r="I70" s="142">
        <f t="shared" ca="1" si="0"/>
        <v>43700</v>
      </c>
      <c r="J70" s="88">
        <f ca="1">IFERROR(__xludf.DUMMYFUNCTION("""COMPUTED_VALUE"""),43712)</f>
        <v>43712</v>
      </c>
      <c r="K70" s="139">
        <f t="shared" ca="1" si="1"/>
        <v>43792</v>
      </c>
      <c r="L70" s="88" t="str">
        <f ca="1">IFERROR(__xludf.DUMMYFUNCTION("""COMPUTED_VALUE"""),"")</f>
        <v/>
      </c>
      <c r="M70" s="49"/>
      <c r="N70" s="49"/>
      <c r="O70" s="49"/>
      <c r="P70" s="49"/>
      <c r="Q70" s="49"/>
      <c r="R70" s="49"/>
      <c r="S70" s="49"/>
      <c r="T70" s="49"/>
      <c r="U70" s="49"/>
      <c r="V70" s="49"/>
      <c r="W70" s="49"/>
      <c r="X70" s="49"/>
      <c r="Y70" s="49"/>
      <c r="Z70" s="49"/>
      <c r="AA70" s="49"/>
      <c r="AB70" s="49"/>
      <c r="AC70" s="49"/>
      <c r="AD70" s="49"/>
    </row>
    <row r="71" spans="1:30" ht="14">
      <c r="A71" s="140">
        <f ca="1">IFERROR(__xludf.DUMMYFUNCTION("""COMPUTED_VALUE"""),43531.6083638425)</f>
        <v>43531.608363842497</v>
      </c>
      <c r="B71" s="141" t="str">
        <f ca="1">IFERROR(__xludf.DUMMYFUNCTION("""COMPUTED_VALUE"""),"Urjit Patel")</f>
        <v>Urjit Patel</v>
      </c>
      <c r="C71" s="141" t="str">
        <f ca="1">IFERROR(__xludf.DUMMYFUNCTION("""COMPUTED_VALUE"""),"urjit.x.patel@questdiagnostics.com")</f>
        <v>urjit.x.patel@questdiagnostics.com</v>
      </c>
      <c r="D71" s="49" t="str">
        <f ca="1">IFERROR(__xludf.DUMMYFUNCTION("""COMPUTED_VALUE"""),"Contacted")</f>
        <v>Contacted</v>
      </c>
      <c r="E71" s="87">
        <f ca="1">IFERROR(__xludf.DUMMYFUNCTION("""COMPUTED_VALUE"""),43585)</f>
        <v>43585</v>
      </c>
      <c r="F71" s="88" t="str">
        <f ca="1">IFERROR(__xludf.DUMMYFUNCTION("""COMPUTED_VALUE"""),"Yes")</f>
        <v>Yes</v>
      </c>
      <c r="G71" s="49" t="str">
        <f ca="1">IFERROR(__xludf.DUMMYFUNCTION("""COMPUTED_VALUE"""),"Gene Disease Validity")</f>
        <v>Gene Disease Validity</v>
      </c>
      <c r="H71" s="49" t="str">
        <f ca="1">IFERROR(__xludf.DUMMYFUNCTION("""COMPUTED_VALUE"""),"")</f>
        <v/>
      </c>
      <c r="I71" s="142">
        <f t="shared" ca="1" si="0"/>
        <v>43676</v>
      </c>
      <c r="J71" s="88">
        <f ca="1">IFERROR(__xludf.DUMMYFUNCTION("""COMPUTED_VALUE"""),43712)</f>
        <v>43712</v>
      </c>
      <c r="K71" s="139">
        <f t="shared" ca="1" si="1"/>
        <v>43768</v>
      </c>
      <c r="L71" s="88" t="str">
        <f ca="1">IFERROR(__xludf.DUMMYFUNCTION("""COMPUTED_VALUE"""),"")</f>
        <v/>
      </c>
      <c r="M71" s="49"/>
      <c r="N71" s="49"/>
      <c r="O71" s="49"/>
      <c r="P71" s="49"/>
      <c r="Q71" s="49"/>
      <c r="R71" s="49"/>
      <c r="S71" s="49"/>
      <c r="T71" s="49"/>
      <c r="U71" s="49"/>
      <c r="V71" s="49"/>
      <c r="W71" s="49"/>
      <c r="X71" s="49"/>
      <c r="Y71" s="49"/>
      <c r="Z71" s="49"/>
      <c r="AA71" s="49"/>
      <c r="AB71" s="49"/>
      <c r="AC71" s="49"/>
      <c r="AD71" s="49"/>
    </row>
    <row r="72" spans="1:30" ht="14">
      <c r="A72" s="140">
        <f ca="1">IFERROR(__xludf.DUMMYFUNCTION("""COMPUTED_VALUE"""),43531.6175765162)</f>
        <v>43531.617576516197</v>
      </c>
      <c r="B72" s="141" t="str">
        <f ca="1">IFERROR(__xludf.DUMMYFUNCTION("""COMPUTED_VALUE"""),"Lesley Northrop")</f>
        <v>Lesley Northrop</v>
      </c>
      <c r="C72" s="141" t="str">
        <f ca="1">IFERROR(__xludf.DUMMYFUNCTION("""COMPUTED_VALUE"""),"lesleyenorthrop@gmail.com")</f>
        <v>lesleyenorthrop@gmail.com</v>
      </c>
      <c r="D72" s="49" t="str">
        <f ca="1">IFERROR(__xludf.DUMMYFUNCTION("""COMPUTED_VALUE"""),"Unresponsive")</f>
        <v>Unresponsive</v>
      </c>
      <c r="E72" s="99">
        <f ca="1">IFERROR(__xludf.DUMMYFUNCTION("""COMPUTED_VALUE"""),43567)</f>
        <v>43567</v>
      </c>
      <c r="F72" s="88" t="str">
        <f ca="1">IFERROR(__xludf.DUMMYFUNCTION("""COMPUTED_VALUE"""),"Yes")</f>
        <v>Yes</v>
      </c>
      <c r="G72" s="49" t="str">
        <f ca="1">IFERROR(__xludf.DUMMYFUNCTION("""COMPUTED_VALUE"""),"Actionability")</f>
        <v>Actionability</v>
      </c>
      <c r="H72" s="49" t="str">
        <f ca="1">IFERROR(__xludf.DUMMYFUNCTION("""COMPUTED_VALUE"""),"Actionability")</f>
        <v>Actionability</v>
      </c>
      <c r="I72" s="142">
        <f t="shared" ca="1" si="0"/>
        <v>43658</v>
      </c>
      <c r="J72" s="88">
        <f ca="1">IFERROR(__xludf.DUMMYFUNCTION("""COMPUTED_VALUE"""),43712)</f>
        <v>43712</v>
      </c>
      <c r="K72" s="139">
        <f t="shared" ca="1" si="1"/>
        <v>43750</v>
      </c>
      <c r="L72" s="88" t="str">
        <f ca="1">IFERROR(__xludf.DUMMYFUNCTION("""COMPUTED_VALUE"""),"")</f>
        <v/>
      </c>
      <c r="M72" s="49"/>
      <c r="N72" s="49"/>
      <c r="O72" s="49"/>
      <c r="P72" s="49"/>
      <c r="Q72" s="49"/>
      <c r="R72" s="49"/>
      <c r="S72" s="49"/>
      <c r="T72" s="49"/>
      <c r="U72" s="49"/>
      <c r="V72" s="49"/>
      <c r="W72" s="49"/>
      <c r="X72" s="49"/>
      <c r="Y72" s="49"/>
      <c r="Z72" s="49"/>
      <c r="AA72" s="49"/>
      <c r="AB72" s="49"/>
      <c r="AC72" s="49"/>
      <c r="AD72" s="49"/>
    </row>
    <row r="73" spans="1:30" ht="14">
      <c r="A73" s="140">
        <f ca="1">IFERROR(__xludf.DUMMYFUNCTION("""COMPUTED_VALUE"""),43542.6378533333)</f>
        <v>43542.637853333297</v>
      </c>
      <c r="B73" s="141" t="str">
        <f ca="1">IFERROR(__xludf.DUMMYFUNCTION("""COMPUTED_VALUE"""),"Angela Pickart")</f>
        <v>Angela Pickart</v>
      </c>
      <c r="C73" s="141" t="str">
        <f ca="1">IFERROR(__xludf.DUMMYFUNCTION("""COMPUTED_VALUE"""),"pickart.angela@mayo.edu")</f>
        <v>pickart.angela@mayo.edu</v>
      </c>
      <c r="D73" s="49" t="str">
        <f ca="1">IFERROR(__xludf.DUMMYFUNCTION("""COMPUTED_VALUE"""),"Contacted")</f>
        <v>Contacted</v>
      </c>
      <c r="E73" s="98">
        <f ca="1">IFERROR(__xludf.DUMMYFUNCTION("""COMPUTED_VALUE"""),43570)</f>
        <v>43570</v>
      </c>
      <c r="F73" s="88" t="str">
        <f ca="1">IFERROR(__xludf.DUMMYFUNCTION("""COMPUTED_VALUE"""),"Yes")</f>
        <v>Yes</v>
      </c>
      <c r="G73" s="49" t="str">
        <f ca="1">IFERROR(__xludf.DUMMYFUNCTION("""COMPUTED_VALUE"""),"Gene Disease Validity")</f>
        <v>Gene Disease Validity</v>
      </c>
      <c r="H73" s="49" t="str">
        <f ca="1">IFERROR(__xludf.DUMMYFUNCTION("""COMPUTED_VALUE"""),"Epilepsy")</f>
        <v>Epilepsy</v>
      </c>
      <c r="I73" s="142">
        <f t="shared" ca="1" si="0"/>
        <v>43661</v>
      </c>
      <c r="J73" s="88">
        <f ca="1">IFERROR(__xludf.DUMMYFUNCTION("""COMPUTED_VALUE"""),43712)</f>
        <v>43712</v>
      </c>
      <c r="K73" s="139">
        <f t="shared" ca="1" si="1"/>
        <v>43753</v>
      </c>
      <c r="L73" s="88" t="str">
        <f ca="1">IFERROR(__xludf.DUMMYFUNCTION("""COMPUTED_VALUE"""),"")</f>
        <v/>
      </c>
      <c r="M73" s="49"/>
      <c r="N73" s="49"/>
      <c r="O73" s="49"/>
      <c r="P73" s="49"/>
      <c r="Q73" s="49"/>
      <c r="R73" s="49"/>
      <c r="S73" s="49"/>
      <c r="T73" s="49"/>
      <c r="U73" s="49"/>
      <c r="V73" s="49"/>
      <c r="W73" s="49"/>
      <c r="X73" s="49"/>
      <c r="Y73" s="49"/>
      <c r="Z73" s="49"/>
      <c r="AA73" s="49"/>
      <c r="AB73" s="49"/>
      <c r="AC73" s="49"/>
      <c r="AD73" s="49"/>
    </row>
    <row r="74" spans="1:30" ht="14">
      <c r="A74" s="140">
        <f ca="1">IFERROR(__xludf.DUMMYFUNCTION("""COMPUTED_VALUE"""),43543.4405140277)</f>
        <v>43543.440514027701</v>
      </c>
      <c r="B74" s="141" t="str">
        <f ca="1">IFERROR(__xludf.DUMMYFUNCTION("""COMPUTED_VALUE"""),"Jing Xie")</f>
        <v>Jing Xie</v>
      </c>
      <c r="C74" s="141" t="str">
        <f ca="1">IFERROR(__xludf.DUMMYFUNCTION("""COMPUTED_VALUE"""),"jingxiegene@gmail.com")</f>
        <v>jingxiegene@gmail.com</v>
      </c>
      <c r="D74" s="49" t="str">
        <f ca="1">IFERROR(__xludf.DUMMYFUNCTION("""COMPUTED_VALUE"""),"Assigned")</f>
        <v>Assigned</v>
      </c>
      <c r="E74" s="87">
        <f ca="1">IFERROR(__xludf.DUMMYFUNCTION("""COMPUTED_VALUE"""),43605)</f>
        <v>43605</v>
      </c>
      <c r="F74" s="88" t="str">
        <f ca="1">IFERROR(__xludf.DUMMYFUNCTION("""COMPUTED_VALUE"""),"Yes")</f>
        <v>Yes</v>
      </c>
      <c r="G74" s="49" t="str">
        <f ca="1">IFERROR(__xludf.DUMMYFUNCTION("""COMPUTED_VALUE"""),"Variant Pathogenicity")</f>
        <v>Variant Pathogenicity</v>
      </c>
      <c r="H74" s="49" t="str">
        <f ca="1">IFERROR(__xludf.DUMMYFUNCTION("""COMPUTED_VALUE"""),"Storage Disease")</f>
        <v>Storage Disease</v>
      </c>
      <c r="I74" s="142">
        <f t="shared" ca="1" si="0"/>
        <v>43697</v>
      </c>
      <c r="J74" s="88">
        <f ca="1">IFERROR(__xludf.DUMMYFUNCTION("""COMPUTED_VALUE"""),43712)</f>
        <v>43712</v>
      </c>
      <c r="K74" s="139">
        <f t="shared" ca="1" si="1"/>
        <v>43789</v>
      </c>
      <c r="L74" s="88" t="str">
        <f ca="1">IFERROR(__xludf.DUMMYFUNCTION("""COMPUTED_VALUE"""),"")</f>
        <v/>
      </c>
      <c r="M74" s="49"/>
      <c r="N74" s="49"/>
      <c r="O74" s="49"/>
      <c r="P74" s="49"/>
      <c r="Q74" s="49"/>
      <c r="R74" s="49"/>
      <c r="S74" s="49"/>
      <c r="T74" s="49"/>
      <c r="U74" s="49"/>
      <c r="V74" s="49"/>
      <c r="W74" s="49"/>
      <c r="X74" s="49"/>
      <c r="Y74" s="49"/>
      <c r="Z74" s="49"/>
      <c r="AA74" s="49"/>
      <c r="AB74" s="49"/>
      <c r="AC74" s="49"/>
      <c r="AD74" s="49"/>
    </row>
    <row r="75" spans="1:30" ht="14">
      <c r="A75" s="140">
        <f ca="1">IFERROR(__xludf.DUMMYFUNCTION("""COMPUTED_VALUE"""),43549.5304612731)</f>
        <v>43549.530461273098</v>
      </c>
      <c r="B75" s="141" t="str">
        <f ca="1">IFERROR(__xludf.DUMMYFUNCTION("""COMPUTED_VALUE"""),"Kathryn Kronquist")</f>
        <v>Kathryn Kronquist</v>
      </c>
      <c r="C75" s="141" t="str">
        <f ca="1">IFERROR(__xludf.DUMMYFUNCTION("""COMPUTED_VALUE"""),"Kathryn.Kronquist@childrenscolorado.org")</f>
        <v>Kathryn.Kronquist@childrenscolorado.org</v>
      </c>
      <c r="D75" s="49" t="str">
        <f ca="1">IFERROR(__xludf.DUMMYFUNCTION("""COMPUTED_VALUE"""),"Contacted")</f>
        <v>Contacted</v>
      </c>
      <c r="E75" s="87">
        <f ca="1">IFERROR(__xludf.DUMMYFUNCTION("""COMPUTED_VALUE"""),43605)</f>
        <v>43605</v>
      </c>
      <c r="F75" s="88" t="str">
        <f ca="1">IFERROR(__xludf.DUMMYFUNCTION("""COMPUTED_VALUE"""),"Yes")</f>
        <v>Yes</v>
      </c>
      <c r="G75" s="49" t="str">
        <f ca="1">IFERROR(__xludf.DUMMYFUNCTION("""COMPUTED_VALUE"""),"Variant Pathogenicity")</f>
        <v>Variant Pathogenicity</v>
      </c>
      <c r="H75" s="49" t="str">
        <f ca="1">IFERROR(__xludf.DUMMYFUNCTION("""COMPUTED_VALUE"""),"RASopathy")</f>
        <v>RASopathy</v>
      </c>
      <c r="I75" s="142">
        <f t="shared" ca="1" si="0"/>
        <v>43697</v>
      </c>
      <c r="J75" s="88">
        <f ca="1">IFERROR(__xludf.DUMMYFUNCTION("""COMPUTED_VALUE"""),43712)</f>
        <v>43712</v>
      </c>
      <c r="K75" s="139">
        <f t="shared" ca="1" si="1"/>
        <v>43789</v>
      </c>
      <c r="L75" s="88" t="str">
        <f ca="1">IFERROR(__xludf.DUMMYFUNCTION("""COMPUTED_VALUE"""),"")</f>
        <v/>
      </c>
      <c r="M75" s="49"/>
      <c r="N75" s="49"/>
      <c r="O75" s="49"/>
      <c r="P75" s="49"/>
      <c r="Q75" s="49"/>
      <c r="R75" s="49"/>
      <c r="S75" s="49"/>
      <c r="T75" s="49"/>
      <c r="U75" s="49"/>
      <c r="V75" s="49"/>
      <c r="W75" s="49"/>
      <c r="X75" s="49"/>
      <c r="Y75" s="49"/>
      <c r="Z75" s="49"/>
      <c r="AA75" s="49"/>
      <c r="AB75" s="49"/>
      <c r="AC75" s="49"/>
      <c r="AD75" s="49"/>
    </row>
    <row r="76" spans="1:30" ht="14">
      <c r="A76" s="140">
        <f ca="1">IFERROR(__xludf.DUMMYFUNCTION("""COMPUTED_VALUE"""),43550.1773354629)</f>
        <v>43550.177335462897</v>
      </c>
      <c r="B76" s="141" t="str">
        <f ca="1">IFERROR(__xludf.DUMMYFUNCTION("""COMPUTED_VALUE"""),"Venkataswamy Eswarachari")</f>
        <v>Venkataswamy Eswarachari</v>
      </c>
      <c r="C76" s="141" t="str">
        <f ca="1">IFERROR(__xludf.DUMMYFUNCTION("""COMPUTED_VALUE"""),"venkataswamy@medgenome.com")</f>
        <v>venkataswamy@medgenome.com</v>
      </c>
      <c r="D76" s="49" t="str">
        <f ca="1">IFERROR(__xludf.DUMMYFUNCTION("""COMPUTED_VALUE"""),"Contacted")</f>
        <v>Contacted</v>
      </c>
      <c r="E76" s="98">
        <f ca="1">IFERROR(__xludf.DUMMYFUNCTION("""COMPUTED_VALUE"""),43581)</f>
        <v>43581</v>
      </c>
      <c r="F76" s="49" t="str">
        <f ca="1">IFERROR(__xludf.DUMMYFUNCTION("""COMPUTED_VALUE"""),"No")</f>
        <v>No</v>
      </c>
      <c r="G76" s="49" t="str">
        <f ca="1">IFERROR(__xludf.DUMMYFUNCTION("""COMPUTED_VALUE"""),"Somatic Cancer")</f>
        <v>Somatic Cancer</v>
      </c>
      <c r="H76" s="49" t="str">
        <f ca="1">IFERROR(__xludf.DUMMYFUNCTION("""COMPUTED_VALUE"""),"")</f>
        <v/>
      </c>
      <c r="I76" s="142">
        <f t="shared" ca="1" si="0"/>
        <v>43672</v>
      </c>
      <c r="J76" s="88">
        <f ca="1">IFERROR(__xludf.DUMMYFUNCTION("""COMPUTED_VALUE"""),43712)</f>
        <v>43712</v>
      </c>
      <c r="K76" s="139">
        <f t="shared" ca="1" si="1"/>
        <v>43764</v>
      </c>
      <c r="L76" s="88" t="str">
        <f ca="1">IFERROR(__xludf.DUMMYFUNCTION("""COMPUTED_VALUE"""),"")</f>
        <v/>
      </c>
      <c r="M76" s="49"/>
      <c r="N76" s="49"/>
      <c r="O76" s="49"/>
      <c r="P76" s="49"/>
      <c r="Q76" s="49"/>
      <c r="R76" s="49"/>
      <c r="S76" s="49"/>
      <c r="T76" s="49"/>
      <c r="U76" s="49"/>
      <c r="V76" s="49"/>
      <c r="W76" s="49"/>
      <c r="X76" s="49"/>
      <c r="Y76" s="49"/>
      <c r="Z76" s="49"/>
      <c r="AA76" s="49"/>
      <c r="AB76" s="49"/>
      <c r="AC76" s="49"/>
      <c r="AD76" s="49"/>
    </row>
    <row r="77" spans="1:30" ht="14">
      <c r="A77" s="140">
        <f ca="1">IFERROR(__xludf.DUMMYFUNCTION("""COMPUTED_VALUE"""),43558.1369910763)</f>
        <v>43558.136991076302</v>
      </c>
      <c r="B77" s="141" t="str">
        <f ca="1">IFERROR(__xludf.DUMMYFUNCTION("""COMPUTED_VALUE"""),"Barbara Vona")</f>
        <v>Barbara Vona</v>
      </c>
      <c r="C77" s="141" t="str">
        <f ca="1">IFERROR(__xludf.DUMMYFUNCTION("""COMPUTED_VALUE"""),"barbara.vona@uni-tuebingen.de")</f>
        <v>barbara.vona@uni-tuebingen.de</v>
      </c>
      <c r="D77" s="49" t="str">
        <f ca="1">IFERROR(__xludf.DUMMYFUNCTION("""COMPUTED_VALUE"""),"Assigned")</f>
        <v>Assigned</v>
      </c>
      <c r="E77" s="88">
        <f ca="1">IFERROR(__xludf.DUMMYFUNCTION("""COMPUTED_VALUE"""),43626)</f>
        <v>43626</v>
      </c>
      <c r="F77" s="49" t="str">
        <f ca="1">IFERROR(__xludf.DUMMYFUNCTION("""COMPUTED_VALUE"""),"Yes")</f>
        <v>Yes</v>
      </c>
      <c r="G77" s="49" t="str">
        <f ca="1">IFERROR(__xludf.DUMMYFUNCTION("""COMPUTED_VALUE"""),"Variant Pathogenicity")</f>
        <v>Variant Pathogenicity</v>
      </c>
      <c r="H77" s="49" t="str">
        <f ca="1">IFERROR(__xludf.DUMMYFUNCTION("""COMPUTED_VALUE"""),"Hearing Loss")</f>
        <v>Hearing Loss</v>
      </c>
      <c r="I77" s="142">
        <f t="shared" ca="1" si="0"/>
        <v>43718</v>
      </c>
      <c r="J77" s="88">
        <f ca="1">IFERROR(__xludf.DUMMYFUNCTION("""COMPUTED_VALUE"""),43712)</f>
        <v>43712</v>
      </c>
      <c r="K77" s="139">
        <f t="shared" ca="1" si="1"/>
        <v>43809</v>
      </c>
      <c r="L77" s="88" t="str">
        <f ca="1">IFERROR(__xludf.DUMMYFUNCTION("""COMPUTED_VALUE"""),"")</f>
        <v/>
      </c>
      <c r="M77" s="49"/>
      <c r="N77" s="49"/>
      <c r="O77" s="49"/>
      <c r="P77" s="49"/>
      <c r="Q77" s="49"/>
      <c r="R77" s="49"/>
      <c r="S77" s="49"/>
      <c r="T77" s="49"/>
      <c r="U77" s="49"/>
      <c r="V77" s="49"/>
      <c r="W77" s="49"/>
      <c r="X77" s="49"/>
      <c r="Y77" s="49"/>
      <c r="Z77" s="49"/>
      <c r="AA77" s="49"/>
      <c r="AB77" s="49"/>
      <c r="AC77" s="49"/>
      <c r="AD77" s="49"/>
    </row>
    <row r="78" spans="1:30" ht="14">
      <c r="A78" s="140">
        <f ca="1">IFERROR(__xludf.DUMMYFUNCTION("""COMPUTED_VALUE"""),43558.6059017245)</f>
        <v>43558.605901724499</v>
      </c>
      <c r="B78" s="141" t="str">
        <f ca="1">IFERROR(__xludf.DUMMYFUNCTION("""COMPUTED_VALUE"""),"Viridiana Murillo")</f>
        <v>Viridiana Murillo</v>
      </c>
      <c r="C78" s="141" t="str">
        <f ca="1">IFERROR(__xludf.DUMMYFUNCTION("""COMPUTED_VALUE"""),"vmurillo18@students.kgi.edu")</f>
        <v>vmurillo18@students.kgi.edu</v>
      </c>
      <c r="D78" s="49" t="str">
        <f ca="1">IFERROR(__xludf.DUMMYFUNCTION("""COMPUTED_VALUE"""),"Assigned")</f>
        <v>Assigned</v>
      </c>
      <c r="E78" s="87">
        <f ca="1">IFERROR(__xludf.DUMMYFUNCTION("""COMPUTED_VALUE"""),43605)</f>
        <v>43605</v>
      </c>
      <c r="F78" s="49" t="str">
        <f ca="1">IFERROR(__xludf.DUMMYFUNCTION("""COMPUTED_VALUE"""),"Yes")</f>
        <v>Yes</v>
      </c>
      <c r="G78" s="49" t="str">
        <f ca="1">IFERROR(__xludf.DUMMYFUNCTION("""COMPUTED_VALUE"""),"Variant Pathogenicity")</f>
        <v>Variant Pathogenicity</v>
      </c>
      <c r="H78" s="49" t="str">
        <f ca="1">IFERROR(__xludf.DUMMYFUNCTION("""COMPUTED_VALUE"""),"PAH")</f>
        <v>PAH</v>
      </c>
      <c r="I78" s="142">
        <f t="shared" ca="1" si="0"/>
        <v>43697</v>
      </c>
      <c r="J78" s="88">
        <f ca="1">IFERROR(__xludf.DUMMYFUNCTION("""COMPUTED_VALUE"""),43712)</f>
        <v>43712</v>
      </c>
      <c r="K78" s="139">
        <f t="shared" ca="1" si="1"/>
        <v>43789</v>
      </c>
      <c r="L78" s="88" t="str">
        <f ca="1">IFERROR(__xludf.DUMMYFUNCTION("""COMPUTED_VALUE"""),"")</f>
        <v/>
      </c>
      <c r="M78" s="49"/>
      <c r="N78" s="49"/>
      <c r="O78" s="49"/>
      <c r="P78" s="49"/>
      <c r="Q78" s="49"/>
      <c r="R78" s="49"/>
      <c r="S78" s="49"/>
      <c r="T78" s="49"/>
      <c r="U78" s="49"/>
      <c r="V78" s="49"/>
      <c r="W78" s="49"/>
      <c r="X78" s="49"/>
      <c r="Y78" s="49"/>
      <c r="Z78" s="49"/>
      <c r="AA78" s="49"/>
      <c r="AB78" s="49"/>
      <c r="AC78" s="49"/>
      <c r="AD78" s="49"/>
    </row>
    <row r="79" spans="1:30" ht="14">
      <c r="A79" s="140">
        <f ca="1">IFERROR(__xludf.DUMMYFUNCTION("""COMPUTED_VALUE"""),43558.6269870023)</f>
        <v>43558.626987002302</v>
      </c>
      <c r="B79" s="141" t="str">
        <f ca="1">IFERROR(__xludf.DUMMYFUNCTION("""COMPUTED_VALUE"""),"Sharon Suchy")</f>
        <v>Sharon Suchy</v>
      </c>
      <c r="C79" s="141" t="str">
        <f ca="1">IFERROR(__xludf.DUMMYFUNCTION("""COMPUTED_VALUE"""),"ssuchy@genedx.com")</f>
        <v>ssuchy@genedx.com</v>
      </c>
      <c r="D79" s="49" t="str">
        <f ca="1">IFERROR(__xludf.DUMMYFUNCTION("""COMPUTED_VALUE"""),"Unresponsive")</f>
        <v>Unresponsive</v>
      </c>
      <c r="E79" s="87">
        <f ca="1">IFERROR(__xludf.DUMMYFUNCTION("""COMPUTED_VALUE"""),43605)</f>
        <v>43605</v>
      </c>
      <c r="F79" s="49" t="str">
        <f ca="1">IFERROR(__xludf.DUMMYFUNCTION("""COMPUTED_VALUE"""),"No")</f>
        <v>No</v>
      </c>
      <c r="G79" s="49" t="str">
        <f ca="1">IFERROR(__xludf.DUMMYFUNCTION("""COMPUTED_VALUE"""),"Variant Pathogenicity")</f>
        <v>Variant Pathogenicity</v>
      </c>
      <c r="H79" s="49" t="str">
        <f ca="1">IFERROR(__xludf.DUMMYFUNCTION("""COMPUTED_VALUE"""),"")</f>
        <v/>
      </c>
      <c r="I79" s="142">
        <f t="shared" ca="1" si="0"/>
        <v>43697</v>
      </c>
      <c r="J79" s="49" t="str">
        <f ca="1">IFERROR(__xludf.DUMMYFUNCTION("""COMPUTED_VALUE"""),"")</f>
        <v/>
      </c>
      <c r="K79" s="139">
        <f t="shared" ca="1" si="1"/>
        <v>43789</v>
      </c>
      <c r="L79" s="49" t="str">
        <f ca="1">IFERROR(__xludf.DUMMYFUNCTION("""COMPUTED_VALUE"""),"")</f>
        <v/>
      </c>
      <c r="M79" s="49"/>
      <c r="N79" s="49"/>
      <c r="O79" s="49"/>
      <c r="P79" s="49"/>
      <c r="Q79" s="49"/>
      <c r="R79" s="49"/>
      <c r="S79" s="49"/>
      <c r="T79" s="49"/>
      <c r="U79" s="49"/>
      <c r="V79" s="49"/>
      <c r="W79" s="49"/>
      <c r="X79" s="49"/>
      <c r="Y79" s="49"/>
      <c r="Z79" s="49"/>
      <c r="AA79" s="49"/>
      <c r="AB79" s="49"/>
      <c r="AC79" s="49"/>
      <c r="AD79" s="49"/>
    </row>
    <row r="80" spans="1:30" ht="14">
      <c r="A80" s="140">
        <f ca="1">IFERROR(__xludf.DUMMYFUNCTION("""COMPUTED_VALUE"""),43559.4506282291)</f>
        <v>43559.450628229097</v>
      </c>
      <c r="B80" s="141" t="str">
        <f ca="1">IFERROR(__xludf.DUMMYFUNCTION("""COMPUTED_VALUE"""),"Theodore E. Wilson")</f>
        <v>Theodore E. Wilson</v>
      </c>
      <c r="C80" s="141" t="str">
        <f ca="1">IFERROR(__xludf.DUMMYFUNCTION("""COMPUTED_VALUE"""),"theowils@iu.edu")</f>
        <v>theowils@iu.edu</v>
      </c>
      <c r="D80" s="49" t="str">
        <f ca="1">IFERROR(__xludf.DUMMYFUNCTION("""COMPUTED_VALUE"""),"Assigned")</f>
        <v>Assigned</v>
      </c>
      <c r="E80" s="87">
        <f ca="1">IFERROR(__xludf.DUMMYFUNCTION("""COMPUTED_VALUE"""),43608)</f>
        <v>43608</v>
      </c>
      <c r="F80" s="49" t="str">
        <f ca="1">IFERROR(__xludf.DUMMYFUNCTION("""COMPUTED_VALUE"""),"Yes")</f>
        <v>Yes</v>
      </c>
      <c r="G80" s="49" t="str">
        <f ca="1">IFERROR(__xludf.DUMMYFUNCTION("""COMPUTED_VALUE"""),"Variant Pathogenicity")</f>
        <v>Variant Pathogenicity</v>
      </c>
      <c r="H80" s="49" t="str">
        <f ca="1">IFERROR(__xludf.DUMMYFUNCTION("""COMPUTED_VALUE"""),"Cardiomyopathy")</f>
        <v>Cardiomyopathy</v>
      </c>
      <c r="I80" s="142">
        <f t="shared" ca="1" si="0"/>
        <v>43700</v>
      </c>
      <c r="J80" s="88">
        <f ca="1">IFERROR(__xludf.DUMMYFUNCTION("""COMPUTED_VALUE"""),43712)</f>
        <v>43712</v>
      </c>
      <c r="K80" s="139">
        <f t="shared" ca="1" si="1"/>
        <v>43792</v>
      </c>
      <c r="L80" s="88" t="str">
        <f ca="1">IFERROR(__xludf.DUMMYFUNCTION("""COMPUTED_VALUE"""),"")</f>
        <v/>
      </c>
      <c r="M80" s="49"/>
      <c r="N80" s="49"/>
      <c r="O80" s="49"/>
      <c r="P80" s="49"/>
      <c r="Q80" s="49"/>
      <c r="R80" s="49"/>
      <c r="S80" s="49"/>
      <c r="T80" s="49"/>
      <c r="U80" s="49"/>
      <c r="V80" s="49"/>
      <c r="W80" s="49"/>
      <c r="X80" s="49"/>
      <c r="Y80" s="49"/>
      <c r="Z80" s="49"/>
      <c r="AA80" s="49"/>
      <c r="AB80" s="49"/>
      <c r="AC80" s="49"/>
      <c r="AD80" s="49"/>
    </row>
    <row r="81" spans="1:30" ht="14">
      <c r="A81" s="140">
        <f ca="1">IFERROR(__xludf.DUMMYFUNCTION("""COMPUTED_VALUE"""),43559.4900039699)</f>
        <v>43559.490003969899</v>
      </c>
      <c r="B81" s="141" t="str">
        <f ca="1">IFERROR(__xludf.DUMMYFUNCTION("""COMPUTED_VALUE"""),"Christina Y Hung")</f>
        <v>Christina Y Hung</v>
      </c>
      <c r="C81" s="141" t="str">
        <f ca="1">IFERROR(__xludf.DUMMYFUNCTION("""COMPUTED_VALUE"""),"christina.hung@childrens.harvard.edu")</f>
        <v>christina.hung@childrens.harvard.edu</v>
      </c>
      <c r="D81" s="49" t="str">
        <f ca="1">IFERROR(__xludf.DUMMYFUNCTION("""COMPUTED_VALUE"""),"Assigned")</f>
        <v>Assigned</v>
      </c>
      <c r="E81" s="87">
        <f ca="1">IFERROR(__xludf.DUMMYFUNCTION("""COMPUTED_VALUE"""),43605)</f>
        <v>43605</v>
      </c>
      <c r="F81" s="49" t="str">
        <f ca="1">IFERROR(__xludf.DUMMYFUNCTION("""COMPUTED_VALUE"""),"Yes")</f>
        <v>Yes</v>
      </c>
      <c r="G81" s="49" t="str">
        <f ca="1">IFERROR(__xludf.DUMMYFUNCTION("""COMPUTED_VALUE"""),"Variant Pathogenicity")</f>
        <v>Variant Pathogenicity</v>
      </c>
      <c r="H81" s="49" t="str">
        <f ca="1">IFERROR(__xludf.DUMMYFUNCTION("""COMPUTED_VALUE"""),"Storage Disease")</f>
        <v>Storage Disease</v>
      </c>
      <c r="I81" s="142">
        <f t="shared" ca="1" si="0"/>
        <v>43697</v>
      </c>
      <c r="J81" s="88">
        <f ca="1">IFERROR(__xludf.DUMMYFUNCTION("""COMPUTED_VALUE"""),43712)</f>
        <v>43712</v>
      </c>
      <c r="K81" s="139">
        <f t="shared" ca="1" si="1"/>
        <v>43789</v>
      </c>
      <c r="L81" s="88" t="str">
        <f ca="1">IFERROR(__xludf.DUMMYFUNCTION("""COMPUTED_VALUE"""),"")</f>
        <v/>
      </c>
      <c r="M81" s="49"/>
      <c r="N81" s="49"/>
      <c r="O81" s="49"/>
      <c r="P81" s="49"/>
      <c r="Q81" s="49"/>
      <c r="R81" s="49"/>
      <c r="S81" s="49"/>
      <c r="T81" s="49"/>
      <c r="U81" s="49"/>
      <c r="V81" s="49"/>
      <c r="W81" s="49"/>
      <c r="X81" s="49"/>
      <c r="Y81" s="49"/>
      <c r="Z81" s="49"/>
      <c r="AA81" s="49"/>
      <c r="AB81" s="49"/>
      <c r="AC81" s="49"/>
      <c r="AD81" s="49"/>
    </row>
    <row r="82" spans="1:30" ht="14">
      <c r="A82" s="140">
        <f ca="1">IFERROR(__xludf.DUMMYFUNCTION("""COMPUTED_VALUE"""),43560.4518106481)</f>
        <v>43560.451810648097</v>
      </c>
      <c r="B82" s="141" t="str">
        <f ca="1">IFERROR(__xludf.DUMMYFUNCTION("""COMPUTED_VALUE"""),"Junyu Zhang")</f>
        <v>Junyu Zhang</v>
      </c>
      <c r="C82" s="141" t="str">
        <f ca="1">IFERROR(__xludf.DUMMYFUNCTION("""COMPUTED_VALUE"""),"junyuzhang@hotmail.com")</f>
        <v>junyuzhang@hotmail.com</v>
      </c>
      <c r="D82" s="49" t="str">
        <f ca="1">IFERROR(__xludf.DUMMYFUNCTION("""COMPUTED_VALUE"""),"Assigned")</f>
        <v>Assigned</v>
      </c>
      <c r="E82" s="87">
        <f ca="1">IFERROR(__xludf.DUMMYFUNCTION("""COMPUTED_VALUE"""),43605)</f>
        <v>43605</v>
      </c>
      <c r="F82" s="49" t="str">
        <f ca="1">IFERROR(__xludf.DUMMYFUNCTION("""COMPUTED_VALUE"""),"Yes")</f>
        <v>Yes</v>
      </c>
      <c r="G82" s="49" t="str">
        <f ca="1">IFERROR(__xludf.DUMMYFUNCTION("""COMPUTED_VALUE"""),"Variant Pathogenicity")</f>
        <v>Variant Pathogenicity</v>
      </c>
      <c r="H82" s="49" t="str">
        <f ca="1">IFERROR(__xludf.DUMMYFUNCTION("""COMPUTED_VALUE"""),"Brain Malformations")</f>
        <v>Brain Malformations</v>
      </c>
      <c r="I82" s="142">
        <f t="shared" ca="1" si="0"/>
        <v>43697</v>
      </c>
      <c r="J82" s="88">
        <f ca="1">IFERROR(__xludf.DUMMYFUNCTION("""COMPUTED_VALUE"""),43712)</f>
        <v>43712</v>
      </c>
      <c r="K82" s="139">
        <f t="shared" ca="1" si="1"/>
        <v>43789</v>
      </c>
      <c r="L82" s="88" t="str">
        <f ca="1">IFERROR(__xludf.DUMMYFUNCTION("""COMPUTED_VALUE"""),"")</f>
        <v/>
      </c>
      <c r="M82" s="49"/>
      <c r="N82" s="49"/>
      <c r="O82" s="49"/>
      <c r="P82" s="49"/>
      <c r="Q82" s="49"/>
      <c r="R82" s="49"/>
      <c r="S82" s="49"/>
      <c r="T82" s="49"/>
      <c r="U82" s="49"/>
      <c r="V82" s="49"/>
      <c r="W82" s="49"/>
      <c r="X82" s="49"/>
      <c r="Y82" s="49"/>
      <c r="Z82" s="49"/>
      <c r="AA82" s="49"/>
      <c r="AB82" s="49"/>
      <c r="AC82" s="49"/>
      <c r="AD82" s="49"/>
    </row>
    <row r="83" spans="1:30" ht="14">
      <c r="A83" s="140">
        <f ca="1">IFERROR(__xludf.DUMMYFUNCTION("""COMPUTED_VALUE"""),43560.4531269791)</f>
        <v>43560.453126979097</v>
      </c>
      <c r="B83" s="141" t="str">
        <f ca="1">IFERROR(__xludf.DUMMYFUNCTION("""COMPUTED_VALUE"""),"Jing Zhang")</f>
        <v>Jing Zhang</v>
      </c>
      <c r="C83" s="141" t="str">
        <f ca="1">IFERROR(__xludf.DUMMYFUNCTION("""COMPUTED_VALUE"""),"jzhang@wuxinextcode.com")</f>
        <v>jzhang@wuxinextcode.com</v>
      </c>
      <c r="D83" s="49" t="str">
        <f ca="1">IFERROR(__xludf.DUMMYFUNCTION("""COMPUTED_VALUE"""),"Contacted")</f>
        <v>Contacted</v>
      </c>
      <c r="E83" s="87">
        <f ca="1">IFERROR(__xludf.DUMMYFUNCTION("""COMPUTED_VALUE"""),43585)</f>
        <v>43585</v>
      </c>
      <c r="F83" s="49" t="str">
        <f ca="1">IFERROR(__xludf.DUMMYFUNCTION("""COMPUTED_VALUE"""),"Yes")</f>
        <v>Yes</v>
      </c>
      <c r="G83" s="49" t="str">
        <f ca="1">IFERROR(__xludf.DUMMYFUNCTION("""COMPUTED_VALUE"""),"Gene Disease Validity")</f>
        <v>Gene Disease Validity</v>
      </c>
      <c r="H83" s="49" t="str">
        <f ca="1">IFERROR(__xludf.DUMMYFUNCTION("""COMPUTED_VALUE"""),"Hemo/Thrombo")</f>
        <v>Hemo/Thrombo</v>
      </c>
      <c r="I83" s="142">
        <f t="shared" ca="1" si="0"/>
        <v>43676</v>
      </c>
      <c r="J83" s="88">
        <f ca="1">IFERROR(__xludf.DUMMYFUNCTION("""COMPUTED_VALUE"""),43712)</f>
        <v>43712</v>
      </c>
      <c r="K83" s="139">
        <f t="shared" ca="1" si="1"/>
        <v>43768</v>
      </c>
      <c r="L83" s="88" t="str">
        <f ca="1">IFERROR(__xludf.DUMMYFUNCTION("""COMPUTED_VALUE"""),"")</f>
        <v/>
      </c>
      <c r="M83" s="49"/>
      <c r="N83" s="49"/>
      <c r="O83" s="49"/>
      <c r="P83" s="49"/>
      <c r="Q83" s="49"/>
      <c r="R83" s="49"/>
      <c r="S83" s="49"/>
      <c r="T83" s="49"/>
      <c r="U83" s="49"/>
      <c r="V83" s="49"/>
      <c r="W83" s="49"/>
      <c r="X83" s="49"/>
      <c r="Y83" s="49"/>
      <c r="Z83" s="49"/>
      <c r="AA83" s="49"/>
      <c r="AB83" s="49"/>
      <c r="AC83" s="49"/>
      <c r="AD83" s="49"/>
    </row>
    <row r="84" spans="1:30" ht="14">
      <c r="A84" s="140">
        <f ca="1">IFERROR(__xludf.DUMMYFUNCTION("""COMPUTED_VALUE"""),43560.5073359838)</f>
        <v>43560.507335983799</v>
      </c>
      <c r="B84" s="141" t="str">
        <f ca="1">IFERROR(__xludf.DUMMYFUNCTION("""COMPUTED_VALUE"""),"Emily Higgs")</f>
        <v>Emily Higgs</v>
      </c>
      <c r="C84" s="141" t="str">
        <f ca="1">IFERROR(__xludf.DUMMYFUNCTION("""COMPUTED_VALUE"""),"ehiggs@stanford.edu")</f>
        <v>ehiggs@stanford.edu</v>
      </c>
      <c r="D84" s="49" t="str">
        <f ca="1">IFERROR(__xludf.DUMMYFUNCTION("""COMPUTED_VALUE"""),"Assigned")</f>
        <v>Assigned</v>
      </c>
      <c r="E84" s="87">
        <f ca="1">IFERROR(__xludf.DUMMYFUNCTION("""COMPUTED_VALUE"""),43605)</f>
        <v>43605</v>
      </c>
      <c r="F84" s="49" t="str">
        <f ca="1">IFERROR(__xludf.DUMMYFUNCTION("""COMPUTED_VALUE"""),"Yes")</f>
        <v>Yes</v>
      </c>
      <c r="G84" s="49" t="str">
        <f ca="1">IFERROR(__xludf.DUMMYFUNCTION("""COMPUTED_VALUE"""),"Variant Pathogenicity")</f>
        <v>Variant Pathogenicity</v>
      </c>
      <c r="H84" s="49" t="str">
        <f ca="1">IFERROR(__xludf.DUMMYFUNCTION("""COMPUTED_VALUE"""),"TP53")</f>
        <v>TP53</v>
      </c>
      <c r="I84" s="142">
        <f t="shared" ca="1" si="0"/>
        <v>43697</v>
      </c>
      <c r="J84" s="88">
        <f ca="1">IFERROR(__xludf.DUMMYFUNCTION("""COMPUTED_VALUE"""),43712)</f>
        <v>43712</v>
      </c>
      <c r="K84" s="139">
        <f t="shared" ca="1" si="1"/>
        <v>43789</v>
      </c>
      <c r="L84" s="88" t="str">
        <f ca="1">IFERROR(__xludf.DUMMYFUNCTION("""COMPUTED_VALUE"""),"")</f>
        <v/>
      </c>
      <c r="M84" s="49"/>
      <c r="N84" s="49"/>
      <c r="O84" s="49"/>
      <c r="P84" s="49"/>
      <c r="Q84" s="49"/>
      <c r="R84" s="49"/>
      <c r="S84" s="49"/>
      <c r="T84" s="49"/>
      <c r="U84" s="49"/>
      <c r="V84" s="49"/>
      <c r="W84" s="49"/>
      <c r="X84" s="49"/>
      <c r="Y84" s="49"/>
      <c r="Z84" s="49"/>
      <c r="AA84" s="49"/>
      <c r="AB84" s="49"/>
      <c r="AC84" s="49"/>
      <c r="AD84" s="49"/>
    </row>
    <row r="85" spans="1:30" ht="14">
      <c r="A85" s="140">
        <f ca="1">IFERROR(__xludf.DUMMYFUNCTION("""COMPUTED_VALUE"""),43560.8008204513)</f>
        <v>43560.800820451303</v>
      </c>
      <c r="B85" s="141" t="str">
        <f ca="1">IFERROR(__xludf.DUMMYFUNCTION("""COMPUTED_VALUE"""),"Samantha Chill")</f>
        <v>Samantha Chill</v>
      </c>
      <c r="C85" s="141" t="str">
        <f ca="1">IFERROR(__xludf.DUMMYFUNCTION("""COMPUTED_VALUE"""),"slsevilla@gmail.com")</f>
        <v>slsevilla@gmail.com</v>
      </c>
      <c r="D85" s="49" t="str">
        <f ca="1">IFERROR(__xludf.DUMMYFUNCTION("""COMPUTED_VALUE"""),"Declined")</f>
        <v>Declined</v>
      </c>
      <c r="E85" s="98">
        <f ca="1">IFERROR(__xludf.DUMMYFUNCTION("""COMPUTED_VALUE"""),43570)</f>
        <v>43570</v>
      </c>
      <c r="F85" s="49" t="str">
        <f ca="1">IFERROR(__xludf.DUMMYFUNCTION("""COMPUTED_VALUE"""),"Yes")</f>
        <v>Yes</v>
      </c>
      <c r="G85" s="49" t="str">
        <f ca="1">IFERROR(__xludf.DUMMYFUNCTION("""COMPUTED_VALUE"""),"Gene Disease Validity")</f>
        <v>Gene Disease Validity</v>
      </c>
      <c r="H85" s="49" t="str">
        <f ca="1">IFERROR(__xludf.DUMMYFUNCTION("""COMPUTED_VALUE"""),"Hemo/Thrombo")</f>
        <v>Hemo/Thrombo</v>
      </c>
      <c r="I85" s="142">
        <f t="shared" ca="1" si="0"/>
        <v>43661</v>
      </c>
      <c r="J85" s="88">
        <f ca="1">IFERROR(__xludf.DUMMYFUNCTION("""COMPUTED_VALUE"""),43712)</f>
        <v>43712</v>
      </c>
      <c r="K85" s="139">
        <f t="shared" ca="1" si="1"/>
        <v>43753</v>
      </c>
      <c r="L85" s="88" t="str">
        <f ca="1">IFERROR(__xludf.DUMMYFUNCTION("""COMPUTED_VALUE"""),"")</f>
        <v/>
      </c>
      <c r="M85" s="49"/>
      <c r="N85" s="49"/>
      <c r="O85" s="49"/>
      <c r="P85" s="49"/>
      <c r="Q85" s="49"/>
      <c r="R85" s="49"/>
      <c r="S85" s="49"/>
      <c r="T85" s="49"/>
      <c r="U85" s="49"/>
      <c r="V85" s="49"/>
      <c r="W85" s="49"/>
      <c r="X85" s="49"/>
      <c r="Y85" s="49"/>
      <c r="Z85" s="49"/>
      <c r="AA85" s="49"/>
      <c r="AB85" s="49"/>
      <c r="AC85" s="49"/>
      <c r="AD85" s="49"/>
    </row>
    <row r="86" spans="1:30" ht="14">
      <c r="A86" s="140">
        <f ca="1">IFERROR(__xludf.DUMMYFUNCTION("""COMPUTED_VALUE"""),43560.9882557638)</f>
        <v>43560.988255763797</v>
      </c>
      <c r="B86" s="141" t="str">
        <f ca="1">IFERROR(__xludf.DUMMYFUNCTION("""COMPUTED_VALUE"""),"HECTOR RODRIGO MENDEZ")</f>
        <v>HECTOR RODRIGO MENDEZ</v>
      </c>
      <c r="C86" s="141" t="str">
        <f ca="1">IFERROR(__xludf.DUMMYFUNCTION("""COMPUTED_VALUE"""),"rodrigomendezh@gmail.com")</f>
        <v>rodrigomendezh@gmail.com</v>
      </c>
      <c r="D86" s="49" t="str">
        <f ca="1">IFERROR(__xludf.DUMMYFUNCTION("""COMPUTED_VALUE"""),"Contacted")</f>
        <v>Contacted</v>
      </c>
      <c r="E86" s="87">
        <f ca="1">IFERROR(__xludf.DUMMYFUNCTION("""COMPUTED_VALUE"""),43585)</f>
        <v>43585</v>
      </c>
      <c r="F86" s="49" t="str">
        <f ca="1">IFERROR(__xludf.DUMMYFUNCTION("""COMPUTED_VALUE"""),"Yes")</f>
        <v>Yes</v>
      </c>
      <c r="G86" s="49" t="str">
        <f ca="1">IFERROR(__xludf.DUMMYFUNCTION("""COMPUTED_VALUE"""),"Gene Disease Validity")</f>
        <v>Gene Disease Validity</v>
      </c>
      <c r="H86" s="49" t="str">
        <f ca="1">IFERROR(__xludf.DUMMYFUNCTION("""COMPUTED_VALUE"""),"ID/Autism")</f>
        <v>ID/Autism</v>
      </c>
      <c r="I86" s="142">
        <f t="shared" ca="1" si="0"/>
        <v>43676</v>
      </c>
      <c r="J86" s="88">
        <f ca="1">IFERROR(__xludf.DUMMYFUNCTION("""COMPUTED_VALUE"""),43712)</f>
        <v>43712</v>
      </c>
      <c r="K86" s="139">
        <f t="shared" ca="1" si="1"/>
        <v>43768</v>
      </c>
      <c r="L86" s="88" t="str">
        <f ca="1">IFERROR(__xludf.DUMMYFUNCTION("""COMPUTED_VALUE"""),"")</f>
        <v/>
      </c>
      <c r="M86" s="49"/>
      <c r="N86" s="49"/>
      <c r="O86" s="49"/>
      <c r="P86" s="49"/>
      <c r="Q86" s="49"/>
      <c r="R86" s="49"/>
      <c r="S86" s="49"/>
      <c r="T86" s="49"/>
      <c r="U86" s="49"/>
      <c r="V86" s="49"/>
      <c r="W86" s="49"/>
      <c r="X86" s="49"/>
      <c r="Y86" s="49"/>
      <c r="Z86" s="49"/>
      <c r="AA86" s="49"/>
      <c r="AB86" s="49"/>
      <c r="AC86" s="49"/>
      <c r="AD86" s="49"/>
    </row>
    <row r="87" spans="1:30" ht="14">
      <c r="A87" s="140">
        <f ca="1">IFERROR(__xludf.DUMMYFUNCTION("""COMPUTED_VALUE"""),43563.39827228)</f>
        <v>43563.398272279999</v>
      </c>
      <c r="B87" s="141" t="str">
        <f ca="1">IFERROR(__xludf.DUMMYFUNCTION("""COMPUTED_VALUE"""),"Karen Hanson")</f>
        <v>Karen Hanson</v>
      </c>
      <c r="C87" s="141" t="str">
        <f ca="1">IFERROR(__xludf.DUMMYFUNCTION("""COMPUTED_VALUE"""),"krhms3@gmail.com")</f>
        <v>krhms3@gmail.com</v>
      </c>
      <c r="D87" s="49" t="str">
        <f ca="1">IFERROR(__xludf.DUMMYFUNCTION("""COMPUTED_VALUE"""),"Contacted")</f>
        <v>Contacted</v>
      </c>
      <c r="E87" s="87">
        <f ca="1">IFERROR(__xludf.DUMMYFUNCTION("""COMPUTED_VALUE"""),43594)</f>
        <v>43594</v>
      </c>
      <c r="F87" s="49" t="str">
        <f ca="1">IFERROR(__xludf.DUMMYFUNCTION("""COMPUTED_VALUE"""),"Yes")</f>
        <v>Yes</v>
      </c>
      <c r="G87" s="49" t="str">
        <f ca="1">IFERROR(__xludf.DUMMYFUNCTION("""COMPUTED_VALUE"""),"Actionability")</f>
        <v>Actionability</v>
      </c>
      <c r="H87" s="49" t="str">
        <f ca="1">IFERROR(__xludf.DUMMYFUNCTION("""COMPUTED_VALUE"""),"Actionability")</f>
        <v>Actionability</v>
      </c>
      <c r="I87" s="142">
        <f t="shared" ca="1" si="0"/>
        <v>43686</v>
      </c>
      <c r="J87" s="88">
        <f ca="1">IFERROR(__xludf.DUMMYFUNCTION("""COMPUTED_VALUE"""),43712)</f>
        <v>43712</v>
      </c>
      <c r="K87" s="139">
        <f t="shared" ca="1" si="1"/>
        <v>43778</v>
      </c>
      <c r="L87" s="88" t="str">
        <f ca="1">IFERROR(__xludf.DUMMYFUNCTION("""COMPUTED_VALUE"""),"")</f>
        <v/>
      </c>
      <c r="M87" s="49"/>
      <c r="N87" s="49"/>
      <c r="O87" s="49"/>
      <c r="P87" s="49"/>
      <c r="Q87" s="49"/>
      <c r="R87" s="49"/>
      <c r="S87" s="49"/>
      <c r="T87" s="49"/>
      <c r="U87" s="49"/>
      <c r="V87" s="49"/>
      <c r="W87" s="49"/>
      <c r="X87" s="49"/>
      <c r="Y87" s="49"/>
      <c r="Z87" s="49"/>
      <c r="AA87" s="49"/>
      <c r="AB87" s="49"/>
      <c r="AC87" s="49"/>
      <c r="AD87" s="49"/>
    </row>
    <row r="88" spans="1:30" ht="14">
      <c r="A88" s="140">
        <f ca="1">IFERROR(__xludf.DUMMYFUNCTION("""COMPUTED_VALUE"""),43563.6184702314)</f>
        <v>43563.618470231399</v>
      </c>
      <c r="B88" s="141" t="str">
        <f ca="1">IFERROR(__xludf.DUMMYFUNCTION("""COMPUTED_VALUE"""),"Christine Preston")</f>
        <v>Christine Preston</v>
      </c>
      <c r="C88" s="141" t="str">
        <f ca="1">IFERROR(__xludf.DUMMYFUNCTION("""COMPUTED_VALUE"""),"christip@stanford.edu")</f>
        <v>christip@stanford.edu</v>
      </c>
      <c r="D88" s="49" t="str">
        <f ca="1">IFERROR(__xludf.DUMMYFUNCTION("""COMPUTED_VALUE"""),"Contacted")</f>
        <v>Contacted</v>
      </c>
      <c r="E88" s="87">
        <f ca="1">IFERROR(__xludf.DUMMYFUNCTION("""COMPUTED_VALUE"""),43580)</f>
        <v>43580</v>
      </c>
      <c r="F88" s="49" t="str">
        <f ca="1">IFERROR(__xludf.DUMMYFUNCTION("""COMPUTED_VALUE"""),"Yes")</f>
        <v>Yes</v>
      </c>
      <c r="G88" s="49" t="str">
        <f ca="1">IFERROR(__xludf.DUMMYFUNCTION("""COMPUTED_VALUE"""),"Dosage Sensitivity")</f>
        <v>Dosage Sensitivity</v>
      </c>
      <c r="H88" s="49" t="str">
        <f ca="1">IFERROR(__xludf.DUMMYFUNCTION("""COMPUTED_VALUE"""),"")</f>
        <v/>
      </c>
      <c r="I88" s="142">
        <f t="shared" ca="1" si="0"/>
        <v>43671</v>
      </c>
      <c r="J88" s="88">
        <f ca="1">IFERROR(__xludf.DUMMYFUNCTION("""COMPUTED_VALUE"""),43712)</f>
        <v>43712</v>
      </c>
      <c r="K88" s="139">
        <f t="shared" ca="1" si="1"/>
        <v>43763</v>
      </c>
      <c r="L88" s="88" t="str">
        <f ca="1">IFERROR(__xludf.DUMMYFUNCTION("""COMPUTED_VALUE"""),"")</f>
        <v/>
      </c>
      <c r="M88" s="49"/>
      <c r="N88" s="49"/>
      <c r="O88" s="49"/>
      <c r="P88" s="49"/>
      <c r="Q88" s="49"/>
      <c r="R88" s="49"/>
      <c r="S88" s="49"/>
      <c r="T88" s="49"/>
      <c r="U88" s="49"/>
      <c r="V88" s="49"/>
      <c r="W88" s="49"/>
      <c r="X88" s="49"/>
      <c r="Y88" s="49"/>
      <c r="Z88" s="49"/>
      <c r="AA88" s="49"/>
      <c r="AB88" s="49"/>
      <c r="AC88" s="49"/>
      <c r="AD88" s="49"/>
    </row>
    <row r="89" spans="1:30" ht="14">
      <c r="A89" s="140">
        <f ca="1">IFERROR(__xludf.DUMMYFUNCTION("""COMPUTED_VALUE"""),43564.4933464004)</f>
        <v>43564.493346400399</v>
      </c>
      <c r="B89" s="141" t="str">
        <f ca="1">IFERROR(__xludf.DUMMYFUNCTION("""COMPUTED_VALUE"""),"Alexander Ing")</f>
        <v>Alexander Ing</v>
      </c>
      <c r="C89" s="141" t="str">
        <f ca="1">IFERROR(__xludf.DUMMYFUNCTION("""COMPUTED_VALUE"""),"aing@luriechildrens.org")</f>
        <v>aing@luriechildrens.org</v>
      </c>
      <c r="D89" s="49" t="str">
        <f ca="1">IFERROR(__xludf.DUMMYFUNCTION("""COMPUTED_VALUE"""),"Contacted")</f>
        <v>Contacted</v>
      </c>
      <c r="E89" s="87">
        <f ca="1">IFERROR(__xludf.DUMMYFUNCTION("""COMPUTED_VALUE"""),43585)</f>
        <v>43585</v>
      </c>
      <c r="F89" s="49" t="str">
        <f ca="1">IFERROR(__xludf.DUMMYFUNCTION("""COMPUTED_VALUE"""),"Yes")</f>
        <v>Yes</v>
      </c>
      <c r="G89" s="49" t="str">
        <f ca="1">IFERROR(__xludf.DUMMYFUNCTION("""COMPUTED_VALUE"""),"Gene Disease Validity")</f>
        <v>Gene Disease Validity</v>
      </c>
      <c r="H89" s="49" t="str">
        <f ca="1">IFERROR(__xludf.DUMMYFUNCTION("""COMPUTED_VALUE"""),"Epilepsy")</f>
        <v>Epilepsy</v>
      </c>
      <c r="I89" s="142">
        <f t="shared" ca="1" si="0"/>
        <v>43676</v>
      </c>
      <c r="J89" s="88">
        <f ca="1">IFERROR(__xludf.DUMMYFUNCTION("""COMPUTED_VALUE"""),43712)</f>
        <v>43712</v>
      </c>
      <c r="K89" s="139">
        <f t="shared" ca="1" si="1"/>
        <v>43768</v>
      </c>
      <c r="L89" s="88" t="str">
        <f ca="1">IFERROR(__xludf.DUMMYFUNCTION("""COMPUTED_VALUE"""),"")</f>
        <v/>
      </c>
      <c r="M89" s="49"/>
      <c r="N89" s="49"/>
      <c r="O89" s="49"/>
      <c r="P89" s="49"/>
      <c r="Q89" s="49"/>
      <c r="R89" s="49"/>
      <c r="S89" s="49"/>
      <c r="T89" s="49"/>
      <c r="U89" s="49"/>
      <c r="V89" s="49"/>
      <c r="W89" s="49"/>
      <c r="X89" s="49"/>
      <c r="Y89" s="49"/>
      <c r="Z89" s="49"/>
      <c r="AA89" s="49"/>
      <c r="AB89" s="49"/>
      <c r="AC89" s="49"/>
      <c r="AD89" s="49"/>
    </row>
    <row r="90" spans="1:30" ht="14">
      <c r="A90" s="140">
        <f ca="1">IFERROR(__xludf.DUMMYFUNCTION("""COMPUTED_VALUE"""),43564.6942130555)</f>
        <v>43564.694213055503</v>
      </c>
      <c r="B90" s="141" t="str">
        <f ca="1">IFERROR(__xludf.DUMMYFUNCTION("""COMPUTED_VALUE"""),"Jun Liao")</f>
        <v>Jun Liao</v>
      </c>
      <c r="C90" s="141" t="str">
        <f ca="1">IFERROR(__xludf.DUMMYFUNCTION("""COMPUTED_VALUE"""),"jl5098@cumc.columbia.edu")</f>
        <v>jl5098@cumc.columbia.edu</v>
      </c>
      <c r="D90" s="49" t="str">
        <f ca="1">IFERROR(__xludf.DUMMYFUNCTION("""COMPUTED_VALUE"""),"Contacted")</f>
        <v>Contacted</v>
      </c>
      <c r="E90" s="87">
        <f ca="1">IFERROR(__xludf.DUMMYFUNCTION("""COMPUTED_VALUE"""),43692)</f>
        <v>43692</v>
      </c>
      <c r="F90" s="49" t="str">
        <f ca="1">IFERROR(__xludf.DUMMYFUNCTION("""COMPUTED_VALUE"""),"No")</f>
        <v>No</v>
      </c>
      <c r="G90" s="49" t="str">
        <f ca="1">IFERROR(__xludf.DUMMYFUNCTION("""COMPUTED_VALUE"""),"Gene Disease Validity")</f>
        <v>Gene Disease Validity</v>
      </c>
      <c r="H90" s="49" t="str">
        <f ca="1">IFERROR(__xludf.DUMMYFUNCTION("""COMPUTED_VALUE"""),"")</f>
        <v/>
      </c>
      <c r="I90" s="142">
        <f t="shared" ca="1" si="0"/>
        <v>43784</v>
      </c>
      <c r="J90" s="49" t="str">
        <f ca="1">IFERROR(__xludf.DUMMYFUNCTION("""COMPUTED_VALUE"""),"")</f>
        <v/>
      </c>
      <c r="K90" s="139">
        <f t="shared" ca="1" si="1"/>
        <v>43876</v>
      </c>
      <c r="L90" s="49" t="str">
        <f ca="1">IFERROR(__xludf.DUMMYFUNCTION("""COMPUTED_VALUE"""),"")</f>
        <v/>
      </c>
      <c r="M90" s="49"/>
      <c r="N90" s="49"/>
      <c r="O90" s="49"/>
      <c r="P90" s="49"/>
      <c r="Q90" s="49"/>
      <c r="R90" s="49"/>
      <c r="S90" s="49"/>
      <c r="T90" s="49"/>
      <c r="U90" s="49"/>
      <c r="V90" s="49"/>
      <c r="W90" s="49"/>
      <c r="X90" s="49"/>
      <c r="Y90" s="49"/>
      <c r="Z90" s="49"/>
      <c r="AA90" s="49"/>
      <c r="AB90" s="49"/>
      <c r="AC90" s="49"/>
      <c r="AD90" s="49"/>
    </row>
    <row r="91" spans="1:30" ht="14">
      <c r="A91" s="140">
        <f ca="1">IFERROR(__xludf.DUMMYFUNCTION("""COMPUTED_VALUE"""),43564.7106672569)</f>
        <v>43564.710667256899</v>
      </c>
      <c r="B91" s="141" t="str">
        <f ca="1">IFERROR(__xludf.DUMMYFUNCTION("""COMPUTED_VALUE"""),"Maki Kaneko")</f>
        <v>Maki Kaneko</v>
      </c>
      <c r="C91" s="141" t="str">
        <f ca="1">IFERROR(__xludf.DUMMYFUNCTION("""COMPUTED_VALUE"""),"mkaneko@chla.usc.edu")</f>
        <v>mkaneko@chla.usc.edu</v>
      </c>
      <c r="D91" s="49" t="str">
        <f ca="1">IFERROR(__xludf.DUMMYFUNCTION("""COMPUTED_VALUE"""),"Contacted")</f>
        <v>Contacted</v>
      </c>
      <c r="E91" s="87">
        <f ca="1">IFERROR(__xludf.DUMMYFUNCTION("""COMPUTED_VALUE"""),43585)</f>
        <v>43585</v>
      </c>
      <c r="F91" s="49" t="str">
        <f ca="1">IFERROR(__xludf.DUMMYFUNCTION("""COMPUTED_VALUE"""),"Yes")</f>
        <v>Yes</v>
      </c>
      <c r="G91" s="49" t="str">
        <f ca="1">IFERROR(__xludf.DUMMYFUNCTION("""COMPUTED_VALUE"""),"Gene Disease Validity")</f>
        <v>Gene Disease Validity</v>
      </c>
      <c r="H91" s="49" t="str">
        <f ca="1">IFERROR(__xludf.DUMMYFUNCTION("""COMPUTED_VALUE"""),"Epilepsy")</f>
        <v>Epilepsy</v>
      </c>
      <c r="I91" s="142">
        <f t="shared" ca="1" si="0"/>
        <v>43676</v>
      </c>
      <c r="J91" s="88">
        <f ca="1">IFERROR(__xludf.DUMMYFUNCTION("""COMPUTED_VALUE"""),43712)</f>
        <v>43712</v>
      </c>
      <c r="K91" s="139">
        <f t="shared" ca="1" si="1"/>
        <v>43768</v>
      </c>
      <c r="L91" s="88" t="str">
        <f ca="1">IFERROR(__xludf.DUMMYFUNCTION("""COMPUTED_VALUE"""),"")</f>
        <v/>
      </c>
      <c r="M91" s="49"/>
      <c r="N91" s="49"/>
      <c r="O91" s="49"/>
      <c r="P91" s="49"/>
      <c r="Q91" s="49"/>
      <c r="R91" s="49"/>
      <c r="S91" s="49"/>
      <c r="T91" s="49"/>
      <c r="U91" s="49"/>
      <c r="V91" s="49"/>
      <c r="W91" s="49"/>
      <c r="X91" s="49"/>
      <c r="Y91" s="49"/>
      <c r="Z91" s="49"/>
      <c r="AA91" s="49"/>
      <c r="AB91" s="49"/>
      <c r="AC91" s="49"/>
      <c r="AD91" s="49"/>
    </row>
    <row r="92" spans="1:30" ht="14">
      <c r="A92" s="140">
        <f ca="1">IFERROR(__xludf.DUMMYFUNCTION("""COMPUTED_VALUE"""),43566.0396503819)</f>
        <v>43566.039650381899</v>
      </c>
      <c r="B92" s="141" t="str">
        <f ca="1">IFERROR(__xludf.DUMMYFUNCTION("""COMPUTED_VALUE"""),"Suvina To")</f>
        <v>Suvina To</v>
      </c>
      <c r="C92" s="141" t="str">
        <f ca="1">IFERROR(__xludf.DUMMYFUNCTION("""COMPUTED_VALUE"""),"suvina@gmail.com")</f>
        <v>suvina@gmail.com</v>
      </c>
      <c r="D92" s="49" t="str">
        <f ca="1">IFERROR(__xludf.DUMMYFUNCTION("""COMPUTED_VALUE"""),"Assigned")</f>
        <v>Assigned</v>
      </c>
      <c r="E92" s="88">
        <f ca="1">IFERROR(__xludf.DUMMYFUNCTION("""COMPUTED_VALUE"""),43627)</f>
        <v>43627</v>
      </c>
      <c r="F92" s="49" t="str">
        <f ca="1">IFERROR(__xludf.DUMMYFUNCTION("""COMPUTED_VALUE"""),"Yes")</f>
        <v>Yes</v>
      </c>
      <c r="G92" s="49" t="str">
        <f ca="1">IFERROR(__xludf.DUMMYFUNCTION("""COMPUTED_VALUE"""),"Variant Pathogenicity")</f>
        <v>Variant Pathogenicity</v>
      </c>
      <c r="H92" s="49" t="str">
        <f ca="1">IFERROR(__xludf.DUMMYFUNCTION("""COMPUTED_VALUE"""),"Monogenic Diabetes")</f>
        <v>Monogenic Diabetes</v>
      </c>
      <c r="I92" s="142">
        <f t="shared" ca="1" si="0"/>
        <v>43719</v>
      </c>
      <c r="J92" s="88">
        <f ca="1">IFERROR(__xludf.DUMMYFUNCTION("""COMPUTED_VALUE"""),43712)</f>
        <v>43712</v>
      </c>
      <c r="K92" s="139">
        <f t="shared" ca="1" si="1"/>
        <v>43810</v>
      </c>
      <c r="L92" s="88" t="str">
        <f ca="1">IFERROR(__xludf.DUMMYFUNCTION("""COMPUTED_VALUE"""),"")</f>
        <v/>
      </c>
      <c r="M92" s="49"/>
      <c r="N92" s="49"/>
      <c r="O92" s="49"/>
      <c r="P92" s="49"/>
      <c r="Q92" s="49"/>
      <c r="R92" s="49"/>
      <c r="S92" s="49"/>
      <c r="T92" s="49"/>
      <c r="U92" s="49"/>
      <c r="V92" s="49"/>
      <c r="W92" s="49"/>
      <c r="X92" s="49"/>
      <c r="Y92" s="49"/>
      <c r="Z92" s="49"/>
      <c r="AA92" s="49"/>
      <c r="AB92" s="49"/>
      <c r="AC92" s="49"/>
      <c r="AD92" s="49"/>
    </row>
    <row r="93" spans="1:30" ht="14">
      <c r="A93" s="140">
        <f ca="1">IFERROR(__xludf.DUMMYFUNCTION("""COMPUTED_VALUE"""),43566.5250714467)</f>
        <v>43566.525071446697</v>
      </c>
      <c r="B93" s="141" t="str">
        <f ca="1">IFERROR(__xludf.DUMMYFUNCTION("""COMPUTED_VALUE"""),"Lemuel Racacho")</f>
        <v>Lemuel Racacho</v>
      </c>
      <c r="C93" s="141" t="str">
        <f ca="1">IFERROR(__xludf.DUMMYFUNCTION("""COMPUTED_VALUE"""),"lracacho@cheo.on.ca")</f>
        <v>lracacho@cheo.on.ca</v>
      </c>
      <c r="D93" s="49" t="str">
        <f ca="1">IFERROR(__xludf.DUMMYFUNCTION("""COMPUTED_VALUE"""),"Assigned")</f>
        <v>Assigned</v>
      </c>
      <c r="E93" s="87">
        <f ca="1">IFERROR(__xludf.DUMMYFUNCTION("""COMPUTED_VALUE"""),43608)</f>
        <v>43608</v>
      </c>
      <c r="F93" s="49" t="str">
        <f ca="1">IFERROR(__xludf.DUMMYFUNCTION("""COMPUTED_VALUE"""),"Yes")</f>
        <v>Yes</v>
      </c>
      <c r="G93" s="49" t="str">
        <f ca="1">IFERROR(__xludf.DUMMYFUNCTION("""COMPUTED_VALUE"""),"Variant Pathogenicity")</f>
        <v>Variant Pathogenicity</v>
      </c>
      <c r="H93" s="49" t="str">
        <f ca="1">IFERROR(__xludf.DUMMYFUNCTION("""COMPUTED_VALUE"""),"ACADVL")</f>
        <v>ACADVL</v>
      </c>
      <c r="I93" s="142">
        <f t="shared" ca="1" si="0"/>
        <v>43700</v>
      </c>
      <c r="J93" s="88">
        <f ca="1">IFERROR(__xludf.DUMMYFUNCTION("""COMPUTED_VALUE"""),43712)</f>
        <v>43712</v>
      </c>
      <c r="K93" s="139">
        <f t="shared" ca="1" si="1"/>
        <v>43792</v>
      </c>
      <c r="L93" s="88" t="str">
        <f ca="1">IFERROR(__xludf.DUMMYFUNCTION("""COMPUTED_VALUE"""),"")</f>
        <v/>
      </c>
      <c r="M93" s="49"/>
      <c r="N93" s="49"/>
      <c r="O93" s="49"/>
      <c r="P93" s="49"/>
      <c r="Q93" s="49"/>
      <c r="R93" s="49"/>
      <c r="S93" s="49"/>
      <c r="T93" s="49"/>
      <c r="U93" s="49"/>
      <c r="V93" s="49"/>
      <c r="W93" s="49"/>
      <c r="X93" s="49"/>
      <c r="Y93" s="49"/>
      <c r="Z93" s="49"/>
      <c r="AA93" s="49"/>
      <c r="AB93" s="49"/>
      <c r="AC93" s="49"/>
      <c r="AD93" s="49"/>
    </row>
    <row r="94" spans="1:30" ht="14">
      <c r="A94" s="140">
        <f ca="1">IFERROR(__xludf.DUMMYFUNCTION("""COMPUTED_VALUE"""),43567.9264500925)</f>
        <v>43567.926450092498</v>
      </c>
      <c r="B94" s="141" t="str">
        <f ca="1">IFERROR(__xludf.DUMMYFUNCTION("""COMPUTED_VALUE"""),"Samya Chakravorty")</f>
        <v>Samya Chakravorty</v>
      </c>
      <c r="C94" s="141" t="str">
        <f ca="1">IFERROR(__xludf.DUMMYFUNCTION("""COMPUTED_VALUE"""),"samya.chakravorty@emory.edu")</f>
        <v>samya.chakravorty@emory.edu</v>
      </c>
      <c r="D94" s="49" t="str">
        <f ca="1">IFERROR(__xludf.DUMMYFUNCTION("""COMPUTED_VALUE"""),"Assigned")</f>
        <v>Assigned</v>
      </c>
      <c r="E94" s="87">
        <f ca="1">IFERROR(__xludf.DUMMYFUNCTION("""COMPUTED_VALUE"""),43608)</f>
        <v>43608</v>
      </c>
      <c r="F94" s="49" t="str">
        <f ca="1">IFERROR(__xludf.DUMMYFUNCTION("""COMPUTED_VALUE"""),"Yes")</f>
        <v>Yes</v>
      </c>
      <c r="G94" s="49" t="str">
        <f ca="1">IFERROR(__xludf.DUMMYFUNCTION("""COMPUTED_VALUE"""),"Variant Pathogenicity")</f>
        <v>Variant Pathogenicity</v>
      </c>
      <c r="H94" s="49" t="str">
        <f ca="1">IFERROR(__xludf.DUMMYFUNCTION("""COMPUTED_VALUE"""),"Platelet Disorders")</f>
        <v>Platelet Disorders</v>
      </c>
      <c r="I94" s="142">
        <f t="shared" ca="1" si="0"/>
        <v>43700</v>
      </c>
      <c r="J94" s="88">
        <f ca="1">IFERROR(__xludf.DUMMYFUNCTION("""COMPUTED_VALUE"""),43712)</f>
        <v>43712</v>
      </c>
      <c r="K94" s="139">
        <f t="shared" ca="1" si="1"/>
        <v>43792</v>
      </c>
      <c r="L94" s="88" t="str">
        <f ca="1">IFERROR(__xludf.DUMMYFUNCTION("""COMPUTED_VALUE"""),"")</f>
        <v/>
      </c>
      <c r="M94" s="49"/>
      <c r="N94" s="49"/>
      <c r="O94" s="49"/>
      <c r="P94" s="49"/>
      <c r="Q94" s="49"/>
      <c r="R94" s="49"/>
      <c r="S94" s="49"/>
      <c r="T94" s="49"/>
      <c r="U94" s="49"/>
      <c r="V94" s="49"/>
      <c r="W94" s="49"/>
      <c r="X94" s="49"/>
      <c r="Y94" s="49"/>
      <c r="Z94" s="49"/>
      <c r="AA94" s="49"/>
      <c r="AB94" s="49"/>
      <c r="AC94" s="49"/>
      <c r="AD94" s="49"/>
    </row>
    <row r="95" spans="1:30" ht="14">
      <c r="A95" s="140">
        <f ca="1">IFERROR(__xludf.DUMMYFUNCTION("""COMPUTED_VALUE"""),43571.9779175925)</f>
        <v>43571.9779175925</v>
      </c>
      <c r="B95" s="141" t="str">
        <f ca="1">IFERROR(__xludf.DUMMYFUNCTION("""COMPUTED_VALUE"""),"Alison Bright")</f>
        <v>Alison Bright</v>
      </c>
      <c r="C95" s="141" t="str">
        <f ca="1">IFERROR(__xludf.DUMMYFUNCTION("""COMPUTED_VALUE"""),"alison.r.bright@questdiagnostics.com")</f>
        <v>alison.r.bright@questdiagnostics.com</v>
      </c>
      <c r="D95" s="49" t="str">
        <f ca="1">IFERROR(__xludf.DUMMYFUNCTION("""COMPUTED_VALUE"""),"Contacted")</f>
        <v>Contacted</v>
      </c>
      <c r="E95" s="87">
        <f ca="1">IFERROR(__xludf.DUMMYFUNCTION("""COMPUTED_VALUE"""),43692)</f>
        <v>43692</v>
      </c>
      <c r="F95" s="49" t="str">
        <f ca="1">IFERROR(__xludf.DUMMYFUNCTION("""COMPUTED_VALUE"""),"No")</f>
        <v>No</v>
      </c>
      <c r="G95" s="49" t="str">
        <f ca="1">IFERROR(__xludf.DUMMYFUNCTION("""COMPUTED_VALUE"""),"Gene Disease Validity")</f>
        <v>Gene Disease Validity</v>
      </c>
      <c r="H95" s="49" t="str">
        <f ca="1">IFERROR(__xludf.DUMMYFUNCTION("""COMPUTED_VALUE"""),"")</f>
        <v/>
      </c>
      <c r="I95" s="142">
        <f t="shared" ca="1" si="0"/>
        <v>43784</v>
      </c>
      <c r="J95" s="49" t="str">
        <f ca="1">IFERROR(__xludf.DUMMYFUNCTION("""COMPUTED_VALUE"""),"")</f>
        <v/>
      </c>
      <c r="K95" s="139">
        <f t="shared" ca="1" si="1"/>
        <v>43876</v>
      </c>
      <c r="L95" s="49" t="str">
        <f ca="1">IFERROR(__xludf.DUMMYFUNCTION("""COMPUTED_VALUE"""),"")</f>
        <v/>
      </c>
      <c r="M95" s="49"/>
      <c r="N95" s="49"/>
      <c r="O95" s="49"/>
      <c r="P95" s="49"/>
      <c r="Q95" s="49"/>
      <c r="R95" s="49"/>
      <c r="S95" s="49"/>
      <c r="T95" s="49"/>
      <c r="U95" s="49"/>
      <c r="V95" s="49"/>
      <c r="W95" s="49"/>
      <c r="X95" s="49"/>
      <c r="Y95" s="49"/>
      <c r="Z95" s="49"/>
      <c r="AA95" s="49"/>
      <c r="AB95" s="49"/>
      <c r="AC95" s="49"/>
      <c r="AD95" s="49"/>
    </row>
    <row r="96" spans="1:30" ht="14">
      <c r="A96" s="140">
        <f ca="1">IFERROR(__xludf.DUMMYFUNCTION("""COMPUTED_VALUE"""),43578.6891417592)</f>
        <v>43578.689141759198</v>
      </c>
      <c r="B96" s="141" t="str">
        <f ca="1">IFERROR(__xludf.DUMMYFUNCTION("""COMPUTED_VALUE"""),"Ying Zou")</f>
        <v>Ying Zou</v>
      </c>
      <c r="C96" s="141" t="str">
        <f ca="1">IFERROR(__xludf.DUMMYFUNCTION("""COMPUTED_VALUE""")," yzou19@jhmi.edu")</f>
        <v xml:space="preserve"> yzou19@jhmi.edu</v>
      </c>
      <c r="D96" s="49" t="str">
        <f ca="1">IFERROR(__xludf.DUMMYFUNCTION("""COMPUTED_VALUE"""),"Contacted")</f>
        <v>Contacted</v>
      </c>
      <c r="E96" s="98">
        <f ca="1">IFERROR(__xludf.DUMMYFUNCTION("""COMPUTED_VALUE"""),43581)</f>
        <v>43581</v>
      </c>
      <c r="F96" s="49" t="str">
        <f ca="1">IFERROR(__xludf.DUMMYFUNCTION("""COMPUTED_VALUE"""),"No")</f>
        <v>No</v>
      </c>
      <c r="G96" s="49" t="str">
        <f ca="1">IFERROR(__xludf.DUMMYFUNCTION("""COMPUTED_VALUE"""),"Somatic Cancer")</f>
        <v>Somatic Cancer</v>
      </c>
      <c r="H96" s="49" t="str">
        <f ca="1">IFERROR(__xludf.DUMMYFUNCTION("""COMPUTED_VALUE"""),"")</f>
        <v/>
      </c>
      <c r="I96" s="142">
        <f t="shared" ca="1" si="0"/>
        <v>43672</v>
      </c>
      <c r="J96" s="88">
        <f ca="1">IFERROR(__xludf.DUMMYFUNCTION("""COMPUTED_VALUE"""),43712)</f>
        <v>43712</v>
      </c>
      <c r="K96" s="139">
        <f t="shared" ca="1" si="1"/>
        <v>43764</v>
      </c>
      <c r="L96" s="88" t="str">
        <f ca="1">IFERROR(__xludf.DUMMYFUNCTION("""COMPUTED_VALUE"""),"")</f>
        <v/>
      </c>
      <c r="M96" s="49"/>
      <c r="N96" s="49"/>
      <c r="O96" s="49"/>
      <c r="P96" s="49"/>
      <c r="Q96" s="49"/>
      <c r="R96" s="49"/>
      <c r="S96" s="49"/>
      <c r="T96" s="49"/>
      <c r="U96" s="49"/>
      <c r="V96" s="49"/>
      <c r="W96" s="49"/>
      <c r="X96" s="49"/>
      <c r="Y96" s="49"/>
      <c r="Z96" s="49"/>
      <c r="AA96" s="49"/>
      <c r="AB96" s="49"/>
      <c r="AC96" s="49"/>
      <c r="AD96" s="49"/>
    </row>
    <row r="97" spans="1:30" ht="14">
      <c r="A97" s="140">
        <f ca="1">IFERROR(__xludf.DUMMYFUNCTION("""COMPUTED_VALUE"""),43581.0153433101)</f>
        <v>43581.0153433101</v>
      </c>
      <c r="B97" s="141" t="str">
        <f ca="1">IFERROR(__xludf.DUMMYFUNCTION("""COMPUTED_VALUE"""),"JIXIA LIU")</f>
        <v>JIXIA LIU</v>
      </c>
      <c r="C97" s="141" t="str">
        <f ca="1">IFERROR(__xludf.DUMMYFUNCTION("""COMPUTED_VALUE"""),"jixialiu@gmail.com")</f>
        <v>jixialiu@gmail.com</v>
      </c>
      <c r="D97" s="49" t="str">
        <f ca="1">IFERROR(__xludf.DUMMYFUNCTION("""COMPUTED_VALUE"""),"Unresponsive")</f>
        <v>Unresponsive</v>
      </c>
      <c r="E97" s="87">
        <f ca="1">IFERROR(__xludf.DUMMYFUNCTION("""COMPUTED_VALUE"""),43570)</f>
        <v>43570</v>
      </c>
      <c r="F97" s="49" t="str">
        <f ca="1">IFERROR(__xludf.DUMMYFUNCTION("""COMPUTED_VALUE"""),"Yes")</f>
        <v>Yes</v>
      </c>
      <c r="G97" s="49" t="str">
        <f ca="1">IFERROR(__xludf.DUMMYFUNCTION("""COMPUTED_VALUE"""),"NA")</f>
        <v>NA</v>
      </c>
      <c r="H97" s="49" t="str">
        <f ca="1">IFERROR(__xludf.DUMMYFUNCTION("""COMPUTED_VALUE"""),"")</f>
        <v/>
      </c>
      <c r="I97" s="142">
        <f t="shared" ca="1" si="0"/>
        <v>43661</v>
      </c>
      <c r="J97" s="49" t="str">
        <f ca="1">IFERROR(__xludf.DUMMYFUNCTION("""COMPUTED_VALUE"""),"")</f>
        <v/>
      </c>
      <c r="K97" s="139">
        <f t="shared" ca="1" si="1"/>
        <v>43753</v>
      </c>
      <c r="L97" s="49" t="str">
        <f ca="1">IFERROR(__xludf.DUMMYFUNCTION("""COMPUTED_VALUE"""),"")</f>
        <v/>
      </c>
      <c r="M97" s="49"/>
      <c r="N97" s="49"/>
      <c r="O97" s="49"/>
      <c r="P97" s="49"/>
      <c r="Q97" s="49"/>
      <c r="R97" s="49"/>
      <c r="S97" s="49"/>
      <c r="T97" s="49"/>
      <c r="U97" s="49"/>
      <c r="V97" s="49"/>
      <c r="W97" s="49"/>
      <c r="X97" s="49"/>
      <c r="Y97" s="49"/>
      <c r="Z97" s="49"/>
      <c r="AA97" s="49"/>
      <c r="AB97" s="49"/>
      <c r="AC97" s="49"/>
      <c r="AD97" s="49"/>
    </row>
    <row r="98" spans="1:30" ht="14">
      <c r="A98" s="140">
        <f ca="1">IFERROR(__xludf.DUMMYFUNCTION("""COMPUTED_VALUE"""),43581.5923809953)</f>
        <v>43581.592380995302</v>
      </c>
      <c r="B98" s="141" t="str">
        <f ca="1">IFERROR(__xludf.DUMMYFUNCTION("""COMPUTED_VALUE"""),"Catherine Driscoll")</f>
        <v>Catherine Driscoll</v>
      </c>
      <c r="C98" s="141" t="str">
        <f ca="1">IFERROR(__xludf.DUMMYFUNCTION("""COMPUTED_VALUE"""),"kate.driscoll@nih.gov")</f>
        <v>kate.driscoll@nih.gov</v>
      </c>
      <c r="D98" s="49" t="str">
        <f ca="1">IFERROR(__xludf.DUMMYFUNCTION("""COMPUTED_VALUE"""),"Assigned")</f>
        <v>Assigned</v>
      </c>
      <c r="E98" s="88">
        <f ca="1">IFERROR(__xludf.DUMMYFUNCTION("""COMPUTED_VALUE"""),43605)</f>
        <v>43605</v>
      </c>
      <c r="F98" s="49" t="str">
        <f ca="1">IFERROR(__xludf.DUMMYFUNCTION("""COMPUTED_VALUE"""),"Yes")</f>
        <v>Yes</v>
      </c>
      <c r="G98" s="49" t="str">
        <f ca="1">IFERROR(__xludf.DUMMYFUNCTION("""COMPUTED_VALUE"""),"Variant Pathogenicity")</f>
        <v>Variant Pathogenicity</v>
      </c>
      <c r="H98" s="49" t="str">
        <f ca="1">IFERROR(__xludf.DUMMYFUNCTION("""COMPUTED_VALUE"""),"RYR1")</f>
        <v>RYR1</v>
      </c>
      <c r="I98" s="142">
        <f t="shared" ca="1" si="0"/>
        <v>43697</v>
      </c>
      <c r="J98" s="88">
        <f ca="1">IFERROR(__xludf.DUMMYFUNCTION("""COMPUTED_VALUE"""),43712)</f>
        <v>43712</v>
      </c>
      <c r="K98" s="139">
        <f t="shared" ca="1" si="1"/>
        <v>43789</v>
      </c>
      <c r="L98" s="88" t="str">
        <f ca="1">IFERROR(__xludf.DUMMYFUNCTION("""COMPUTED_VALUE"""),"")</f>
        <v/>
      </c>
      <c r="M98" s="49"/>
      <c r="N98" s="49"/>
      <c r="O98" s="49"/>
      <c r="P98" s="49"/>
      <c r="Q98" s="49"/>
      <c r="R98" s="49"/>
      <c r="S98" s="49"/>
      <c r="T98" s="49"/>
      <c r="U98" s="49"/>
      <c r="V98" s="49"/>
      <c r="W98" s="49"/>
      <c r="X98" s="49"/>
      <c r="Y98" s="49"/>
      <c r="Z98" s="49"/>
      <c r="AA98" s="49"/>
      <c r="AB98" s="49"/>
      <c r="AC98" s="49"/>
      <c r="AD98" s="49"/>
    </row>
    <row r="99" spans="1:30" ht="14">
      <c r="A99" s="140">
        <f ca="1">IFERROR(__xludf.DUMMYFUNCTION("""COMPUTED_VALUE"""),43585.6337606944)</f>
        <v>43585.6337606944</v>
      </c>
      <c r="B99" s="141" t="str">
        <f ca="1">IFERROR(__xludf.DUMMYFUNCTION("""COMPUTED_VALUE"""),"Gifty Bhat")</f>
        <v>Gifty Bhat</v>
      </c>
      <c r="C99" s="141" t="str">
        <f ca="1">IFERROR(__xludf.DUMMYFUNCTION("""COMPUTED_VALUE"""),"drgiftybhat@gmail.com")</f>
        <v>drgiftybhat@gmail.com</v>
      </c>
      <c r="D99" s="49" t="str">
        <f ca="1">IFERROR(__xludf.DUMMYFUNCTION("""COMPUTED_VALUE"""),"Contacted")</f>
        <v>Contacted</v>
      </c>
      <c r="E99" s="88">
        <f ca="1">IFERROR(__xludf.DUMMYFUNCTION("""COMPUTED_VALUE"""),43768)</f>
        <v>43768</v>
      </c>
      <c r="F99" s="49" t="str">
        <f ca="1">IFERROR(__xludf.DUMMYFUNCTION("""COMPUTED_VALUE"""),"Yes")</f>
        <v>Yes</v>
      </c>
      <c r="G99" s="49" t="str">
        <f ca="1">IFERROR(__xludf.DUMMYFUNCTION("""COMPUTED_VALUE"""),"Actionability")</f>
        <v>Actionability</v>
      </c>
      <c r="H99" s="49" t="str">
        <f ca="1">IFERROR(__xludf.DUMMYFUNCTION("""COMPUTED_VALUE"""),"Actionability")</f>
        <v>Actionability</v>
      </c>
      <c r="I99" s="142">
        <f t="shared" ca="1" si="0"/>
        <v>43860</v>
      </c>
      <c r="J99" s="49" t="str">
        <f ca="1">IFERROR(__xludf.DUMMYFUNCTION("""COMPUTED_VALUE"""),"")</f>
        <v/>
      </c>
      <c r="K99" s="139">
        <f t="shared" ca="1" si="1"/>
        <v>43951</v>
      </c>
      <c r="L99" s="49" t="str">
        <f ca="1">IFERROR(__xludf.DUMMYFUNCTION("""COMPUTED_VALUE"""),"")</f>
        <v/>
      </c>
      <c r="M99" s="49"/>
      <c r="N99" s="49"/>
      <c r="O99" s="49"/>
      <c r="P99" s="49"/>
      <c r="Q99" s="49"/>
      <c r="R99" s="49"/>
      <c r="S99" s="49"/>
      <c r="T99" s="49"/>
      <c r="U99" s="49"/>
      <c r="V99" s="49"/>
      <c r="W99" s="49"/>
      <c r="X99" s="49"/>
      <c r="Y99" s="49"/>
      <c r="Z99" s="49"/>
      <c r="AA99" s="49"/>
      <c r="AB99" s="49"/>
      <c r="AC99" s="49"/>
      <c r="AD99" s="49"/>
    </row>
    <row r="100" spans="1:30" ht="14">
      <c r="A100" s="140">
        <f ca="1">IFERROR(__xludf.DUMMYFUNCTION("""COMPUTED_VALUE"""),43586.5964573032)</f>
        <v>43586.596457303203</v>
      </c>
      <c r="B100" s="141" t="str">
        <f ca="1">IFERROR(__xludf.DUMMYFUNCTION("""COMPUTED_VALUE"""),"Ashley Marsh")</f>
        <v>Ashley Marsh</v>
      </c>
      <c r="C100" s="141" t="str">
        <f ca="1">IFERROR(__xludf.DUMMYFUNCTION("""COMPUTED_VALUE"""),"amarsh@ucsd.edu")</f>
        <v>amarsh@ucsd.edu</v>
      </c>
      <c r="D100" s="49" t="str">
        <f ca="1">IFERROR(__xludf.DUMMYFUNCTION("""COMPUTED_VALUE"""),"Assigned")</f>
        <v>Assigned</v>
      </c>
      <c r="E100" s="88">
        <f ca="1">IFERROR(__xludf.DUMMYFUNCTION("""COMPUTED_VALUE"""),43608)</f>
        <v>43608</v>
      </c>
      <c r="F100" s="49" t="str">
        <f ca="1">IFERROR(__xludf.DUMMYFUNCTION("""COMPUTED_VALUE"""),"Yes")</f>
        <v>Yes</v>
      </c>
      <c r="G100" s="49" t="str">
        <f ca="1">IFERROR(__xludf.DUMMYFUNCTION("""COMPUTED_VALUE"""),"Variant Pathogenicity")</f>
        <v>Variant Pathogenicity</v>
      </c>
      <c r="H100" s="49" t="str">
        <f ca="1">IFERROR(__xludf.DUMMYFUNCTION("""COMPUTED_VALUE"""),"Brain Malformations")</f>
        <v>Brain Malformations</v>
      </c>
      <c r="I100" s="142">
        <f t="shared" ca="1" si="0"/>
        <v>43700</v>
      </c>
      <c r="J100" s="88">
        <f ca="1">IFERROR(__xludf.DUMMYFUNCTION("""COMPUTED_VALUE"""),43712)</f>
        <v>43712</v>
      </c>
      <c r="K100" s="139">
        <f t="shared" ca="1" si="1"/>
        <v>43792</v>
      </c>
      <c r="L100" s="88" t="str">
        <f ca="1">IFERROR(__xludf.DUMMYFUNCTION("""COMPUTED_VALUE"""),"")</f>
        <v/>
      </c>
      <c r="M100" s="49"/>
      <c r="N100" s="49"/>
      <c r="O100" s="49"/>
      <c r="P100" s="49"/>
      <c r="Q100" s="49"/>
      <c r="R100" s="49"/>
      <c r="S100" s="49"/>
      <c r="T100" s="49"/>
      <c r="U100" s="49"/>
      <c r="V100" s="49"/>
      <c r="W100" s="49"/>
      <c r="X100" s="49"/>
      <c r="Y100" s="49"/>
      <c r="Z100" s="49"/>
      <c r="AA100" s="49"/>
      <c r="AB100" s="49"/>
      <c r="AC100" s="49"/>
      <c r="AD100" s="49"/>
    </row>
    <row r="101" spans="1:30" ht="14">
      <c r="A101" s="140">
        <f ca="1">IFERROR(__xludf.DUMMYFUNCTION("""COMPUTED_VALUE"""),43587.1672437384)</f>
        <v>43587.167243738397</v>
      </c>
      <c r="B101" s="141" t="str">
        <f ca="1">IFERROR(__xludf.DUMMYFUNCTION("""COMPUTED_VALUE"""),"Kevin Colclough")</f>
        <v>Kevin Colclough</v>
      </c>
      <c r="C101" s="141" t="str">
        <f ca="1">IFERROR(__xludf.DUMMYFUNCTION("""COMPUTED_VALUE"""),"kevin.colclough@nhs.net")</f>
        <v>kevin.colclough@nhs.net</v>
      </c>
      <c r="D101" s="49" t="str">
        <f ca="1">IFERROR(__xludf.DUMMYFUNCTION("""COMPUTED_VALUE"""),"Contacted")</f>
        <v>Contacted</v>
      </c>
      <c r="E101" s="87">
        <f ca="1">IFERROR(__xludf.DUMMYFUNCTION("""COMPUTED_VALUE"""),43585)</f>
        <v>43585</v>
      </c>
      <c r="F101" s="49" t="str">
        <f ca="1">IFERROR(__xludf.DUMMYFUNCTION("""COMPUTED_VALUE"""),"Yes")</f>
        <v>Yes</v>
      </c>
      <c r="G101" s="49" t="str">
        <f ca="1">IFERROR(__xludf.DUMMYFUNCTION("""COMPUTED_VALUE"""),"Gene Disease Validity")</f>
        <v>Gene Disease Validity</v>
      </c>
      <c r="H101" s="49" t="str">
        <f ca="1">IFERROR(__xludf.DUMMYFUNCTION("""COMPUTED_VALUE"""),"Monogenic Diabetes")</f>
        <v>Monogenic Diabetes</v>
      </c>
      <c r="I101" s="142">
        <f t="shared" ca="1" si="0"/>
        <v>43676</v>
      </c>
      <c r="J101" s="49" t="str">
        <f ca="1">IFERROR(__xludf.DUMMYFUNCTION("""COMPUTED_VALUE"""),"")</f>
        <v/>
      </c>
      <c r="K101" s="139">
        <f t="shared" ca="1" si="1"/>
        <v>43768</v>
      </c>
      <c r="L101" s="49" t="str">
        <f ca="1">IFERROR(__xludf.DUMMYFUNCTION("""COMPUTED_VALUE"""),"")</f>
        <v/>
      </c>
      <c r="M101" s="49"/>
      <c r="N101" s="49"/>
      <c r="O101" s="49"/>
      <c r="P101" s="49"/>
      <c r="Q101" s="49"/>
      <c r="R101" s="49"/>
      <c r="S101" s="49"/>
      <c r="T101" s="49"/>
      <c r="U101" s="49"/>
      <c r="V101" s="49"/>
      <c r="W101" s="49"/>
      <c r="X101" s="49"/>
      <c r="Y101" s="49"/>
      <c r="Z101" s="49"/>
      <c r="AA101" s="49"/>
      <c r="AB101" s="49"/>
      <c r="AC101" s="49"/>
      <c r="AD101" s="49"/>
    </row>
    <row r="102" spans="1:30" ht="14">
      <c r="A102" s="140">
        <f ca="1">IFERROR(__xludf.DUMMYFUNCTION("""COMPUTED_VALUE"""),43592.7399613541)</f>
        <v>43592.739961354098</v>
      </c>
      <c r="B102" s="141" t="str">
        <f ca="1">IFERROR(__xludf.DUMMYFUNCTION("""COMPUTED_VALUE"""),"FEN GUO")</f>
        <v>FEN GUO</v>
      </c>
      <c r="C102" s="141" t="str">
        <f ca="1">IFERROR(__xludf.DUMMYFUNCTION("""COMPUTED_VALUE"""),"fguo34@wisc.edu")</f>
        <v>fguo34@wisc.edu</v>
      </c>
      <c r="D102" s="49" t="str">
        <f ca="1">IFERROR(__xludf.DUMMYFUNCTION("""COMPUTED_VALUE"""),"Contacted")</f>
        <v>Contacted</v>
      </c>
      <c r="E102" s="87">
        <f ca="1">IFERROR(__xludf.DUMMYFUNCTION("""COMPUTED_VALUE"""),43692)</f>
        <v>43692</v>
      </c>
      <c r="F102" s="49" t="str">
        <f ca="1">IFERROR(__xludf.DUMMYFUNCTION("""COMPUTED_VALUE"""),"Yes")</f>
        <v>Yes</v>
      </c>
      <c r="G102" s="49" t="str">
        <f ca="1">IFERROR(__xludf.DUMMYFUNCTION("""COMPUTED_VALUE"""),"Gene Disease Validity")</f>
        <v>Gene Disease Validity</v>
      </c>
      <c r="H102" s="49" t="str">
        <f ca="1">IFERROR(__xludf.DUMMYFUNCTION("""COMPUTED_VALUE"""),"")</f>
        <v/>
      </c>
      <c r="I102" s="142">
        <f t="shared" ca="1" si="0"/>
        <v>43784</v>
      </c>
      <c r="J102" s="49" t="str">
        <f ca="1">IFERROR(__xludf.DUMMYFUNCTION("""COMPUTED_VALUE"""),"")</f>
        <v/>
      </c>
      <c r="K102" s="139">
        <f t="shared" ca="1" si="1"/>
        <v>43876</v>
      </c>
      <c r="L102" s="49" t="str">
        <f ca="1">IFERROR(__xludf.DUMMYFUNCTION("""COMPUTED_VALUE"""),"")</f>
        <v/>
      </c>
      <c r="M102" s="49"/>
      <c r="N102" s="49"/>
      <c r="O102" s="49"/>
      <c r="P102" s="49"/>
      <c r="Q102" s="49"/>
      <c r="R102" s="49"/>
      <c r="S102" s="49"/>
      <c r="T102" s="49"/>
      <c r="U102" s="49"/>
      <c r="V102" s="49"/>
      <c r="W102" s="49"/>
      <c r="X102" s="49"/>
      <c r="Y102" s="49"/>
      <c r="Z102" s="49"/>
      <c r="AA102" s="49"/>
      <c r="AB102" s="49"/>
      <c r="AC102" s="49"/>
      <c r="AD102" s="49"/>
    </row>
    <row r="103" spans="1:30" ht="14">
      <c r="A103" s="140">
        <f ca="1">IFERROR(__xludf.DUMMYFUNCTION("""COMPUTED_VALUE"""),43593.5664947222)</f>
        <v>43593.566494722203</v>
      </c>
      <c r="B103" s="141" t="str">
        <f ca="1">IFERROR(__xludf.DUMMYFUNCTION("""COMPUTED_VALUE"""),"Lisa Dyer")</f>
        <v>Lisa Dyer</v>
      </c>
      <c r="C103" s="141" t="str">
        <f ca="1">IFERROR(__xludf.DUMMYFUNCTION("""COMPUTED_VALUE"""),"Lisa.Dyer@cchmc.org")</f>
        <v>Lisa.Dyer@cchmc.org</v>
      </c>
      <c r="D103" s="49" t="str">
        <f ca="1">IFERROR(__xludf.DUMMYFUNCTION("""COMPUTED_VALUE"""),"Unresponsive")</f>
        <v>Unresponsive</v>
      </c>
      <c r="E103" s="88">
        <f ca="1">IFERROR(__xludf.DUMMYFUNCTION("""COMPUTED_VALUE"""),43476)</f>
        <v>43476</v>
      </c>
      <c r="F103" s="49" t="str">
        <f ca="1">IFERROR(__xludf.DUMMYFUNCTION("""COMPUTED_VALUE"""),"No")</f>
        <v>No</v>
      </c>
      <c r="G103" s="49" t="str">
        <f ca="1">IFERROR(__xludf.DUMMYFUNCTION("""COMPUTED_VALUE"""),"Somatic Cancer")</f>
        <v>Somatic Cancer</v>
      </c>
      <c r="H103" s="49" t="str">
        <f ca="1">IFERROR(__xludf.DUMMYFUNCTION("""COMPUTED_VALUE"""),"")</f>
        <v/>
      </c>
      <c r="I103" s="142">
        <f t="shared" ca="1" si="0"/>
        <v>43566</v>
      </c>
      <c r="J103" s="88">
        <f ca="1">IFERROR(__xludf.DUMMYFUNCTION("""COMPUTED_VALUE"""),43593)</f>
        <v>43593</v>
      </c>
      <c r="K103" s="139">
        <f t="shared" ca="1" si="1"/>
        <v>43657</v>
      </c>
      <c r="L103" s="88">
        <f ca="1">IFERROR(__xludf.DUMMYFUNCTION("""COMPUTED_VALUE"""),43713)</f>
        <v>43713</v>
      </c>
      <c r="M103" s="49"/>
      <c r="N103" s="49"/>
      <c r="O103" s="49"/>
      <c r="P103" s="49"/>
      <c r="Q103" s="49"/>
      <c r="R103" s="49"/>
      <c r="S103" s="49"/>
      <c r="T103" s="49"/>
      <c r="U103" s="49"/>
      <c r="V103" s="49"/>
      <c r="W103" s="49"/>
      <c r="X103" s="49"/>
      <c r="Y103" s="49"/>
      <c r="Z103" s="49"/>
      <c r="AA103" s="49"/>
      <c r="AB103" s="49"/>
      <c r="AC103" s="49"/>
      <c r="AD103" s="49"/>
    </row>
    <row r="104" spans="1:30" ht="14">
      <c r="A104" s="140">
        <f ca="1">IFERROR(__xludf.DUMMYFUNCTION("""COMPUTED_VALUE"""),43601.5361581712)</f>
        <v>43601.536158171199</v>
      </c>
      <c r="B104" s="141" t="str">
        <f ca="1">IFERROR(__xludf.DUMMYFUNCTION("""COMPUTED_VALUE"""),"Olivia Rennie")</f>
        <v>Olivia Rennie</v>
      </c>
      <c r="C104" s="141" t="str">
        <f ca="1">IFERROR(__xludf.DUMMYFUNCTION("""COMPUTED_VALUE"""),"olivia.rennie@sickkids.ca")</f>
        <v>olivia.rennie@sickkids.ca</v>
      </c>
      <c r="D104" s="49" t="str">
        <f ca="1">IFERROR(__xludf.DUMMYFUNCTION("""COMPUTED_VALUE"""),"Assigned")</f>
        <v>Assigned</v>
      </c>
      <c r="E104" s="88">
        <f ca="1">IFERROR(__xludf.DUMMYFUNCTION("""COMPUTED_VALUE"""),43605)</f>
        <v>43605</v>
      </c>
      <c r="F104" s="49" t="str">
        <f ca="1">IFERROR(__xludf.DUMMYFUNCTION("""COMPUTED_VALUE"""),"Yes")</f>
        <v>Yes</v>
      </c>
      <c r="G104" s="49" t="str">
        <f ca="1">IFERROR(__xludf.DUMMYFUNCTION("""COMPUTED_VALUE"""),"Variant Pathogenicity")</f>
        <v>Variant Pathogenicity</v>
      </c>
      <c r="H104" s="49" t="str">
        <f ca="1">IFERROR(__xludf.DUMMYFUNCTION("""COMPUTED_VALUE"""),"TP53")</f>
        <v>TP53</v>
      </c>
      <c r="I104" s="142">
        <f t="shared" ca="1" si="0"/>
        <v>43697</v>
      </c>
      <c r="J104" s="88">
        <f ca="1">IFERROR(__xludf.DUMMYFUNCTION("""COMPUTED_VALUE"""),43712)</f>
        <v>43712</v>
      </c>
      <c r="K104" s="139">
        <f t="shared" ca="1" si="1"/>
        <v>43789</v>
      </c>
      <c r="L104" s="88" t="str">
        <f ca="1">IFERROR(__xludf.DUMMYFUNCTION("""COMPUTED_VALUE"""),"")</f>
        <v/>
      </c>
      <c r="M104" s="49"/>
      <c r="N104" s="49"/>
      <c r="O104" s="49"/>
      <c r="P104" s="49"/>
      <c r="Q104" s="49"/>
      <c r="R104" s="49"/>
      <c r="S104" s="49"/>
      <c r="T104" s="49"/>
      <c r="U104" s="49"/>
      <c r="V104" s="49"/>
      <c r="W104" s="49"/>
      <c r="X104" s="49"/>
      <c r="Y104" s="49"/>
      <c r="Z104" s="49"/>
      <c r="AA104" s="49"/>
      <c r="AB104" s="49"/>
      <c r="AC104" s="49"/>
      <c r="AD104" s="49"/>
    </row>
    <row r="105" spans="1:30" ht="14">
      <c r="A105" s="140">
        <f ca="1">IFERROR(__xludf.DUMMYFUNCTION("""COMPUTED_VALUE"""),43602.7024085648)</f>
        <v>43602.702408564801</v>
      </c>
      <c r="B105" s="141" t="str">
        <f ca="1">IFERROR(__xludf.DUMMYFUNCTION("""COMPUTED_VALUE"""),"Aleš Maver")</f>
        <v>Aleš Maver</v>
      </c>
      <c r="C105" s="141" t="str">
        <f ca="1">IFERROR(__xludf.DUMMYFUNCTION("""COMPUTED_VALUE"""),"ales.maver@kclj.si")</f>
        <v>ales.maver@kclj.si</v>
      </c>
      <c r="D105" s="49" t="str">
        <f ca="1">IFERROR(__xludf.DUMMYFUNCTION("""COMPUTED_VALUE"""),"Contacted")</f>
        <v>Contacted</v>
      </c>
      <c r="E105" s="88">
        <f ca="1">IFERROR(__xludf.DUMMYFUNCTION("""COMPUTED_VALUE"""),43627)</f>
        <v>43627</v>
      </c>
      <c r="F105" s="49" t="str">
        <f ca="1">IFERROR(__xludf.DUMMYFUNCTION("""COMPUTED_VALUE"""),"Yes")</f>
        <v>Yes</v>
      </c>
      <c r="G105" s="49" t="str">
        <f ca="1">IFERROR(__xludf.DUMMYFUNCTION("""COMPUTED_VALUE"""),"NA")</f>
        <v>NA</v>
      </c>
      <c r="H105" s="49" t="str">
        <f ca="1">IFERROR(__xludf.DUMMYFUNCTION("""COMPUTED_VALUE"""),"")</f>
        <v/>
      </c>
      <c r="I105" s="142">
        <f t="shared" ca="1" si="0"/>
        <v>43719</v>
      </c>
      <c r="J105" s="49" t="str">
        <f ca="1">IFERROR(__xludf.DUMMYFUNCTION("""COMPUTED_VALUE"""),"")</f>
        <v/>
      </c>
      <c r="K105" s="139">
        <f t="shared" ca="1" si="1"/>
        <v>43810</v>
      </c>
      <c r="L105" s="49" t="str">
        <f ca="1">IFERROR(__xludf.DUMMYFUNCTION("""COMPUTED_VALUE"""),"")</f>
        <v/>
      </c>
      <c r="M105" s="49"/>
      <c r="N105" s="49"/>
      <c r="O105" s="49"/>
      <c r="P105" s="49"/>
      <c r="Q105" s="49"/>
      <c r="R105" s="49"/>
      <c r="S105" s="49"/>
      <c r="T105" s="49"/>
      <c r="U105" s="49"/>
      <c r="V105" s="49"/>
      <c r="W105" s="49"/>
      <c r="X105" s="49"/>
      <c r="Y105" s="49"/>
      <c r="Z105" s="49"/>
      <c r="AA105" s="49"/>
      <c r="AB105" s="49"/>
      <c r="AC105" s="49"/>
      <c r="AD105" s="49"/>
    </row>
    <row r="106" spans="1:30" ht="14">
      <c r="A106" s="140">
        <f ca="1">IFERROR(__xludf.DUMMYFUNCTION("""COMPUTED_VALUE"""),43607.5487386342)</f>
        <v>43607.548738634199</v>
      </c>
      <c r="B106" s="141" t="str">
        <f ca="1">IFERROR(__xludf.DUMMYFUNCTION("""COMPUTED_VALUE"""),"Robert Butler")</f>
        <v>Robert Butler</v>
      </c>
      <c r="C106" s="141" t="str">
        <f ca="1">IFERROR(__xludf.DUMMYFUNCTION("""COMPUTED_VALUE"""),"rbutler@northshore.org")</f>
        <v>rbutler@northshore.org</v>
      </c>
      <c r="D106" s="49" t="str">
        <f ca="1">IFERROR(__xludf.DUMMYFUNCTION("""COMPUTED_VALUE"""),"Contacted")</f>
        <v>Contacted</v>
      </c>
      <c r="E106" s="88">
        <f ca="1">IFERROR(__xludf.DUMMYFUNCTION("""COMPUTED_VALUE"""),43627)</f>
        <v>43627</v>
      </c>
      <c r="F106" s="49" t="str">
        <f ca="1">IFERROR(__xludf.DUMMYFUNCTION("""COMPUTED_VALUE"""),"Yes")</f>
        <v>Yes</v>
      </c>
      <c r="G106" s="49" t="str">
        <f ca="1">IFERROR(__xludf.DUMMYFUNCTION("""COMPUTED_VALUE"""),"NA")</f>
        <v>NA</v>
      </c>
      <c r="H106" s="49" t="str">
        <f ca="1">IFERROR(__xludf.DUMMYFUNCTION("""COMPUTED_VALUE"""),"")</f>
        <v/>
      </c>
      <c r="I106" s="142">
        <f t="shared" ca="1" si="0"/>
        <v>43719</v>
      </c>
      <c r="J106" s="49" t="str">
        <f ca="1">IFERROR(__xludf.DUMMYFUNCTION("""COMPUTED_VALUE"""),"")</f>
        <v/>
      </c>
      <c r="K106" s="139">
        <f t="shared" ca="1" si="1"/>
        <v>43810</v>
      </c>
      <c r="L106" s="49" t="str">
        <f ca="1">IFERROR(__xludf.DUMMYFUNCTION("""COMPUTED_VALUE"""),"")</f>
        <v/>
      </c>
      <c r="M106" s="49"/>
      <c r="N106" s="49"/>
      <c r="O106" s="49"/>
      <c r="P106" s="49"/>
      <c r="Q106" s="49"/>
      <c r="R106" s="49"/>
      <c r="S106" s="49"/>
      <c r="T106" s="49"/>
      <c r="U106" s="49"/>
      <c r="V106" s="49"/>
      <c r="W106" s="49"/>
      <c r="X106" s="49"/>
      <c r="Y106" s="49"/>
      <c r="Z106" s="49"/>
      <c r="AA106" s="49"/>
      <c r="AB106" s="49"/>
      <c r="AC106" s="49"/>
      <c r="AD106" s="49"/>
    </row>
    <row r="107" spans="1:30" ht="14">
      <c r="A107" s="140">
        <f ca="1">IFERROR(__xludf.DUMMYFUNCTION("""COMPUTED_VALUE"""),43609.9557532407)</f>
        <v>43609.955753240698</v>
      </c>
      <c r="B107" s="141" t="str">
        <f ca="1">IFERROR(__xludf.DUMMYFUNCTION("""COMPUTED_VALUE"""),"Ljubica Caldovic")</f>
        <v>Ljubica Caldovic</v>
      </c>
      <c r="C107" s="141" t="str">
        <f ca="1">IFERROR(__xludf.DUMMYFUNCTION("""COMPUTED_VALUE"""),"lcaldovic@childrensnational.org")</f>
        <v>lcaldovic@childrensnational.org</v>
      </c>
      <c r="D107" s="49" t="str">
        <f ca="1">IFERROR(__xludf.DUMMYFUNCTION("""COMPUTED_VALUE"""),"Contacted")</f>
        <v>Contacted</v>
      </c>
      <c r="E107" s="88">
        <f ca="1">IFERROR(__xludf.DUMMYFUNCTION("""COMPUTED_VALUE"""),43626)</f>
        <v>43626</v>
      </c>
      <c r="F107" s="49" t="str">
        <f ca="1">IFERROR(__xludf.DUMMYFUNCTION("""COMPUTED_VALUE"""),"Yes")</f>
        <v>Yes</v>
      </c>
      <c r="G107" s="49" t="str">
        <f ca="1">IFERROR(__xludf.DUMMYFUNCTION("""COMPUTED_VALUE"""),"Variant Pathogenicity")</f>
        <v>Variant Pathogenicity</v>
      </c>
      <c r="H107" s="49" t="str">
        <f ca="1">IFERROR(__xludf.DUMMYFUNCTION("""COMPUTED_VALUE"""),"")</f>
        <v/>
      </c>
      <c r="I107" s="142">
        <f t="shared" ca="1" si="0"/>
        <v>43718</v>
      </c>
      <c r="J107" s="49" t="str">
        <f ca="1">IFERROR(__xludf.DUMMYFUNCTION("""COMPUTED_VALUE"""),"")</f>
        <v/>
      </c>
      <c r="K107" s="139">
        <f t="shared" ca="1" si="1"/>
        <v>43809</v>
      </c>
      <c r="L107" s="49" t="str">
        <f ca="1">IFERROR(__xludf.DUMMYFUNCTION("""COMPUTED_VALUE"""),"")</f>
        <v/>
      </c>
      <c r="M107" s="49"/>
      <c r="N107" s="49"/>
      <c r="O107" s="49"/>
      <c r="P107" s="49"/>
      <c r="Q107" s="49"/>
      <c r="R107" s="49"/>
      <c r="S107" s="49"/>
      <c r="T107" s="49"/>
      <c r="U107" s="49"/>
      <c r="V107" s="49"/>
      <c r="W107" s="49"/>
      <c r="X107" s="49"/>
      <c r="Y107" s="49"/>
      <c r="Z107" s="49"/>
      <c r="AA107" s="49"/>
      <c r="AB107" s="49"/>
      <c r="AC107" s="49"/>
      <c r="AD107" s="49"/>
    </row>
    <row r="108" spans="1:30" ht="14">
      <c r="A108" s="140">
        <f ca="1">IFERROR(__xludf.DUMMYFUNCTION("""COMPUTED_VALUE"""),43610.740048368)</f>
        <v>43610.740048368003</v>
      </c>
      <c r="B108" s="141" t="str">
        <f ca="1">IFERROR(__xludf.DUMMYFUNCTION("""COMPUTED_VALUE"""),"Joy Goffena")</f>
        <v>Joy Goffena</v>
      </c>
      <c r="C108" s="141" t="str">
        <f ca="1">IFERROR(__xludf.DUMMYFUNCTION("""COMPUTED_VALUE"""),"joy.goffena@gmail.com")</f>
        <v>joy.goffena@gmail.com</v>
      </c>
      <c r="D108" s="49" t="str">
        <f ca="1">IFERROR(__xludf.DUMMYFUNCTION("""COMPUTED_VALUE"""),"Assigned")</f>
        <v>Assigned</v>
      </c>
      <c r="E108" s="88">
        <f ca="1">IFERROR(__xludf.DUMMYFUNCTION("""COMPUTED_VALUE"""),43627)</f>
        <v>43627</v>
      </c>
      <c r="F108" s="49" t="str">
        <f ca="1">IFERROR(__xludf.DUMMYFUNCTION("""COMPUTED_VALUE"""),"Yes")</f>
        <v>Yes</v>
      </c>
      <c r="G108" s="49" t="str">
        <f ca="1">IFERROR(__xludf.DUMMYFUNCTION("""COMPUTED_VALUE"""),"Variant Pathogenicity")</f>
        <v>Variant Pathogenicity</v>
      </c>
      <c r="H108" s="49" t="str">
        <f ca="1">IFERROR(__xludf.DUMMYFUNCTION("""COMPUTED_VALUE"""),"Mito")</f>
        <v>Mito</v>
      </c>
      <c r="I108" s="142">
        <f t="shared" ca="1" si="0"/>
        <v>43719</v>
      </c>
      <c r="J108" s="88">
        <f ca="1">IFERROR(__xludf.DUMMYFUNCTION("""COMPUTED_VALUE"""),43712)</f>
        <v>43712</v>
      </c>
      <c r="K108" s="139">
        <f t="shared" ca="1" si="1"/>
        <v>43810</v>
      </c>
      <c r="L108" s="88" t="str">
        <f ca="1">IFERROR(__xludf.DUMMYFUNCTION("""COMPUTED_VALUE"""),"")</f>
        <v/>
      </c>
      <c r="M108" s="49"/>
      <c r="N108" s="49"/>
      <c r="O108" s="49"/>
      <c r="P108" s="49"/>
      <c r="Q108" s="49"/>
      <c r="R108" s="49"/>
      <c r="S108" s="49"/>
      <c r="T108" s="49"/>
      <c r="U108" s="49"/>
      <c r="V108" s="49"/>
      <c r="W108" s="49"/>
      <c r="X108" s="49"/>
      <c r="Y108" s="49"/>
      <c r="Z108" s="49"/>
      <c r="AA108" s="49"/>
      <c r="AB108" s="49"/>
      <c r="AC108" s="49"/>
      <c r="AD108" s="49"/>
    </row>
    <row r="109" spans="1:30" ht="14">
      <c r="A109" s="140">
        <f ca="1">IFERROR(__xludf.DUMMYFUNCTION("""COMPUTED_VALUE"""),43612.7448295601)</f>
        <v>43612.744829560099</v>
      </c>
      <c r="B109" s="141" t="str">
        <f ca="1">IFERROR(__xludf.DUMMYFUNCTION("""COMPUTED_VALUE"""),"Amruta Phatak")</f>
        <v>Amruta Phatak</v>
      </c>
      <c r="C109" s="141" t="str">
        <f ca="1">IFERROR(__xludf.DUMMYFUNCTION("""COMPUTED_VALUE"""),"arphatak@iu.edu")</f>
        <v>arphatak@iu.edu</v>
      </c>
      <c r="D109" s="49" t="str">
        <f ca="1">IFERROR(__xludf.DUMMYFUNCTION("""COMPUTED_VALUE"""),"Contacted")</f>
        <v>Contacted</v>
      </c>
      <c r="E109" s="87">
        <f ca="1">IFERROR(__xludf.DUMMYFUNCTION("""COMPUTED_VALUE"""),43692)</f>
        <v>43692</v>
      </c>
      <c r="F109" s="49" t="str">
        <f ca="1">IFERROR(__xludf.DUMMYFUNCTION("""COMPUTED_VALUE"""),"Yes")</f>
        <v>Yes</v>
      </c>
      <c r="G109" s="49" t="str">
        <f ca="1">IFERROR(__xludf.DUMMYFUNCTION("""COMPUTED_VALUE"""),"Gene Disease Validity")</f>
        <v>Gene Disease Validity</v>
      </c>
      <c r="H109" s="49" t="str">
        <f ca="1">IFERROR(__xludf.DUMMYFUNCTION("""COMPUTED_VALUE"""),"")</f>
        <v/>
      </c>
      <c r="I109" s="142">
        <f t="shared" ca="1" si="0"/>
        <v>43784</v>
      </c>
      <c r="J109" s="49" t="str">
        <f ca="1">IFERROR(__xludf.DUMMYFUNCTION("""COMPUTED_VALUE"""),"")</f>
        <v/>
      </c>
      <c r="K109" s="139">
        <f t="shared" ca="1" si="1"/>
        <v>43876</v>
      </c>
      <c r="L109" s="49" t="str">
        <f ca="1">IFERROR(__xludf.DUMMYFUNCTION("""COMPUTED_VALUE"""),"")</f>
        <v/>
      </c>
      <c r="M109" s="49"/>
      <c r="N109" s="49"/>
      <c r="O109" s="49"/>
      <c r="P109" s="49"/>
      <c r="Q109" s="49"/>
      <c r="R109" s="49"/>
      <c r="S109" s="49"/>
      <c r="T109" s="49"/>
      <c r="U109" s="49"/>
      <c r="V109" s="49"/>
      <c r="W109" s="49"/>
      <c r="X109" s="49"/>
      <c r="Y109" s="49"/>
      <c r="Z109" s="49"/>
      <c r="AA109" s="49"/>
      <c r="AB109" s="49"/>
      <c r="AC109" s="49"/>
      <c r="AD109" s="49"/>
    </row>
    <row r="110" spans="1:30" ht="14">
      <c r="A110" s="140">
        <f ca="1">IFERROR(__xludf.DUMMYFUNCTION("""COMPUTED_VALUE"""),43615.3992976736)</f>
        <v>43615.399297673597</v>
      </c>
      <c r="B110" s="141" t="str">
        <f ca="1">IFERROR(__xludf.DUMMYFUNCTION("""COMPUTED_VALUE"""),"Abdelazeem Elhabyan ")</f>
        <v xml:space="preserve">Abdelazeem Elhabyan </v>
      </c>
      <c r="C110" s="141" t="str">
        <f ca="1">IFERROR(__xludf.DUMMYFUNCTION("""COMPUTED_VALUE"""),"Abdelazeem_abdelhameed2015505@yahoo.com")</f>
        <v>Abdelazeem_abdelhameed2015505@yahoo.com</v>
      </c>
      <c r="D110" s="49" t="str">
        <f ca="1">IFERROR(__xludf.DUMMYFUNCTION("""COMPUTED_VALUE"""),"Contacted")</f>
        <v>Contacted</v>
      </c>
      <c r="E110" s="88">
        <f ca="1">IFERROR(__xludf.DUMMYFUNCTION("""COMPUTED_VALUE"""),43627)</f>
        <v>43627</v>
      </c>
      <c r="F110" s="49" t="str">
        <f ca="1">IFERROR(__xludf.DUMMYFUNCTION("""COMPUTED_VALUE"""),"No")</f>
        <v>No</v>
      </c>
      <c r="G110" s="49" t="str">
        <f ca="1">IFERROR(__xludf.DUMMYFUNCTION("""COMPUTED_VALUE"""),"Variant Pathogenicity")</f>
        <v>Variant Pathogenicity</v>
      </c>
      <c r="H110" s="49" t="str">
        <f ca="1">IFERROR(__xludf.DUMMYFUNCTION("""COMPUTED_VALUE"""),"")</f>
        <v/>
      </c>
      <c r="I110" s="142">
        <f t="shared" ca="1" si="0"/>
        <v>43719</v>
      </c>
      <c r="J110" s="49" t="str">
        <f ca="1">IFERROR(__xludf.DUMMYFUNCTION("""COMPUTED_VALUE"""),"")</f>
        <v/>
      </c>
      <c r="K110" s="139">
        <f t="shared" ca="1" si="1"/>
        <v>43810</v>
      </c>
      <c r="L110" s="49" t="str">
        <f ca="1">IFERROR(__xludf.DUMMYFUNCTION("""COMPUTED_VALUE"""),"")</f>
        <v/>
      </c>
      <c r="M110" s="49"/>
      <c r="N110" s="49"/>
      <c r="O110" s="49"/>
      <c r="P110" s="49"/>
      <c r="Q110" s="49"/>
      <c r="R110" s="49"/>
      <c r="S110" s="49"/>
      <c r="T110" s="49"/>
      <c r="U110" s="49"/>
      <c r="V110" s="49"/>
      <c r="W110" s="49"/>
      <c r="X110" s="49"/>
      <c r="Y110" s="49"/>
      <c r="Z110" s="49"/>
      <c r="AA110" s="49"/>
      <c r="AB110" s="49"/>
      <c r="AC110" s="49"/>
      <c r="AD110" s="49"/>
    </row>
    <row r="111" spans="1:30" ht="14">
      <c r="A111" s="140">
        <f ca="1">IFERROR(__xludf.DUMMYFUNCTION("""COMPUTED_VALUE"""),43621.341686875)</f>
        <v>43621.341686874999</v>
      </c>
      <c r="B111" s="141" t="str">
        <f ca="1">IFERROR(__xludf.DUMMYFUNCTION("""COMPUTED_VALUE"""),"Carolina Bustamante")</f>
        <v>Carolina Bustamante</v>
      </c>
      <c r="C111" s="141" t="str">
        <f ca="1">IFERROR(__xludf.DUMMYFUNCTION("""COMPUTED_VALUE"""),"carolina.bustamante@gmail.com")</f>
        <v>carolina.bustamante@gmail.com</v>
      </c>
      <c r="D111" s="49" t="str">
        <f ca="1">IFERROR(__xludf.DUMMYFUNCTION("""COMPUTED_VALUE"""),"Contacted")</f>
        <v>Contacted</v>
      </c>
      <c r="E111" s="88">
        <f ca="1">IFERROR(__xludf.DUMMYFUNCTION("""COMPUTED_VALUE"""),43627)</f>
        <v>43627</v>
      </c>
      <c r="F111" s="49" t="str">
        <f ca="1">IFERROR(__xludf.DUMMYFUNCTION("""COMPUTED_VALUE"""),"Yes")</f>
        <v>Yes</v>
      </c>
      <c r="G111" s="49" t="str">
        <f ca="1">IFERROR(__xludf.DUMMYFUNCTION("""COMPUTED_VALUE"""),"Variant Pathogenicity")</f>
        <v>Variant Pathogenicity</v>
      </c>
      <c r="H111" s="49" t="str">
        <f ca="1">IFERROR(__xludf.DUMMYFUNCTION("""COMPUTED_VALUE"""),"")</f>
        <v/>
      </c>
      <c r="I111" s="142">
        <f t="shared" ca="1" si="0"/>
        <v>43719</v>
      </c>
      <c r="J111" s="49" t="str">
        <f ca="1">IFERROR(__xludf.DUMMYFUNCTION("""COMPUTED_VALUE"""),"")</f>
        <v/>
      </c>
      <c r="K111" s="139">
        <f t="shared" ca="1" si="1"/>
        <v>43810</v>
      </c>
      <c r="L111" s="49" t="str">
        <f ca="1">IFERROR(__xludf.DUMMYFUNCTION("""COMPUTED_VALUE"""),"")</f>
        <v/>
      </c>
      <c r="M111" s="49"/>
      <c r="N111" s="49"/>
      <c r="O111" s="49"/>
      <c r="P111" s="49"/>
      <c r="Q111" s="49"/>
      <c r="R111" s="49"/>
      <c r="S111" s="49"/>
      <c r="T111" s="49"/>
      <c r="U111" s="49"/>
      <c r="V111" s="49"/>
      <c r="W111" s="49"/>
      <c r="X111" s="49"/>
      <c r="Y111" s="49"/>
      <c r="Z111" s="49"/>
      <c r="AA111" s="49"/>
      <c r="AB111" s="49"/>
      <c r="AC111" s="49"/>
      <c r="AD111" s="49"/>
    </row>
    <row r="112" spans="1:30" ht="14">
      <c r="A112" s="140">
        <f ca="1">IFERROR(__xludf.DUMMYFUNCTION("""COMPUTED_VALUE"""),43622.554816875)</f>
        <v>43622.554816875003</v>
      </c>
      <c r="B112" s="141" t="str">
        <f ca="1">IFERROR(__xludf.DUMMYFUNCTION("""COMPUTED_VALUE"""),"Jean Davidson")</f>
        <v>Jean Davidson</v>
      </c>
      <c r="C112" s="141" t="str">
        <f ca="1">IFERROR(__xludf.DUMMYFUNCTION("""COMPUTED_VALUE"""),"jdavid06@calpoly.edu")</f>
        <v>jdavid06@calpoly.edu</v>
      </c>
      <c r="D112" s="49" t="str">
        <f ca="1">IFERROR(__xludf.DUMMYFUNCTION("""COMPUTED_VALUE"""),"Contacted")</f>
        <v>Contacted</v>
      </c>
      <c r="E112" s="87">
        <f ca="1">IFERROR(__xludf.DUMMYFUNCTION("""COMPUTED_VALUE"""),43692)</f>
        <v>43692</v>
      </c>
      <c r="F112" s="49" t="str">
        <f ca="1">IFERROR(__xludf.DUMMYFUNCTION("""COMPUTED_VALUE"""),"Yes")</f>
        <v>Yes</v>
      </c>
      <c r="G112" s="49" t="str">
        <f ca="1">IFERROR(__xludf.DUMMYFUNCTION("""COMPUTED_VALUE"""),"Gene Disease Validity")</f>
        <v>Gene Disease Validity</v>
      </c>
      <c r="H112" s="49" t="str">
        <f ca="1">IFERROR(__xludf.DUMMYFUNCTION("""COMPUTED_VALUE"""),"")</f>
        <v/>
      </c>
      <c r="I112" s="142">
        <f t="shared" ca="1" si="0"/>
        <v>43784</v>
      </c>
      <c r="J112" s="49" t="str">
        <f ca="1">IFERROR(__xludf.DUMMYFUNCTION("""COMPUTED_VALUE"""),"")</f>
        <v/>
      </c>
      <c r="K112" s="139">
        <f t="shared" ca="1" si="1"/>
        <v>43876</v>
      </c>
      <c r="L112" s="49" t="str">
        <f ca="1">IFERROR(__xludf.DUMMYFUNCTION("""COMPUTED_VALUE"""),"")</f>
        <v/>
      </c>
      <c r="M112" s="49"/>
      <c r="N112" s="49"/>
      <c r="O112" s="49"/>
      <c r="P112" s="49"/>
      <c r="Q112" s="49"/>
      <c r="R112" s="49"/>
      <c r="S112" s="49"/>
      <c r="T112" s="49"/>
      <c r="U112" s="49"/>
      <c r="V112" s="49"/>
      <c r="W112" s="49"/>
      <c r="X112" s="49"/>
      <c r="Y112" s="49"/>
      <c r="Z112" s="49"/>
      <c r="AA112" s="49"/>
      <c r="AB112" s="49"/>
      <c r="AC112" s="49"/>
      <c r="AD112" s="49"/>
    </row>
    <row r="113" spans="1:30" ht="14">
      <c r="A113" s="140">
        <f ca="1">IFERROR(__xludf.DUMMYFUNCTION("""COMPUTED_VALUE"""),43625.7297409722)</f>
        <v>43625.729740972201</v>
      </c>
      <c r="B113" s="141" t="str">
        <f ca="1">IFERROR(__xludf.DUMMYFUNCTION("""COMPUTED_VALUE"""),"Greg Lennon")</f>
        <v>Greg Lennon</v>
      </c>
      <c r="C113" s="141" t="str">
        <f ca="1">IFERROR(__xludf.DUMMYFUNCTION("""COMPUTED_VALUE"""),"greg.lennon@gmail.com")</f>
        <v>greg.lennon@gmail.com</v>
      </c>
      <c r="D113" s="49" t="str">
        <f ca="1">IFERROR(__xludf.DUMMYFUNCTION("""COMPUTED_VALUE"""),"Contacted")</f>
        <v>Contacted</v>
      </c>
      <c r="E113" s="87">
        <f ca="1">IFERROR(__xludf.DUMMYFUNCTION("""COMPUTED_VALUE"""),43768)</f>
        <v>43768</v>
      </c>
      <c r="F113" s="49" t="str">
        <f ca="1">IFERROR(__xludf.DUMMYFUNCTION("""COMPUTED_VALUE"""),"Yes")</f>
        <v>Yes</v>
      </c>
      <c r="G113" s="49" t="str">
        <f ca="1">IFERROR(__xludf.DUMMYFUNCTION("""COMPUTED_VALUE"""),"Actionability")</f>
        <v>Actionability</v>
      </c>
      <c r="H113" s="49" t="str">
        <f ca="1">IFERROR(__xludf.DUMMYFUNCTION("""COMPUTED_VALUE"""),"Actionability")</f>
        <v>Actionability</v>
      </c>
      <c r="I113" s="142">
        <f t="shared" ca="1" si="0"/>
        <v>43860</v>
      </c>
      <c r="J113" s="49" t="str">
        <f ca="1">IFERROR(__xludf.DUMMYFUNCTION("""COMPUTED_VALUE"""),"")</f>
        <v/>
      </c>
      <c r="K113" s="139">
        <f t="shared" ca="1" si="1"/>
        <v>43951</v>
      </c>
      <c r="L113" s="49" t="str">
        <f ca="1">IFERROR(__xludf.DUMMYFUNCTION("""COMPUTED_VALUE"""),"")</f>
        <v/>
      </c>
      <c r="M113" s="49"/>
      <c r="N113" s="49"/>
      <c r="O113" s="49"/>
      <c r="P113" s="49"/>
      <c r="Q113" s="49"/>
      <c r="R113" s="49"/>
      <c r="S113" s="49"/>
      <c r="T113" s="49"/>
      <c r="U113" s="49"/>
      <c r="V113" s="49"/>
      <c r="W113" s="49"/>
      <c r="X113" s="49"/>
      <c r="Y113" s="49"/>
      <c r="Z113" s="49"/>
      <c r="AA113" s="49"/>
      <c r="AB113" s="49"/>
      <c r="AC113" s="49"/>
      <c r="AD113" s="49"/>
    </row>
    <row r="114" spans="1:30" ht="14">
      <c r="A114" s="140">
        <f ca="1">IFERROR(__xludf.DUMMYFUNCTION("""COMPUTED_VALUE"""),43626.4672780092)</f>
        <v>43626.467278009201</v>
      </c>
      <c r="B114" s="141" t="str">
        <f ca="1">IFERROR(__xludf.DUMMYFUNCTION("""COMPUTED_VALUE"""),"Pamela")</f>
        <v>Pamela</v>
      </c>
      <c r="C114" s="141" t="str">
        <f ca="1">IFERROR(__xludf.DUMMYFUNCTION("""COMPUTED_VALUE"""),"pchristopherson@versiti.org")</f>
        <v>pchristopherson@versiti.org</v>
      </c>
      <c r="D114" s="49" t="str">
        <f ca="1">IFERROR(__xludf.DUMMYFUNCTION("""COMPUTED_VALUE"""),"Contacted")</f>
        <v>Contacted</v>
      </c>
      <c r="E114" s="88">
        <f ca="1">IFERROR(__xludf.DUMMYFUNCTION("""COMPUTED_VALUE"""),43626)</f>
        <v>43626</v>
      </c>
      <c r="F114" s="49" t="str">
        <f ca="1">IFERROR(__xludf.DUMMYFUNCTION("""COMPUTED_VALUE"""),"Yes")</f>
        <v>Yes</v>
      </c>
      <c r="G114" s="49" t="str">
        <f ca="1">IFERROR(__xludf.DUMMYFUNCTION("""COMPUTED_VALUE"""),"NA")</f>
        <v>NA</v>
      </c>
      <c r="H114" s="49" t="str">
        <f ca="1">IFERROR(__xludf.DUMMYFUNCTION("""COMPUTED_VALUE"""),"")</f>
        <v/>
      </c>
      <c r="I114" s="142">
        <f t="shared" ca="1" si="0"/>
        <v>43718</v>
      </c>
      <c r="J114" s="49" t="str">
        <f ca="1">IFERROR(__xludf.DUMMYFUNCTION("""COMPUTED_VALUE"""),"")</f>
        <v/>
      </c>
      <c r="K114" s="139">
        <f t="shared" ca="1" si="1"/>
        <v>43809</v>
      </c>
      <c r="L114" s="49" t="str">
        <f ca="1">IFERROR(__xludf.DUMMYFUNCTION("""COMPUTED_VALUE"""),"")</f>
        <v/>
      </c>
      <c r="M114" s="49"/>
      <c r="N114" s="49"/>
      <c r="O114" s="49"/>
      <c r="P114" s="49"/>
      <c r="Q114" s="49"/>
      <c r="R114" s="49"/>
      <c r="S114" s="49"/>
      <c r="T114" s="49"/>
      <c r="U114" s="49"/>
      <c r="V114" s="49"/>
      <c r="W114" s="49"/>
      <c r="X114" s="49"/>
      <c r="Y114" s="49"/>
      <c r="Z114" s="49"/>
      <c r="AA114" s="49"/>
      <c r="AB114" s="49"/>
      <c r="AC114" s="49"/>
      <c r="AD114" s="49"/>
    </row>
    <row r="115" spans="1:30" ht="14">
      <c r="A115" s="140">
        <f ca="1">IFERROR(__xludf.DUMMYFUNCTION("""COMPUTED_VALUE"""),43627.3007942245)</f>
        <v>43627.300794224502</v>
      </c>
      <c r="B115" s="141" t="str">
        <f ca="1">IFERROR(__xludf.DUMMYFUNCTION("""COMPUTED_VALUE"""),"Generoso")</f>
        <v>Generoso</v>
      </c>
      <c r="C115" s="141" t="str">
        <f ca="1">IFERROR(__xludf.DUMMYFUNCTION("""COMPUTED_VALUE"""),"generoso@dantelabs.com")</f>
        <v>generoso@dantelabs.com</v>
      </c>
      <c r="D115" s="49" t="str">
        <f ca="1">IFERROR(__xludf.DUMMYFUNCTION("""COMPUTED_VALUE"""),"Contacted")</f>
        <v>Contacted</v>
      </c>
      <c r="E115" s="49" t="str">
        <f ca="1">IFERROR(__xludf.DUMMYFUNCTION("""COMPUTED_VALUE"""),"")</f>
        <v/>
      </c>
      <c r="F115" s="49" t="str">
        <f ca="1">IFERROR(__xludf.DUMMYFUNCTION("""COMPUTED_VALUE"""),"No")</f>
        <v>No</v>
      </c>
      <c r="G115" s="49" t="str">
        <f ca="1">IFERROR(__xludf.DUMMYFUNCTION("""COMPUTED_VALUE"""),"Actionability")</f>
        <v>Actionability</v>
      </c>
      <c r="H115" s="49" t="str">
        <f ca="1">IFERROR(__xludf.DUMMYFUNCTION("""COMPUTED_VALUE"""),"")</f>
        <v/>
      </c>
      <c r="I115" s="142" t="e">
        <f t="shared" ca="1" si="0"/>
        <v>#VALUE!</v>
      </c>
      <c r="J115" s="49" t="str">
        <f ca="1">IFERROR(__xludf.DUMMYFUNCTION("""COMPUTED_VALUE"""),"")</f>
        <v/>
      </c>
      <c r="K115" s="139" t="e">
        <f t="shared" ca="1" si="1"/>
        <v>#VALUE!</v>
      </c>
      <c r="L115" s="49" t="str">
        <f ca="1">IFERROR(__xludf.DUMMYFUNCTION("""COMPUTED_VALUE"""),"")</f>
        <v/>
      </c>
      <c r="M115" s="49"/>
      <c r="N115" s="49"/>
      <c r="O115" s="49"/>
      <c r="P115" s="49"/>
      <c r="Q115" s="49"/>
      <c r="R115" s="49"/>
      <c r="S115" s="49"/>
      <c r="T115" s="49"/>
      <c r="U115" s="49"/>
      <c r="V115" s="49"/>
      <c r="W115" s="49"/>
      <c r="X115" s="49"/>
      <c r="Y115" s="49"/>
      <c r="Z115" s="49"/>
      <c r="AA115" s="49"/>
      <c r="AB115" s="49"/>
      <c r="AC115" s="49"/>
      <c r="AD115" s="49"/>
    </row>
    <row r="116" spans="1:30" ht="14">
      <c r="A116" s="140">
        <f ca="1">IFERROR(__xludf.DUMMYFUNCTION("""COMPUTED_VALUE"""),43633.6785376967)</f>
        <v>43633.678537696702</v>
      </c>
      <c r="B116" s="141" t="str">
        <f ca="1">IFERROR(__xludf.DUMMYFUNCTION("""COMPUTED_VALUE"""),"Abul Kalam Azad")</f>
        <v>Abul Kalam Azad</v>
      </c>
      <c r="C116" s="141" t="str">
        <f ca="1">IFERROR(__xludf.DUMMYFUNCTION("""COMPUTED_VALUE"""),"azadak@gmail.com")</f>
        <v>azadak@gmail.com</v>
      </c>
      <c r="D116" s="49" t="str">
        <f ca="1">IFERROR(__xludf.DUMMYFUNCTION("""COMPUTED_VALUE"""),"Contacted")</f>
        <v>Contacted</v>
      </c>
      <c r="E116" s="87">
        <f ca="1">IFERROR(__xludf.DUMMYFUNCTION("""COMPUTED_VALUE"""),43769)</f>
        <v>43769</v>
      </c>
      <c r="F116" s="49" t="str">
        <f ca="1">IFERROR(__xludf.DUMMYFUNCTION("""COMPUTED_VALUE"""),"Yes")</f>
        <v>Yes</v>
      </c>
      <c r="G116" s="49" t="str">
        <f ca="1">IFERROR(__xludf.DUMMYFUNCTION("""COMPUTED_VALUE"""),"Actionability")</f>
        <v>Actionability</v>
      </c>
      <c r="H116" s="49" t="str">
        <f ca="1">IFERROR(__xludf.DUMMYFUNCTION("""COMPUTED_VALUE"""),"Actionability")</f>
        <v>Actionability</v>
      </c>
      <c r="I116" s="142">
        <f t="shared" ca="1" si="0"/>
        <v>43861</v>
      </c>
      <c r="J116" s="49" t="str">
        <f ca="1">IFERROR(__xludf.DUMMYFUNCTION("""COMPUTED_VALUE"""),"")</f>
        <v/>
      </c>
      <c r="K116" s="139">
        <f t="shared" ca="1" si="1"/>
        <v>43951</v>
      </c>
      <c r="L116" s="49" t="str">
        <f ca="1">IFERROR(__xludf.DUMMYFUNCTION("""COMPUTED_VALUE"""),"")</f>
        <v/>
      </c>
      <c r="M116" s="49"/>
      <c r="N116" s="49"/>
      <c r="O116" s="49"/>
      <c r="P116" s="49"/>
      <c r="Q116" s="49"/>
      <c r="R116" s="49"/>
      <c r="S116" s="49"/>
      <c r="T116" s="49"/>
      <c r="U116" s="49"/>
      <c r="V116" s="49"/>
      <c r="W116" s="49"/>
      <c r="X116" s="49"/>
      <c r="Y116" s="49"/>
      <c r="Z116" s="49"/>
      <c r="AA116" s="49"/>
      <c r="AB116" s="49"/>
      <c r="AC116" s="49"/>
      <c r="AD116" s="49"/>
    </row>
    <row r="117" spans="1:30" ht="14">
      <c r="A117" s="140">
        <f ca="1">IFERROR(__xludf.DUMMYFUNCTION("""COMPUTED_VALUE"""),43643.4948958217)</f>
        <v>43643.494895821699</v>
      </c>
      <c r="B117" s="141" t="str">
        <f ca="1">IFERROR(__xludf.DUMMYFUNCTION("""COMPUTED_VALUE"""),"Marc Lataillade")</f>
        <v>Marc Lataillade</v>
      </c>
      <c r="C117" s="141" t="str">
        <f ca="1">IFERROR(__xludf.DUMMYFUNCTION("""COMPUTED_VALUE"""),"marclataillade258@gmail.com")</f>
        <v>marclataillade258@gmail.com</v>
      </c>
      <c r="D117" s="49" t="str">
        <f ca="1">IFERROR(__xludf.DUMMYFUNCTION("""COMPUTED_VALUE"""),"Contacted")</f>
        <v>Contacted</v>
      </c>
      <c r="E117" s="87">
        <f ca="1">IFERROR(__xludf.DUMMYFUNCTION("""COMPUTED_VALUE"""),43692)</f>
        <v>43692</v>
      </c>
      <c r="F117" s="49" t="str">
        <f ca="1">IFERROR(__xludf.DUMMYFUNCTION("""COMPUTED_VALUE"""),"Yes")</f>
        <v>Yes</v>
      </c>
      <c r="G117" s="49" t="str">
        <f ca="1">IFERROR(__xludf.DUMMYFUNCTION("""COMPUTED_VALUE"""),"Gene Disease Validity")</f>
        <v>Gene Disease Validity</v>
      </c>
      <c r="H117" s="49" t="str">
        <f ca="1">IFERROR(__xludf.DUMMYFUNCTION("""COMPUTED_VALUE"""),"")</f>
        <v/>
      </c>
      <c r="I117" s="142">
        <f t="shared" ca="1" si="0"/>
        <v>43784</v>
      </c>
      <c r="J117" s="49" t="str">
        <f ca="1">IFERROR(__xludf.DUMMYFUNCTION("""COMPUTED_VALUE"""),"")</f>
        <v/>
      </c>
      <c r="K117" s="139">
        <f t="shared" ca="1" si="1"/>
        <v>43876</v>
      </c>
      <c r="L117" s="49" t="str">
        <f ca="1">IFERROR(__xludf.DUMMYFUNCTION("""COMPUTED_VALUE"""),"")</f>
        <v/>
      </c>
      <c r="M117" s="49"/>
      <c r="N117" s="49"/>
      <c r="O117" s="49"/>
      <c r="P117" s="49"/>
      <c r="Q117" s="49"/>
      <c r="R117" s="49"/>
      <c r="S117" s="49"/>
      <c r="T117" s="49"/>
      <c r="U117" s="49"/>
      <c r="V117" s="49"/>
      <c r="W117" s="49"/>
      <c r="X117" s="49"/>
      <c r="Y117" s="49"/>
      <c r="Z117" s="49"/>
      <c r="AA117" s="49"/>
      <c r="AB117" s="49"/>
      <c r="AC117" s="49"/>
      <c r="AD117" s="49"/>
    </row>
    <row r="118" spans="1:30" ht="14">
      <c r="A118" s="140">
        <f ca="1">IFERROR(__xludf.DUMMYFUNCTION("""COMPUTED_VALUE"""),43648.6446030902)</f>
        <v>43648.644603090201</v>
      </c>
      <c r="B118" s="141" t="str">
        <f ca="1">IFERROR(__xludf.DUMMYFUNCTION("""COMPUTED_VALUE"""),"Lori Millner")</f>
        <v>Lori Millner</v>
      </c>
      <c r="C118" s="141" t="str">
        <f ca="1">IFERROR(__xludf.DUMMYFUNCTION("""COMPUTED_VALUE"""),"lorimillner77@gmail.com")</f>
        <v>lorimillner77@gmail.com</v>
      </c>
      <c r="D118" s="49" t="str">
        <f ca="1">IFERROR(__xludf.DUMMYFUNCTION("""COMPUTED_VALUE"""),"Assigned")</f>
        <v>Assigned</v>
      </c>
      <c r="E118" s="87">
        <f ca="1">IFERROR(__xludf.DUMMYFUNCTION("""COMPUTED_VALUE"""),43719)</f>
        <v>43719</v>
      </c>
      <c r="F118" s="49" t="str">
        <f ca="1">IFERROR(__xludf.DUMMYFUNCTION("""COMPUTED_VALUE"""),"No")</f>
        <v>No</v>
      </c>
      <c r="G118" s="49" t="str">
        <f ca="1">IFERROR(__xludf.DUMMYFUNCTION("""COMPUTED_VALUE"""),"Somatic Cancer")</f>
        <v>Somatic Cancer</v>
      </c>
      <c r="H118" s="49" t="str">
        <f ca="1">IFERROR(__xludf.DUMMYFUNCTION("""COMPUTED_VALUE"""),"hematological cancer taskforce")</f>
        <v>hematological cancer taskforce</v>
      </c>
      <c r="I118" s="142">
        <f t="shared" ca="1" si="0"/>
        <v>43810</v>
      </c>
      <c r="J118" s="49" t="str">
        <f ca="1">IFERROR(__xludf.DUMMYFUNCTION("""COMPUTED_VALUE"""),"")</f>
        <v/>
      </c>
      <c r="K118" s="139">
        <f t="shared" ca="1" si="1"/>
        <v>43901</v>
      </c>
      <c r="L118" s="49" t="str">
        <f ca="1">IFERROR(__xludf.DUMMYFUNCTION("""COMPUTED_VALUE"""),"")</f>
        <v/>
      </c>
      <c r="M118" s="49"/>
      <c r="N118" s="49"/>
      <c r="O118" s="49"/>
      <c r="P118" s="49"/>
      <c r="Q118" s="49"/>
      <c r="R118" s="49"/>
      <c r="S118" s="49"/>
      <c r="T118" s="49"/>
      <c r="U118" s="49"/>
      <c r="V118" s="49"/>
      <c r="W118" s="49"/>
      <c r="X118" s="49"/>
      <c r="Y118" s="49"/>
      <c r="Z118" s="49"/>
      <c r="AA118" s="49"/>
      <c r="AB118" s="49"/>
      <c r="AC118" s="49"/>
      <c r="AD118" s="49"/>
    </row>
    <row r="119" spans="1:30" ht="14">
      <c r="A119" s="140">
        <f ca="1">IFERROR(__xludf.DUMMYFUNCTION("""COMPUTED_VALUE"""),43661.5508873032)</f>
        <v>43661.550887303201</v>
      </c>
      <c r="B119" s="141" t="str">
        <f ca="1">IFERROR(__xludf.DUMMYFUNCTION("""COMPUTED_VALUE"""),"Mayher Patel")</f>
        <v>Mayher Patel</v>
      </c>
      <c r="C119" s="141" t="str">
        <f ca="1">IFERROR(__xludf.DUMMYFUNCTION("""COMPUTED_VALUE"""),"mayher@broadinstitute.org")</f>
        <v>mayher@broadinstitute.org</v>
      </c>
      <c r="D119" s="49" t="str">
        <f ca="1">IFERROR(__xludf.DUMMYFUNCTION("""COMPUTED_VALUE"""),"Contacted")</f>
        <v>Contacted</v>
      </c>
      <c r="E119" s="87">
        <f ca="1">IFERROR(__xludf.DUMMYFUNCTION("""COMPUTED_VALUE"""),43692)</f>
        <v>43692</v>
      </c>
      <c r="F119" s="49" t="str">
        <f ca="1">IFERROR(__xludf.DUMMYFUNCTION("""COMPUTED_VALUE"""),"Yes")</f>
        <v>Yes</v>
      </c>
      <c r="G119" s="49" t="str">
        <f ca="1">IFERROR(__xludf.DUMMYFUNCTION("""COMPUTED_VALUE"""),"Gene Disease Validity")</f>
        <v>Gene Disease Validity</v>
      </c>
      <c r="H119" s="49" t="str">
        <f ca="1">IFERROR(__xludf.DUMMYFUNCTION("""COMPUTED_VALUE"""),"")</f>
        <v/>
      </c>
      <c r="I119" s="142">
        <f t="shared" ca="1" si="0"/>
        <v>43784</v>
      </c>
      <c r="J119" s="49" t="str">
        <f ca="1">IFERROR(__xludf.DUMMYFUNCTION("""COMPUTED_VALUE"""),"")</f>
        <v/>
      </c>
      <c r="K119" s="139">
        <f t="shared" ca="1" si="1"/>
        <v>43876</v>
      </c>
      <c r="L119" s="49" t="str">
        <f ca="1">IFERROR(__xludf.DUMMYFUNCTION("""COMPUTED_VALUE"""),"")</f>
        <v/>
      </c>
      <c r="M119" s="49"/>
      <c r="N119" s="49"/>
      <c r="O119" s="49"/>
      <c r="P119" s="49"/>
      <c r="Q119" s="49"/>
      <c r="R119" s="49"/>
      <c r="S119" s="49"/>
      <c r="T119" s="49"/>
      <c r="U119" s="49"/>
      <c r="V119" s="49"/>
      <c r="W119" s="49"/>
      <c r="X119" s="49"/>
      <c r="Y119" s="49"/>
      <c r="Z119" s="49"/>
      <c r="AA119" s="49"/>
      <c r="AB119" s="49"/>
      <c r="AC119" s="49"/>
      <c r="AD119" s="49"/>
    </row>
    <row r="120" spans="1:30" ht="14">
      <c r="A120" s="140">
        <f ca="1">IFERROR(__xludf.DUMMYFUNCTION("""COMPUTED_VALUE"""),43663.5681919791)</f>
        <v>43663.568191979102</v>
      </c>
      <c r="B120" s="141" t="str">
        <f ca="1">IFERROR(__xludf.DUMMYFUNCTION("""COMPUTED_VALUE"""),"Hwaida Hannoush")</f>
        <v>Hwaida Hannoush</v>
      </c>
      <c r="C120" s="141" t="str">
        <f ca="1">IFERROR(__xludf.DUMMYFUNCTION("""COMPUTED_VALUE"""),"hhannoush@acmg.net")</f>
        <v>hhannoush@acmg.net</v>
      </c>
      <c r="D120" s="49" t="str">
        <f ca="1">IFERROR(__xludf.DUMMYFUNCTION("""COMPUTED_VALUE"""),"Contacted")</f>
        <v>Contacted</v>
      </c>
      <c r="E120" s="87">
        <f ca="1">IFERROR(__xludf.DUMMYFUNCTION("""COMPUTED_VALUE"""),43692)</f>
        <v>43692</v>
      </c>
      <c r="F120" s="49" t="str">
        <f ca="1">IFERROR(__xludf.DUMMYFUNCTION("""COMPUTED_VALUE"""),"Yes")</f>
        <v>Yes</v>
      </c>
      <c r="G120" s="49" t="str">
        <f ca="1">IFERROR(__xludf.DUMMYFUNCTION("""COMPUTED_VALUE"""),"Gene Disease Validity")</f>
        <v>Gene Disease Validity</v>
      </c>
      <c r="H120" s="49" t="str">
        <f ca="1">IFERROR(__xludf.DUMMYFUNCTION("""COMPUTED_VALUE"""),"")</f>
        <v/>
      </c>
      <c r="I120" s="142">
        <f t="shared" ca="1" si="0"/>
        <v>43784</v>
      </c>
      <c r="J120" s="49" t="str">
        <f ca="1">IFERROR(__xludf.DUMMYFUNCTION("""COMPUTED_VALUE"""),"")</f>
        <v/>
      </c>
      <c r="K120" s="139">
        <f t="shared" ca="1" si="1"/>
        <v>43876</v>
      </c>
      <c r="L120" s="49" t="str">
        <f ca="1">IFERROR(__xludf.DUMMYFUNCTION("""COMPUTED_VALUE"""),"")</f>
        <v/>
      </c>
      <c r="M120" s="49"/>
      <c r="N120" s="49"/>
      <c r="O120" s="49"/>
      <c r="P120" s="49"/>
      <c r="Q120" s="49"/>
      <c r="R120" s="49"/>
      <c r="S120" s="49"/>
      <c r="T120" s="49"/>
      <c r="U120" s="49"/>
      <c r="V120" s="49"/>
      <c r="W120" s="49"/>
      <c r="X120" s="49"/>
      <c r="Y120" s="49"/>
      <c r="Z120" s="49"/>
      <c r="AA120" s="49"/>
      <c r="AB120" s="49"/>
      <c r="AC120" s="49"/>
      <c r="AD120" s="49"/>
    </row>
    <row r="121" spans="1:30" ht="14">
      <c r="A121" s="140">
        <f ca="1">IFERROR(__xludf.DUMMYFUNCTION("""COMPUTED_VALUE"""),43674.4216592476)</f>
        <v>43674.4216592476</v>
      </c>
      <c r="B121" s="141" t="str">
        <f ca="1">IFERROR(__xludf.DUMMYFUNCTION("""COMPUTED_VALUE"""),"Xiaolin Hu")</f>
        <v>Xiaolin Hu</v>
      </c>
      <c r="C121" s="141" t="str">
        <f ca="1">IFERROR(__xludf.DUMMYFUNCTION("""COMPUTED_VALUE"""),"xiaolin.hu@cchmc.org")</f>
        <v>xiaolin.hu@cchmc.org</v>
      </c>
      <c r="D121" s="49" t="str">
        <f ca="1">IFERROR(__xludf.DUMMYFUNCTION("""COMPUTED_VALUE"""),"Contacted")</f>
        <v>Contacted</v>
      </c>
      <c r="E121" s="87">
        <f ca="1">IFERROR(__xludf.DUMMYFUNCTION("""COMPUTED_VALUE"""),43769)</f>
        <v>43769</v>
      </c>
      <c r="F121" s="49" t="str">
        <f ca="1">IFERROR(__xludf.DUMMYFUNCTION("""COMPUTED_VALUE"""),"Yes")</f>
        <v>Yes</v>
      </c>
      <c r="G121" s="49" t="str">
        <f ca="1">IFERROR(__xludf.DUMMYFUNCTION("""COMPUTED_VALUE"""),"Actionability")</f>
        <v>Actionability</v>
      </c>
      <c r="H121" s="49" t="str">
        <f ca="1">IFERROR(__xludf.DUMMYFUNCTION("""COMPUTED_VALUE"""),"Actionability")</f>
        <v>Actionability</v>
      </c>
      <c r="I121" s="142">
        <f t="shared" ca="1" si="0"/>
        <v>43861</v>
      </c>
      <c r="J121" s="49" t="str">
        <f ca="1">IFERROR(__xludf.DUMMYFUNCTION("""COMPUTED_VALUE"""),"")</f>
        <v/>
      </c>
      <c r="K121" s="139">
        <f t="shared" ca="1" si="1"/>
        <v>43951</v>
      </c>
      <c r="L121" s="49" t="str">
        <f ca="1">IFERROR(__xludf.DUMMYFUNCTION("""COMPUTED_VALUE"""),"")</f>
        <v/>
      </c>
      <c r="M121" s="49"/>
      <c r="N121" s="49"/>
      <c r="O121" s="49"/>
      <c r="P121" s="49"/>
      <c r="Q121" s="49"/>
      <c r="R121" s="49"/>
      <c r="S121" s="49"/>
      <c r="T121" s="49"/>
      <c r="U121" s="49"/>
      <c r="V121" s="49"/>
      <c r="W121" s="49"/>
      <c r="X121" s="49"/>
      <c r="Y121" s="49"/>
      <c r="Z121" s="49"/>
      <c r="AA121" s="49"/>
      <c r="AB121" s="49"/>
      <c r="AC121" s="49"/>
      <c r="AD121" s="49"/>
    </row>
    <row r="122" spans="1:30" ht="14">
      <c r="A122" s="140">
        <f ca="1">IFERROR(__xludf.DUMMYFUNCTION("""COMPUTED_VALUE"""),43675.6438709027)</f>
        <v>43675.643870902699</v>
      </c>
      <c r="B122" s="141" t="str">
        <f ca="1">IFERROR(__xludf.DUMMYFUNCTION("""COMPUTED_VALUE"""),"Panieh Terraf")</f>
        <v>Panieh Terraf</v>
      </c>
      <c r="C122" s="141" t="str">
        <f ca="1">IFERROR(__xludf.DUMMYFUNCTION("""COMPUTED_VALUE"""),"pterraf@bwh.harvard.edu")</f>
        <v>pterraf@bwh.harvard.edu</v>
      </c>
      <c r="D122" s="49" t="str">
        <f ca="1">IFERROR(__xludf.DUMMYFUNCTION("""COMPUTED_VALUE"""),"Assigned")</f>
        <v>Assigned</v>
      </c>
      <c r="E122" s="87">
        <f ca="1">IFERROR(__xludf.DUMMYFUNCTION("""COMPUTED_VALUE"""),43719)</f>
        <v>43719</v>
      </c>
      <c r="F122" s="49" t="str">
        <f ca="1">IFERROR(__xludf.DUMMYFUNCTION("""COMPUTED_VALUE"""),"No")</f>
        <v>No</v>
      </c>
      <c r="G122" s="49" t="str">
        <f ca="1">IFERROR(__xludf.DUMMYFUNCTION("""COMPUTED_VALUE"""),"Somatic Cancer")</f>
        <v>Somatic Cancer</v>
      </c>
      <c r="H122" s="49" t="str">
        <f ca="1">IFERROR(__xludf.DUMMYFUNCTION("""COMPUTED_VALUE"""),"Pediatric cancer and Hematological cancer taskforce")</f>
        <v>Pediatric cancer and Hematological cancer taskforce</v>
      </c>
      <c r="I122" s="142">
        <f t="shared" ca="1" si="0"/>
        <v>43810</v>
      </c>
      <c r="J122" s="49" t="str">
        <f ca="1">IFERROR(__xludf.DUMMYFUNCTION("""COMPUTED_VALUE"""),"")</f>
        <v/>
      </c>
      <c r="K122" s="139">
        <f t="shared" ca="1" si="1"/>
        <v>43901</v>
      </c>
      <c r="L122" s="49" t="str">
        <f ca="1">IFERROR(__xludf.DUMMYFUNCTION("""COMPUTED_VALUE"""),"")</f>
        <v/>
      </c>
      <c r="M122" s="49"/>
      <c r="N122" s="49"/>
      <c r="O122" s="49"/>
      <c r="P122" s="49"/>
      <c r="Q122" s="49"/>
      <c r="R122" s="49"/>
      <c r="S122" s="49"/>
      <c r="T122" s="49"/>
      <c r="U122" s="49"/>
      <c r="V122" s="49"/>
      <c r="W122" s="49"/>
      <c r="X122" s="49"/>
      <c r="Y122" s="49"/>
      <c r="Z122" s="49"/>
      <c r="AA122" s="49"/>
      <c r="AB122" s="49"/>
      <c r="AC122" s="49"/>
      <c r="AD122" s="49"/>
    </row>
    <row r="123" spans="1:30" ht="14">
      <c r="A123" s="140">
        <f ca="1">IFERROR(__xludf.DUMMYFUNCTION("""COMPUTED_VALUE"""),43678.4120406134)</f>
        <v>43678.412040613402</v>
      </c>
      <c r="B123" s="141" t="str">
        <f ca="1">IFERROR(__xludf.DUMMYFUNCTION("""COMPUTED_VALUE"""),"Eric Kil")</f>
        <v>Eric Kil</v>
      </c>
      <c r="C123" s="141" t="str">
        <f ca="1">IFERROR(__xludf.DUMMYFUNCTION("""COMPUTED_VALUE"""),"ekil18@students.kgi.edu")</f>
        <v>ekil18@students.kgi.edu</v>
      </c>
      <c r="D123" s="49" t="str">
        <f ca="1">IFERROR(__xludf.DUMMYFUNCTION("""COMPUTED_VALUE"""),"Contacted")</f>
        <v>Contacted</v>
      </c>
      <c r="E123" s="87">
        <f ca="1">IFERROR(__xludf.DUMMYFUNCTION("""COMPUTED_VALUE"""),43719)</f>
        <v>43719</v>
      </c>
      <c r="F123" s="49" t="str">
        <f ca="1">IFERROR(__xludf.DUMMYFUNCTION("""COMPUTED_VALUE"""),"No")</f>
        <v>No</v>
      </c>
      <c r="G123" s="49" t="str">
        <f ca="1">IFERROR(__xludf.DUMMYFUNCTION("""COMPUTED_VALUE"""),"Somatic Cancer")</f>
        <v>Somatic Cancer</v>
      </c>
      <c r="H123" s="49" t="str">
        <f ca="1">IFERROR(__xludf.DUMMYFUNCTION("""COMPUTED_VALUE"""),"")</f>
        <v/>
      </c>
      <c r="I123" s="142">
        <f t="shared" ca="1" si="0"/>
        <v>43810</v>
      </c>
      <c r="J123" s="49" t="str">
        <f ca="1">IFERROR(__xludf.DUMMYFUNCTION("""COMPUTED_VALUE"""),"")</f>
        <v/>
      </c>
      <c r="K123" s="139">
        <f t="shared" ca="1" si="1"/>
        <v>43901</v>
      </c>
      <c r="L123" s="49" t="str">
        <f ca="1">IFERROR(__xludf.DUMMYFUNCTION("""COMPUTED_VALUE"""),"")</f>
        <v/>
      </c>
      <c r="M123" s="49"/>
      <c r="N123" s="49"/>
      <c r="O123" s="49"/>
      <c r="P123" s="49"/>
      <c r="Q123" s="49"/>
      <c r="R123" s="49"/>
      <c r="S123" s="49"/>
      <c r="T123" s="49"/>
      <c r="U123" s="49"/>
      <c r="V123" s="49"/>
      <c r="W123" s="49"/>
      <c r="X123" s="49"/>
      <c r="Y123" s="49"/>
      <c r="Z123" s="49"/>
      <c r="AA123" s="49"/>
      <c r="AB123" s="49"/>
      <c r="AC123" s="49"/>
      <c r="AD123" s="49"/>
    </row>
    <row r="124" spans="1:30" ht="13">
      <c r="A124" s="140">
        <f ca="1">IFERROR(__xludf.DUMMYFUNCTION("""COMPUTED_VALUE"""),43679.0893137847)</f>
        <v>43679.089313784702</v>
      </c>
      <c r="B124" s="141" t="str">
        <f ca="1">IFERROR(__xludf.DUMMYFUNCTION("""COMPUTED_VALUE"""),"Joseph Steward")</f>
        <v>Joseph Steward</v>
      </c>
      <c r="C124" s="141" t="str">
        <f ca="1">IFERROR(__xludf.DUMMYFUNCTION("""COMPUTED_VALUE"""),"jsteward2930@gmail.com")</f>
        <v>jsteward2930@gmail.com</v>
      </c>
      <c r="D124" s="49" t="str">
        <f ca="1">IFERROR(__xludf.DUMMYFUNCTION("""COMPUTED_VALUE"""),"Assigned")</f>
        <v>Assigned</v>
      </c>
      <c r="E124" s="87">
        <f ca="1">IFERROR(__xludf.DUMMYFUNCTION("""COMPUTED_VALUE"""),43719)</f>
        <v>43719</v>
      </c>
      <c r="F124" s="49" t="str">
        <f ca="1">IFERROR(__xludf.DUMMYFUNCTION("""COMPUTED_VALUE"""),"No")</f>
        <v>No</v>
      </c>
      <c r="G124" s="49" t="str">
        <f ca="1">IFERROR(__xludf.DUMMYFUNCTION("""COMPUTED_VALUE"""),"Somatic Cancer")</f>
        <v>Somatic Cancer</v>
      </c>
      <c r="H124" s="49" t="str">
        <f ca="1">IFERROR(__xludf.DUMMYFUNCTION("""COMPUTED_VALUE"""),"Genitourinary cancer taskforce")</f>
        <v>Genitourinary cancer taskforce</v>
      </c>
      <c r="I124" s="49"/>
      <c r="J124" s="49" t="str">
        <f ca="1">IFERROR(__xludf.DUMMYFUNCTION("""COMPUTED_VALUE"""),"")</f>
        <v/>
      </c>
      <c r="K124" s="49"/>
      <c r="L124" s="49" t="str">
        <f ca="1">IFERROR(__xludf.DUMMYFUNCTION("""COMPUTED_VALUE"""),"")</f>
        <v/>
      </c>
      <c r="M124" s="49"/>
      <c r="N124" s="49"/>
      <c r="O124" s="49"/>
      <c r="P124" s="49"/>
      <c r="Q124" s="49"/>
      <c r="R124" s="49"/>
      <c r="S124" s="49"/>
      <c r="T124" s="49"/>
      <c r="U124" s="49"/>
      <c r="V124" s="49"/>
      <c r="W124" s="49"/>
      <c r="X124" s="49"/>
      <c r="Y124" s="49"/>
      <c r="Z124" s="49"/>
      <c r="AA124" s="49"/>
      <c r="AB124" s="49"/>
      <c r="AC124" s="49"/>
      <c r="AD124" s="49"/>
    </row>
    <row r="125" spans="1:30" ht="13">
      <c r="A125" s="140">
        <f ca="1">IFERROR(__xludf.DUMMYFUNCTION("""COMPUTED_VALUE"""),43689.4068520833)</f>
        <v>43689.406852083303</v>
      </c>
      <c r="B125" s="141" t="str">
        <f ca="1">IFERROR(__xludf.DUMMYFUNCTION("""COMPUTED_VALUE"""),"SAILATHA RAVI")</f>
        <v>SAILATHA RAVI</v>
      </c>
      <c r="C125" s="141" t="str">
        <f ca="1">IFERROR(__xludf.DUMMYFUNCTION("""COMPUTED_VALUE"""),"sailatha.ravi@gmail.com")</f>
        <v>sailatha.ravi@gmail.com</v>
      </c>
      <c r="D125" s="49" t="str">
        <f ca="1">IFERROR(__xludf.DUMMYFUNCTION("""COMPUTED_VALUE"""),"Contacted")</f>
        <v>Contacted</v>
      </c>
      <c r="E125" s="87">
        <f ca="1">IFERROR(__xludf.DUMMYFUNCTION("""COMPUTED_VALUE"""),43692)</f>
        <v>43692</v>
      </c>
      <c r="F125" s="49" t="str">
        <f ca="1">IFERROR(__xludf.DUMMYFUNCTION("""COMPUTED_VALUE"""),"No")</f>
        <v>No</v>
      </c>
      <c r="G125" s="49" t="str">
        <f ca="1">IFERROR(__xludf.DUMMYFUNCTION("""COMPUTED_VALUE"""),"Gene Disease Validity")</f>
        <v>Gene Disease Validity</v>
      </c>
      <c r="H125" s="49" t="str">
        <f ca="1">IFERROR(__xludf.DUMMYFUNCTION("""COMPUTED_VALUE"""),"")</f>
        <v/>
      </c>
      <c r="I125" s="49"/>
      <c r="J125" s="49" t="str">
        <f ca="1">IFERROR(__xludf.DUMMYFUNCTION("""COMPUTED_VALUE"""),"")</f>
        <v/>
      </c>
      <c r="K125" s="49"/>
      <c r="L125" s="49" t="str">
        <f ca="1">IFERROR(__xludf.DUMMYFUNCTION("""COMPUTED_VALUE"""),"")</f>
        <v/>
      </c>
      <c r="M125" s="49"/>
      <c r="N125" s="49"/>
      <c r="O125" s="49"/>
      <c r="P125" s="49"/>
      <c r="Q125" s="49"/>
      <c r="R125" s="49"/>
      <c r="S125" s="49"/>
      <c r="T125" s="49"/>
      <c r="U125" s="49"/>
      <c r="V125" s="49"/>
      <c r="W125" s="49"/>
      <c r="X125" s="49"/>
      <c r="Y125" s="49"/>
      <c r="Z125" s="49"/>
      <c r="AA125" s="49"/>
      <c r="AB125" s="49"/>
      <c r="AC125" s="49"/>
      <c r="AD125" s="49"/>
    </row>
    <row r="126" spans="1:30" ht="13">
      <c r="A126" s="140">
        <f ca="1">IFERROR(__xludf.DUMMYFUNCTION("""COMPUTED_VALUE"""),43693.3430147685)</f>
        <v>43693.343014768499</v>
      </c>
      <c r="B126" s="141" t="str">
        <f ca="1">IFERROR(__xludf.DUMMYFUNCTION("""COMPUTED_VALUE"""),"FENGLI ZHANG")</f>
        <v>FENGLI ZHANG</v>
      </c>
      <c r="C126" s="141" t="str">
        <f ca="1">IFERROR(__xludf.DUMMYFUNCTION("""COMPUTED_VALUE"""),"fengli.zhang@slh.wisc.edu")</f>
        <v>fengli.zhang@slh.wisc.edu</v>
      </c>
      <c r="D126" s="49" t="str">
        <f ca="1">IFERROR(__xludf.DUMMYFUNCTION("""COMPUTED_VALUE"""),"Assigned")</f>
        <v>Assigned</v>
      </c>
      <c r="E126" s="88">
        <f ca="1">IFERROR(__xludf.DUMMYFUNCTION("""COMPUTED_VALUE"""),43719)</f>
        <v>43719</v>
      </c>
      <c r="F126" s="49" t="str">
        <f ca="1">IFERROR(__xludf.DUMMYFUNCTION("""COMPUTED_VALUE"""),"No")</f>
        <v>No</v>
      </c>
      <c r="G126" s="49" t="str">
        <f ca="1">IFERROR(__xludf.DUMMYFUNCTION("""COMPUTED_VALUE"""),"Somatic Cancer")</f>
        <v>Somatic Cancer</v>
      </c>
      <c r="H126" s="49" t="str">
        <f ca="1">IFERROR(__xludf.DUMMYFUNCTION("""COMPUTED_VALUE"""),"Hematological Cancer taskforce")</f>
        <v>Hematological Cancer taskforce</v>
      </c>
      <c r="I126" s="49"/>
      <c r="J126" s="49" t="str">
        <f ca="1">IFERROR(__xludf.DUMMYFUNCTION("""COMPUTED_VALUE"""),"")</f>
        <v/>
      </c>
      <c r="K126" s="49"/>
      <c r="L126" s="49" t="str">
        <f ca="1">IFERROR(__xludf.DUMMYFUNCTION("""COMPUTED_VALUE"""),"")</f>
        <v/>
      </c>
      <c r="M126" s="49"/>
      <c r="N126" s="49"/>
      <c r="O126" s="49"/>
      <c r="P126" s="49"/>
      <c r="Q126" s="49"/>
      <c r="R126" s="49"/>
      <c r="S126" s="49"/>
      <c r="T126" s="49"/>
      <c r="U126" s="49"/>
      <c r="V126" s="49"/>
      <c r="W126" s="49"/>
      <c r="X126" s="49"/>
      <c r="Y126" s="49"/>
      <c r="Z126" s="49"/>
      <c r="AA126" s="49"/>
      <c r="AB126" s="49"/>
      <c r="AC126" s="49"/>
      <c r="AD126" s="49"/>
    </row>
    <row r="127" spans="1:30" ht="13">
      <c r="A127" s="140">
        <f ca="1">IFERROR(__xludf.DUMMYFUNCTION("""COMPUTED_VALUE"""),43696.3386174421)</f>
        <v>43696.338617442103</v>
      </c>
      <c r="B127" s="141" t="str">
        <f ca="1">IFERROR(__xludf.DUMMYFUNCTION("""COMPUTED_VALUE"""),"Andrew Stergachis")</f>
        <v>Andrew Stergachis</v>
      </c>
      <c r="C127" s="141" t="str">
        <f ca="1">IFERROR(__xludf.DUMMYFUNCTION("""COMPUTED_VALUE"""),"astergachis@bwh.harvard.edu")</f>
        <v>astergachis@bwh.harvard.edu</v>
      </c>
      <c r="D127" s="49" t="str">
        <f ca="1">IFERROR(__xludf.DUMMYFUNCTION("""COMPUTED_VALUE"""),"Assigned")</f>
        <v>Assigned</v>
      </c>
      <c r="E127" s="87">
        <f ca="1">IFERROR(__xludf.DUMMYFUNCTION("""COMPUTED_VALUE"""),43678)</f>
        <v>43678</v>
      </c>
      <c r="F127" s="49" t="str">
        <f ca="1">IFERROR(__xludf.DUMMYFUNCTION("""COMPUTED_VALUE"""),"Yes")</f>
        <v>Yes</v>
      </c>
      <c r="G127" s="49" t="str">
        <f ca="1">IFERROR(__xludf.DUMMYFUNCTION("""COMPUTED_VALUE"""),"Actionability")</f>
        <v>Actionability</v>
      </c>
      <c r="H127" s="49" t="str">
        <f ca="1">IFERROR(__xludf.DUMMYFUNCTION("""COMPUTED_VALUE"""),"")</f>
        <v/>
      </c>
      <c r="I127" s="49"/>
      <c r="J127" s="49" t="str">
        <f ca="1">IFERROR(__xludf.DUMMYFUNCTION("""COMPUTED_VALUE"""),"")</f>
        <v/>
      </c>
      <c r="K127" s="49"/>
      <c r="L127" s="49" t="str">
        <f ca="1">IFERROR(__xludf.DUMMYFUNCTION("""COMPUTED_VALUE"""),"")</f>
        <v/>
      </c>
      <c r="M127" s="49"/>
      <c r="N127" s="49"/>
      <c r="O127" s="49"/>
      <c r="P127" s="49"/>
      <c r="Q127" s="49"/>
      <c r="R127" s="49"/>
      <c r="S127" s="49"/>
      <c r="T127" s="49"/>
      <c r="U127" s="49"/>
      <c r="V127" s="49"/>
      <c r="W127" s="49"/>
      <c r="X127" s="49"/>
      <c r="Y127" s="49"/>
      <c r="Z127" s="49"/>
      <c r="AA127" s="49"/>
      <c r="AB127" s="49"/>
      <c r="AC127" s="49"/>
      <c r="AD127" s="49"/>
    </row>
    <row r="128" spans="1:30" ht="13">
      <c r="A128" s="140">
        <f ca="1">IFERROR(__xludf.DUMMYFUNCTION("""COMPUTED_VALUE"""),43711.3899223842)</f>
        <v>43711.389922384202</v>
      </c>
      <c r="B128" s="141" t="str">
        <f ca="1">IFERROR(__xludf.DUMMYFUNCTION("""COMPUTED_VALUE"""),"Tomohiko Ai")</f>
        <v>Tomohiko Ai</v>
      </c>
      <c r="C128" s="141" t="str">
        <f ca="1">IFERROR(__xludf.DUMMYFUNCTION("""COMPUTED_VALUE"""),"Tomohiko.Ai@osumc.edu")</f>
        <v>Tomohiko.Ai@osumc.edu</v>
      </c>
      <c r="D128" s="49" t="str">
        <f ca="1">IFERROR(__xludf.DUMMYFUNCTION("""COMPUTED_VALUE"""),"Contacted")</f>
        <v>Contacted</v>
      </c>
      <c r="E128" s="88">
        <f ca="1">IFERROR(__xludf.DUMMYFUNCTION("""COMPUTED_VALUE"""),43626)</f>
        <v>43626</v>
      </c>
      <c r="F128" s="49" t="str">
        <f ca="1">IFERROR(__xludf.DUMMYFUNCTION("""COMPUTED_VALUE"""),"Yes")</f>
        <v>Yes</v>
      </c>
      <c r="G128" s="49" t="str">
        <f ca="1">IFERROR(__xludf.DUMMYFUNCTION("""COMPUTED_VALUE"""),"Variant Pathogenicity")</f>
        <v>Variant Pathogenicity</v>
      </c>
      <c r="H128" s="49" t="str">
        <f ca="1">IFERROR(__xludf.DUMMYFUNCTION("""COMPUTED_VALUE"""),"")</f>
        <v/>
      </c>
      <c r="I128" s="49"/>
      <c r="J128" s="49" t="str">
        <f ca="1">IFERROR(__xludf.DUMMYFUNCTION("""COMPUTED_VALUE"""),"")</f>
        <v/>
      </c>
      <c r="K128" s="49"/>
      <c r="L128" s="49" t="str">
        <f ca="1">IFERROR(__xludf.DUMMYFUNCTION("""COMPUTED_VALUE"""),"")</f>
        <v/>
      </c>
      <c r="M128" s="49"/>
      <c r="N128" s="49"/>
      <c r="O128" s="49"/>
      <c r="P128" s="49"/>
      <c r="Q128" s="49"/>
      <c r="R128" s="49"/>
      <c r="S128" s="49"/>
      <c r="T128" s="49"/>
      <c r="U128" s="49"/>
      <c r="V128" s="49"/>
      <c r="W128" s="49"/>
      <c r="X128" s="49"/>
      <c r="Y128" s="49"/>
      <c r="Z128" s="49"/>
      <c r="AA128" s="49"/>
      <c r="AB128" s="49"/>
      <c r="AC128" s="49"/>
      <c r="AD128" s="49"/>
    </row>
    <row r="129" spans="1:30" ht="13">
      <c r="A129" s="140">
        <f ca="1">IFERROR(__xludf.DUMMYFUNCTION("""COMPUTED_VALUE"""),43711.40800353)</f>
        <v>43711.408003529999</v>
      </c>
      <c r="B129" s="141" t="str">
        <f ca="1">IFERROR(__xludf.DUMMYFUNCTION("""COMPUTED_VALUE"""),"Coumarane Mani")</f>
        <v>Coumarane Mani</v>
      </c>
      <c r="C129" s="141" t="str">
        <f ca="1">IFERROR(__xludf.DUMMYFUNCTION("""COMPUTED_VALUE"""),"coumarane.mani@aruplab.com")</f>
        <v>coumarane.mani@aruplab.com</v>
      </c>
      <c r="D129" s="49" t="str">
        <f ca="1">IFERROR(__xludf.DUMMYFUNCTION("""COMPUTED_VALUE"""),"Contacted")</f>
        <v>Contacted</v>
      </c>
      <c r="E129" s="88">
        <f ca="1">IFERROR(__xludf.DUMMYFUNCTION("""COMPUTED_VALUE"""),43585)</f>
        <v>43585</v>
      </c>
      <c r="F129" s="49" t="str">
        <f ca="1">IFERROR(__xludf.DUMMYFUNCTION("""COMPUTED_VALUE"""),"No")</f>
        <v>No</v>
      </c>
      <c r="G129" s="49" t="str">
        <f ca="1">IFERROR(__xludf.DUMMYFUNCTION("""COMPUTED_VALUE"""),"Gene Disease Validity")</f>
        <v>Gene Disease Validity</v>
      </c>
      <c r="H129" s="49" t="str">
        <f ca="1">IFERROR(__xludf.DUMMYFUNCTION("""COMPUTED_VALUE"""),"")</f>
        <v/>
      </c>
      <c r="I129" s="49"/>
      <c r="J129" s="88">
        <f ca="1">IFERROR(__xludf.DUMMYFUNCTION("""COMPUTED_VALUE"""),43712)</f>
        <v>43712</v>
      </c>
      <c r="K129" s="49"/>
      <c r="L129" s="88" t="str">
        <f ca="1">IFERROR(__xludf.DUMMYFUNCTION("""COMPUTED_VALUE"""),"")</f>
        <v/>
      </c>
      <c r="M129" s="49"/>
      <c r="N129" s="49"/>
      <c r="O129" s="49"/>
      <c r="P129" s="49"/>
      <c r="Q129" s="49"/>
      <c r="R129" s="49"/>
      <c r="S129" s="49"/>
      <c r="T129" s="49"/>
      <c r="U129" s="49"/>
      <c r="V129" s="49"/>
      <c r="W129" s="49"/>
      <c r="X129" s="49"/>
      <c r="Y129" s="49"/>
      <c r="Z129" s="49"/>
      <c r="AA129" s="49"/>
      <c r="AB129" s="49"/>
      <c r="AC129" s="49"/>
      <c r="AD129" s="49"/>
    </row>
    <row r="130" spans="1:30" ht="13">
      <c r="A130" s="140">
        <f ca="1">IFERROR(__xludf.DUMMYFUNCTION("""COMPUTED_VALUE"""),43711.4090853819)</f>
        <v>43711.4090853819</v>
      </c>
      <c r="B130" s="141" t="str">
        <f ca="1">IFERROR(__xludf.DUMMYFUNCTION("""COMPUTED_VALUE"""),"Coumarane Mani")</f>
        <v>Coumarane Mani</v>
      </c>
      <c r="C130" s="141" t="str">
        <f ca="1">IFERROR(__xludf.DUMMYFUNCTION("""COMPUTED_VALUE"""),"coumarane.mani@aruplab.com")</f>
        <v>coumarane.mani@aruplab.com</v>
      </c>
      <c r="D130" s="49" t="str">
        <f ca="1">IFERROR(__xludf.DUMMYFUNCTION("""COMPUTED_VALUE"""),"Contacted")</f>
        <v>Contacted</v>
      </c>
      <c r="E130" s="88">
        <f ca="1">IFERROR(__xludf.DUMMYFUNCTION("""COMPUTED_VALUE"""),43605)</f>
        <v>43605</v>
      </c>
      <c r="F130" s="49" t="str">
        <f ca="1">IFERROR(__xludf.DUMMYFUNCTION("""COMPUTED_VALUE"""),"Yes")</f>
        <v>Yes</v>
      </c>
      <c r="G130" s="49" t="str">
        <f ca="1">IFERROR(__xludf.DUMMYFUNCTION("""COMPUTED_VALUE"""),"Variant Pathogenicity")</f>
        <v>Variant Pathogenicity</v>
      </c>
      <c r="H130" s="49" t="str">
        <f ca="1">IFERROR(__xludf.DUMMYFUNCTION("""COMPUTED_VALUE"""),"")</f>
        <v/>
      </c>
      <c r="I130" s="49"/>
      <c r="J130" s="49" t="str">
        <f ca="1">IFERROR(__xludf.DUMMYFUNCTION("""COMPUTED_VALUE"""),"")</f>
        <v/>
      </c>
      <c r="K130" s="49"/>
      <c r="L130" s="49" t="str">
        <f ca="1">IFERROR(__xludf.DUMMYFUNCTION("""COMPUTED_VALUE"""),"")</f>
        <v/>
      </c>
      <c r="M130" s="49"/>
      <c r="N130" s="49"/>
      <c r="O130" s="49"/>
      <c r="P130" s="49"/>
      <c r="Q130" s="49"/>
      <c r="R130" s="49"/>
      <c r="S130" s="49"/>
      <c r="T130" s="49"/>
      <c r="U130" s="49"/>
      <c r="V130" s="49"/>
      <c r="W130" s="49"/>
      <c r="X130" s="49"/>
      <c r="Y130" s="49"/>
      <c r="Z130" s="49"/>
      <c r="AA130" s="49"/>
      <c r="AB130" s="49"/>
      <c r="AC130" s="49"/>
      <c r="AD130" s="49"/>
    </row>
    <row r="131" spans="1:30" ht="13">
      <c r="A131" s="140">
        <f ca="1">IFERROR(__xludf.DUMMYFUNCTION("""COMPUTED_VALUE"""),43711.4140849884)</f>
        <v>43711.414084988399</v>
      </c>
      <c r="B131" s="141" t="str">
        <f ca="1">IFERROR(__xludf.DUMMYFUNCTION("""COMPUTED_VALUE"""),"Diogo Ventura Lovato")</f>
        <v>Diogo Ventura Lovato</v>
      </c>
      <c r="C131" s="141" t="str">
        <f ca="1">IFERROR(__xludf.DUMMYFUNCTION("""COMPUTED_VALUE"""),"diogo.v.lovato@gmail.com")</f>
        <v>diogo.v.lovato@gmail.com</v>
      </c>
      <c r="D131" s="49" t="str">
        <f ca="1">IFERROR(__xludf.DUMMYFUNCTION("""COMPUTED_VALUE"""),"Contacted")</f>
        <v>Contacted</v>
      </c>
      <c r="E131" s="88">
        <f ca="1">IFERROR(__xludf.DUMMYFUNCTION("""COMPUTED_VALUE"""),47258)</f>
        <v>47258</v>
      </c>
      <c r="F131" s="49" t="str">
        <f ca="1">IFERROR(__xludf.DUMMYFUNCTION("""COMPUTED_VALUE"""),"Yes")</f>
        <v>Yes</v>
      </c>
      <c r="G131" s="49" t="str">
        <f ca="1">IFERROR(__xludf.DUMMYFUNCTION("""COMPUTED_VALUE"""),"Variant Pathogenicity")</f>
        <v>Variant Pathogenicity</v>
      </c>
      <c r="H131" s="49" t="str">
        <f ca="1">IFERROR(__xludf.DUMMYFUNCTION("""COMPUTED_VALUE"""),"")</f>
        <v/>
      </c>
      <c r="I131" s="49"/>
      <c r="J131" s="49" t="str">
        <f ca="1">IFERROR(__xludf.DUMMYFUNCTION("""COMPUTED_VALUE"""),"")</f>
        <v/>
      </c>
      <c r="K131" s="49"/>
      <c r="L131" s="49" t="str">
        <f ca="1">IFERROR(__xludf.DUMMYFUNCTION("""COMPUTED_VALUE"""),"")</f>
        <v/>
      </c>
      <c r="M131" s="49"/>
      <c r="N131" s="49"/>
      <c r="O131" s="49"/>
      <c r="P131" s="49"/>
      <c r="Q131" s="49"/>
      <c r="R131" s="49"/>
      <c r="S131" s="49"/>
      <c r="T131" s="49"/>
      <c r="U131" s="49"/>
      <c r="V131" s="49"/>
      <c r="W131" s="49"/>
      <c r="X131" s="49"/>
      <c r="Y131" s="49"/>
      <c r="Z131" s="49"/>
      <c r="AA131" s="49"/>
      <c r="AB131" s="49"/>
      <c r="AC131" s="49"/>
      <c r="AD131" s="49"/>
    </row>
    <row r="132" spans="1:30" ht="13">
      <c r="A132" s="140">
        <f ca="1">IFERROR(__xludf.DUMMYFUNCTION("""COMPUTED_VALUE"""),43711.416964699)</f>
        <v>43711.416964698998</v>
      </c>
      <c r="B132" s="141" t="str">
        <f ca="1">IFERROR(__xludf.DUMMYFUNCTION("""COMPUTED_VALUE"""),"Elaine Spector")</f>
        <v>Elaine Spector</v>
      </c>
      <c r="C132" s="141" t="str">
        <f ca="1">IFERROR(__xludf.DUMMYFUNCTION("""COMPUTED_VALUE"""),"elaine.spector@childrenscolorado.org")</f>
        <v>elaine.spector@childrenscolorado.org</v>
      </c>
      <c r="D132" s="49" t="str">
        <f ca="1">IFERROR(__xludf.DUMMYFUNCTION("""COMPUTED_VALUE"""),"Contacted")</f>
        <v>Contacted</v>
      </c>
      <c r="E132" s="88">
        <f ca="1">IFERROR(__xludf.DUMMYFUNCTION("""COMPUTED_VALUE"""),43626)</f>
        <v>43626</v>
      </c>
      <c r="F132" s="49" t="str">
        <f ca="1">IFERROR(__xludf.DUMMYFUNCTION("""COMPUTED_VALUE"""),"No")</f>
        <v>No</v>
      </c>
      <c r="G132" s="49" t="str">
        <f ca="1">IFERROR(__xludf.DUMMYFUNCTION("""COMPUTED_VALUE"""),"Variant Pathogenicity")</f>
        <v>Variant Pathogenicity</v>
      </c>
      <c r="H132" s="49" t="str">
        <f ca="1">IFERROR(__xludf.DUMMYFUNCTION("""COMPUTED_VALUE"""),"")</f>
        <v/>
      </c>
      <c r="I132" s="49"/>
      <c r="J132" s="49" t="str">
        <f ca="1">IFERROR(__xludf.DUMMYFUNCTION("""COMPUTED_VALUE"""),"")</f>
        <v/>
      </c>
      <c r="K132" s="49"/>
      <c r="L132" s="49" t="str">
        <f ca="1">IFERROR(__xludf.DUMMYFUNCTION("""COMPUTED_VALUE"""),"")</f>
        <v/>
      </c>
      <c r="M132" s="49"/>
      <c r="N132" s="49"/>
      <c r="O132" s="49"/>
      <c r="P132" s="49"/>
      <c r="Q132" s="49"/>
      <c r="R132" s="49"/>
      <c r="S132" s="49"/>
      <c r="T132" s="49"/>
      <c r="U132" s="49"/>
      <c r="V132" s="49"/>
      <c r="W132" s="49"/>
      <c r="X132" s="49"/>
      <c r="Y132" s="49"/>
      <c r="Z132" s="49"/>
      <c r="AA132" s="49"/>
      <c r="AB132" s="49"/>
      <c r="AC132" s="49"/>
      <c r="AD132" s="49"/>
    </row>
    <row r="133" spans="1:30" ht="13">
      <c r="A133" s="140">
        <f ca="1">IFERROR(__xludf.DUMMYFUNCTION("""COMPUTED_VALUE"""),43711.4222845949)</f>
        <v>43711.422284594897</v>
      </c>
      <c r="B133" s="141" t="str">
        <f ca="1">IFERROR(__xludf.DUMMYFUNCTION("""COMPUTED_VALUE"""),"Laura Fuqua")</f>
        <v>Laura Fuqua</v>
      </c>
      <c r="C133" s="141" t="str">
        <f ca="1">IFERROR(__xludf.DUMMYFUNCTION("""COMPUTED_VALUE"""),"laura.fuqua@gmail.com")</f>
        <v>laura.fuqua@gmail.com</v>
      </c>
      <c r="D133" s="49" t="str">
        <f ca="1">IFERROR(__xludf.DUMMYFUNCTION("""COMPUTED_VALUE"""),"Contacted")</f>
        <v>Contacted</v>
      </c>
      <c r="E133" s="88">
        <f ca="1">IFERROR(__xludf.DUMMYFUNCTION("""COMPUTED_VALUE"""),43608)</f>
        <v>43608</v>
      </c>
      <c r="F133" s="49" t="str">
        <f ca="1">IFERROR(__xludf.DUMMYFUNCTION("""COMPUTED_VALUE"""),"Yes")</f>
        <v>Yes</v>
      </c>
      <c r="G133" s="49" t="str">
        <f ca="1">IFERROR(__xludf.DUMMYFUNCTION("""COMPUTED_VALUE"""),"Variant Pathogenicity")</f>
        <v>Variant Pathogenicity</v>
      </c>
      <c r="H133" s="49" t="str">
        <f ca="1">IFERROR(__xludf.DUMMYFUNCTION("""COMPUTED_VALUE"""),"TP53")</f>
        <v>TP53</v>
      </c>
      <c r="I133" s="49"/>
      <c r="J133" s="88">
        <f ca="1">IFERROR(__xludf.DUMMYFUNCTION("""COMPUTED_VALUE"""),43712)</f>
        <v>43712</v>
      </c>
      <c r="K133" s="49"/>
      <c r="L133" s="88" t="str">
        <f ca="1">IFERROR(__xludf.DUMMYFUNCTION("""COMPUTED_VALUE"""),"")</f>
        <v/>
      </c>
      <c r="M133" s="49"/>
      <c r="N133" s="49"/>
      <c r="O133" s="49"/>
      <c r="P133" s="49"/>
      <c r="Q133" s="49"/>
      <c r="R133" s="49"/>
      <c r="S133" s="49"/>
      <c r="T133" s="49"/>
      <c r="U133" s="49"/>
      <c r="V133" s="49"/>
      <c r="W133" s="49"/>
      <c r="X133" s="49"/>
      <c r="Y133" s="49"/>
      <c r="Z133" s="49"/>
      <c r="AA133" s="49"/>
      <c r="AB133" s="49"/>
      <c r="AC133" s="49"/>
      <c r="AD133" s="49"/>
    </row>
    <row r="134" spans="1:30" ht="13">
      <c r="A134" s="140">
        <f ca="1">IFERROR(__xludf.DUMMYFUNCTION("""COMPUTED_VALUE"""),43717.7217262268)</f>
        <v>43717.721726226802</v>
      </c>
      <c r="B134" s="141" t="str">
        <f ca="1">IFERROR(__xludf.DUMMYFUNCTION("""COMPUTED_VALUE"""),"Xiaoting Ma")</f>
        <v>Xiaoting Ma</v>
      </c>
      <c r="C134" s="141" t="str">
        <f ca="1">IFERROR(__xludf.DUMMYFUNCTION("""COMPUTED_VALUE"""),"Xiaoting.Ma@childrens.harvard.edu")</f>
        <v>Xiaoting.Ma@childrens.harvard.edu</v>
      </c>
      <c r="D134" s="49" t="str">
        <f ca="1">IFERROR(__xludf.DUMMYFUNCTION("""COMPUTED_VALUE"""),"Contacted")</f>
        <v>Contacted</v>
      </c>
      <c r="E134" s="99">
        <f ca="1">IFERROR(__xludf.DUMMYFUNCTION("""COMPUTED_VALUE"""),43846)</f>
        <v>43846</v>
      </c>
      <c r="F134" s="49" t="str">
        <f ca="1">IFERROR(__xludf.DUMMYFUNCTION("""COMPUTED_VALUE"""),"No")</f>
        <v>No</v>
      </c>
      <c r="G134" s="49" t="str">
        <f ca="1">IFERROR(__xludf.DUMMYFUNCTION("""COMPUTED_VALUE"""),"Gene Disease Validity")</f>
        <v>Gene Disease Validity</v>
      </c>
      <c r="H134" s="49" t="str">
        <f ca="1">IFERROR(__xludf.DUMMYFUNCTION("""COMPUTED_VALUE"""),"")</f>
        <v/>
      </c>
      <c r="I134" s="49"/>
      <c r="J134" s="49" t="str">
        <f ca="1">IFERROR(__xludf.DUMMYFUNCTION("""COMPUTED_VALUE"""),"")</f>
        <v/>
      </c>
      <c r="K134" s="49"/>
      <c r="L134" s="49" t="str">
        <f ca="1">IFERROR(__xludf.DUMMYFUNCTION("""COMPUTED_VALUE"""),"")</f>
        <v/>
      </c>
      <c r="M134" s="49"/>
      <c r="N134" s="49"/>
      <c r="O134" s="49"/>
      <c r="P134" s="49"/>
      <c r="Q134" s="49"/>
      <c r="R134" s="49"/>
      <c r="S134" s="49"/>
      <c r="T134" s="49"/>
      <c r="U134" s="49"/>
      <c r="V134" s="49"/>
      <c r="W134" s="49"/>
      <c r="X134" s="49"/>
      <c r="Y134" s="49"/>
      <c r="Z134" s="49"/>
      <c r="AA134" s="49"/>
      <c r="AB134" s="49"/>
      <c r="AC134" s="49"/>
      <c r="AD134" s="49"/>
    </row>
    <row r="135" spans="1:30" ht="13">
      <c r="A135" s="140">
        <f ca="1">IFERROR(__xludf.DUMMYFUNCTION("""COMPUTED_VALUE"""),43731.7024725115)</f>
        <v>43731.702472511497</v>
      </c>
      <c r="B135" s="141" t="str">
        <f ca="1">IFERROR(__xludf.DUMMYFUNCTION("""COMPUTED_VALUE"""),"Julie Kim ")</f>
        <v xml:space="preserve">Julie Kim </v>
      </c>
      <c r="C135" s="141" t="str">
        <f ca="1">IFERROR(__xludf.DUMMYFUNCTION("""COMPUTED_VALUE"""),"serin.kim@nih.gov")</f>
        <v>serin.kim@nih.gov</v>
      </c>
      <c r="D135" s="49" t="str">
        <f ca="1">IFERROR(__xludf.DUMMYFUNCTION("""COMPUTED_VALUE"""),"Contacted")</f>
        <v>Contacted</v>
      </c>
      <c r="E135" s="99">
        <f ca="1">IFERROR(__xludf.DUMMYFUNCTION("""COMPUTED_VALUE"""),43846)</f>
        <v>43846</v>
      </c>
      <c r="F135" s="49" t="str">
        <f ca="1">IFERROR(__xludf.DUMMYFUNCTION("""COMPUTED_VALUE"""),"Yes")</f>
        <v>Yes</v>
      </c>
      <c r="G135" s="49" t="str">
        <f ca="1">IFERROR(__xludf.DUMMYFUNCTION("""COMPUTED_VALUE"""),"Gene Disease Validity")</f>
        <v>Gene Disease Validity</v>
      </c>
      <c r="H135" s="49" t="str">
        <f ca="1">IFERROR(__xludf.DUMMYFUNCTION("""COMPUTED_VALUE"""),"")</f>
        <v/>
      </c>
      <c r="I135" s="49"/>
      <c r="J135" s="49" t="str">
        <f ca="1">IFERROR(__xludf.DUMMYFUNCTION("""COMPUTED_VALUE"""),"")</f>
        <v/>
      </c>
      <c r="K135" s="49"/>
      <c r="L135" s="49" t="str">
        <f ca="1">IFERROR(__xludf.DUMMYFUNCTION("""COMPUTED_VALUE"""),"")</f>
        <v/>
      </c>
      <c r="M135" s="49"/>
      <c r="N135" s="49"/>
      <c r="O135" s="49"/>
      <c r="P135" s="49"/>
      <c r="Q135" s="49"/>
      <c r="R135" s="49"/>
      <c r="S135" s="49"/>
      <c r="T135" s="49"/>
      <c r="U135" s="49"/>
      <c r="V135" s="49"/>
      <c r="W135" s="49"/>
      <c r="X135" s="49"/>
      <c r="Y135" s="49"/>
      <c r="Z135" s="49"/>
      <c r="AA135" s="49"/>
      <c r="AB135" s="49"/>
      <c r="AC135" s="49"/>
      <c r="AD135" s="49"/>
    </row>
    <row r="136" spans="1:30" ht="13">
      <c r="A136" s="140">
        <f ca="1">IFERROR(__xludf.DUMMYFUNCTION("""COMPUTED_VALUE"""),43747.5422410532)</f>
        <v>43747.542241053197</v>
      </c>
      <c r="B136" s="141" t="str">
        <f ca="1">IFERROR(__xludf.DUMMYFUNCTION("""COMPUTED_VALUE"""),"Ikeoluwa Osei-Owusu")</f>
        <v>Ikeoluwa Osei-Owusu</v>
      </c>
      <c r="C136" s="141" t="str">
        <f ca="1">IFERROR(__xludf.DUMMYFUNCTION("""COMPUTED_VALUE"""),"ikeoluwa@jhmi.edu")</f>
        <v>ikeoluwa@jhmi.edu</v>
      </c>
      <c r="D136" s="49" t="str">
        <f ca="1">IFERROR(__xludf.DUMMYFUNCTION("""COMPUTED_VALUE"""),"Contacted")</f>
        <v>Contacted</v>
      </c>
      <c r="E136" s="99">
        <f ca="1">IFERROR(__xludf.DUMMYFUNCTION("""COMPUTED_VALUE"""),43846)</f>
        <v>43846</v>
      </c>
      <c r="F136" s="49" t="str">
        <f ca="1">IFERROR(__xludf.DUMMYFUNCTION("""COMPUTED_VALUE"""),"No")</f>
        <v>No</v>
      </c>
      <c r="G136" s="49" t="str">
        <f ca="1">IFERROR(__xludf.DUMMYFUNCTION("""COMPUTED_VALUE"""),"Gene Disease Validity")</f>
        <v>Gene Disease Validity</v>
      </c>
      <c r="H136" s="49" t="str">
        <f ca="1">IFERROR(__xludf.DUMMYFUNCTION("""COMPUTED_VALUE"""),"")</f>
        <v/>
      </c>
      <c r="I136" s="49"/>
      <c r="J136" s="49" t="str">
        <f ca="1">IFERROR(__xludf.DUMMYFUNCTION("""COMPUTED_VALUE"""),"")</f>
        <v/>
      </c>
      <c r="K136" s="49"/>
      <c r="L136" s="49" t="str">
        <f ca="1">IFERROR(__xludf.DUMMYFUNCTION("""COMPUTED_VALUE"""),"")</f>
        <v/>
      </c>
      <c r="M136" s="49"/>
      <c r="N136" s="49"/>
      <c r="O136" s="49"/>
      <c r="P136" s="49"/>
      <c r="Q136" s="49"/>
      <c r="R136" s="49"/>
      <c r="S136" s="49"/>
      <c r="T136" s="49"/>
      <c r="U136" s="49"/>
      <c r="V136" s="49"/>
      <c r="W136" s="49"/>
      <c r="X136" s="49"/>
      <c r="Y136" s="49"/>
      <c r="Z136" s="49"/>
      <c r="AA136" s="49"/>
      <c r="AB136" s="49"/>
      <c r="AC136" s="49"/>
      <c r="AD136" s="49"/>
    </row>
    <row r="137" spans="1:30" ht="13">
      <c r="A137" s="140">
        <f ca="1">IFERROR(__xludf.DUMMYFUNCTION("""COMPUTED_VALUE"""),43758.7028289814)</f>
        <v>43758.702828981397</v>
      </c>
      <c r="B137" s="141" t="str">
        <f ca="1">IFERROR(__xludf.DUMMYFUNCTION("""COMPUTED_VALUE"""),"Beth Stronach")</f>
        <v>Beth Stronach</v>
      </c>
      <c r="C137" s="141" t="str">
        <f ca="1">IFERROR(__xludf.DUMMYFUNCTION("""COMPUTED_VALUE"""),"stronach@pitt.edu")</f>
        <v>stronach@pitt.edu</v>
      </c>
      <c r="D137" s="49" t="str">
        <f ca="1">IFERROR(__xludf.DUMMYFUNCTION("""COMPUTED_VALUE"""),"Contacted")</f>
        <v>Contacted</v>
      </c>
      <c r="E137" s="99">
        <f ca="1">IFERROR(__xludf.DUMMYFUNCTION("""COMPUTED_VALUE"""),43846)</f>
        <v>43846</v>
      </c>
      <c r="F137" s="49" t="str">
        <f ca="1">IFERROR(__xludf.DUMMYFUNCTION("""COMPUTED_VALUE"""),"No")</f>
        <v>No</v>
      </c>
      <c r="G137" s="49" t="str">
        <f ca="1">IFERROR(__xludf.DUMMYFUNCTION("""COMPUTED_VALUE"""),"Gene Disease Validity")</f>
        <v>Gene Disease Validity</v>
      </c>
      <c r="H137" s="49" t="str">
        <f ca="1">IFERROR(__xludf.DUMMYFUNCTION("""COMPUTED_VALUE"""),"")</f>
        <v/>
      </c>
      <c r="I137" s="49"/>
      <c r="J137" s="49" t="str">
        <f ca="1">IFERROR(__xludf.DUMMYFUNCTION("""COMPUTED_VALUE"""),"")</f>
        <v/>
      </c>
      <c r="K137" s="49"/>
      <c r="L137" s="49" t="str">
        <f ca="1">IFERROR(__xludf.DUMMYFUNCTION("""COMPUTED_VALUE"""),"")</f>
        <v/>
      </c>
      <c r="M137" s="49"/>
      <c r="N137" s="49"/>
      <c r="O137" s="49"/>
      <c r="P137" s="49"/>
      <c r="Q137" s="49"/>
      <c r="R137" s="49"/>
      <c r="S137" s="49"/>
      <c r="T137" s="49"/>
      <c r="U137" s="49"/>
      <c r="V137" s="49"/>
      <c r="W137" s="49"/>
      <c r="X137" s="49"/>
      <c r="Y137" s="49"/>
      <c r="Z137" s="49"/>
      <c r="AA137" s="49"/>
      <c r="AB137" s="49"/>
      <c r="AC137" s="49"/>
      <c r="AD137" s="49"/>
    </row>
    <row r="138" spans="1:30" ht="13">
      <c r="A138" s="140">
        <f ca="1">IFERROR(__xludf.DUMMYFUNCTION("""COMPUTED_VALUE"""),43778.8432091898)</f>
        <v>43778.843209189799</v>
      </c>
      <c r="B138" s="141" t="str">
        <f ca="1">IFERROR(__xludf.DUMMYFUNCTION("""COMPUTED_VALUE"""),"Larissa Waldman")</f>
        <v>Larissa Waldman</v>
      </c>
      <c r="C138" s="141" t="str">
        <f ca="1">IFERROR(__xludf.DUMMYFUNCTION("""COMPUTED_VALUE"""),"larissa.waldman@gmail.com")</f>
        <v>larissa.waldman@gmail.com</v>
      </c>
      <c r="D138" s="49" t="str">
        <f ca="1">IFERROR(__xludf.DUMMYFUNCTION("""COMPUTED_VALUE"""),"Assigned")</f>
        <v>Assigned</v>
      </c>
      <c r="E138" s="87">
        <f ca="1">IFERROR(__xludf.DUMMYFUNCTION("""COMPUTED_VALUE"""),43859)</f>
        <v>43859</v>
      </c>
      <c r="F138" s="49" t="str">
        <f ca="1">IFERROR(__xludf.DUMMYFUNCTION("""COMPUTED_VALUE"""),"No")</f>
        <v>No</v>
      </c>
      <c r="G138" s="49" t="str">
        <f ca="1">IFERROR(__xludf.DUMMYFUNCTION("""COMPUTED_VALUE"""),"Actionability")</f>
        <v>Actionability</v>
      </c>
      <c r="H138" s="49" t="str">
        <f ca="1">IFERROR(__xludf.DUMMYFUNCTION("""COMPUTED_VALUE"""),"")</f>
        <v/>
      </c>
      <c r="I138" s="49"/>
      <c r="J138" s="49" t="str">
        <f ca="1">IFERROR(__xludf.DUMMYFUNCTION("""COMPUTED_VALUE"""),"")</f>
        <v/>
      </c>
      <c r="K138" s="49"/>
      <c r="L138" s="49" t="str">
        <f ca="1">IFERROR(__xludf.DUMMYFUNCTION("""COMPUTED_VALUE"""),"")</f>
        <v/>
      </c>
      <c r="M138" s="49"/>
      <c r="N138" s="49"/>
      <c r="O138" s="49"/>
      <c r="P138" s="49"/>
      <c r="Q138" s="49"/>
      <c r="R138" s="49"/>
      <c r="S138" s="49"/>
      <c r="T138" s="49"/>
      <c r="U138" s="49"/>
      <c r="V138" s="49"/>
      <c r="W138" s="49"/>
      <c r="X138" s="49"/>
      <c r="Y138" s="49"/>
      <c r="Z138" s="49"/>
      <c r="AA138" s="49"/>
      <c r="AB138" s="49"/>
      <c r="AC138" s="49"/>
      <c r="AD138" s="49"/>
    </row>
    <row r="139" spans="1:30" ht="13">
      <c r="A139" s="140">
        <f ca="1">IFERROR(__xludf.DUMMYFUNCTION("""COMPUTED_VALUE"""),43780.3746738888)</f>
        <v>43780.3746738888</v>
      </c>
      <c r="B139" s="141" t="str">
        <f ca="1">IFERROR(__xludf.DUMMYFUNCTION("""COMPUTED_VALUE"""),"Mark Shlapobersky")</f>
        <v>Mark Shlapobersky</v>
      </c>
      <c r="C139" s="141" t="str">
        <f ca="1">IFERROR(__xludf.DUMMYFUNCTION("""COMPUTED_VALUE"""),"marks@bmc.gov.il")</f>
        <v>marks@bmc.gov.il</v>
      </c>
      <c r="D139" s="49" t="str">
        <f ca="1">IFERROR(__xludf.DUMMYFUNCTION("""COMPUTED_VALUE"""),"Assigned")</f>
        <v>Assigned</v>
      </c>
      <c r="E139" s="87">
        <f ca="1">IFERROR(__xludf.DUMMYFUNCTION("""COMPUTED_VALUE"""),43859)</f>
        <v>43859</v>
      </c>
      <c r="F139" s="49" t="str">
        <f ca="1">IFERROR(__xludf.DUMMYFUNCTION("""COMPUTED_VALUE"""),"No")</f>
        <v>No</v>
      </c>
      <c r="G139" s="49" t="str">
        <f ca="1">IFERROR(__xludf.DUMMYFUNCTION("""COMPUTED_VALUE"""),"Actionability")</f>
        <v>Actionability</v>
      </c>
      <c r="H139" s="49" t="str">
        <f ca="1">IFERROR(__xludf.DUMMYFUNCTION("""COMPUTED_VALUE"""),"")</f>
        <v/>
      </c>
      <c r="I139" s="49"/>
      <c r="J139" s="49" t="str">
        <f ca="1">IFERROR(__xludf.DUMMYFUNCTION("""COMPUTED_VALUE"""),"")</f>
        <v/>
      </c>
      <c r="K139" s="49"/>
      <c r="L139" s="49" t="str">
        <f ca="1">IFERROR(__xludf.DUMMYFUNCTION("""COMPUTED_VALUE"""),"")</f>
        <v/>
      </c>
      <c r="M139" s="49"/>
      <c r="N139" s="49"/>
      <c r="O139" s="49"/>
      <c r="P139" s="49"/>
      <c r="Q139" s="49"/>
      <c r="R139" s="49"/>
      <c r="S139" s="49"/>
      <c r="T139" s="49"/>
      <c r="U139" s="49"/>
      <c r="V139" s="49"/>
      <c r="W139" s="49"/>
      <c r="X139" s="49"/>
      <c r="Y139" s="49"/>
      <c r="Z139" s="49"/>
      <c r="AA139" s="49"/>
      <c r="AB139" s="49"/>
      <c r="AC139" s="49"/>
      <c r="AD139" s="49"/>
    </row>
    <row r="140" spans="1:30" ht="13">
      <c r="A140" s="140">
        <f ca="1">IFERROR(__xludf.DUMMYFUNCTION("""COMPUTED_VALUE"""),43782.5691342129)</f>
        <v>43782.569134212899</v>
      </c>
      <c r="B140" s="141" t="str">
        <f ca="1">IFERROR(__xludf.DUMMYFUNCTION("""COMPUTED_VALUE"""),"Marie-Luise Brennan")</f>
        <v>Marie-Luise Brennan</v>
      </c>
      <c r="C140" s="141" t="str">
        <f ca="1">IFERROR(__xludf.DUMMYFUNCTION("""COMPUTED_VALUE"""),"mbrennan@acmg.net")</f>
        <v>mbrennan@acmg.net</v>
      </c>
      <c r="D140" s="49" t="str">
        <f ca="1">IFERROR(__xludf.DUMMYFUNCTION("""COMPUTED_VALUE"""),"Contacted")</f>
        <v>Contacted</v>
      </c>
      <c r="E140" s="99">
        <f ca="1">IFERROR(__xludf.DUMMYFUNCTION("""COMPUTED_VALUE"""),43846)</f>
        <v>43846</v>
      </c>
      <c r="F140" s="49" t="str">
        <f ca="1">IFERROR(__xludf.DUMMYFUNCTION("""COMPUTED_VALUE"""),"Yes")</f>
        <v>Yes</v>
      </c>
      <c r="G140" s="49" t="str">
        <f ca="1">IFERROR(__xludf.DUMMYFUNCTION("""COMPUTED_VALUE"""),"Gene Disease Validity")</f>
        <v>Gene Disease Validity</v>
      </c>
      <c r="H140" s="49" t="str">
        <f ca="1">IFERROR(__xludf.DUMMYFUNCTION("""COMPUTED_VALUE"""),"")</f>
        <v/>
      </c>
      <c r="I140" s="49"/>
      <c r="J140" s="49" t="str">
        <f ca="1">IFERROR(__xludf.DUMMYFUNCTION("""COMPUTED_VALUE"""),"")</f>
        <v/>
      </c>
      <c r="K140" s="49"/>
      <c r="L140" s="49" t="str">
        <f ca="1">IFERROR(__xludf.DUMMYFUNCTION("""COMPUTED_VALUE"""),"")</f>
        <v/>
      </c>
      <c r="M140" s="49"/>
      <c r="N140" s="49"/>
      <c r="O140" s="49"/>
      <c r="P140" s="49"/>
      <c r="Q140" s="49"/>
      <c r="R140" s="49"/>
      <c r="S140" s="49"/>
      <c r="T140" s="49"/>
      <c r="U140" s="49"/>
      <c r="V140" s="49"/>
      <c r="W140" s="49"/>
      <c r="X140" s="49"/>
      <c r="Y140" s="49"/>
      <c r="Z140" s="49"/>
      <c r="AA140" s="49"/>
      <c r="AB140" s="49"/>
      <c r="AC140" s="49"/>
      <c r="AD140" s="49"/>
    </row>
    <row r="141" spans="1:30" ht="13">
      <c r="A141" s="140">
        <f ca="1">IFERROR(__xludf.DUMMYFUNCTION("""COMPUTED_VALUE"""),43794.3135085185)</f>
        <v>43794.313508518499</v>
      </c>
      <c r="B141" s="141" t="str">
        <f ca="1">IFERROR(__xludf.DUMMYFUNCTION("""COMPUTED_VALUE"""),"Adriana Bastos Carvalho")</f>
        <v>Adriana Bastos Carvalho</v>
      </c>
      <c r="C141" s="141" t="str">
        <f ca="1">IFERROR(__xludf.DUMMYFUNCTION("""COMPUTED_VALUE"""),"carvalhoab@biof.ufrj.br")</f>
        <v>carvalhoab@biof.ufrj.br</v>
      </c>
      <c r="D141" s="49" t="str">
        <f ca="1">IFERROR(__xludf.DUMMYFUNCTION("""COMPUTED_VALUE"""),"Contacted")</f>
        <v>Contacted</v>
      </c>
      <c r="E141" s="99">
        <f ca="1">IFERROR(__xludf.DUMMYFUNCTION("""COMPUTED_VALUE"""),43846)</f>
        <v>43846</v>
      </c>
      <c r="F141" s="49" t="str">
        <f ca="1">IFERROR(__xludf.DUMMYFUNCTION("""COMPUTED_VALUE"""),"No")</f>
        <v>No</v>
      </c>
      <c r="G141" s="49" t="str">
        <f ca="1">IFERROR(__xludf.DUMMYFUNCTION("""COMPUTED_VALUE"""),"Gene Disease Validity")</f>
        <v>Gene Disease Validity</v>
      </c>
      <c r="H141" s="49" t="str">
        <f ca="1">IFERROR(__xludf.DUMMYFUNCTION("""COMPUTED_VALUE"""),"")</f>
        <v/>
      </c>
      <c r="I141" s="49"/>
      <c r="J141" s="49" t="str">
        <f ca="1">IFERROR(__xludf.DUMMYFUNCTION("""COMPUTED_VALUE"""),"")</f>
        <v/>
      </c>
      <c r="K141" s="49"/>
      <c r="L141" s="49" t="str">
        <f ca="1">IFERROR(__xludf.DUMMYFUNCTION("""COMPUTED_VALUE"""),"")</f>
        <v/>
      </c>
      <c r="M141" s="49"/>
      <c r="N141" s="49"/>
      <c r="O141" s="49"/>
      <c r="P141" s="49"/>
      <c r="Q141" s="49"/>
      <c r="R141" s="49"/>
      <c r="S141" s="49"/>
      <c r="T141" s="49"/>
      <c r="U141" s="49"/>
      <c r="V141" s="49"/>
      <c r="W141" s="49"/>
      <c r="X141" s="49"/>
      <c r="Y141" s="49"/>
      <c r="Z141" s="49"/>
      <c r="AA141" s="49"/>
      <c r="AB141" s="49"/>
      <c r="AC141" s="49"/>
      <c r="AD141" s="49"/>
    </row>
    <row r="142" spans="1:30" ht="13">
      <c r="A142" s="140">
        <f ca="1">IFERROR(__xludf.DUMMYFUNCTION("""COMPUTED_VALUE"""),43810.6278993865)</f>
        <v>43810.627899386498</v>
      </c>
      <c r="B142" s="141" t="str">
        <f ca="1">IFERROR(__xludf.DUMMYFUNCTION("""COMPUTED_VALUE"""),"Tess Levy")</f>
        <v>Tess Levy</v>
      </c>
      <c r="C142" s="141" t="str">
        <f ca="1">IFERROR(__xludf.DUMMYFUNCTION("""COMPUTED_VALUE"""),"tess.levy@mssm.edu")</f>
        <v>tess.levy@mssm.edu</v>
      </c>
      <c r="D142" s="49" t="str">
        <f ca="1">IFERROR(__xludf.DUMMYFUNCTION("""COMPUTED_VALUE"""),"Contacted")</f>
        <v>Contacted</v>
      </c>
      <c r="E142" s="99">
        <f ca="1">IFERROR(__xludf.DUMMYFUNCTION("""COMPUTED_VALUE"""),43846)</f>
        <v>43846</v>
      </c>
      <c r="F142" s="49" t="str">
        <f ca="1">IFERROR(__xludf.DUMMYFUNCTION("""COMPUTED_VALUE"""),"No")</f>
        <v>No</v>
      </c>
      <c r="G142" s="49" t="str">
        <f ca="1">IFERROR(__xludf.DUMMYFUNCTION("""COMPUTED_VALUE"""),"Gene Disease Validity")</f>
        <v>Gene Disease Validity</v>
      </c>
      <c r="H142" s="49" t="str">
        <f ca="1">IFERROR(__xludf.DUMMYFUNCTION("""COMPUTED_VALUE"""),"")</f>
        <v/>
      </c>
      <c r="I142" s="49"/>
      <c r="J142" s="49" t="str">
        <f ca="1">IFERROR(__xludf.DUMMYFUNCTION("""COMPUTED_VALUE"""),"")</f>
        <v/>
      </c>
      <c r="K142" s="49"/>
      <c r="L142" s="49" t="str">
        <f ca="1">IFERROR(__xludf.DUMMYFUNCTION("""COMPUTED_VALUE"""),"")</f>
        <v/>
      </c>
      <c r="M142" s="49"/>
      <c r="N142" s="49"/>
      <c r="O142" s="49"/>
      <c r="P142" s="49"/>
      <c r="Q142" s="49"/>
      <c r="R142" s="49"/>
      <c r="S142" s="49"/>
      <c r="T142" s="49"/>
      <c r="U142" s="49"/>
      <c r="V142" s="49"/>
      <c r="W142" s="49"/>
      <c r="X142" s="49"/>
      <c r="Y142" s="49"/>
      <c r="Z142" s="49"/>
      <c r="AA142" s="49"/>
      <c r="AB142" s="49"/>
      <c r="AC142" s="49"/>
      <c r="AD142" s="49"/>
    </row>
    <row r="143" spans="1:30" ht="13">
      <c r="A143" s="140">
        <f ca="1">IFERROR(__xludf.DUMMYFUNCTION("""COMPUTED_VALUE"""),43811.1499500925)</f>
        <v>43811.149950092498</v>
      </c>
      <c r="B143" s="141" t="str">
        <f ca="1">IFERROR(__xludf.DUMMYFUNCTION("""COMPUTED_VALUE"""),"Xiaoyan Guo ")</f>
        <v xml:space="preserve">Xiaoyan Guo </v>
      </c>
      <c r="C143" s="141" t="str">
        <f ca="1">IFERROR(__xludf.DUMMYFUNCTION("""COMPUTED_VALUE"""),"540842557@qq.com")</f>
        <v>540842557@qq.com</v>
      </c>
      <c r="D143" s="49" t="str">
        <f ca="1">IFERROR(__xludf.DUMMYFUNCTION("""COMPUTED_VALUE"""),"Contacted")</f>
        <v>Contacted</v>
      </c>
      <c r="E143" s="99">
        <f ca="1">IFERROR(__xludf.DUMMYFUNCTION("""COMPUTED_VALUE"""),43846)</f>
        <v>43846</v>
      </c>
      <c r="F143" s="49" t="str">
        <f ca="1">IFERROR(__xludf.DUMMYFUNCTION("""COMPUTED_VALUE"""),"Yes")</f>
        <v>Yes</v>
      </c>
      <c r="G143" s="49" t="str">
        <f ca="1">IFERROR(__xludf.DUMMYFUNCTION("""COMPUTED_VALUE"""),"Gene Disease Validity")</f>
        <v>Gene Disease Validity</v>
      </c>
      <c r="H143" s="49" t="str">
        <f ca="1">IFERROR(__xludf.DUMMYFUNCTION("""COMPUTED_VALUE"""),"")</f>
        <v/>
      </c>
      <c r="I143" s="49"/>
      <c r="J143" s="49" t="str">
        <f ca="1">IFERROR(__xludf.DUMMYFUNCTION("""COMPUTED_VALUE"""),"")</f>
        <v/>
      </c>
      <c r="K143" s="49"/>
      <c r="L143" s="49" t="str">
        <f ca="1">IFERROR(__xludf.DUMMYFUNCTION("""COMPUTED_VALUE"""),"")</f>
        <v/>
      </c>
      <c r="M143" s="49"/>
      <c r="N143" s="49"/>
      <c r="O143" s="49"/>
      <c r="P143" s="49"/>
      <c r="Q143" s="49"/>
      <c r="R143" s="49"/>
      <c r="S143" s="49"/>
      <c r="T143" s="49"/>
      <c r="U143" s="49"/>
      <c r="V143" s="49"/>
      <c r="W143" s="49"/>
      <c r="X143" s="49"/>
      <c r="Y143" s="49"/>
      <c r="Z143" s="49"/>
      <c r="AA143" s="49"/>
      <c r="AB143" s="49"/>
      <c r="AC143" s="49"/>
      <c r="AD143" s="49"/>
    </row>
    <row r="144" spans="1:30" ht="13">
      <c r="A144" s="140">
        <f ca="1">IFERROR(__xludf.DUMMYFUNCTION("""COMPUTED_VALUE"""),43818.5194019097)</f>
        <v>43818.519401909703</v>
      </c>
      <c r="B144" s="141" t="str">
        <f ca="1">IFERROR(__xludf.DUMMYFUNCTION("""COMPUTED_VALUE"""),"Thanuja Selvanayagam")</f>
        <v>Thanuja Selvanayagam</v>
      </c>
      <c r="C144" s="141" t="str">
        <f ca="1">IFERROR(__xludf.DUMMYFUNCTION("""COMPUTED_VALUE"""),"tselvanayagam@cheo.on.ca")</f>
        <v>tselvanayagam@cheo.on.ca</v>
      </c>
      <c r="D144" s="49" t="str">
        <f ca="1">IFERROR(__xludf.DUMMYFUNCTION("""COMPUTED_VALUE"""),"Contacted")</f>
        <v>Contacted</v>
      </c>
      <c r="E144" s="99">
        <f ca="1">IFERROR(__xludf.DUMMYFUNCTION("""COMPUTED_VALUE"""),43846)</f>
        <v>43846</v>
      </c>
      <c r="F144" s="49" t="str">
        <f ca="1">IFERROR(__xludf.DUMMYFUNCTION("""COMPUTED_VALUE"""),"Yes")</f>
        <v>Yes</v>
      </c>
      <c r="G144" s="49" t="str">
        <f ca="1">IFERROR(__xludf.DUMMYFUNCTION("""COMPUTED_VALUE"""),"Gene Disease Validity")</f>
        <v>Gene Disease Validity</v>
      </c>
      <c r="H144" s="49" t="str">
        <f ca="1">IFERROR(__xludf.DUMMYFUNCTION("""COMPUTED_VALUE"""),"")</f>
        <v/>
      </c>
      <c r="I144" s="49"/>
      <c r="J144" s="49" t="str">
        <f ca="1">IFERROR(__xludf.DUMMYFUNCTION("""COMPUTED_VALUE"""),"")</f>
        <v/>
      </c>
      <c r="K144" s="49"/>
      <c r="L144" s="49" t="str">
        <f ca="1">IFERROR(__xludf.DUMMYFUNCTION("""COMPUTED_VALUE"""),"")</f>
        <v/>
      </c>
      <c r="M144" s="49"/>
      <c r="N144" s="49"/>
      <c r="O144" s="49"/>
      <c r="P144" s="49"/>
      <c r="Q144" s="49"/>
      <c r="R144" s="49"/>
      <c r="S144" s="49"/>
      <c r="T144" s="49"/>
      <c r="U144" s="49"/>
      <c r="V144" s="49"/>
      <c r="W144" s="49"/>
      <c r="X144" s="49"/>
      <c r="Y144" s="49"/>
      <c r="Z144" s="49"/>
      <c r="AA144" s="49"/>
      <c r="AB144" s="49"/>
      <c r="AC144" s="49"/>
      <c r="AD144" s="49"/>
    </row>
    <row r="145" spans="1:30" ht="13">
      <c r="A145" s="157">
        <f ca="1">IFERROR(__xludf.DUMMYFUNCTION("""COMPUTED_VALUE"""),43846.6398908564)</f>
        <v>43846.639890856401</v>
      </c>
      <c r="B145" s="158" t="str">
        <f ca="1">IFERROR(__xludf.DUMMYFUNCTION("""COMPUTED_VALUE"""),"Julie Hathaway")</f>
        <v>Julie Hathaway</v>
      </c>
      <c r="C145" s="158" t="str">
        <f ca="1">IFERROR(__xludf.DUMMYFUNCTION("""COMPUTED_VALUE"""),"julie.hathaway@blueprintgenetics.com")</f>
        <v>julie.hathaway@blueprintgenetics.com</v>
      </c>
      <c r="D145" s="42" t="str">
        <f ca="1">IFERROR(__xludf.DUMMYFUNCTION("""COMPUTED_VALUE"""),"Contacted")</f>
        <v>Contacted</v>
      </c>
      <c r="E145" s="67">
        <f ca="1">IFERROR(__xludf.DUMMYFUNCTION("""COMPUTED_VALUE"""),43846)</f>
        <v>43846</v>
      </c>
      <c r="F145" s="49" t="str">
        <f ca="1">IFERROR(__xludf.DUMMYFUNCTION("""COMPUTED_VALUE"""),"Yes")</f>
        <v>Yes</v>
      </c>
      <c r="G145" s="49" t="str">
        <f ca="1">IFERROR(__xludf.DUMMYFUNCTION("""COMPUTED_VALUE"""),"Gene Disease Validity")</f>
        <v>Gene Disease Validity</v>
      </c>
      <c r="H145" s="49" t="str">
        <f ca="1">IFERROR(__xludf.DUMMYFUNCTION("""COMPUTED_VALUE"""),"")</f>
        <v/>
      </c>
      <c r="I145" s="49"/>
      <c r="J145" s="49" t="str">
        <f ca="1">IFERROR(__xludf.DUMMYFUNCTION("""COMPUTED_VALUE"""),"")</f>
        <v/>
      </c>
      <c r="K145" s="49"/>
      <c r="L145" s="49" t="str">
        <f ca="1">IFERROR(__xludf.DUMMYFUNCTION("""COMPUTED_VALUE"""),"")</f>
        <v/>
      </c>
      <c r="M145" s="49"/>
      <c r="N145" s="49"/>
      <c r="O145" s="49"/>
      <c r="P145" s="49"/>
      <c r="Q145" s="49"/>
      <c r="R145" s="49"/>
      <c r="S145" s="49"/>
      <c r="T145" s="49"/>
      <c r="U145" s="49"/>
      <c r="V145" s="49"/>
      <c r="W145" s="49"/>
      <c r="X145" s="49"/>
      <c r="Y145" s="49"/>
      <c r="Z145" s="49"/>
      <c r="AA145" s="49"/>
      <c r="AB145" s="49"/>
      <c r="AC145" s="49"/>
      <c r="AD145" s="49"/>
    </row>
    <row r="146" spans="1:30" ht="13">
      <c r="A146" s="140">
        <f ca="1">IFERROR(__xludf.DUMMYFUNCTION("""COMPUTED_VALUE"""),43846.6503298032)</f>
        <v>43846.650329803197</v>
      </c>
      <c r="B146" s="141" t="str">
        <f ca="1">IFERROR(__xludf.DUMMYFUNCTION("""COMPUTED_VALUE"""),"Devon Thrush")</f>
        <v>Devon Thrush</v>
      </c>
      <c r="C146" s="141" t="str">
        <f ca="1">IFERROR(__xludf.DUMMYFUNCTION("""COMPUTED_VALUE"""),"dthrush@ambrygen.com")</f>
        <v>dthrush@ambrygen.com</v>
      </c>
      <c r="D146" s="49" t="str">
        <f ca="1">IFERROR(__xludf.DUMMYFUNCTION("""COMPUTED_VALUE"""),"Contacted")</f>
        <v>Contacted</v>
      </c>
      <c r="E146" s="99">
        <f ca="1">IFERROR(__xludf.DUMMYFUNCTION("""COMPUTED_VALUE"""),43846)</f>
        <v>43846</v>
      </c>
      <c r="F146" s="49" t="str">
        <f ca="1">IFERROR(__xludf.DUMMYFUNCTION("""COMPUTED_VALUE"""),"No")</f>
        <v>No</v>
      </c>
      <c r="G146" s="49" t="str">
        <f ca="1">IFERROR(__xludf.DUMMYFUNCTION("""COMPUTED_VALUE"""),"Gene Disease Validity")</f>
        <v>Gene Disease Validity</v>
      </c>
      <c r="H146" s="49" t="str">
        <f ca="1">IFERROR(__xludf.DUMMYFUNCTION("""COMPUTED_VALUE"""),"")</f>
        <v/>
      </c>
      <c r="I146" s="49"/>
      <c r="J146" s="49" t="str">
        <f ca="1">IFERROR(__xludf.DUMMYFUNCTION("""COMPUTED_VALUE"""),"")</f>
        <v/>
      </c>
      <c r="K146" s="49"/>
      <c r="L146" s="49" t="str">
        <f ca="1">IFERROR(__xludf.DUMMYFUNCTION("""COMPUTED_VALUE"""),"")</f>
        <v/>
      </c>
      <c r="M146" s="49"/>
      <c r="N146" s="49"/>
      <c r="O146" s="49"/>
      <c r="P146" s="49"/>
      <c r="Q146" s="49"/>
      <c r="R146" s="49"/>
      <c r="S146" s="49"/>
      <c r="T146" s="49"/>
      <c r="U146" s="49"/>
      <c r="V146" s="49"/>
      <c r="W146" s="49"/>
      <c r="X146" s="49"/>
      <c r="Y146" s="49"/>
      <c r="Z146" s="49"/>
      <c r="AA146" s="49"/>
      <c r="AB146" s="49"/>
      <c r="AC146" s="49"/>
      <c r="AD146" s="49"/>
    </row>
    <row r="147" spans="1:30" ht="13">
      <c r="A147" s="140">
        <f ca="1">IFERROR(__xludf.DUMMYFUNCTION("""COMPUTED_VALUE"""),43847.4378778125)</f>
        <v>43847.437877812503</v>
      </c>
      <c r="B147" s="141" t="str">
        <f ca="1">IFERROR(__xludf.DUMMYFUNCTION("""COMPUTED_VALUE"""),"Adriana Bastos Carvalho")</f>
        <v>Adriana Bastos Carvalho</v>
      </c>
      <c r="C147" s="141" t="str">
        <f ca="1">IFERROR(__xludf.DUMMYFUNCTION("""COMPUTED_VALUE"""),"carvalhoab@biof.ufrj.br")</f>
        <v>carvalhoab@biof.ufrj.br</v>
      </c>
      <c r="D147" s="49" t="str">
        <f ca="1">IFERROR(__xludf.DUMMYFUNCTION("""COMPUTED_VALUE"""),"Contacted")</f>
        <v>Contacted</v>
      </c>
      <c r="E147" s="99">
        <f ca="1">IFERROR(__xludf.DUMMYFUNCTION("""COMPUTED_VALUE"""),43846)</f>
        <v>43846</v>
      </c>
      <c r="F147" s="49" t="str">
        <f ca="1">IFERROR(__xludf.DUMMYFUNCTION("""COMPUTED_VALUE"""),"Yes")</f>
        <v>Yes</v>
      </c>
      <c r="G147" s="49" t="str">
        <f ca="1">IFERROR(__xludf.DUMMYFUNCTION("""COMPUTED_VALUE"""),"Variant Pathogenicity")</f>
        <v>Variant Pathogenicity</v>
      </c>
      <c r="H147" s="49" t="str">
        <f ca="1">IFERROR(__xludf.DUMMYFUNCTION("""COMPUTED_VALUE"""),"")</f>
        <v/>
      </c>
      <c r="I147" s="49"/>
      <c r="J147" s="49" t="str">
        <f ca="1">IFERROR(__xludf.DUMMYFUNCTION("""COMPUTED_VALUE"""),"")</f>
        <v/>
      </c>
      <c r="K147" s="49"/>
      <c r="L147" s="49" t="str">
        <f ca="1">IFERROR(__xludf.DUMMYFUNCTION("""COMPUTED_VALUE"""),"")</f>
        <v/>
      </c>
      <c r="M147" s="49"/>
      <c r="N147" s="49"/>
      <c r="O147" s="49"/>
      <c r="P147" s="49"/>
      <c r="Q147" s="49"/>
      <c r="R147" s="49"/>
      <c r="S147" s="49"/>
      <c r="T147" s="49"/>
      <c r="U147" s="49"/>
      <c r="V147" s="49"/>
      <c r="W147" s="49"/>
      <c r="X147" s="49"/>
      <c r="Y147" s="49"/>
      <c r="Z147" s="49"/>
      <c r="AA147" s="49"/>
      <c r="AB147" s="49"/>
      <c r="AC147" s="49"/>
      <c r="AD147" s="49"/>
    </row>
    <row r="148" spans="1:30" ht="13">
      <c r="A148" s="140">
        <f ca="1">IFERROR(__xludf.DUMMYFUNCTION("""COMPUTED_VALUE"""),43847.6695517476)</f>
        <v>43847.669551747596</v>
      </c>
      <c r="B148" s="141" t="str">
        <f ca="1">IFERROR(__xludf.DUMMYFUNCTION("""COMPUTED_VALUE"""),"Shiloh Martin")</f>
        <v>Shiloh Martin</v>
      </c>
      <c r="C148" s="141" t="str">
        <f ca="1">IFERROR(__xludf.DUMMYFUNCTION("""COMPUTED_VALUE"""),"shiloh.martin@invitae.com")</f>
        <v>shiloh.martin@invitae.com</v>
      </c>
      <c r="D148" s="49" t="str">
        <f ca="1">IFERROR(__xludf.DUMMYFUNCTION("""COMPUTED_VALUE"""),"Contacted")</f>
        <v>Contacted</v>
      </c>
      <c r="E148" s="99">
        <f ca="1">IFERROR(__xludf.DUMMYFUNCTION("""COMPUTED_VALUE"""),43846)</f>
        <v>43846</v>
      </c>
      <c r="F148" s="49" t="str">
        <f ca="1">IFERROR(__xludf.DUMMYFUNCTION("""COMPUTED_VALUE"""),"Yes")</f>
        <v>Yes</v>
      </c>
      <c r="G148" s="49" t="str">
        <f ca="1">IFERROR(__xludf.DUMMYFUNCTION("""COMPUTED_VALUE"""),"Gene Disease Validity")</f>
        <v>Gene Disease Validity</v>
      </c>
      <c r="H148" s="49" t="str">
        <f ca="1">IFERROR(__xludf.DUMMYFUNCTION("""COMPUTED_VALUE"""),"")</f>
        <v/>
      </c>
      <c r="I148" s="49"/>
      <c r="J148" s="49" t="str">
        <f ca="1">IFERROR(__xludf.DUMMYFUNCTION("""COMPUTED_VALUE"""),"")</f>
        <v/>
      </c>
      <c r="K148" s="49"/>
      <c r="L148" s="49" t="str">
        <f ca="1">IFERROR(__xludf.DUMMYFUNCTION("""COMPUTED_VALUE"""),"")</f>
        <v/>
      </c>
      <c r="M148" s="49"/>
      <c r="N148" s="49"/>
      <c r="O148" s="49"/>
      <c r="P148" s="49"/>
      <c r="Q148" s="49"/>
      <c r="R148" s="49"/>
      <c r="S148" s="49"/>
      <c r="T148" s="49"/>
      <c r="U148" s="49"/>
      <c r="V148" s="49"/>
      <c r="W148" s="49"/>
      <c r="X148" s="49"/>
      <c r="Y148" s="49"/>
      <c r="Z148" s="49"/>
      <c r="AA148" s="49"/>
      <c r="AB148" s="49"/>
      <c r="AC148" s="49"/>
      <c r="AD148" s="49"/>
    </row>
    <row r="149" spans="1:30" ht="13">
      <c r="A149" s="141"/>
      <c r="B149" s="141"/>
      <c r="C149" s="141"/>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row>
    <row r="150" spans="1:30" ht="13">
      <c r="A150" s="141"/>
      <c r="B150" s="141"/>
      <c r="C150" s="141"/>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row>
    <row r="151" spans="1:30" ht="13">
      <c r="A151" s="141"/>
      <c r="B151" s="141"/>
      <c r="C151" s="141"/>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row>
    <row r="152" spans="1:30" ht="13">
      <c r="A152" s="141"/>
      <c r="B152" s="141"/>
      <c r="C152" s="141"/>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row>
    <row r="153" spans="1:30" ht="13">
      <c r="A153" s="141"/>
      <c r="B153" s="141"/>
      <c r="C153" s="141"/>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row>
    <row r="154" spans="1:30" ht="13">
      <c r="A154" s="141"/>
      <c r="B154" s="141"/>
      <c r="C154" s="141"/>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row>
    <row r="155" spans="1:30" ht="13">
      <c r="A155" s="141"/>
      <c r="B155" s="141"/>
      <c r="C155" s="141"/>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row>
    <row r="156" spans="1:30" ht="13">
      <c r="A156" s="141"/>
      <c r="B156" s="141"/>
      <c r="C156" s="141"/>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row>
    <row r="157" spans="1:30" ht="13">
      <c r="A157" s="141"/>
      <c r="B157" s="141"/>
      <c r="C157" s="141"/>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row>
    <row r="158" spans="1:30" ht="13">
      <c r="A158" s="141"/>
      <c r="B158" s="141"/>
      <c r="C158" s="141"/>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row>
    <row r="159" spans="1:30" ht="13">
      <c r="A159" s="141"/>
      <c r="B159" s="141"/>
      <c r="C159" s="141"/>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row>
    <row r="160" spans="1:30" ht="13">
      <c r="A160" s="141"/>
      <c r="B160" s="141"/>
      <c r="C160" s="141"/>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row>
    <row r="161" spans="1:30" ht="13">
      <c r="A161" s="141"/>
      <c r="B161" s="141"/>
      <c r="C161" s="141"/>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row>
    <row r="162" spans="1:30" ht="13">
      <c r="A162" s="141"/>
      <c r="B162" s="141"/>
      <c r="C162" s="141"/>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row>
    <row r="163" spans="1:30" ht="13">
      <c r="A163" s="141"/>
      <c r="B163" s="141"/>
      <c r="C163" s="141"/>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row>
    <row r="164" spans="1:30" ht="13">
      <c r="A164" s="141"/>
      <c r="B164" s="141"/>
      <c r="C164" s="141"/>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row>
    <row r="165" spans="1:30" ht="13">
      <c r="A165" s="141"/>
      <c r="B165" s="141"/>
      <c r="C165" s="141"/>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row>
    <row r="166" spans="1:30" ht="13">
      <c r="A166" s="141"/>
      <c r="B166" s="141"/>
      <c r="C166" s="141"/>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row>
    <row r="167" spans="1:30" ht="13">
      <c r="A167" s="141"/>
      <c r="B167" s="141"/>
      <c r="C167" s="141"/>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row>
    <row r="168" spans="1:30" ht="13">
      <c r="A168" s="141"/>
      <c r="B168" s="141"/>
      <c r="C168" s="141"/>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row>
    <row r="169" spans="1:30" ht="13">
      <c r="A169" s="141"/>
      <c r="B169" s="141"/>
      <c r="C169" s="141"/>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row>
    <row r="170" spans="1:30" ht="13">
      <c r="A170" s="141"/>
      <c r="B170" s="141"/>
      <c r="C170" s="141"/>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row>
    <row r="171" spans="1:30" ht="13">
      <c r="A171" s="141"/>
      <c r="B171" s="141"/>
      <c r="C171" s="141"/>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row>
    <row r="172" spans="1:30" ht="13">
      <c r="A172" s="141"/>
      <c r="B172" s="141"/>
      <c r="C172" s="141"/>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row>
    <row r="173" spans="1:30" ht="13">
      <c r="A173" s="141"/>
      <c r="B173" s="141"/>
      <c r="C173" s="141"/>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row>
    <row r="174" spans="1:30" ht="13">
      <c r="A174" s="141"/>
      <c r="B174" s="141"/>
      <c r="C174" s="141"/>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row>
    <row r="175" spans="1:30" ht="13">
      <c r="A175" s="141"/>
      <c r="B175" s="141"/>
      <c r="C175" s="141"/>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row>
    <row r="176" spans="1:30" ht="13">
      <c r="A176" s="141"/>
      <c r="B176" s="141"/>
      <c r="C176" s="141"/>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row>
    <row r="177" spans="1:30" ht="13">
      <c r="A177" s="141"/>
      <c r="B177" s="141"/>
      <c r="C177" s="141"/>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row>
    <row r="178" spans="1:30" ht="13">
      <c r="A178" s="141"/>
      <c r="B178" s="141"/>
      <c r="C178" s="141"/>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row>
    <row r="179" spans="1:30" ht="13">
      <c r="A179" s="141"/>
      <c r="B179" s="141"/>
      <c r="C179" s="141"/>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row>
    <row r="180" spans="1:30" ht="13">
      <c r="A180" s="141"/>
      <c r="B180" s="141"/>
      <c r="C180" s="141"/>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row>
    <row r="181" spans="1:30" ht="13">
      <c r="A181" s="141"/>
      <c r="B181" s="141"/>
      <c r="C181" s="141"/>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row>
    <row r="182" spans="1:30" ht="13">
      <c r="A182" s="141"/>
      <c r="B182" s="141"/>
      <c r="C182" s="141"/>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row>
    <row r="183" spans="1:30" ht="13">
      <c r="A183" s="141"/>
      <c r="B183" s="141"/>
      <c r="C183" s="141"/>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row>
    <row r="184" spans="1:30" ht="13">
      <c r="A184" s="141"/>
      <c r="B184" s="141"/>
      <c r="C184" s="141"/>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row>
    <row r="185" spans="1:30" ht="13">
      <c r="A185" s="141"/>
      <c r="B185" s="141"/>
      <c r="C185" s="141"/>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row>
    <row r="186" spans="1:30" ht="13">
      <c r="A186" s="141"/>
      <c r="B186" s="141"/>
      <c r="C186" s="141"/>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row>
    <row r="187" spans="1:30" ht="13">
      <c r="A187" s="141"/>
      <c r="B187" s="141"/>
      <c r="C187" s="141"/>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row>
    <row r="188" spans="1:30" ht="13">
      <c r="A188" s="141"/>
      <c r="B188" s="141"/>
      <c r="C188" s="141"/>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row>
    <row r="189" spans="1:30" ht="13">
      <c r="A189" s="141"/>
      <c r="B189" s="141"/>
      <c r="C189" s="141"/>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row>
    <row r="190" spans="1:30" ht="13">
      <c r="A190" s="141"/>
      <c r="B190" s="141"/>
      <c r="C190" s="141"/>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row>
    <row r="191" spans="1:30" ht="13">
      <c r="A191" s="141"/>
      <c r="B191" s="141"/>
      <c r="C191" s="141"/>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row>
    <row r="192" spans="1:30" ht="13">
      <c r="A192" s="141"/>
      <c r="B192" s="141"/>
      <c r="C192" s="141"/>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row>
    <row r="193" spans="1:30" ht="13">
      <c r="A193" s="158"/>
      <c r="B193" s="158"/>
      <c r="C193" s="158"/>
      <c r="D193" s="42"/>
      <c r="E193" s="42"/>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row>
    <row r="194" spans="1:30" ht="13">
      <c r="A194" s="141"/>
      <c r="B194" s="141"/>
      <c r="C194" s="141"/>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row>
    <row r="195" spans="1:30" ht="13">
      <c r="A195" s="141"/>
      <c r="B195" s="141"/>
      <c r="C195" s="141"/>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row>
    <row r="196" spans="1:30" ht="13">
      <c r="A196" s="141"/>
      <c r="B196" s="141"/>
      <c r="C196" s="141"/>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row>
    <row r="197" spans="1:30" ht="13">
      <c r="A197" s="141"/>
      <c r="B197" s="141"/>
      <c r="C197" s="141"/>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row>
    <row r="198" spans="1:30" ht="13">
      <c r="A198" s="141"/>
      <c r="B198" s="141"/>
      <c r="C198" s="141"/>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row>
    <row r="199" spans="1:30" ht="13">
      <c r="A199" s="141"/>
      <c r="B199" s="141"/>
      <c r="C199" s="141"/>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row>
    <row r="200" spans="1:30" ht="13">
      <c r="A200" s="141"/>
      <c r="B200" s="141"/>
      <c r="C200" s="141"/>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row>
    <row r="201" spans="1:30" ht="13">
      <c r="A201" s="141"/>
      <c r="B201" s="141"/>
      <c r="C201" s="141"/>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row>
    <row r="202" spans="1:30" ht="13">
      <c r="A202" s="141"/>
      <c r="B202" s="141"/>
      <c r="C202" s="141"/>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row>
    <row r="203" spans="1:30" ht="13">
      <c r="A203" s="141"/>
      <c r="B203" s="141"/>
      <c r="C203" s="141"/>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row>
    <row r="204" spans="1:30" ht="13">
      <c r="A204" s="141"/>
      <c r="B204" s="141"/>
      <c r="C204" s="141"/>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row>
    <row r="205" spans="1:30" ht="13">
      <c r="A205" s="141"/>
      <c r="B205" s="141"/>
      <c r="C205" s="141"/>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row>
    <row r="206" spans="1:30" ht="13">
      <c r="A206" s="141"/>
      <c r="B206" s="141"/>
      <c r="C206" s="141"/>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row>
    <row r="207" spans="1:30" ht="13">
      <c r="A207" s="141"/>
      <c r="B207" s="141"/>
      <c r="C207" s="141"/>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row>
    <row r="208" spans="1:30" ht="13">
      <c r="A208" s="141"/>
      <c r="B208" s="141"/>
      <c r="C208" s="141"/>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row>
    <row r="209" spans="1:30" ht="13">
      <c r="A209" s="141"/>
      <c r="B209" s="141"/>
      <c r="C209" s="141"/>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row>
    <row r="210" spans="1:30" ht="13">
      <c r="A210" s="141"/>
      <c r="B210" s="141"/>
      <c r="C210" s="141"/>
      <c r="D210" s="49"/>
      <c r="E210" s="49"/>
      <c r="F210" s="49"/>
      <c r="G210" s="49"/>
      <c r="H210" s="49"/>
      <c r="I210" s="49"/>
      <c r="J210" s="49"/>
      <c r="K210" s="49"/>
      <c r="L210" s="49"/>
      <c r="M210" s="49"/>
      <c r="N210" s="49"/>
      <c r="O210" s="49"/>
      <c r="P210" s="49"/>
      <c r="Q210" s="49"/>
      <c r="R210" s="49"/>
      <c r="S210" s="49"/>
      <c r="T210" s="49"/>
      <c r="U210" s="49"/>
      <c r="V210" s="49"/>
      <c r="W210" s="49"/>
      <c r="X210" s="49"/>
      <c r="Y210" s="49"/>
      <c r="Z210" s="49"/>
      <c r="AA210" s="49"/>
      <c r="AB210" s="49"/>
      <c r="AC210" s="49"/>
      <c r="AD210" s="49"/>
    </row>
    <row r="211" spans="1:30" ht="13">
      <c r="A211" s="141"/>
      <c r="B211" s="141"/>
      <c r="C211" s="141"/>
      <c r="D211" s="49"/>
      <c r="E211" s="49"/>
      <c r="F211" s="49"/>
      <c r="G211" s="49"/>
      <c r="H211" s="49"/>
      <c r="I211" s="49"/>
      <c r="J211" s="49"/>
      <c r="K211" s="49"/>
      <c r="L211" s="49"/>
      <c r="M211" s="49"/>
      <c r="N211" s="49"/>
      <c r="O211" s="49"/>
      <c r="P211" s="49"/>
      <c r="Q211" s="49"/>
      <c r="R211" s="49"/>
      <c r="S211" s="49"/>
      <c r="T211" s="49"/>
      <c r="U211" s="49"/>
      <c r="V211" s="49"/>
      <c r="W211" s="49"/>
      <c r="X211" s="49"/>
      <c r="Y211" s="49"/>
      <c r="Z211" s="49"/>
      <c r="AA211" s="49"/>
      <c r="AB211" s="49"/>
      <c r="AC211" s="49"/>
      <c r="AD211" s="49"/>
    </row>
    <row r="212" spans="1:30" ht="13">
      <c r="A212" s="141"/>
      <c r="B212" s="141"/>
      <c r="C212" s="141"/>
      <c r="D212" s="49"/>
      <c r="E212" s="49"/>
      <c r="F212" s="49"/>
      <c r="G212" s="49"/>
      <c r="H212" s="49"/>
      <c r="I212" s="49"/>
      <c r="J212" s="49"/>
      <c r="K212" s="49"/>
      <c r="L212" s="49"/>
      <c r="M212" s="49"/>
      <c r="N212" s="49"/>
      <c r="O212" s="49"/>
      <c r="P212" s="49"/>
      <c r="Q212" s="49"/>
      <c r="R212" s="49"/>
      <c r="S212" s="49"/>
      <c r="T212" s="49"/>
      <c r="U212" s="49"/>
      <c r="V212" s="49"/>
      <c r="W212" s="49"/>
      <c r="X212" s="49"/>
      <c r="Y212" s="49"/>
      <c r="Z212" s="49"/>
      <c r="AA212" s="49"/>
      <c r="AB212" s="49"/>
      <c r="AC212" s="49"/>
      <c r="AD212" s="49"/>
    </row>
    <row r="213" spans="1:30" ht="13">
      <c r="A213" s="141"/>
      <c r="B213" s="141"/>
      <c r="C213" s="141"/>
      <c r="D213" s="49"/>
      <c r="E213" s="49"/>
      <c r="F213" s="49"/>
      <c r="G213" s="49"/>
      <c r="H213" s="49"/>
      <c r="I213" s="49"/>
      <c r="J213" s="49"/>
      <c r="K213" s="49"/>
      <c r="L213" s="49"/>
      <c r="M213" s="49"/>
      <c r="N213" s="49"/>
      <c r="O213" s="49"/>
      <c r="P213" s="49"/>
      <c r="Q213" s="49"/>
      <c r="R213" s="49"/>
      <c r="S213" s="49"/>
      <c r="T213" s="49"/>
      <c r="U213" s="49"/>
      <c r="V213" s="49"/>
      <c r="W213" s="49"/>
      <c r="X213" s="49"/>
      <c r="Y213" s="49"/>
      <c r="Z213" s="49"/>
      <c r="AA213" s="49"/>
      <c r="AB213" s="49"/>
      <c r="AC213" s="49"/>
      <c r="AD213" s="49"/>
    </row>
    <row r="214" spans="1:30" ht="13">
      <c r="A214" s="141"/>
      <c r="B214" s="141"/>
      <c r="C214" s="141"/>
      <c r="D214" s="49"/>
      <c r="E214" s="49"/>
      <c r="F214" s="49"/>
      <c r="G214" s="49"/>
      <c r="H214" s="49"/>
      <c r="I214" s="49"/>
      <c r="J214" s="49"/>
      <c r="K214" s="49"/>
      <c r="L214" s="49"/>
      <c r="M214" s="49"/>
      <c r="N214" s="49"/>
      <c r="O214" s="49"/>
      <c r="P214" s="49"/>
      <c r="Q214" s="49"/>
      <c r="R214" s="49"/>
      <c r="S214" s="49"/>
      <c r="T214" s="49"/>
      <c r="U214" s="49"/>
      <c r="V214" s="49"/>
      <c r="W214" s="49"/>
      <c r="X214" s="49"/>
      <c r="Y214" s="49"/>
      <c r="Z214" s="49"/>
      <c r="AA214" s="49"/>
      <c r="AB214" s="49"/>
      <c r="AC214" s="49"/>
      <c r="AD214" s="49"/>
    </row>
    <row r="215" spans="1:30" ht="13">
      <c r="A215" s="141"/>
      <c r="B215" s="141"/>
      <c r="C215" s="141"/>
      <c r="D215" s="49"/>
      <c r="E215" s="49"/>
      <c r="F215" s="49"/>
      <c r="G215" s="49"/>
      <c r="H215" s="49"/>
      <c r="I215" s="49"/>
      <c r="J215" s="49"/>
      <c r="K215" s="49"/>
      <c r="L215" s="49"/>
      <c r="M215" s="49"/>
      <c r="N215" s="49"/>
      <c r="O215" s="49"/>
      <c r="P215" s="49"/>
      <c r="Q215" s="49"/>
      <c r="R215" s="49"/>
      <c r="S215" s="49"/>
      <c r="T215" s="49"/>
      <c r="U215" s="49"/>
      <c r="V215" s="49"/>
      <c r="W215" s="49"/>
      <c r="X215" s="49"/>
      <c r="Y215" s="49"/>
      <c r="Z215" s="49"/>
      <c r="AA215" s="49"/>
      <c r="AB215" s="49"/>
      <c r="AC215" s="49"/>
      <c r="AD215" s="49"/>
    </row>
    <row r="216" spans="1:30" ht="13">
      <c r="A216" s="141"/>
      <c r="B216" s="141"/>
      <c r="C216" s="141"/>
      <c r="D216" s="49"/>
      <c r="E216" s="49"/>
      <c r="F216" s="49"/>
      <c r="G216" s="49"/>
      <c r="H216" s="49"/>
      <c r="I216" s="49"/>
      <c r="J216" s="49"/>
      <c r="K216" s="49"/>
      <c r="L216" s="49"/>
      <c r="M216" s="49"/>
      <c r="N216" s="49"/>
      <c r="O216" s="49"/>
      <c r="P216" s="49"/>
      <c r="Q216" s="49"/>
      <c r="R216" s="49"/>
      <c r="S216" s="49"/>
      <c r="T216" s="49"/>
      <c r="U216" s="49"/>
      <c r="V216" s="49"/>
      <c r="W216" s="49"/>
      <c r="X216" s="49"/>
      <c r="Y216" s="49"/>
      <c r="Z216" s="49"/>
      <c r="AA216" s="49"/>
      <c r="AB216" s="49"/>
      <c r="AC216" s="49"/>
      <c r="AD216" s="49"/>
    </row>
    <row r="217" spans="1:30" ht="13">
      <c r="A217" s="141"/>
      <c r="B217" s="141"/>
      <c r="C217" s="141"/>
      <c r="D217" s="49"/>
      <c r="E217" s="49"/>
      <c r="F217" s="49"/>
      <c r="G217" s="49"/>
      <c r="H217" s="49"/>
      <c r="I217" s="49"/>
      <c r="J217" s="49"/>
      <c r="K217" s="49"/>
      <c r="L217" s="49"/>
      <c r="M217" s="49"/>
      <c r="N217" s="49"/>
      <c r="O217" s="49"/>
      <c r="P217" s="49"/>
      <c r="Q217" s="49"/>
      <c r="R217" s="49"/>
      <c r="S217" s="49"/>
      <c r="T217" s="49"/>
      <c r="U217" s="49"/>
      <c r="V217" s="49"/>
      <c r="W217" s="49"/>
      <c r="X217" s="49"/>
      <c r="Y217" s="49"/>
      <c r="Z217" s="49"/>
      <c r="AA217" s="49"/>
      <c r="AB217" s="49"/>
      <c r="AC217" s="49"/>
      <c r="AD217" s="49"/>
    </row>
    <row r="218" spans="1:30" ht="13">
      <c r="A218" s="141"/>
      <c r="B218" s="141"/>
      <c r="C218" s="141"/>
      <c r="D218" s="49"/>
      <c r="E218" s="49"/>
      <c r="F218" s="49"/>
      <c r="G218" s="49"/>
      <c r="H218" s="49"/>
      <c r="I218" s="49"/>
      <c r="J218" s="49"/>
      <c r="K218" s="49"/>
      <c r="L218" s="49"/>
      <c r="M218" s="49"/>
      <c r="N218" s="49"/>
      <c r="O218" s="49"/>
      <c r="P218" s="49"/>
      <c r="Q218" s="49"/>
      <c r="R218" s="49"/>
      <c r="S218" s="49"/>
      <c r="T218" s="49"/>
      <c r="U218" s="49"/>
      <c r="V218" s="49"/>
      <c r="W218" s="49"/>
      <c r="X218" s="49"/>
      <c r="Y218" s="49"/>
      <c r="Z218" s="49"/>
      <c r="AA218" s="49"/>
      <c r="AB218" s="49"/>
      <c r="AC218" s="49"/>
      <c r="AD218" s="49"/>
    </row>
    <row r="219" spans="1:30" ht="13">
      <c r="A219" s="141"/>
      <c r="B219" s="141"/>
      <c r="C219" s="141"/>
      <c r="D219" s="49"/>
      <c r="E219" s="49"/>
      <c r="F219" s="49"/>
      <c r="G219" s="49"/>
      <c r="H219" s="49"/>
      <c r="I219" s="49"/>
      <c r="J219" s="49"/>
      <c r="K219" s="49"/>
      <c r="L219" s="49"/>
      <c r="M219" s="49"/>
      <c r="N219" s="49"/>
      <c r="O219" s="49"/>
      <c r="P219" s="49"/>
      <c r="Q219" s="49"/>
      <c r="R219" s="49"/>
      <c r="S219" s="49"/>
      <c r="T219" s="49"/>
      <c r="U219" s="49"/>
      <c r="V219" s="49"/>
      <c r="W219" s="49"/>
      <c r="X219" s="49"/>
      <c r="Y219" s="49"/>
      <c r="Z219" s="49"/>
      <c r="AA219" s="49"/>
      <c r="AB219" s="49"/>
      <c r="AC219" s="49"/>
      <c r="AD219" s="49"/>
    </row>
    <row r="220" spans="1:30" ht="13">
      <c r="A220" s="141"/>
      <c r="B220" s="141"/>
      <c r="C220" s="141"/>
      <c r="D220" s="49"/>
      <c r="E220" s="49"/>
      <c r="F220" s="49"/>
      <c r="G220" s="49"/>
      <c r="H220" s="49"/>
      <c r="I220" s="49"/>
      <c r="J220" s="49"/>
      <c r="K220" s="49"/>
      <c r="L220" s="49"/>
      <c r="M220" s="49"/>
      <c r="N220" s="49"/>
      <c r="O220" s="49"/>
      <c r="P220" s="49"/>
      <c r="Q220" s="49"/>
      <c r="R220" s="49"/>
      <c r="S220" s="49"/>
      <c r="T220" s="49"/>
      <c r="U220" s="49"/>
      <c r="V220" s="49"/>
      <c r="W220" s="49"/>
      <c r="X220" s="49"/>
      <c r="Y220" s="49"/>
      <c r="Z220" s="49"/>
      <c r="AA220" s="49"/>
      <c r="AB220" s="49"/>
      <c r="AC220" s="49"/>
      <c r="AD220" s="49"/>
    </row>
    <row r="221" spans="1:30" ht="13">
      <c r="A221" s="141"/>
      <c r="B221" s="141"/>
      <c r="C221" s="141"/>
      <c r="D221" s="49"/>
      <c r="E221" s="49"/>
      <c r="F221" s="49"/>
      <c r="G221" s="49"/>
      <c r="H221" s="49"/>
      <c r="I221" s="49"/>
      <c r="J221" s="49"/>
      <c r="K221" s="49"/>
      <c r="L221" s="49"/>
      <c r="M221" s="49"/>
      <c r="N221" s="49"/>
      <c r="O221" s="49"/>
      <c r="P221" s="49"/>
      <c r="Q221" s="49"/>
      <c r="R221" s="49"/>
      <c r="S221" s="49"/>
      <c r="T221" s="49"/>
      <c r="U221" s="49"/>
      <c r="V221" s="49"/>
      <c r="W221" s="49"/>
      <c r="X221" s="49"/>
      <c r="Y221" s="49"/>
      <c r="Z221" s="49"/>
      <c r="AA221" s="49"/>
      <c r="AB221" s="49"/>
      <c r="AC221" s="49"/>
      <c r="AD221" s="49"/>
    </row>
    <row r="222" spans="1:30" ht="13">
      <c r="A222" s="141"/>
      <c r="B222" s="141"/>
      <c r="C222" s="141"/>
      <c r="D222" s="49"/>
      <c r="E222" s="49"/>
      <c r="F222" s="49"/>
      <c r="G222" s="49"/>
      <c r="H222" s="49"/>
      <c r="I222" s="49"/>
      <c r="J222" s="49"/>
      <c r="K222" s="49"/>
      <c r="L222" s="49"/>
      <c r="M222" s="49"/>
      <c r="N222" s="49"/>
      <c r="O222" s="49"/>
      <c r="P222" s="49"/>
      <c r="Q222" s="49"/>
      <c r="R222" s="49"/>
      <c r="S222" s="49"/>
      <c r="T222" s="49"/>
      <c r="U222" s="49"/>
      <c r="V222" s="49"/>
      <c r="W222" s="49"/>
      <c r="X222" s="49"/>
      <c r="Y222" s="49"/>
      <c r="Z222" s="49"/>
      <c r="AA222" s="49"/>
      <c r="AB222" s="49"/>
      <c r="AC222" s="49"/>
      <c r="AD222" s="49"/>
    </row>
    <row r="223" spans="1:30" ht="13">
      <c r="A223" s="141"/>
      <c r="B223" s="141"/>
      <c r="C223" s="141"/>
      <c r="D223" s="49"/>
      <c r="E223" s="49"/>
      <c r="F223" s="49"/>
      <c r="G223" s="49"/>
      <c r="H223" s="49"/>
      <c r="I223" s="49"/>
      <c r="J223" s="49"/>
      <c r="K223" s="49"/>
      <c r="L223" s="49"/>
      <c r="M223" s="49"/>
      <c r="N223" s="49"/>
      <c r="O223" s="49"/>
      <c r="P223" s="49"/>
      <c r="Q223" s="49"/>
      <c r="R223" s="49"/>
      <c r="S223" s="49"/>
      <c r="T223" s="49"/>
      <c r="U223" s="49"/>
      <c r="V223" s="49"/>
      <c r="W223" s="49"/>
      <c r="X223" s="49"/>
      <c r="Y223" s="49"/>
      <c r="Z223" s="49"/>
      <c r="AA223" s="49"/>
      <c r="AB223" s="49"/>
      <c r="AC223" s="49"/>
      <c r="AD223" s="49"/>
    </row>
    <row r="224" spans="1:30" ht="13">
      <c r="A224" s="141"/>
      <c r="B224" s="141"/>
      <c r="C224" s="141"/>
      <c r="D224" s="49"/>
      <c r="E224" s="49"/>
      <c r="F224" s="49"/>
      <c r="G224" s="49"/>
      <c r="H224" s="49"/>
      <c r="I224" s="49"/>
      <c r="J224" s="49"/>
      <c r="K224" s="49"/>
      <c r="L224" s="49"/>
      <c r="M224" s="49"/>
      <c r="N224" s="49"/>
      <c r="O224" s="49"/>
      <c r="P224" s="49"/>
      <c r="Q224" s="49"/>
      <c r="R224" s="49"/>
      <c r="S224" s="49"/>
      <c r="T224" s="49"/>
      <c r="U224" s="49"/>
      <c r="V224" s="49"/>
      <c r="W224" s="49"/>
      <c r="X224" s="49"/>
      <c r="Y224" s="49"/>
      <c r="Z224" s="49"/>
      <c r="AA224" s="49"/>
      <c r="AB224" s="49"/>
      <c r="AC224" s="49"/>
      <c r="AD224" s="49"/>
    </row>
    <row r="225" spans="1:30" ht="13">
      <c r="A225" s="141"/>
      <c r="B225" s="141"/>
      <c r="C225" s="141"/>
      <c r="D225" s="49"/>
      <c r="E225" s="49"/>
      <c r="F225" s="49"/>
      <c r="G225" s="49"/>
      <c r="H225" s="49"/>
      <c r="I225" s="49"/>
      <c r="J225" s="49"/>
      <c r="K225" s="49"/>
      <c r="L225" s="49"/>
      <c r="M225" s="49"/>
      <c r="N225" s="49"/>
      <c r="O225" s="49"/>
      <c r="P225" s="49"/>
      <c r="Q225" s="49"/>
      <c r="R225" s="49"/>
      <c r="S225" s="49"/>
      <c r="T225" s="49"/>
      <c r="U225" s="49"/>
      <c r="V225" s="49"/>
      <c r="W225" s="49"/>
      <c r="X225" s="49"/>
      <c r="Y225" s="49"/>
      <c r="Z225" s="49"/>
      <c r="AA225" s="49"/>
      <c r="AB225" s="49"/>
      <c r="AC225" s="49"/>
      <c r="AD225" s="49"/>
    </row>
    <row r="226" spans="1:30" ht="13">
      <c r="A226" s="141"/>
      <c r="B226" s="141"/>
      <c r="C226" s="141"/>
      <c r="D226" s="49"/>
      <c r="E226" s="49"/>
      <c r="F226" s="49"/>
      <c r="G226" s="49"/>
      <c r="H226" s="49"/>
      <c r="I226" s="49"/>
      <c r="J226" s="49"/>
      <c r="K226" s="49"/>
      <c r="L226" s="49"/>
      <c r="M226" s="49"/>
      <c r="N226" s="49"/>
      <c r="O226" s="49"/>
      <c r="P226" s="49"/>
      <c r="Q226" s="49"/>
      <c r="R226" s="49"/>
      <c r="S226" s="49"/>
      <c r="T226" s="49"/>
      <c r="U226" s="49"/>
      <c r="V226" s="49"/>
      <c r="W226" s="49"/>
      <c r="X226" s="49"/>
      <c r="Y226" s="49"/>
      <c r="Z226" s="49"/>
      <c r="AA226" s="49"/>
      <c r="AB226" s="49"/>
      <c r="AC226" s="49"/>
      <c r="AD226" s="49"/>
    </row>
    <row r="227" spans="1:30" ht="13">
      <c r="A227" s="141"/>
      <c r="B227" s="141"/>
      <c r="C227" s="141"/>
      <c r="D227" s="49"/>
      <c r="E227" s="49"/>
      <c r="F227" s="49"/>
      <c r="G227" s="49"/>
      <c r="H227" s="49"/>
      <c r="I227" s="49"/>
      <c r="J227" s="49"/>
      <c r="K227" s="49"/>
      <c r="L227" s="49"/>
      <c r="M227" s="49"/>
      <c r="N227" s="49"/>
      <c r="O227" s="49"/>
      <c r="P227" s="49"/>
      <c r="Q227" s="49"/>
      <c r="R227" s="49"/>
      <c r="S227" s="49"/>
      <c r="T227" s="49"/>
      <c r="U227" s="49"/>
      <c r="V227" s="49"/>
      <c r="W227" s="49"/>
      <c r="X227" s="49"/>
      <c r="Y227" s="49"/>
      <c r="Z227" s="49"/>
      <c r="AA227" s="49"/>
      <c r="AB227" s="49"/>
      <c r="AC227" s="49"/>
      <c r="AD227" s="49"/>
    </row>
    <row r="228" spans="1:30" ht="13">
      <c r="A228" s="141"/>
      <c r="B228" s="141"/>
      <c r="C228" s="141"/>
      <c r="D228" s="49"/>
      <c r="E228" s="49"/>
      <c r="F228" s="49"/>
      <c r="G228" s="49"/>
      <c r="H228" s="49"/>
      <c r="I228" s="49"/>
      <c r="J228" s="49"/>
      <c r="K228" s="49"/>
      <c r="L228" s="49"/>
      <c r="M228" s="49"/>
      <c r="N228" s="49"/>
      <c r="O228" s="49"/>
      <c r="P228" s="49"/>
      <c r="Q228" s="49"/>
      <c r="R228" s="49"/>
      <c r="S228" s="49"/>
      <c r="T228" s="49"/>
      <c r="U228" s="49"/>
      <c r="V228" s="49"/>
      <c r="W228" s="49"/>
      <c r="X228" s="49"/>
      <c r="Y228" s="49"/>
      <c r="Z228" s="49"/>
      <c r="AA228" s="49"/>
      <c r="AB228" s="49"/>
      <c r="AC228" s="49"/>
      <c r="AD228" s="49"/>
    </row>
    <row r="229" spans="1:30" ht="13">
      <c r="A229" s="141"/>
      <c r="B229" s="141"/>
      <c r="C229" s="141"/>
      <c r="D229" s="49"/>
      <c r="E229" s="49"/>
      <c r="F229" s="49"/>
      <c r="G229" s="49"/>
      <c r="H229" s="49"/>
      <c r="I229" s="49"/>
      <c r="J229" s="49"/>
      <c r="K229" s="49"/>
      <c r="L229" s="49"/>
      <c r="M229" s="49"/>
      <c r="N229" s="49"/>
      <c r="O229" s="49"/>
      <c r="P229" s="49"/>
      <c r="Q229" s="49"/>
      <c r="R229" s="49"/>
      <c r="S229" s="49"/>
      <c r="T229" s="49"/>
      <c r="U229" s="49"/>
      <c r="V229" s="49"/>
      <c r="W229" s="49"/>
      <c r="X229" s="49"/>
      <c r="Y229" s="49"/>
      <c r="Z229" s="49"/>
      <c r="AA229" s="49"/>
      <c r="AB229" s="49"/>
      <c r="AC229" s="49"/>
      <c r="AD229" s="49"/>
    </row>
    <row r="230" spans="1:30" ht="13">
      <c r="A230" s="141"/>
      <c r="B230" s="141"/>
      <c r="C230" s="141"/>
      <c r="D230" s="49"/>
      <c r="E230" s="49"/>
      <c r="F230" s="49"/>
      <c r="G230" s="49"/>
      <c r="H230" s="49"/>
      <c r="I230" s="49"/>
      <c r="J230" s="49"/>
      <c r="K230" s="49"/>
      <c r="L230" s="49"/>
      <c r="M230" s="49"/>
      <c r="N230" s="49"/>
      <c r="O230" s="49"/>
      <c r="P230" s="49"/>
      <c r="Q230" s="49"/>
      <c r="R230" s="49"/>
      <c r="S230" s="49"/>
      <c r="T230" s="49"/>
      <c r="U230" s="49"/>
      <c r="V230" s="49"/>
      <c r="W230" s="49"/>
      <c r="X230" s="49"/>
      <c r="Y230" s="49"/>
      <c r="Z230" s="49"/>
      <c r="AA230" s="49"/>
      <c r="AB230" s="49"/>
      <c r="AC230" s="49"/>
      <c r="AD230" s="49"/>
    </row>
    <row r="231" spans="1:30" ht="13">
      <c r="A231" s="141"/>
      <c r="B231" s="141"/>
      <c r="C231" s="141"/>
      <c r="D231" s="49"/>
      <c r="E231" s="49"/>
      <c r="F231" s="49"/>
      <c r="G231" s="49"/>
      <c r="H231" s="49"/>
      <c r="I231" s="49"/>
      <c r="J231" s="49"/>
      <c r="K231" s="49"/>
      <c r="L231" s="49"/>
      <c r="M231" s="49"/>
      <c r="N231" s="49"/>
      <c r="O231" s="49"/>
      <c r="P231" s="49"/>
      <c r="Q231" s="49"/>
      <c r="R231" s="49"/>
      <c r="S231" s="49"/>
      <c r="T231" s="49"/>
      <c r="U231" s="49"/>
      <c r="V231" s="49"/>
      <c r="W231" s="49"/>
      <c r="X231" s="49"/>
      <c r="Y231" s="49"/>
      <c r="Z231" s="49"/>
      <c r="AA231" s="49"/>
      <c r="AB231" s="49"/>
      <c r="AC231" s="49"/>
      <c r="AD231" s="49"/>
    </row>
    <row r="232" spans="1:30" ht="13">
      <c r="A232" s="141"/>
      <c r="B232" s="141"/>
      <c r="C232" s="141"/>
      <c r="D232" s="49"/>
      <c r="E232" s="49"/>
      <c r="F232" s="49"/>
      <c r="G232" s="49"/>
      <c r="H232" s="49"/>
      <c r="I232" s="49"/>
      <c r="J232" s="49"/>
      <c r="K232" s="49"/>
      <c r="L232" s="49"/>
      <c r="M232" s="49"/>
      <c r="N232" s="49"/>
      <c r="O232" s="49"/>
      <c r="P232" s="49"/>
      <c r="Q232" s="49"/>
      <c r="R232" s="49"/>
      <c r="S232" s="49"/>
      <c r="T232" s="49"/>
      <c r="U232" s="49"/>
      <c r="V232" s="49"/>
      <c r="W232" s="49"/>
      <c r="X232" s="49"/>
      <c r="Y232" s="49"/>
      <c r="Z232" s="49"/>
      <c r="AA232" s="49"/>
      <c r="AB232" s="49"/>
      <c r="AC232" s="49"/>
      <c r="AD232" s="49"/>
    </row>
    <row r="233" spans="1:30" ht="13">
      <c r="A233" s="141"/>
      <c r="B233" s="141"/>
      <c r="C233" s="141"/>
      <c r="D233" s="49"/>
      <c r="E233" s="49"/>
      <c r="F233" s="49"/>
      <c r="G233" s="49"/>
      <c r="H233" s="49"/>
      <c r="I233" s="49"/>
      <c r="J233" s="49"/>
      <c r="K233" s="49"/>
      <c r="L233" s="49"/>
      <c r="M233" s="49"/>
      <c r="N233" s="49"/>
      <c r="O233" s="49"/>
      <c r="P233" s="49"/>
      <c r="Q233" s="49"/>
      <c r="R233" s="49"/>
      <c r="S233" s="49"/>
      <c r="T233" s="49"/>
      <c r="U233" s="49"/>
      <c r="V233" s="49"/>
      <c r="W233" s="49"/>
      <c r="X233" s="49"/>
      <c r="Y233" s="49"/>
      <c r="Z233" s="49"/>
      <c r="AA233" s="49"/>
      <c r="AB233" s="49"/>
      <c r="AC233" s="49"/>
      <c r="AD233" s="49"/>
    </row>
    <row r="234" spans="1:30" ht="13">
      <c r="A234" s="141"/>
      <c r="B234" s="141"/>
      <c r="C234" s="141"/>
      <c r="D234" s="49"/>
      <c r="E234" s="49"/>
      <c r="F234" s="49"/>
      <c r="G234" s="49"/>
      <c r="H234" s="49"/>
      <c r="I234" s="49"/>
      <c r="J234" s="49"/>
      <c r="K234" s="49"/>
      <c r="L234" s="49"/>
      <c r="M234" s="49"/>
      <c r="N234" s="49"/>
      <c r="O234" s="49"/>
      <c r="P234" s="49"/>
      <c r="Q234" s="49"/>
      <c r="R234" s="49"/>
      <c r="S234" s="49"/>
      <c r="T234" s="49"/>
      <c r="U234" s="49"/>
      <c r="V234" s="49"/>
      <c r="W234" s="49"/>
      <c r="X234" s="49"/>
      <c r="Y234" s="49"/>
      <c r="Z234" s="49"/>
      <c r="AA234" s="49"/>
      <c r="AB234" s="49"/>
      <c r="AC234" s="49"/>
      <c r="AD234" s="49"/>
    </row>
    <row r="235" spans="1:30" ht="13">
      <c r="A235" s="141"/>
      <c r="B235" s="141"/>
      <c r="C235" s="141"/>
      <c r="D235" s="49"/>
      <c r="E235" s="49"/>
      <c r="F235" s="49"/>
      <c r="G235" s="49"/>
      <c r="H235" s="49"/>
      <c r="I235" s="49"/>
      <c r="J235" s="49"/>
      <c r="K235" s="49"/>
      <c r="L235" s="49"/>
      <c r="M235" s="49"/>
      <c r="N235" s="49"/>
      <c r="O235" s="49"/>
      <c r="P235" s="49"/>
      <c r="Q235" s="49"/>
      <c r="R235" s="49"/>
      <c r="S235" s="49"/>
      <c r="T235" s="49"/>
      <c r="U235" s="49"/>
      <c r="V235" s="49"/>
      <c r="W235" s="49"/>
      <c r="X235" s="49"/>
      <c r="Y235" s="49"/>
      <c r="Z235" s="49"/>
      <c r="AA235" s="49"/>
      <c r="AB235" s="49"/>
      <c r="AC235" s="49"/>
      <c r="AD235" s="49"/>
    </row>
    <row r="236" spans="1:30" ht="13">
      <c r="A236" s="141"/>
      <c r="B236" s="141"/>
      <c r="C236" s="141"/>
      <c r="D236" s="49"/>
      <c r="E236" s="49"/>
      <c r="F236" s="49"/>
      <c r="G236" s="49"/>
      <c r="H236" s="49"/>
      <c r="I236" s="49"/>
      <c r="J236" s="49"/>
      <c r="K236" s="49"/>
      <c r="L236" s="49"/>
      <c r="M236" s="49"/>
      <c r="N236" s="49"/>
      <c r="O236" s="49"/>
      <c r="P236" s="49"/>
      <c r="Q236" s="49"/>
      <c r="R236" s="49"/>
      <c r="S236" s="49"/>
      <c r="T236" s="49"/>
      <c r="U236" s="49"/>
      <c r="V236" s="49"/>
      <c r="W236" s="49"/>
      <c r="X236" s="49"/>
      <c r="Y236" s="49"/>
      <c r="Z236" s="49"/>
      <c r="AA236" s="49"/>
      <c r="AB236" s="49"/>
      <c r="AC236" s="49"/>
      <c r="AD236" s="49"/>
    </row>
    <row r="237" spans="1:30" ht="13">
      <c r="A237" s="141"/>
      <c r="B237" s="141"/>
      <c r="C237" s="141"/>
      <c r="D237" s="49"/>
      <c r="E237" s="49"/>
      <c r="F237" s="49"/>
      <c r="G237" s="49"/>
      <c r="H237" s="49"/>
      <c r="I237" s="49"/>
      <c r="J237" s="49"/>
      <c r="K237" s="49"/>
      <c r="L237" s="49"/>
      <c r="M237" s="49"/>
      <c r="N237" s="49"/>
      <c r="O237" s="49"/>
      <c r="P237" s="49"/>
      <c r="Q237" s="49"/>
      <c r="R237" s="49"/>
      <c r="S237" s="49"/>
      <c r="T237" s="49"/>
      <c r="U237" s="49"/>
      <c r="V237" s="49"/>
      <c r="W237" s="49"/>
      <c r="X237" s="49"/>
      <c r="Y237" s="49"/>
      <c r="Z237" s="49"/>
      <c r="AA237" s="49"/>
      <c r="AB237" s="49"/>
      <c r="AC237" s="49"/>
      <c r="AD237" s="49"/>
    </row>
    <row r="238" spans="1:30" ht="13">
      <c r="A238" s="141"/>
      <c r="B238" s="141"/>
      <c r="C238" s="141"/>
      <c r="D238" s="49"/>
      <c r="E238" s="49"/>
      <c r="F238" s="49"/>
      <c r="G238" s="49"/>
      <c r="H238" s="49"/>
      <c r="I238" s="49"/>
      <c r="J238" s="49"/>
      <c r="K238" s="49"/>
      <c r="L238" s="49"/>
      <c r="M238" s="49"/>
      <c r="N238" s="49"/>
      <c r="O238" s="49"/>
      <c r="P238" s="49"/>
      <c r="Q238" s="49"/>
      <c r="R238" s="49"/>
      <c r="S238" s="49"/>
      <c r="T238" s="49"/>
      <c r="U238" s="49"/>
      <c r="V238" s="49"/>
      <c r="W238" s="49"/>
      <c r="X238" s="49"/>
      <c r="Y238" s="49"/>
      <c r="Z238" s="49"/>
      <c r="AA238" s="49"/>
      <c r="AB238" s="49"/>
      <c r="AC238" s="49"/>
      <c r="AD238" s="49"/>
    </row>
    <row r="239" spans="1:30" ht="13">
      <c r="A239" s="141"/>
      <c r="B239" s="141"/>
      <c r="C239" s="141"/>
      <c r="D239" s="49"/>
      <c r="E239" s="49"/>
      <c r="F239" s="49"/>
      <c r="G239" s="49"/>
      <c r="H239" s="49"/>
      <c r="I239" s="49"/>
      <c r="J239" s="49"/>
      <c r="K239" s="49"/>
      <c r="L239" s="49"/>
      <c r="M239" s="49"/>
      <c r="N239" s="49"/>
      <c r="O239" s="49"/>
      <c r="P239" s="49"/>
      <c r="Q239" s="49"/>
      <c r="R239" s="49"/>
      <c r="S239" s="49"/>
      <c r="T239" s="49"/>
      <c r="U239" s="49"/>
      <c r="V239" s="49"/>
      <c r="W239" s="49"/>
      <c r="X239" s="49"/>
      <c r="Y239" s="49"/>
      <c r="Z239" s="49"/>
      <c r="AA239" s="49"/>
      <c r="AB239" s="49"/>
      <c r="AC239" s="49"/>
      <c r="AD239" s="49"/>
    </row>
    <row r="240" spans="1:30" ht="13">
      <c r="A240" s="141"/>
      <c r="B240" s="141"/>
      <c r="C240" s="141"/>
      <c r="D240" s="49"/>
      <c r="E240" s="49"/>
      <c r="F240" s="49"/>
      <c r="G240" s="49"/>
      <c r="H240" s="49"/>
      <c r="I240" s="49"/>
      <c r="J240" s="49"/>
      <c r="K240" s="49"/>
      <c r="L240" s="49"/>
      <c r="M240" s="49"/>
      <c r="N240" s="49"/>
      <c r="O240" s="49"/>
      <c r="P240" s="49"/>
      <c r="Q240" s="49"/>
      <c r="R240" s="49"/>
      <c r="S240" s="49"/>
      <c r="T240" s="49"/>
      <c r="U240" s="49"/>
      <c r="V240" s="49"/>
      <c r="W240" s="49"/>
      <c r="X240" s="49"/>
      <c r="Y240" s="49"/>
      <c r="Z240" s="49"/>
      <c r="AA240" s="49"/>
      <c r="AB240" s="49"/>
      <c r="AC240" s="49"/>
      <c r="AD240" s="49"/>
    </row>
    <row r="241" spans="1:30" ht="13">
      <c r="A241" s="141"/>
      <c r="B241" s="141"/>
      <c r="C241" s="141"/>
      <c r="D241" s="49"/>
      <c r="E241" s="49"/>
      <c r="F241" s="49"/>
      <c r="G241" s="49"/>
      <c r="H241" s="49"/>
      <c r="I241" s="49"/>
      <c r="J241" s="49"/>
      <c r="K241" s="49"/>
      <c r="L241" s="49"/>
      <c r="M241" s="49"/>
      <c r="N241" s="49"/>
      <c r="O241" s="49"/>
      <c r="P241" s="49"/>
      <c r="Q241" s="49"/>
      <c r="R241" s="49"/>
      <c r="S241" s="49"/>
      <c r="T241" s="49"/>
      <c r="U241" s="49"/>
      <c r="V241" s="49"/>
      <c r="W241" s="49"/>
      <c r="X241" s="49"/>
      <c r="Y241" s="49"/>
      <c r="Z241" s="49"/>
      <c r="AA241" s="49"/>
      <c r="AB241" s="49"/>
      <c r="AC241" s="49"/>
      <c r="AD241" s="49"/>
    </row>
    <row r="242" spans="1:30" ht="13">
      <c r="A242" s="141"/>
      <c r="B242" s="141"/>
      <c r="C242" s="141"/>
      <c r="D242" s="49"/>
      <c r="E242" s="49"/>
      <c r="F242" s="49"/>
      <c r="G242" s="49"/>
      <c r="H242" s="49"/>
      <c r="I242" s="49"/>
      <c r="J242" s="49"/>
      <c r="K242" s="49"/>
      <c r="L242" s="49"/>
      <c r="M242" s="49"/>
      <c r="N242" s="49"/>
      <c r="O242" s="49"/>
      <c r="P242" s="49"/>
      <c r="Q242" s="49"/>
      <c r="R242" s="49"/>
      <c r="S242" s="49"/>
      <c r="T242" s="49"/>
      <c r="U242" s="49"/>
      <c r="V242" s="49"/>
      <c r="W242" s="49"/>
      <c r="X242" s="49"/>
      <c r="Y242" s="49"/>
      <c r="Z242" s="49"/>
      <c r="AA242" s="49"/>
      <c r="AB242" s="49"/>
      <c r="AC242" s="49"/>
      <c r="AD242" s="49"/>
    </row>
    <row r="243" spans="1:30" ht="13">
      <c r="A243" s="141"/>
      <c r="B243" s="141"/>
      <c r="C243" s="141"/>
      <c r="D243" s="49"/>
      <c r="E243" s="49"/>
      <c r="F243" s="49"/>
      <c r="G243" s="49"/>
      <c r="H243" s="49"/>
      <c r="I243" s="49"/>
      <c r="J243" s="49"/>
      <c r="K243" s="49"/>
      <c r="L243" s="49"/>
      <c r="M243" s="49"/>
      <c r="N243" s="49"/>
      <c r="O243" s="49"/>
      <c r="P243" s="49"/>
      <c r="Q243" s="49"/>
      <c r="R243" s="49"/>
      <c r="S243" s="49"/>
      <c r="T243" s="49"/>
      <c r="U243" s="49"/>
      <c r="V243" s="49"/>
      <c r="W243" s="49"/>
      <c r="X243" s="49"/>
      <c r="Y243" s="49"/>
      <c r="Z243" s="49"/>
      <c r="AA243" s="49"/>
      <c r="AB243" s="49"/>
      <c r="AC243" s="49"/>
      <c r="AD243" s="49"/>
    </row>
    <row r="244" spans="1:30" ht="13">
      <c r="A244" s="141"/>
      <c r="B244" s="141"/>
      <c r="C244" s="141"/>
      <c r="D244" s="49"/>
      <c r="E244" s="49"/>
      <c r="F244" s="49"/>
      <c r="G244" s="49"/>
      <c r="H244" s="49"/>
      <c r="I244" s="49"/>
      <c r="J244" s="49"/>
      <c r="K244" s="49"/>
      <c r="L244" s="49"/>
      <c r="M244" s="49"/>
      <c r="N244" s="49"/>
      <c r="O244" s="49"/>
      <c r="P244" s="49"/>
      <c r="Q244" s="49"/>
      <c r="R244" s="49"/>
      <c r="S244" s="49"/>
      <c r="T244" s="49"/>
      <c r="U244" s="49"/>
      <c r="V244" s="49"/>
      <c r="W244" s="49"/>
      <c r="X244" s="49"/>
      <c r="Y244" s="49"/>
      <c r="Z244" s="49"/>
      <c r="AA244" s="49"/>
      <c r="AB244" s="49"/>
      <c r="AC244" s="49"/>
      <c r="AD244" s="49"/>
    </row>
    <row r="245" spans="1:30" ht="13">
      <c r="A245" s="141"/>
      <c r="B245" s="141"/>
      <c r="C245" s="141"/>
      <c r="D245" s="49"/>
      <c r="E245" s="49"/>
      <c r="F245" s="49"/>
      <c r="G245" s="49"/>
      <c r="H245" s="49"/>
      <c r="I245" s="49"/>
      <c r="J245" s="49"/>
      <c r="K245" s="49"/>
      <c r="L245" s="49"/>
      <c r="M245" s="49"/>
      <c r="N245" s="49"/>
      <c r="O245" s="49"/>
      <c r="P245" s="49"/>
      <c r="Q245" s="49"/>
      <c r="R245" s="49"/>
      <c r="S245" s="49"/>
      <c r="T245" s="49"/>
      <c r="U245" s="49"/>
      <c r="V245" s="49"/>
      <c r="W245" s="49"/>
      <c r="X245" s="49"/>
      <c r="Y245" s="49"/>
      <c r="Z245" s="49"/>
      <c r="AA245" s="49"/>
      <c r="AB245" s="49"/>
      <c r="AC245" s="49"/>
      <c r="AD245" s="49"/>
    </row>
    <row r="246" spans="1:30" ht="13">
      <c r="A246" s="141"/>
      <c r="B246" s="141"/>
      <c r="C246" s="141"/>
      <c r="D246" s="49"/>
      <c r="E246" s="49"/>
      <c r="F246" s="49"/>
      <c r="G246" s="49"/>
      <c r="H246" s="49"/>
      <c r="I246" s="49"/>
      <c r="J246" s="49"/>
      <c r="K246" s="49"/>
      <c r="L246" s="49"/>
      <c r="M246" s="49"/>
      <c r="N246" s="49"/>
      <c r="O246" s="49"/>
      <c r="P246" s="49"/>
      <c r="Q246" s="49"/>
      <c r="R246" s="49"/>
      <c r="S246" s="49"/>
      <c r="T246" s="49"/>
      <c r="U246" s="49"/>
      <c r="V246" s="49"/>
      <c r="W246" s="49"/>
      <c r="X246" s="49"/>
      <c r="Y246" s="49"/>
      <c r="Z246" s="49"/>
      <c r="AA246" s="49"/>
      <c r="AB246" s="49"/>
      <c r="AC246" s="49"/>
      <c r="AD246" s="49"/>
    </row>
    <row r="247" spans="1:30" ht="13">
      <c r="A247" s="141"/>
      <c r="B247" s="141"/>
      <c r="C247" s="141"/>
      <c r="D247" s="49"/>
      <c r="E247" s="49"/>
      <c r="F247" s="49"/>
      <c r="G247" s="49"/>
      <c r="H247" s="49"/>
      <c r="I247" s="49"/>
      <c r="J247" s="49"/>
      <c r="K247" s="49"/>
      <c r="L247" s="49"/>
      <c r="M247" s="49"/>
      <c r="N247" s="49"/>
      <c r="O247" s="49"/>
      <c r="P247" s="49"/>
      <c r="Q247" s="49"/>
      <c r="R247" s="49"/>
      <c r="S247" s="49"/>
      <c r="T247" s="49"/>
      <c r="U247" s="49"/>
      <c r="V247" s="49"/>
      <c r="W247" s="49"/>
      <c r="X247" s="49"/>
      <c r="Y247" s="49"/>
      <c r="Z247" s="49"/>
      <c r="AA247" s="49"/>
      <c r="AB247" s="49"/>
      <c r="AC247" s="49"/>
      <c r="AD247" s="49"/>
    </row>
    <row r="248" spans="1:30" ht="13">
      <c r="A248" s="141"/>
      <c r="B248" s="141"/>
      <c r="C248" s="141"/>
      <c r="D248" s="49"/>
      <c r="E248" s="49"/>
      <c r="F248" s="49"/>
      <c r="G248" s="49"/>
      <c r="H248" s="49"/>
      <c r="I248" s="49"/>
      <c r="J248" s="49"/>
      <c r="K248" s="49"/>
      <c r="L248" s="49"/>
      <c r="M248" s="49"/>
      <c r="N248" s="49"/>
      <c r="O248" s="49"/>
      <c r="P248" s="49"/>
      <c r="Q248" s="49"/>
      <c r="R248" s="49"/>
      <c r="S248" s="49"/>
      <c r="T248" s="49"/>
      <c r="U248" s="49"/>
      <c r="V248" s="49"/>
      <c r="W248" s="49"/>
      <c r="X248" s="49"/>
      <c r="Y248" s="49"/>
      <c r="Z248" s="49"/>
      <c r="AA248" s="49"/>
      <c r="AB248" s="49"/>
      <c r="AC248" s="49"/>
      <c r="AD248" s="49"/>
    </row>
    <row r="249" spans="1:30" ht="13">
      <c r="A249" s="141"/>
      <c r="B249" s="141"/>
      <c r="C249" s="141"/>
      <c r="D249" s="49"/>
      <c r="E249" s="49"/>
      <c r="F249" s="49"/>
      <c r="G249" s="49"/>
      <c r="H249" s="49"/>
      <c r="I249" s="49"/>
      <c r="J249" s="49"/>
      <c r="K249" s="49"/>
      <c r="L249" s="49"/>
      <c r="M249" s="49"/>
      <c r="N249" s="49"/>
      <c r="O249" s="49"/>
      <c r="P249" s="49"/>
      <c r="Q249" s="49"/>
      <c r="R249" s="49"/>
      <c r="S249" s="49"/>
      <c r="T249" s="49"/>
      <c r="U249" s="49"/>
      <c r="V249" s="49"/>
      <c r="W249" s="49"/>
      <c r="X249" s="49"/>
      <c r="Y249" s="49"/>
      <c r="Z249" s="49"/>
      <c r="AA249" s="49"/>
      <c r="AB249" s="49"/>
      <c r="AC249" s="49"/>
      <c r="AD249" s="49"/>
    </row>
    <row r="250" spans="1:30" ht="13">
      <c r="A250" s="141"/>
      <c r="B250" s="141"/>
      <c r="C250" s="141"/>
      <c r="D250" s="49"/>
      <c r="E250" s="49"/>
      <c r="F250" s="49"/>
      <c r="G250" s="49"/>
      <c r="H250" s="49"/>
      <c r="I250" s="49"/>
      <c r="J250" s="49"/>
      <c r="K250" s="49"/>
      <c r="L250" s="49"/>
      <c r="M250" s="49"/>
      <c r="N250" s="49"/>
      <c r="O250" s="49"/>
      <c r="P250" s="49"/>
      <c r="Q250" s="49"/>
      <c r="R250" s="49"/>
      <c r="S250" s="49"/>
      <c r="T250" s="49"/>
      <c r="U250" s="49"/>
      <c r="V250" s="49"/>
      <c r="W250" s="49"/>
      <c r="X250" s="49"/>
      <c r="Y250" s="49"/>
      <c r="Z250" s="49"/>
      <c r="AA250" s="49"/>
      <c r="AB250" s="49"/>
      <c r="AC250" s="49"/>
      <c r="AD250" s="49"/>
    </row>
    <row r="251" spans="1:30" ht="13">
      <c r="A251" s="141"/>
      <c r="B251" s="141"/>
      <c r="C251" s="141"/>
      <c r="D251" s="49"/>
      <c r="E251" s="49"/>
      <c r="F251" s="49"/>
      <c r="G251" s="49"/>
      <c r="H251" s="49"/>
      <c r="I251" s="49"/>
      <c r="J251" s="49"/>
      <c r="K251" s="49"/>
      <c r="L251" s="49"/>
      <c r="M251" s="49"/>
      <c r="N251" s="49"/>
      <c r="O251" s="49"/>
      <c r="P251" s="49"/>
      <c r="Q251" s="49"/>
      <c r="R251" s="49"/>
      <c r="S251" s="49"/>
      <c r="T251" s="49"/>
      <c r="U251" s="49"/>
      <c r="V251" s="49"/>
      <c r="W251" s="49"/>
      <c r="X251" s="49"/>
      <c r="Y251" s="49"/>
      <c r="Z251" s="49"/>
      <c r="AA251" s="49"/>
      <c r="AB251" s="49"/>
      <c r="AC251" s="49"/>
      <c r="AD251" s="49"/>
    </row>
    <row r="252" spans="1:30" ht="13">
      <c r="A252" s="141"/>
      <c r="B252" s="141"/>
      <c r="C252" s="141"/>
      <c r="D252" s="49"/>
      <c r="E252" s="49"/>
      <c r="F252" s="49"/>
      <c r="G252" s="49"/>
      <c r="H252" s="49"/>
      <c r="I252" s="49"/>
      <c r="J252" s="49"/>
      <c r="K252" s="49"/>
      <c r="L252" s="49"/>
      <c r="M252" s="49"/>
      <c r="N252" s="49"/>
      <c r="O252" s="49"/>
      <c r="P252" s="49"/>
      <c r="Q252" s="49"/>
      <c r="R252" s="49"/>
      <c r="S252" s="49"/>
      <c r="T252" s="49"/>
      <c r="U252" s="49"/>
      <c r="V252" s="49"/>
      <c r="W252" s="49"/>
      <c r="X252" s="49"/>
      <c r="Y252" s="49"/>
      <c r="Z252" s="49"/>
      <c r="AA252" s="49"/>
      <c r="AB252" s="49"/>
      <c r="AC252" s="49"/>
      <c r="AD252" s="49"/>
    </row>
    <row r="253" spans="1:30" ht="13">
      <c r="A253" s="141"/>
      <c r="B253" s="141"/>
      <c r="C253" s="141"/>
      <c r="D253" s="49"/>
      <c r="E253" s="49"/>
      <c r="F253" s="49"/>
      <c r="G253" s="49"/>
      <c r="H253" s="49"/>
      <c r="I253" s="49"/>
      <c r="J253" s="49"/>
      <c r="K253" s="49"/>
      <c r="L253" s="49"/>
      <c r="M253" s="49"/>
      <c r="N253" s="49"/>
      <c r="O253" s="49"/>
      <c r="P253" s="49"/>
      <c r="Q253" s="49"/>
      <c r="R253" s="49"/>
      <c r="S253" s="49"/>
      <c r="T253" s="49"/>
      <c r="U253" s="49"/>
      <c r="V253" s="49"/>
      <c r="W253" s="49"/>
      <c r="X253" s="49"/>
      <c r="Y253" s="49"/>
      <c r="Z253" s="49"/>
      <c r="AA253" s="49"/>
      <c r="AB253" s="49"/>
      <c r="AC253" s="49"/>
      <c r="AD253" s="49"/>
    </row>
    <row r="254" spans="1:30" ht="13">
      <c r="A254" s="141"/>
      <c r="B254" s="141"/>
      <c r="C254" s="141"/>
      <c r="D254" s="49"/>
      <c r="E254" s="49"/>
      <c r="F254" s="49"/>
      <c r="G254" s="49"/>
      <c r="H254" s="49"/>
      <c r="I254" s="49"/>
      <c r="J254" s="49"/>
      <c r="K254" s="49"/>
      <c r="L254" s="49"/>
      <c r="M254" s="49"/>
      <c r="N254" s="49"/>
      <c r="O254" s="49"/>
      <c r="P254" s="49"/>
      <c r="Q254" s="49"/>
      <c r="R254" s="49"/>
      <c r="S254" s="49"/>
      <c r="T254" s="49"/>
      <c r="U254" s="49"/>
      <c r="V254" s="49"/>
      <c r="W254" s="49"/>
      <c r="X254" s="49"/>
      <c r="Y254" s="49"/>
      <c r="Z254" s="49"/>
      <c r="AA254" s="49"/>
      <c r="AB254" s="49"/>
      <c r="AC254" s="49"/>
      <c r="AD254" s="49"/>
    </row>
    <row r="255" spans="1:30" ht="13">
      <c r="A255" s="141"/>
      <c r="B255" s="141"/>
      <c r="C255" s="141"/>
      <c r="D255" s="49"/>
      <c r="E255" s="49"/>
      <c r="F255" s="49"/>
      <c r="G255" s="49"/>
      <c r="H255" s="49"/>
      <c r="I255" s="49"/>
      <c r="J255" s="49"/>
      <c r="K255" s="49"/>
      <c r="L255" s="49"/>
      <c r="M255" s="49"/>
      <c r="N255" s="49"/>
      <c r="O255" s="49"/>
      <c r="P255" s="49"/>
      <c r="Q255" s="49"/>
      <c r="R255" s="49"/>
      <c r="S255" s="49"/>
      <c r="T255" s="49"/>
      <c r="U255" s="49"/>
      <c r="V255" s="49"/>
      <c r="W255" s="49"/>
      <c r="X255" s="49"/>
      <c r="Y255" s="49"/>
      <c r="Z255" s="49"/>
      <c r="AA255" s="49"/>
      <c r="AB255" s="49"/>
      <c r="AC255" s="49"/>
      <c r="AD255" s="49"/>
    </row>
    <row r="256" spans="1:30" ht="13">
      <c r="A256" s="141"/>
      <c r="B256" s="141"/>
      <c r="C256" s="141"/>
      <c r="D256" s="49"/>
      <c r="E256" s="49"/>
      <c r="F256" s="49"/>
      <c r="G256" s="49"/>
      <c r="H256" s="49"/>
      <c r="I256" s="49"/>
      <c r="J256" s="49"/>
      <c r="K256" s="49"/>
      <c r="L256" s="49"/>
      <c r="M256" s="49"/>
      <c r="N256" s="49"/>
      <c r="O256" s="49"/>
      <c r="P256" s="49"/>
      <c r="Q256" s="49"/>
      <c r="R256" s="49"/>
      <c r="S256" s="49"/>
      <c r="T256" s="49"/>
      <c r="U256" s="49"/>
      <c r="V256" s="49"/>
      <c r="W256" s="49"/>
      <c r="X256" s="49"/>
      <c r="Y256" s="49"/>
      <c r="Z256" s="49"/>
      <c r="AA256" s="49"/>
      <c r="AB256" s="49"/>
      <c r="AC256" s="49"/>
      <c r="AD256" s="49"/>
    </row>
    <row r="257" spans="1:30" ht="13">
      <c r="A257" s="141"/>
      <c r="B257" s="141"/>
      <c r="C257" s="141"/>
      <c r="D257" s="49"/>
      <c r="E257" s="49"/>
      <c r="F257" s="49"/>
      <c r="G257" s="49"/>
      <c r="H257" s="49"/>
      <c r="I257" s="49"/>
      <c r="J257" s="49"/>
      <c r="K257" s="49"/>
      <c r="L257" s="49"/>
      <c r="M257" s="49"/>
      <c r="N257" s="49"/>
      <c r="O257" s="49"/>
      <c r="P257" s="49"/>
      <c r="Q257" s="49"/>
      <c r="R257" s="49"/>
      <c r="S257" s="49"/>
      <c r="T257" s="49"/>
      <c r="U257" s="49"/>
      <c r="V257" s="49"/>
      <c r="W257" s="49"/>
      <c r="X257" s="49"/>
      <c r="Y257" s="49"/>
      <c r="Z257" s="49"/>
      <c r="AA257" s="49"/>
      <c r="AB257" s="49"/>
      <c r="AC257" s="49"/>
      <c r="AD257" s="49"/>
    </row>
    <row r="258" spans="1:30" ht="13">
      <c r="A258" s="141"/>
      <c r="B258" s="141"/>
      <c r="C258" s="141"/>
      <c r="D258" s="49"/>
      <c r="E258" s="49"/>
      <c r="F258" s="49"/>
      <c r="G258" s="49"/>
      <c r="H258" s="49"/>
      <c r="I258" s="49"/>
      <c r="J258" s="49"/>
      <c r="K258" s="49"/>
      <c r="L258" s="49"/>
      <c r="M258" s="49"/>
      <c r="N258" s="49"/>
      <c r="O258" s="49"/>
      <c r="P258" s="49"/>
      <c r="Q258" s="49"/>
      <c r="R258" s="49"/>
      <c r="S258" s="49"/>
      <c r="T258" s="49"/>
      <c r="U258" s="49"/>
      <c r="V258" s="49"/>
      <c r="W258" s="49"/>
      <c r="X258" s="49"/>
      <c r="Y258" s="49"/>
      <c r="Z258" s="49"/>
      <c r="AA258" s="49"/>
      <c r="AB258" s="49"/>
      <c r="AC258" s="49"/>
      <c r="AD258" s="49"/>
    </row>
    <row r="259" spans="1:30" ht="13">
      <c r="A259" s="141"/>
      <c r="B259" s="141"/>
      <c r="C259" s="141"/>
      <c r="D259" s="49"/>
      <c r="E259" s="49"/>
      <c r="F259" s="49"/>
      <c r="G259" s="49"/>
      <c r="H259" s="49"/>
      <c r="I259" s="49"/>
      <c r="J259" s="49"/>
      <c r="K259" s="49"/>
      <c r="L259" s="49"/>
      <c r="M259" s="49"/>
      <c r="N259" s="49"/>
      <c r="O259" s="49"/>
      <c r="P259" s="49"/>
      <c r="Q259" s="49"/>
      <c r="R259" s="49"/>
      <c r="S259" s="49"/>
      <c r="T259" s="49"/>
      <c r="U259" s="49"/>
      <c r="V259" s="49"/>
      <c r="W259" s="49"/>
      <c r="X259" s="49"/>
      <c r="Y259" s="49"/>
      <c r="Z259" s="49"/>
      <c r="AA259" s="49"/>
      <c r="AB259" s="49"/>
      <c r="AC259" s="49"/>
      <c r="AD259" s="49"/>
    </row>
    <row r="260" spans="1:30" ht="13">
      <c r="A260" s="141"/>
      <c r="B260" s="141"/>
      <c r="C260" s="141"/>
      <c r="D260" s="49"/>
      <c r="E260" s="49"/>
      <c r="F260" s="49"/>
      <c r="G260" s="49"/>
      <c r="H260" s="49"/>
      <c r="I260" s="49"/>
      <c r="J260" s="49"/>
      <c r="K260" s="49"/>
      <c r="L260" s="49"/>
      <c r="M260" s="49"/>
      <c r="N260" s="49"/>
      <c r="O260" s="49"/>
      <c r="P260" s="49"/>
      <c r="Q260" s="49"/>
      <c r="R260" s="49"/>
      <c r="S260" s="49"/>
      <c r="T260" s="49"/>
      <c r="U260" s="49"/>
      <c r="V260" s="49"/>
      <c r="W260" s="49"/>
      <c r="X260" s="49"/>
      <c r="Y260" s="49"/>
      <c r="Z260" s="49"/>
      <c r="AA260" s="49"/>
      <c r="AB260" s="49"/>
      <c r="AC260" s="49"/>
      <c r="AD260" s="49"/>
    </row>
    <row r="261" spans="1:30" ht="13">
      <c r="A261" s="141"/>
      <c r="B261" s="141"/>
      <c r="C261" s="141"/>
      <c r="D261" s="49"/>
      <c r="E261" s="49"/>
      <c r="F261" s="49"/>
      <c r="G261" s="49"/>
      <c r="H261" s="49"/>
      <c r="I261" s="49"/>
      <c r="J261" s="49"/>
      <c r="K261" s="49"/>
      <c r="L261" s="49"/>
      <c r="M261" s="49"/>
      <c r="N261" s="49"/>
      <c r="O261" s="49"/>
      <c r="P261" s="49"/>
      <c r="Q261" s="49"/>
      <c r="R261" s="49"/>
      <c r="S261" s="49"/>
      <c r="T261" s="49"/>
      <c r="U261" s="49"/>
      <c r="V261" s="49"/>
      <c r="W261" s="49"/>
      <c r="X261" s="49"/>
      <c r="Y261" s="49"/>
      <c r="Z261" s="49"/>
      <c r="AA261" s="49"/>
      <c r="AB261" s="49"/>
      <c r="AC261" s="49"/>
      <c r="AD261" s="49"/>
    </row>
    <row r="262" spans="1:30" ht="13">
      <c r="A262" s="141"/>
      <c r="B262" s="141"/>
      <c r="C262" s="141"/>
      <c r="D262" s="49"/>
      <c r="E262" s="49"/>
      <c r="F262" s="49"/>
      <c r="G262" s="49"/>
      <c r="H262" s="49"/>
      <c r="I262" s="49"/>
      <c r="J262" s="49"/>
      <c r="K262" s="49"/>
      <c r="L262" s="49"/>
      <c r="M262" s="49"/>
      <c r="N262" s="49"/>
      <c r="O262" s="49"/>
      <c r="P262" s="49"/>
      <c r="Q262" s="49"/>
      <c r="R262" s="49"/>
      <c r="S262" s="49"/>
      <c r="T262" s="49"/>
      <c r="U262" s="49"/>
      <c r="V262" s="49"/>
      <c r="W262" s="49"/>
      <c r="X262" s="49"/>
      <c r="Y262" s="49"/>
      <c r="Z262" s="49"/>
      <c r="AA262" s="49"/>
      <c r="AB262" s="49"/>
      <c r="AC262" s="49"/>
      <c r="AD262" s="49"/>
    </row>
    <row r="263" spans="1:30" ht="13">
      <c r="A263" s="141"/>
      <c r="B263" s="141"/>
      <c r="C263" s="141"/>
      <c r="D263" s="49"/>
      <c r="E263" s="49"/>
      <c r="F263" s="49"/>
      <c r="G263" s="49"/>
      <c r="H263" s="49"/>
      <c r="I263" s="49"/>
      <c r="J263" s="49"/>
      <c r="K263" s="49"/>
      <c r="L263" s="49"/>
      <c r="M263" s="49"/>
      <c r="N263" s="49"/>
      <c r="O263" s="49"/>
      <c r="P263" s="49"/>
      <c r="Q263" s="49"/>
      <c r="R263" s="49"/>
      <c r="S263" s="49"/>
      <c r="T263" s="49"/>
      <c r="U263" s="49"/>
      <c r="V263" s="49"/>
      <c r="W263" s="49"/>
      <c r="X263" s="49"/>
      <c r="Y263" s="49"/>
      <c r="Z263" s="49"/>
      <c r="AA263" s="49"/>
      <c r="AB263" s="49"/>
      <c r="AC263" s="49"/>
      <c r="AD263" s="49"/>
    </row>
    <row r="264" spans="1:30" ht="13">
      <c r="A264" s="141"/>
      <c r="B264" s="141"/>
      <c r="C264" s="141"/>
      <c r="D264" s="49"/>
      <c r="E264" s="49"/>
      <c r="F264" s="49"/>
      <c r="G264" s="49"/>
      <c r="H264" s="49"/>
      <c r="I264" s="49"/>
      <c r="J264" s="49"/>
      <c r="K264" s="49"/>
      <c r="L264" s="49"/>
      <c r="M264" s="49"/>
      <c r="N264" s="49"/>
      <c r="O264" s="49"/>
      <c r="P264" s="49"/>
      <c r="Q264" s="49"/>
      <c r="R264" s="49"/>
      <c r="S264" s="49"/>
      <c r="T264" s="49"/>
      <c r="U264" s="49"/>
      <c r="V264" s="49"/>
      <c r="W264" s="49"/>
      <c r="X264" s="49"/>
      <c r="Y264" s="49"/>
      <c r="Z264" s="49"/>
      <c r="AA264" s="49"/>
      <c r="AB264" s="49"/>
      <c r="AC264" s="49"/>
      <c r="AD264" s="49"/>
    </row>
    <row r="265" spans="1:30" ht="13">
      <c r="A265" s="141"/>
      <c r="B265" s="141"/>
      <c r="C265" s="141"/>
      <c r="D265" s="49"/>
      <c r="E265" s="49"/>
      <c r="F265" s="49"/>
      <c r="G265" s="49"/>
      <c r="H265" s="49"/>
      <c r="I265" s="49"/>
      <c r="J265" s="49"/>
      <c r="K265" s="49"/>
      <c r="L265" s="49"/>
      <c r="M265" s="49"/>
      <c r="N265" s="49"/>
      <c r="O265" s="49"/>
      <c r="P265" s="49"/>
      <c r="Q265" s="49"/>
      <c r="R265" s="49"/>
      <c r="S265" s="49"/>
      <c r="T265" s="49"/>
      <c r="U265" s="49"/>
      <c r="V265" s="49"/>
      <c r="W265" s="49"/>
      <c r="X265" s="49"/>
      <c r="Y265" s="49"/>
      <c r="Z265" s="49"/>
      <c r="AA265" s="49"/>
      <c r="AB265" s="49"/>
      <c r="AC265" s="49"/>
      <c r="AD265" s="49"/>
    </row>
    <row r="266" spans="1:30" ht="13">
      <c r="A266" s="141"/>
      <c r="B266" s="141"/>
      <c r="C266" s="141"/>
      <c r="D266" s="49"/>
      <c r="E266" s="49"/>
      <c r="F266" s="49"/>
      <c r="G266" s="49"/>
      <c r="H266" s="49"/>
      <c r="I266" s="49"/>
      <c r="J266" s="49"/>
      <c r="K266" s="49"/>
      <c r="L266" s="49"/>
      <c r="M266" s="49"/>
      <c r="N266" s="49"/>
      <c r="O266" s="49"/>
      <c r="P266" s="49"/>
      <c r="Q266" s="49"/>
      <c r="R266" s="49"/>
      <c r="S266" s="49"/>
      <c r="T266" s="49"/>
      <c r="U266" s="49"/>
      <c r="V266" s="49"/>
      <c r="W266" s="49"/>
      <c r="X266" s="49"/>
      <c r="Y266" s="49"/>
      <c r="Z266" s="49"/>
      <c r="AA266" s="49"/>
      <c r="AB266" s="49"/>
      <c r="AC266" s="49"/>
      <c r="AD266" s="49"/>
    </row>
    <row r="267" spans="1:30" ht="13">
      <c r="A267" s="141"/>
      <c r="B267" s="141"/>
      <c r="C267" s="141"/>
      <c r="D267" s="49"/>
      <c r="E267" s="49"/>
      <c r="F267" s="49"/>
      <c r="G267" s="49"/>
      <c r="H267" s="49"/>
      <c r="I267" s="49"/>
      <c r="J267" s="49"/>
      <c r="K267" s="49"/>
      <c r="L267" s="49"/>
      <c r="M267" s="49"/>
      <c r="N267" s="49"/>
      <c r="O267" s="49"/>
      <c r="P267" s="49"/>
      <c r="Q267" s="49"/>
      <c r="R267" s="49"/>
      <c r="S267" s="49"/>
      <c r="T267" s="49"/>
      <c r="U267" s="49"/>
      <c r="V267" s="49"/>
      <c r="W267" s="49"/>
      <c r="X267" s="49"/>
      <c r="Y267" s="49"/>
      <c r="Z267" s="49"/>
      <c r="AA267" s="49"/>
      <c r="AB267" s="49"/>
      <c r="AC267" s="49"/>
      <c r="AD267" s="49"/>
    </row>
    <row r="268" spans="1:30" ht="13">
      <c r="A268" s="141"/>
      <c r="B268" s="141"/>
      <c r="C268" s="141"/>
      <c r="D268" s="49"/>
      <c r="E268" s="49"/>
      <c r="F268" s="49"/>
      <c r="G268" s="49"/>
      <c r="H268" s="49"/>
      <c r="I268" s="49"/>
      <c r="J268" s="49"/>
      <c r="K268" s="49"/>
      <c r="L268" s="49"/>
      <c r="M268" s="49"/>
      <c r="N268" s="49"/>
      <c r="O268" s="49"/>
      <c r="P268" s="49"/>
      <c r="Q268" s="49"/>
      <c r="R268" s="49"/>
      <c r="S268" s="49"/>
      <c r="T268" s="49"/>
      <c r="U268" s="49"/>
      <c r="V268" s="49"/>
      <c r="W268" s="49"/>
      <c r="X268" s="49"/>
      <c r="Y268" s="49"/>
      <c r="Z268" s="49"/>
      <c r="AA268" s="49"/>
      <c r="AB268" s="49"/>
      <c r="AC268" s="49"/>
      <c r="AD268" s="49"/>
    </row>
    <row r="269" spans="1:30" ht="13">
      <c r="A269" s="141"/>
      <c r="B269" s="141"/>
      <c r="C269" s="141"/>
      <c r="D269" s="49"/>
      <c r="E269" s="49"/>
      <c r="F269" s="49"/>
      <c r="G269" s="49"/>
      <c r="H269" s="49"/>
      <c r="I269" s="49"/>
      <c r="J269" s="49"/>
      <c r="K269" s="49"/>
      <c r="L269" s="49"/>
      <c r="M269" s="49"/>
      <c r="N269" s="49"/>
      <c r="O269" s="49"/>
      <c r="P269" s="49"/>
      <c r="Q269" s="49"/>
      <c r="R269" s="49"/>
      <c r="S269" s="49"/>
      <c r="T269" s="49"/>
      <c r="U269" s="49"/>
      <c r="V269" s="49"/>
      <c r="W269" s="49"/>
      <c r="X269" s="49"/>
      <c r="Y269" s="49"/>
      <c r="Z269" s="49"/>
      <c r="AA269" s="49"/>
      <c r="AB269" s="49"/>
      <c r="AC269" s="49"/>
      <c r="AD269" s="49"/>
    </row>
    <row r="270" spans="1:30" ht="13">
      <c r="A270" s="141"/>
      <c r="B270" s="141"/>
      <c r="C270" s="141"/>
      <c r="D270" s="49"/>
      <c r="E270" s="49"/>
      <c r="F270" s="49"/>
      <c r="G270" s="49"/>
      <c r="H270" s="49"/>
      <c r="I270" s="49"/>
      <c r="J270" s="49"/>
      <c r="K270" s="49"/>
      <c r="L270" s="49"/>
      <c r="M270" s="49"/>
      <c r="N270" s="49"/>
      <c r="O270" s="49"/>
      <c r="P270" s="49"/>
      <c r="Q270" s="49"/>
      <c r="R270" s="49"/>
      <c r="S270" s="49"/>
      <c r="T270" s="49"/>
      <c r="U270" s="49"/>
      <c r="V270" s="49"/>
      <c r="W270" s="49"/>
      <c r="X270" s="49"/>
      <c r="Y270" s="49"/>
      <c r="Z270" s="49"/>
      <c r="AA270" s="49"/>
      <c r="AB270" s="49"/>
      <c r="AC270" s="49"/>
      <c r="AD270" s="49"/>
    </row>
    <row r="271" spans="1:30" ht="13">
      <c r="A271" s="141"/>
      <c r="B271" s="141"/>
      <c r="C271" s="141"/>
      <c r="D271" s="49"/>
      <c r="E271" s="49"/>
      <c r="F271" s="49"/>
      <c r="G271" s="49"/>
      <c r="H271" s="49"/>
      <c r="I271" s="49"/>
      <c r="J271" s="49"/>
      <c r="K271" s="49"/>
      <c r="L271" s="49"/>
      <c r="M271" s="49"/>
      <c r="N271" s="49"/>
      <c r="O271" s="49"/>
      <c r="P271" s="49"/>
      <c r="Q271" s="49"/>
      <c r="R271" s="49"/>
      <c r="S271" s="49"/>
      <c r="T271" s="49"/>
      <c r="U271" s="49"/>
      <c r="V271" s="49"/>
      <c r="W271" s="49"/>
      <c r="X271" s="49"/>
      <c r="Y271" s="49"/>
      <c r="Z271" s="49"/>
      <c r="AA271" s="49"/>
      <c r="AB271" s="49"/>
      <c r="AC271" s="49"/>
      <c r="AD271" s="49"/>
    </row>
    <row r="272" spans="1:30" ht="13">
      <c r="A272" s="141"/>
      <c r="B272" s="141"/>
      <c r="C272" s="141"/>
      <c r="D272" s="49"/>
      <c r="E272" s="49"/>
      <c r="F272" s="49"/>
      <c r="G272" s="49"/>
      <c r="H272" s="49"/>
      <c r="I272" s="49"/>
      <c r="J272" s="49"/>
      <c r="K272" s="49"/>
      <c r="L272" s="49"/>
      <c r="M272" s="49"/>
      <c r="N272" s="49"/>
      <c r="O272" s="49"/>
      <c r="P272" s="49"/>
      <c r="Q272" s="49"/>
      <c r="R272" s="49"/>
      <c r="S272" s="49"/>
      <c r="T272" s="49"/>
      <c r="U272" s="49"/>
      <c r="V272" s="49"/>
      <c r="W272" s="49"/>
      <c r="X272" s="49"/>
      <c r="Y272" s="49"/>
      <c r="Z272" s="49"/>
      <c r="AA272" s="49"/>
      <c r="AB272" s="49"/>
      <c r="AC272" s="49"/>
      <c r="AD272" s="49"/>
    </row>
    <row r="273" spans="1:30" ht="13">
      <c r="A273" s="141"/>
      <c r="B273" s="141"/>
      <c r="C273" s="141"/>
      <c r="D273" s="49"/>
      <c r="E273" s="49"/>
      <c r="F273" s="49"/>
      <c r="G273" s="49"/>
      <c r="H273" s="49"/>
      <c r="I273" s="49"/>
      <c r="J273" s="49"/>
      <c r="K273" s="49"/>
      <c r="L273" s="49"/>
      <c r="M273" s="49"/>
      <c r="N273" s="49"/>
      <c r="O273" s="49"/>
      <c r="P273" s="49"/>
      <c r="Q273" s="49"/>
      <c r="R273" s="49"/>
      <c r="S273" s="49"/>
      <c r="T273" s="49"/>
      <c r="U273" s="49"/>
      <c r="V273" s="49"/>
      <c r="W273" s="49"/>
      <c r="X273" s="49"/>
      <c r="Y273" s="49"/>
      <c r="Z273" s="49"/>
      <c r="AA273" s="49"/>
      <c r="AB273" s="49"/>
      <c r="AC273" s="49"/>
      <c r="AD273" s="49"/>
    </row>
    <row r="274" spans="1:30" ht="13">
      <c r="A274" s="141"/>
      <c r="B274" s="141"/>
      <c r="C274" s="141"/>
      <c r="D274" s="49"/>
      <c r="E274" s="49"/>
      <c r="F274" s="49"/>
      <c r="G274" s="49"/>
      <c r="H274" s="49"/>
      <c r="I274" s="49"/>
      <c r="J274" s="49"/>
      <c r="K274" s="49"/>
      <c r="L274" s="49"/>
      <c r="M274" s="49"/>
      <c r="N274" s="49"/>
      <c r="O274" s="49"/>
      <c r="P274" s="49"/>
      <c r="Q274" s="49"/>
      <c r="R274" s="49"/>
      <c r="S274" s="49"/>
      <c r="T274" s="49"/>
      <c r="U274" s="49"/>
      <c r="V274" s="49"/>
      <c r="W274" s="49"/>
      <c r="X274" s="49"/>
      <c r="Y274" s="49"/>
      <c r="Z274" s="49"/>
      <c r="AA274" s="49"/>
      <c r="AB274" s="49"/>
      <c r="AC274" s="49"/>
      <c r="AD274" s="49"/>
    </row>
    <row r="275" spans="1:30" ht="13">
      <c r="A275" s="141"/>
      <c r="B275" s="141"/>
      <c r="C275" s="141"/>
      <c r="D275" s="49"/>
      <c r="E275" s="49"/>
      <c r="F275" s="49"/>
      <c r="G275" s="49"/>
      <c r="H275" s="49"/>
      <c r="I275" s="49"/>
      <c r="J275" s="49"/>
      <c r="K275" s="49"/>
      <c r="L275" s="49"/>
      <c r="M275" s="49"/>
      <c r="N275" s="49"/>
      <c r="O275" s="49"/>
      <c r="P275" s="49"/>
      <c r="Q275" s="49"/>
      <c r="R275" s="49"/>
      <c r="S275" s="49"/>
      <c r="T275" s="49"/>
      <c r="U275" s="49"/>
      <c r="V275" s="49"/>
      <c r="W275" s="49"/>
      <c r="X275" s="49"/>
      <c r="Y275" s="49"/>
      <c r="Z275" s="49"/>
      <c r="AA275" s="49"/>
      <c r="AB275" s="49"/>
      <c r="AC275" s="49"/>
      <c r="AD275" s="49"/>
    </row>
    <row r="276" spans="1:30" ht="13">
      <c r="A276" s="141"/>
      <c r="B276" s="141"/>
      <c r="C276" s="141"/>
      <c r="D276" s="49"/>
      <c r="E276" s="49"/>
      <c r="F276" s="49"/>
      <c r="G276" s="49"/>
      <c r="H276" s="49"/>
      <c r="I276" s="49"/>
      <c r="J276" s="49"/>
      <c r="K276" s="49"/>
      <c r="L276" s="49"/>
      <c r="M276" s="49"/>
      <c r="N276" s="49"/>
      <c r="O276" s="49"/>
      <c r="P276" s="49"/>
      <c r="Q276" s="49"/>
      <c r="R276" s="49"/>
      <c r="S276" s="49"/>
      <c r="T276" s="49"/>
      <c r="U276" s="49"/>
      <c r="V276" s="49"/>
      <c r="W276" s="49"/>
      <c r="X276" s="49"/>
      <c r="Y276" s="49"/>
      <c r="Z276" s="49"/>
      <c r="AA276" s="49"/>
      <c r="AB276" s="49"/>
      <c r="AC276" s="49"/>
      <c r="AD276" s="49"/>
    </row>
    <row r="277" spans="1:30" ht="13">
      <c r="A277" s="141"/>
      <c r="B277" s="141"/>
      <c r="C277" s="141"/>
      <c r="D277" s="49"/>
      <c r="E277" s="49"/>
      <c r="F277" s="49"/>
      <c r="G277" s="49"/>
      <c r="H277" s="49"/>
      <c r="I277" s="49"/>
      <c r="J277" s="49"/>
      <c r="K277" s="49"/>
      <c r="L277" s="49"/>
      <c r="M277" s="49"/>
      <c r="N277" s="49"/>
      <c r="O277" s="49"/>
      <c r="P277" s="49"/>
      <c r="Q277" s="49"/>
      <c r="R277" s="49"/>
      <c r="S277" s="49"/>
      <c r="T277" s="49"/>
      <c r="U277" s="49"/>
      <c r="V277" s="49"/>
      <c r="W277" s="49"/>
      <c r="X277" s="49"/>
      <c r="Y277" s="49"/>
      <c r="Z277" s="49"/>
      <c r="AA277" s="49"/>
      <c r="AB277" s="49"/>
      <c r="AC277" s="49"/>
      <c r="AD277" s="49"/>
    </row>
    <row r="278" spans="1:30" ht="13">
      <c r="A278" s="141"/>
      <c r="B278" s="141"/>
      <c r="C278" s="141"/>
      <c r="D278" s="49"/>
      <c r="E278" s="49"/>
      <c r="F278" s="49"/>
      <c r="G278" s="49"/>
      <c r="H278" s="49"/>
      <c r="I278" s="49"/>
      <c r="J278" s="49"/>
      <c r="K278" s="49"/>
      <c r="L278" s="49"/>
      <c r="M278" s="49"/>
      <c r="N278" s="49"/>
      <c r="O278" s="49"/>
      <c r="P278" s="49"/>
      <c r="Q278" s="49"/>
      <c r="R278" s="49"/>
      <c r="S278" s="49"/>
      <c r="T278" s="49"/>
      <c r="U278" s="49"/>
      <c r="V278" s="49"/>
      <c r="W278" s="49"/>
      <c r="X278" s="49"/>
      <c r="Y278" s="49"/>
      <c r="Z278" s="49"/>
      <c r="AA278" s="49"/>
      <c r="AB278" s="49"/>
      <c r="AC278" s="49"/>
      <c r="AD278" s="49"/>
    </row>
    <row r="279" spans="1:30" ht="13">
      <c r="A279" s="141"/>
      <c r="B279" s="141"/>
      <c r="C279" s="141"/>
      <c r="D279" s="49"/>
      <c r="E279" s="49"/>
      <c r="F279" s="49"/>
      <c r="G279" s="49"/>
      <c r="H279" s="49"/>
      <c r="I279" s="49"/>
      <c r="J279" s="49"/>
      <c r="K279" s="49"/>
      <c r="L279" s="49"/>
      <c r="M279" s="49"/>
      <c r="N279" s="49"/>
      <c r="O279" s="49"/>
      <c r="P279" s="49"/>
      <c r="Q279" s="49"/>
      <c r="R279" s="49"/>
      <c r="S279" s="49"/>
      <c r="T279" s="49"/>
      <c r="U279" s="49"/>
      <c r="V279" s="49"/>
      <c r="W279" s="49"/>
      <c r="X279" s="49"/>
      <c r="Y279" s="49"/>
      <c r="Z279" s="49"/>
      <c r="AA279" s="49"/>
      <c r="AB279" s="49"/>
      <c r="AC279" s="49"/>
      <c r="AD279" s="49"/>
    </row>
    <row r="280" spans="1:30" ht="13">
      <c r="A280" s="141"/>
      <c r="B280" s="141"/>
      <c r="C280" s="141"/>
      <c r="D280" s="49"/>
      <c r="E280" s="49"/>
      <c r="F280" s="49"/>
      <c r="G280" s="49"/>
      <c r="H280" s="49"/>
      <c r="I280" s="49"/>
      <c r="J280" s="49"/>
      <c r="K280" s="49"/>
      <c r="L280" s="49"/>
      <c r="M280" s="49"/>
      <c r="N280" s="49"/>
      <c r="O280" s="49"/>
      <c r="P280" s="49"/>
      <c r="Q280" s="49"/>
      <c r="R280" s="49"/>
      <c r="S280" s="49"/>
      <c r="T280" s="49"/>
      <c r="U280" s="49"/>
      <c r="V280" s="49"/>
      <c r="W280" s="49"/>
      <c r="X280" s="49"/>
      <c r="Y280" s="49"/>
      <c r="Z280" s="49"/>
      <c r="AA280" s="49"/>
      <c r="AB280" s="49"/>
      <c r="AC280" s="49"/>
      <c r="AD280" s="49"/>
    </row>
    <row r="281" spans="1:30" ht="13">
      <c r="A281" s="141"/>
      <c r="B281" s="141"/>
      <c r="C281" s="141"/>
      <c r="D281" s="49"/>
      <c r="E281" s="49"/>
      <c r="F281" s="49"/>
      <c r="G281" s="49"/>
      <c r="H281" s="49"/>
      <c r="I281" s="49"/>
      <c r="J281" s="49"/>
      <c r="K281" s="49"/>
      <c r="L281" s="49"/>
      <c r="M281" s="49"/>
      <c r="N281" s="49"/>
      <c r="O281" s="49"/>
      <c r="P281" s="49"/>
      <c r="Q281" s="49"/>
      <c r="R281" s="49"/>
      <c r="S281" s="49"/>
      <c r="T281" s="49"/>
      <c r="U281" s="49"/>
      <c r="V281" s="49"/>
      <c r="W281" s="49"/>
      <c r="X281" s="49"/>
      <c r="Y281" s="49"/>
      <c r="Z281" s="49"/>
      <c r="AA281" s="49"/>
      <c r="AB281" s="49"/>
      <c r="AC281" s="49"/>
      <c r="AD281" s="49"/>
    </row>
    <row r="282" spans="1:30" ht="13">
      <c r="A282" s="141"/>
      <c r="B282" s="141"/>
      <c r="C282" s="141"/>
      <c r="D282" s="49"/>
      <c r="E282" s="49"/>
      <c r="F282" s="49"/>
      <c r="G282" s="49"/>
      <c r="H282" s="49"/>
      <c r="I282" s="49"/>
      <c r="J282" s="49"/>
      <c r="K282" s="49"/>
      <c r="L282" s="49"/>
      <c r="M282" s="49"/>
      <c r="N282" s="49"/>
      <c r="O282" s="49"/>
      <c r="P282" s="49"/>
      <c r="Q282" s="49"/>
      <c r="R282" s="49"/>
      <c r="S282" s="49"/>
      <c r="T282" s="49"/>
      <c r="U282" s="49"/>
      <c r="V282" s="49"/>
      <c r="W282" s="49"/>
      <c r="X282" s="49"/>
      <c r="Y282" s="49"/>
      <c r="Z282" s="49"/>
      <c r="AA282" s="49"/>
      <c r="AB282" s="49"/>
      <c r="AC282" s="49"/>
      <c r="AD282" s="49"/>
    </row>
    <row r="283" spans="1:30" ht="13">
      <c r="A283" s="141"/>
      <c r="B283" s="141"/>
      <c r="C283" s="141"/>
      <c r="D283" s="49"/>
      <c r="E283" s="49"/>
      <c r="F283" s="49"/>
      <c r="G283" s="49"/>
      <c r="H283" s="49"/>
      <c r="I283" s="49"/>
      <c r="J283" s="49"/>
      <c r="K283" s="49"/>
      <c r="L283" s="49"/>
      <c r="M283" s="49"/>
      <c r="N283" s="49"/>
      <c r="O283" s="49"/>
      <c r="P283" s="49"/>
      <c r="Q283" s="49"/>
      <c r="R283" s="49"/>
      <c r="S283" s="49"/>
      <c r="T283" s="49"/>
      <c r="U283" s="49"/>
      <c r="V283" s="49"/>
      <c r="W283" s="49"/>
      <c r="X283" s="49"/>
      <c r="Y283" s="49"/>
      <c r="Z283" s="49"/>
      <c r="AA283" s="49"/>
      <c r="AB283" s="49"/>
      <c r="AC283" s="49"/>
      <c r="AD283" s="49"/>
    </row>
    <row r="284" spans="1:30" ht="13">
      <c r="A284" s="141"/>
      <c r="B284" s="141"/>
      <c r="C284" s="141"/>
      <c r="D284" s="49"/>
      <c r="E284" s="49"/>
      <c r="F284" s="49"/>
      <c r="G284" s="49"/>
      <c r="H284" s="49"/>
      <c r="I284" s="49"/>
      <c r="J284" s="49"/>
      <c r="K284" s="49"/>
      <c r="L284" s="49"/>
      <c r="M284" s="49"/>
      <c r="N284" s="49"/>
      <c r="O284" s="49"/>
      <c r="P284" s="49"/>
      <c r="Q284" s="49"/>
      <c r="R284" s="49"/>
      <c r="S284" s="49"/>
      <c r="T284" s="49"/>
      <c r="U284" s="49"/>
      <c r="V284" s="49"/>
      <c r="W284" s="49"/>
      <c r="X284" s="49"/>
      <c r="Y284" s="49"/>
      <c r="Z284" s="49"/>
      <c r="AA284" s="49"/>
      <c r="AB284" s="49"/>
      <c r="AC284" s="49"/>
      <c r="AD284" s="49"/>
    </row>
    <row r="285" spans="1:30" ht="13">
      <c r="A285" s="141"/>
      <c r="B285" s="141"/>
      <c r="C285" s="141"/>
      <c r="D285" s="49"/>
      <c r="E285" s="49"/>
      <c r="F285" s="49"/>
      <c r="G285" s="49"/>
      <c r="H285" s="49"/>
      <c r="I285" s="49"/>
      <c r="J285" s="49"/>
      <c r="K285" s="49"/>
      <c r="L285" s="49"/>
      <c r="M285" s="49"/>
      <c r="N285" s="49"/>
      <c r="O285" s="49"/>
      <c r="P285" s="49"/>
      <c r="Q285" s="49"/>
      <c r="R285" s="49"/>
      <c r="S285" s="49"/>
      <c r="T285" s="49"/>
      <c r="U285" s="49"/>
      <c r="V285" s="49"/>
      <c r="W285" s="49"/>
      <c r="X285" s="49"/>
      <c r="Y285" s="49"/>
      <c r="Z285" s="49"/>
      <c r="AA285" s="49"/>
      <c r="AB285" s="49"/>
      <c r="AC285" s="49"/>
      <c r="AD285" s="49"/>
    </row>
    <row r="286" spans="1:30" ht="13">
      <c r="A286" s="141"/>
      <c r="B286" s="141"/>
      <c r="C286" s="141"/>
      <c r="D286" s="49"/>
      <c r="E286" s="49"/>
      <c r="F286" s="49"/>
      <c r="G286" s="49"/>
      <c r="H286" s="49"/>
      <c r="I286" s="49"/>
      <c r="J286" s="49"/>
      <c r="K286" s="49"/>
      <c r="L286" s="49"/>
      <c r="M286" s="49"/>
      <c r="N286" s="49"/>
      <c r="O286" s="49"/>
      <c r="P286" s="49"/>
      <c r="Q286" s="49"/>
      <c r="R286" s="49"/>
      <c r="S286" s="49"/>
      <c r="T286" s="49"/>
      <c r="U286" s="49"/>
      <c r="V286" s="49"/>
      <c r="W286" s="49"/>
      <c r="X286" s="49"/>
      <c r="Y286" s="49"/>
      <c r="Z286" s="49"/>
      <c r="AA286" s="49"/>
      <c r="AB286" s="49"/>
      <c r="AC286" s="49"/>
      <c r="AD286" s="49"/>
    </row>
    <row r="287" spans="1:30" ht="13">
      <c r="A287" s="141"/>
      <c r="B287" s="141"/>
      <c r="C287" s="141"/>
      <c r="D287" s="49"/>
      <c r="E287" s="49"/>
      <c r="F287" s="49"/>
      <c r="G287" s="49"/>
      <c r="H287" s="49"/>
      <c r="I287" s="49"/>
      <c r="J287" s="49"/>
      <c r="K287" s="49"/>
      <c r="L287" s="49"/>
      <c r="M287" s="49"/>
      <c r="N287" s="49"/>
      <c r="O287" s="49"/>
      <c r="P287" s="49"/>
      <c r="Q287" s="49"/>
      <c r="R287" s="49"/>
      <c r="S287" s="49"/>
      <c r="T287" s="49"/>
      <c r="U287" s="49"/>
      <c r="V287" s="49"/>
      <c r="W287" s="49"/>
      <c r="X287" s="49"/>
      <c r="Y287" s="49"/>
      <c r="Z287" s="49"/>
      <c r="AA287" s="49"/>
      <c r="AB287" s="49"/>
      <c r="AC287" s="49"/>
      <c r="AD287" s="49"/>
    </row>
    <row r="288" spans="1:30" ht="13">
      <c r="A288" s="141"/>
      <c r="B288" s="141"/>
      <c r="C288" s="141"/>
      <c r="D288" s="49"/>
      <c r="E288" s="49"/>
      <c r="F288" s="49"/>
      <c r="G288" s="49"/>
      <c r="H288" s="49"/>
      <c r="I288" s="49"/>
      <c r="J288" s="49"/>
      <c r="K288" s="49"/>
      <c r="L288" s="49"/>
      <c r="M288" s="49"/>
      <c r="N288" s="49"/>
      <c r="O288" s="49"/>
      <c r="P288" s="49"/>
      <c r="Q288" s="49"/>
      <c r="R288" s="49"/>
      <c r="S288" s="49"/>
      <c r="T288" s="49"/>
      <c r="U288" s="49"/>
      <c r="V288" s="49"/>
      <c r="W288" s="49"/>
      <c r="X288" s="49"/>
      <c r="Y288" s="49"/>
      <c r="Z288" s="49"/>
      <c r="AA288" s="49"/>
      <c r="AB288" s="49"/>
      <c r="AC288" s="49"/>
      <c r="AD288" s="49"/>
    </row>
    <row r="289" spans="1:30" ht="13">
      <c r="A289" s="141"/>
      <c r="B289" s="141"/>
      <c r="C289" s="141"/>
      <c r="D289" s="49"/>
      <c r="E289" s="49"/>
      <c r="F289" s="49"/>
      <c r="G289" s="49"/>
      <c r="H289" s="49"/>
      <c r="I289" s="49"/>
      <c r="J289" s="49"/>
      <c r="K289" s="49"/>
      <c r="L289" s="49"/>
      <c r="M289" s="49"/>
      <c r="N289" s="49"/>
      <c r="O289" s="49"/>
      <c r="P289" s="49"/>
      <c r="Q289" s="49"/>
      <c r="R289" s="49"/>
      <c r="S289" s="49"/>
      <c r="T289" s="49"/>
      <c r="U289" s="49"/>
      <c r="V289" s="49"/>
      <c r="W289" s="49"/>
      <c r="X289" s="49"/>
      <c r="Y289" s="49"/>
      <c r="Z289" s="49"/>
      <c r="AA289" s="49"/>
      <c r="AB289" s="49"/>
      <c r="AC289" s="49"/>
      <c r="AD289" s="49"/>
    </row>
    <row r="290" spans="1:30" ht="13">
      <c r="A290" s="141"/>
      <c r="B290" s="141"/>
      <c r="C290" s="141"/>
      <c r="D290" s="49"/>
      <c r="E290" s="49"/>
      <c r="F290" s="49"/>
      <c r="G290" s="49"/>
      <c r="H290" s="49"/>
      <c r="I290" s="49"/>
      <c r="J290" s="49"/>
      <c r="K290" s="49"/>
      <c r="L290" s="49"/>
      <c r="M290" s="49"/>
      <c r="N290" s="49"/>
      <c r="O290" s="49"/>
      <c r="P290" s="49"/>
      <c r="Q290" s="49"/>
      <c r="R290" s="49"/>
      <c r="S290" s="49"/>
      <c r="T290" s="49"/>
      <c r="U290" s="49"/>
      <c r="V290" s="49"/>
      <c r="W290" s="49"/>
      <c r="X290" s="49"/>
      <c r="Y290" s="49"/>
      <c r="Z290" s="49"/>
      <c r="AA290" s="49"/>
      <c r="AB290" s="49"/>
      <c r="AC290" s="49"/>
      <c r="AD290" s="49"/>
    </row>
    <row r="291" spans="1:30" ht="13">
      <c r="A291" s="141"/>
      <c r="B291" s="141"/>
      <c r="C291" s="141"/>
      <c r="D291" s="49"/>
      <c r="E291" s="49"/>
      <c r="F291" s="49"/>
      <c r="G291" s="49"/>
      <c r="H291" s="49"/>
      <c r="I291" s="49"/>
      <c r="J291" s="49"/>
      <c r="K291" s="49"/>
      <c r="L291" s="49"/>
      <c r="M291" s="49"/>
      <c r="N291" s="49"/>
      <c r="O291" s="49"/>
      <c r="P291" s="49"/>
      <c r="Q291" s="49"/>
      <c r="R291" s="49"/>
      <c r="S291" s="49"/>
      <c r="T291" s="49"/>
      <c r="U291" s="49"/>
      <c r="V291" s="49"/>
      <c r="W291" s="49"/>
      <c r="X291" s="49"/>
      <c r="Y291" s="49"/>
      <c r="Z291" s="49"/>
      <c r="AA291" s="49"/>
      <c r="AB291" s="49"/>
      <c r="AC291" s="49"/>
      <c r="AD291" s="49"/>
    </row>
    <row r="292" spans="1:30" ht="13">
      <c r="A292" s="141"/>
      <c r="B292" s="141"/>
      <c r="C292" s="141"/>
      <c r="D292" s="49"/>
      <c r="E292" s="49"/>
      <c r="F292" s="49"/>
      <c r="G292" s="49"/>
      <c r="H292" s="49"/>
      <c r="I292" s="49"/>
      <c r="J292" s="49"/>
      <c r="K292" s="49"/>
      <c r="L292" s="49"/>
      <c r="M292" s="49"/>
      <c r="N292" s="49"/>
      <c r="O292" s="49"/>
      <c r="P292" s="49"/>
      <c r="Q292" s="49"/>
      <c r="R292" s="49"/>
      <c r="S292" s="49"/>
      <c r="T292" s="49"/>
      <c r="U292" s="49"/>
      <c r="V292" s="49"/>
      <c r="W292" s="49"/>
      <c r="X292" s="49"/>
      <c r="Y292" s="49"/>
      <c r="Z292" s="49"/>
      <c r="AA292" s="49"/>
      <c r="AB292" s="49"/>
      <c r="AC292" s="49"/>
      <c r="AD292" s="49"/>
    </row>
    <row r="293" spans="1:30" ht="13">
      <c r="A293" s="141"/>
      <c r="B293" s="141"/>
      <c r="C293" s="141"/>
      <c r="D293" s="49"/>
      <c r="E293" s="49"/>
      <c r="F293" s="49"/>
      <c r="G293" s="49"/>
      <c r="H293" s="49"/>
      <c r="I293" s="49"/>
      <c r="J293" s="49"/>
      <c r="K293" s="49"/>
      <c r="L293" s="49"/>
      <c r="M293" s="49"/>
      <c r="N293" s="49"/>
      <c r="O293" s="49"/>
      <c r="P293" s="49"/>
      <c r="Q293" s="49"/>
      <c r="R293" s="49"/>
      <c r="S293" s="49"/>
      <c r="T293" s="49"/>
      <c r="U293" s="49"/>
      <c r="V293" s="49"/>
      <c r="W293" s="49"/>
      <c r="X293" s="49"/>
      <c r="Y293" s="49"/>
      <c r="Z293" s="49"/>
      <c r="AA293" s="49"/>
      <c r="AB293" s="49"/>
      <c r="AC293" s="49"/>
      <c r="AD293" s="49"/>
    </row>
    <row r="294" spans="1:30" ht="13">
      <c r="A294" s="141"/>
      <c r="B294" s="141"/>
      <c r="C294" s="141"/>
      <c r="D294" s="49"/>
      <c r="E294" s="49"/>
      <c r="F294" s="49"/>
      <c r="G294" s="49"/>
      <c r="H294" s="49"/>
      <c r="I294" s="49"/>
      <c r="J294" s="49"/>
      <c r="K294" s="49"/>
      <c r="L294" s="49"/>
      <c r="M294" s="49"/>
      <c r="N294" s="49"/>
      <c r="O294" s="49"/>
      <c r="P294" s="49"/>
      <c r="Q294" s="49"/>
      <c r="R294" s="49"/>
      <c r="S294" s="49"/>
      <c r="T294" s="49"/>
      <c r="U294" s="49"/>
      <c r="V294" s="49"/>
      <c r="W294" s="49"/>
      <c r="X294" s="49"/>
      <c r="Y294" s="49"/>
      <c r="Z294" s="49"/>
      <c r="AA294" s="49"/>
      <c r="AB294" s="49"/>
      <c r="AC294" s="49"/>
      <c r="AD294" s="49"/>
    </row>
    <row r="295" spans="1:30" ht="13">
      <c r="A295" s="141"/>
      <c r="B295" s="141"/>
      <c r="C295" s="141"/>
      <c r="D295" s="49"/>
      <c r="E295" s="49"/>
      <c r="F295" s="49"/>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row>
    <row r="296" spans="1:30" ht="13">
      <c r="A296" s="141"/>
      <c r="B296" s="141"/>
      <c r="C296" s="141"/>
      <c r="D296" s="49"/>
      <c r="E296" s="49"/>
      <c r="F296" s="49"/>
      <c r="G296" s="49"/>
      <c r="H296" s="49"/>
      <c r="I296" s="49"/>
      <c r="J296" s="49"/>
      <c r="K296" s="49"/>
      <c r="L296" s="49"/>
      <c r="M296" s="49"/>
      <c r="N296" s="49"/>
      <c r="O296" s="49"/>
      <c r="P296" s="49"/>
      <c r="Q296" s="49"/>
      <c r="R296" s="49"/>
      <c r="S296" s="49"/>
      <c r="T296" s="49"/>
      <c r="U296" s="49"/>
      <c r="V296" s="49"/>
      <c r="W296" s="49"/>
      <c r="X296" s="49"/>
      <c r="Y296" s="49"/>
      <c r="Z296" s="49"/>
      <c r="AA296" s="49"/>
      <c r="AB296" s="49"/>
      <c r="AC296" s="49"/>
      <c r="AD296" s="49"/>
    </row>
    <row r="297" spans="1:30" ht="13">
      <c r="A297" s="141"/>
      <c r="B297" s="141"/>
      <c r="C297" s="141"/>
      <c r="D297" s="49"/>
      <c r="E297" s="49"/>
      <c r="F297" s="49"/>
      <c r="G297" s="49"/>
      <c r="H297" s="49"/>
      <c r="I297" s="49"/>
      <c r="J297" s="49"/>
      <c r="K297" s="49"/>
      <c r="L297" s="49"/>
      <c r="M297" s="49"/>
      <c r="N297" s="49"/>
      <c r="O297" s="49"/>
      <c r="P297" s="49"/>
      <c r="Q297" s="49"/>
      <c r="R297" s="49"/>
      <c r="S297" s="49"/>
      <c r="T297" s="49"/>
      <c r="U297" s="49"/>
      <c r="V297" s="49"/>
      <c r="W297" s="49"/>
      <c r="X297" s="49"/>
      <c r="Y297" s="49"/>
      <c r="Z297" s="49"/>
      <c r="AA297" s="49"/>
      <c r="AB297" s="49"/>
      <c r="AC297" s="49"/>
      <c r="AD297" s="49"/>
    </row>
    <row r="298" spans="1:30" ht="13">
      <c r="A298" s="141"/>
      <c r="B298" s="141"/>
      <c r="C298" s="141"/>
      <c r="D298" s="49"/>
      <c r="E298" s="49"/>
      <c r="F298" s="49"/>
      <c r="G298" s="49"/>
      <c r="H298" s="49"/>
      <c r="I298" s="49"/>
      <c r="J298" s="49"/>
      <c r="K298" s="49"/>
      <c r="L298" s="49"/>
      <c r="M298" s="49"/>
      <c r="N298" s="49"/>
      <c r="O298" s="49"/>
      <c r="P298" s="49"/>
      <c r="Q298" s="49"/>
      <c r="R298" s="49"/>
      <c r="S298" s="49"/>
      <c r="T298" s="49"/>
      <c r="U298" s="49"/>
      <c r="V298" s="49"/>
      <c r="W298" s="49"/>
      <c r="X298" s="49"/>
      <c r="Y298" s="49"/>
      <c r="Z298" s="49"/>
      <c r="AA298" s="49"/>
      <c r="AB298" s="49"/>
      <c r="AC298" s="49"/>
      <c r="AD298" s="49"/>
    </row>
    <row r="299" spans="1:30" ht="13">
      <c r="A299" s="141"/>
      <c r="B299" s="141"/>
      <c r="C299" s="141"/>
      <c r="D299" s="49"/>
      <c r="E299" s="49"/>
      <c r="F299" s="49"/>
      <c r="G299" s="49"/>
      <c r="H299" s="49"/>
      <c r="I299" s="49"/>
      <c r="J299" s="49"/>
      <c r="K299" s="49"/>
      <c r="L299" s="49"/>
      <c r="M299" s="49"/>
      <c r="N299" s="49"/>
      <c r="O299" s="49"/>
      <c r="P299" s="49"/>
      <c r="Q299" s="49"/>
      <c r="R299" s="49"/>
      <c r="S299" s="49"/>
      <c r="T299" s="49"/>
      <c r="U299" s="49"/>
      <c r="V299" s="49"/>
      <c r="W299" s="49"/>
      <c r="X299" s="49"/>
      <c r="Y299" s="49"/>
      <c r="Z299" s="49"/>
      <c r="AA299" s="49"/>
      <c r="AB299" s="49"/>
      <c r="AC299" s="49"/>
      <c r="AD299" s="49"/>
    </row>
    <row r="300" spans="1:30" ht="13">
      <c r="A300" s="141"/>
      <c r="B300" s="141"/>
      <c r="C300" s="141"/>
      <c r="D300" s="49"/>
      <c r="E300" s="49"/>
      <c r="F300" s="49"/>
      <c r="G300" s="49"/>
      <c r="H300" s="49"/>
      <c r="I300" s="49"/>
      <c r="J300" s="49"/>
      <c r="K300" s="49"/>
      <c r="L300" s="49"/>
      <c r="M300" s="49"/>
      <c r="N300" s="49"/>
      <c r="O300" s="49"/>
      <c r="P300" s="49"/>
      <c r="Q300" s="49"/>
      <c r="R300" s="49"/>
      <c r="S300" s="49"/>
      <c r="T300" s="49"/>
      <c r="U300" s="49"/>
      <c r="V300" s="49"/>
      <c r="W300" s="49"/>
      <c r="X300" s="49"/>
      <c r="Y300" s="49"/>
      <c r="Z300" s="49"/>
      <c r="AA300" s="49"/>
      <c r="AB300" s="49"/>
      <c r="AC300" s="49"/>
      <c r="AD300" s="49"/>
    </row>
    <row r="301" spans="1:30" ht="13">
      <c r="A301" s="141"/>
      <c r="B301" s="141"/>
      <c r="C301" s="141"/>
      <c r="D301" s="49"/>
      <c r="E301" s="49"/>
      <c r="F301" s="49"/>
      <c r="G301" s="49"/>
      <c r="H301" s="49"/>
      <c r="I301" s="49"/>
      <c r="J301" s="49"/>
      <c r="K301" s="49"/>
      <c r="L301" s="49"/>
      <c r="M301" s="49"/>
      <c r="N301" s="49"/>
      <c r="O301" s="49"/>
      <c r="P301" s="49"/>
      <c r="Q301" s="49"/>
      <c r="R301" s="49"/>
      <c r="S301" s="49"/>
      <c r="T301" s="49"/>
      <c r="U301" s="49"/>
      <c r="V301" s="49"/>
      <c r="W301" s="49"/>
      <c r="X301" s="49"/>
      <c r="Y301" s="49"/>
      <c r="Z301" s="49"/>
      <c r="AA301" s="49"/>
      <c r="AB301" s="49"/>
      <c r="AC301" s="49"/>
      <c r="AD301" s="49"/>
    </row>
    <row r="302" spans="1:30" ht="13">
      <c r="A302" s="141"/>
      <c r="B302" s="141"/>
      <c r="C302" s="141"/>
      <c r="D302" s="49"/>
      <c r="E302" s="49"/>
      <c r="F302" s="49"/>
      <c r="G302" s="49"/>
      <c r="H302" s="49"/>
      <c r="I302" s="49"/>
      <c r="J302" s="49"/>
      <c r="K302" s="49"/>
      <c r="L302" s="49"/>
      <c r="M302" s="49"/>
      <c r="N302" s="49"/>
      <c r="O302" s="49"/>
      <c r="P302" s="49"/>
      <c r="Q302" s="49"/>
      <c r="R302" s="49"/>
      <c r="S302" s="49"/>
      <c r="T302" s="49"/>
      <c r="U302" s="49"/>
      <c r="V302" s="49"/>
      <c r="W302" s="49"/>
      <c r="X302" s="49"/>
      <c r="Y302" s="49"/>
      <c r="Z302" s="49"/>
      <c r="AA302" s="49"/>
      <c r="AB302" s="49"/>
      <c r="AC302" s="49"/>
      <c r="AD302" s="49"/>
    </row>
    <row r="303" spans="1:30" ht="13">
      <c r="A303" s="141"/>
      <c r="B303" s="141"/>
      <c r="C303" s="141"/>
      <c r="D303" s="49"/>
      <c r="E303" s="49"/>
      <c r="F303" s="49"/>
      <c r="G303" s="49"/>
      <c r="H303" s="49"/>
      <c r="I303" s="49"/>
      <c r="J303" s="49"/>
      <c r="K303" s="49"/>
      <c r="L303" s="49"/>
      <c r="M303" s="49"/>
      <c r="N303" s="49"/>
      <c r="O303" s="49"/>
      <c r="P303" s="49"/>
      <c r="Q303" s="49"/>
      <c r="R303" s="49"/>
      <c r="S303" s="49"/>
      <c r="T303" s="49"/>
      <c r="U303" s="49"/>
      <c r="V303" s="49"/>
      <c r="W303" s="49"/>
      <c r="X303" s="49"/>
      <c r="Y303" s="49"/>
      <c r="Z303" s="49"/>
      <c r="AA303" s="49"/>
      <c r="AB303" s="49"/>
      <c r="AC303" s="49"/>
      <c r="AD303" s="49"/>
    </row>
    <row r="304" spans="1:30" ht="13">
      <c r="A304" s="141"/>
      <c r="B304" s="141"/>
      <c r="C304" s="141"/>
      <c r="D304" s="49"/>
      <c r="E304" s="49"/>
      <c r="F304" s="49"/>
      <c r="G304" s="49"/>
      <c r="H304" s="49"/>
      <c r="I304" s="49"/>
      <c r="J304" s="49"/>
      <c r="K304" s="49"/>
      <c r="L304" s="49"/>
      <c r="M304" s="49"/>
      <c r="N304" s="49"/>
      <c r="O304" s="49"/>
      <c r="P304" s="49"/>
      <c r="Q304" s="49"/>
      <c r="R304" s="49"/>
      <c r="S304" s="49"/>
      <c r="T304" s="49"/>
      <c r="U304" s="49"/>
      <c r="V304" s="49"/>
      <c r="W304" s="49"/>
      <c r="X304" s="49"/>
      <c r="Y304" s="49"/>
      <c r="Z304" s="49"/>
      <c r="AA304" s="49"/>
      <c r="AB304" s="49"/>
      <c r="AC304" s="49"/>
      <c r="AD304" s="49"/>
    </row>
    <row r="305" spans="1:30" ht="13">
      <c r="A305" s="141"/>
      <c r="B305" s="141"/>
      <c r="C305" s="141"/>
      <c r="D305" s="49"/>
      <c r="E305" s="49"/>
      <c r="F305" s="49"/>
      <c r="G305" s="49"/>
      <c r="H305" s="49"/>
      <c r="I305" s="49"/>
      <c r="J305" s="49"/>
      <c r="K305" s="49"/>
      <c r="L305" s="49"/>
      <c r="M305" s="49"/>
      <c r="N305" s="49"/>
      <c r="O305" s="49"/>
      <c r="P305" s="49"/>
      <c r="Q305" s="49"/>
      <c r="R305" s="49"/>
      <c r="S305" s="49"/>
      <c r="T305" s="49"/>
      <c r="U305" s="49"/>
      <c r="V305" s="49"/>
      <c r="W305" s="49"/>
      <c r="X305" s="49"/>
      <c r="Y305" s="49"/>
      <c r="Z305" s="49"/>
      <c r="AA305" s="49"/>
      <c r="AB305" s="49"/>
      <c r="AC305" s="49"/>
      <c r="AD305" s="49"/>
    </row>
    <row r="306" spans="1:30" ht="13">
      <c r="A306" s="141"/>
      <c r="B306" s="141"/>
      <c r="C306" s="141"/>
      <c r="D306" s="49"/>
      <c r="E306" s="49"/>
      <c r="F306" s="49"/>
      <c r="G306" s="49"/>
      <c r="H306" s="49"/>
      <c r="I306" s="49"/>
      <c r="J306" s="49"/>
      <c r="K306" s="49"/>
      <c r="L306" s="49"/>
      <c r="M306" s="49"/>
      <c r="N306" s="49"/>
      <c r="O306" s="49"/>
      <c r="P306" s="49"/>
      <c r="Q306" s="49"/>
      <c r="R306" s="49"/>
      <c r="S306" s="49"/>
      <c r="T306" s="49"/>
      <c r="U306" s="49"/>
      <c r="V306" s="49"/>
      <c r="W306" s="49"/>
      <c r="X306" s="49"/>
      <c r="Y306" s="49"/>
      <c r="Z306" s="49"/>
      <c r="AA306" s="49"/>
      <c r="AB306" s="49"/>
      <c r="AC306" s="49"/>
      <c r="AD306" s="49"/>
    </row>
    <row r="307" spans="1:30" ht="13">
      <c r="A307" s="141"/>
      <c r="B307" s="141"/>
      <c r="C307" s="141"/>
      <c r="D307" s="49"/>
      <c r="E307" s="49"/>
      <c r="F307" s="49"/>
      <c r="G307" s="49"/>
      <c r="H307" s="49"/>
      <c r="I307" s="49"/>
      <c r="J307" s="49"/>
      <c r="K307" s="49"/>
      <c r="L307" s="49"/>
      <c r="M307" s="49"/>
      <c r="N307" s="49"/>
      <c r="O307" s="49"/>
      <c r="P307" s="49"/>
      <c r="Q307" s="49"/>
      <c r="R307" s="49"/>
      <c r="S307" s="49"/>
      <c r="T307" s="49"/>
      <c r="U307" s="49"/>
      <c r="V307" s="49"/>
      <c r="W307" s="49"/>
      <c r="X307" s="49"/>
      <c r="Y307" s="49"/>
      <c r="Z307" s="49"/>
      <c r="AA307" s="49"/>
      <c r="AB307" s="49"/>
      <c r="AC307" s="49"/>
      <c r="AD307" s="49"/>
    </row>
    <row r="308" spans="1:30" ht="13">
      <c r="A308" s="141"/>
      <c r="B308" s="141"/>
      <c r="C308" s="141"/>
      <c r="D308" s="49"/>
      <c r="E308" s="49"/>
      <c r="F308" s="49"/>
      <c r="G308" s="49"/>
      <c r="H308" s="49"/>
      <c r="I308" s="49"/>
      <c r="J308" s="49"/>
      <c r="K308" s="49"/>
      <c r="L308" s="49"/>
      <c r="M308" s="49"/>
      <c r="N308" s="49"/>
      <c r="O308" s="49"/>
      <c r="P308" s="49"/>
      <c r="Q308" s="49"/>
      <c r="R308" s="49"/>
      <c r="S308" s="49"/>
      <c r="T308" s="49"/>
      <c r="U308" s="49"/>
      <c r="V308" s="49"/>
      <c r="W308" s="49"/>
      <c r="X308" s="49"/>
      <c r="Y308" s="49"/>
      <c r="Z308" s="49"/>
      <c r="AA308" s="49"/>
      <c r="AB308" s="49"/>
      <c r="AC308" s="49"/>
      <c r="AD308" s="49"/>
    </row>
    <row r="309" spans="1:30" ht="13">
      <c r="A309" s="141"/>
      <c r="B309" s="141"/>
      <c r="C309" s="141"/>
      <c r="D309" s="49"/>
      <c r="E309" s="49"/>
      <c r="F309" s="49"/>
      <c r="G309" s="49"/>
      <c r="H309" s="49"/>
      <c r="I309" s="49"/>
      <c r="J309" s="49"/>
      <c r="K309" s="49"/>
      <c r="L309" s="49"/>
      <c r="M309" s="49"/>
      <c r="N309" s="49"/>
      <c r="O309" s="49"/>
      <c r="P309" s="49"/>
      <c r="Q309" s="49"/>
      <c r="R309" s="49"/>
      <c r="S309" s="49"/>
      <c r="T309" s="49"/>
      <c r="U309" s="49"/>
      <c r="V309" s="49"/>
      <c r="W309" s="49"/>
      <c r="X309" s="49"/>
      <c r="Y309" s="49"/>
      <c r="Z309" s="49"/>
      <c r="AA309" s="49"/>
      <c r="AB309" s="49"/>
      <c r="AC309" s="49"/>
      <c r="AD309" s="49"/>
    </row>
    <row r="310" spans="1:30" ht="13">
      <c r="A310" s="141"/>
      <c r="B310" s="141"/>
      <c r="C310" s="141"/>
      <c r="D310" s="49"/>
      <c r="E310" s="49"/>
      <c r="F310" s="49"/>
      <c r="G310" s="49"/>
      <c r="H310" s="49"/>
      <c r="I310" s="49"/>
      <c r="J310" s="49"/>
      <c r="K310" s="49"/>
      <c r="L310" s="49"/>
      <c r="M310" s="49"/>
      <c r="N310" s="49"/>
      <c r="O310" s="49"/>
      <c r="P310" s="49"/>
      <c r="Q310" s="49"/>
      <c r="R310" s="49"/>
      <c r="S310" s="49"/>
      <c r="T310" s="49"/>
      <c r="U310" s="49"/>
      <c r="V310" s="49"/>
      <c r="W310" s="49"/>
      <c r="X310" s="49"/>
      <c r="Y310" s="49"/>
      <c r="Z310" s="49"/>
      <c r="AA310" s="49"/>
      <c r="AB310" s="49"/>
      <c r="AC310" s="49"/>
      <c r="AD310" s="49"/>
    </row>
    <row r="311" spans="1:30" ht="13">
      <c r="A311" s="141"/>
      <c r="B311" s="141"/>
      <c r="C311" s="141"/>
      <c r="D311" s="49"/>
      <c r="E311" s="49"/>
      <c r="F311" s="49"/>
      <c r="G311" s="49"/>
      <c r="H311" s="49"/>
      <c r="I311" s="49"/>
      <c r="J311" s="49"/>
      <c r="K311" s="49"/>
      <c r="L311" s="49"/>
      <c r="M311" s="49"/>
      <c r="N311" s="49"/>
      <c r="O311" s="49"/>
      <c r="P311" s="49"/>
      <c r="Q311" s="49"/>
      <c r="R311" s="49"/>
      <c r="S311" s="49"/>
      <c r="T311" s="49"/>
      <c r="U311" s="49"/>
      <c r="V311" s="49"/>
      <c r="W311" s="49"/>
      <c r="X311" s="49"/>
      <c r="Y311" s="49"/>
      <c r="Z311" s="49"/>
      <c r="AA311" s="49"/>
      <c r="AB311" s="49"/>
      <c r="AC311" s="49"/>
      <c r="AD311" s="49"/>
    </row>
    <row r="312" spans="1:30" ht="13">
      <c r="A312" s="141"/>
      <c r="B312" s="141"/>
      <c r="C312" s="141"/>
      <c r="D312" s="49"/>
      <c r="E312" s="49"/>
      <c r="F312" s="49"/>
      <c r="G312" s="49"/>
      <c r="H312" s="49"/>
      <c r="I312" s="49"/>
      <c r="J312" s="49"/>
      <c r="K312" s="49"/>
      <c r="L312" s="49"/>
      <c r="M312" s="49"/>
      <c r="N312" s="49"/>
      <c r="O312" s="49"/>
      <c r="P312" s="49"/>
      <c r="Q312" s="49"/>
      <c r="R312" s="49"/>
      <c r="S312" s="49"/>
      <c r="T312" s="49"/>
      <c r="U312" s="49"/>
      <c r="V312" s="49"/>
      <c r="W312" s="49"/>
      <c r="X312" s="49"/>
      <c r="Y312" s="49"/>
      <c r="Z312" s="49"/>
      <c r="AA312" s="49"/>
      <c r="AB312" s="49"/>
      <c r="AC312" s="49"/>
      <c r="AD312" s="49"/>
    </row>
    <row r="313" spans="1:30" ht="13">
      <c r="A313" s="141"/>
      <c r="B313" s="141"/>
      <c r="C313" s="141"/>
      <c r="D313" s="49"/>
      <c r="E313" s="49"/>
      <c r="F313" s="49"/>
      <c r="G313" s="49"/>
      <c r="H313" s="49"/>
      <c r="I313" s="49"/>
      <c r="J313" s="49"/>
      <c r="K313" s="49"/>
      <c r="L313" s="49"/>
      <c r="M313" s="49"/>
      <c r="N313" s="49"/>
      <c r="O313" s="49"/>
      <c r="P313" s="49"/>
      <c r="Q313" s="49"/>
      <c r="R313" s="49"/>
      <c r="S313" s="49"/>
      <c r="T313" s="49"/>
      <c r="U313" s="49"/>
      <c r="V313" s="49"/>
      <c r="W313" s="49"/>
      <c r="X313" s="49"/>
      <c r="Y313" s="49"/>
      <c r="Z313" s="49"/>
      <c r="AA313" s="49"/>
      <c r="AB313" s="49"/>
      <c r="AC313" s="49"/>
      <c r="AD313" s="49"/>
    </row>
    <row r="314" spans="1:30" ht="13">
      <c r="A314" s="141"/>
      <c r="B314" s="141"/>
      <c r="C314" s="141"/>
      <c r="D314" s="49"/>
      <c r="E314" s="49"/>
      <c r="F314" s="49"/>
      <c r="G314" s="49"/>
      <c r="H314" s="49"/>
      <c r="I314" s="49"/>
      <c r="J314" s="49"/>
      <c r="K314" s="49"/>
      <c r="L314" s="49"/>
      <c r="M314" s="49"/>
      <c r="N314" s="49"/>
      <c r="O314" s="49"/>
      <c r="P314" s="49"/>
      <c r="Q314" s="49"/>
      <c r="R314" s="49"/>
      <c r="S314" s="49"/>
      <c r="T314" s="49"/>
      <c r="U314" s="49"/>
      <c r="V314" s="49"/>
      <c r="W314" s="49"/>
      <c r="X314" s="49"/>
      <c r="Y314" s="49"/>
      <c r="Z314" s="49"/>
      <c r="AA314" s="49"/>
      <c r="AB314" s="49"/>
      <c r="AC314" s="49"/>
      <c r="AD314" s="49"/>
    </row>
    <row r="315" spans="1:30" ht="13">
      <c r="A315" s="141"/>
      <c r="B315" s="141"/>
      <c r="C315" s="141"/>
      <c r="D315" s="49"/>
      <c r="E315" s="49"/>
      <c r="F315" s="49"/>
      <c r="G315" s="49"/>
      <c r="H315" s="49"/>
      <c r="I315" s="49"/>
      <c r="J315" s="49"/>
      <c r="K315" s="49"/>
      <c r="L315" s="49"/>
      <c r="M315" s="49"/>
      <c r="N315" s="49"/>
      <c r="O315" s="49"/>
      <c r="P315" s="49"/>
      <c r="Q315" s="49"/>
      <c r="R315" s="49"/>
      <c r="S315" s="49"/>
      <c r="T315" s="49"/>
      <c r="U315" s="49"/>
      <c r="V315" s="49"/>
      <c r="W315" s="49"/>
      <c r="X315" s="49"/>
      <c r="Y315" s="49"/>
      <c r="Z315" s="49"/>
      <c r="AA315" s="49"/>
      <c r="AB315" s="49"/>
      <c r="AC315" s="49"/>
      <c r="AD315" s="49"/>
    </row>
    <row r="316" spans="1:30" ht="13">
      <c r="A316" s="141"/>
      <c r="B316" s="141"/>
      <c r="C316" s="141"/>
      <c r="D316" s="49"/>
      <c r="E316" s="49"/>
      <c r="F316" s="49"/>
      <c r="G316" s="49"/>
      <c r="H316" s="49"/>
      <c r="I316" s="49"/>
      <c r="J316" s="49"/>
      <c r="K316" s="49"/>
      <c r="L316" s="49"/>
      <c r="M316" s="49"/>
      <c r="N316" s="49"/>
      <c r="O316" s="49"/>
      <c r="P316" s="49"/>
      <c r="Q316" s="49"/>
      <c r="R316" s="49"/>
      <c r="S316" s="49"/>
      <c r="T316" s="49"/>
      <c r="U316" s="49"/>
      <c r="V316" s="49"/>
      <c r="W316" s="49"/>
      <c r="X316" s="49"/>
      <c r="Y316" s="49"/>
      <c r="Z316" s="49"/>
      <c r="AA316" s="49"/>
      <c r="AB316" s="49"/>
      <c r="AC316" s="49"/>
      <c r="AD316" s="49"/>
    </row>
    <row r="317" spans="1:30" ht="13">
      <c r="A317" s="141"/>
      <c r="B317" s="141"/>
      <c r="C317" s="141"/>
      <c r="D317" s="49"/>
      <c r="E317" s="49"/>
      <c r="F317" s="49"/>
      <c r="G317" s="49"/>
      <c r="H317" s="49"/>
      <c r="I317" s="49"/>
      <c r="J317" s="49"/>
      <c r="K317" s="49"/>
      <c r="L317" s="49"/>
      <c r="M317" s="49"/>
      <c r="N317" s="49"/>
      <c r="O317" s="49"/>
      <c r="P317" s="49"/>
      <c r="Q317" s="49"/>
      <c r="R317" s="49"/>
      <c r="S317" s="49"/>
      <c r="T317" s="49"/>
      <c r="U317" s="49"/>
      <c r="V317" s="49"/>
      <c r="W317" s="49"/>
      <c r="X317" s="49"/>
      <c r="Y317" s="49"/>
      <c r="Z317" s="49"/>
      <c r="AA317" s="49"/>
      <c r="AB317" s="49"/>
      <c r="AC317" s="49"/>
      <c r="AD317" s="49"/>
    </row>
    <row r="318" spans="1:30" ht="13">
      <c r="A318" s="141"/>
      <c r="B318" s="141"/>
      <c r="C318" s="141"/>
      <c r="D318" s="49"/>
      <c r="E318" s="49"/>
      <c r="F318" s="49"/>
      <c r="G318" s="49"/>
      <c r="H318" s="49"/>
      <c r="I318" s="49"/>
      <c r="J318" s="49"/>
      <c r="K318" s="49"/>
      <c r="L318" s="49"/>
      <c r="M318" s="49"/>
      <c r="N318" s="49"/>
      <c r="O318" s="49"/>
      <c r="P318" s="49"/>
      <c r="Q318" s="49"/>
      <c r="R318" s="49"/>
      <c r="S318" s="49"/>
      <c r="T318" s="49"/>
      <c r="U318" s="49"/>
      <c r="V318" s="49"/>
      <c r="W318" s="49"/>
      <c r="X318" s="49"/>
      <c r="Y318" s="49"/>
      <c r="Z318" s="49"/>
      <c r="AA318" s="49"/>
      <c r="AB318" s="49"/>
      <c r="AC318" s="49"/>
      <c r="AD318" s="49"/>
    </row>
    <row r="319" spans="1:30" ht="13">
      <c r="A319" s="141"/>
      <c r="B319" s="141"/>
      <c r="C319" s="141"/>
      <c r="D319" s="49"/>
      <c r="E319" s="49"/>
      <c r="F319" s="49"/>
      <c r="G319" s="49"/>
      <c r="H319" s="49"/>
      <c r="I319" s="49"/>
      <c r="J319" s="49"/>
      <c r="K319" s="49"/>
      <c r="L319" s="49"/>
      <c r="M319" s="49"/>
      <c r="N319" s="49"/>
      <c r="O319" s="49"/>
      <c r="P319" s="49"/>
      <c r="Q319" s="49"/>
      <c r="R319" s="49"/>
      <c r="S319" s="49"/>
      <c r="T319" s="49"/>
      <c r="U319" s="49"/>
      <c r="V319" s="49"/>
      <c r="W319" s="49"/>
      <c r="X319" s="49"/>
      <c r="Y319" s="49"/>
      <c r="Z319" s="49"/>
      <c r="AA319" s="49"/>
      <c r="AB319" s="49"/>
      <c r="AC319" s="49"/>
      <c r="AD319" s="49"/>
    </row>
    <row r="320" spans="1:30" ht="13">
      <c r="A320" s="141"/>
      <c r="B320" s="141"/>
      <c r="C320" s="141"/>
      <c r="D320" s="49"/>
      <c r="E320" s="49"/>
      <c r="F320" s="49"/>
      <c r="G320" s="49"/>
      <c r="H320" s="49"/>
      <c r="I320" s="49"/>
      <c r="J320" s="49"/>
      <c r="K320" s="49"/>
      <c r="L320" s="49"/>
      <c r="M320" s="49"/>
      <c r="N320" s="49"/>
      <c r="O320" s="49"/>
      <c r="P320" s="49"/>
      <c r="Q320" s="49"/>
      <c r="R320" s="49"/>
      <c r="S320" s="49"/>
      <c r="T320" s="49"/>
      <c r="U320" s="49"/>
      <c r="V320" s="49"/>
      <c r="W320" s="49"/>
      <c r="X320" s="49"/>
      <c r="Y320" s="49"/>
      <c r="Z320" s="49"/>
      <c r="AA320" s="49"/>
      <c r="AB320" s="49"/>
      <c r="AC320" s="49"/>
      <c r="AD320" s="49"/>
    </row>
    <row r="321" spans="1:30" ht="13">
      <c r="A321" s="141"/>
      <c r="B321" s="141"/>
      <c r="C321" s="141"/>
      <c r="D321" s="49"/>
      <c r="E321" s="49"/>
      <c r="F321" s="49"/>
      <c r="G321" s="49"/>
      <c r="H321" s="49"/>
      <c r="I321" s="49"/>
      <c r="J321" s="49"/>
      <c r="K321" s="49"/>
      <c r="L321" s="49"/>
      <c r="M321" s="49"/>
      <c r="N321" s="49"/>
      <c r="O321" s="49"/>
      <c r="P321" s="49"/>
      <c r="Q321" s="49"/>
      <c r="R321" s="49"/>
      <c r="S321" s="49"/>
      <c r="T321" s="49"/>
      <c r="U321" s="49"/>
      <c r="V321" s="49"/>
      <c r="W321" s="49"/>
      <c r="X321" s="49"/>
      <c r="Y321" s="49"/>
      <c r="Z321" s="49"/>
      <c r="AA321" s="49"/>
      <c r="AB321" s="49"/>
      <c r="AC321" s="49"/>
      <c r="AD321" s="49"/>
    </row>
    <row r="322" spans="1:30" ht="13">
      <c r="A322" s="141"/>
      <c r="B322" s="141"/>
      <c r="C322" s="141"/>
      <c r="D322" s="49"/>
      <c r="E322" s="49"/>
      <c r="F322" s="49"/>
      <c r="G322" s="49"/>
      <c r="H322" s="49"/>
      <c r="I322" s="49"/>
      <c r="J322" s="49"/>
      <c r="K322" s="49"/>
      <c r="L322" s="49"/>
      <c r="M322" s="49"/>
      <c r="N322" s="49"/>
      <c r="O322" s="49"/>
      <c r="P322" s="49"/>
      <c r="Q322" s="49"/>
      <c r="R322" s="49"/>
      <c r="S322" s="49"/>
      <c r="T322" s="49"/>
      <c r="U322" s="49"/>
      <c r="V322" s="49"/>
      <c r="W322" s="49"/>
      <c r="X322" s="49"/>
      <c r="Y322" s="49"/>
      <c r="Z322" s="49"/>
      <c r="AA322" s="49"/>
      <c r="AB322" s="49"/>
      <c r="AC322" s="49"/>
      <c r="AD322" s="49"/>
    </row>
    <row r="323" spans="1:30" ht="13">
      <c r="A323" s="141"/>
      <c r="B323" s="141"/>
      <c r="C323" s="141"/>
      <c r="D323" s="49"/>
      <c r="E323" s="49"/>
      <c r="F323" s="49"/>
      <c r="G323" s="49"/>
      <c r="H323" s="49"/>
      <c r="I323" s="49"/>
      <c r="J323" s="49"/>
      <c r="K323" s="49"/>
      <c r="L323" s="49"/>
      <c r="M323" s="49"/>
      <c r="N323" s="49"/>
      <c r="O323" s="49"/>
      <c r="P323" s="49"/>
      <c r="Q323" s="49"/>
      <c r="R323" s="49"/>
      <c r="S323" s="49"/>
      <c r="T323" s="49"/>
      <c r="U323" s="49"/>
      <c r="V323" s="49"/>
      <c r="W323" s="49"/>
      <c r="X323" s="49"/>
      <c r="Y323" s="49"/>
      <c r="Z323" s="49"/>
      <c r="AA323" s="49"/>
      <c r="AB323" s="49"/>
      <c r="AC323" s="49"/>
      <c r="AD323" s="49"/>
    </row>
    <row r="324" spans="1:30" ht="13">
      <c r="A324" s="141"/>
      <c r="B324" s="141"/>
      <c r="C324" s="141"/>
      <c r="D324" s="49"/>
      <c r="E324" s="49"/>
      <c r="F324" s="49"/>
      <c r="G324" s="49"/>
      <c r="H324" s="49"/>
      <c r="I324" s="49"/>
      <c r="J324" s="49"/>
      <c r="K324" s="49"/>
      <c r="L324" s="49"/>
      <c r="M324" s="49"/>
      <c r="N324" s="49"/>
      <c r="O324" s="49"/>
      <c r="P324" s="49"/>
      <c r="Q324" s="49"/>
      <c r="R324" s="49"/>
      <c r="S324" s="49"/>
      <c r="T324" s="49"/>
      <c r="U324" s="49"/>
      <c r="V324" s="49"/>
      <c r="W324" s="49"/>
      <c r="X324" s="49"/>
      <c r="Y324" s="49"/>
      <c r="Z324" s="49"/>
      <c r="AA324" s="49"/>
      <c r="AB324" s="49"/>
      <c r="AC324" s="49"/>
      <c r="AD324" s="49"/>
    </row>
    <row r="325" spans="1:30" ht="13">
      <c r="A325" s="141"/>
      <c r="B325" s="141"/>
      <c r="C325" s="141"/>
      <c r="D325" s="49"/>
      <c r="E325" s="49"/>
      <c r="F325" s="49"/>
      <c r="G325" s="49"/>
      <c r="H325" s="49"/>
      <c r="I325" s="49"/>
      <c r="J325" s="49"/>
      <c r="K325" s="49"/>
      <c r="L325" s="49"/>
      <c r="M325" s="49"/>
      <c r="N325" s="49"/>
      <c r="O325" s="49"/>
      <c r="P325" s="49"/>
      <c r="Q325" s="49"/>
      <c r="R325" s="49"/>
      <c r="S325" s="49"/>
      <c r="T325" s="49"/>
      <c r="U325" s="49"/>
      <c r="V325" s="49"/>
      <c r="W325" s="49"/>
      <c r="X325" s="49"/>
      <c r="Y325" s="49"/>
      <c r="Z325" s="49"/>
      <c r="AA325" s="49"/>
      <c r="AB325" s="49"/>
      <c r="AC325" s="49"/>
      <c r="AD325" s="49"/>
    </row>
    <row r="326" spans="1:30" ht="13">
      <c r="A326" s="141"/>
      <c r="B326" s="141"/>
      <c r="C326" s="141"/>
      <c r="D326" s="49"/>
      <c r="E326" s="49"/>
      <c r="F326" s="49"/>
      <c r="G326" s="49"/>
      <c r="H326" s="49"/>
      <c r="I326" s="49"/>
      <c r="J326" s="49"/>
      <c r="K326" s="49"/>
      <c r="L326" s="49"/>
      <c r="M326" s="49"/>
      <c r="N326" s="49"/>
      <c r="O326" s="49"/>
      <c r="P326" s="49"/>
      <c r="Q326" s="49"/>
      <c r="R326" s="49"/>
      <c r="S326" s="49"/>
      <c r="T326" s="49"/>
      <c r="U326" s="49"/>
      <c r="V326" s="49"/>
      <c r="W326" s="49"/>
      <c r="X326" s="49"/>
      <c r="Y326" s="49"/>
      <c r="Z326" s="49"/>
      <c r="AA326" s="49"/>
      <c r="AB326" s="49"/>
      <c r="AC326" s="49"/>
      <c r="AD326" s="49"/>
    </row>
    <row r="327" spans="1:30" ht="13">
      <c r="A327" s="141"/>
      <c r="B327" s="141"/>
      <c r="C327" s="141"/>
      <c r="D327" s="49"/>
      <c r="E327" s="49"/>
      <c r="F327" s="49"/>
      <c r="G327" s="49"/>
      <c r="H327" s="49"/>
      <c r="I327" s="49"/>
      <c r="J327" s="49"/>
      <c r="K327" s="49"/>
      <c r="L327" s="49"/>
      <c r="M327" s="49"/>
      <c r="N327" s="49"/>
      <c r="O327" s="49"/>
      <c r="P327" s="49"/>
      <c r="Q327" s="49"/>
      <c r="R327" s="49"/>
      <c r="S327" s="49"/>
      <c r="T327" s="49"/>
      <c r="U327" s="49"/>
      <c r="V327" s="49"/>
      <c r="W327" s="49"/>
      <c r="X327" s="49"/>
      <c r="Y327" s="49"/>
      <c r="Z327" s="49"/>
      <c r="AA327" s="49"/>
      <c r="AB327" s="49"/>
      <c r="AC327" s="49"/>
      <c r="AD327" s="49"/>
    </row>
    <row r="328" spans="1:30" ht="13">
      <c r="A328" s="141"/>
      <c r="B328" s="141"/>
      <c r="C328" s="141"/>
      <c r="D328" s="49"/>
      <c r="E328" s="49"/>
      <c r="F328" s="49"/>
      <c r="G328" s="49"/>
      <c r="H328" s="49"/>
      <c r="I328" s="49"/>
      <c r="J328" s="49"/>
      <c r="K328" s="49"/>
      <c r="L328" s="49"/>
      <c r="M328" s="49"/>
      <c r="N328" s="49"/>
      <c r="O328" s="49"/>
      <c r="P328" s="49"/>
      <c r="Q328" s="49"/>
      <c r="R328" s="49"/>
      <c r="S328" s="49"/>
      <c r="T328" s="49"/>
      <c r="U328" s="49"/>
      <c r="V328" s="49"/>
      <c r="W328" s="49"/>
      <c r="X328" s="49"/>
      <c r="Y328" s="49"/>
      <c r="Z328" s="49"/>
      <c r="AA328" s="49"/>
      <c r="AB328" s="49"/>
      <c r="AC328" s="49"/>
      <c r="AD328" s="49"/>
    </row>
    <row r="329" spans="1:30" ht="13">
      <c r="A329" s="141"/>
      <c r="B329" s="141"/>
      <c r="C329" s="141"/>
      <c r="D329" s="49"/>
      <c r="E329" s="49"/>
      <c r="F329" s="49"/>
      <c r="G329" s="49"/>
      <c r="H329" s="49"/>
      <c r="I329" s="49"/>
      <c r="J329" s="49"/>
      <c r="K329" s="49"/>
      <c r="L329" s="49"/>
      <c r="M329" s="49"/>
      <c r="N329" s="49"/>
      <c r="O329" s="49"/>
      <c r="P329" s="49"/>
      <c r="Q329" s="49"/>
      <c r="R329" s="49"/>
      <c r="S329" s="49"/>
      <c r="T329" s="49"/>
      <c r="U329" s="49"/>
      <c r="V329" s="49"/>
      <c r="W329" s="49"/>
      <c r="X329" s="49"/>
      <c r="Y329" s="49"/>
      <c r="Z329" s="49"/>
      <c r="AA329" s="49"/>
      <c r="AB329" s="49"/>
      <c r="AC329" s="49"/>
      <c r="AD329" s="49"/>
    </row>
    <row r="330" spans="1:30" ht="13">
      <c r="A330" s="141"/>
      <c r="B330" s="141"/>
      <c r="C330" s="141"/>
      <c r="D330" s="49"/>
      <c r="E330" s="49"/>
      <c r="F330" s="49"/>
      <c r="G330" s="49"/>
      <c r="H330" s="49"/>
      <c r="I330" s="49"/>
      <c r="J330" s="49"/>
      <c r="K330" s="49"/>
      <c r="L330" s="49"/>
      <c r="M330" s="49"/>
      <c r="N330" s="49"/>
      <c r="O330" s="49"/>
      <c r="P330" s="49"/>
      <c r="Q330" s="49"/>
      <c r="R330" s="49"/>
      <c r="S330" s="49"/>
      <c r="T330" s="49"/>
      <c r="U330" s="49"/>
      <c r="V330" s="49"/>
      <c r="W330" s="49"/>
      <c r="X330" s="49"/>
      <c r="Y330" s="49"/>
      <c r="Z330" s="49"/>
      <c r="AA330" s="49"/>
      <c r="AB330" s="49"/>
      <c r="AC330" s="49"/>
      <c r="AD330" s="49"/>
    </row>
    <row r="331" spans="1:30" ht="13">
      <c r="A331" s="141"/>
      <c r="B331" s="141"/>
      <c r="C331" s="141"/>
      <c r="D331" s="49"/>
      <c r="E331" s="49"/>
      <c r="F331" s="49"/>
      <c r="G331" s="49"/>
      <c r="H331" s="49"/>
      <c r="I331" s="49"/>
      <c r="J331" s="49"/>
      <c r="K331" s="49"/>
      <c r="L331" s="49"/>
      <c r="M331" s="49"/>
      <c r="N331" s="49"/>
      <c r="O331" s="49"/>
      <c r="P331" s="49"/>
      <c r="Q331" s="49"/>
      <c r="R331" s="49"/>
      <c r="S331" s="49"/>
      <c r="T331" s="49"/>
      <c r="U331" s="49"/>
      <c r="V331" s="49"/>
      <c r="W331" s="49"/>
      <c r="X331" s="49"/>
      <c r="Y331" s="49"/>
      <c r="Z331" s="49"/>
      <c r="AA331" s="49"/>
      <c r="AB331" s="49"/>
      <c r="AC331" s="49"/>
      <c r="AD331" s="49"/>
    </row>
    <row r="332" spans="1:30" ht="13">
      <c r="A332" s="141"/>
      <c r="B332" s="141"/>
      <c r="C332" s="141"/>
      <c r="D332" s="49"/>
      <c r="E332" s="49"/>
      <c r="F332" s="49"/>
      <c r="G332" s="49"/>
      <c r="H332" s="49"/>
      <c r="I332" s="49"/>
      <c r="J332" s="49"/>
      <c r="K332" s="49"/>
      <c r="L332" s="49"/>
      <c r="M332" s="49"/>
      <c r="N332" s="49"/>
      <c r="O332" s="49"/>
      <c r="P332" s="49"/>
      <c r="Q332" s="49"/>
      <c r="R332" s="49"/>
      <c r="S332" s="49"/>
      <c r="T332" s="49"/>
      <c r="U332" s="49"/>
      <c r="V332" s="49"/>
      <c r="W332" s="49"/>
      <c r="X332" s="49"/>
      <c r="Y332" s="49"/>
      <c r="Z332" s="49"/>
      <c r="AA332" s="49"/>
      <c r="AB332" s="49"/>
      <c r="AC332" s="49"/>
      <c r="AD332" s="49"/>
    </row>
    <row r="333" spans="1:30" ht="13">
      <c r="A333" s="141"/>
      <c r="B333" s="141"/>
      <c r="C333" s="141"/>
      <c r="D333" s="49"/>
      <c r="E333" s="49"/>
      <c r="F333" s="49"/>
      <c r="G333" s="49"/>
      <c r="H333" s="49"/>
      <c r="I333" s="49"/>
      <c r="J333" s="49"/>
      <c r="K333" s="49"/>
      <c r="L333" s="49"/>
      <c r="M333" s="49"/>
      <c r="N333" s="49"/>
      <c r="O333" s="49"/>
      <c r="P333" s="49"/>
      <c r="Q333" s="49"/>
      <c r="R333" s="49"/>
      <c r="S333" s="49"/>
      <c r="T333" s="49"/>
      <c r="U333" s="49"/>
      <c r="V333" s="49"/>
      <c r="W333" s="49"/>
      <c r="X333" s="49"/>
      <c r="Y333" s="49"/>
      <c r="Z333" s="49"/>
      <c r="AA333" s="49"/>
      <c r="AB333" s="49"/>
      <c r="AC333" s="49"/>
      <c r="AD333" s="49"/>
    </row>
    <row r="334" spans="1:30" ht="13">
      <c r="A334" s="141"/>
      <c r="B334" s="141"/>
      <c r="C334" s="141"/>
      <c r="D334" s="49"/>
      <c r="E334" s="49"/>
      <c r="F334" s="49"/>
      <c r="G334" s="49"/>
      <c r="H334" s="49"/>
      <c r="I334" s="49"/>
      <c r="J334" s="49"/>
      <c r="K334" s="49"/>
      <c r="L334" s="49"/>
      <c r="M334" s="49"/>
      <c r="N334" s="49"/>
      <c r="O334" s="49"/>
      <c r="P334" s="49"/>
      <c r="Q334" s="49"/>
      <c r="R334" s="49"/>
      <c r="S334" s="49"/>
      <c r="T334" s="49"/>
      <c r="U334" s="49"/>
      <c r="V334" s="49"/>
      <c r="W334" s="49"/>
      <c r="X334" s="49"/>
      <c r="Y334" s="49"/>
      <c r="Z334" s="49"/>
      <c r="AA334" s="49"/>
      <c r="AB334" s="49"/>
      <c r="AC334" s="49"/>
      <c r="AD334" s="49"/>
    </row>
    <row r="335" spans="1:30" ht="13">
      <c r="A335" s="141"/>
      <c r="B335" s="141"/>
      <c r="C335" s="141"/>
      <c r="D335" s="49"/>
      <c r="E335" s="49"/>
      <c r="F335" s="49"/>
      <c r="G335" s="49"/>
      <c r="H335" s="49"/>
      <c r="I335" s="49"/>
      <c r="J335" s="49"/>
      <c r="K335" s="49"/>
      <c r="L335" s="49"/>
      <c r="M335" s="49"/>
      <c r="N335" s="49"/>
      <c r="O335" s="49"/>
      <c r="P335" s="49"/>
      <c r="Q335" s="49"/>
      <c r="R335" s="49"/>
      <c r="S335" s="49"/>
      <c r="T335" s="49"/>
      <c r="U335" s="49"/>
      <c r="V335" s="49"/>
      <c r="W335" s="49"/>
      <c r="X335" s="49"/>
      <c r="Y335" s="49"/>
      <c r="Z335" s="49"/>
      <c r="AA335" s="49"/>
      <c r="AB335" s="49"/>
      <c r="AC335" s="49"/>
      <c r="AD335" s="49"/>
    </row>
    <row r="336" spans="1:30" ht="13">
      <c r="A336" s="141"/>
      <c r="B336" s="141"/>
      <c r="C336" s="141"/>
      <c r="D336" s="49"/>
      <c r="E336" s="49"/>
      <c r="F336" s="49"/>
      <c r="G336" s="49"/>
      <c r="H336" s="49"/>
      <c r="I336" s="49"/>
      <c r="J336" s="49"/>
      <c r="K336" s="49"/>
      <c r="L336" s="49"/>
      <c r="M336" s="49"/>
      <c r="N336" s="49"/>
      <c r="O336" s="49"/>
      <c r="P336" s="49"/>
      <c r="Q336" s="49"/>
      <c r="R336" s="49"/>
      <c r="S336" s="49"/>
      <c r="T336" s="49"/>
      <c r="U336" s="49"/>
      <c r="V336" s="49"/>
      <c r="W336" s="49"/>
      <c r="X336" s="49"/>
      <c r="Y336" s="49"/>
      <c r="Z336" s="49"/>
      <c r="AA336" s="49"/>
      <c r="AB336" s="49"/>
      <c r="AC336" s="49"/>
      <c r="AD336" s="49"/>
    </row>
    <row r="337" spans="1:30" ht="13">
      <c r="A337" s="141"/>
      <c r="B337" s="141"/>
      <c r="C337" s="141"/>
      <c r="D337" s="49"/>
      <c r="E337" s="49"/>
      <c r="F337" s="49"/>
      <c r="G337" s="49"/>
      <c r="H337" s="49"/>
      <c r="I337" s="49"/>
      <c r="J337" s="49"/>
      <c r="K337" s="49"/>
      <c r="L337" s="49"/>
      <c r="M337" s="49"/>
      <c r="N337" s="49"/>
      <c r="O337" s="49"/>
      <c r="P337" s="49"/>
      <c r="Q337" s="49"/>
      <c r="R337" s="49"/>
      <c r="S337" s="49"/>
      <c r="T337" s="49"/>
      <c r="U337" s="49"/>
      <c r="V337" s="49"/>
      <c r="W337" s="49"/>
      <c r="X337" s="49"/>
      <c r="Y337" s="49"/>
      <c r="Z337" s="49"/>
      <c r="AA337" s="49"/>
      <c r="AB337" s="49"/>
      <c r="AC337" s="49"/>
      <c r="AD337" s="49"/>
    </row>
    <row r="338" spans="1:30" ht="13">
      <c r="A338" s="141"/>
      <c r="B338" s="141"/>
      <c r="C338" s="141"/>
      <c r="D338" s="49"/>
      <c r="E338" s="49"/>
      <c r="F338" s="49"/>
      <c r="G338" s="49"/>
      <c r="H338" s="49"/>
      <c r="I338" s="49"/>
      <c r="J338" s="49"/>
      <c r="K338" s="49"/>
      <c r="L338" s="49"/>
      <c r="M338" s="49"/>
      <c r="N338" s="49"/>
      <c r="O338" s="49"/>
      <c r="P338" s="49"/>
      <c r="Q338" s="49"/>
      <c r="R338" s="49"/>
      <c r="S338" s="49"/>
      <c r="T338" s="49"/>
      <c r="U338" s="49"/>
      <c r="V338" s="49"/>
      <c r="W338" s="49"/>
      <c r="X338" s="49"/>
      <c r="Y338" s="49"/>
      <c r="Z338" s="49"/>
      <c r="AA338" s="49"/>
      <c r="AB338" s="49"/>
      <c r="AC338" s="49"/>
      <c r="AD338" s="49"/>
    </row>
    <row r="339" spans="1:30" ht="13">
      <c r="A339" s="141"/>
      <c r="B339" s="141"/>
      <c r="C339" s="141"/>
      <c r="D339" s="49"/>
      <c r="E339" s="49"/>
      <c r="F339" s="49"/>
      <c r="G339" s="49"/>
      <c r="H339" s="49"/>
      <c r="I339" s="49"/>
      <c r="J339" s="49"/>
      <c r="K339" s="49"/>
      <c r="L339" s="49"/>
      <c r="M339" s="49"/>
      <c r="N339" s="49"/>
      <c r="O339" s="49"/>
      <c r="P339" s="49"/>
      <c r="Q339" s="49"/>
      <c r="R339" s="49"/>
      <c r="S339" s="49"/>
      <c r="T339" s="49"/>
      <c r="U339" s="49"/>
      <c r="V339" s="49"/>
      <c r="W339" s="49"/>
      <c r="X339" s="49"/>
      <c r="Y339" s="49"/>
      <c r="Z339" s="49"/>
      <c r="AA339" s="49"/>
      <c r="AB339" s="49"/>
      <c r="AC339" s="49"/>
      <c r="AD339" s="49"/>
    </row>
    <row r="340" spans="1:30" ht="13">
      <c r="A340" s="141"/>
      <c r="B340" s="141"/>
      <c r="C340" s="141"/>
      <c r="D340" s="49"/>
      <c r="E340" s="49"/>
      <c r="F340" s="49"/>
      <c r="G340" s="49"/>
      <c r="H340" s="49"/>
      <c r="I340" s="49"/>
      <c r="J340" s="49"/>
      <c r="K340" s="49"/>
      <c r="L340" s="49"/>
      <c r="M340" s="49"/>
      <c r="N340" s="49"/>
      <c r="O340" s="49"/>
      <c r="P340" s="49"/>
      <c r="Q340" s="49"/>
      <c r="R340" s="49"/>
      <c r="S340" s="49"/>
      <c r="T340" s="49"/>
      <c r="U340" s="49"/>
      <c r="V340" s="49"/>
      <c r="W340" s="49"/>
      <c r="X340" s="49"/>
      <c r="Y340" s="49"/>
      <c r="Z340" s="49"/>
      <c r="AA340" s="49"/>
      <c r="AB340" s="49"/>
      <c r="AC340" s="49"/>
      <c r="AD340" s="49"/>
    </row>
    <row r="341" spans="1:30" ht="13">
      <c r="A341" s="141"/>
      <c r="B341" s="141"/>
      <c r="C341" s="141"/>
      <c r="D341" s="49"/>
      <c r="E341" s="49"/>
      <c r="F341" s="49"/>
      <c r="G341" s="49"/>
      <c r="H341" s="49"/>
      <c r="I341" s="49"/>
      <c r="J341" s="49"/>
      <c r="K341" s="49"/>
      <c r="L341" s="49"/>
      <c r="M341" s="49"/>
      <c r="N341" s="49"/>
      <c r="O341" s="49"/>
      <c r="P341" s="49"/>
      <c r="Q341" s="49"/>
      <c r="R341" s="49"/>
      <c r="S341" s="49"/>
      <c r="T341" s="49"/>
      <c r="U341" s="49"/>
      <c r="V341" s="49"/>
      <c r="W341" s="49"/>
      <c r="X341" s="49"/>
      <c r="Y341" s="49"/>
      <c r="Z341" s="49"/>
      <c r="AA341" s="49"/>
      <c r="AB341" s="49"/>
      <c r="AC341" s="49"/>
      <c r="AD341" s="49"/>
    </row>
    <row r="342" spans="1:30" ht="13">
      <c r="A342" s="141"/>
      <c r="B342" s="141"/>
      <c r="C342" s="141"/>
      <c r="D342" s="49"/>
      <c r="E342" s="49"/>
      <c r="F342" s="49"/>
      <c r="G342" s="49"/>
      <c r="H342" s="49"/>
      <c r="I342" s="49"/>
      <c r="J342" s="49"/>
      <c r="K342" s="49"/>
      <c r="L342" s="49"/>
      <c r="M342" s="49"/>
      <c r="N342" s="49"/>
      <c r="O342" s="49"/>
      <c r="P342" s="49"/>
      <c r="Q342" s="49"/>
      <c r="R342" s="49"/>
      <c r="S342" s="49"/>
      <c r="T342" s="49"/>
      <c r="U342" s="49"/>
      <c r="V342" s="49"/>
      <c r="W342" s="49"/>
      <c r="X342" s="49"/>
      <c r="Y342" s="49"/>
      <c r="Z342" s="49"/>
      <c r="AA342" s="49"/>
      <c r="AB342" s="49"/>
      <c r="AC342" s="49"/>
      <c r="AD342" s="49"/>
    </row>
    <row r="343" spans="1:30" ht="13">
      <c r="A343" s="141"/>
      <c r="B343" s="141"/>
      <c r="C343" s="141"/>
      <c r="D343" s="49"/>
      <c r="E343" s="49"/>
      <c r="F343" s="49"/>
      <c r="G343" s="49"/>
      <c r="H343" s="49"/>
      <c r="I343" s="49"/>
      <c r="J343" s="49"/>
      <c r="K343" s="49"/>
      <c r="L343" s="49"/>
      <c r="M343" s="49"/>
      <c r="N343" s="49"/>
      <c r="O343" s="49"/>
      <c r="P343" s="49"/>
      <c r="Q343" s="49"/>
      <c r="R343" s="49"/>
      <c r="S343" s="49"/>
      <c r="T343" s="49"/>
      <c r="U343" s="49"/>
      <c r="V343" s="49"/>
      <c r="W343" s="49"/>
      <c r="X343" s="49"/>
      <c r="Y343" s="49"/>
      <c r="Z343" s="49"/>
      <c r="AA343" s="49"/>
      <c r="AB343" s="49"/>
      <c r="AC343" s="49"/>
      <c r="AD343" s="49"/>
    </row>
    <row r="344" spans="1:30" ht="13">
      <c r="A344" s="141"/>
      <c r="B344" s="141"/>
      <c r="C344" s="141"/>
      <c r="D344" s="49"/>
      <c r="E344" s="49"/>
      <c r="F344" s="49"/>
      <c r="G344" s="49"/>
      <c r="H344" s="49"/>
      <c r="I344" s="49"/>
      <c r="J344" s="49"/>
      <c r="K344" s="49"/>
      <c r="L344" s="49"/>
      <c r="M344" s="49"/>
      <c r="N344" s="49"/>
      <c r="O344" s="49"/>
      <c r="P344" s="49"/>
      <c r="Q344" s="49"/>
      <c r="R344" s="49"/>
      <c r="S344" s="49"/>
      <c r="T344" s="49"/>
      <c r="U344" s="49"/>
      <c r="V344" s="49"/>
      <c r="W344" s="49"/>
      <c r="X344" s="49"/>
      <c r="Y344" s="49"/>
      <c r="Z344" s="49"/>
      <c r="AA344" s="49"/>
      <c r="AB344" s="49"/>
      <c r="AC344" s="49"/>
      <c r="AD344" s="49"/>
    </row>
    <row r="345" spans="1:30" ht="13">
      <c r="A345" s="141"/>
      <c r="B345" s="141"/>
      <c r="C345" s="141"/>
      <c r="D345" s="49"/>
      <c r="E345" s="49"/>
      <c r="F345" s="49"/>
      <c r="G345" s="49"/>
      <c r="H345" s="49"/>
      <c r="I345" s="49"/>
      <c r="J345" s="49"/>
      <c r="K345" s="49"/>
      <c r="L345" s="49"/>
      <c r="M345" s="49"/>
      <c r="N345" s="49"/>
      <c r="O345" s="49"/>
      <c r="P345" s="49"/>
      <c r="Q345" s="49"/>
      <c r="R345" s="49"/>
      <c r="S345" s="49"/>
      <c r="T345" s="49"/>
      <c r="U345" s="49"/>
      <c r="V345" s="49"/>
      <c r="W345" s="49"/>
      <c r="X345" s="49"/>
      <c r="Y345" s="49"/>
      <c r="Z345" s="49"/>
      <c r="AA345" s="49"/>
      <c r="AB345" s="49"/>
      <c r="AC345" s="49"/>
      <c r="AD345" s="49"/>
    </row>
    <row r="346" spans="1:30" ht="13">
      <c r="A346" s="141"/>
      <c r="B346" s="141"/>
      <c r="C346" s="141"/>
      <c r="D346" s="49"/>
      <c r="E346" s="49"/>
      <c r="F346" s="49"/>
      <c r="G346" s="49"/>
      <c r="H346" s="49"/>
      <c r="I346" s="49"/>
      <c r="J346" s="49"/>
      <c r="K346" s="49"/>
      <c r="L346" s="49"/>
      <c r="M346" s="49"/>
      <c r="N346" s="49"/>
      <c r="O346" s="49"/>
      <c r="P346" s="49"/>
      <c r="Q346" s="49"/>
      <c r="R346" s="49"/>
      <c r="S346" s="49"/>
      <c r="T346" s="49"/>
      <c r="U346" s="49"/>
      <c r="V346" s="49"/>
      <c r="W346" s="49"/>
      <c r="X346" s="49"/>
      <c r="Y346" s="49"/>
      <c r="Z346" s="49"/>
      <c r="AA346" s="49"/>
      <c r="AB346" s="49"/>
      <c r="AC346" s="49"/>
      <c r="AD346" s="49"/>
    </row>
    <row r="347" spans="1:30" ht="13">
      <c r="A347" s="141"/>
      <c r="B347" s="141"/>
      <c r="C347" s="141"/>
      <c r="D347" s="49"/>
      <c r="E347" s="49"/>
      <c r="F347" s="49"/>
      <c r="G347" s="49"/>
      <c r="H347" s="49"/>
      <c r="I347" s="49"/>
      <c r="J347" s="49"/>
      <c r="K347" s="49"/>
      <c r="L347" s="49"/>
      <c r="M347" s="49"/>
      <c r="N347" s="49"/>
      <c r="O347" s="49"/>
      <c r="P347" s="49"/>
      <c r="Q347" s="49"/>
      <c r="R347" s="49"/>
      <c r="S347" s="49"/>
      <c r="T347" s="49"/>
      <c r="U347" s="49"/>
      <c r="V347" s="49"/>
      <c r="W347" s="49"/>
      <c r="X347" s="49"/>
      <c r="Y347" s="49"/>
      <c r="Z347" s="49"/>
      <c r="AA347" s="49"/>
      <c r="AB347" s="49"/>
      <c r="AC347" s="49"/>
      <c r="AD347" s="49"/>
    </row>
    <row r="348" spans="1:30" ht="13">
      <c r="A348" s="141"/>
      <c r="B348" s="141"/>
      <c r="C348" s="141"/>
      <c r="D348" s="49"/>
      <c r="E348" s="49"/>
      <c r="F348" s="49"/>
      <c r="G348" s="49"/>
      <c r="H348" s="49"/>
      <c r="I348" s="49"/>
      <c r="J348" s="49"/>
      <c r="K348" s="49"/>
      <c r="L348" s="49"/>
      <c r="M348" s="49"/>
      <c r="N348" s="49"/>
      <c r="O348" s="49"/>
      <c r="P348" s="49"/>
      <c r="Q348" s="49"/>
      <c r="R348" s="49"/>
      <c r="S348" s="49"/>
      <c r="T348" s="49"/>
      <c r="U348" s="49"/>
      <c r="V348" s="49"/>
      <c r="W348" s="49"/>
      <c r="X348" s="49"/>
      <c r="Y348" s="49"/>
      <c r="Z348" s="49"/>
      <c r="AA348" s="49"/>
      <c r="AB348" s="49"/>
      <c r="AC348" s="49"/>
      <c r="AD348" s="49"/>
    </row>
    <row r="349" spans="1:30" ht="13">
      <c r="A349" s="141"/>
      <c r="B349" s="141"/>
      <c r="C349" s="141"/>
      <c r="D349" s="49"/>
      <c r="E349" s="49"/>
      <c r="F349" s="49"/>
      <c r="G349" s="49"/>
      <c r="H349" s="49"/>
      <c r="I349" s="49"/>
      <c r="J349" s="49"/>
      <c r="K349" s="49"/>
      <c r="L349" s="49"/>
      <c r="M349" s="49"/>
      <c r="N349" s="49"/>
      <c r="O349" s="49"/>
      <c r="P349" s="49"/>
      <c r="Q349" s="49"/>
      <c r="R349" s="49"/>
      <c r="S349" s="49"/>
      <c r="T349" s="49"/>
      <c r="U349" s="49"/>
      <c r="V349" s="49"/>
      <c r="W349" s="49"/>
      <c r="X349" s="49"/>
      <c r="Y349" s="49"/>
      <c r="Z349" s="49"/>
      <c r="AA349" s="49"/>
      <c r="AB349" s="49"/>
      <c r="AC349" s="49"/>
      <c r="AD349" s="49"/>
    </row>
    <row r="350" spans="1:30" ht="13">
      <c r="A350" s="141"/>
      <c r="B350" s="141"/>
      <c r="C350" s="141"/>
      <c r="D350" s="49"/>
      <c r="E350" s="49"/>
      <c r="F350" s="49"/>
      <c r="G350" s="49"/>
      <c r="H350" s="49"/>
      <c r="I350" s="49"/>
      <c r="J350" s="49"/>
      <c r="K350" s="49"/>
      <c r="L350" s="49"/>
      <c r="M350" s="49"/>
      <c r="N350" s="49"/>
      <c r="O350" s="49"/>
      <c r="P350" s="49"/>
      <c r="Q350" s="49"/>
      <c r="R350" s="49"/>
      <c r="S350" s="49"/>
      <c r="T350" s="49"/>
      <c r="U350" s="49"/>
      <c r="V350" s="49"/>
      <c r="W350" s="49"/>
      <c r="X350" s="49"/>
      <c r="Y350" s="49"/>
      <c r="Z350" s="49"/>
      <c r="AA350" s="49"/>
      <c r="AB350" s="49"/>
      <c r="AC350" s="49"/>
      <c r="AD350" s="49"/>
    </row>
    <row r="351" spans="1:30" ht="13">
      <c r="A351" s="141"/>
      <c r="B351" s="141"/>
      <c r="C351" s="141"/>
      <c r="D351" s="49"/>
      <c r="E351" s="49"/>
      <c r="F351" s="49"/>
      <c r="G351" s="49"/>
      <c r="H351" s="49"/>
      <c r="I351" s="49"/>
      <c r="J351" s="49"/>
      <c r="K351" s="49"/>
      <c r="L351" s="49"/>
      <c r="M351" s="49"/>
      <c r="N351" s="49"/>
      <c r="O351" s="49"/>
      <c r="P351" s="49"/>
      <c r="Q351" s="49"/>
      <c r="R351" s="49"/>
      <c r="S351" s="49"/>
      <c r="T351" s="49"/>
      <c r="U351" s="49"/>
      <c r="V351" s="49"/>
      <c r="W351" s="49"/>
      <c r="X351" s="49"/>
      <c r="Y351" s="49"/>
      <c r="Z351" s="49"/>
      <c r="AA351" s="49"/>
      <c r="AB351" s="49"/>
      <c r="AC351" s="49"/>
      <c r="AD351" s="49"/>
    </row>
    <row r="352" spans="1:30" ht="13">
      <c r="A352" s="141"/>
      <c r="B352" s="141"/>
      <c r="C352" s="141"/>
      <c r="D352" s="49"/>
      <c r="E352" s="49"/>
      <c r="F352" s="49"/>
      <c r="G352" s="49"/>
      <c r="H352" s="49"/>
      <c r="I352" s="49"/>
      <c r="J352" s="49"/>
      <c r="K352" s="49"/>
      <c r="L352" s="49"/>
      <c r="M352" s="49"/>
      <c r="N352" s="49"/>
      <c r="O352" s="49"/>
      <c r="P352" s="49"/>
      <c r="Q352" s="49"/>
      <c r="R352" s="49"/>
      <c r="S352" s="49"/>
      <c r="T352" s="49"/>
      <c r="U352" s="49"/>
      <c r="V352" s="49"/>
      <c r="W352" s="49"/>
      <c r="X352" s="49"/>
      <c r="Y352" s="49"/>
      <c r="Z352" s="49"/>
      <c r="AA352" s="49"/>
      <c r="AB352" s="49"/>
      <c r="AC352" s="49"/>
      <c r="AD352" s="49"/>
    </row>
    <row r="353" spans="1:30" ht="13">
      <c r="A353" s="141"/>
      <c r="B353" s="141"/>
      <c r="C353" s="141"/>
      <c r="D353" s="49"/>
      <c r="E353" s="49"/>
      <c r="F353" s="49"/>
      <c r="G353" s="49"/>
      <c r="H353" s="49"/>
      <c r="I353" s="49"/>
      <c r="J353" s="49"/>
      <c r="K353" s="49"/>
      <c r="L353" s="49"/>
      <c r="M353" s="49"/>
      <c r="N353" s="49"/>
      <c r="O353" s="49"/>
      <c r="P353" s="49"/>
      <c r="Q353" s="49"/>
      <c r="R353" s="49"/>
      <c r="S353" s="49"/>
      <c r="T353" s="49"/>
      <c r="U353" s="49"/>
      <c r="V353" s="49"/>
      <c r="W353" s="49"/>
      <c r="X353" s="49"/>
      <c r="Y353" s="49"/>
      <c r="Z353" s="49"/>
      <c r="AA353" s="49"/>
      <c r="AB353" s="49"/>
      <c r="AC353" s="49"/>
      <c r="AD353" s="49"/>
    </row>
    <row r="354" spans="1:30" ht="13">
      <c r="A354" s="141"/>
      <c r="B354" s="141"/>
      <c r="C354" s="141"/>
      <c r="D354" s="49"/>
      <c r="E354" s="49"/>
      <c r="F354" s="49"/>
      <c r="G354" s="49"/>
      <c r="H354" s="49"/>
      <c r="I354" s="49"/>
      <c r="J354" s="49"/>
      <c r="K354" s="49"/>
      <c r="L354" s="49"/>
      <c r="M354" s="49"/>
      <c r="N354" s="49"/>
      <c r="O354" s="49"/>
      <c r="P354" s="49"/>
      <c r="Q354" s="49"/>
      <c r="R354" s="49"/>
      <c r="S354" s="49"/>
      <c r="T354" s="49"/>
      <c r="U354" s="49"/>
      <c r="V354" s="49"/>
      <c r="W354" s="49"/>
      <c r="X354" s="49"/>
      <c r="Y354" s="49"/>
      <c r="Z354" s="49"/>
      <c r="AA354" s="49"/>
      <c r="AB354" s="49"/>
      <c r="AC354" s="49"/>
      <c r="AD354" s="49"/>
    </row>
    <row r="355" spans="1:30" ht="13">
      <c r="A355" s="141"/>
      <c r="B355" s="141"/>
      <c r="C355" s="141"/>
      <c r="D355" s="49"/>
      <c r="E355" s="49"/>
      <c r="F355" s="49"/>
      <c r="G355" s="49"/>
      <c r="H355" s="49"/>
      <c r="I355" s="49"/>
      <c r="J355" s="49"/>
      <c r="K355" s="49"/>
      <c r="L355" s="49"/>
      <c r="M355" s="49"/>
      <c r="N355" s="49"/>
      <c r="O355" s="49"/>
      <c r="P355" s="49"/>
      <c r="Q355" s="49"/>
      <c r="R355" s="49"/>
      <c r="S355" s="49"/>
      <c r="T355" s="49"/>
      <c r="U355" s="49"/>
      <c r="V355" s="49"/>
      <c r="W355" s="49"/>
      <c r="X355" s="49"/>
      <c r="Y355" s="49"/>
      <c r="Z355" s="49"/>
      <c r="AA355" s="49"/>
      <c r="AB355" s="49"/>
      <c r="AC355" s="49"/>
      <c r="AD355" s="49"/>
    </row>
    <row r="356" spans="1:30" ht="13">
      <c r="A356" s="141"/>
      <c r="B356" s="141"/>
      <c r="C356" s="141"/>
      <c r="D356" s="49"/>
      <c r="E356" s="49"/>
      <c r="F356" s="49"/>
      <c r="G356" s="49"/>
      <c r="H356" s="49"/>
      <c r="I356" s="49"/>
      <c r="J356" s="49"/>
      <c r="K356" s="49"/>
      <c r="L356" s="49"/>
      <c r="M356" s="49"/>
      <c r="N356" s="49"/>
      <c r="O356" s="49"/>
      <c r="P356" s="49"/>
      <c r="Q356" s="49"/>
      <c r="R356" s="49"/>
      <c r="S356" s="49"/>
      <c r="T356" s="49"/>
      <c r="U356" s="49"/>
      <c r="V356" s="49"/>
      <c r="W356" s="49"/>
      <c r="X356" s="49"/>
      <c r="Y356" s="49"/>
      <c r="Z356" s="49"/>
      <c r="AA356" s="49"/>
      <c r="AB356" s="49"/>
      <c r="AC356" s="49"/>
      <c r="AD356" s="49"/>
    </row>
    <row r="357" spans="1:30" ht="13">
      <c r="A357" s="141"/>
      <c r="B357" s="141"/>
      <c r="C357" s="141"/>
      <c r="D357" s="49"/>
      <c r="E357" s="49"/>
      <c r="F357" s="49"/>
      <c r="G357" s="49"/>
      <c r="H357" s="49"/>
      <c r="I357" s="49"/>
      <c r="J357" s="49"/>
      <c r="K357" s="49"/>
      <c r="L357" s="49"/>
      <c r="M357" s="49"/>
      <c r="N357" s="49"/>
      <c r="O357" s="49"/>
      <c r="P357" s="49"/>
      <c r="Q357" s="49"/>
      <c r="R357" s="49"/>
      <c r="S357" s="49"/>
      <c r="T357" s="49"/>
      <c r="U357" s="49"/>
      <c r="V357" s="49"/>
      <c r="W357" s="49"/>
      <c r="X357" s="49"/>
      <c r="Y357" s="49"/>
      <c r="Z357" s="49"/>
      <c r="AA357" s="49"/>
      <c r="AB357" s="49"/>
      <c r="AC357" s="49"/>
      <c r="AD357" s="49"/>
    </row>
    <row r="358" spans="1:30" ht="13">
      <c r="A358" s="141"/>
      <c r="B358" s="141"/>
      <c r="C358" s="141"/>
      <c r="D358" s="49"/>
      <c r="E358" s="49"/>
      <c r="F358" s="49"/>
      <c r="G358" s="49"/>
      <c r="H358" s="49"/>
      <c r="I358" s="49"/>
      <c r="J358" s="49"/>
      <c r="K358" s="49"/>
      <c r="L358" s="49"/>
      <c r="M358" s="49"/>
      <c r="N358" s="49"/>
      <c r="O358" s="49"/>
      <c r="P358" s="49"/>
      <c r="Q358" s="49"/>
      <c r="R358" s="49"/>
      <c r="S358" s="49"/>
      <c r="T358" s="49"/>
      <c r="U358" s="49"/>
      <c r="V358" s="49"/>
      <c r="W358" s="49"/>
      <c r="X358" s="49"/>
      <c r="Y358" s="49"/>
      <c r="Z358" s="49"/>
      <c r="AA358" s="49"/>
      <c r="AB358" s="49"/>
      <c r="AC358" s="49"/>
      <c r="AD358" s="49"/>
    </row>
    <row r="359" spans="1:30" ht="13">
      <c r="A359" s="141"/>
      <c r="B359" s="141"/>
      <c r="C359" s="141"/>
      <c r="D359" s="49"/>
      <c r="E359" s="49"/>
      <c r="F359" s="49"/>
      <c r="G359" s="49"/>
      <c r="H359" s="49"/>
      <c r="I359" s="49"/>
      <c r="J359" s="49"/>
      <c r="K359" s="49"/>
      <c r="L359" s="49"/>
      <c r="M359" s="49"/>
      <c r="N359" s="49"/>
      <c r="O359" s="49"/>
      <c r="P359" s="49"/>
      <c r="Q359" s="49"/>
      <c r="R359" s="49"/>
      <c r="S359" s="49"/>
      <c r="T359" s="49"/>
      <c r="U359" s="49"/>
      <c r="V359" s="49"/>
      <c r="W359" s="49"/>
      <c r="X359" s="49"/>
      <c r="Y359" s="49"/>
      <c r="Z359" s="49"/>
      <c r="AA359" s="49"/>
      <c r="AB359" s="49"/>
      <c r="AC359" s="49"/>
      <c r="AD359" s="49"/>
    </row>
    <row r="360" spans="1:30" ht="13">
      <c r="A360" s="141"/>
      <c r="B360" s="141"/>
      <c r="C360" s="141"/>
      <c r="D360" s="49"/>
      <c r="E360" s="49"/>
      <c r="F360" s="49"/>
      <c r="G360" s="49"/>
      <c r="H360" s="49"/>
      <c r="I360" s="49"/>
      <c r="J360" s="49"/>
      <c r="K360" s="49"/>
      <c r="L360" s="49"/>
      <c r="M360" s="49"/>
      <c r="N360" s="49"/>
      <c r="O360" s="49"/>
      <c r="P360" s="49"/>
      <c r="Q360" s="49"/>
      <c r="R360" s="49"/>
      <c r="S360" s="49"/>
      <c r="T360" s="49"/>
      <c r="U360" s="49"/>
      <c r="V360" s="49"/>
      <c r="W360" s="49"/>
      <c r="X360" s="49"/>
      <c r="Y360" s="49"/>
      <c r="Z360" s="49"/>
      <c r="AA360" s="49"/>
      <c r="AB360" s="49"/>
      <c r="AC360" s="49"/>
      <c r="AD360" s="49"/>
    </row>
    <row r="361" spans="1:30" ht="13">
      <c r="A361" s="141"/>
      <c r="B361" s="141"/>
      <c r="C361" s="141"/>
      <c r="D361" s="49"/>
      <c r="E361" s="49"/>
      <c r="F361" s="49"/>
      <c r="G361" s="49"/>
      <c r="H361" s="49"/>
      <c r="I361" s="49"/>
      <c r="J361" s="49"/>
      <c r="K361" s="49"/>
      <c r="L361" s="49"/>
      <c r="M361" s="49"/>
      <c r="N361" s="49"/>
      <c r="O361" s="49"/>
      <c r="P361" s="49"/>
      <c r="Q361" s="49"/>
      <c r="R361" s="49"/>
      <c r="S361" s="49"/>
      <c r="T361" s="49"/>
      <c r="U361" s="49"/>
      <c r="V361" s="49"/>
      <c r="W361" s="49"/>
      <c r="X361" s="49"/>
      <c r="Y361" s="49"/>
      <c r="Z361" s="49"/>
      <c r="AA361" s="49"/>
      <c r="AB361" s="49"/>
      <c r="AC361" s="49"/>
      <c r="AD361" s="49"/>
    </row>
    <row r="362" spans="1:30" ht="13">
      <c r="A362" s="141"/>
      <c r="B362" s="141"/>
      <c r="C362" s="141"/>
      <c r="D362" s="49"/>
      <c r="E362" s="49"/>
      <c r="F362" s="49"/>
      <c r="G362" s="49"/>
      <c r="H362" s="49"/>
      <c r="I362" s="49"/>
      <c r="J362" s="49"/>
      <c r="K362" s="49"/>
      <c r="L362" s="49"/>
      <c r="M362" s="49"/>
      <c r="N362" s="49"/>
      <c r="O362" s="49"/>
      <c r="P362" s="49"/>
      <c r="Q362" s="49"/>
      <c r="R362" s="49"/>
      <c r="S362" s="49"/>
      <c r="T362" s="49"/>
      <c r="U362" s="49"/>
      <c r="V362" s="49"/>
      <c r="W362" s="49"/>
      <c r="X362" s="49"/>
      <c r="Y362" s="49"/>
      <c r="Z362" s="49"/>
      <c r="AA362" s="49"/>
      <c r="AB362" s="49"/>
      <c r="AC362" s="49"/>
      <c r="AD362" s="49"/>
    </row>
    <row r="363" spans="1:30" ht="13">
      <c r="A363" s="141"/>
      <c r="B363" s="141"/>
      <c r="C363" s="141"/>
      <c r="D363" s="49"/>
      <c r="E363" s="49"/>
      <c r="F363" s="49"/>
      <c r="G363" s="49"/>
      <c r="H363" s="49"/>
      <c r="I363" s="49"/>
      <c r="J363" s="49"/>
      <c r="K363" s="49"/>
      <c r="L363" s="49"/>
      <c r="M363" s="49"/>
      <c r="N363" s="49"/>
      <c r="O363" s="49"/>
      <c r="P363" s="49"/>
      <c r="Q363" s="49"/>
      <c r="R363" s="49"/>
      <c r="S363" s="49"/>
      <c r="T363" s="49"/>
      <c r="U363" s="49"/>
      <c r="V363" s="49"/>
      <c r="W363" s="49"/>
      <c r="X363" s="49"/>
      <c r="Y363" s="49"/>
      <c r="Z363" s="49"/>
      <c r="AA363" s="49"/>
      <c r="AB363" s="49"/>
      <c r="AC363" s="49"/>
      <c r="AD363" s="49"/>
    </row>
    <row r="364" spans="1:30" ht="13">
      <c r="A364" s="141"/>
      <c r="B364" s="141"/>
      <c r="C364" s="141"/>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row>
    <row r="365" spans="1:30" ht="13">
      <c r="A365" s="141"/>
      <c r="B365" s="141"/>
      <c r="C365" s="141"/>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row>
    <row r="366" spans="1:30" ht="13">
      <c r="A366" s="141"/>
      <c r="B366" s="141"/>
      <c r="C366" s="141"/>
      <c r="D366" s="49"/>
      <c r="E366" s="49"/>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row>
    <row r="367" spans="1:30" ht="13">
      <c r="A367" s="141"/>
      <c r="B367" s="141"/>
      <c r="C367" s="141"/>
      <c r="D367" s="49"/>
      <c r="E367" s="49"/>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row>
    <row r="368" spans="1:30" ht="13">
      <c r="A368" s="141"/>
      <c r="B368" s="141"/>
      <c r="C368" s="141"/>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row>
    <row r="369" spans="1:30" ht="13">
      <c r="A369" s="141"/>
      <c r="B369" s="141"/>
      <c r="C369" s="141"/>
      <c r="D369" s="49"/>
      <c r="E369" s="49"/>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row>
    <row r="370" spans="1:30" ht="13">
      <c r="A370" s="141"/>
      <c r="B370" s="141"/>
      <c r="C370" s="141"/>
      <c r="D370" s="49"/>
      <c r="E370" s="49"/>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row>
    <row r="371" spans="1:30" ht="13">
      <c r="A371" s="141"/>
      <c r="B371" s="141"/>
      <c r="C371" s="141"/>
      <c r="D371" s="49"/>
      <c r="E371" s="49"/>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row>
    <row r="372" spans="1:30" ht="13">
      <c r="A372" s="141"/>
      <c r="B372" s="141"/>
      <c r="C372" s="141"/>
      <c r="D372" s="49"/>
      <c r="E372" s="49"/>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row>
    <row r="373" spans="1:30" ht="13">
      <c r="A373" s="141"/>
      <c r="B373" s="141"/>
      <c r="C373" s="141"/>
      <c r="D373" s="49"/>
      <c r="E373" s="49"/>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row>
    <row r="374" spans="1:30" ht="13">
      <c r="A374" s="141"/>
      <c r="B374" s="141"/>
      <c r="C374" s="141"/>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row>
    <row r="375" spans="1:30" ht="13">
      <c r="A375" s="141"/>
      <c r="B375" s="141"/>
      <c r="C375" s="141"/>
      <c r="D375" s="49"/>
      <c r="E375" s="49"/>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row>
    <row r="376" spans="1:30" ht="13">
      <c r="A376" s="141"/>
      <c r="B376" s="141"/>
      <c r="C376" s="141"/>
      <c r="D376" s="49"/>
      <c r="E376" s="49"/>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row>
    <row r="377" spans="1:30" ht="13">
      <c r="A377" s="141"/>
      <c r="B377" s="141"/>
      <c r="C377" s="141"/>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row>
    <row r="378" spans="1:30" ht="13">
      <c r="A378" s="141"/>
      <c r="B378" s="141"/>
      <c r="C378" s="141"/>
      <c r="D378" s="49"/>
      <c r="E378" s="49"/>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row>
    <row r="379" spans="1:30" ht="13">
      <c r="A379" s="141"/>
      <c r="B379" s="141"/>
      <c r="C379" s="141"/>
      <c r="D379" s="49"/>
      <c r="E379" s="49"/>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row>
    <row r="380" spans="1:30" ht="13">
      <c r="A380" s="141"/>
      <c r="B380" s="141"/>
      <c r="C380" s="141"/>
      <c r="D380" s="49"/>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row>
    <row r="381" spans="1:30" ht="13">
      <c r="A381" s="141"/>
      <c r="B381" s="141"/>
      <c r="C381" s="141"/>
      <c r="D381" s="49"/>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row>
    <row r="382" spans="1:30" ht="13">
      <c r="A382" s="141"/>
      <c r="B382" s="141"/>
      <c r="C382" s="141"/>
      <c r="D382" s="49"/>
      <c r="E382" s="49"/>
      <c r="F382" s="49"/>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row>
    <row r="383" spans="1:30" ht="13">
      <c r="A383" s="141"/>
      <c r="B383" s="141"/>
      <c r="C383" s="141"/>
      <c r="D383" s="49"/>
      <c r="E383" s="49"/>
      <c r="F383" s="49"/>
      <c r="G383" s="49"/>
      <c r="H383" s="49"/>
      <c r="I383" s="49"/>
      <c r="J383" s="49"/>
      <c r="K383" s="49"/>
      <c r="L383" s="49"/>
      <c r="M383" s="49"/>
      <c r="N383" s="49"/>
      <c r="O383" s="49"/>
      <c r="P383" s="49"/>
      <c r="Q383" s="49"/>
      <c r="R383" s="49"/>
      <c r="S383" s="49"/>
      <c r="T383" s="49"/>
      <c r="U383" s="49"/>
      <c r="V383" s="49"/>
      <c r="W383" s="49"/>
      <c r="X383" s="49"/>
      <c r="Y383" s="49"/>
      <c r="Z383" s="49"/>
      <c r="AA383" s="49"/>
      <c r="AB383" s="49"/>
      <c r="AC383" s="49"/>
      <c r="AD383" s="49"/>
    </row>
    <row r="384" spans="1:30" ht="13">
      <c r="A384" s="141"/>
      <c r="B384" s="141"/>
      <c r="C384" s="141"/>
      <c r="D384" s="49"/>
      <c r="E384" s="49"/>
      <c r="F384" s="49"/>
      <c r="G384" s="49"/>
      <c r="H384" s="49"/>
      <c r="I384" s="49"/>
      <c r="J384" s="49"/>
      <c r="K384" s="49"/>
      <c r="L384" s="49"/>
      <c r="M384" s="49"/>
      <c r="N384" s="49"/>
      <c r="O384" s="49"/>
      <c r="P384" s="49"/>
      <c r="Q384" s="49"/>
      <c r="R384" s="49"/>
      <c r="S384" s="49"/>
      <c r="T384" s="49"/>
      <c r="U384" s="49"/>
      <c r="V384" s="49"/>
      <c r="W384" s="49"/>
      <c r="X384" s="49"/>
      <c r="Y384" s="49"/>
      <c r="Z384" s="49"/>
      <c r="AA384" s="49"/>
      <c r="AB384" s="49"/>
      <c r="AC384" s="49"/>
      <c r="AD384" s="49"/>
    </row>
    <row r="385" spans="1:30" ht="13">
      <c r="A385" s="141"/>
      <c r="B385" s="141"/>
      <c r="C385" s="141"/>
      <c r="D385" s="49"/>
      <c r="E385" s="49"/>
      <c r="F385" s="49"/>
      <c r="G385" s="49"/>
      <c r="H385" s="49"/>
      <c r="I385" s="49"/>
      <c r="J385" s="49"/>
      <c r="K385" s="49"/>
      <c r="L385" s="49"/>
      <c r="M385" s="49"/>
      <c r="N385" s="49"/>
      <c r="O385" s="49"/>
      <c r="P385" s="49"/>
      <c r="Q385" s="49"/>
      <c r="R385" s="49"/>
      <c r="S385" s="49"/>
      <c r="T385" s="49"/>
      <c r="U385" s="49"/>
      <c r="V385" s="49"/>
      <c r="W385" s="49"/>
      <c r="X385" s="49"/>
      <c r="Y385" s="49"/>
      <c r="Z385" s="49"/>
      <c r="AA385" s="49"/>
      <c r="AB385" s="49"/>
      <c r="AC385" s="49"/>
      <c r="AD385" s="49"/>
    </row>
    <row r="386" spans="1:30" ht="13">
      <c r="A386" s="141"/>
      <c r="B386" s="141"/>
      <c r="C386" s="141"/>
      <c r="D386" s="49"/>
      <c r="E386" s="49"/>
      <c r="F386" s="49"/>
      <c r="G386" s="49"/>
      <c r="H386" s="49"/>
      <c r="I386" s="49"/>
      <c r="J386" s="49"/>
      <c r="K386" s="49"/>
      <c r="L386" s="49"/>
      <c r="M386" s="49"/>
      <c r="N386" s="49"/>
      <c r="O386" s="49"/>
      <c r="P386" s="49"/>
      <c r="Q386" s="49"/>
      <c r="R386" s="49"/>
      <c r="S386" s="49"/>
      <c r="T386" s="49"/>
      <c r="U386" s="49"/>
      <c r="V386" s="49"/>
      <c r="W386" s="49"/>
      <c r="X386" s="49"/>
      <c r="Y386" s="49"/>
      <c r="Z386" s="49"/>
      <c r="AA386" s="49"/>
      <c r="AB386" s="49"/>
      <c r="AC386" s="49"/>
      <c r="AD386" s="49"/>
    </row>
    <row r="387" spans="1:30" ht="13">
      <c r="A387" s="141"/>
      <c r="B387" s="141"/>
      <c r="C387" s="141"/>
      <c r="D387" s="49"/>
      <c r="E387" s="49"/>
      <c r="F387" s="49"/>
      <c r="G387" s="49"/>
      <c r="H387" s="49"/>
      <c r="I387" s="49"/>
      <c r="J387" s="49"/>
      <c r="K387" s="49"/>
      <c r="L387" s="49"/>
      <c r="M387" s="49"/>
      <c r="N387" s="49"/>
      <c r="O387" s="49"/>
      <c r="P387" s="49"/>
      <c r="Q387" s="49"/>
      <c r="R387" s="49"/>
      <c r="S387" s="49"/>
      <c r="T387" s="49"/>
      <c r="U387" s="49"/>
      <c r="V387" s="49"/>
      <c r="W387" s="49"/>
      <c r="X387" s="49"/>
      <c r="Y387" s="49"/>
      <c r="Z387" s="49"/>
      <c r="AA387" s="49"/>
      <c r="AB387" s="49"/>
      <c r="AC387" s="49"/>
      <c r="AD387" s="49"/>
    </row>
    <row r="388" spans="1:30" ht="13">
      <c r="A388" s="141"/>
      <c r="B388" s="141"/>
      <c r="C388" s="141"/>
      <c r="D388" s="49"/>
      <c r="E388" s="49"/>
      <c r="F388" s="49"/>
      <c r="G388" s="49"/>
      <c r="H388" s="49"/>
      <c r="I388" s="49"/>
      <c r="J388" s="49"/>
      <c r="K388" s="49"/>
      <c r="L388" s="49"/>
      <c r="M388" s="49"/>
      <c r="N388" s="49"/>
      <c r="O388" s="49"/>
      <c r="P388" s="49"/>
      <c r="Q388" s="49"/>
      <c r="R388" s="49"/>
      <c r="S388" s="49"/>
      <c r="T388" s="49"/>
      <c r="U388" s="49"/>
      <c r="V388" s="49"/>
      <c r="W388" s="49"/>
      <c r="X388" s="49"/>
      <c r="Y388" s="49"/>
      <c r="Z388" s="49"/>
      <c r="AA388" s="49"/>
      <c r="AB388" s="49"/>
      <c r="AC388" s="49"/>
      <c r="AD388" s="49"/>
    </row>
    <row r="389" spans="1:30" ht="13">
      <c r="A389" s="141"/>
      <c r="B389" s="141"/>
      <c r="C389" s="141"/>
      <c r="D389" s="49"/>
      <c r="E389" s="49"/>
      <c r="F389" s="49"/>
      <c r="G389" s="49"/>
      <c r="H389" s="49"/>
      <c r="I389" s="49"/>
      <c r="J389" s="49"/>
      <c r="K389" s="49"/>
      <c r="L389" s="49"/>
      <c r="M389" s="49"/>
      <c r="N389" s="49"/>
      <c r="O389" s="49"/>
      <c r="P389" s="49"/>
      <c r="Q389" s="49"/>
      <c r="R389" s="49"/>
      <c r="S389" s="49"/>
      <c r="T389" s="49"/>
      <c r="U389" s="49"/>
      <c r="V389" s="49"/>
      <c r="W389" s="49"/>
      <c r="X389" s="49"/>
      <c r="Y389" s="49"/>
      <c r="Z389" s="49"/>
      <c r="AA389" s="49"/>
      <c r="AB389" s="49"/>
      <c r="AC389" s="49"/>
      <c r="AD389" s="49"/>
    </row>
    <row r="390" spans="1:30" ht="13">
      <c r="A390" s="141"/>
      <c r="B390" s="141"/>
      <c r="C390" s="141"/>
      <c r="D390" s="49"/>
      <c r="E390" s="49"/>
      <c r="F390" s="49"/>
      <c r="G390" s="49"/>
      <c r="H390" s="49"/>
      <c r="I390" s="49"/>
      <c r="J390" s="49"/>
      <c r="K390" s="49"/>
      <c r="L390" s="49"/>
      <c r="M390" s="49"/>
      <c r="N390" s="49"/>
      <c r="O390" s="49"/>
      <c r="P390" s="49"/>
      <c r="Q390" s="49"/>
      <c r="R390" s="49"/>
      <c r="S390" s="49"/>
      <c r="T390" s="49"/>
      <c r="U390" s="49"/>
      <c r="V390" s="49"/>
      <c r="W390" s="49"/>
      <c r="X390" s="49"/>
      <c r="Y390" s="49"/>
      <c r="Z390" s="49"/>
      <c r="AA390" s="49"/>
      <c r="AB390" s="49"/>
      <c r="AC390" s="49"/>
      <c r="AD390" s="49"/>
    </row>
    <row r="391" spans="1:30" ht="13">
      <c r="A391" s="141"/>
      <c r="B391" s="141"/>
      <c r="C391" s="141"/>
      <c r="D391" s="49"/>
      <c r="E391" s="49"/>
      <c r="F391" s="49"/>
      <c r="G391" s="49"/>
      <c r="H391" s="49"/>
      <c r="I391" s="49"/>
      <c r="J391" s="49"/>
      <c r="K391" s="49"/>
      <c r="L391" s="49"/>
      <c r="M391" s="49"/>
      <c r="N391" s="49"/>
      <c r="O391" s="49"/>
      <c r="P391" s="49"/>
      <c r="Q391" s="49"/>
      <c r="R391" s="49"/>
      <c r="S391" s="49"/>
      <c r="T391" s="49"/>
      <c r="U391" s="49"/>
      <c r="V391" s="49"/>
      <c r="W391" s="49"/>
      <c r="X391" s="49"/>
      <c r="Y391" s="49"/>
      <c r="Z391" s="49"/>
      <c r="AA391" s="49"/>
      <c r="AB391" s="49"/>
      <c r="AC391" s="49"/>
      <c r="AD391" s="49"/>
    </row>
    <row r="392" spans="1:30" ht="13">
      <c r="A392" s="141"/>
      <c r="B392" s="141"/>
      <c r="C392" s="141"/>
      <c r="D392" s="49"/>
      <c r="E392" s="49"/>
      <c r="F392" s="49"/>
      <c r="G392" s="49"/>
      <c r="H392" s="49"/>
      <c r="I392" s="49"/>
      <c r="J392" s="49"/>
      <c r="K392" s="49"/>
      <c r="L392" s="49"/>
      <c r="M392" s="49"/>
      <c r="N392" s="49"/>
      <c r="O392" s="49"/>
      <c r="P392" s="49"/>
      <c r="Q392" s="49"/>
      <c r="R392" s="49"/>
      <c r="S392" s="49"/>
      <c r="T392" s="49"/>
      <c r="U392" s="49"/>
      <c r="V392" s="49"/>
      <c r="W392" s="49"/>
      <c r="X392" s="49"/>
      <c r="Y392" s="49"/>
      <c r="Z392" s="49"/>
      <c r="AA392" s="49"/>
      <c r="AB392" s="49"/>
      <c r="AC392" s="49"/>
      <c r="AD392" s="49"/>
    </row>
    <row r="393" spans="1:30" ht="13">
      <c r="A393" s="141"/>
      <c r="B393" s="141"/>
      <c r="C393" s="141"/>
      <c r="D393" s="49"/>
      <c r="E393" s="49"/>
      <c r="F393" s="49"/>
      <c r="G393" s="49"/>
      <c r="H393" s="49"/>
      <c r="I393" s="49"/>
      <c r="J393" s="49"/>
      <c r="K393" s="49"/>
      <c r="L393" s="49"/>
      <c r="M393" s="49"/>
      <c r="N393" s="49"/>
      <c r="O393" s="49"/>
      <c r="P393" s="49"/>
      <c r="Q393" s="49"/>
      <c r="R393" s="49"/>
      <c r="S393" s="49"/>
      <c r="T393" s="49"/>
      <c r="U393" s="49"/>
      <c r="V393" s="49"/>
      <c r="W393" s="49"/>
      <c r="X393" s="49"/>
      <c r="Y393" s="49"/>
      <c r="Z393" s="49"/>
      <c r="AA393" s="49"/>
      <c r="AB393" s="49"/>
      <c r="AC393" s="49"/>
      <c r="AD393" s="49"/>
    </row>
    <row r="394" spans="1:30" ht="13">
      <c r="A394" s="141"/>
      <c r="B394" s="141"/>
      <c r="C394" s="141"/>
      <c r="D394" s="49"/>
      <c r="E394" s="49"/>
      <c r="F394" s="49"/>
      <c r="G394" s="49"/>
      <c r="H394" s="49"/>
      <c r="I394" s="49"/>
      <c r="J394" s="49"/>
      <c r="K394" s="49"/>
      <c r="L394" s="49"/>
      <c r="M394" s="49"/>
      <c r="N394" s="49"/>
      <c r="O394" s="49"/>
      <c r="P394" s="49"/>
      <c r="Q394" s="49"/>
      <c r="R394" s="49"/>
      <c r="S394" s="49"/>
      <c r="T394" s="49"/>
      <c r="U394" s="49"/>
      <c r="V394" s="49"/>
      <c r="W394" s="49"/>
      <c r="X394" s="49"/>
      <c r="Y394" s="49"/>
      <c r="Z394" s="49"/>
      <c r="AA394" s="49"/>
      <c r="AB394" s="49"/>
      <c r="AC394" s="49"/>
      <c r="AD394" s="49"/>
    </row>
    <row r="395" spans="1:30" ht="13">
      <c r="A395" s="141"/>
      <c r="B395" s="141"/>
      <c r="C395" s="141"/>
      <c r="D395" s="49"/>
      <c r="E395" s="49"/>
      <c r="F395" s="49"/>
      <c r="G395" s="49"/>
      <c r="H395" s="49"/>
      <c r="I395" s="49"/>
      <c r="J395" s="49"/>
      <c r="K395" s="49"/>
      <c r="L395" s="49"/>
      <c r="M395" s="49"/>
      <c r="N395" s="49"/>
      <c r="O395" s="49"/>
      <c r="P395" s="49"/>
      <c r="Q395" s="49"/>
      <c r="R395" s="49"/>
      <c r="S395" s="49"/>
      <c r="T395" s="49"/>
      <c r="U395" s="49"/>
      <c r="V395" s="49"/>
      <c r="W395" s="49"/>
      <c r="X395" s="49"/>
      <c r="Y395" s="49"/>
      <c r="Z395" s="49"/>
      <c r="AA395" s="49"/>
      <c r="AB395" s="49"/>
      <c r="AC395" s="49"/>
      <c r="AD395" s="49"/>
    </row>
    <row r="396" spans="1:30" ht="13">
      <c r="A396" s="141"/>
      <c r="B396" s="141"/>
      <c r="C396" s="141"/>
      <c r="D396" s="49"/>
      <c r="E396" s="49"/>
      <c r="F396" s="49"/>
      <c r="G396" s="49"/>
      <c r="H396" s="49"/>
      <c r="I396" s="49"/>
      <c r="J396" s="49"/>
      <c r="K396" s="49"/>
      <c r="L396" s="49"/>
      <c r="M396" s="49"/>
      <c r="N396" s="49"/>
      <c r="O396" s="49"/>
      <c r="P396" s="49"/>
      <c r="Q396" s="49"/>
      <c r="R396" s="49"/>
      <c r="S396" s="49"/>
      <c r="T396" s="49"/>
      <c r="U396" s="49"/>
      <c r="V396" s="49"/>
      <c r="W396" s="49"/>
      <c r="X396" s="49"/>
      <c r="Y396" s="49"/>
      <c r="Z396" s="49"/>
      <c r="AA396" s="49"/>
      <c r="AB396" s="49"/>
      <c r="AC396" s="49"/>
      <c r="AD396" s="49"/>
    </row>
    <row r="397" spans="1:30" ht="13">
      <c r="A397" s="141"/>
      <c r="B397" s="141"/>
      <c r="C397" s="141"/>
      <c r="D397" s="49"/>
      <c r="E397" s="49"/>
      <c r="F397" s="49"/>
      <c r="G397" s="49"/>
      <c r="H397" s="49"/>
      <c r="I397" s="49"/>
      <c r="J397" s="49"/>
      <c r="K397" s="49"/>
      <c r="L397" s="49"/>
      <c r="M397" s="49"/>
      <c r="N397" s="49"/>
      <c r="O397" s="49"/>
      <c r="P397" s="49"/>
      <c r="Q397" s="49"/>
      <c r="R397" s="49"/>
      <c r="S397" s="49"/>
      <c r="T397" s="49"/>
      <c r="U397" s="49"/>
      <c r="V397" s="49"/>
      <c r="W397" s="49"/>
      <c r="X397" s="49"/>
      <c r="Y397" s="49"/>
      <c r="Z397" s="49"/>
      <c r="AA397" s="49"/>
      <c r="AB397" s="49"/>
      <c r="AC397" s="49"/>
      <c r="AD397" s="49"/>
    </row>
    <row r="398" spans="1:30" ht="13">
      <c r="A398" s="141"/>
      <c r="B398" s="141"/>
      <c r="C398" s="141"/>
      <c r="D398" s="49"/>
      <c r="E398" s="49"/>
      <c r="F398" s="49"/>
      <c r="G398" s="49"/>
      <c r="H398" s="49"/>
      <c r="I398" s="49"/>
      <c r="J398" s="49"/>
      <c r="K398" s="49"/>
      <c r="L398" s="49"/>
      <c r="M398" s="49"/>
      <c r="N398" s="49"/>
      <c r="O398" s="49"/>
      <c r="P398" s="49"/>
      <c r="Q398" s="49"/>
      <c r="R398" s="49"/>
      <c r="S398" s="49"/>
      <c r="T398" s="49"/>
      <c r="U398" s="49"/>
      <c r="V398" s="49"/>
      <c r="W398" s="49"/>
      <c r="X398" s="49"/>
      <c r="Y398" s="49"/>
      <c r="Z398" s="49"/>
      <c r="AA398" s="49"/>
      <c r="AB398" s="49"/>
      <c r="AC398" s="49"/>
      <c r="AD398" s="49"/>
    </row>
    <row r="399" spans="1:30" ht="13">
      <c r="A399" s="141"/>
      <c r="B399" s="141"/>
      <c r="C399" s="141"/>
      <c r="D399" s="49"/>
      <c r="E399" s="49"/>
      <c r="F399" s="49"/>
      <c r="G399" s="49"/>
      <c r="H399" s="49"/>
      <c r="I399" s="49"/>
      <c r="J399" s="49"/>
      <c r="K399" s="49"/>
      <c r="L399" s="49"/>
      <c r="M399" s="49"/>
      <c r="N399" s="49"/>
      <c r="O399" s="49"/>
      <c r="P399" s="49"/>
      <c r="Q399" s="49"/>
      <c r="R399" s="49"/>
      <c r="S399" s="49"/>
      <c r="T399" s="49"/>
      <c r="U399" s="49"/>
      <c r="V399" s="49"/>
      <c r="W399" s="49"/>
      <c r="X399" s="49"/>
      <c r="Y399" s="49"/>
      <c r="Z399" s="49"/>
      <c r="AA399" s="49"/>
      <c r="AB399" s="49"/>
      <c r="AC399" s="49"/>
      <c r="AD399" s="49"/>
    </row>
    <row r="400" spans="1:30" ht="13">
      <c r="A400" s="141"/>
      <c r="B400" s="141"/>
      <c r="C400" s="141"/>
      <c r="D400" s="49"/>
      <c r="E400" s="49"/>
      <c r="F400" s="49"/>
      <c r="G400" s="49"/>
      <c r="H400" s="49"/>
      <c r="I400" s="49"/>
      <c r="J400" s="49"/>
      <c r="K400" s="49"/>
      <c r="L400" s="49"/>
      <c r="M400" s="49"/>
      <c r="N400" s="49"/>
      <c r="O400" s="49"/>
      <c r="P400" s="49"/>
      <c r="Q400" s="49"/>
      <c r="R400" s="49"/>
      <c r="S400" s="49"/>
      <c r="T400" s="49"/>
      <c r="U400" s="49"/>
      <c r="V400" s="49"/>
      <c r="W400" s="49"/>
      <c r="X400" s="49"/>
      <c r="Y400" s="49"/>
      <c r="Z400" s="49"/>
      <c r="AA400" s="49"/>
      <c r="AB400" s="49"/>
      <c r="AC400" s="49"/>
      <c r="AD400" s="49"/>
    </row>
    <row r="401" spans="1:30" ht="13">
      <c r="A401" s="141"/>
      <c r="B401" s="141"/>
      <c r="C401" s="141"/>
      <c r="D401" s="49"/>
      <c r="E401" s="49"/>
      <c r="F401" s="49"/>
      <c r="G401" s="49"/>
      <c r="H401" s="49"/>
      <c r="I401" s="49"/>
      <c r="J401" s="49"/>
      <c r="K401" s="49"/>
      <c r="L401" s="49"/>
      <c r="M401" s="49"/>
      <c r="N401" s="49"/>
      <c r="O401" s="49"/>
      <c r="P401" s="49"/>
      <c r="Q401" s="49"/>
      <c r="R401" s="49"/>
      <c r="S401" s="49"/>
      <c r="T401" s="49"/>
      <c r="U401" s="49"/>
      <c r="V401" s="49"/>
      <c r="W401" s="49"/>
      <c r="X401" s="49"/>
      <c r="Y401" s="49"/>
      <c r="Z401" s="49"/>
      <c r="AA401" s="49"/>
      <c r="AB401" s="49"/>
      <c r="AC401" s="49"/>
      <c r="AD401" s="49"/>
    </row>
    <row r="402" spans="1:30" ht="13">
      <c r="A402" s="141"/>
      <c r="B402" s="141"/>
      <c r="C402" s="141"/>
      <c r="D402" s="49"/>
      <c r="E402" s="49"/>
      <c r="F402" s="49"/>
      <c r="G402" s="49"/>
      <c r="H402" s="49"/>
      <c r="I402" s="49"/>
      <c r="J402" s="49"/>
      <c r="K402" s="49"/>
      <c r="L402" s="49"/>
      <c r="M402" s="49"/>
      <c r="N402" s="49"/>
      <c r="O402" s="49"/>
      <c r="P402" s="49"/>
      <c r="Q402" s="49"/>
      <c r="R402" s="49"/>
      <c r="S402" s="49"/>
      <c r="T402" s="49"/>
      <c r="U402" s="49"/>
      <c r="V402" s="49"/>
      <c r="W402" s="49"/>
      <c r="X402" s="49"/>
      <c r="Y402" s="49"/>
      <c r="Z402" s="49"/>
      <c r="AA402" s="49"/>
      <c r="AB402" s="49"/>
      <c r="AC402" s="49"/>
      <c r="AD402" s="49"/>
    </row>
    <row r="403" spans="1:30" ht="13">
      <c r="A403" s="141"/>
      <c r="B403" s="141"/>
      <c r="C403" s="141"/>
      <c r="D403" s="49"/>
      <c r="E403" s="49"/>
      <c r="F403" s="49"/>
      <c r="G403" s="49"/>
      <c r="H403" s="49"/>
      <c r="I403" s="49"/>
      <c r="J403" s="49"/>
      <c r="K403" s="49"/>
      <c r="L403" s="49"/>
      <c r="M403" s="49"/>
      <c r="N403" s="49"/>
      <c r="O403" s="49"/>
      <c r="P403" s="49"/>
      <c r="Q403" s="49"/>
      <c r="R403" s="49"/>
      <c r="S403" s="49"/>
      <c r="T403" s="49"/>
      <c r="U403" s="49"/>
      <c r="V403" s="49"/>
      <c r="W403" s="49"/>
      <c r="X403" s="49"/>
      <c r="Y403" s="49"/>
      <c r="Z403" s="49"/>
      <c r="AA403" s="49"/>
      <c r="AB403" s="49"/>
      <c r="AC403" s="49"/>
      <c r="AD403" s="49"/>
    </row>
    <row r="404" spans="1:30" ht="13">
      <c r="A404" s="141"/>
      <c r="B404" s="141"/>
      <c r="C404" s="141"/>
      <c r="D404" s="49"/>
      <c r="E404" s="49"/>
      <c r="F404" s="49"/>
      <c r="G404" s="49"/>
      <c r="H404" s="49"/>
      <c r="I404" s="49"/>
      <c r="J404" s="49"/>
      <c r="K404" s="49"/>
      <c r="L404" s="49"/>
      <c r="M404" s="49"/>
      <c r="N404" s="49"/>
      <c r="O404" s="49"/>
      <c r="P404" s="49"/>
      <c r="Q404" s="49"/>
      <c r="R404" s="49"/>
      <c r="S404" s="49"/>
      <c r="T404" s="49"/>
      <c r="U404" s="49"/>
      <c r="V404" s="49"/>
      <c r="W404" s="49"/>
      <c r="X404" s="49"/>
      <c r="Y404" s="49"/>
      <c r="Z404" s="49"/>
      <c r="AA404" s="49"/>
      <c r="AB404" s="49"/>
      <c r="AC404" s="49"/>
      <c r="AD404" s="49"/>
    </row>
    <row r="405" spans="1:30" ht="13">
      <c r="A405" s="141"/>
      <c r="B405" s="141"/>
      <c r="C405" s="141"/>
      <c r="D405" s="49"/>
      <c r="E405" s="49"/>
      <c r="F405" s="49"/>
      <c r="G405" s="49"/>
      <c r="H405" s="49"/>
      <c r="I405" s="49"/>
      <c r="J405" s="49"/>
      <c r="K405" s="49"/>
      <c r="L405" s="49"/>
      <c r="M405" s="49"/>
      <c r="N405" s="49"/>
      <c r="O405" s="49"/>
      <c r="P405" s="49"/>
      <c r="Q405" s="49"/>
      <c r="R405" s="49"/>
      <c r="S405" s="49"/>
      <c r="T405" s="49"/>
      <c r="U405" s="49"/>
      <c r="V405" s="49"/>
      <c r="W405" s="49"/>
      <c r="X405" s="49"/>
      <c r="Y405" s="49"/>
      <c r="Z405" s="49"/>
      <c r="AA405" s="49"/>
      <c r="AB405" s="49"/>
      <c r="AC405" s="49"/>
      <c r="AD405" s="49"/>
    </row>
    <row r="406" spans="1:30" ht="13">
      <c r="A406" s="141"/>
      <c r="B406" s="141"/>
      <c r="C406" s="141"/>
      <c r="D406" s="49"/>
      <c r="E406" s="49"/>
      <c r="F406" s="49"/>
      <c r="G406" s="49"/>
      <c r="H406" s="49"/>
      <c r="I406" s="49"/>
      <c r="J406" s="49"/>
      <c r="K406" s="49"/>
      <c r="L406" s="49"/>
      <c r="M406" s="49"/>
      <c r="N406" s="49"/>
      <c r="O406" s="49"/>
      <c r="P406" s="49"/>
      <c r="Q406" s="49"/>
      <c r="R406" s="49"/>
      <c r="S406" s="49"/>
      <c r="T406" s="49"/>
      <c r="U406" s="49"/>
      <c r="V406" s="49"/>
      <c r="W406" s="49"/>
      <c r="X406" s="49"/>
      <c r="Y406" s="49"/>
      <c r="Z406" s="49"/>
      <c r="AA406" s="49"/>
      <c r="AB406" s="49"/>
      <c r="AC406" s="49"/>
      <c r="AD406" s="49"/>
    </row>
    <row r="407" spans="1:30" ht="13">
      <c r="A407" s="141"/>
      <c r="B407" s="141"/>
      <c r="C407" s="141"/>
      <c r="D407" s="49"/>
      <c r="E407" s="49"/>
      <c r="F407" s="49"/>
      <c r="G407" s="49"/>
      <c r="H407" s="49"/>
      <c r="I407" s="49"/>
      <c r="J407" s="49"/>
      <c r="K407" s="49"/>
      <c r="L407" s="49"/>
      <c r="M407" s="49"/>
      <c r="N407" s="49"/>
      <c r="O407" s="49"/>
      <c r="P407" s="49"/>
      <c r="Q407" s="49"/>
      <c r="R407" s="49"/>
      <c r="S407" s="49"/>
      <c r="T407" s="49"/>
      <c r="U407" s="49"/>
      <c r="V407" s="49"/>
      <c r="W407" s="49"/>
      <c r="X407" s="49"/>
      <c r="Y407" s="49"/>
      <c r="Z407" s="49"/>
      <c r="AA407" s="49"/>
      <c r="AB407" s="49"/>
      <c r="AC407" s="49"/>
      <c r="AD407" s="49"/>
    </row>
    <row r="408" spans="1:30" ht="13">
      <c r="A408" s="141"/>
      <c r="B408" s="141"/>
      <c r="C408" s="141"/>
      <c r="D408" s="49"/>
      <c r="E408" s="49"/>
      <c r="F408" s="49"/>
      <c r="G408" s="49"/>
      <c r="H408" s="49"/>
      <c r="I408" s="49"/>
      <c r="J408" s="49"/>
      <c r="K408" s="49"/>
      <c r="L408" s="49"/>
      <c r="M408" s="49"/>
      <c r="N408" s="49"/>
      <c r="O408" s="49"/>
      <c r="P408" s="49"/>
      <c r="Q408" s="49"/>
      <c r="R408" s="49"/>
      <c r="S408" s="49"/>
      <c r="T408" s="49"/>
      <c r="U408" s="49"/>
      <c r="V408" s="49"/>
      <c r="W408" s="49"/>
      <c r="X408" s="49"/>
      <c r="Y408" s="49"/>
      <c r="Z408" s="49"/>
      <c r="AA408" s="49"/>
      <c r="AB408" s="49"/>
      <c r="AC408" s="49"/>
      <c r="AD408" s="49"/>
    </row>
    <row r="409" spans="1:30" ht="13">
      <c r="A409" s="141"/>
      <c r="B409" s="141"/>
      <c r="C409" s="141"/>
      <c r="D409" s="49"/>
      <c r="E409" s="49"/>
      <c r="F409" s="49"/>
      <c r="G409" s="49"/>
      <c r="H409" s="49"/>
      <c r="I409" s="49"/>
      <c r="J409" s="49"/>
      <c r="K409" s="49"/>
      <c r="L409" s="49"/>
      <c r="M409" s="49"/>
      <c r="N409" s="49"/>
      <c r="O409" s="49"/>
      <c r="P409" s="49"/>
      <c r="Q409" s="49"/>
      <c r="R409" s="49"/>
      <c r="S409" s="49"/>
      <c r="T409" s="49"/>
      <c r="U409" s="49"/>
      <c r="V409" s="49"/>
      <c r="W409" s="49"/>
      <c r="X409" s="49"/>
      <c r="Y409" s="49"/>
      <c r="Z409" s="49"/>
      <c r="AA409" s="49"/>
      <c r="AB409" s="49"/>
      <c r="AC409" s="49"/>
      <c r="AD409" s="49"/>
    </row>
    <row r="410" spans="1:30" ht="13">
      <c r="A410" s="141"/>
      <c r="B410" s="141"/>
      <c r="C410" s="141"/>
      <c r="D410" s="49"/>
      <c r="E410" s="49"/>
      <c r="F410" s="49"/>
      <c r="G410" s="49"/>
      <c r="H410" s="49"/>
      <c r="I410" s="49"/>
      <c r="J410" s="49"/>
      <c r="K410" s="49"/>
      <c r="L410" s="49"/>
      <c r="M410" s="49"/>
      <c r="N410" s="49"/>
      <c r="O410" s="49"/>
      <c r="P410" s="49"/>
      <c r="Q410" s="49"/>
      <c r="R410" s="49"/>
      <c r="S410" s="49"/>
      <c r="T410" s="49"/>
      <c r="U410" s="49"/>
      <c r="V410" s="49"/>
      <c r="W410" s="49"/>
      <c r="X410" s="49"/>
      <c r="Y410" s="49"/>
      <c r="Z410" s="49"/>
      <c r="AA410" s="49"/>
      <c r="AB410" s="49"/>
      <c r="AC410" s="49"/>
      <c r="AD410" s="49"/>
    </row>
    <row r="411" spans="1:30" ht="13">
      <c r="A411" s="141"/>
      <c r="B411" s="141"/>
      <c r="C411" s="141"/>
      <c r="D411" s="49"/>
      <c r="E411" s="49"/>
      <c r="F411" s="49"/>
      <c r="G411" s="49"/>
      <c r="H411" s="49"/>
      <c r="I411" s="49"/>
      <c r="J411" s="49"/>
      <c r="K411" s="49"/>
      <c r="L411" s="49"/>
      <c r="M411" s="49"/>
      <c r="N411" s="49"/>
      <c r="O411" s="49"/>
      <c r="P411" s="49"/>
      <c r="Q411" s="49"/>
      <c r="R411" s="49"/>
      <c r="S411" s="49"/>
      <c r="T411" s="49"/>
      <c r="U411" s="49"/>
      <c r="V411" s="49"/>
      <c r="W411" s="49"/>
      <c r="X411" s="49"/>
      <c r="Y411" s="49"/>
      <c r="Z411" s="49"/>
      <c r="AA411" s="49"/>
      <c r="AB411" s="49"/>
      <c r="AC411" s="49"/>
      <c r="AD411" s="49"/>
    </row>
    <row r="412" spans="1:30" ht="13">
      <c r="A412" s="141"/>
      <c r="B412" s="141"/>
      <c r="C412" s="141"/>
      <c r="D412" s="49"/>
      <c r="E412" s="49"/>
      <c r="F412" s="49"/>
      <c r="G412" s="49"/>
      <c r="H412" s="49"/>
      <c r="I412" s="49"/>
      <c r="J412" s="49"/>
      <c r="K412" s="49"/>
      <c r="L412" s="49"/>
      <c r="M412" s="49"/>
      <c r="N412" s="49"/>
      <c r="O412" s="49"/>
      <c r="P412" s="49"/>
      <c r="Q412" s="49"/>
      <c r="R412" s="49"/>
      <c r="S412" s="49"/>
      <c r="T412" s="49"/>
      <c r="U412" s="49"/>
      <c r="V412" s="49"/>
      <c r="W412" s="49"/>
      <c r="X412" s="49"/>
      <c r="Y412" s="49"/>
      <c r="Z412" s="49"/>
      <c r="AA412" s="49"/>
      <c r="AB412" s="49"/>
      <c r="AC412" s="49"/>
      <c r="AD412" s="49"/>
    </row>
    <row r="413" spans="1:30" ht="13">
      <c r="A413" s="141"/>
      <c r="B413" s="141"/>
      <c r="C413" s="141"/>
      <c r="D413" s="49"/>
      <c r="E413" s="49"/>
      <c r="F413" s="49"/>
      <c r="G413" s="49"/>
      <c r="H413" s="49"/>
      <c r="I413" s="49"/>
      <c r="J413" s="49"/>
      <c r="K413" s="49"/>
      <c r="L413" s="49"/>
      <c r="M413" s="49"/>
      <c r="N413" s="49"/>
      <c r="O413" s="49"/>
      <c r="P413" s="49"/>
      <c r="Q413" s="49"/>
      <c r="R413" s="49"/>
      <c r="S413" s="49"/>
      <c r="T413" s="49"/>
      <c r="U413" s="49"/>
      <c r="V413" s="49"/>
      <c r="W413" s="49"/>
      <c r="X413" s="49"/>
      <c r="Y413" s="49"/>
      <c r="Z413" s="49"/>
      <c r="AA413" s="49"/>
      <c r="AB413" s="49"/>
      <c r="AC413" s="49"/>
      <c r="AD413" s="49"/>
    </row>
    <row r="414" spans="1:30" ht="13">
      <c r="A414" s="141"/>
      <c r="B414" s="141"/>
      <c r="C414" s="141"/>
      <c r="D414" s="49"/>
      <c r="E414" s="49"/>
      <c r="F414" s="49"/>
      <c r="G414" s="49"/>
      <c r="H414" s="49"/>
      <c r="I414" s="49"/>
      <c r="J414" s="49"/>
      <c r="K414" s="49"/>
      <c r="L414" s="49"/>
      <c r="M414" s="49"/>
      <c r="N414" s="49"/>
      <c r="O414" s="49"/>
      <c r="P414" s="49"/>
      <c r="Q414" s="49"/>
      <c r="R414" s="49"/>
      <c r="S414" s="49"/>
      <c r="T414" s="49"/>
      <c r="U414" s="49"/>
      <c r="V414" s="49"/>
      <c r="W414" s="49"/>
      <c r="X414" s="49"/>
      <c r="Y414" s="49"/>
      <c r="Z414" s="49"/>
      <c r="AA414" s="49"/>
      <c r="AB414" s="49"/>
      <c r="AC414" s="49"/>
      <c r="AD414" s="49"/>
    </row>
    <row r="415" spans="1:30" ht="13">
      <c r="A415" s="141"/>
      <c r="B415" s="141"/>
      <c r="C415" s="141"/>
      <c r="D415" s="49"/>
      <c r="E415" s="49"/>
      <c r="F415" s="49"/>
      <c r="G415" s="49"/>
      <c r="H415" s="49"/>
      <c r="I415" s="49"/>
      <c r="J415" s="49"/>
      <c r="K415" s="49"/>
      <c r="L415" s="49"/>
      <c r="M415" s="49"/>
      <c r="N415" s="49"/>
      <c r="O415" s="49"/>
      <c r="P415" s="49"/>
      <c r="Q415" s="49"/>
      <c r="R415" s="49"/>
      <c r="S415" s="49"/>
      <c r="T415" s="49"/>
      <c r="U415" s="49"/>
      <c r="V415" s="49"/>
      <c r="W415" s="49"/>
      <c r="X415" s="49"/>
      <c r="Y415" s="49"/>
      <c r="Z415" s="49"/>
      <c r="AA415" s="49"/>
      <c r="AB415" s="49"/>
      <c r="AC415" s="49"/>
      <c r="AD415" s="49"/>
    </row>
    <row r="416" spans="1:30" ht="13">
      <c r="A416" s="141"/>
      <c r="B416" s="141"/>
      <c r="C416" s="141"/>
      <c r="D416" s="49"/>
      <c r="E416" s="49"/>
      <c r="F416" s="49"/>
      <c r="G416" s="49"/>
      <c r="H416" s="49"/>
      <c r="I416" s="49"/>
      <c r="J416" s="49"/>
      <c r="K416" s="49"/>
      <c r="L416" s="49"/>
      <c r="M416" s="49"/>
      <c r="N416" s="49"/>
      <c r="O416" s="49"/>
      <c r="P416" s="49"/>
      <c r="Q416" s="49"/>
      <c r="R416" s="49"/>
      <c r="S416" s="49"/>
      <c r="T416" s="49"/>
      <c r="U416" s="49"/>
      <c r="V416" s="49"/>
      <c r="W416" s="49"/>
      <c r="X416" s="49"/>
      <c r="Y416" s="49"/>
      <c r="Z416" s="49"/>
      <c r="AA416" s="49"/>
      <c r="AB416" s="49"/>
      <c r="AC416" s="49"/>
      <c r="AD416" s="49"/>
    </row>
    <row r="417" spans="1:30" ht="13">
      <c r="A417" s="141"/>
      <c r="B417" s="141"/>
      <c r="C417" s="141"/>
      <c r="D417" s="49"/>
      <c r="E417" s="49"/>
      <c r="F417" s="49"/>
      <c r="G417" s="49"/>
      <c r="H417" s="49"/>
      <c r="I417" s="49"/>
      <c r="J417" s="49"/>
      <c r="K417" s="49"/>
      <c r="L417" s="49"/>
      <c r="M417" s="49"/>
      <c r="N417" s="49"/>
      <c r="O417" s="49"/>
      <c r="P417" s="49"/>
      <c r="Q417" s="49"/>
      <c r="R417" s="49"/>
      <c r="S417" s="49"/>
      <c r="T417" s="49"/>
      <c r="U417" s="49"/>
      <c r="V417" s="49"/>
      <c r="W417" s="49"/>
      <c r="X417" s="49"/>
      <c r="Y417" s="49"/>
      <c r="Z417" s="49"/>
      <c r="AA417" s="49"/>
      <c r="AB417" s="49"/>
      <c r="AC417" s="49"/>
      <c r="AD417" s="49"/>
    </row>
    <row r="418" spans="1:30" ht="13">
      <c r="A418" s="141"/>
      <c r="B418" s="141"/>
      <c r="C418" s="141"/>
      <c r="D418" s="49"/>
      <c r="E418" s="49"/>
      <c r="F418" s="49"/>
      <c r="G418" s="49"/>
      <c r="H418" s="49"/>
      <c r="I418" s="49"/>
      <c r="J418" s="49"/>
      <c r="K418" s="49"/>
      <c r="L418" s="49"/>
      <c r="M418" s="49"/>
      <c r="N418" s="49"/>
      <c r="O418" s="49"/>
      <c r="P418" s="49"/>
      <c r="Q418" s="49"/>
      <c r="R418" s="49"/>
      <c r="S418" s="49"/>
      <c r="T418" s="49"/>
      <c r="U418" s="49"/>
      <c r="V418" s="49"/>
      <c r="W418" s="49"/>
      <c r="X418" s="49"/>
      <c r="Y418" s="49"/>
      <c r="Z418" s="49"/>
      <c r="AA418" s="49"/>
      <c r="AB418" s="49"/>
      <c r="AC418" s="49"/>
      <c r="AD418" s="49"/>
    </row>
    <row r="419" spans="1:30" ht="13">
      <c r="A419" s="141"/>
      <c r="B419" s="141"/>
      <c r="C419" s="141"/>
      <c r="D419" s="49"/>
      <c r="E419" s="49"/>
      <c r="F419" s="49"/>
      <c r="G419" s="49"/>
      <c r="H419" s="49"/>
      <c r="I419" s="49"/>
      <c r="J419" s="49"/>
      <c r="K419" s="49"/>
      <c r="L419" s="49"/>
      <c r="M419" s="49"/>
      <c r="N419" s="49"/>
      <c r="O419" s="49"/>
      <c r="P419" s="49"/>
      <c r="Q419" s="49"/>
      <c r="R419" s="49"/>
      <c r="S419" s="49"/>
      <c r="T419" s="49"/>
      <c r="U419" s="49"/>
      <c r="V419" s="49"/>
      <c r="W419" s="49"/>
      <c r="X419" s="49"/>
      <c r="Y419" s="49"/>
      <c r="Z419" s="49"/>
      <c r="AA419" s="49"/>
      <c r="AB419" s="49"/>
      <c r="AC419" s="49"/>
      <c r="AD419" s="49"/>
    </row>
    <row r="420" spans="1:30" ht="13">
      <c r="A420" s="141"/>
      <c r="B420" s="141"/>
      <c r="C420" s="141"/>
      <c r="D420" s="49"/>
      <c r="E420" s="49"/>
      <c r="F420" s="49"/>
      <c r="G420" s="49"/>
      <c r="H420" s="49"/>
      <c r="I420" s="49"/>
      <c r="J420" s="49"/>
      <c r="K420" s="49"/>
      <c r="L420" s="49"/>
      <c r="M420" s="49"/>
      <c r="N420" s="49"/>
      <c r="O420" s="49"/>
      <c r="P420" s="49"/>
      <c r="Q420" s="49"/>
      <c r="R420" s="49"/>
      <c r="S420" s="49"/>
      <c r="T420" s="49"/>
      <c r="U420" s="49"/>
      <c r="V420" s="49"/>
      <c r="W420" s="49"/>
      <c r="X420" s="49"/>
      <c r="Y420" s="49"/>
      <c r="Z420" s="49"/>
      <c r="AA420" s="49"/>
      <c r="AB420" s="49"/>
      <c r="AC420" s="49"/>
      <c r="AD420" s="49"/>
    </row>
    <row r="421" spans="1:30" ht="13">
      <c r="A421" s="141"/>
      <c r="B421" s="141"/>
      <c r="C421" s="141"/>
      <c r="D421" s="49"/>
      <c r="E421" s="49"/>
      <c r="F421" s="49"/>
      <c r="G421" s="49"/>
      <c r="H421" s="49"/>
      <c r="I421" s="49"/>
      <c r="J421" s="49"/>
      <c r="K421" s="49"/>
      <c r="L421" s="49"/>
      <c r="M421" s="49"/>
      <c r="N421" s="49"/>
      <c r="O421" s="49"/>
      <c r="P421" s="49"/>
      <c r="Q421" s="49"/>
      <c r="R421" s="49"/>
      <c r="S421" s="49"/>
      <c r="T421" s="49"/>
      <c r="U421" s="49"/>
      <c r="V421" s="49"/>
      <c r="W421" s="49"/>
      <c r="X421" s="49"/>
      <c r="Y421" s="49"/>
      <c r="Z421" s="49"/>
      <c r="AA421" s="49"/>
      <c r="AB421" s="49"/>
      <c r="AC421" s="49"/>
      <c r="AD421" s="49"/>
    </row>
    <row r="422" spans="1:30" ht="13">
      <c r="A422" s="141"/>
      <c r="B422" s="141"/>
      <c r="C422" s="141"/>
      <c r="D422" s="49"/>
      <c r="E422" s="49"/>
      <c r="F422" s="49"/>
      <c r="G422" s="49"/>
      <c r="H422" s="49"/>
      <c r="I422" s="49"/>
      <c r="J422" s="49"/>
      <c r="K422" s="49"/>
      <c r="L422" s="49"/>
      <c r="M422" s="49"/>
      <c r="N422" s="49"/>
      <c r="O422" s="49"/>
      <c r="P422" s="49"/>
      <c r="Q422" s="49"/>
      <c r="R422" s="49"/>
      <c r="S422" s="49"/>
      <c r="T422" s="49"/>
      <c r="U422" s="49"/>
      <c r="V422" s="49"/>
      <c r="W422" s="49"/>
      <c r="X422" s="49"/>
      <c r="Y422" s="49"/>
      <c r="Z422" s="49"/>
      <c r="AA422" s="49"/>
      <c r="AB422" s="49"/>
      <c r="AC422" s="49"/>
      <c r="AD422" s="49"/>
    </row>
    <row r="423" spans="1:30" ht="13">
      <c r="A423" s="141"/>
      <c r="B423" s="141"/>
      <c r="C423" s="141"/>
      <c r="D423" s="49"/>
      <c r="E423" s="49"/>
      <c r="F423" s="49"/>
      <c r="G423" s="49"/>
      <c r="H423" s="49"/>
      <c r="I423" s="49"/>
      <c r="J423" s="49"/>
      <c r="K423" s="49"/>
      <c r="L423" s="49"/>
      <c r="M423" s="49"/>
      <c r="N423" s="49"/>
      <c r="O423" s="49"/>
      <c r="P423" s="49"/>
      <c r="Q423" s="49"/>
      <c r="R423" s="49"/>
      <c r="S423" s="49"/>
      <c r="T423" s="49"/>
      <c r="U423" s="49"/>
      <c r="V423" s="49"/>
      <c r="W423" s="49"/>
      <c r="X423" s="49"/>
      <c r="Y423" s="49"/>
      <c r="Z423" s="49"/>
      <c r="AA423" s="49"/>
      <c r="AB423" s="49"/>
      <c r="AC423" s="49"/>
      <c r="AD423" s="49"/>
    </row>
    <row r="424" spans="1:30" ht="13">
      <c r="A424" s="141"/>
      <c r="B424" s="141"/>
      <c r="C424" s="141"/>
      <c r="D424" s="49"/>
      <c r="E424" s="49"/>
      <c r="F424" s="49"/>
      <c r="G424" s="49"/>
      <c r="H424" s="49"/>
      <c r="I424" s="49"/>
      <c r="J424" s="49"/>
      <c r="K424" s="49"/>
      <c r="L424" s="49"/>
      <c r="M424" s="49"/>
      <c r="N424" s="49"/>
      <c r="O424" s="49"/>
      <c r="P424" s="49"/>
      <c r="Q424" s="49"/>
      <c r="R424" s="49"/>
      <c r="S424" s="49"/>
      <c r="T424" s="49"/>
      <c r="U424" s="49"/>
      <c r="V424" s="49"/>
      <c r="W424" s="49"/>
      <c r="X424" s="49"/>
      <c r="Y424" s="49"/>
      <c r="Z424" s="49"/>
      <c r="AA424" s="49"/>
      <c r="AB424" s="49"/>
      <c r="AC424" s="49"/>
      <c r="AD424" s="49"/>
    </row>
    <row r="425" spans="1:30" ht="13">
      <c r="A425" s="141"/>
      <c r="B425" s="141"/>
      <c r="C425" s="141"/>
      <c r="D425" s="49"/>
      <c r="E425" s="49"/>
      <c r="F425" s="49"/>
      <c r="G425" s="49"/>
      <c r="H425" s="49"/>
      <c r="I425" s="49"/>
      <c r="J425" s="49"/>
      <c r="K425" s="49"/>
      <c r="L425" s="49"/>
      <c r="M425" s="49"/>
      <c r="N425" s="49"/>
      <c r="O425" s="49"/>
      <c r="P425" s="49"/>
      <c r="Q425" s="49"/>
      <c r="R425" s="49"/>
      <c r="S425" s="49"/>
      <c r="T425" s="49"/>
      <c r="U425" s="49"/>
      <c r="V425" s="49"/>
      <c r="W425" s="49"/>
      <c r="X425" s="49"/>
      <c r="Y425" s="49"/>
      <c r="Z425" s="49"/>
      <c r="AA425" s="49"/>
      <c r="AB425" s="49"/>
      <c r="AC425" s="49"/>
      <c r="AD425" s="49"/>
    </row>
    <row r="426" spans="1:30" ht="13">
      <c r="A426" s="141"/>
      <c r="B426" s="141"/>
      <c r="C426" s="141"/>
      <c r="D426" s="49"/>
      <c r="E426" s="49"/>
      <c r="F426" s="49"/>
      <c r="G426" s="49"/>
      <c r="H426" s="49"/>
      <c r="I426" s="49"/>
      <c r="J426" s="49"/>
      <c r="K426" s="49"/>
      <c r="L426" s="49"/>
      <c r="M426" s="49"/>
      <c r="N426" s="49"/>
      <c r="O426" s="49"/>
      <c r="P426" s="49"/>
      <c r="Q426" s="49"/>
      <c r="R426" s="49"/>
      <c r="S426" s="49"/>
      <c r="T426" s="49"/>
      <c r="U426" s="49"/>
      <c r="V426" s="49"/>
      <c r="W426" s="49"/>
      <c r="X426" s="49"/>
      <c r="Y426" s="49"/>
      <c r="Z426" s="49"/>
      <c r="AA426" s="49"/>
      <c r="AB426" s="49"/>
      <c r="AC426" s="49"/>
      <c r="AD426" s="49"/>
    </row>
    <row r="427" spans="1:30" ht="13">
      <c r="A427" s="141"/>
      <c r="B427" s="141"/>
      <c r="C427" s="141"/>
      <c r="D427" s="49"/>
      <c r="E427" s="49"/>
      <c r="F427" s="49"/>
      <c r="G427" s="49"/>
      <c r="H427" s="49"/>
      <c r="I427" s="49"/>
      <c r="J427" s="49"/>
      <c r="K427" s="49"/>
      <c r="L427" s="49"/>
      <c r="M427" s="49"/>
      <c r="N427" s="49"/>
      <c r="O427" s="49"/>
      <c r="P427" s="49"/>
      <c r="Q427" s="49"/>
      <c r="R427" s="49"/>
      <c r="S427" s="49"/>
      <c r="T427" s="49"/>
      <c r="U427" s="49"/>
      <c r="V427" s="49"/>
      <c r="W427" s="49"/>
      <c r="X427" s="49"/>
      <c r="Y427" s="49"/>
      <c r="Z427" s="49"/>
      <c r="AA427" s="49"/>
      <c r="AB427" s="49"/>
      <c r="AC427" s="49"/>
      <c r="AD427" s="49"/>
    </row>
    <row r="428" spans="1:30" ht="13">
      <c r="A428" s="141"/>
      <c r="B428" s="141"/>
      <c r="C428" s="141"/>
      <c r="D428" s="49"/>
      <c r="E428" s="49"/>
      <c r="F428" s="49"/>
      <c r="G428" s="49"/>
      <c r="H428" s="49"/>
      <c r="I428" s="49"/>
      <c r="J428" s="49"/>
      <c r="K428" s="49"/>
      <c r="L428" s="49"/>
      <c r="M428" s="49"/>
      <c r="N428" s="49"/>
      <c r="O428" s="49"/>
      <c r="P428" s="49"/>
      <c r="Q428" s="49"/>
      <c r="R428" s="49"/>
      <c r="S428" s="49"/>
      <c r="T428" s="49"/>
      <c r="U428" s="49"/>
      <c r="V428" s="49"/>
      <c r="W428" s="49"/>
      <c r="X428" s="49"/>
      <c r="Y428" s="49"/>
      <c r="Z428" s="49"/>
      <c r="AA428" s="49"/>
      <c r="AB428" s="49"/>
      <c r="AC428" s="49"/>
      <c r="AD428" s="49"/>
    </row>
    <row r="429" spans="1:30" ht="13">
      <c r="A429" s="141"/>
      <c r="B429" s="141"/>
      <c r="C429" s="141"/>
      <c r="D429" s="49"/>
      <c r="E429" s="49"/>
      <c r="F429" s="49"/>
      <c r="G429" s="49"/>
      <c r="H429" s="49"/>
      <c r="I429" s="49"/>
      <c r="J429" s="49"/>
      <c r="K429" s="49"/>
      <c r="L429" s="49"/>
      <c r="M429" s="49"/>
      <c r="N429" s="49"/>
      <c r="O429" s="49"/>
      <c r="P429" s="49"/>
      <c r="Q429" s="49"/>
      <c r="R429" s="49"/>
      <c r="S429" s="49"/>
      <c r="T429" s="49"/>
      <c r="U429" s="49"/>
      <c r="V429" s="49"/>
      <c r="W429" s="49"/>
      <c r="X429" s="49"/>
      <c r="Y429" s="49"/>
      <c r="Z429" s="49"/>
      <c r="AA429" s="49"/>
      <c r="AB429" s="49"/>
      <c r="AC429" s="49"/>
      <c r="AD429" s="49"/>
    </row>
    <row r="430" spans="1:30" ht="13">
      <c r="A430" s="141"/>
      <c r="B430" s="141"/>
      <c r="C430" s="141"/>
      <c r="D430" s="49"/>
      <c r="E430" s="49"/>
      <c r="F430" s="49"/>
      <c r="G430" s="49"/>
      <c r="H430" s="49"/>
      <c r="I430" s="49"/>
      <c r="J430" s="49"/>
      <c r="K430" s="49"/>
      <c r="L430" s="49"/>
      <c r="M430" s="49"/>
      <c r="N430" s="49"/>
      <c r="O430" s="49"/>
      <c r="P430" s="49"/>
      <c r="Q430" s="49"/>
      <c r="R430" s="49"/>
      <c r="S430" s="49"/>
      <c r="T430" s="49"/>
      <c r="U430" s="49"/>
      <c r="V430" s="49"/>
      <c r="W430" s="49"/>
      <c r="X430" s="49"/>
      <c r="Y430" s="49"/>
      <c r="Z430" s="49"/>
      <c r="AA430" s="49"/>
      <c r="AB430" s="49"/>
      <c r="AC430" s="49"/>
      <c r="AD430" s="49"/>
    </row>
    <row r="431" spans="1:30" ht="13">
      <c r="A431" s="141"/>
      <c r="B431" s="141"/>
      <c r="C431" s="141"/>
      <c r="D431" s="49"/>
      <c r="E431" s="49"/>
      <c r="F431" s="49"/>
      <c r="G431" s="49"/>
      <c r="H431" s="49"/>
      <c r="I431" s="49"/>
      <c r="J431" s="49"/>
      <c r="K431" s="49"/>
      <c r="L431" s="49"/>
      <c r="M431" s="49"/>
      <c r="N431" s="49"/>
      <c r="O431" s="49"/>
      <c r="P431" s="49"/>
      <c r="Q431" s="49"/>
      <c r="R431" s="49"/>
      <c r="S431" s="49"/>
      <c r="T431" s="49"/>
      <c r="U431" s="49"/>
      <c r="V431" s="49"/>
      <c r="W431" s="49"/>
      <c r="X431" s="49"/>
      <c r="Y431" s="49"/>
      <c r="Z431" s="49"/>
      <c r="AA431" s="49"/>
      <c r="AB431" s="49"/>
      <c r="AC431" s="49"/>
      <c r="AD431" s="49"/>
    </row>
    <row r="432" spans="1:30" ht="13">
      <c r="A432" s="141"/>
      <c r="B432" s="141"/>
      <c r="C432" s="141"/>
      <c r="D432" s="49"/>
      <c r="E432" s="49"/>
      <c r="F432" s="49"/>
      <c r="G432" s="49"/>
      <c r="H432" s="49"/>
      <c r="I432" s="49"/>
      <c r="J432" s="49"/>
      <c r="K432" s="49"/>
      <c r="L432" s="49"/>
      <c r="M432" s="49"/>
      <c r="N432" s="49"/>
      <c r="O432" s="49"/>
      <c r="P432" s="49"/>
      <c r="Q432" s="49"/>
      <c r="R432" s="49"/>
      <c r="S432" s="49"/>
      <c r="T432" s="49"/>
      <c r="U432" s="49"/>
      <c r="V432" s="49"/>
      <c r="W432" s="49"/>
      <c r="X432" s="49"/>
      <c r="Y432" s="49"/>
      <c r="Z432" s="49"/>
      <c r="AA432" s="49"/>
      <c r="AB432" s="49"/>
      <c r="AC432" s="49"/>
      <c r="AD432" s="49"/>
    </row>
    <row r="433" spans="1:30" ht="13">
      <c r="A433" s="141"/>
      <c r="B433" s="141"/>
      <c r="C433" s="141"/>
      <c r="D433" s="49"/>
      <c r="E433" s="49"/>
      <c r="F433" s="49"/>
      <c r="G433" s="49"/>
      <c r="H433" s="49"/>
      <c r="I433" s="49"/>
      <c r="J433" s="49"/>
      <c r="K433" s="49"/>
      <c r="L433" s="49"/>
      <c r="M433" s="49"/>
      <c r="N433" s="49"/>
      <c r="O433" s="49"/>
      <c r="P433" s="49"/>
      <c r="Q433" s="49"/>
      <c r="R433" s="49"/>
      <c r="S433" s="49"/>
      <c r="T433" s="49"/>
      <c r="U433" s="49"/>
      <c r="V433" s="49"/>
      <c r="W433" s="49"/>
      <c r="X433" s="49"/>
      <c r="Y433" s="49"/>
      <c r="Z433" s="49"/>
      <c r="AA433" s="49"/>
      <c r="AB433" s="49"/>
      <c r="AC433" s="49"/>
      <c r="AD433" s="49"/>
    </row>
    <row r="434" spans="1:30" ht="13">
      <c r="A434" s="141"/>
      <c r="B434" s="141"/>
      <c r="C434" s="141"/>
      <c r="D434" s="49"/>
      <c r="E434" s="49"/>
      <c r="F434" s="49"/>
      <c r="G434" s="49"/>
      <c r="H434" s="49"/>
      <c r="I434" s="49"/>
      <c r="J434" s="49"/>
      <c r="K434" s="49"/>
      <c r="L434" s="49"/>
      <c r="M434" s="49"/>
      <c r="N434" s="49"/>
      <c r="O434" s="49"/>
      <c r="P434" s="49"/>
      <c r="Q434" s="49"/>
      <c r="R434" s="49"/>
      <c r="S434" s="49"/>
      <c r="T434" s="49"/>
      <c r="U434" s="49"/>
      <c r="V434" s="49"/>
      <c r="W434" s="49"/>
      <c r="X434" s="49"/>
      <c r="Y434" s="49"/>
      <c r="Z434" s="49"/>
      <c r="AA434" s="49"/>
      <c r="AB434" s="49"/>
      <c r="AC434" s="49"/>
      <c r="AD434" s="49"/>
    </row>
    <row r="435" spans="1:30" ht="13">
      <c r="A435" s="141"/>
      <c r="B435" s="141"/>
      <c r="C435" s="141"/>
      <c r="D435" s="49"/>
      <c r="E435" s="49"/>
      <c r="F435" s="49"/>
      <c r="G435" s="49"/>
      <c r="H435" s="49"/>
      <c r="I435" s="49"/>
      <c r="J435" s="49"/>
      <c r="K435" s="49"/>
      <c r="L435" s="49"/>
      <c r="M435" s="49"/>
      <c r="N435" s="49"/>
      <c r="O435" s="49"/>
      <c r="P435" s="49"/>
      <c r="Q435" s="49"/>
      <c r="R435" s="49"/>
      <c r="S435" s="49"/>
      <c r="T435" s="49"/>
      <c r="U435" s="49"/>
      <c r="V435" s="49"/>
      <c r="W435" s="49"/>
      <c r="X435" s="49"/>
      <c r="Y435" s="49"/>
      <c r="Z435" s="49"/>
      <c r="AA435" s="49"/>
      <c r="AB435" s="49"/>
      <c r="AC435" s="49"/>
      <c r="AD435" s="49"/>
    </row>
    <row r="436" spans="1:30" ht="13">
      <c r="A436" s="141"/>
      <c r="B436" s="141"/>
      <c r="C436" s="141"/>
      <c r="D436" s="49"/>
      <c r="E436" s="49"/>
      <c r="F436" s="49"/>
      <c r="G436" s="49"/>
      <c r="H436" s="49"/>
      <c r="I436" s="49"/>
      <c r="J436" s="49"/>
      <c r="K436" s="49"/>
      <c r="L436" s="49"/>
      <c r="M436" s="49"/>
      <c r="N436" s="49"/>
      <c r="O436" s="49"/>
      <c r="P436" s="49"/>
      <c r="Q436" s="49"/>
      <c r="R436" s="49"/>
      <c r="S436" s="49"/>
      <c r="T436" s="49"/>
      <c r="U436" s="49"/>
      <c r="V436" s="49"/>
      <c r="W436" s="49"/>
      <c r="X436" s="49"/>
      <c r="Y436" s="49"/>
      <c r="Z436" s="49"/>
      <c r="AA436" s="49"/>
      <c r="AB436" s="49"/>
      <c r="AC436" s="49"/>
      <c r="AD436" s="49"/>
    </row>
    <row r="437" spans="1:30" ht="13">
      <c r="A437" s="141"/>
      <c r="B437" s="141"/>
      <c r="C437" s="141"/>
      <c r="D437" s="49"/>
      <c r="E437" s="49"/>
      <c r="F437" s="49"/>
      <c r="G437" s="49"/>
      <c r="H437" s="49"/>
      <c r="I437" s="49"/>
      <c r="J437" s="49"/>
      <c r="K437" s="49"/>
      <c r="L437" s="49"/>
      <c r="M437" s="49"/>
      <c r="N437" s="49"/>
      <c r="O437" s="49"/>
      <c r="P437" s="49"/>
      <c r="Q437" s="49"/>
      <c r="R437" s="49"/>
      <c r="S437" s="49"/>
      <c r="T437" s="49"/>
      <c r="U437" s="49"/>
      <c r="V437" s="49"/>
      <c r="W437" s="49"/>
      <c r="X437" s="49"/>
      <c r="Y437" s="49"/>
      <c r="Z437" s="49"/>
      <c r="AA437" s="49"/>
      <c r="AB437" s="49"/>
      <c r="AC437" s="49"/>
      <c r="AD437" s="49"/>
    </row>
    <row r="438" spans="1:30" ht="13">
      <c r="A438" s="141"/>
      <c r="B438" s="141"/>
      <c r="C438" s="141"/>
      <c r="D438" s="49"/>
      <c r="E438" s="49"/>
      <c r="F438" s="49"/>
      <c r="G438" s="49"/>
      <c r="H438" s="49"/>
      <c r="I438" s="49"/>
      <c r="J438" s="49"/>
      <c r="K438" s="49"/>
      <c r="L438" s="49"/>
      <c r="M438" s="49"/>
      <c r="N438" s="49"/>
      <c r="O438" s="49"/>
      <c r="P438" s="49"/>
      <c r="Q438" s="49"/>
      <c r="R438" s="49"/>
      <c r="S438" s="49"/>
      <c r="T438" s="49"/>
      <c r="U438" s="49"/>
      <c r="V438" s="49"/>
      <c r="W438" s="49"/>
      <c r="X438" s="49"/>
      <c r="Y438" s="49"/>
      <c r="Z438" s="49"/>
      <c r="AA438" s="49"/>
      <c r="AB438" s="49"/>
      <c r="AC438" s="49"/>
      <c r="AD438" s="49"/>
    </row>
    <row r="439" spans="1:30" ht="13">
      <c r="A439" s="141"/>
      <c r="B439" s="141"/>
      <c r="C439" s="141"/>
      <c r="D439" s="49"/>
      <c r="E439" s="49"/>
      <c r="F439" s="49"/>
      <c r="G439" s="49"/>
      <c r="H439" s="49"/>
      <c r="I439" s="49"/>
      <c r="J439" s="49"/>
      <c r="K439" s="49"/>
      <c r="L439" s="49"/>
      <c r="M439" s="49"/>
      <c r="N439" s="49"/>
      <c r="O439" s="49"/>
      <c r="P439" s="49"/>
      <c r="Q439" s="49"/>
      <c r="R439" s="49"/>
      <c r="S439" s="49"/>
      <c r="T439" s="49"/>
      <c r="U439" s="49"/>
      <c r="V439" s="49"/>
      <c r="W439" s="49"/>
      <c r="X439" s="49"/>
      <c r="Y439" s="49"/>
      <c r="Z439" s="49"/>
      <c r="AA439" s="49"/>
      <c r="AB439" s="49"/>
      <c r="AC439" s="49"/>
      <c r="AD439" s="49"/>
    </row>
    <row r="440" spans="1:30" ht="13">
      <c r="A440" s="141"/>
      <c r="B440" s="141"/>
      <c r="C440" s="141"/>
      <c r="D440" s="49"/>
      <c r="E440" s="49"/>
      <c r="F440" s="49"/>
      <c r="G440" s="49"/>
      <c r="H440" s="49"/>
      <c r="I440" s="49"/>
      <c r="J440" s="49"/>
      <c r="K440" s="49"/>
      <c r="L440" s="49"/>
      <c r="M440" s="49"/>
      <c r="N440" s="49"/>
      <c r="O440" s="49"/>
      <c r="P440" s="49"/>
      <c r="Q440" s="49"/>
      <c r="R440" s="49"/>
      <c r="S440" s="49"/>
      <c r="T440" s="49"/>
      <c r="U440" s="49"/>
      <c r="V440" s="49"/>
      <c r="W440" s="49"/>
      <c r="X440" s="49"/>
      <c r="Y440" s="49"/>
      <c r="Z440" s="49"/>
      <c r="AA440" s="49"/>
      <c r="AB440" s="49"/>
      <c r="AC440" s="49"/>
      <c r="AD440" s="49"/>
    </row>
    <row r="441" spans="1:30" ht="13">
      <c r="A441" s="141"/>
      <c r="B441" s="141"/>
      <c r="C441" s="141"/>
      <c r="D441" s="49"/>
      <c r="E441" s="49"/>
      <c r="F441" s="49"/>
      <c r="G441" s="49"/>
      <c r="H441" s="49"/>
      <c r="I441" s="49"/>
      <c r="J441" s="49"/>
      <c r="K441" s="49"/>
      <c r="L441" s="49"/>
      <c r="M441" s="49"/>
      <c r="N441" s="49"/>
      <c r="O441" s="49"/>
      <c r="P441" s="49"/>
      <c r="Q441" s="49"/>
      <c r="R441" s="49"/>
      <c r="S441" s="49"/>
      <c r="T441" s="49"/>
      <c r="U441" s="49"/>
      <c r="V441" s="49"/>
      <c r="W441" s="49"/>
      <c r="X441" s="49"/>
      <c r="Y441" s="49"/>
      <c r="Z441" s="49"/>
      <c r="AA441" s="49"/>
      <c r="AB441" s="49"/>
      <c r="AC441" s="49"/>
      <c r="AD441" s="49"/>
    </row>
    <row r="442" spans="1:30" ht="13">
      <c r="A442" s="141"/>
      <c r="B442" s="141"/>
      <c r="C442" s="141"/>
      <c r="D442" s="49"/>
      <c r="E442" s="49"/>
      <c r="F442" s="49"/>
      <c r="G442" s="49"/>
      <c r="H442" s="49"/>
      <c r="I442" s="49"/>
      <c r="J442" s="49"/>
      <c r="K442" s="49"/>
      <c r="L442" s="49"/>
      <c r="M442" s="49"/>
      <c r="N442" s="49"/>
      <c r="O442" s="49"/>
      <c r="P442" s="49"/>
      <c r="Q442" s="49"/>
      <c r="R442" s="49"/>
      <c r="S442" s="49"/>
      <c r="T442" s="49"/>
      <c r="U442" s="49"/>
      <c r="V442" s="49"/>
      <c r="W442" s="49"/>
      <c r="X442" s="49"/>
      <c r="Y442" s="49"/>
      <c r="Z442" s="49"/>
      <c r="AA442" s="49"/>
      <c r="AB442" s="49"/>
      <c r="AC442" s="49"/>
      <c r="AD442" s="49"/>
    </row>
    <row r="443" spans="1:30" ht="13">
      <c r="A443" s="141"/>
      <c r="B443" s="141"/>
      <c r="C443" s="141"/>
      <c r="D443" s="49"/>
      <c r="E443" s="49"/>
      <c r="F443" s="49"/>
      <c r="G443" s="49"/>
      <c r="H443" s="49"/>
      <c r="I443" s="49"/>
      <c r="J443" s="49"/>
      <c r="K443" s="49"/>
      <c r="L443" s="49"/>
      <c r="M443" s="49"/>
      <c r="N443" s="49"/>
      <c r="O443" s="49"/>
      <c r="P443" s="49"/>
      <c r="Q443" s="49"/>
      <c r="R443" s="49"/>
      <c r="S443" s="49"/>
      <c r="T443" s="49"/>
      <c r="U443" s="49"/>
      <c r="V443" s="49"/>
      <c r="W443" s="49"/>
      <c r="X443" s="49"/>
      <c r="Y443" s="49"/>
      <c r="Z443" s="49"/>
      <c r="AA443" s="49"/>
      <c r="AB443" s="49"/>
      <c r="AC443" s="49"/>
      <c r="AD443" s="49"/>
    </row>
    <row r="444" spans="1:30" ht="13">
      <c r="A444" s="141"/>
      <c r="B444" s="141"/>
      <c r="C444" s="141"/>
      <c r="D444" s="49"/>
      <c r="E444" s="49"/>
      <c r="F444" s="49"/>
      <c r="G444" s="49"/>
      <c r="H444" s="49"/>
      <c r="I444" s="49"/>
      <c r="J444" s="49"/>
      <c r="K444" s="49"/>
      <c r="L444" s="49"/>
      <c r="M444" s="49"/>
      <c r="N444" s="49"/>
      <c r="O444" s="49"/>
      <c r="P444" s="49"/>
      <c r="Q444" s="49"/>
      <c r="R444" s="49"/>
      <c r="S444" s="49"/>
      <c r="T444" s="49"/>
      <c r="U444" s="49"/>
      <c r="V444" s="49"/>
      <c r="W444" s="49"/>
      <c r="X444" s="49"/>
      <c r="Y444" s="49"/>
      <c r="Z444" s="49"/>
      <c r="AA444" s="49"/>
      <c r="AB444" s="49"/>
      <c r="AC444" s="49"/>
      <c r="AD444" s="49"/>
    </row>
    <row r="445" spans="1:30" ht="13">
      <c r="A445" s="141"/>
      <c r="B445" s="141"/>
      <c r="C445" s="141"/>
      <c r="D445" s="49"/>
      <c r="E445" s="49"/>
      <c r="F445" s="49"/>
      <c r="G445" s="49"/>
      <c r="H445" s="49"/>
      <c r="I445" s="49"/>
      <c r="J445" s="49"/>
      <c r="K445" s="49"/>
      <c r="L445" s="49"/>
      <c r="M445" s="49"/>
      <c r="N445" s="49"/>
      <c r="O445" s="49"/>
      <c r="P445" s="49"/>
      <c r="Q445" s="49"/>
      <c r="R445" s="49"/>
      <c r="S445" s="49"/>
      <c r="T445" s="49"/>
      <c r="U445" s="49"/>
      <c r="V445" s="49"/>
      <c r="W445" s="49"/>
      <c r="X445" s="49"/>
      <c r="Y445" s="49"/>
      <c r="Z445" s="49"/>
      <c r="AA445" s="49"/>
      <c r="AB445" s="49"/>
      <c r="AC445" s="49"/>
      <c r="AD445" s="49"/>
    </row>
    <row r="446" spans="1:30" ht="13">
      <c r="A446" s="141"/>
      <c r="B446" s="141"/>
      <c r="C446" s="141"/>
      <c r="D446" s="49"/>
      <c r="E446" s="49"/>
      <c r="F446" s="49"/>
      <c r="G446" s="49"/>
      <c r="H446" s="49"/>
      <c r="I446" s="49"/>
      <c r="J446" s="49"/>
      <c r="K446" s="49"/>
      <c r="L446" s="49"/>
      <c r="M446" s="49"/>
      <c r="N446" s="49"/>
      <c r="O446" s="49"/>
      <c r="P446" s="49"/>
      <c r="Q446" s="49"/>
      <c r="R446" s="49"/>
      <c r="S446" s="49"/>
      <c r="T446" s="49"/>
      <c r="U446" s="49"/>
      <c r="V446" s="49"/>
      <c r="W446" s="49"/>
      <c r="X446" s="49"/>
      <c r="Y446" s="49"/>
      <c r="Z446" s="49"/>
      <c r="AA446" s="49"/>
      <c r="AB446" s="49"/>
      <c r="AC446" s="49"/>
      <c r="AD446" s="49"/>
    </row>
    <row r="447" spans="1:30" ht="13">
      <c r="A447" s="141"/>
      <c r="B447" s="141"/>
      <c r="C447" s="141"/>
      <c r="D447" s="49"/>
      <c r="E447" s="49"/>
      <c r="F447" s="49"/>
      <c r="G447" s="49"/>
      <c r="H447" s="49"/>
      <c r="I447" s="49"/>
      <c r="J447" s="49"/>
      <c r="K447" s="49"/>
      <c r="L447" s="49"/>
      <c r="M447" s="49"/>
      <c r="N447" s="49"/>
      <c r="O447" s="49"/>
      <c r="P447" s="49"/>
      <c r="Q447" s="49"/>
      <c r="R447" s="49"/>
      <c r="S447" s="49"/>
      <c r="T447" s="49"/>
      <c r="U447" s="49"/>
      <c r="V447" s="49"/>
      <c r="W447" s="49"/>
      <c r="X447" s="49"/>
      <c r="Y447" s="49"/>
      <c r="Z447" s="49"/>
      <c r="AA447" s="49"/>
      <c r="AB447" s="49"/>
      <c r="AC447" s="49"/>
      <c r="AD447" s="49"/>
    </row>
    <row r="448" spans="1:30" ht="13">
      <c r="A448" s="141"/>
      <c r="B448" s="141"/>
      <c r="C448" s="141"/>
      <c r="D448" s="49"/>
      <c r="E448" s="49"/>
      <c r="F448" s="49"/>
      <c r="G448" s="49"/>
      <c r="H448" s="49"/>
      <c r="I448" s="49"/>
      <c r="J448" s="49"/>
      <c r="K448" s="49"/>
      <c r="L448" s="49"/>
      <c r="M448" s="49"/>
      <c r="N448" s="49"/>
      <c r="O448" s="49"/>
      <c r="P448" s="49"/>
      <c r="Q448" s="49"/>
      <c r="R448" s="49"/>
      <c r="S448" s="49"/>
      <c r="T448" s="49"/>
      <c r="U448" s="49"/>
      <c r="V448" s="49"/>
      <c r="W448" s="49"/>
      <c r="X448" s="49"/>
      <c r="Y448" s="49"/>
      <c r="Z448" s="49"/>
      <c r="AA448" s="49"/>
      <c r="AB448" s="49"/>
      <c r="AC448" s="49"/>
      <c r="AD448" s="49"/>
    </row>
    <row r="449" spans="1:30" ht="13">
      <c r="A449" s="141"/>
      <c r="B449" s="141"/>
      <c r="C449" s="141"/>
      <c r="D449" s="49"/>
      <c r="E449" s="49"/>
      <c r="F449" s="49"/>
      <c r="G449" s="49"/>
      <c r="H449" s="49"/>
      <c r="I449" s="49"/>
      <c r="J449" s="49"/>
      <c r="K449" s="49"/>
      <c r="L449" s="49"/>
      <c r="M449" s="49"/>
      <c r="N449" s="49"/>
      <c r="O449" s="49"/>
      <c r="P449" s="49"/>
      <c r="Q449" s="49"/>
      <c r="R449" s="49"/>
      <c r="S449" s="49"/>
      <c r="T449" s="49"/>
      <c r="U449" s="49"/>
      <c r="V449" s="49"/>
      <c r="W449" s="49"/>
      <c r="X449" s="49"/>
      <c r="Y449" s="49"/>
      <c r="Z449" s="49"/>
      <c r="AA449" s="49"/>
      <c r="AB449" s="49"/>
      <c r="AC449" s="49"/>
      <c r="AD449" s="49"/>
    </row>
    <row r="450" spans="1:30" ht="13">
      <c r="A450" s="141"/>
      <c r="B450" s="141"/>
      <c r="C450" s="141"/>
      <c r="D450" s="49"/>
      <c r="E450" s="49"/>
      <c r="F450" s="49"/>
      <c r="G450" s="49"/>
      <c r="H450" s="49"/>
      <c r="I450" s="49"/>
      <c r="J450" s="49"/>
      <c r="K450" s="49"/>
      <c r="L450" s="49"/>
      <c r="M450" s="49"/>
      <c r="N450" s="49"/>
      <c r="O450" s="49"/>
      <c r="P450" s="49"/>
      <c r="Q450" s="49"/>
      <c r="R450" s="49"/>
      <c r="S450" s="49"/>
      <c r="T450" s="49"/>
      <c r="U450" s="49"/>
      <c r="V450" s="49"/>
      <c r="W450" s="49"/>
      <c r="X450" s="49"/>
      <c r="Y450" s="49"/>
      <c r="Z450" s="49"/>
      <c r="AA450" s="49"/>
      <c r="AB450" s="49"/>
      <c r="AC450" s="49"/>
      <c r="AD450" s="49"/>
    </row>
    <row r="451" spans="1:30" ht="13">
      <c r="A451" s="141"/>
      <c r="B451" s="141"/>
      <c r="C451" s="141"/>
      <c r="D451" s="49"/>
      <c r="E451" s="49"/>
      <c r="F451" s="49"/>
      <c r="G451" s="49"/>
      <c r="H451" s="49"/>
      <c r="I451" s="49"/>
      <c r="J451" s="49"/>
      <c r="K451" s="49"/>
      <c r="L451" s="49"/>
      <c r="M451" s="49"/>
      <c r="N451" s="49"/>
      <c r="O451" s="49"/>
      <c r="P451" s="49"/>
      <c r="Q451" s="49"/>
      <c r="R451" s="49"/>
      <c r="S451" s="49"/>
      <c r="T451" s="49"/>
      <c r="U451" s="49"/>
      <c r="V451" s="49"/>
      <c r="W451" s="49"/>
      <c r="X451" s="49"/>
      <c r="Y451" s="49"/>
      <c r="Z451" s="49"/>
      <c r="AA451" s="49"/>
      <c r="AB451" s="49"/>
      <c r="AC451" s="49"/>
      <c r="AD451" s="49"/>
    </row>
    <row r="452" spans="1:30" ht="13">
      <c r="A452" s="141"/>
      <c r="B452" s="141"/>
      <c r="C452" s="141"/>
      <c r="D452" s="49"/>
      <c r="E452" s="49"/>
      <c r="F452" s="49"/>
      <c r="G452" s="49"/>
      <c r="H452" s="49"/>
      <c r="I452" s="49"/>
      <c r="J452" s="49"/>
      <c r="K452" s="49"/>
      <c r="L452" s="49"/>
      <c r="M452" s="49"/>
      <c r="N452" s="49"/>
      <c r="O452" s="49"/>
      <c r="P452" s="49"/>
      <c r="Q452" s="49"/>
      <c r="R452" s="49"/>
      <c r="S452" s="49"/>
      <c r="T452" s="49"/>
      <c r="U452" s="49"/>
      <c r="V452" s="49"/>
      <c r="W452" s="49"/>
      <c r="X452" s="49"/>
      <c r="Y452" s="49"/>
      <c r="Z452" s="49"/>
      <c r="AA452" s="49"/>
      <c r="AB452" s="49"/>
      <c r="AC452" s="49"/>
      <c r="AD452" s="49"/>
    </row>
    <row r="453" spans="1:30" ht="13">
      <c r="A453" s="141"/>
      <c r="B453" s="141"/>
      <c r="C453" s="141"/>
      <c r="D453" s="49"/>
      <c r="E453" s="49"/>
      <c r="F453" s="49"/>
      <c r="G453" s="49"/>
      <c r="H453" s="49"/>
      <c r="I453" s="49"/>
      <c r="J453" s="49"/>
      <c r="K453" s="49"/>
      <c r="L453" s="49"/>
      <c r="M453" s="49"/>
      <c r="N453" s="49"/>
      <c r="O453" s="49"/>
      <c r="P453" s="49"/>
      <c r="Q453" s="49"/>
      <c r="R453" s="49"/>
      <c r="S453" s="49"/>
      <c r="T453" s="49"/>
      <c r="U453" s="49"/>
      <c r="V453" s="49"/>
      <c r="W453" s="49"/>
      <c r="X453" s="49"/>
      <c r="Y453" s="49"/>
      <c r="Z453" s="49"/>
      <c r="AA453" s="49"/>
      <c r="AB453" s="49"/>
      <c r="AC453" s="49"/>
      <c r="AD453" s="49"/>
    </row>
    <row r="454" spans="1:30" ht="13">
      <c r="A454" s="141"/>
      <c r="B454" s="141"/>
      <c r="C454" s="141"/>
      <c r="D454" s="49"/>
      <c r="E454" s="49"/>
      <c r="F454" s="49"/>
      <c r="G454" s="49"/>
      <c r="H454" s="49"/>
      <c r="I454" s="49"/>
      <c r="J454" s="49"/>
      <c r="K454" s="49"/>
      <c r="L454" s="49"/>
      <c r="M454" s="49"/>
      <c r="N454" s="49"/>
      <c r="O454" s="49"/>
      <c r="P454" s="49"/>
      <c r="Q454" s="49"/>
      <c r="R454" s="49"/>
      <c r="S454" s="49"/>
      <c r="T454" s="49"/>
      <c r="U454" s="49"/>
      <c r="V454" s="49"/>
      <c r="W454" s="49"/>
      <c r="X454" s="49"/>
      <c r="Y454" s="49"/>
      <c r="Z454" s="49"/>
      <c r="AA454" s="49"/>
      <c r="AB454" s="49"/>
      <c r="AC454" s="49"/>
      <c r="AD454" s="49"/>
    </row>
    <row r="455" spans="1:30" ht="13">
      <c r="A455" s="141"/>
      <c r="B455" s="141"/>
      <c r="C455" s="141"/>
      <c r="D455" s="49"/>
      <c r="E455" s="49"/>
      <c r="F455" s="49"/>
      <c r="G455" s="49"/>
      <c r="H455" s="49"/>
      <c r="I455" s="49"/>
      <c r="J455" s="49"/>
      <c r="K455" s="49"/>
      <c r="L455" s="49"/>
      <c r="M455" s="49"/>
      <c r="N455" s="49"/>
      <c r="O455" s="49"/>
      <c r="P455" s="49"/>
      <c r="Q455" s="49"/>
      <c r="R455" s="49"/>
      <c r="S455" s="49"/>
      <c r="T455" s="49"/>
      <c r="U455" s="49"/>
      <c r="V455" s="49"/>
      <c r="W455" s="49"/>
      <c r="X455" s="49"/>
      <c r="Y455" s="49"/>
      <c r="Z455" s="49"/>
      <c r="AA455" s="49"/>
      <c r="AB455" s="49"/>
      <c r="AC455" s="49"/>
      <c r="AD455" s="49"/>
    </row>
    <row r="456" spans="1:30" ht="13">
      <c r="A456" s="141"/>
      <c r="B456" s="141"/>
      <c r="C456" s="141"/>
      <c r="D456" s="49"/>
      <c r="E456" s="49"/>
      <c r="F456" s="49"/>
      <c r="G456" s="49"/>
      <c r="H456" s="49"/>
      <c r="I456" s="49"/>
      <c r="J456" s="49"/>
      <c r="K456" s="49"/>
      <c r="L456" s="49"/>
      <c r="M456" s="49"/>
      <c r="N456" s="49"/>
      <c r="O456" s="49"/>
      <c r="P456" s="49"/>
      <c r="Q456" s="49"/>
      <c r="R456" s="49"/>
      <c r="S456" s="49"/>
      <c r="T456" s="49"/>
      <c r="U456" s="49"/>
      <c r="V456" s="49"/>
      <c r="W456" s="49"/>
      <c r="X456" s="49"/>
      <c r="Y456" s="49"/>
      <c r="Z456" s="49"/>
      <c r="AA456" s="49"/>
      <c r="AB456" s="49"/>
      <c r="AC456" s="49"/>
      <c r="AD456" s="49"/>
    </row>
    <row r="457" spans="1:30" ht="13">
      <c r="A457" s="141"/>
      <c r="B457" s="141"/>
      <c r="C457" s="141"/>
      <c r="D457" s="49"/>
      <c r="E457" s="49"/>
      <c r="F457" s="49"/>
      <c r="G457" s="49"/>
      <c r="H457" s="49"/>
      <c r="I457" s="49"/>
      <c r="J457" s="49"/>
      <c r="K457" s="49"/>
      <c r="L457" s="49"/>
      <c r="M457" s="49"/>
      <c r="N457" s="49"/>
      <c r="O457" s="49"/>
      <c r="P457" s="49"/>
      <c r="Q457" s="49"/>
      <c r="R457" s="49"/>
      <c r="S457" s="49"/>
      <c r="T457" s="49"/>
      <c r="U457" s="49"/>
      <c r="V457" s="49"/>
      <c r="W457" s="49"/>
      <c r="X457" s="49"/>
      <c r="Y457" s="49"/>
      <c r="Z457" s="49"/>
      <c r="AA457" s="49"/>
      <c r="AB457" s="49"/>
      <c r="AC457" s="49"/>
      <c r="AD457" s="49"/>
    </row>
    <row r="458" spans="1:30" ht="13">
      <c r="A458" s="141"/>
      <c r="B458" s="141"/>
      <c r="C458" s="141"/>
      <c r="D458" s="49"/>
      <c r="E458" s="49"/>
      <c r="F458" s="49"/>
      <c r="G458" s="49"/>
      <c r="H458" s="49"/>
      <c r="I458" s="49"/>
      <c r="J458" s="49"/>
      <c r="K458" s="49"/>
      <c r="L458" s="49"/>
      <c r="M458" s="49"/>
      <c r="N458" s="49"/>
      <c r="O458" s="49"/>
      <c r="P458" s="49"/>
      <c r="Q458" s="49"/>
      <c r="R458" s="49"/>
      <c r="S458" s="49"/>
      <c r="T458" s="49"/>
      <c r="U458" s="49"/>
      <c r="V458" s="49"/>
      <c r="W458" s="49"/>
      <c r="X458" s="49"/>
      <c r="Y458" s="49"/>
      <c r="Z458" s="49"/>
      <c r="AA458" s="49"/>
      <c r="AB458" s="49"/>
      <c r="AC458" s="49"/>
      <c r="AD458" s="49"/>
    </row>
    <row r="459" spans="1:30" ht="13">
      <c r="A459" s="141"/>
      <c r="B459" s="141"/>
      <c r="C459" s="141"/>
      <c r="D459" s="49"/>
      <c r="E459" s="49"/>
      <c r="F459" s="49"/>
      <c r="G459" s="49"/>
      <c r="H459" s="49"/>
      <c r="I459" s="49"/>
      <c r="J459" s="49"/>
      <c r="K459" s="49"/>
      <c r="L459" s="49"/>
      <c r="M459" s="49"/>
      <c r="N459" s="49"/>
      <c r="O459" s="49"/>
      <c r="P459" s="49"/>
      <c r="Q459" s="49"/>
      <c r="R459" s="49"/>
      <c r="S459" s="49"/>
      <c r="T459" s="49"/>
      <c r="U459" s="49"/>
      <c r="V459" s="49"/>
      <c r="W459" s="49"/>
      <c r="X459" s="49"/>
      <c r="Y459" s="49"/>
      <c r="Z459" s="49"/>
      <c r="AA459" s="49"/>
      <c r="AB459" s="49"/>
      <c r="AC459" s="49"/>
      <c r="AD459" s="49"/>
    </row>
    <row r="460" spans="1:30" ht="13">
      <c r="A460" s="141"/>
      <c r="B460" s="141"/>
      <c r="C460" s="141"/>
      <c r="D460" s="49"/>
      <c r="E460" s="49"/>
      <c r="F460" s="49"/>
      <c r="G460" s="49"/>
      <c r="H460" s="49"/>
      <c r="I460" s="49"/>
      <c r="J460" s="49"/>
      <c r="K460" s="49"/>
      <c r="L460" s="49"/>
      <c r="M460" s="49"/>
      <c r="N460" s="49"/>
      <c r="O460" s="49"/>
      <c r="P460" s="49"/>
      <c r="Q460" s="49"/>
      <c r="R460" s="49"/>
      <c r="S460" s="49"/>
      <c r="T460" s="49"/>
      <c r="U460" s="49"/>
      <c r="V460" s="49"/>
      <c r="W460" s="49"/>
      <c r="X460" s="49"/>
      <c r="Y460" s="49"/>
      <c r="Z460" s="49"/>
      <c r="AA460" s="49"/>
      <c r="AB460" s="49"/>
      <c r="AC460" s="49"/>
      <c r="AD460" s="49"/>
    </row>
    <row r="461" spans="1:30" ht="13">
      <c r="A461" s="141"/>
      <c r="B461" s="141"/>
      <c r="C461" s="141"/>
      <c r="D461" s="49"/>
      <c r="E461" s="49"/>
      <c r="F461" s="49"/>
      <c r="G461" s="49"/>
      <c r="H461" s="49"/>
      <c r="I461" s="49"/>
      <c r="J461" s="49"/>
      <c r="K461" s="49"/>
      <c r="L461" s="49"/>
      <c r="M461" s="49"/>
      <c r="N461" s="49"/>
      <c r="O461" s="49"/>
      <c r="P461" s="49"/>
      <c r="Q461" s="49"/>
      <c r="R461" s="49"/>
      <c r="S461" s="49"/>
      <c r="T461" s="49"/>
      <c r="U461" s="49"/>
      <c r="V461" s="49"/>
      <c r="W461" s="49"/>
      <c r="X461" s="49"/>
      <c r="Y461" s="49"/>
      <c r="Z461" s="49"/>
      <c r="AA461" s="49"/>
      <c r="AB461" s="49"/>
      <c r="AC461" s="49"/>
      <c r="AD461" s="49"/>
    </row>
    <row r="462" spans="1:30" ht="13">
      <c r="A462" s="141"/>
      <c r="B462" s="141"/>
      <c r="C462" s="141"/>
      <c r="D462" s="49"/>
      <c r="E462" s="49"/>
      <c r="F462" s="49"/>
      <c r="G462" s="49"/>
      <c r="H462" s="49"/>
      <c r="I462" s="49"/>
      <c r="J462" s="49"/>
      <c r="K462" s="49"/>
      <c r="L462" s="49"/>
      <c r="M462" s="49"/>
      <c r="N462" s="49"/>
      <c r="O462" s="49"/>
      <c r="P462" s="49"/>
      <c r="Q462" s="49"/>
      <c r="R462" s="49"/>
      <c r="S462" s="49"/>
      <c r="T462" s="49"/>
      <c r="U462" s="49"/>
      <c r="V462" s="49"/>
      <c r="W462" s="49"/>
      <c r="X462" s="49"/>
      <c r="Y462" s="49"/>
      <c r="Z462" s="49"/>
      <c r="AA462" s="49"/>
      <c r="AB462" s="49"/>
      <c r="AC462" s="49"/>
      <c r="AD462" s="49"/>
    </row>
    <row r="463" spans="1:30" ht="13">
      <c r="A463" s="141"/>
      <c r="B463" s="141"/>
      <c r="C463" s="141"/>
      <c r="D463" s="49"/>
      <c r="E463" s="49"/>
      <c r="F463" s="49"/>
      <c r="G463" s="49"/>
      <c r="H463" s="49"/>
      <c r="I463" s="49"/>
      <c r="J463" s="49"/>
      <c r="K463" s="49"/>
      <c r="L463" s="49"/>
      <c r="M463" s="49"/>
      <c r="N463" s="49"/>
      <c r="O463" s="49"/>
      <c r="P463" s="49"/>
      <c r="Q463" s="49"/>
      <c r="R463" s="49"/>
      <c r="S463" s="49"/>
      <c r="T463" s="49"/>
      <c r="U463" s="49"/>
      <c r="V463" s="49"/>
      <c r="W463" s="49"/>
      <c r="X463" s="49"/>
      <c r="Y463" s="49"/>
      <c r="Z463" s="49"/>
      <c r="AA463" s="49"/>
      <c r="AB463" s="49"/>
      <c r="AC463" s="49"/>
      <c r="AD463" s="49"/>
    </row>
    <row r="464" spans="1:30" ht="13">
      <c r="A464" s="141"/>
      <c r="B464" s="141"/>
      <c r="C464" s="141"/>
      <c r="D464" s="49"/>
      <c r="E464" s="49"/>
      <c r="F464" s="49"/>
      <c r="G464" s="49"/>
      <c r="H464" s="49"/>
      <c r="I464" s="49"/>
      <c r="J464" s="49"/>
      <c r="K464" s="49"/>
      <c r="L464" s="49"/>
      <c r="M464" s="49"/>
      <c r="N464" s="49"/>
      <c r="O464" s="49"/>
      <c r="P464" s="49"/>
      <c r="Q464" s="49"/>
      <c r="R464" s="49"/>
      <c r="S464" s="49"/>
      <c r="T464" s="49"/>
      <c r="U464" s="49"/>
      <c r="V464" s="49"/>
      <c r="W464" s="49"/>
      <c r="X464" s="49"/>
      <c r="Y464" s="49"/>
      <c r="Z464" s="49"/>
      <c r="AA464" s="49"/>
      <c r="AB464" s="49"/>
      <c r="AC464" s="49"/>
      <c r="AD464" s="49"/>
    </row>
    <row r="465" spans="1:30" ht="13">
      <c r="A465" s="141"/>
      <c r="B465" s="141"/>
      <c r="C465" s="141"/>
      <c r="D465" s="49"/>
      <c r="E465" s="49"/>
      <c r="F465" s="49"/>
      <c r="G465" s="49"/>
      <c r="H465" s="49"/>
      <c r="I465" s="49"/>
      <c r="J465" s="49"/>
      <c r="K465" s="49"/>
      <c r="L465" s="49"/>
      <c r="M465" s="49"/>
      <c r="N465" s="49"/>
      <c r="O465" s="49"/>
      <c r="P465" s="49"/>
      <c r="Q465" s="49"/>
      <c r="R465" s="49"/>
      <c r="S465" s="49"/>
      <c r="T465" s="49"/>
      <c r="U465" s="49"/>
      <c r="V465" s="49"/>
      <c r="W465" s="49"/>
      <c r="X465" s="49"/>
      <c r="Y465" s="49"/>
      <c r="Z465" s="49"/>
      <c r="AA465" s="49"/>
      <c r="AB465" s="49"/>
      <c r="AC465" s="49"/>
      <c r="AD465" s="49"/>
    </row>
    <row r="466" spans="1:30" ht="13">
      <c r="A466" s="141"/>
      <c r="B466" s="141"/>
      <c r="C466" s="141"/>
      <c r="D466" s="49"/>
      <c r="E466" s="49"/>
      <c r="F466" s="49"/>
      <c r="G466" s="49"/>
      <c r="H466" s="49"/>
      <c r="I466" s="49"/>
      <c r="J466" s="49"/>
      <c r="K466" s="49"/>
      <c r="L466" s="49"/>
      <c r="M466" s="49"/>
      <c r="N466" s="49"/>
      <c r="O466" s="49"/>
      <c r="P466" s="49"/>
      <c r="Q466" s="49"/>
      <c r="R466" s="49"/>
      <c r="S466" s="49"/>
      <c r="T466" s="49"/>
      <c r="U466" s="49"/>
      <c r="V466" s="49"/>
      <c r="W466" s="49"/>
      <c r="X466" s="49"/>
      <c r="Y466" s="49"/>
      <c r="Z466" s="49"/>
      <c r="AA466" s="49"/>
      <c r="AB466" s="49"/>
      <c r="AC466" s="49"/>
      <c r="AD466" s="49"/>
    </row>
    <row r="467" spans="1:30" ht="13">
      <c r="A467" s="141"/>
      <c r="B467" s="141"/>
      <c r="C467" s="141"/>
      <c r="D467" s="49"/>
      <c r="E467" s="49"/>
      <c r="F467" s="49"/>
      <c r="G467" s="49"/>
      <c r="H467" s="49"/>
      <c r="I467" s="49"/>
      <c r="J467" s="49"/>
      <c r="K467" s="49"/>
      <c r="L467" s="49"/>
      <c r="M467" s="49"/>
      <c r="N467" s="49"/>
      <c r="O467" s="49"/>
      <c r="P467" s="49"/>
      <c r="Q467" s="49"/>
      <c r="R467" s="49"/>
      <c r="S467" s="49"/>
      <c r="T467" s="49"/>
      <c r="U467" s="49"/>
      <c r="V467" s="49"/>
      <c r="W467" s="49"/>
      <c r="X467" s="49"/>
      <c r="Y467" s="49"/>
      <c r="Z467" s="49"/>
      <c r="AA467" s="49"/>
      <c r="AB467" s="49"/>
      <c r="AC467" s="49"/>
      <c r="AD467" s="49"/>
    </row>
    <row r="468" spans="1:30" ht="13">
      <c r="A468" s="141"/>
      <c r="B468" s="141"/>
      <c r="C468" s="141"/>
      <c r="D468" s="49"/>
      <c r="E468" s="49"/>
      <c r="F468" s="49"/>
      <c r="G468" s="49"/>
      <c r="H468" s="49"/>
      <c r="I468" s="49"/>
      <c r="J468" s="49"/>
      <c r="K468" s="49"/>
      <c r="L468" s="49"/>
      <c r="M468" s="49"/>
      <c r="N468" s="49"/>
      <c r="O468" s="49"/>
      <c r="P468" s="49"/>
      <c r="Q468" s="49"/>
      <c r="R468" s="49"/>
      <c r="S468" s="49"/>
      <c r="T468" s="49"/>
      <c r="U468" s="49"/>
      <c r="V468" s="49"/>
      <c r="W468" s="49"/>
      <c r="X468" s="49"/>
      <c r="Y468" s="49"/>
      <c r="Z468" s="49"/>
      <c r="AA468" s="49"/>
      <c r="AB468" s="49"/>
      <c r="AC468" s="49"/>
      <c r="AD468" s="49"/>
    </row>
    <row r="469" spans="1:30" ht="13">
      <c r="A469" s="141"/>
      <c r="B469" s="141"/>
      <c r="C469" s="141"/>
      <c r="D469" s="49"/>
      <c r="E469" s="49"/>
      <c r="F469" s="49"/>
      <c r="G469" s="49"/>
      <c r="H469" s="49"/>
      <c r="I469" s="49"/>
      <c r="J469" s="49"/>
      <c r="K469" s="49"/>
      <c r="L469" s="49"/>
      <c r="M469" s="49"/>
      <c r="N469" s="49"/>
      <c r="O469" s="49"/>
      <c r="P469" s="49"/>
      <c r="Q469" s="49"/>
      <c r="R469" s="49"/>
      <c r="S469" s="49"/>
      <c r="T469" s="49"/>
      <c r="U469" s="49"/>
      <c r="V469" s="49"/>
      <c r="W469" s="49"/>
      <c r="X469" s="49"/>
      <c r="Y469" s="49"/>
      <c r="Z469" s="49"/>
      <c r="AA469" s="49"/>
      <c r="AB469" s="49"/>
      <c r="AC469" s="49"/>
      <c r="AD469" s="49"/>
    </row>
    <row r="470" spans="1:30" ht="13">
      <c r="A470" s="141"/>
      <c r="B470" s="141"/>
      <c r="C470" s="141"/>
      <c r="D470" s="49"/>
      <c r="E470" s="49"/>
      <c r="F470" s="49"/>
      <c r="G470" s="49"/>
      <c r="H470" s="49"/>
      <c r="I470" s="49"/>
      <c r="J470" s="49"/>
      <c r="K470" s="49"/>
      <c r="L470" s="49"/>
      <c r="M470" s="49"/>
      <c r="N470" s="49"/>
      <c r="O470" s="49"/>
      <c r="P470" s="49"/>
      <c r="Q470" s="49"/>
      <c r="R470" s="49"/>
      <c r="S470" s="49"/>
      <c r="T470" s="49"/>
      <c r="U470" s="49"/>
      <c r="V470" s="49"/>
      <c r="W470" s="49"/>
      <c r="X470" s="49"/>
      <c r="Y470" s="49"/>
      <c r="Z470" s="49"/>
      <c r="AA470" s="49"/>
      <c r="AB470" s="49"/>
      <c r="AC470" s="49"/>
      <c r="AD470" s="49"/>
    </row>
    <row r="471" spans="1:30" ht="13">
      <c r="A471" s="141"/>
      <c r="B471" s="141"/>
      <c r="C471" s="141"/>
      <c r="D471" s="49"/>
      <c r="E471" s="49"/>
      <c r="F471" s="49"/>
      <c r="G471" s="49"/>
      <c r="H471" s="49"/>
      <c r="I471" s="49"/>
      <c r="J471" s="49"/>
      <c r="K471" s="49"/>
      <c r="L471" s="49"/>
      <c r="M471" s="49"/>
      <c r="N471" s="49"/>
      <c r="O471" s="49"/>
      <c r="P471" s="49"/>
      <c r="Q471" s="49"/>
      <c r="R471" s="49"/>
      <c r="S471" s="49"/>
      <c r="T471" s="49"/>
      <c r="U471" s="49"/>
      <c r="V471" s="49"/>
      <c r="W471" s="49"/>
      <c r="X471" s="49"/>
      <c r="Y471" s="49"/>
      <c r="Z471" s="49"/>
      <c r="AA471" s="49"/>
      <c r="AB471" s="49"/>
      <c r="AC471" s="49"/>
      <c r="AD471" s="49"/>
    </row>
    <row r="472" spans="1:30" ht="13">
      <c r="A472" s="141"/>
      <c r="B472" s="141"/>
      <c r="C472" s="141"/>
      <c r="D472" s="49"/>
      <c r="E472" s="49"/>
      <c r="F472" s="49"/>
      <c r="G472" s="49"/>
      <c r="H472" s="49"/>
      <c r="I472" s="49"/>
      <c r="J472" s="49"/>
      <c r="K472" s="49"/>
      <c r="L472" s="49"/>
      <c r="M472" s="49"/>
      <c r="N472" s="49"/>
      <c r="O472" s="49"/>
      <c r="P472" s="49"/>
      <c r="Q472" s="49"/>
      <c r="R472" s="49"/>
      <c r="S472" s="49"/>
      <c r="T472" s="49"/>
      <c r="U472" s="49"/>
      <c r="V472" s="49"/>
      <c r="W472" s="49"/>
      <c r="X472" s="49"/>
      <c r="Y472" s="49"/>
      <c r="Z472" s="49"/>
      <c r="AA472" s="49"/>
      <c r="AB472" s="49"/>
      <c r="AC472" s="49"/>
      <c r="AD472" s="49"/>
    </row>
    <row r="473" spans="1:30" ht="13">
      <c r="A473" s="141"/>
      <c r="B473" s="141"/>
      <c r="C473" s="141"/>
      <c r="D473" s="49"/>
      <c r="E473" s="49"/>
      <c r="F473" s="49"/>
      <c r="G473" s="49"/>
      <c r="H473" s="49"/>
      <c r="I473" s="49"/>
      <c r="J473" s="49"/>
      <c r="K473" s="49"/>
      <c r="L473" s="49"/>
      <c r="M473" s="49"/>
      <c r="N473" s="49"/>
      <c r="O473" s="49"/>
      <c r="P473" s="49"/>
      <c r="Q473" s="49"/>
      <c r="R473" s="49"/>
      <c r="S473" s="49"/>
      <c r="T473" s="49"/>
      <c r="U473" s="49"/>
      <c r="V473" s="49"/>
      <c r="W473" s="49"/>
      <c r="X473" s="49"/>
      <c r="Y473" s="49"/>
      <c r="Z473" s="49"/>
      <c r="AA473" s="49"/>
      <c r="AB473" s="49"/>
      <c r="AC473" s="49"/>
      <c r="AD473" s="49"/>
    </row>
    <row r="474" spans="1:30" ht="13">
      <c r="A474" s="141"/>
      <c r="B474" s="141"/>
      <c r="C474" s="141"/>
      <c r="D474" s="49"/>
      <c r="E474" s="49"/>
      <c r="F474" s="49"/>
      <c r="G474" s="49"/>
      <c r="H474" s="49"/>
      <c r="I474" s="49"/>
      <c r="J474" s="49"/>
      <c r="K474" s="49"/>
      <c r="L474" s="49"/>
      <c r="M474" s="49"/>
      <c r="N474" s="49"/>
      <c r="O474" s="49"/>
      <c r="P474" s="49"/>
      <c r="Q474" s="49"/>
      <c r="R474" s="49"/>
      <c r="S474" s="49"/>
      <c r="T474" s="49"/>
      <c r="U474" s="49"/>
      <c r="V474" s="49"/>
      <c r="W474" s="49"/>
      <c r="X474" s="49"/>
      <c r="Y474" s="49"/>
      <c r="Z474" s="49"/>
      <c r="AA474" s="49"/>
      <c r="AB474" s="49"/>
      <c r="AC474" s="49"/>
      <c r="AD474" s="49"/>
    </row>
    <row r="475" spans="1:30" ht="13">
      <c r="A475" s="141"/>
      <c r="B475" s="141"/>
      <c r="C475" s="141"/>
      <c r="D475" s="49"/>
      <c r="E475" s="49"/>
      <c r="F475" s="49"/>
      <c r="G475" s="49"/>
      <c r="H475" s="49"/>
      <c r="I475" s="49"/>
      <c r="J475" s="49"/>
      <c r="K475" s="49"/>
      <c r="L475" s="49"/>
      <c r="M475" s="49"/>
      <c r="N475" s="49"/>
      <c r="O475" s="49"/>
      <c r="P475" s="49"/>
      <c r="Q475" s="49"/>
      <c r="R475" s="49"/>
      <c r="S475" s="49"/>
      <c r="T475" s="49"/>
      <c r="U475" s="49"/>
      <c r="V475" s="49"/>
      <c r="W475" s="49"/>
      <c r="X475" s="49"/>
      <c r="Y475" s="49"/>
      <c r="Z475" s="49"/>
      <c r="AA475" s="49"/>
      <c r="AB475" s="49"/>
      <c r="AC475" s="49"/>
      <c r="AD475" s="49"/>
    </row>
    <row r="476" spans="1:30" ht="13">
      <c r="A476" s="141"/>
      <c r="B476" s="141"/>
      <c r="C476" s="141"/>
      <c r="D476" s="49"/>
      <c r="E476" s="49"/>
      <c r="F476" s="49"/>
      <c r="G476" s="49"/>
      <c r="H476" s="49"/>
      <c r="I476" s="49"/>
      <c r="J476" s="49"/>
      <c r="K476" s="49"/>
      <c r="L476" s="49"/>
      <c r="M476" s="49"/>
      <c r="N476" s="49"/>
      <c r="O476" s="49"/>
      <c r="P476" s="49"/>
      <c r="Q476" s="49"/>
      <c r="R476" s="49"/>
      <c r="S476" s="49"/>
      <c r="T476" s="49"/>
      <c r="U476" s="49"/>
      <c r="V476" s="49"/>
      <c r="W476" s="49"/>
      <c r="X476" s="49"/>
      <c r="Y476" s="49"/>
      <c r="Z476" s="49"/>
      <c r="AA476" s="49"/>
      <c r="AB476" s="49"/>
      <c r="AC476" s="49"/>
      <c r="AD476" s="49"/>
    </row>
    <row r="477" spans="1:30" ht="13">
      <c r="A477" s="141"/>
      <c r="B477" s="141"/>
      <c r="C477" s="141"/>
      <c r="D477" s="49"/>
      <c r="E477" s="49"/>
      <c r="F477" s="49"/>
      <c r="G477" s="49"/>
      <c r="H477" s="49"/>
      <c r="I477" s="49"/>
      <c r="J477" s="49"/>
      <c r="K477" s="49"/>
      <c r="L477" s="49"/>
      <c r="M477" s="49"/>
      <c r="N477" s="49"/>
      <c r="O477" s="49"/>
      <c r="P477" s="49"/>
      <c r="Q477" s="49"/>
      <c r="R477" s="49"/>
      <c r="S477" s="49"/>
      <c r="T477" s="49"/>
      <c r="U477" s="49"/>
      <c r="V477" s="49"/>
      <c r="W477" s="49"/>
      <c r="X477" s="49"/>
      <c r="Y477" s="49"/>
      <c r="Z477" s="49"/>
      <c r="AA477" s="49"/>
      <c r="AB477" s="49"/>
      <c r="AC477" s="49"/>
      <c r="AD477" s="49"/>
    </row>
    <row r="478" spans="1:30" ht="13">
      <c r="A478" s="141"/>
      <c r="B478" s="141"/>
      <c r="C478" s="141"/>
      <c r="D478" s="49"/>
      <c r="E478" s="49"/>
      <c r="F478" s="49"/>
      <c r="G478" s="49"/>
      <c r="H478" s="49"/>
      <c r="I478" s="49"/>
      <c r="J478" s="49"/>
      <c r="K478" s="49"/>
      <c r="L478" s="49"/>
      <c r="M478" s="49"/>
      <c r="N478" s="49"/>
      <c r="O478" s="49"/>
      <c r="P478" s="49"/>
      <c r="Q478" s="49"/>
      <c r="R478" s="49"/>
      <c r="S478" s="49"/>
      <c r="T478" s="49"/>
      <c r="U478" s="49"/>
      <c r="V478" s="49"/>
      <c r="W478" s="49"/>
      <c r="X478" s="49"/>
      <c r="Y478" s="49"/>
      <c r="Z478" s="49"/>
      <c r="AA478" s="49"/>
      <c r="AB478" s="49"/>
      <c r="AC478" s="49"/>
      <c r="AD478" s="49"/>
    </row>
    <row r="479" spans="1:30" ht="13">
      <c r="A479" s="141"/>
      <c r="B479" s="141"/>
      <c r="C479" s="141"/>
      <c r="D479" s="49"/>
      <c r="E479" s="49"/>
      <c r="F479" s="49"/>
      <c r="G479" s="49"/>
      <c r="H479" s="49"/>
      <c r="I479" s="49"/>
      <c r="J479" s="49"/>
      <c r="K479" s="49"/>
      <c r="L479" s="49"/>
      <c r="M479" s="49"/>
      <c r="N479" s="49"/>
      <c r="O479" s="49"/>
      <c r="P479" s="49"/>
      <c r="Q479" s="49"/>
      <c r="R479" s="49"/>
      <c r="S479" s="49"/>
      <c r="T479" s="49"/>
      <c r="U479" s="49"/>
      <c r="V479" s="49"/>
      <c r="W479" s="49"/>
      <c r="X479" s="49"/>
      <c r="Y479" s="49"/>
      <c r="Z479" s="49"/>
      <c r="AA479" s="49"/>
      <c r="AB479" s="49"/>
      <c r="AC479" s="49"/>
      <c r="AD479" s="49"/>
    </row>
    <row r="480" spans="1:30" ht="13">
      <c r="A480" s="141"/>
      <c r="B480" s="141"/>
      <c r="C480" s="141"/>
      <c r="D480" s="49"/>
      <c r="E480" s="49"/>
      <c r="F480" s="49"/>
      <c r="G480" s="49"/>
      <c r="H480" s="49"/>
      <c r="I480" s="49"/>
      <c r="J480" s="49"/>
      <c r="K480" s="49"/>
      <c r="L480" s="49"/>
      <c r="M480" s="49"/>
      <c r="N480" s="49"/>
      <c r="O480" s="49"/>
      <c r="P480" s="49"/>
      <c r="Q480" s="49"/>
      <c r="R480" s="49"/>
      <c r="S480" s="49"/>
      <c r="T480" s="49"/>
      <c r="U480" s="49"/>
      <c r="V480" s="49"/>
      <c r="W480" s="49"/>
      <c r="X480" s="49"/>
      <c r="Y480" s="49"/>
      <c r="Z480" s="49"/>
      <c r="AA480" s="49"/>
      <c r="AB480" s="49"/>
      <c r="AC480" s="49"/>
      <c r="AD480" s="49"/>
    </row>
    <row r="481" spans="1:30" ht="13">
      <c r="A481" s="141"/>
      <c r="B481" s="141"/>
      <c r="C481" s="141"/>
      <c r="D481" s="49"/>
      <c r="E481" s="49"/>
      <c r="F481" s="49"/>
      <c r="G481" s="49"/>
      <c r="H481" s="49"/>
      <c r="I481" s="49"/>
      <c r="J481" s="49"/>
      <c r="K481" s="49"/>
      <c r="L481" s="49"/>
      <c r="M481" s="49"/>
      <c r="N481" s="49"/>
      <c r="O481" s="49"/>
      <c r="P481" s="49"/>
      <c r="Q481" s="49"/>
      <c r="R481" s="49"/>
      <c r="S481" s="49"/>
      <c r="T481" s="49"/>
      <c r="U481" s="49"/>
      <c r="V481" s="49"/>
      <c r="W481" s="49"/>
      <c r="X481" s="49"/>
      <c r="Y481" s="49"/>
      <c r="Z481" s="49"/>
      <c r="AA481" s="49"/>
      <c r="AB481" s="49"/>
      <c r="AC481" s="49"/>
      <c r="AD481" s="49"/>
    </row>
    <row r="482" spans="1:30" ht="13">
      <c r="A482" s="141"/>
      <c r="B482" s="141"/>
      <c r="C482" s="141"/>
      <c r="D482" s="49"/>
      <c r="E482" s="49"/>
      <c r="F482" s="49"/>
      <c r="G482" s="49"/>
      <c r="H482" s="49"/>
      <c r="I482" s="49"/>
      <c r="J482" s="49"/>
      <c r="K482" s="49"/>
      <c r="L482" s="49"/>
      <c r="M482" s="49"/>
      <c r="N482" s="49"/>
      <c r="O482" s="49"/>
      <c r="P482" s="49"/>
      <c r="Q482" s="49"/>
      <c r="R482" s="49"/>
      <c r="S482" s="49"/>
      <c r="T482" s="49"/>
      <c r="U482" s="49"/>
      <c r="V482" s="49"/>
      <c r="W482" s="49"/>
      <c r="X482" s="49"/>
      <c r="Y482" s="49"/>
      <c r="Z482" s="49"/>
      <c r="AA482" s="49"/>
      <c r="AB482" s="49"/>
      <c r="AC482" s="49"/>
      <c r="AD482" s="49"/>
    </row>
    <row r="483" spans="1:30" ht="13">
      <c r="A483" s="141"/>
      <c r="B483" s="141"/>
      <c r="C483" s="141"/>
      <c r="D483" s="49"/>
      <c r="E483" s="49"/>
      <c r="F483" s="49"/>
      <c r="G483" s="49"/>
      <c r="H483" s="49"/>
      <c r="I483" s="49"/>
      <c r="J483" s="49"/>
      <c r="K483" s="49"/>
      <c r="L483" s="49"/>
      <c r="M483" s="49"/>
      <c r="N483" s="49"/>
      <c r="O483" s="49"/>
      <c r="P483" s="49"/>
      <c r="Q483" s="49"/>
      <c r="R483" s="49"/>
      <c r="S483" s="49"/>
      <c r="T483" s="49"/>
      <c r="U483" s="49"/>
      <c r="V483" s="49"/>
      <c r="W483" s="49"/>
      <c r="X483" s="49"/>
      <c r="Y483" s="49"/>
      <c r="Z483" s="49"/>
      <c r="AA483" s="49"/>
      <c r="AB483" s="49"/>
      <c r="AC483" s="49"/>
      <c r="AD483" s="49"/>
    </row>
    <row r="484" spans="1:30" ht="13">
      <c r="A484" s="141"/>
      <c r="B484" s="141"/>
      <c r="C484" s="141"/>
      <c r="D484" s="49"/>
      <c r="E484" s="49"/>
      <c r="F484" s="49"/>
      <c r="G484" s="49"/>
      <c r="H484" s="49"/>
      <c r="I484" s="49"/>
      <c r="J484" s="49"/>
      <c r="K484" s="49"/>
      <c r="L484" s="49"/>
      <c r="M484" s="49"/>
      <c r="N484" s="49"/>
      <c r="O484" s="49"/>
      <c r="P484" s="49"/>
      <c r="Q484" s="49"/>
      <c r="R484" s="49"/>
      <c r="S484" s="49"/>
      <c r="T484" s="49"/>
      <c r="U484" s="49"/>
      <c r="V484" s="49"/>
      <c r="W484" s="49"/>
      <c r="X484" s="49"/>
      <c r="Y484" s="49"/>
      <c r="Z484" s="49"/>
      <c r="AA484" s="49"/>
      <c r="AB484" s="49"/>
      <c r="AC484" s="49"/>
      <c r="AD484" s="49"/>
    </row>
    <row r="485" spans="1:30" ht="13">
      <c r="A485" s="141"/>
      <c r="B485" s="141"/>
      <c r="C485" s="141"/>
      <c r="D485" s="49"/>
      <c r="E485" s="49"/>
      <c r="F485" s="49"/>
      <c r="G485" s="49"/>
      <c r="H485" s="49"/>
      <c r="I485" s="49"/>
      <c r="J485" s="49"/>
      <c r="K485" s="49"/>
      <c r="L485" s="49"/>
      <c r="M485" s="49"/>
      <c r="N485" s="49"/>
      <c r="O485" s="49"/>
      <c r="P485" s="49"/>
      <c r="Q485" s="49"/>
      <c r="R485" s="49"/>
      <c r="S485" s="49"/>
      <c r="T485" s="49"/>
      <c r="U485" s="49"/>
      <c r="V485" s="49"/>
      <c r="W485" s="49"/>
      <c r="X485" s="49"/>
      <c r="Y485" s="49"/>
      <c r="Z485" s="49"/>
      <c r="AA485" s="49"/>
      <c r="AB485" s="49"/>
      <c r="AC485" s="49"/>
      <c r="AD485" s="49"/>
    </row>
    <row r="486" spans="1:30" ht="13">
      <c r="A486" s="141"/>
      <c r="B486" s="141"/>
      <c r="C486" s="141"/>
      <c r="D486" s="49"/>
      <c r="E486" s="49"/>
      <c r="F486" s="49"/>
      <c r="G486" s="49"/>
      <c r="H486" s="49"/>
      <c r="I486" s="49"/>
      <c r="J486" s="49"/>
      <c r="K486" s="49"/>
      <c r="L486" s="49"/>
      <c r="M486" s="49"/>
      <c r="N486" s="49"/>
      <c r="O486" s="49"/>
      <c r="P486" s="49"/>
      <c r="Q486" s="49"/>
      <c r="R486" s="49"/>
      <c r="S486" s="49"/>
      <c r="T486" s="49"/>
      <c r="U486" s="49"/>
      <c r="V486" s="49"/>
      <c r="W486" s="49"/>
      <c r="X486" s="49"/>
      <c r="Y486" s="49"/>
      <c r="Z486" s="49"/>
      <c r="AA486" s="49"/>
      <c r="AB486" s="49"/>
      <c r="AC486" s="49"/>
      <c r="AD486" s="49"/>
    </row>
    <row r="487" spans="1:30" ht="13">
      <c r="A487" s="141"/>
      <c r="B487" s="141"/>
      <c r="C487" s="141"/>
      <c r="D487" s="49"/>
      <c r="E487" s="49"/>
      <c r="F487" s="49"/>
      <c r="G487" s="49"/>
      <c r="H487" s="49"/>
      <c r="I487" s="49"/>
      <c r="J487" s="49"/>
      <c r="K487" s="49"/>
      <c r="L487" s="49"/>
      <c r="M487" s="49"/>
      <c r="N487" s="49"/>
      <c r="O487" s="49"/>
      <c r="P487" s="49"/>
      <c r="Q487" s="49"/>
      <c r="R487" s="49"/>
      <c r="S487" s="49"/>
      <c r="T487" s="49"/>
      <c r="U487" s="49"/>
      <c r="V487" s="49"/>
      <c r="W487" s="49"/>
      <c r="X487" s="49"/>
      <c r="Y487" s="49"/>
      <c r="Z487" s="49"/>
      <c r="AA487" s="49"/>
      <c r="AB487" s="49"/>
      <c r="AC487" s="49"/>
      <c r="AD487" s="49"/>
    </row>
    <row r="488" spans="1:30" ht="13">
      <c r="A488" s="141"/>
      <c r="B488" s="141"/>
      <c r="C488" s="141"/>
      <c r="D488" s="49"/>
      <c r="E488" s="49"/>
      <c r="F488" s="49"/>
      <c r="G488" s="49"/>
      <c r="H488" s="49"/>
      <c r="I488" s="49"/>
      <c r="J488" s="49"/>
      <c r="K488" s="49"/>
      <c r="L488" s="49"/>
      <c r="M488" s="49"/>
      <c r="N488" s="49"/>
      <c r="O488" s="49"/>
      <c r="P488" s="49"/>
      <c r="Q488" s="49"/>
      <c r="R488" s="49"/>
      <c r="S488" s="49"/>
      <c r="T488" s="49"/>
      <c r="U488" s="49"/>
      <c r="V488" s="49"/>
      <c r="W488" s="49"/>
      <c r="X488" s="49"/>
      <c r="Y488" s="49"/>
      <c r="Z488" s="49"/>
      <c r="AA488" s="49"/>
      <c r="AB488" s="49"/>
      <c r="AC488" s="49"/>
      <c r="AD488" s="49"/>
    </row>
    <row r="489" spans="1:30" ht="13">
      <c r="A489" s="141"/>
      <c r="B489" s="141"/>
      <c r="C489" s="141"/>
      <c r="D489" s="49"/>
      <c r="E489" s="49"/>
      <c r="F489" s="49"/>
      <c r="G489" s="49"/>
      <c r="H489" s="49"/>
      <c r="I489" s="49"/>
      <c r="J489" s="49"/>
      <c r="K489" s="49"/>
      <c r="L489" s="49"/>
      <c r="M489" s="49"/>
      <c r="N489" s="49"/>
      <c r="O489" s="49"/>
      <c r="P489" s="49"/>
      <c r="Q489" s="49"/>
      <c r="R489" s="49"/>
      <c r="S489" s="49"/>
      <c r="T489" s="49"/>
      <c r="U489" s="49"/>
      <c r="V489" s="49"/>
      <c r="W489" s="49"/>
      <c r="X489" s="49"/>
      <c r="Y489" s="49"/>
      <c r="Z489" s="49"/>
      <c r="AA489" s="49"/>
      <c r="AB489" s="49"/>
      <c r="AC489" s="49"/>
      <c r="AD489" s="49"/>
    </row>
    <row r="490" spans="1:30" ht="13">
      <c r="A490" s="141"/>
      <c r="B490" s="141"/>
      <c r="C490" s="141"/>
      <c r="D490" s="49"/>
      <c r="E490" s="49"/>
      <c r="F490" s="49"/>
      <c r="G490" s="49"/>
      <c r="H490" s="49"/>
      <c r="I490" s="49"/>
      <c r="J490" s="49"/>
      <c r="K490" s="49"/>
      <c r="L490" s="49"/>
      <c r="M490" s="49"/>
      <c r="N490" s="49"/>
      <c r="O490" s="49"/>
      <c r="P490" s="49"/>
      <c r="Q490" s="49"/>
      <c r="R490" s="49"/>
      <c r="S490" s="49"/>
      <c r="T490" s="49"/>
      <c r="U490" s="49"/>
      <c r="V490" s="49"/>
      <c r="W490" s="49"/>
      <c r="X490" s="49"/>
      <c r="Y490" s="49"/>
      <c r="Z490" s="49"/>
      <c r="AA490" s="49"/>
      <c r="AB490" s="49"/>
      <c r="AC490" s="49"/>
      <c r="AD490" s="49"/>
    </row>
    <row r="491" spans="1:30" ht="13">
      <c r="A491" s="141"/>
      <c r="B491" s="141"/>
      <c r="C491" s="141"/>
      <c r="D491" s="49"/>
      <c r="E491" s="49"/>
      <c r="F491" s="49"/>
      <c r="G491" s="49"/>
      <c r="H491" s="49"/>
      <c r="I491" s="49"/>
      <c r="J491" s="49"/>
      <c r="K491" s="49"/>
      <c r="L491" s="49"/>
      <c r="M491" s="49"/>
      <c r="N491" s="49"/>
      <c r="O491" s="49"/>
      <c r="P491" s="49"/>
      <c r="Q491" s="49"/>
      <c r="R491" s="49"/>
      <c r="S491" s="49"/>
      <c r="T491" s="49"/>
      <c r="U491" s="49"/>
      <c r="V491" s="49"/>
      <c r="W491" s="49"/>
      <c r="X491" s="49"/>
      <c r="Y491" s="49"/>
      <c r="Z491" s="49"/>
      <c r="AA491" s="49"/>
      <c r="AB491" s="49"/>
      <c r="AC491" s="49"/>
      <c r="AD491" s="49"/>
    </row>
    <row r="492" spans="1:30" ht="13">
      <c r="A492" s="141"/>
      <c r="B492" s="141"/>
      <c r="C492" s="141"/>
      <c r="D492" s="49"/>
      <c r="E492" s="49"/>
      <c r="F492" s="49"/>
      <c r="G492" s="49"/>
      <c r="H492" s="49"/>
      <c r="I492" s="49"/>
      <c r="J492" s="49"/>
      <c r="K492" s="49"/>
      <c r="L492" s="49"/>
      <c r="M492" s="49"/>
      <c r="N492" s="49"/>
      <c r="O492" s="49"/>
      <c r="P492" s="49"/>
      <c r="Q492" s="49"/>
      <c r="R492" s="49"/>
      <c r="S492" s="49"/>
      <c r="T492" s="49"/>
      <c r="U492" s="49"/>
      <c r="V492" s="49"/>
      <c r="W492" s="49"/>
      <c r="X492" s="49"/>
      <c r="Y492" s="49"/>
      <c r="Z492" s="49"/>
      <c r="AA492" s="49"/>
      <c r="AB492" s="49"/>
      <c r="AC492" s="49"/>
      <c r="AD492" s="49"/>
    </row>
    <row r="493" spans="1:30" ht="13">
      <c r="A493" s="141"/>
      <c r="B493" s="141"/>
      <c r="C493" s="141"/>
      <c r="D493" s="49"/>
      <c r="E493" s="49"/>
      <c r="F493" s="49"/>
      <c r="G493" s="49"/>
      <c r="H493" s="49"/>
      <c r="I493" s="49"/>
      <c r="J493" s="49"/>
      <c r="K493" s="49"/>
      <c r="L493" s="49"/>
      <c r="M493" s="49"/>
      <c r="N493" s="49"/>
      <c r="O493" s="49"/>
      <c r="P493" s="49"/>
      <c r="Q493" s="49"/>
      <c r="R493" s="49"/>
      <c r="S493" s="49"/>
      <c r="T493" s="49"/>
      <c r="U493" s="49"/>
      <c r="V493" s="49"/>
      <c r="W493" s="49"/>
      <c r="X493" s="49"/>
      <c r="Y493" s="49"/>
      <c r="Z493" s="49"/>
      <c r="AA493" s="49"/>
      <c r="AB493" s="49"/>
      <c r="AC493" s="49"/>
      <c r="AD493" s="49"/>
    </row>
    <row r="494" spans="1:30" ht="13">
      <c r="A494" s="141"/>
      <c r="B494" s="141"/>
      <c r="C494" s="141"/>
      <c r="D494" s="49"/>
      <c r="E494" s="49"/>
      <c r="F494" s="49"/>
      <c r="G494" s="49"/>
      <c r="H494" s="49"/>
      <c r="I494" s="49"/>
      <c r="J494" s="49"/>
      <c r="K494" s="49"/>
      <c r="L494" s="49"/>
      <c r="M494" s="49"/>
      <c r="N494" s="49"/>
      <c r="O494" s="49"/>
      <c r="P494" s="49"/>
      <c r="Q494" s="49"/>
      <c r="R494" s="49"/>
      <c r="S494" s="49"/>
      <c r="T494" s="49"/>
      <c r="U494" s="49"/>
      <c r="V494" s="49"/>
      <c r="W494" s="49"/>
      <c r="X494" s="49"/>
      <c r="Y494" s="49"/>
      <c r="Z494" s="49"/>
      <c r="AA494" s="49"/>
      <c r="AB494" s="49"/>
      <c r="AC494" s="49"/>
      <c r="AD494" s="49"/>
    </row>
    <row r="495" spans="1:30" ht="13">
      <c r="A495" s="141"/>
      <c r="B495" s="141"/>
      <c r="C495" s="141"/>
      <c r="D495" s="49"/>
      <c r="E495" s="49"/>
      <c r="F495" s="49"/>
      <c r="G495" s="49"/>
      <c r="H495" s="49"/>
      <c r="I495" s="49"/>
      <c r="J495" s="49"/>
      <c r="K495" s="49"/>
      <c r="L495" s="49"/>
      <c r="M495" s="49"/>
      <c r="N495" s="49"/>
      <c r="O495" s="49"/>
      <c r="P495" s="49"/>
      <c r="Q495" s="49"/>
      <c r="R495" s="49"/>
      <c r="S495" s="49"/>
      <c r="T495" s="49"/>
      <c r="U495" s="49"/>
      <c r="V495" s="49"/>
      <c r="W495" s="49"/>
      <c r="X495" s="49"/>
      <c r="Y495" s="49"/>
      <c r="Z495" s="49"/>
      <c r="AA495" s="49"/>
      <c r="AB495" s="49"/>
      <c r="AC495" s="49"/>
      <c r="AD495" s="49"/>
    </row>
    <row r="496" spans="1:30" ht="13">
      <c r="A496" s="141"/>
      <c r="B496" s="141"/>
      <c r="C496" s="141"/>
      <c r="D496" s="49"/>
      <c r="E496" s="49"/>
      <c r="F496" s="49"/>
      <c r="G496" s="49"/>
      <c r="H496" s="49"/>
      <c r="I496" s="49"/>
      <c r="J496" s="49"/>
      <c r="K496" s="49"/>
      <c r="L496" s="49"/>
      <c r="M496" s="49"/>
      <c r="N496" s="49"/>
      <c r="O496" s="49"/>
      <c r="P496" s="49"/>
      <c r="Q496" s="49"/>
      <c r="R496" s="49"/>
      <c r="S496" s="49"/>
      <c r="T496" s="49"/>
      <c r="U496" s="49"/>
      <c r="V496" s="49"/>
      <c r="W496" s="49"/>
      <c r="X496" s="49"/>
      <c r="Y496" s="49"/>
      <c r="Z496" s="49"/>
      <c r="AA496" s="49"/>
      <c r="AB496" s="49"/>
      <c r="AC496" s="49"/>
      <c r="AD496" s="49"/>
    </row>
    <row r="497" spans="1:30" ht="13">
      <c r="A497" s="141"/>
      <c r="B497" s="141"/>
      <c r="C497" s="141"/>
      <c r="D497" s="49"/>
      <c r="E497" s="49"/>
      <c r="F497" s="49"/>
      <c r="G497" s="49"/>
      <c r="H497" s="49"/>
      <c r="I497" s="49"/>
      <c r="J497" s="49"/>
      <c r="K497" s="49"/>
      <c r="L497" s="49"/>
      <c r="M497" s="49"/>
      <c r="N497" s="49"/>
      <c r="O497" s="49"/>
      <c r="P497" s="49"/>
      <c r="Q497" s="49"/>
      <c r="R497" s="49"/>
      <c r="S497" s="49"/>
      <c r="T497" s="49"/>
      <c r="U497" s="49"/>
      <c r="V497" s="49"/>
      <c r="W497" s="49"/>
      <c r="X497" s="49"/>
      <c r="Y497" s="49"/>
      <c r="Z497" s="49"/>
      <c r="AA497" s="49"/>
      <c r="AB497" s="49"/>
      <c r="AC497" s="49"/>
      <c r="AD497" s="49"/>
    </row>
    <row r="498" spans="1:30" ht="13">
      <c r="A498" s="141"/>
      <c r="B498" s="141"/>
      <c r="C498" s="141"/>
      <c r="D498" s="49"/>
      <c r="E498" s="49"/>
      <c r="F498" s="49"/>
      <c r="G498" s="49"/>
      <c r="H498" s="49"/>
      <c r="I498" s="49"/>
      <c r="J498" s="49"/>
      <c r="K498" s="49"/>
      <c r="L498" s="49"/>
      <c r="M498" s="49"/>
      <c r="N498" s="49"/>
      <c r="O498" s="49"/>
      <c r="P498" s="49"/>
      <c r="Q498" s="49"/>
      <c r="R498" s="49"/>
      <c r="S498" s="49"/>
      <c r="T498" s="49"/>
      <c r="U498" s="49"/>
      <c r="V498" s="49"/>
      <c r="W498" s="49"/>
      <c r="X498" s="49"/>
      <c r="Y498" s="49"/>
      <c r="Z498" s="49"/>
      <c r="AA498" s="49"/>
      <c r="AB498" s="49"/>
      <c r="AC498" s="49"/>
      <c r="AD498" s="49"/>
    </row>
    <row r="499" spans="1:30" ht="13">
      <c r="A499" s="141"/>
      <c r="B499" s="141"/>
      <c r="C499" s="141"/>
      <c r="D499" s="49"/>
      <c r="E499" s="49"/>
      <c r="F499" s="49"/>
      <c r="G499" s="49"/>
      <c r="H499" s="49"/>
      <c r="I499" s="49"/>
      <c r="J499" s="49"/>
      <c r="K499" s="49"/>
      <c r="L499" s="49"/>
      <c r="M499" s="49"/>
      <c r="N499" s="49"/>
      <c r="O499" s="49"/>
      <c r="P499" s="49"/>
      <c r="Q499" s="49"/>
      <c r="R499" s="49"/>
      <c r="S499" s="49"/>
      <c r="T499" s="49"/>
      <c r="U499" s="49"/>
      <c r="V499" s="49"/>
      <c r="W499" s="49"/>
      <c r="X499" s="49"/>
      <c r="Y499" s="49"/>
      <c r="Z499" s="49"/>
      <c r="AA499" s="49"/>
      <c r="AB499" s="49"/>
      <c r="AC499" s="49"/>
      <c r="AD499" s="49"/>
    </row>
    <row r="500" spans="1:30" ht="13">
      <c r="A500" s="141"/>
      <c r="B500" s="141"/>
      <c r="C500" s="141"/>
      <c r="D500" s="49"/>
      <c r="E500" s="49"/>
      <c r="F500" s="49"/>
      <c r="G500" s="49"/>
      <c r="H500" s="49"/>
      <c r="I500" s="49"/>
      <c r="J500" s="49"/>
      <c r="K500" s="49"/>
      <c r="L500" s="49"/>
      <c r="M500" s="49"/>
      <c r="N500" s="49"/>
      <c r="O500" s="49"/>
      <c r="P500" s="49"/>
      <c r="Q500" s="49"/>
      <c r="R500" s="49"/>
      <c r="S500" s="49"/>
      <c r="T500" s="49"/>
      <c r="U500" s="49"/>
      <c r="V500" s="49"/>
      <c r="W500" s="49"/>
      <c r="X500" s="49"/>
      <c r="Y500" s="49"/>
      <c r="Z500" s="49"/>
      <c r="AA500" s="49"/>
      <c r="AB500" s="49"/>
      <c r="AC500" s="49"/>
      <c r="AD500" s="49"/>
    </row>
    <row r="501" spans="1:30" ht="13">
      <c r="A501" s="141"/>
      <c r="B501" s="141"/>
      <c r="C501" s="141"/>
      <c r="D501" s="49"/>
      <c r="E501" s="49"/>
      <c r="F501" s="49"/>
      <c r="G501" s="49"/>
      <c r="H501" s="49"/>
      <c r="I501" s="49"/>
      <c r="J501" s="49"/>
      <c r="K501" s="49"/>
      <c r="L501" s="49"/>
      <c r="M501" s="49"/>
      <c r="N501" s="49"/>
      <c r="O501" s="49"/>
      <c r="P501" s="49"/>
      <c r="Q501" s="49"/>
      <c r="R501" s="49"/>
      <c r="S501" s="49"/>
      <c r="T501" s="49"/>
      <c r="U501" s="49"/>
      <c r="V501" s="49"/>
      <c r="W501" s="49"/>
      <c r="X501" s="49"/>
      <c r="Y501" s="49"/>
      <c r="Z501" s="49"/>
      <c r="AA501" s="49"/>
      <c r="AB501" s="49"/>
      <c r="AC501" s="49"/>
      <c r="AD501" s="49"/>
    </row>
    <row r="502" spans="1:30" ht="13">
      <c r="A502" s="141"/>
      <c r="B502" s="141"/>
      <c r="C502" s="141"/>
      <c r="D502" s="49"/>
      <c r="E502" s="49"/>
      <c r="F502" s="49"/>
      <c r="G502" s="49"/>
      <c r="H502" s="49"/>
      <c r="I502" s="49"/>
      <c r="J502" s="49"/>
      <c r="K502" s="49"/>
      <c r="L502" s="49"/>
      <c r="M502" s="49"/>
      <c r="N502" s="49"/>
      <c r="O502" s="49"/>
      <c r="P502" s="49"/>
      <c r="Q502" s="49"/>
      <c r="R502" s="49"/>
      <c r="S502" s="49"/>
      <c r="T502" s="49"/>
      <c r="U502" s="49"/>
      <c r="V502" s="49"/>
      <c r="W502" s="49"/>
      <c r="X502" s="49"/>
      <c r="Y502" s="49"/>
      <c r="Z502" s="49"/>
      <c r="AA502" s="49"/>
      <c r="AB502" s="49"/>
      <c r="AC502" s="49"/>
      <c r="AD502" s="49"/>
    </row>
    <row r="503" spans="1:30" ht="13">
      <c r="A503" s="141"/>
      <c r="B503" s="141"/>
      <c r="C503" s="141"/>
      <c r="D503" s="49"/>
      <c r="E503" s="49"/>
      <c r="F503" s="49"/>
      <c r="G503" s="49"/>
      <c r="H503" s="49"/>
      <c r="I503" s="49"/>
      <c r="J503" s="49"/>
      <c r="K503" s="49"/>
      <c r="L503" s="49"/>
      <c r="M503" s="49"/>
      <c r="N503" s="49"/>
      <c r="O503" s="49"/>
      <c r="P503" s="49"/>
      <c r="Q503" s="49"/>
      <c r="R503" s="49"/>
      <c r="S503" s="49"/>
      <c r="T503" s="49"/>
      <c r="U503" s="49"/>
      <c r="V503" s="49"/>
      <c r="W503" s="49"/>
      <c r="X503" s="49"/>
      <c r="Y503" s="49"/>
      <c r="Z503" s="49"/>
      <c r="AA503" s="49"/>
      <c r="AB503" s="49"/>
      <c r="AC503" s="49"/>
      <c r="AD503" s="49"/>
    </row>
    <row r="504" spans="1:30" ht="13">
      <c r="A504" s="141"/>
      <c r="B504" s="141"/>
      <c r="C504" s="141"/>
      <c r="D504" s="49"/>
      <c r="E504" s="49"/>
      <c r="F504" s="49"/>
      <c r="G504" s="49"/>
      <c r="H504" s="49"/>
      <c r="I504" s="49"/>
      <c r="J504" s="49"/>
      <c r="K504" s="49"/>
      <c r="L504" s="49"/>
      <c r="M504" s="49"/>
      <c r="N504" s="49"/>
      <c r="O504" s="49"/>
      <c r="P504" s="49"/>
      <c r="Q504" s="49"/>
      <c r="R504" s="49"/>
      <c r="S504" s="49"/>
      <c r="T504" s="49"/>
      <c r="U504" s="49"/>
      <c r="V504" s="49"/>
      <c r="W504" s="49"/>
      <c r="X504" s="49"/>
      <c r="Y504" s="49"/>
      <c r="Z504" s="49"/>
      <c r="AA504" s="49"/>
      <c r="AB504" s="49"/>
      <c r="AC504" s="49"/>
      <c r="AD504" s="49"/>
    </row>
    <row r="505" spans="1:30" ht="13">
      <c r="A505" s="141"/>
      <c r="B505" s="141"/>
      <c r="C505" s="141"/>
      <c r="D505" s="49"/>
      <c r="E505" s="49"/>
      <c r="F505" s="49"/>
      <c r="G505" s="49"/>
      <c r="H505" s="49"/>
      <c r="I505" s="49"/>
      <c r="J505" s="49"/>
      <c r="K505" s="49"/>
      <c r="L505" s="49"/>
      <c r="M505" s="49"/>
      <c r="N505" s="49"/>
      <c r="O505" s="49"/>
      <c r="P505" s="49"/>
      <c r="Q505" s="49"/>
      <c r="R505" s="49"/>
      <c r="S505" s="49"/>
      <c r="T505" s="49"/>
      <c r="U505" s="49"/>
      <c r="V505" s="49"/>
      <c r="W505" s="49"/>
      <c r="X505" s="49"/>
      <c r="Y505" s="49"/>
      <c r="Z505" s="49"/>
      <c r="AA505" s="49"/>
      <c r="AB505" s="49"/>
      <c r="AC505" s="49"/>
      <c r="AD505" s="49"/>
    </row>
    <row r="506" spans="1:30" ht="13">
      <c r="A506" s="141"/>
      <c r="B506" s="141"/>
      <c r="C506" s="141"/>
      <c r="D506" s="49"/>
      <c r="E506" s="49"/>
      <c r="F506" s="49"/>
      <c r="G506" s="49"/>
      <c r="H506" s="49"/>
      <c r="I506" s="49"/>
      <c r="J506" s="49"/>
      <c r="K506" s="49"/>
      <c r="L506" s="49"/>
      <c r="M506" s="49"/>
      <c r="N506" s="49"/>
      <c r="O506" s="49"/>
      <c r="P506" s="49"/>
      <c r="Q506" s="49"/>
      <c r="R506" s="49"/>
      <c r="S506" s="49"/>
      <c r="T506" s="49"/>
      <c r="U506" s="49"/>
      <c r="V506" s="49"/>
      <c r="W506" s="49"/>
      <c r="X506" s="49"/>
      <c r="Y506" s="49"/>
      <c r="Z506" s="49"/>
      <c r="AA506" s="49"/>
      <c r="AB506" s="49"/>
      <c r="AC506" s="49"/>
      <c r="AD506" s="49"/>
    </row>
    <row r="507" spans="1:30" ht="13">
      <c r="A507" s="141"/>
      <c r="B507" s="141"/>
      <c r="C507" s="141"/>
      <c r="D507" s="49"/>
      <c r="E507" s="49"/>
      <c r="F507" s="49"/>
      <c r="G507" s="49"/>
      <c r="H507" s="49"/>
      <c r="I507" s="49"/>
      <c r="J507" s="49"/>
      <c r="K507" s="49"/>
      <c r="L507" s="49"/>
      <c r="M507" s="49"/>
      <c r="N507" s="49"/>
      <c r="O507" s="49"/>
      <c r="P507" s="49"/>
      <c r="Q507" s="49"/>
      <c r="R507" s="49"/>
      <c r="S507" s="49"/>
      <c r="T507" s="49"/>
      <c r="U507" s="49"/>
      <c r="V507" s="49"/>
      <c r="W507" s="49"/>
      <c r="X507" s="49"/>
      <c r="Y507" s="49"/>
      <c r="Z507" s="49"/>
      <c r="AA507" s="49"/>
      <c r="AB507" s="49"/>
      <c r="AC507" s="49"/>
      <c r="AD507" s="49"/>
    </row>
    <row r="508" spans="1:30" ht="13">
      <c r="A508" s="141"/>
      <c r="B508" s="141"/>
      <c r="C508" s="141"/>
      <c r="D508" s="49"/>
      <c r="E508" s="49"/>
      <c r="F508" s="49"/>
      <c r="G508" s="49"/>
      <c r="H508" s="49"/>
      <c r="I508" s="49"/>
      <c r="J508" s="49"/>
      <c r="K508" s="49"/>
      <c r="L508" s="49"/>
      <c r="M508" s="49"/>
      <c r="N508" s="49"/>
      <c r="O508" s="49"/>
      <c r="P508" s="49"/>
      <c r="Q508" s="49"/>
      <c r="R508" s="49"/>
      <c r="S508" s="49"/>
      <c r="T508" s="49"/>
      <c r="U508" s="49"/>
      <c r="V508" s="49"/>
      <c r="W508" s="49"/>
      <c r="X508" s="49"/>
      <c r="Y508" s="49"/>
      <c r="Z508" s="49"/>
      <c r="AA508" s="49"/>
      <c r="AB508" s="49"/>
      <c r="AC508" s="49"/>
      <c r="AD508" s="49"/>
    </row>
    <row r="509" spans="1:30" ht="13">
      <c r="A509" s="141"/>
      <c r="B509" s="141"/>
      <c r="C509" s="141"/>
      <c r="D509" s="49"/>
      <c r="E509" s="49"/>
      <c r="F509" s="49"/>
      <c r="G509" s="49"/>
      <c r="H509" s="49"/>
      <c r="I509" s="49"/>
      <c r="J509" s="49"/>
      <c r="K509" s="49"/>
      <c r="L509" s="49"/>
      <c r="M509" s="49"/>
      <c r="N509" s="49"/>
      <c r="O509" s="49"/>
      <c r="P509" s="49"/>
      <c r="Q509" s="49"/>
      <c r="R509" s="49"/>
      <c r="S509" s="49"/>
      <c r="T509" s="49"/>
      <c r="U509" s="49"/>
      <c r="V509" s="49"/>
      <c r="W509" s="49"/>
      <c r="X509" s="49"/>
      <c r="Y509" s="49"/>
      <c r="Z509" s="49"/>
      <c r="AA509" s="49"/>
      <c r="AB509" s="49"/>
      <c r="AC509" s="49"/>
      <c r="AD509" s="49"/>
    </row>
    <row r="510" spans="1:30" ht="13">
      <c r="A510" s="141"/>
      <c r="B510" s="141"/>
      <c r="C510" s="141"/>
      <c r="D510" s="49"/>
      <c r="E510" s="49"/>
      <c r="F510" s="49"/>
      <c r="G510" s="49"/>
      <c r="H510" s="49"/>
      <c r="I510" s="49"/>
      <c r="J510" s="49"/>
      <c r="K510" s="49"/>
      <c r="L510" s="49"/>
      <c r="M510" s="49"/>
      <c r="N510" s="49"/>
      <c r="O510" s="49"/>
      <c r="P510" s="49"/>
      <c r="Q510" s="49"/>
      <c r="R510" s="49"/>
      <c r="S510" s="49"/>
      <c r="T510" s="49"/>
      <c r="U510" s="49"/>
      <c r="V510" s="49"/>
      <c r="W510" s="49"/>
      <c r="X510" s="49"/>
      <c r="Y510" s="49"/>
      <c r="Z510" s="49"/>
      <c r="AA510" s="49"/>
      <c r="AB510" s="49"/>
      <c r="AC510" s="49"/>
      <c r="AD510" s="49"/>
    </row>
    <row r="511" spans="1:30" ht="13">
      <c r="A511" s="141"/>
      <c r="B511" s="141"/>
      <c r="C511" s="141"/>
      <c r="D511" s="49"/>
      <c r="E511" s="49"/>
      <c r="F511" s="49"/>
      <c r="G511" s="49"/>
      <c r="H511" s="49"/>
      <c r="I511" s="49"/>
      <c r="J511" s="49"/>
      <c r="K511" s="49"/>
      <c r="L511" s="49"/>
      <c r="M511" s="49"/>
      <c r="N511" s="49"/>
      <c r="O511" s="49"/>
      <c r="P511" s="49"/>
      <c r="Q511" s="49"/>
      <c r="R511" s="49"/>
      <c r="S511" s="49"/>
      <c r="T511" s="49"/>
      <c r="U511" s="49"/>
      <c r="V511" s="49"/>
      <c r="W511" s="49"/>
      <c r="X511" s="49"/>
      <c r="Y511" s="49"/>
      <c r="Z511" s="49"/>
      <c r="AA511" s="49"/>
      <c r="AB511" s="49"/>
      <c r="AC511" s="49"/>
      <c r="AD511" s="49"/>
    </row>
    <row r="512" spans="1:30" ht="13">
      <c r="A512" s="141"/>
      <c r="B512" s="141"/>
      <c r="C512" s="141"/>
      <c r="D512" s="49"/>
      <c r="E512" s="49"/>
      <c r="F512" s="49"/>
      <c r="G512" s="49"/>
      <c r="H512" s="49"/>
      <c r="I512" s="49"/>
      <c r="J512" s="49"/>
      <c r="K512" s="49"/>
      <c r="L512" s="49"/>
      <c r="M512" s="49"/>
      <c r="N512" s="49"/>
      <c r="O512" s="49"/>
      <c r="P512" s="49"/>
      <c r="Q512" s="49"/>
      <c r="R512" s="49"/>
      <c r="S512" s="49"/>
      <c r="T512" s="49"/>
      <c r="U512" s="49"/>
      <c r="V512" s="49"/>
      <c r="W512" s="49"/>
      <c r="X512" s="49"/>
      <c r="Y512" s="49"/>
      <c r="Z512" s="49"/>
      <c r="AA512" s="49"/>
      <c r="AB512" s="49"/>
      <c r="AC512" s="49"/>
      <c r="AD512" s="49"/>
    </row>
    <row r="513" spans="1:30" ht="13">
      <c r="A513" s="141"/>
      <c r="B513" s="141"/>
      <c r="C513" s="141"/>
      <c r="D513" s="49"/>
      <c r="E513" s="49"/>
      <c r="F513" s="49"/>
      <c r="G513" s="49"/>
      <c r="H513" s="49"/>
      <c r="I513" s="49"/>
      <c r="J513" s="49"/>
      <c r="K513" s="49"/>
      <c r="L513" s="49"/>
      <c r="M513" s="49"/>
      <c r="N513" s="49"/>
      <c r="O513" s="49"/>
      <c r="P513" s="49"/>
      <c r="Q513" s="49"/>
      <c r="R513" s="49"/>
      <c r="S513" s="49"/>
      <c r="T513" s="49"/>
      <c r="U513" s="49"/>
      <c r="V513" s="49"/>
      <c r="W513" s="49"/>
      <c r="X513" s="49"/>
      <c r="Y513" s="49"/>
      <c r="Z513" s="49"/>
      <c r="AA513" s="49"/>
      <c r="AB513" s="49"/>
      <c r="AC513" s="49"/>
      <c r="AD513" s="49"/>
    </row>
    <row r="514" spans="1:30" ht="13">
      <c r="A514" s="141"/>
      <c r="B514" s="141"/>
      <c r="C514" s="141"/>
      <c r="D514" s="49"/>
      <c r="E514" s="49"/>
      <c r="F514" s="49"/>
      <c r="G514" s="49"/>
      <c r="H514" s="49"/>
      <c r="I514" s="49"/>
      <c r="J514" s="49"/>
      <c r="K514" s="49"/>
      <c r="L514" s="49"/>
      <c r="M514" s="49"/>
      <c r="N514" s="49"/>
      <c r="O514" s="49"/>
      <c r="P514" s="49"/>
      <c r="Q514" s="49"/>
      <c r="R514" s="49"/>
      <c r="S514" s="49"/>
      <c r="T514" s="49"/>
      <c r="U514" s="49"/>
      <c r="V514" s="49"/>
      <c r="W514" s="49"/>
      <c r="X514" s="49"/>
      <c r="Y514" s="49"/>
      <c r="Z514" s="49"/>
      <c r="AA514" s="49"/>
      <c r="AB514" s="49"/>
      <c r="AC514" s="49"/>
      <c r="AD514" s="49"/>
    </row>
    <row r="515" spans="1:30" ht="13">
      <c r="A515" s="141"/>
      <c r="B515" s="141"/>
      <c r="C515" s="141"/>
      <c r="D515" s="49"/>
      <c r="E515" s="49"/>
      <c r="F515" s="49"/>
      <c r="G515" s="49"/>
      <c r="H515" s="49"/>
      <c r="I515" s="49"/>
      <c r="J515" s="49"/>
      <c r="K515" s="49"/>
      <c r="L515" s="49"/>
      <c r="M515" s="49"/>
      <c r="N515" s="49"/>
      <c r="O515" s="49"/>
      <c r="P515" s="49"/>
      <c r="Q515" s="49"/>
      <c r="R515" s="49"/>
      <c r="S515" s="49"/>
      <c r="T515" s="49"/>
      <c r="U515" s="49"/>
      <c r="V515" s="49"/>
      <c r="W515" s="49"/>
      <c r="X515" s="49"/>
      <c r="Y515" s="49"/>
      <c r="Z515" s="49"/>
      <c r="AA515" s="49"/>
      <c r="AB515" s="49"/>
      <c r="AC515" s="49"/>
      <c r="AD515" s="49"/>
    </row>
    <row r="516" spans="1:30" ht="13">
      <c r="A516" s="141"/>
      <c r="B516" s="141"/>
      <c r="C516" s="141"/>
      <c r="D516" s="49"/>
      <c r="E516" s="49"/>
      <c r="F516" s="49"/>
      <c r="G516" s="49"/>
      <c r="H516" s="49"/>
      <c r="I516" s="49"/>
      <c r="J516" s="49"/>
      <c r="K516" s="49"/>
      <c r="L516" s="49"/>
      <c r="M516" s="49"/>
      <c r="N516" s="49"/>
      <c r="O516" s="49"/>
      <c r="P516" s="49"/>
      <c r="Q516" s="49"/>
      <c r="R516" s="49"/>
      <c r="S516" s="49"/>
      <c r="T516" s="49"/>
      <c r="U516" s="49"/>
      <c r="V516" s="49"/>
      <c r="W516" s="49"/>
      <c r="X516" s="49"/>
      <c r="Y516" s="49"/>
      <c r="Z516" s="49"/>
      <c r="AA516" s="49"/>
      <c r="AB516" s="49"/>
      <c r="AC516" s="49"/>
      <c r="AD516" s="49"/>
    </row>
    <row r="517" spans="1:30" ht="13">
      <c r="A517" s="141"/>
      <c r="B517" s="141"/>
      <c r="C517" s="141"/>
      <c r="D517" s="49"/>
      <c r="E517" s="49"/>
      <c r="F517" s="49"/>
      <c r="G517" s="49"/>
      <c r="H517" s="49"/>
      <c r="I517" s="49"/>
      <c r="J517" s="49"/>
      <c r="K517" s="49"/>
      <c r="L517" s="49"/>
      <c r="M517" s="49"/>
      <c r="N517" s="49"/>
      <c r="O517" s="49"/>
      <c r="P517" s="49"/>
      <c r="Q517" s="49"/>
      <c r="R517" s="49"/>
      <c r="S517" s="49"/>
      <c r="T517" s="49"/>
      <c r="U517" s="49"/>
      <c r="V517" s="49"/>
      <c r="W517" s="49"/>
      <c r="X517" s="49"/>
      <c r="Y517" s="49"/>
      <c r="Z517" s="49"/>
      <c r="AA517" s="49"/>
      <c r="AB517" s="49"/>
      <c r="AC517" s="49"/>
      <c r="AD517" s="49"/>
    </row>
    <row r="518" spans="1:30" ht="13">
      <c r="A518" s="141"/>
      <c r="B518" s="141"/>
      <c r="C518" s="141"/>
      <c r="D518" s="49"/>
      <c r="E518" s="49"/>
      <c r="F518" s="49"/>
      <c r="G518" s="49"/>
      <c r="H518" s="49"/>
      <c r="I518" s="49"/>
      <c r="J518" s="49"/>
      <c r="K518" s="49"/>
      <c r="L518" s="49"/>
      <c r="M518" s="49"/>
      <c r="N518" s="49"/>
      <c r="O518" s="49"/>
      <c r="P518" s="49"/>
      <c r="Q518" s="49"/>
      <c r="R518" s="49"/>
      <c r="S518" s="49"/>
      <c r="T518" s="49"/>
      <c r="U518" s="49"/>
      <c r="V518" s="49"/>
      <c r="W518" s="49"/>
      <c r="X518" s="49"/>
      <c r="Y518" s="49"/>
      <c r="Z518" s="49"/>
      <c r="AA518" s="49"/>
      <c r="AB518" s="49"/>
      <c r="AC518" s="49"/>
      <c r="AD518" s="49"/>
    </row>
    <row r="519" spans="1:30" ht="13">
      <c r="A519" s="141"/>
      <c r="B519" s="141"/>
      <c r="C519" s="141"/>
      <c r="D519" s="49"/>
      <c r="E519" s="49"/>
      <c r="F519" s="49"/>
      <c r="G519" s="49"/>
      <c r="H519" s="49"/>
      <c r="I519" s="49"/>
      <c r="J519" s="49"/>
      <c r="K519" s="49"/>
      <c r="L519" s="49"/>
      <c r="M519" s="49"/>
      <c r="N519" s="49"/>
      <c r="O519" s="49"/>
      <c r="P519" s="49"/>
      <c r="Q519" s="49"/>
      <c r="R519" s="49"/>
      <c r="S519" s="49"/>
      <c r="T519" s="49"/>
      <c r="U519" s="49"/>
      <c r="V519" s="49"/>
      <c r="W519" s="49"/>
      <c r="X519" s="49"/>
      <c r="Y519" s="49"/>
      <c r="Z519" s="49"/>
      <c r="AA519" s="49"/>
      <c r="AB519" s="49"/>
      <c r="AC519" s="49"/>
      <c r="AD519" s="49"/>
    </row>
    <row r="520" spans="1:30" ht="13">
      <c r="A520" s="141"/>
      <c r="B520" s="141"/>
      <c r="C520" s="141"/>
      <c r="D520" s="49"/>
      <c r="E520" s="49"/>
      <c r="F520" s="49"/>
      <c r="G520" s="49"/>
      <c r="H520" s="49"/>
      <c r="I520" s="49"/>
      <c r="J520" s="49"/>
      <c r="K520" s="49"/>
      <c r="L520" s="49"/>
      <c r="M520" s="49"/>
      <c r="N520" s="49"/>
      <c r="O520" s="49"/>
      <c r="P520" s="49"/>
      <c r="Q520" s="49"/>
      <c r="R520" s="49"/>
      <c r="S520" s="49"/>
      <c r="T520" s="49"/>
      <c r="U520" s="49"/>
      <c r="V520" s="49"/>
      <c r="W520" s="49"/>
      <c r="X520" s="49"/>
      <c r="Y520" s="49"/>
      <c r="Z520" s="49"/>
      <c r="AA520" s="49"/>
      <c r="AB520" s="49"/>
      <c r="AC520" s="49"/>
      <c r="AD520" s="49"/>
    </row>
    <row r="521" spans="1:30" ht="13">
      <c r="A521" s="141"/>
      <c r="B521" s="141"/>
      <c r="C521" s="141"/>
      <c r="D521" s="49"/>
      <c r="E521" s="49"/>
      <c r="F521" s="49"/>
      <c r="G521" s="49"/>
      <c r="H521" s="49"/>
      <c r="I521" s="49"/>
      <c r="J521" s="49"/>
      <c r="K521" s="49"/>
      <c r="L521" s="49"/>
      <c r="M521" s="49"/>
      <c r="N521" s="49"/>
      <c r="O521" s="49"/>
      <c r="P521" s="49"/>
      <c r="Q521" s="49"/>
      <c r="R521" s="49"/>
      <c r="S521" s="49"/>
      <c r="T521" s="49"/>
      <c r="U521" s="49"/>
      <c r="V521" s="49"/>
      <c r="W521" s="49"/>
      <c r="X521" s="49"/>
      <c r="Y521" s="49"/>
      <c r="Z521" s="49"/>
      <c r="AA521" s="49"/>
      <c r="AB521" s="49"/>
      <c r="AC521" s="49"/>
      <c r="AD521" s="49"/>
    </row>
    <row r="522" spans="1:30" ht="13">
      <c r="A522" s="141"/>
      <c r="B522" s="141"/>
      <c r="C522" s="141"/>
      <c r="D522" s="49"/>
      <c r="E522" s="49"/>
      <c r="F522" s="49"/>
      <c r="G522" s="49"/>
      <c r="H522" s="49"/>
      <c r="I522" s="49"/>
      <c r="J522" s="49"/>
      <c r="K522" s="49"/>
      <c r="L522" s="49"/>
      <c r="M522" s="49"/>
      <c r="N522" s="49"/>
      <c r="O522" s="49"/>
      <c r="P522" s="49"/>
      <c r="Q522" s="49"/>
      <c r="R522" s="49"/>
      <c r="S522" s="49"/>
      <c r="T522" s="49"/>
      <c r="U522" s="49"/>
      <c r="V522" s="49"/>
      <c r="W522" s="49"/>
      <c r="X522" s="49"/>
      <c r="Y522" s="49"/>
      <c r="Z522" s="49"/>
      <c r="AA522" s="49"/>
      <c r="AB522" s="49"/>
      <c r="AC522" s="49"/>
      <c r="AD522" s="49"/>
    </row>
    <row r="523" spans="1:30" ht="13">
      <c r="A523" s="141"/>
      <c r="B523" s="141"/>
      <c r="C523" s="141"/>
      <c r="D523" s="49"/>
      <c r="E523" s="49"/>
      <c r="F523" s="49"/>
      <c r="G523" s="49"/>
      <c r="H523" s="49"/>
      <c r="I523" s="49"/>
      <c r="J523" s="49"/>
      <c r="K523" s="49"/>
      <c r="L523" s="49"/>
      <c r="M523" s="49"/>
      <c r="N523" s="49"/>
      <c r="O523" s="49"/>
      <c r="P523" s="49"/>
      <c r="Q523" s="49"/>
      <c r="R523" s="49"/>
      <c r="S523" s="49"/>
      <c r="T523" s="49"/>
      <c r="U523" s="49"/>
      <c r="V523" s="49"/>
      <c r="W523" s="49"/>
      <c r="X523" s="49"/>
      <c r="Y523" s="49"/>
      <c r="Z523" s="49"/>
      <c r="AA523" s="49"/>
      <c r="AB523" s="49"/>
      <c r="AC523" s="49"/>
      <c r="AD523" s="49"/>
    </row>
    <row r="524" spans="1:30" ht="13">
      <c r="A524" s="141"/>
      <c r="B524" s="141"/>
      <c r="C524" s="141"/>
      <c r="D524" s="49"/>
      <c r="E524" s="49"/>
      <c r="F524" s="49"/>
      <c r="G524" s="49"/>
      <c r="H524" s="49"/>
      <c r="I524" s="49"/>
      <c r="J524" s="49"/>
      <c r="K524" s="49"/>
      <c r="L524" s="49"/>
      <c r="M524" s="49"/>
      <c r="N524" s="49"/>
      <c r="O524" s="49"/>
      <c r="P524" s="49"/>
      <c r="Q524" s="49"/>
      <c r="R524" s="49"/>
      <c r="S524" s="49"/>
      <c r="T524" s="49"/>
      <c r="U524" s="49"/>
      <c r="V524" s="49"/>
      <c r="W524" s="49"/>
      <c r="X524" s="49"/>
      <c r="Y524" s="49"/>
      <c r="Z524" s="49"/>
      <c r="AA524" s="49"/>
      <c r="AB524" s="49"/>
      <c r="AC524" s="49"/>
      <c r="AD524" s="49"/>
    </row>
    <row r="525" spans="1:30" ht="13">
      <c r="A525" s="141"/>
      <c r="B525" s="141"/>
      <c r="C525" s="141"/>
      <c r="D525" s="49"/>
      <c r="E525" s="49"/>
      <c r="F525" s="49"/>
      <c r="G525" s="49"/>
      <c r="H525" s="49"/>
      <c r="I525" s="49"/>
      <c r="J525" s="49"/>
      <c r="K525" s="49"/>
      <c r="L525" s="49"/>
      <c r="M525" s="49"/>
      <c r="N525" s="49"/>
      <c r="O525" s="49"/>
      <c r="P525" s="49"/>
      <c r="Q525" s="49"/>
      <c r="R525" s="49"/>
      <c r="S525" s="49"/>
      <c r="T525" s="49"/>
      <c r="U525" s="49"/>
      <c r="V525" s="49"/>
      <c r="W525" s="49"/>
      <c r="X525" s="49"/>
      <c r="Y525" s="49"/>
      <c r="Z525" s="49"/>
      <c r="AA525" s="49"/>
      <c r="AB525" s="49"/>
      <c r="AC525" s="49"/>
      <c r="AD525" s="49"/>
    </row>
    <row r="526" spans="1:30" ht="13">
      <c r="A526" s="141"/>
      <c r="B526" s="141"/>
      <c r="C526" s="141"/>
      <c r="D526" s="49"/>
      <c r="E526" s="49"/>
      <c r="F526" s="49"/>
      <c r="G526" s="49"/>
      <c r="H526" s="49"/>
      <c r="I526" s="49"/>
      <c r="J526" s="49"/>
      <c r="K526" s="49"/>
      <c r="L526" s="49"/>
      <c r="M526" s="49"/>
      <c r="N526" s="49"/>
      <c r="O526" s="49"/>
      <c r="P526" s="49"/>
      <c r="Q526" s="49"/>
      <c r="R526" s="49"/>
      <c r="S526" s="49"/>
      <c r="T526" s="49"/>
      <c r="U526" s="49"/>
      <c r="V526" s="49"/>
      <c r="W526" s="49"/>
      <c r="X526" s="49"/>
      <c r="Y526" s="49"/>
      <c r="Z526" s="49"/>
      <c r="AA526" s="49"/>
      <c r="AB526" s="49"/>
      <c r="AC526" s="49"/>
      <c r="AD526" s="49"/>
    </row>
    <row r="527" spans="1:30" ht="13">
      <c r="A527" s="141"/>
      <c r="B527" s="141"/>
      <c r="C527" s="141"/>
      <c r="D527" s="49"/>
      <c r="E527" s="49"/>
      <c r="F527" s="49"/>
      <c r="G527" s="49"/>
      <c r="H527" s="49"/>
      <c r="I527" s="49"/>
      <c r="J527" s="49"/>
      <c r="K527" s="49"/>
      <c r="L527" s="49"/>
      <c r="M527" s="49"/>
      <c r="N527" s="49"/>
      <c r="O527" s="49"/>
      <c r="P527" s="49"/>
      <c r="Q527" s="49"/>
      <c r="R527" s="49"/>
      <c r="S527" s="49"/>
      <c r="T527" s="49"/>
      <c r="U527" s="49"/>
      <c r="V527" s="49"/>
      <c r="W527" s="49"/>
      <c r="X527" s="49"/>
      <c r="Y527" s="49"/>
      <c r="Z527" s="49"/>
      <c r="AA527" s="49"/>
      <c r="AB527" s="49"/>
      <c r="AC527" s="49"/>
      <c r="AD527" s="49"/>
    </row>
    <row r="528" spans="1:30" ht="13">
      <c r="A528" s="141"/>
      <c r="B528" s="141"/>
      <c r="C528" s="141"/>
      <c r="D528" s="49"/>
      <c r="E528" s="49"/>
      <c r="F528" s="49"/>
      <c r="G528" s="49"/>
      <c r="H528" s="49"/>
      <c r="I528" s="49"/>
      <c r="J528" s="49"/>
      <c r="K528" s="49"/>
      <c r="L528" s="49"/>
      <c r="M528" s="49"/>
      <c r="N528" s="49"/>
      <c r="O528" s="49"/>
      <c r="P528" s="49"/>
      <c r="Q528" s="49"/>
      <c r="R528" s="49"/>
      <c r="S528" s="49"/>
      <c r="T528" s="49"/>
      <c r="U528" s="49"/>
      <c r="V528" s="49"/>
      <c r="W528" s="49"/>
      <c r="X528" s="49"/>
      <c r="Y528" s="49"/>
      <c r="Z528" s="49"/>
      <c r="AA528" s="49"/>
      <c r="AB528" s="49"/>
      <c r="AC528" s="49"/>
      <c r="AD528" s="49"/>
    </row>
    <row r="529" spans="1:30" ht="13">
      <c r="A529" s="141"/>
      <c r="B529" s="141"/>
      <c r="C529" s="141"/>
      <c r="D529" s="49"/>
      <c r="E529" s="49"/>
      <c r="F529" s="49"/>
      <c r="G529" s="49"/>
      <c r="H529" s="49"/>
      <c r="I529" s="49"/>
      <c r="J529" s="49"/>
      <c r="K529" s="49"/>
      <c r="L529" s="49"/>
      <c r="M529" s="49"/>
      <c r="N529" s="49"/>
      <c r="O529" s="49"/>
      <c r="P529" s="49"/>
      <c r="Q529" s="49"/>
      <c r="R529" s="49"/>
      <c r="S529" s="49"/>
      <c r="T529" s="49"/>
      <c r="U529" s="49"/>
      <c r="V529" s="49"/>
      <c r="W529" s="49"/>
      <c r="X529" s="49"/>
      <c r="Y529" s="49"/>
      <c r="Z529" s="49"/>
      <c r="AA529" s="49"/>
      <c r="AB529" s="49"/>
      <c r="AC529" s="49"/>
      <c r="AD529" s="49"/>
    </row>
    <row r="530" spans="1:30" ht="13">
      <c r="A530" s="141"/>
      <c r="B530" s="141"/>
      <c r="C530" s="141"/>
      <c r="D530" s="49"/>
      <c r="E530" s="49"/>
      <c r="F530" s="49"/>
      <c r="G530" s="49"/>
      <c r="H530" s="49"/>
      <c r="I530" s="49"/>
      <c r="J530" s="49"/>
      <c r="K530" s="49"/>
      <c r="L530" s="49"/>
      <c r="M530" s="49"/>
      <c r="N530" s="49"/>
      <c r="O530" s="49"/>
      <c r="P530" s="49"/>
      <c r="Q530" s="49"/>
      <c r="R530" s="49"/>
      <c r="S530" s="49"/>
      <c r="T530" s="49"/>
      <c r="U530" s="49"/>
      <c r="V530" s="49"/>
      <c r="W530" s="49"/>
      <c r="X530" s="49"/>
      <c r="Y530" s="49"/>
      <c r="Z530" s="49"/>
      <c r="AA530" s="49"/>
      <c r="AB530" s="49"/>
      <c r="AC530" s="49"/>
      <c r="AD530" s="49"/>
    </row>
    <row r="531" spans="1:30" ht="13">
      <c r="A531" s="141"/>
      <c r="B531" s="141"/>
      <c r="C531" s="141"/>
      <c r="D531" s="49"/>
      <c r="E531" s="49"/>
      <c r="F531" s="49"/>
      <c r="G531" s="49"/>
      <c r="H531" s="49"/>
      <c r="I531" s="49"/>
      <c r="J531" s="49"/>
      <c r="K531" s="49"/>
      <c r="L531" s="49"/>
      <c r="M531" s="49"/>
      <c r="N531" s="49"/>
      <c r="O531" s="49"/>
      <c r="P531" s="49"/>
      <c r="Q531" s="49"/>
      <c r="R531" s="49"/>
      <c r="S531" s="49"/>
      <c r="T531" s="49"/>
      <c r="U531" s="49"/>
      <c r="V531" s="49"/>
      <c r="W531" s="49"/>
      <c r="X531" s="49"/>
      <c r="Y531" s="49"/>
      <c r="Z531" s="49"/>
      <c r="AA531" s="49"/>
      <c r="AB531" s="49"/>
      <c r="AC531" s="49"/>
      <c r="AD531" s="49"/>
    </row>
    <row r="532" spans="1:30" ht="13">
      <c r="A532" s="141"/>
      <c r="B532" s="141"/>
      <c r="C532" s="141"/>
      <c r="D532" s="49"/>
      <c r="E532" s="49"/>
      <c r="F532" s="49"/>
      <c r="G532" s="49"/>
      <c r="H532" s="49"/>
      <c r="I532" s="49"/>
      <c r="J532" s="49"/>
      <c r="K532" s="49"/>
      <c r="L532" s="49"/>
      <c r="M532" s="49"/>
      <c r="N532" s="49"/>
      <c r="O532" s="49"/>
      <c r="P532" s="49"/>
      <c r="Q532" s="49"/>
      <c r="R532" s="49"/>
      <c r="S532" s="49"/>
      <c r="T532" s="49"/>
      <c r="U532" s="49"/>
      <c r="V532" s="49"/>
      <c r="W532" s="49"/>
      <c r="X532" s="49"/>
      <c r="Y532" s="49"/>
      <c r="Z532" s="49"/>
      <c r="AA532" s="49"/>
      <c r="AB532" s="49"/>
      <c r="AC532" s="49"/>
      <c r="AD532" s="49"/>
    </row>
    <row r="533" spans="1:30" ht="13">
      <c r="A533" s="141"/>
      <c r="B533" s="141"/>
      <c r="C533" s="141"/>
      <c r="D533" s="49"/>
      <c r="E533" s="49"/>
      <c r="F533" s="49"/>
      <c r="G533" s="49"/>
      <c r="H533" s="49"/>
      <c r="I533" s="49"/>
      <c r="J533" s="49"/>
      <c r="K533" s="49"/>
      <c r="L533" s="49"/>
      <c r="M533" s="49"/>
      <c r="N533" s="49"/>
      <c r="O533" s="49"/>
      <c r="P533" s="49"/>
      <c r="Q533" s="49"/>
      <c r="R533" s="49"/>
      <c r="S533" s="49"/>
      <c r="T533" s="49"/>
      <c r="U533" s="49"/>
      <c r="V533" s="49"/>
      <c r="W533" s="49"/>
      <c r="X533" s="49"/>
      <c r="Y533" s="49"/>
      <c r="Z533" s="49"/>
      <c r="AA533" s="49"/>
      <c r="AB533" s="49"/>
      <c r="AC533" s="49"/>
      <c r="AD533" s="49"/>
    </row>
    <row r="534" spans="1:30" ht="13">
      <c r="A534" s="141"/>
      <c r="B534" s="141"/>
      <c r="C534" s="141"/>
      <c r="D534" s="49"/>
      <c r="E534" s="49"/>
      <c r="F534" s="49"/>
      <c r="G534" s="49"/>
      <c r="H534" s="49"/>
      <c r="I534" s="49"/>
      <c r="J534" s="49"/>
      <c r="K534" s="49"/>
      <c r="L534" s="49"/>
      <c r="M534" s="49"/>
      <c r="N534" s="49"/>
      <c r="O534" s="49"/>
      <c r="P534" s="49"/>
      <c r="Q534" s="49"/>
      <c r="R534" s="49"/>
      <c r="S534" s="49"/>
      <c r="T534" s="49"/>
      <c r="U534" s="49"/>
      <c r="V534" s="49"/>
      <c r="W534" s="49"/>
      <c r="X534" s="49"/>
      <c r="Y534" s="49"/>
      <c r="Z534" s="49"/>
      <c r="AA534" s="49"/>
      <c r="AB534" s="49"/>
      <c r="AC534" s="49"/>
      <c r="AD534" s="49"/>
    </row>
    <row r="535" spans="1:30" ht="13">
      <c r="A535" s="141"/>
      <c r="B535" s="141"/>
      <c r="C535" s="141"/>
      <c r="D535" s="49"/>
      <c r="E535" s="49"/>
      <c r="F535" s="49"/>
      <c r="G535" s="49"/>
      <c r="H535" s="49"/>
      <c r="I535" s="49"/>
      <c r="J535" s="49"/>
      <c r="K535" s="49"/>
      <c r="L535" s="49"/>
      <c r="M535" s="49"/>
      <c r="N535" s="49"/>
      <c r="O535" s="49"/>
      <c r="P535" s="49"/>
      <c r="Q535" s="49"/>
      <c r="R535" s="49"/>
      <c r="S535" s="49"/>
      <c r="T535" s="49"/>
      <c r="U535" s="49"/>
      <c r="V535" s="49"/>
      <c r="W535" s="49"/>
      <c r="X535" s="49"/>
      <c r="Y535" s="49"/>
      <c r="Z535" s="49"/>
      <c r="AA535" s="49"/>
      <c r="AB535" s="49"/>
      <c r="AC535" s="49"/>
      <c r="AD535" s="49"/>
    </row>
    <row r="536" spans="1:30" ht="13">
      <c r="A536" s="141"/>
      <c r="B536" s="141"/>
      <c r="C536" s="141"/>
      <c r="D536" s="49"/>
      <c r="E536" s="49"/>
      <c r="F536" s="49"/>
      <c r="G536" s="49"/>
      <c r="H536" s="49"/>
      <c r="I536" s="49"/>
      <c r="J536" s="49"/>
      <c r="K536" s="49"/>
      <c r="L536" s="49"/>
      <c r="M536" s="49"/>
      <c r="N536" s="49"/>
      <c r="O536" s="49"/>
      <c r="P536" s="49"/>
      <c r="Q536" s="49"/>
      <c r="R536" s="49"/>
      <c r="S536" s="49"/>
      <c r="T536" s="49"/>
      <c r="U536" s="49"/>
      <c r="V536" s="49"/>
      <c r="W536" s="49"/>
      <c r="X536" s="49"/>
      <c r="Y536" s="49"/>
      <c r="Z536" s="49"/>
      <c r="AA536" s="49"/>
      <c r="AB536" s="49"/>
      <c r="AC536" s="49"/>
      <c r="AD536" s="49"/>
    </row>
    <row r="537" spans="1:30" ht="13">
      <c r="A537" s="141"/>
      <c r="B537" s="141"/>
      <c r="C537" s="141"/>
      <c r="D537" s="49"/>
      <c r="E537" s="49"/>
      <c r="F537" s="49"/>
      <c r="G537" s="49"/>
      <c r="H537" s="49"/>
      <c r="I537" s="49"/>
      <c r="J537" s="49"/>
      <c r="K537" s="49"/>
      <c r="L537" s="49"/>
      <c r="M537" s="49"/>
      <c r="N537" s="49"/>
      <c r="O537" s="49"/>
      <c r="P537" s="49"/>
      <c r="Q537" s="49"/>
      <c r="R537" s="49"/>
      <c r="S537" s="49"/>
      <c r="T537" s="49"/>
      <c r="U537" s="49"/>
      <c r="V537" s="49"/>
      <c r="W537" s="49"/>
      <c r="X537" s="49"/>
      <c r="Y537" s="49"/>
      <c r="Z537" s="49"/>
      <c r="AA537" s="49"/>
      <c r="AB537" s="49"/>
      <c r="AC537" s="49"/>
      <c r="AD537" s="49"/>
    </row>
    <row r="538" spans="1:30" ht="13">
      <c r="A538" s="141"/>
      <c r="B538" s="141"/>
      <c r="C538" s="141"/>
      <c r="D538" s="49"/>
      <c r="E538" s="49"/>
      <c r="F538" s="49"/>
      <c r="G538" s="49"/>
      <c r="H538" s="49"/>
      <c r="I538" s="49"/>
      <c r="J538" s="49"/>
      <c r="K538" s="49"/>
      <c r="L538" s="49"/>
      <c r="M538" s="49"/>
      <c r="N538" s="49"/>
      <c r="O538" s="49"/>
      <c r="P538" s="49"/>
      <c r="Q538" s="49"/>
      <c r="R538" s="49"/>
      <c r="S538" s="49"/>
      <c r="T538" s="49"/>
      <c r="U538" s="49"/>
      <c r="V538" s="49"/>
      <c r="W538" s="49"/>
      <c r="X538" s="49"/>
      <c r="Y538" s="49"/>
      <c r="Z538" s="49"/>
      <c r="AA538" s="49"/>
      <c r="AB538" s="49"/>
      <c r="AC538" s="49"/>
      <c r="AD538" s="49"/>
    </row>
    <row r="539" spans="1:30" ht="13">
      <c r="A539" s="141"/>
      <c r="B539" s="141"/>
      <c r="C539" s="141"/>
      <c r="D539" s="49"/>
      <c r="E539" s="49"/>
      <c r="F539" s="49"/>
      <c r="G539" s="49"/>
      <c r="H539" s="49"/>
      <c r="I539" s="49"/>
      <c r="J539" s="49"/>
      <c r="K539" s="49"/>
      <c r="L539" s="49"/>
      <c r="M539" s="49"/>
      <c r="N539" s="49"/>
      <c r="O539" s="49"/>
      <c r="P539" s="49"/>
      <c r="Q539" s="49"/>
      <c r="R539" s="49"/>
      <c r="S539" s="49"/>
      <c r="T539" s="49"/>
      <c r="U539" s="49"/>
      <c r="V539" s="49"/>
      <c r="W539" s="49"/>
      <c r="X539" s="49"/>
      <c r="Y539" s="49"/>
      <c r="Z539" s="49"/>
      <c r="AA539" s="49"/>
      <c r="AB539" s="49"/>
      <c r="AC539" s="49"/>
      <c r="AD539" s="49"/>
    </row>
    <row r="540" spans="1:30" ht="13">
      <c r="A540" s="141"/>
      <c r="B540" s="141"/>
      <c r="C540" s="141"/>
      <c r="D540" s="49"/>
      <c r="E540" s="49"/>
      <c r="F540" s="49"/>
      <c r="G540" s="49"/>
      <c r="H540" s="49"/>
      <c r="I540" s="49"/>
      <c r="J540" s="49"/>
      <c r="K540" s="49"/>
      <c r="L540" s="49"/>
      <c r="M540" s="49"/>
      <c r="N540" s="49"/>
      <c r="O540" s="49"/>
      <c r="P540" s="49"/>
      <c r="Q540" s="49"/>
      <c r="R540" s="49"/>
      <c r="S540" s="49"/>
      <c r="T540" s="49"/>
      <c r="U540" s="49"/>
      <c r="V540" s="49"/>
      <c r="W540" s="49"/>
      <c r="X540" s="49"/>
      <c r="Y540" s="49"/>
      <c r="Z540" s="49"/>
      <c r="AA540" s="49"/>
      <c r="AB540" s="49"/>
      <c r="AC540" s="49"/>
      <c r="AD540" s="49"/>
    </row>
    <row r="541" spans="1:30" ht="13">
      <c r="A541" s="141"/>
      <c r="B541" s="141"/>
      <c r="C541" s="141"/>
      <c r="D541" s="49"/>
      <c r="E541" s="49"/>
      <c r="F541" s="49"/>
      <c r="G541" s="49"/>
      <c r="H541" s="49"/>
      <c r="I541" s="49"/>
      <c r="J541" s="49"/>
      <c r="K541" s="49"/>
      <c r="L541" s="49"/>
      <c r="M541" s="49"/>
      <c r="N541" s="49"/>
      <c r="O541" s="49"/>
      <c r="P541" s="49"/>
      <c r="Q541" s="49"/>
      <c r="R541" s="49"/>
      <c r="S541" s="49"/>
      <c r="T541" s="49"/>
      <c r="U541" s="49"/>
      <c r="V541" s="49"/>
      <c r="W541" s="49"/>
      <c r="X541" s="49"/>
      <c r="Y541" s="49"/>
      <c r="Z541" s="49"/>
      <c r="AA541" s="49"/>
      <c r="AB541" s="49"/>
      <c r="AC541" s="49"/>
      <c r="AD541" s="49"/>
    </row>
    <row r="542" spans="1:30" ht="13">
      <c r="A542" s="141"/>
      <c r="B542" s="141"/>
      <c r="C542" s="141"/>
      <c r="D542" s="49"/>
      <c r="E542" s="49"/>
      <c r="F542" s="49"/>
      <c r="G542" s="49"/>
      <c r="H542" s="49"/>
      <c r="I542" s="49"/>
      <c r="J542" s="49"/>
      <c r="K542" s="49"/>
      <c r="L542" s="49"/>
      <c r="M542" s="49"/>
      <c r="N542" s="49"/>
      <c r="O542" s="49"/>
      <c r="P542" s="49"/>
      <c r="Q542" s="49"/>
      <c r="R542" s="49"/>
      <c r="S542" s="49"/>
      <c r="T542" s="49"/>
      <c r="U542" s="49"/>
      <c r="V542" s="49"/>
      <c r="W542" s="49"/>
      <c r="X542" s="49"/>
      <c r="Y542" s="49"/>
      <c r="Z542" s="49"/>
      <c r="AA542" s="49"/>
      <c r="AB542" s="49"/>
      <c r="AC542" s="49"/>
      <c r="AD542" s="49"/>
    </row>
    <row r="543" spans="1:30" ht="13">
      <c r="A543" s="141"/>
      <c r="B543" s="141"/>
      <c r="C543" s="141"/>
      <c r="D543" s="49"/>
      <c r="E543" s="49"/>
      <c r="F543" s="49"/>
      <c r="G543" s="49"/>
      <c r="H543" s="49"/>
      <c r="I543" s="49"/>
      <c r="J543" s="49"/>
      <c r="K543" s="49"/>
      <c r="L543" s="49"/>
      <c r="M543" s="49"/>
      <c r="N543" s="49"/>
      <c r="O543" s="49"/>
      <c r="P543" s="49"/>
      <c r="Q543" s="49"/>
      <c r="R543" s="49"/>
      <c r="S543" s="49"/>
      <c r="T543" s="49"/>
      <c r="U543" s="49"/>
      <c r="V543" s="49"/>
      <c r="W543" s="49"/>
      <c r="X543" s="49"/>
      <c r="Y543" s="49"/>
      <c r="Z543" s="49"/>
      <c r="AA543" s="49"/>
      <c r="AB543" s="49"/>
      <c r="AC543" s="49"/>
      <c r="AD543" s="49"/>
    </row>
    <row r="544" spans="1:30" ht="13">
      <c r="A544" s="141"/>
      <c r="B544" s="141"/>
      <c r="C544" s="141"/>
      <c r="D544" s="49"/>
      <c r="E544" s="49"/>
      <c r="F544" s="49"/>
      <c r="G544" s="49"/>
      <c r="H544" s="49"/>
      <c r="I544" s="49"/>
      <c r="J544" s="49"/>
      <c r="K544" s="49"/>
      <c r="L544" s="49"/>
      <c r="M544" s="49"/>
      <c r="N544" s="49"/>
      <c r="O544" s="49"/>
      <c r="P544" s="49"/>
      <c r="Q544" s="49"/>
      <c r="R544" s="49"/>
      <c r="S544" s="49"/>
      <c r="T544" s="49"/>
      <c r="U544" s="49"/>
      <c r="V544" s="49"/>
      <c r="W544" s="49"/>
      <c r="X544" s="49"/>
      <c r="Y544" s="49"/>
      <c r="Z544" s="49"/>
      <c r="AA544" s="49"/>
      <c r="AB544" s="49"/>
      <c r="AC544" s="49"/>
      <c r="AD544" s="49"/>
    </row>
    <row r="545" spans="1:30" ht="13">
      <c r="A545" s="141"/>
      <c r="B545" s="141"/>
      <c r="C545" s="141"/>
      <c r="D545" s="49"/>
      <c r="E545" s="49"/>
      <c r="F545" s="49"/>
      <c r="G545" s="49"/>
      <c r="H545" s="49"/>
      <c r="I545" s="49"/>
      <c r="J545" s="49"/>
      <c r="K545" s="49"/>
      <c r="L545" s="49"/>
      <c r="M545" s="49"/>
      <c r="N545" s="49"/>
      <c r="O545" s="49"/>
      <c r="P545" s="49"/>
      <c r="Q545" s="49"/>
      <c r="R545" s="49"/>
      <c r="S545" s="49"/>
      <c r="T545" s="49"/>
      <c r="U545" s="49"/>
      <c r="V545" s="49"/>
      <c r="W545" s="49"/>
      <c r="X545" s="49"/>
      <c r="Y545" s="49"/>
      <c r="Z545" s="49"/>
      <c r="AA545" s="49"/>
      <c r="AB545" s="49"/>
      <c r="AC545" s="49"/>
      <c r="AD545" s="49"/>
    </row>
    <row r="546" spans="1:30" ht="13">
      <c r="A546" s="141"/>
      <c r="B546" s="141"/>
      <c r="C546" s="141"/>
      <c r="D546" s="49"/>
      <c r="E546" s="49"/>
      <c r="F546" s="49"/>
      <c r="G546" s="49"/>
      <c r="H546" s="49"/>
      <c r="I546" s="49"/>
      <c r="J546" s="49"/>
      <c r="K546" s="49"/>
      <c r="L546" s="49"/>
      <c r="M546" s="49"/>
      <c r="N546" s="49"/>
      <c r="O546" s="49"/>
      <c r="P546" s="49"/>
      <c r="Q546" s="49"/>
      <c r="R546" s="49"/>
      <c r="S546" s="49"/>
      <c r="T546" s="49"/>
      <c r="U546" s="49"/>
      <c r="V546" s="49"/>
      <c r="W546" s="49"/>
      <c r="X546" s="49"/>
      <c r="Y546" s="49"/>
      <c r="Z546" s="49"/>
      <c r="AA546" s="49"/>
      <c r="AB546" s="49"/>
      <c r="AC546" s="49"/>
      <c r="AD546" s="49"/>
    </row>
    <row r="547" spans="1:30" ht="13">
      <c r="A547" s="141"/>
      <c r="B547" s="141"/>
      <c r="C547" s="141"/>
      <c r="D547" s="49"/>
      <c r="E547" s="49"/>
      <c r="F547" s="49"/>
      <c r="G547" s="49"/>
      <c r="H547" s="49"/>
      <c r="I547" s="49"/>
      <c r="J547" s="49"/>
      <c r="K547" s="49"/>
      <c r="L547" s="49"/>
      <c r="M547" s="49"/>
      <c r="N547" s="49"/>
      <c r="O547" s="49"/>
      <c r="P547" s="49"/>
      <c r="Q547" s="49"/>
      <c r="R547" s="49"/>
      <c r="S547" s="49"/>
      <c r="T547" s="49"/>
      <c r="U547" s="49"/>
      <c r="V547" s="49"/>
      <c r="W547" s="49"/>
      <c r="X547" s="49"/>
      <c r="Y547" s="49"/>
      <c r="Z547" s="49"/>
      <c r="AA547" s="49"/>
      <c r="AB547" s="49"/>
      <c r="AC547" s="49"/>
      <c r="AD547" s="49"/>
    </row>
    <row r="548" spans="1:30" ht="13">
      <c r="A548" s="141"/>
      <c r="B548" s="141"/>
      <c r="C548" s="141"/>
      <c r="D548" s="49"/>
      <c r="E548" s="49"/>
      <c r="F548" s="49"/>
      <c r="G548" s="49"/>
      <c r="H548" s="49"/>
      <c r="I548" s="49"/>
      <c r="J548" s="49"/>
      <c r="K548" s="49"/>
      <c r="L548" s="49"/>
      <c r="M548" s="49"/>
      <c r="N548" s="49"/>
      <c r="O548" s="49"/>
      <c r="P548" s="49"/>
      <c r="Q548" s="49"/>
      <c r="R548" s="49"/>
      <c r="S548" s="49"/>
      <c r="T548" s="49"/>
      <c r="U548" s="49"/>
      <c r="V548" s="49"/>
      <c r="W548" s="49"/>
      <c r="X548" s="49"/>
      <c r="Y548" s="49"/>
      <c r="Z548" s="49"/>
      <c r="AA548" s="49"/>
      <c r="AB548" s="49"/>
      <c r="AC548" s="49"/>
      <c r="AD548" s="49"/>
    </row>
    <row r="549" spans="1:30" ht="13">
      <c r="A549" s="141"/>
      <c r="B549" s="141"/>
      <c r="C549" s="141"/>
      <c r="D549" s="49"/>
      <c r="E549" s="49"/>
      <c r="F549" s="49"/>
      <c r="G549" s="49"/>
      <c r="H549" s="49"/>
      <c r="I549" s="49"/>
      <c r="J549" s="49"/>
      <c r="K549" s="49"/>
      <c r="L549" s="49"/>
      <c r="M549" s="49"/>
      <c r="N549" s="49"/>
      <c r="O549" s="49"/>
      <c r="P549" s="49"/>
      <c r="Q549" s="49"/>
      <c r="R549" s="49"/>
      <c r="S549" s="49"/>
      <c r="T549" s="49"/>
      <c r="U549" s="49"/>
      <c r="V549" s="49"/>
      <c r="W549" s="49"/>
      <c r="X549" s="49"/>
      <c r="Y549" s="49"/>
      <c r="Z549" s="49"/>
      <c r="AA549" s="49"/>
      <c r="AB549" s="49"/>
      <c r="AC549" s="49"/>
      <c r="AD549" s="49"/>
    </row>
    <row r="550" spans="1:30" ht="13">
      <c r="A550" s="141"/>
      <c r="B550" s="141"/>
      <c r="C550" s="141"/>
      <c r="D550" s="49"/>
      <c r="E550" s="49"/>
      <c r="F550" s="49"/>
      <c r="G550" s="49"/>
      <c r="H550" s="49"/>
      <c r="I550" s="49"/>
      <c r="J550" s="49"/>
      <c r="K550" s="49"/>
      <c r="L550" s="49"/>
      <c r="M550" s="49"/>
      <c r="N550" s="49"/>
      <c r="O550" s="49"/>
      <c r="P550" s="49"/>
      <c r="Q550" s="49"/>
      <c r="R550" s="49"/>
      <c r="S550" s="49"/>
      <c r="T550" s="49"/>
      <c r="U550" s="49"/>
      <c r="V550" s="49"/>
      <c r="W550" s="49"/>
      <c r="X550" s="49"/>
      <c r="Y550" s="49"/>
      <c r="Z550" s="49"/>
      <c r="AA550" s="49"/>
      <c r="AB550" s="49"/>
      <c r="AC550" s="49"/>
      <c r="AD550" s="49"/>
    </row>
    <row r="551" spans="1:30" ht="13">
      <c r="A551" s="141"/>
      <c r="B551" s="141"/>
      <c r="C551" s="141"/>
      <c r="D551" s="49"/>
      <c r="E551" s="49"/>
      <c r="F551" s="49"/>
      <c r="G551" s="49"/>
      <c r="H551" s="49"/>
      <c r="I551" s="49"/>
      <c r="J551" s="49"/>
      <c r="K551" s="49"/>
      <c r="L551" s="49"/>
      <c r="M551" s="49"/>
      <c r="N551" s="49"/>
      <c r="O551" s="49"/>
      <c r="P551" s="49"/>
      <c r="Q551" s="49"/>
      <c r="R551" s="49"/>
      <c r="S551" s="49"/>
      <c r="T551" s="49"/>
      <c r="U551" s="49"/>
      <c r="V551" s="49"/>
      <c r="W551" s="49"/>
      <c r="X551" s="49"/>
      <c r="Y551" s="49"/>
      <c r="Z551" s="49"/>
      <c r="AA551" s="49"/>
      <c r="AB551" s="49"/>
      <c r="AC551" s="49"/>
      <c r="AD551" s="49"/>
    </row>
    <row r="552" spans="1:30" ht="13">
      <c r="A552" s="141"/>
      <c r="B552" s="141"/>
      <c r="C552" s="141"/>
      <c r="D552" s="49"/>
      <c r="E552" s="49"/>
      <c r="F552" s="49"/>
      <c r="G552" s="49"/>
      <c r="H552" s="49"/>
      <c r="I552" s="49"/>
      <c r="J552" s="49"/>
      <c r="K552" s="49"/>
      <c r="L552" s="49"/>
      <c r="M552" s="49"/>
      <c r="N552" s="49"/>
      <c r="O552" s="49"/>
      <c r="P552" s="49"/>
      <c r="Q552" s="49"/>
      <c r="R552" s="49"/>
      <c r="S552" s="49"/>
      <c r="T552" s="49"/>
      <c r="U552" s="49"/>
      <c r="V552" s="49"/>
      <c r="W552" s="49"/>
      <c r="X552" s="49"/>
      <c r="Y552" s="49"/>
      <c r="Z552" s="49"/>
      <c r="AA552" s="49"/>
      <c r="AB552" s="49"/>
      <c r="AC552" s="49"/>
      <c r="AD552" s="49"/>
    </row>
    <row r="553" spans="1:30" ht="13">
      <c r="A553" s="141"/>
      <c r="B553" s="141"/>
      <c r="C553" s="141"/>
      <c r="D553" s="49"/>
      <c r="E553" s="49"/>
      <c r="F553" s="49"/>
      <c r="G553" s="49"/>
      <c r="H553" s="49"/>
      <c r="I553" s="49"/>
      <c r="J553" s="49"/>
      <c r="K553" s="49"/>
      <c r="L553" s="49"/>
      <c r="M553" s="49"/>
      <c r="N553" s="49"/>
      <c r="O553" s="49"/>
      <c r="P553" s="49"/>
      <c r="Q553" s="49"/>
      <c r="R553" s="49"/>
      <c r="S553" s="49"/>
      <c r="T553" s="49"/>
      <c r="U553" s="49"/>
      <c r="V553" s="49"/>
      <c r="W553" s="49"/>
      <c r="X553" s="49"/>
      <c r="Y553" s="49"/>
      <c r="Z553" s="49"/>
      <c r="AA553" s="49"/>
      <c r="AB553" s="49"/>
      <c r="AC553" s="49"/>
      <c r="AD553" s="49"/>
    </row>
    <row r="554" spans="1:30" ht="13">
      <c r="A554" s="141"/>
      <c r="B554" s="141"/>
      <c r="C554" s="141"/>
      <c r="D554" s="49"/>
      <c r="E554" s="49"/>
      <c r="F554" s="49"/>
      <c r="G554" s="49"/>
      <c r="H554" s="49"/>
      <c r="I554" s="49"/>
      <c r="J554" s="49"/>
      <c r="K554" s="49"/>
      <c r="L554" s="49"/>
      <c r="M554" s="49"/>
      <c r="N554" s="49"/>
      <c r="O554" s="49"/>
      <c r="P554" s="49"/>
      <c r="Q554" s="49"/>
      <c r="R554" s="49"/>
      <c r="S554" s="49"/>
      <c r="T554" s="49"/>
      <c r="U554" s="49"/>
      <c r="V554" s="49"/>
      <c r="W554" s="49"/>
      <c r="X554" s="49"/>
      <c r="Y554" s="49"/>
      <c r="Z554" s="49"/>
      <c r="AA554" s="49"/>
      <c r="AB554" s="49"/>
      <c r="AC554" s="49"/>
      <c r="AD554" s="49"/>
    </row>
    <row r="555" spans="1:30" ht="13">
      <c r="A555" s="141"/>
      <c r="B555" s="141"/>
      <c r="C555" s="141"/>
      <c r="D555" s="49"/>
      <c r="E555" s="49"/>
      <c r="F555" s="49"/>
      <c r="G555" s="49"/>
      <c r="H555" s="49"/>
      <c r="I555" s="49"/>
      <c r="J555" s="49"/>
      <c r="K555" s="49"/>
      <c r="L555" s="49"/>
      <c r="M555" s="49"/>
      <c r="N555" s="49"/>
      <c r="O555" s="49"/>
      <c r="P555" s="49"/>
      <c r="Q555" s="49"/>
      <c r="R555" s="49"/>
      <c r="S555" s="49"/>
      <c r="T555" s="49"/>
      <c r="U555" s="49"/>
      <c r="V555" s="49"/>
      <c r="W555" s="49"/>
      <c r="X555" s="49"/>
      <c r="Y555" s="49"/>
      <c r="Z555" s="49"/>
      <c r="AA555" s="49"/>
      <c r="AB555" s="49"/>
      <c r="AC555" s="49"/>
      <c r="AD555" s="49"/>
    </row>
    <row r="556" spans="1:30" ht="13">
      <c r="A556" s="141"/>
      <c r="B556" s="141"/>
      <c r="C556" s="141"/>
      <c r="D556" s="49"/>
      <c r="E556" s="49"/>
      <c r="F556" s="49"/>
      <c r="G556" s="49"/>
      <c r="H556" s="49"/>
      <c r="I556" s="49"/>
      <c r="J556" s="49"/>
      <c r="K556" s="49"/>
      <c r="L556" s="49"/>
      <c r="M556" s="49"/>
      <c r="N556" s="49"/>
      <c r="O556" s="49"/>
      <c r="P556" s="49"/>
      <c r="Q556" s="49"/>
      <c r="R556" s="49"/>
      <c r="S556" s="49"/>
      <c r="T556" s="49"/>
      <c r="U556" s="49"/>
      <c r="V556" s="49"/>
      <c r="W556" s="49"/>
      <c r="X556" s="49"/>
      <c r="Y556" s="49"/>
      <c r="Z556" s="49"/>
      <c r="AA556" s="49"/>
      <c r="AB556" s="49"/>
      <c r="AC556" s="49"/>
      <c r="AD556" s="49"/>
    </row>
    <row r="557" spans="1:30" ht="13">
      <c r="A557" s="141"/>
      <c r="B557" s="141"/>
      <c r="C557" s="141"/>
      <c r="D557" s="49"/>
      <c r="E557" s="49"/>
      <c r="F557" s="49"/>
      <c r="G557" s="49"/>
      <c r="H557" s="49"/>
      <c r="I557" s="49"/>
      <c r="J557" s="49"/>
      <c r="K557" s="49"/>
      <c r="L557" s="49"/>
      <c r="M557" s="49"/>
      <c r="N557" s="49"/>
      <c r="O557" s="49"/>
      <c r="P557" s="49"/>
      <c r="Q557" s="49"/>
      <c r="R557" s="49"/>
      <c r="S557" s="49"/>
      <c r="T557" s="49"/>
      <c r="U557" s="49"/>
      <c r="V557" s="49"/>
      <c r="W557" s="49"/>
      <c r="X557" s="49"/>
      <c r="Y557" s="49"/>
      <c r="Z557" s="49"/>
      <c r="AA557" s="49"/>
      <c r="AB557" s="49"/>
      <c r="AC557" s="49"/>
      <c r="AD557" s="49"/>
    </row>
    <row r="558" spans="1:30" ht="13">
      <c r="A558" s="141"/>
      <c r="B558" s="141"/>
      <c r="C558" s="141"/>
      <c r="D558" s="49"/>
      <c r="E558" s="49"/>
      <c r="F558" s="49"/>
      <c r="G558" s="49"/>
      <c r="H558" s="49"/>
      <c r="I558" s="49"/>
      <c r="J558" s="49"/>
      <c r="K558" s="49"/>
      <c r="L558" s="49"/>
      <c r="M558" s="49"/>
      <c r="N558" s="49"/>
      <c r="O558" s="49"/>
      <c r="P558" s="49"/>
      <c r="Q558" s="49"/>
      <c r="R558" s="49"/>
      <c r="S558" s="49"/>
      <c r="T558" s="49"/>
      <c r="U558" s="49"/>
      <c r="V558" s="49"/>
      <c r="W558" s="49"/>
      <c r="X558" s="49"/>
      <c r="Y558" s="49"/>
      <c r="Z558" s="49"/>
      <c r="AA558" s="49"/>
      <c r="AB558" s="49"/>
      <c r="AC558" s="49"/>
      <c r="AD558" s="49"/>
    </row>
    <row r="559" spans="1:30" ht="13">
      <c r="A559" s="141"/>
      <c r="B559" s="141"/>
      <c r="C559" s="141"/>
      <c r="D559" s="49"/>
      <c r="E559" s="49"/>
      <c r="F559" s="49"/>
      <c r="G559" s="49"/>
      <c r="H559" s="49"/>
      <c r="I559" s="49"/>
      <c r="J559" s="49"/>
      <c r="K559" s="49"/>
      <c r="L559" s="49"/>
      <c r="M559" s="49"/>
      <c r="N559" s="49"/>
      <c r="O559" s="49"/>
      <c r="P559" s="49"/>
      <c r="Q559" s="49"/>
      <c r="R559" s="49"/>
      <c r="S559" s="49"/>
      <c r="T559" s="49"/>
      <c r="U559" s="49"/>
      <c r="V559" s="49"/>
      <c r="W559" s="49"/>
      <c r="X559" s="49"/>
      <c r="Y559" s="49"/>
      <c r="Z559" s="49"/>
      <c r="AA559" s="49"/>
      <c r="AB559" s="49"/>
      <c r="AC559" s="49"/>
      <c r="AD559" s="49"/>
    </row>
    <row r="560" spans="1:30" ht="13">
      <c r="A560" s="141"/>
      <c r="B560" s="141"/>
      <c r="C560" s="141"/>
      <c r="D560" s="49"/>
      <c r="E560" s="49"/>
      <c r="F560" s="49"/>
      <c r="G560" s="49"/>
      <c r="H560" s="49"/>
      <c r="I560" s="49"/>
      <c r="J560" s="49"/>
      <c r="K560" s="49"/>
      <c r="L560" s="49"/>
      <c r="M560" s="49"/>
      <c r="N560" s="49"/>
      <c r="O560" s="49"/>
      <c r="P560" s="49"/>
      <c r="Q560" s="49"/>
      <c r="R560" s="49"/>
      <c r="S560" s="49"/>
      <c r="T560" s="49"/>
      <c r="U560" s="49"/>
      <c r="V560" s="49"/>
      <c r="W560" s="49"/>
      <c r="X560" s="49"/>
      <c r="Y560" s="49"/>
      <c r="Z560" s="49"/>
      <c r="AA560" s="49"/>
      <c r="AB560" s="49"/>
      <c r="AC560" s="49"/>
      <c r="AD560" s="49"/>
    </row>
    <row r="561" spans="1:30" ht="13">
      <c r="A561" s="141"/>
      <c r="B561" s="141"/>
      <c r="C561" s="141"/>
      <c r="D561" s="49"/>
      <c r="E561" s="49"/>
      <c r="F561" s="49"/>
      <c r="G561" s="49"/>
      <c r="H561" s="49"/>
      <c r="I561" s="49"/>
      <c r="J561" s="49"/>
      <c r="K561" s="49"/>
      <c r="L561" s="49"/>
      <c r="M561" s="49"/>
      <c r="N561" s="49"/>
      <c r="O561" s="49"/>
      <c r="P561" s="49"/>
      <c r="Q561" s="49"/>
      <c r="R561" s="49"/>
      <c r="S561" s="49"/>
      <c r="T561" s="49"/>
      <c r="U561" s="49"/>
      <c r="V561" s="49"/>
      <c r="W561" s="49"/>
      <c r="X561" s="49"/>
      <c r="Y561" s="49"/>
      <c r="Z561" s="49"/>
      <c r="AA561" s="49"/>
      <c r="AB561" s="49"/>
      <c r="AC561" s="49"/>
      <c r="AD561" s="49"/>
    </row>
    <row r="562" spans="1:30" ht="13">
      <c r="A562" s="141"/>
      <c r="B562" s="141"/>
      <c r="C562" s="141"/>
      <c r="D562" s="49"/>
      <c r="E562" s="49"/>
      <c r="F562" s="49"/>
      <c r="G562" s="49"/>
      <c r="H562" s="49"/>
      <c r="I562" s="49"/>
      <c r="J562" s="49"/>
      <c r="K562" s="49"/>
      <c r="L562" s="49"/>
      <c r="M562" s="49"/>
      <c r="N562" s="49"/>
      <c r="O562" s="49"/>
      <c r="P562" s="49"/>
      <c r="Q562" s="49"/>
      <c r="R562" s="49"/>
      <c r="S562" s="49"/>
      <c r="T562" s="49"/>
      <c r="U562" s="49"/>
      <c r="V562" s="49"/>
      <c r="W562" s="49"/>
      <c r="X562" s="49"/>
      <c r="Y562" s="49"/>
      <c r="Z562" s="49"/>
      <c r="AA562" s="49"/>
      <c r="AB562" s="49"/>
      <c r="AC562" s="49"/>
      <c r="AD562" s="49"/>
    </row>
    <row r="563" spans="1:30" ht="13">
      <c r="A563" s="141"/>
      <c r="B563" s="141"/>
      <c r="C563" s="141"/>
      <c r="D563" s="49"/>
      <c r="E563" s="49"/>
      <c r="F563" s="49"/>
      <c r="G563" s="49"/>
      <c r="H563" s="49"/>
      <c r="I563" s="49"/>
      <c r="J563" s="49"/>
      <c r="K563" s="49"/>
      <c r="L563" s="49"/>
      <c r="M563" s="49"/>
      <c r="N563" s="49"/>
      <c r="O563" s="49"/>
      <c r="P563" s="49"/>
      <c r="Q563" s="49"/>
      <c r="R563" s="49"/>
      <c r="S563" s="49"/>
      <c r="T563" s="49"/>
      <c r="U563" s="49"/>
      <c r="V563" s="49"/>
      <c r="W563" s="49"/>
      <c r="X563" s="49"/>
      <c r="Y563" s="49"/>
      <c r="Z563" s="49"/>
      <c r="AA563" s="49"/>
      <c r="AB563" s="49"/>
      <c r="AC563" s="49"/>
      <c r="AD563" s="49"/>
    </row>
    <row r="564" spans="1:30" ht="13">
      <c r="A564" s="141"/>
      <c r="B564" s="141"/>
      <c r="C564" s="141"/>
      <c r="D564" s="49"/>
      <c r="E564" s="49"/>
      <c r="F564" s="49"/>
      <c r="G564" s="49"/>
      <c r="H564" s="49"/>
      <c r="I564" s="49"/>
      <c r="J564" s="49"/>
      <c r="K564" s="49"/>
      <c r="L564" s="49"/>
      <c r="M564" s="49"/>
      <c r="N564" s="49"/>
      <c r="O564" s="49"/>
      <c r="P564" s="49"/>
      <c r="Q564" s="49"/>
      <c r="R564" s="49"/>
      <c r="S564" s="49"/>
      <c r="T564" s="49"/>
      <c r="U564" s="49"/>
      <c r="V564" s="49"/>
      <c r="W564" s="49"/>
      <c r="X564" s="49"/>
      <c r="Y564" s="49"/>
      <c r="Z564" s="49"/>
      <c r="AA564" s="49"/>
      <c r="AB564" s="49"/>
      <c r="AC564" s="49"/>
      <c r="AD564" s="49"/>
    </row>
    <row r="565" spans="1:30" ht="13">
      <c r="A565" s="141"/>
      <c r="B565" s="141"/>
      <c r="C565" s="141"/>
      <c r="D565" s="49"/>
      <c r="E565" s="49"/>
      <c r="F565" s="49"/>
      <c r="G565" s="49"/>
      <c r="H565" s="49"/>
      <c r="I565" s="49"/>
      <c r="J565" s="49"/>
      <c r="K565" s="49"/>
      <c r="L565" s="49"/>
      <c r="M565" s="49"/>
      <c r="N565" s="49"/>
      <c r="O565" s="49"/>
      <c r="P565" s="49"/>
      <c r="Q565" s="49"/>
      <c r="R565" s="49"/>
      <c r="S565" s="49"/>
      <c r="T565" s="49"/>
      <c r="U565" s="49"/>
      <c r="V565" s="49"/>
      <c r="W565" s="49"/>
      <c r="X565" s="49"/>
      <c r="Y565" s="49"/>
      <c r="Z565" s="49"/>
      <c r="AA565" s="49"/>
      <c r="AB565" s="49"/>
      <c r="AC565" s="49"/>
      <c r="AD565" s="49"/>
    </row>
    <row r="566" spans="1:30" ht="13">
      <c r="A566" s="141"/>
      <c r="B566" s="141"/>
      <c r="C566" s="141"/>
      <c r="D566" s="49"/>
      <c r="E566" s="49"/>
      <c r="F566" s="49"/>
      <c r="G566" s="49"/>
      <c r="H566" s="49"/>
      <c r="I566" s="49"/>
      <c r="J566" s="49"/>
      <c r="K566" s="49"/>
      <c r="L566" s="49"/>
      <c r="M566" s="49"/>
      <c r="N566" s="49"/>
      <c r="O566" s="49"/>
      <c r="P566" s="49"/>
      <c r="Q566" s="49"/>
      <c r="R566" s="49"/>
      <c r="S566" s="49"/>
      <c r="T566" s="49"/>
      <c r="U566" s="49"/>
      <c r="V566" s="49"/>
      <c r="W566" s="49"/>
      <c r="X566" s="49"/>
      <c r="Y566" s="49"/>
      <c r="Z566" s="49"/>
      <c r="AA566" s="49"/>
      <c r="AB566" s="49"/>
      <c r="AC566" s="49"/>
      <c r="AD566" s="49"/>
    </row>
    <row r="567" spans="1:30" ht="13">
      <c r="A567" s="141"/>
      <c r="B567" s="141"/>
      <c r="C567" s="141"/>
      <c r="D567" s="49"/>
      <c r="E567" s="49"/>
      <c r="F567" s="49"/>
      <c r="G567" s="49"/>
      <c r="H567" s="49"/>
      <c r="I567" s="49"/>
      <c r="J567" s="49"/>
      <c r="K567" s="49"/>
      <c r="L567" s="49"/>
      <c r="M567" s="49"/>
      <c r="N567" s="49"/>
      <c r="O567" s="49"/>
      <c r="P567" s="49"/>
      <c r="Q567" s="49"/>
      <c r="R567" s="49"/>
      <c r="S567" s="49"/>
      <c r="T567" s="49"/>
      <c r="U567" s="49"/>
      <c r="V567" s="49"/>
      <c r="W567" s="49"/>
      <c r="X567" s="49"/>
      <c r="Y567" s="49"/>
      <c r="Z567" s="49"/>
      <c r="AA567" s="49"/>
      <c r="AB567" s="49"/>
      <c r="AC567" s="49"/>
      <c r="AD567" s="49"/>
    </row>
    <row r="568" spans="1:30" ht="13">
      <c r="A568" s="141"/>
      <c r="B568" s="141"/>
      <c r="C568" s="141"/>
      <c r="D568" s="49"/>
      <c r="E568" s="49"/>
      <c r="F568" s="49"/>
      <c r="G568" s="49"/>
      <c r="H568" s="49"/>
      <c r="I568" s="49"/>
      <c r="J568" s="49"/>
      <c r="K568" s="49"/>
      <c r="L568" s="49"/>
      <c r="M568" s="49"/>
      <c r="N568" s="49"/>
      <c r="O568" s="49"/>
      <c r="P568" s="49"/>
      <c r="Q568" s="49"/>
      <c r="R568" s="49"/>
      <c r="S568" s="49"/>
      <c r="T568" s="49"/>
      <c r="U568" s="49"/>
      <c r="V568" s="49"/>
      <c r="W568" s="49"/>
      <c r="X568" s="49"/>
      <c r="Y568" s="49"/>
      <c r="Z568" s="49"/>
      <c r="AA568" s="49"/>
      <c r="AB568" s="49"/>
      <c r="AC568" s="49"/>
      <c r="AD568" s="49"/>
    </row>
    <row r="569" spans="1:30" ht="13">
      <c r="A569" s="141"/>
      <c r="B569" s="141"/>
      <c r="C569" s="141"/>
      <c r="D569" s="49"/>
      <c r="E569" s="49"/>
      <c r="F569" s="49"/>
      <c r="G569" s="49"/>
      <c r="H569" s="49"/>
      <c r="I569" s="49"/>
      <c r="J569" s="49"/>
      <c r="K569" s="49"/>
      <c r="L569" s="49"/>
      <c r="M569" s="49"/>
      <c r="N569" s="49"/>
      <c r="O569" s="49"/>
      <c r="P569" s="49"/>
      <c r="Q569" s="49"/>
      <c r="R569" s="49"/>
      <c r="S569" s="49"/>
      <c r="T569" s="49"/>
      <c r="U569" s="49"/>
      <c r="V569" s="49"/>
      <c r="W569" s="49"/>
      <c r="X569" s="49"/>
      <c r="Y569" s="49"/>
      <c r="Z569" s="49"/>
      <c r="AA569" s="49"/>
      <c r="AB569" s="49"/>
      <c r="AC569" s="49"/>
      <c r="AD569" s="49"/>
    </row>
    <row r="570" spans="1:30" ht="13">
      <c r="A570" s="141"/>
      <c r="B570" s="141"/>
      <c r="C570" s="141"/>
      <c r="D570" s="49"/>
      <c r="E570" s="49"/>
      <c r="F570" s="49"/>
      <c r="G570" s="49"/>
      <c r="H570" s="49"/>
      <c r="I570" s="49"/>
      <c r="J570" s="49"/>
      <c r="K570" s="49"/>
      <c r="L570" s="49"/>
      <c r="M570" s="49"/>
      <c r="N570" s="49"/>
      <c r="O570" s="49"/>
      <c r="P570" s="49"/>
      <c r="Q570" s="49"/>
      <c r="R570" s="49"/>
      <c r="S570" s="49"/>
      <c r="T570" s="49"/>
      <c r="U570" s="49"/>
      <c r="V570" s="49"/>
      <c r="W570" s="49"/>
      <c r="X570" s="49"/>
      <c r="Y570" s="49"/>
      <c r="Z570" s="49"/>
      <c r="AA570" s="49"/>
      <c r="AB570" s="49"/>
      <c r="AC570" s="49"/>
      <c r="AD570" s="49"/>
    </row>
    <row r="571" spans="1:30" ht="13">
      <c r="A571" s="141"/>
      <c r="B571" s="141"/>
      <c r="C571" s="141"/>
      <c r="D571" s="49"/>
      <c r="E571" s="49"/>
      <c r="F571" s="49"/>
      <c r="G571" s="49"/>
      <c r="H571" s="49"/>
      <c r="I571" s="49"/>
      <c r="J571" s="49"/>
      <c r="K571" s="49"/>
      <c r="L571" s="49"/>
      <c r="M571" s="49"/>
      <c r="N571" s="49"/>
      <c r="O571" s="49"/>
      <c r="P571" s="49"/>
      <c r="Q571" s="49"/>
      <c r="R571" s="49"/>
      <c r="S571" s="49"/>
      <c r="T571" s="49"/>
      <c r="U571" s="49"/>
      <c r="V571" s="49"/>
      <c r="W571" s="49"/>
      <c r="X571" s="49"/>
      <c r="Y571" s="49"/>
      <c r="Z571" s="49"/>
      <c r="AA571" s="49"/>
      <c r="AB571" s="49"/>
      <c r="AC571" s="49"/>
      <c r="AD571" s="49"/>
    </row>
    <row r="572" spans="1:30" ht="13">
      <c r="A572" s="141"/>
      <c r="B572" s="141"/>
      <c r="C572" s="141"/>
      <c r="D572" s="49"/>
      <c r="E572" s="49"/>
      <c r="F572" s="49"/>
      <c r="G572" s="49"/>
      <c r="H572" s="49"/>
      <c r="I572" s="49"/>
      <c r="J572" s="49"/>
      <c r="K572" s="49"/>
      <c r="L572" s="49"/>
      <c r="M572" s="49"/>
      <c r="N572" s="49"/>
      <c r="O572" s="49"/>
      <c r="P572" s="49"/>
      <c r="Q572" s="49"/>
      <c r="R572" s="49"/>
      <c r="S572" s="49"/>
      <c r="T572" s="49"/>
      <c r="U572" s="49"/>
      <c r="V572" s="49"/>
      <c r="W572" s="49"/>
      <c r="X572" s="49"/>
      <c r="Y572" s="49"/>
      <c r="Z572" s="49"/>
      <c r="AA572" s="49"/>
      <c r="AB572" s="49"/>
      <c r="AC572" s="49"/>
      <c r="AD572" s="49"/>
    </row>
    <row r="573" spans="1:30" ht="13">
      <c r="A573" s="141"/>
      <c r="B573" s="141"/>
      <c r="C573" s="141"/>
      <c r="D573" s="49"/>
      <c r="E573" s="49"/>
      <c r="F573" s="49"/>
      <c r="G573" s="49"/>
      <c r="H573" s="49"/>
      <c r="I573" s="49"/>
      <c r="J573" s="49"/>
      <c r="K573" s="49"/>
      <c r="L573" s="49"/>
      <c r="M573" s="49"/>
      <c r="N573" s="49"/>
      <c r="O573" s="49"/>
      <c r="P573" s="49"/>
      <c r="Q573" s="49"/>
      <c r="R573" s="49"/>
      <c r="S573" s="49"/>
      <c r="T573" s="49"/>
      <c r="U573" s="49"/>
      <c r="V573" s="49"/>
      <c r="W573" s="49"/>
      <c r="X573" s="49"/>
      <c r="Y573" s="49"/>
      <c r="Z573" s="49"/>
      <c r="AA573" s="49"/>
      <c r="AB573" s="49"/>
      <c r="AC573" s="49"/>
      <c r="AD573" s="49"/>
    </row>
    <row r="574" spans="1:30" ht="13">
      <c r="A574" s="141"/>
      <c r="B574" s="141"/>
      <c r="C574" s="141"/>
      <c r="D574" s="49"/>
      <c r="E574" s="49"/>
      <c r="F574" s="49"/>
      <c r="G574" s="49"/>
      <c r="H574" s="49"/>
      <c r="I574" s="49"/>
      <c r="J574" s="49"/>
      <c r="K574" s="49"/>
      <c r="L574" s="49"/>
      <c r="M574" s="49"/>
      <c r="N574" s="49"/>
      <c r="O574" s="49"/>
      <c r="P574" s="49"/>
      <c r="Q574" s="49"/>
      <c r="R574" s="49"/>
      <c r="S574" s="49"/>
      <c r="T574" s="49"/>
      <c r="U574" s="49"/>
      <c r="V574" s="49"/>
      <c r="W574" s="49"/>
      <c r="X574" s="49"/>
      <c r="Y574" s="49"/>
      <c r="Z574" s="49"/>
      <c r="AA574" s="49"/>
      <c r="AB574" s="49"/>
      <c r="AC574" s="49"/>
      <c r="AD574" s="49"/>
    </row>
    <row r="575" spans="1:30" ht="13">
      <c r="A575" s="141"/>
      <c r="B575" s="141"/>
      <c r="C575" s="141"/>
      <c r="D575" s="49"/>
      <c r="E575" s="49"/>
      <c r="F575" s="49"/>
      <c r="G575" s="49"/>
      <c r="H575" s="49"/>
      <c r="I575" s="49"/>
      <c r="J575" s="49"/>
      <c r="K575" s="49"/>
      <c r="L575" s="49"/>
      <c r="M575" s="49"/>
      <c r="N575" s="49"/>
      <c r="O575" s="49"/>
      <c r="P575" s="49"/>
      <c r="Q575" s="49"/>
      <c r="R575" s="49"/>
      <c r="S575" s="49"/>
      <c r="T575" s="49"/>
      <c r="U575" s="49"/>
      <c r="V575" s="49"/>
      <c r="W575" s="49"/>
      <c r="X575" s="49"/>
      <c r="Y575" s="49"/>
      <c r="Z575" s="49"/>
      <c r="AA575" s="49"/>
      <c r="AB575" s="49"/>
      <c r="AC575" s="49"/>
      <c r="AD575" s="49"/>
    </row>
    <row r="576" spans="1:30" ht="13">
      <c r="A576" s="141"/>
      <c r="B576" s="141"/>
      <c r="C576" s="141"/>
      <c r="D576" s="49"/>
      <c r="E576" s="49"/>
      <c r="F576" s="49"/>
      <c r="G576" s="49"/>
      <c r="H576" s="49"/>
      <c r="I576" s="49"/>
      <c r="J576" s="49"/>
      <c r="K576" s="49"/>
      <c r="L576" s="49"/>
      <c r="M576" s="49"/>
      <c r="N576" s="49"/>
      <c r="O576" s="49"/>
      <c r="P576" s="49"/>
      <c r="Q576" s="49"/>
      <c r="R576" s="49"/>
      <c r="S576" s="49"/>
      <c r="T576" s="49"/>
      <c r="U576" s="49"/>
      <c r="V576" s="49"/>
      <c r="W576" s="49"/>
      <c r="X576" s="49"/>
      <c r="Y576" s="49"/>
      <c r="Z576" s="49"/>
      <c r="AA576" s="49"/>
      <c r="AB576" s="49"/>
      <c r="AC576" s="49"/>
      <c r="AD576" s="49"/>
    </row>
    <row r="577" spans="1:30" ht="13">
      <c r="A577" s="141"/>
      <c r="B577" s="141"/>
      <c r="C577" s="141"/>
      <c r="D577" s="49"/>
      <c r="E577" s="49"/>
      <c r="F577" s="49"/>
      <c r="G577" s="49"/>
      <c r="H577" s="49"/>
      <c r="I577" s="49"/>
      <c r="J577" s="49"/>
      <c r="K577" s="49"/>
      <c r="L577" s="49"/>
      <c r="M577" s="49"/>
      <c r="N577" s="49"/>
      <c r="O577" s="49"/>
      <c r="P577" s="49"/>
      <c r="Q577" s="49"/>
      <c r="R577" s="49"/>
      <c r="S577" s="49"/>
      <c r="T577" s="49"/>
      <c r="U577" s="49"/>
      <c r="V577" s="49"/>
      <c r="W577" s="49"/>
      <c r="X577" s="49"/>
      <c r="Y577" s="49"/>
      <c r="Z577" s="49"/>
      <c r="AA577" s="49"/>
      <c r="AB577" s="49"/>
      <c r="AC577" s="49"/>
      <c r="AD577" s="49"/>
    </row>
    <row r="578" spans="1:30" ht="13">
      <c r="A578" s="141"/>
      <c r="B578" s="141"/>
      <c r="C578" s="141"/>
      <c r="D578" s="49"/>
      <c r="E578" s="49"/>
      <c r="F578" s="49"/>
      <c r="G578" s="49"/>
      <c r="H578" s="49"/>
      <c r="I578" s="49"/>
      <c r="J578" s="49"/>
      <c r="K578" s="49"/>
      <c r="L578" s="49"/>
      <c r="M578" s="49"/>
      <c r="N578" s="49"/>
      <c r="O578" s="49"/>
      <c r="P578" s="49"/>
      <c r="Q578" s="49"/>
      <c r="R578" s="49"/>
      <c r="S578" s="49"/>
      <c r="T578" s="49"/>
      <c r="U578" s="49"/>
      <c r="V578" s="49"/>
      <c r="W578" s="49"/>
      <c r="X578" s="49"/>
      <c r="Y578" s="49"/>
      <c r="Z578" s="49"/>
      <c r="AA578" s="49"/>
      <c r="AB578" s="49"/>
      <c r="AC578" s="49"/>
      <c r="AD578" s="49"/>
    </row>
    <row r="579" spans="1:30" ht="13">
      <c r="A579" s="141"/>
      <c r="B579" s="141"/>
      <c r="C579" s="141"/>
      <c r="D579" s="49"/>
      <c r="E579" s="49"/>
      <c r="F579" s="49"/>
      <c r="G579" s="49"/>
      <c r="H579" s="49"/>
      <c r="I579" s="49"/>
      <c r="J579" s="49"/>
      <c r="K579" s="49"/>
      <c r="L579" s="49"/>
      <c r="M579" s="49"/>
      <c r="N579" s="49"/>
      <c r="O579" s="49"/>
      <c r="P579" s="49"/>
      <c r="Q579" s="49"/>
      <c r="R579" s="49"/>
      <c r="S579" s="49"/>
      <c r="T579" s="49"/>
      <c r="U579" s="49"/>
      <c r="V579" s="49"/>
      <c r="W579" s="49"/>
      <c r="X579" s="49"/>
      <c r="Y579" s="49"/>
      <c r="Z579" s="49"/>
      <c r="AA579" s="49"/>
      <c r="AB579" s="49"/>
      <c r="AC579" s="49"/>
      <c r="AD579" s="49"/>
    </row>
    <row r="580" spans="1:30" ht="13">
      <c r="A580" s="141"/>
      <c r="B580" s="141"/>
      <c r="C580" s="141"/>
      <c r="D580" s="49"/>
      <c r="E580" s="49"/>
      <c r="F580" s="49"/>
      <c r="G580" s="49"/>
      <c r="H580" s="49"/>
      <c r="I580" s="49"/>
      <c r="J580" s="49"/>
      <c r="K580" s="49"/>
      <c r="L580" s="49"/>
      <c r="M580" s="49"/>
      <c r="N580" s="49"/>
      <c r="O580" s="49"/>
      <c r="P580" s="49"/>
      <c r="Q580" s="49"/>
      <c r="R580" s="49"/>
      <c r="S580" s="49"/>
      <c r="T580" s="49"/>
      <c r="U580" s="49"/>
      <c r="V580" s="49"/>
      <c r="W580" s="49"/>
      <c r="X580" s="49"/>
      <c r="Y580" s="49"/>
      <c r="Z580" s="49"/>
      <c r="AA580" s="49"/>
      <c r="AB580" s="49"/>
      <c r="AC580" s="49"/>
      <c r="AD580" s="49"/>
    </row>
    <row r="581" spans="1:30" ht="13">
      <c r="A581" s="141"/>
      <c r="B581" s="141"/>
      <c r="C581" s="141"/>
      <c r="D581" s="49"/>
      <c r="E581" s="49"/>
      <c r="F581" s="49"/>
      <c r="G581" s="49"/>
      <c r="H581" s="49"/>
      <c r="I581" s="49"/>
      <c r="J581" s="49"/>
      <c r="K581" s="49"/>
      <c r="L581" s="49"/>
      <c r="M581" s="49"/>
      <c r="N581" s="49"/>
      <c r="O581" s="49"/>
      <c r="P581" s="49"/>
      <c r="Q581" s="49"/>
      <c r="R581" s="49"/>
      <c r="S581" s="49"/>
      <c r="T581" s="49"/>
      <c r="U581" s="49"/>
      <c r="V581" s="49"/>
      <c r="W581" s="49"/>
      <c r="X581" s="49"/>
      <c r="Y581" s="49"/>
      <c r="Z581" s="49"/>
      <c r="AA581" s="49"/>
      <c r="AB581" s="49"/>
      <c r="AC581" s="49"/>
      <c r="AD581" s="49"/>
    </row>
    <row r="582" spans="1:30" ht="13">
      <c r="A582" s="141"/>
      <c r="B582" s="141"/>
      <c r="C582" s="141"/>
      <c r="D582" s="49"/>
      <c r="E582" s="49"/>
      <c r="F582" s="49"/>
      <c r="G582" s="49"/>
      <c r="H582" s="49"/>
      <c r="I582" s="49"/>
      <c r="J582" s="49"/>
      <c r="K582" s="49"/>
      <c r="L582" s="49"/>
      <c r="M582" s="49"/>
      <c r="N582" s="49"/>
      <c r="O582" s="49"/>
      <c r="P582" s="49"/>
      <c r="Q582" s="49"/>
      <c r="R582" s="49"/>
      <c r="S582" s="49"/>
      <c r="T582" s="49"/>
      <c r="U582" s="49"/>
      <c r="V582" s="49"/>
      <c r="W582" s="49"/>
      <c r="X582" s="49"/>
      <c r="Y582" s="49"/>
      <c r="Z582" s="49"/>
      <c r="AA582" s="49"/>
      <c r="AB582" s="49"/>
      <c r="AC582" s="49"/>
      <c r="AD582" s="49"/>
    </row>
    <row r="583" spans="1:30" ht="13">
      <c r="A583" s="141"/>
      <c r="B583" s="141"/>
      <c r="C583" s="141"/>
      <c r="D583" s="49"/>
      <c r="E583" s="49"/>
      <c r="F583" s="49"/>
      <c r="G583" s="49"/>
      <c r="H583" s="49"/>
      <c r="I583" s="49"/>
      <c r="J583" s="49"/>
      <c r="K583" s="49"/>
      <c r="L583" s="49"/>
      <c r="M583" s="49"/>
      <c r="N583" s="49"/>
      <c r="O583" s="49"/>
      <c r="P583" s="49"/>
      <c r="Q583" s="49"/>
      <c r="R583" s="49"/>
      <c r="S583" s="49"/>
      <c r="T583" s="49"/>
      <c r="U583" s="49"/>
      <c r="V583" s="49"/>
      <c r="W583" s="49"/>
      <c r="X583" s="49"/>
      <c r="Y583" s="49"/>
      <c r="Z583" s="49"/>
      <c r="AA583" s="49"/>
      <c r="AB583" s="49"/>
      <c r="AC583" s="49"/>
      <c r="AD583" s="49"/>
    </row>
    <row r="584" spans="1:30" ht="13">
      <c r="A584" s="141"/>
      <c r="B584" s="141"/>
      <c r="C584" s="141"/>
      <c r="D584" s="49"/>
      <c r="E584" s="49"/>
      <c r="F584" s="49"/>
      <c r="G584" s="49"/>
      <c r="H584" s="49"/>
      <c r="I584" s="49"/>
      <c r="J584" s="49"/>
      <c r="K584" s="49"/>
      <c r="L584" s="49"/>
      <c r="M584" s="49"/>
      <c r="N584" s="49"/>
      <c r="O584" s="49"/>
      <c r="P584" s="49"/>
      <c r="Q584" s="49"/>
      <c r="R584" s="49"/>
      <c r="S584" s="49"/>
      <c r="T584" s="49"/>
      <c r="U584" s="49"/>
      <c r="V584" s="49"/>
      <c r="W584" s="49"/>
      <c r="X584" s="49"/>
      <c r="Y584" s="49"/>
      <c r="Z584" s="49"/>
      <c r="AA584" s="49"/>
      <c r="AB584" s="49"/>
      <c r="AC584" s="49"/>
      <c r="AD584" s="49"/>
    </row>
    <row r="585" spans="1:30" ht="13">
      <c r="A585" s="141"/>
      <c r="B585" s="141"/>
      <c r="C585" s="141"/>
      <c r="D585" s="49"/>
      <c r="E585" s="49"/>
      <c r="F585" s="49"/>
      <c r="G585" s="49"/>
      <c r="H585" s="49"/>
      <c r="I585" s="49"/>
      <c r="J585" s="49"/>
      <c r="K585" s="49"/>
      <c r="L585" s="49"/>
      <c r="M585" s="49"/>
      <c r="N585" s="49"/>
      <c r="O585" s="49"/>
      <c r="P585" s="49"/>
      <c r="Q585" s="49"/>
      <c r="R585" s="49"/>
      <c r="S585" s="49"/>
      <c r="T585" s="49"/>
      <c r="U585" s="49"/>
      <c r="V585" s="49"/>
      <c r="W585" s="49"/>
      <c r="X585" s="49"/>
      <c r="Y585" s="49"/>
      <c r="Z585" s="49"/>
      <c r="AA585" s="49"/>
      <c r="AB585" s="49"/>
      <c r="AC585" s="49"/>
      <c r="AD585" s="49"/>
    </row>
    <row r="586" spans="1:30" ht="13">
      <c r="A586" s="141"/>
      <c r="B586" s="141"/>
      <c r="C586" s="141"/>
      <c r="D586" s="49"/>
      <c r="E586" s="49"/>
      <c r="F586" s="49"/>
      <c r="G586" s="49"/>
      <c r="H586" s="49"/>
      <c r="I586" s="49"/>
      <c r="J586" s="49"/>
      <c r="K586" s="49"/>
      <c r="L586" s="49"/>
      <c r="M586" s="49"/>
      <c r="N586" s="49"/>
      <c r="O586" s="49"/>
      <c r="P586" s="49"/>
      <c r="Q586" s="49"/>
      <c r="R586" s="49"/>
      <c r="S586" s="49"/>
      <c r="T586" s="49"/>
      <c r="U586" s="49"/>
      <c r="V586" s="49"/>
      <c r="W586" s="49"/>
      <c r="X586" s="49"/>
      <c r="Y586" s="49"/>
      <c r="Z586" s="49"/>
      <c r="AA586" s="49"/>
      <c r="AB586" s="49"/>
      <c r="AC586" s="49"/>
      <c r="AD586" s="49"/>
    </row>
    <row r="587" spans="1:30" ht="13">
      <c r="A587" s="141"/>
      <c r="B587" s="141"/>
      <c r="C587" s="141"/>
      <c r="D587" s="49"/>
      <c r="E587" s="49"/>
      <c r="F587" s="49"/>
      <c r="G587" s="49"/>
      <c r="H587" s="49"/>
      <c r="I587" s="49"/>
      <c r="J587" s="49"/>
      <c r="K587" s="49"/>
      <c r="L587" s="49"/>
      <c r="M587" s="49"/>
      <c r="N587" s="49"/>
      <c r="O587" s="49"/>
      <c r="P587" s="49"/>
      <c r="Q587" s="49"/>
      <c r="R587" s="49"/>
      <c r="S587" s="49"/>
      <c r="T587" s="49"/>
      <c r="U587" s="49"/>
      <c r="V587" s="49"/>
      <c r="W587" s="49"/>
      <c r="X587" s="49"/>
      <c r="Y587" s="49"/>
      <c r="Z587" s="49"/>
      <c r="AA587" s="49"/>
      <c r="AB587" s="49"/>
      <c r="AC587" s="49"/>
      <c r="AD587" s="49"/>
    </row>
    <row r="588" spans="1:30" ht="13">
      <c r="A588" s="141"/>
      <c r="B588" s="141"/>
      <c r="C588" s="141"/>
      <c r="D588" s="49"/>
      <c r="E588" s="49"/>
      <c r="F588" s="49"/>
      <c r="G588" s="49"/>
      <c r="H588" s="49"/>
      <c r="I588" s="49"/>
      <c r="J588" s="49"/>
      <c r="K588" s="49"/>
      <c r="L588" s="49"/>
      <c r="M588" s="49"/>
      <c r="N588" s="49"/>
      <c r="O588" s="49"/>
      <c r="P588" s="49"/>
      <c r="Q588" s="49"/>
      <c r="R588" s="49"/>
      <c r="S588" s="49"/>
      <c r="T588" s="49"/>
      <c r="U588" s="49"/>
      <c r="V588" s="49"/>
      <c r="W588" s="49"/>
      <c r="X588" s="49"/>
      <c r="Y588" s="49"/>
      <c r="Z588" s="49"/>
      <c r="AA588" s="49"/>
      <c r="AB588" s="49"/>
      <c r="AC588" s="49"/>
      <c r="AD588" s="49"/>
    </row>
    <row r="589" spans="1:30" ht="13">
      <c r="A589" s="141"/>
      <c r="B589" s="141"/>
      <c r="C589" s="141"/>
      <c r="D589" s="49"/>
      <c r="E589" s="49"/>
      <c r="F589" s="49"/>
      <c r="G589" s="49"/>
      <c r="H589" s="49"/>
      <c r="I589" s="49"/>
      <c r="J589" s="49"/>
      <c r="K589" s="49"/>
      <c r="L589" s="49"/>
      <c r="M589" s="49"/>
      <c r="N589" s="49"/>
      <c r="O589" s="49"/>
      <c r="P589" s="49"/>
      <c r="Q589" s="49"/>
      <c r="R589" s="49"/>
      <c r="S589" s="49"/>
      <c r="T589" s="49"/>
      <c r="U589" s="49"/>
      <c r="V589" s="49"/>
      <c r="W589" s="49"/>
      <c r="X589" s="49"/>
      <c r="Y589" s="49"/>
      <c r="Z589" s="49"/>
      <c r="AA589" s="49"/>
      <c r="AB589" s="49"/>
      <c r="AC589" s="49"/>
      <c r="AD589" s="49"/>
    </row>
    <row r="590" spans="1:30" ht="13">
      <c r="A590" s="141"/>
      <c r="B590" s="141"/>
      <c r="C590" s="141"/>
      <c r="D590" s="49"/>
      <c r="E590" s="49"/>
      <c r="F590" s="49"/>
      <c r="G590" s="49"/>
      <c r="H590" s="49"/>
      <c r="I590" s="49"/>
      <c r="J590" s="49"/>
      <c r="K590" s="49"/>
      <c r="L590" s="49"/>
      <c r="M590" s="49"/>
      <c r="N590" s="49"/>
      <c r="O590" s="49"/>
      <c r="P590" s="49"/>
      <c r="Q590" s="49"/>
      <c r="R590" s="49"/>
      <c r="S590" s="49"/>
      <c r="T590" s="49"/>
      <c r="U590" s="49"/>
      <c r="V590" s="49"/>
      <c r="W590" s="49"/>
      <c r="X590" s="49"/>
      <c r="Y590" s="49"/>
      <c r="Z590" s="49"/>
      <c r="AA590" s="49"/>
      <c r="AB590" s="49"/>
      <c r="AC590" s="49"/>
      <c r="AD590" s="49"/>
    </row>
    <row r="591" spans="1:30" ht="13">
      <c r="A591" s="141"/>
      <c r="B591" s="141"/>
      <c r="C591" s="141"/>
      <c r="D591" s="49"/>
      <c r="E591" s="49"/>
      <c r="F591" s="49"/>
      <c r="G591" s="49"/>
      <c r="H591" s="49"/>
      <c r="I591" s="49"/>
      <c r="J591" s="49"/>
      <c r="K591" s="49"/>
      <c r="L591" s="49"/>
      <c r="M591" s="49"/>
      <c r="N591" s="49"/>
      <c r="O591" s="49"/>
      <c r="P591" s="49"/>
      <c r="Q591" s="49"/>
      <c r="R591" s="49"/>
      <c r="S591" s="49"/>
      <c r="T591" s="49"/>
      <c r="U591" s="49"/>
      <c r="V591" s="49"/>
      <c r="W591" s="49"/>
      <c r="X591" s="49"/>
      <c r="Y591" s="49"/>
      <c r="Z591" s="49"/>
      <c r="AA591" s="49"/>
      <c r="AB591" s="49"/>
      <c r="AC591" s="49"/>
      <c r="AD591" s="49"/>
    </row>
    <row r="592" spans="1:30" ht="13">
      <c r="A592" s="141"/>
      <c r="B592" s="141"/>
      <c r="C592" s="141"/>
      <c r="D592" s="49"/>
      <c r="E592" s="49"/>
      <c r="F592" s="49"/>
      <c r="G592" s="49"/>
      <c r="H592" s="49"/>
      <c r="I592" s="49"/>
      <c r="J592" s="49"/>
      <c r="K592" s="49"/>
      <c r="L592" s="49"/>
      <c r="M592" s="49"/>
      <c r="N592" s="49"/>
      <c r="O592" s="49"/>
      <c r="P592" s="49"/>
      <c r="Q592" s="49"/>
      <c r="R592" s="49"/>
      <c r="S592" s="49"/>
      <c r="T592" s="49"/>
      <c r="U592" s="49"/>
      <c r="V592" s="49"/>
      <c r="W592" s="49"/>
      <c r="X592" s="49"/>
      <c r="Y592" s="49"/>
      <c r="Z592" s="49"/>
      <c r="AA592" s="49"/>
      <c r="AB592" s="49"/>
      <c r="AC592" s="49"/>
      <c r="AD592" s="49"/>
    </row>
    <row r="593" spans="1:30" ht="13">
      <c r="A593" s="141"/>
      <c r="B593" s="141"/>
      <c r="C593" s="141"/>
      <c r="D593" s="49"/>
      <c r="E593" s="49"/>
      <c r="F593" s="49"/>
      <c r="G593" s="49"/>
      <c r="H593" s="49"/>
      <c r="I593" s="49"/>
      <c r="J593" s="49"/>
      <c r="K593" s="49"/>
      <c r="L593" s="49"/>
      <c r="M593" s="49"/>
      <c r="N593" s="49"/>
      <c r="O593" s="49"/>
      <c r="P593" s="49"/>
      <c r="Q593" s="49"/>
      <c r="R593" s="49"/>
      <c r="S593" s="49"/>
      <c r="T593" s="49"/>
      <c r="U593" s="49"/>
      <c r="V593" s="49"/>
      <c r="W593" s="49"/>
      <c r="X593" s="49"/>
      <c r="Y593" s="49"/>
      <c r="Z593" s="49"/>
      <c r="AA593" s="49"/>
      <c r="AB593" s="49"/>
      <c r="AC593" s="49"/>
      <c r="AD593" s="49"/>
    </row>
    <row r="594" spans="1:30" ht="13">
      <c r="A594" s="141"/>
      <c r="B594" s="141"/>
      <c r="C594" s="141"/>
      <c r="D594" s="49"/>
      <c r="E594" s="49"/>
      <c r="F594" s="49"/>
      <c r="G594" s="49"/>
      <c r="H594" s="49"/>
      <c r="I594" s="49"/>
      <c r="J594" s="49"/>
      <c r="K594" s="49"/>
      <c r="L594" s="49"/>
      <c r="M594" s="49"/>
      <c r="N594" s="49"/>
      <c r="O594" s="49"/>
      <c r="P594" s="49"/>
      <c r="Q594" s="49"/>
      <c r="R594" s="49"/>
      <c r="S594" s="49"/>
      <c r="T594" s="49"/>
      <c r="U594" s="49"/>
      <c r="V594" s="49"/>
      <c r="W594" s="49"/>
      <c r="X594" s="49"/>
      <c r="Y594" s="49"/>
      <c r="Z594" s="49"/>
      <c r="AA594" s="49"/>
      <c r="AB594" s="49"/>
      <c r="AC594" s="49"/>
      <c r="AD594" s="49"/>
    </row>
    <row r="595" spans="1:30" ht="13">
      <c r="A595" s="141"/>
      <c r="B595" s="141"/>
      <c r="C595" s="141"/>
      <c r="D595" s="49"/>
      <c r="E595" s="49"/>
      <c r="F595" s="49"/>
      <c r="G595" s="49"/>
      <c r="H595" s="49"/>
      <c r="I595" s="49"/>
      <c r="J595" s="49"/>
      <c r="K595" s="49"/>
      <c r="L595" s="49"/>
      <c r="M595" s="49"/>
      <c r="N595" s="49"/>
      <c r="O595" s="49"/>
      <c r="P595" s="49"/>
      <c r="Q595" s="49"/>
      <c r="R595" s="49"/>
      <c r="S595" s="49"/>
      <c r="T595" s="49"/>
      <c r="U595" s="49"/>
      <c r="V595" s="49"/>
      <c r="W595" s="49"/>
      <c r="X595" s="49"/>
      <c r="Y595" s="49"/>
      <c r="Z595" s="49"/>
      <c r="AA595" s="49"/>
      <c r="AB595" s="49"/>
      <c r="AC595" s="49"/>
      <c r="AD595" s="49"/>
    </row>
    <row r="596" spans="1:30" ht="13">
      <c r="A596" s="141"/>
      <c r="B596" s="141"/>
      <c r="C596" s="141"/>
      <c r="D596" s="49"/>
      <c r="E596" s="49"/>
      <c r="F596" s="49"/>
      <c r="G596" s="49"/>
      <c r="H596" s="49"/>
      <c r="I596" s="49"/>
      <c r="J596" s="49"/>
      <c r="K596" s="49"/>
      <c r="L596" s="49"/>
      <c r="M596" s="49"/>
      <c r="N596" s="49"/>
      <c r="O596" s="49"/>
      <c r="P596" s="49"/>
      <c r="Q596" s="49"/>
      <c r="R596" s="49"/>
      <c r="S596" s="49"/>
      <c r="T596" s="49"/>
      <c r="U596" s="49"/>
      <c r="V596" s="49"/>
      <c r="W596" s="49"/>
      <c r="X596" s="49"/>
      <c r="Y596" s="49"/>
      <c r="Z596" s="49"/>
      <c r="AA596" s="49"/>
      <c r="AB596" s="49"/>
      <c r="AC596" s="49"/>
      <c r="AD596" s="49"/>
    </row>
    <row r="597" spans="1:30" ht="13">
      <c r="A597" s="141"/>
      <c r="B597" s="141"/>
      <c r="C597" s="141"/>
      <c r="D597" s="49"/>
      <c r="E597" s="49"/>
      <c r="F597" s="49"/>
      <c r="G597" s="49"/>
      <c r="H597" s="49"/>
      <c r="I597" s="49"/>
      <c r="J597" s="49"/>
      <c r="K597" s="49"/>
      <c r="L597" s="49"/>
      <c r="M597" s="49"/>
      <c r="N597" s="49"/>
      <c r="O597" s="49"/>
      <c r="P597" s="49"/>
      <c r="Q597" s="49"/>
      <c r="R597" s="49"/>
      <c r="S597" s="49"/>
      <c r="T597" s="49"/>
      <c r="U597" s="49"/>
      <c r="V597" s="49"/>
      <c r="W597" s="49"/>
      <c r="X597" s="49"/>
      <c r="Y597" s="49"/>
      <c r="Z597" s="49"/>
      <c r="AA597" s="49"/>
      <c r="AB597" s="49"/>
      <c r="AC597" s="49"/>
      <c r="AD597" s="49"/>
    </row>
    <row r="598" spans="1:30" ht="13">
      <c r="A598" s="141"/>
      <c r="B598" s="141"/>
      <c r="C598" s="141"/>
      <c r="D598" s="49"/>
      <c r="E598" s="49"/>
      <c r="F598" s="49"/>
      <c r="G598" s="49"/>
      <c r="H598" s="49"/>
      <c r="I598" s="49"/>
      <c r="J598" s="49"/>
      <c r="K598" s="49"/>
      <c r="L598" s="49"/>
      <c r="M598" s="49"/>
      <c r="N598" s="49"/>
      <c r="O598" s="49"/>
      <c r="P598" s="49"/>
      <c r="Q598" s="49"/>
      <c r="R598" s="49"/>
      <c r="S598" s="49"/>
      <c r="T598" s="49"/>
      <c r="U598" s="49"/>
      <c r="V598" s="49"/>
      <c r="W598" s="49"/>
      <c r="X598" s="49"/>
      <c r="Y598" s="49"/>
      <c r="Z598" s="49"/>
      <c r="AA598" s="49"/>
      <c r="AB598" s="49"/>
      <c r="AC598" s="49"/>
      <c r="AD598" s="49"/>
    </row>
    <row r="599" spans="1:30" ht="13">
      <c r="A599" s="141"/>
      <c r="B599" s="141"/>
      <c r="C599" s="141"/>
      <c r="D599" s="49"/>
      <c r="E599" s="49"/>
      <c r="F599" s="49"/>
      <c r="G599" s="49"/>
      <c r="H599" s="49"/>
      <c r="I599" s="49"/>
      <c r="J599" s="49"/>
      <c r="K599" s="49"/>
      <c r="L599" s="49"/>
      <c r="M599" s="49"/>
      <c r="N599" s="49"/>
      <c r="O599" s="49"/>
      <c r="P599" s="49"/>
      <c r="Q599" s="49"/>
      <c r="R599" s="49"/>
      <c r="S599" s="49"/>
      <c r="T599" s="49"/>
      <c r="U599" s="49"/>
      <c r="V599" s="49"/>
      <c r="W599" s="49"/>
      <c r="X599" s="49"/>
      <c r="Y599" s="49"/>
      <c r="Z599" s="49"/>
      <c r="AA599" s="49"/>
      <c r="AB599" s="49"/>
      <c r="AC599" s="49"/>
      <c r="AD599" s="49"/>
    </row>
    <row r="600" spans="1:30" ht="13">
      <c r="A600" s="141"/>
      <c r="B600" s="141"/>
      <c r="C600" s="141"/>
      <c r="D600" s="49"/>
      <c r="E600" s="49"/>
      <c r="F600" s="49"/>
      <c r="G600" s="49"/>
      <c r="H600" s="49"/>
      <c r="I600" s="49"/>
      <c r="J600" s="49"/>
      <c r="K600" s="49"/>
      <c r="L600" s="49"/>
      <c r="M600" s="49"/>
      <c r="N600" s="49"/>
      <c r="O600" s="49"/>
      <c r="P600" s="49"/>
      <c r="Q600" s="49"/>
      <c r="R600" s="49"/>
      <c r="S600" s="49"/>
      <c r="T600" s="49"/>
      <c r="U600" s="49"/>
      <c r="V600" s="49"/>
      <c r="W600" s="49"/>
      <c r="X600" s="49"/>
      <c r="Y600" s="49"/>
      <c r="Z600" s="49"/>
      <c r="AA600" s="49"/>
      <c r="AB600" s="49"/>
      <c r="AC600" s="49"/>
      <c r="AD600" s="49"/>
    </row>
    <row r="601" spans="1:30" ht="13">
      <c r="A601" s="141"/>
      <c r="B601" s="141"/>
      <c r="C601" s="141"/>
      <c r="D601" s="49"/>
      <c r="E601" s="49"/>
      <c r="F601" s="49"/>
      <c r="G601" s="49"/>
      <c r="H601" s="49"/>
      <c r="I601" s="49"/>
      <c r="J601" s="49"/>
      <c r="K601" s="49"/>
      <c r="L601" s="49"/>
      <c r="M601" s="49"/>
      <c r="N601" s="49"/>
      <c r="O601" s="49"/>
      <c r="P601" s="49"/>
      <c r="Q601" s="49"/>
      <c r="R601" s="49"/>
      <c r="S601" s="49"/>
      <c r="T601" s="49"/>
      <c r="U601" s="49"/>
      <c r="V601" s="49"/>
      <c r="W601" s="49"/>
      <c r="X601" s="49"/>
      <c r="Y601" s="49"/>
      <c r="Z601" s="49"/>
      <c r="AA601" s="49"/>
      <c r="AB601" s="49"/>
      <c r="AC601" s="49"/>
      <c r="AD601" s="49"/>
    </row>
    <row r="602" spans="1:30" ht="13">
      <c r="A602" s="141"/>
      <c r="B602" s="141"/>
      <c r="C602" s="141"/>
      <c r="D602" s="49"/>
      <c r="E602" s="49"/>
      <c r="F602" s="49"/>
      <c r="G602" s="49"/>
      <c r="H602" s="49"/>
      <c r="I602" s="49"/>
      <c r="J602" s="49"/>
      <c r="K602" s="49"/>
      <c r="L602" s="49"/>
      <c r="M602" s="49"/>
      <c r="N602" s="49"/>
      <c r="O602" s="49"/>
      <c r="P602" s="49"/>
      <c r="Q602" s="49"/>
      <c r="R602" s="49"/>
      <c r="S602" s="49"/>
      <c r="T602" s="49"/>
      <c r="U602" s="49"/>
      <c r="V602" s="49"/>
      <c r="W602" s="49"/>
      <c r="X602" s="49"/>
      <c r="Y602" s="49"/>
      <c r="Z602" s="49"/>
      <c r="AA602" s="49"/>
      <c r="AB602" s="49"/>
      <c r="AC602" s="49"/>
      <c r="AD602" s="49"/>
    </row>
    <row r="603" spans="1:30" ht="13">
      <c r="A603" s="141"/>
      <c r="B603" s="141"/>
      <c r="C603" s="141"/>
      <c r="D603" s="49"/>
      <c r="E603" s="49"/>
      <c r="F603" s="49"/>
      <c r="G603" s="49"/>
      <c r="H603" s="49"/>
      <c r="I603" s="49"/>
      <c r="J603" s="49"/>
      <c r="K603" s="49"/>
      <c r="L603" s="49"/>
      <c r="M603" s="49"/>
      <c r="N603" s="49"/>
      <c r="O603" s="49"/>
      <c r="P603" s="49"/>
      <c r="Q603" s="49"/>
      <c r="R603" s="49"/>
      <c r="S603" s="49"/>
      <c r="T603" s="49"/>
      <c r="U603" s="49"/>
      <c r="V603" s="49"/>
      <c r="W603" s="49"/>
      <c r="X603" s="49"/>
      <c r="Y603" s="49"/>
      <c r="Z603" s="49"/>
      <c r="AA603" s="49"/>
      <c r="AB603" s="49"/>
      <c r="AC603" s="49"/>
      <c r="AD603" s="49"/>
    </row>
    <row r="604" spans="1:30" ht="13">
      <c r="A604" s="141"/>
      <c r="B604" s="141"/>
      <c r="C604" s="141"/>
      <c r="D604" s="49"/>
      <c r="E604" s="49"/>
      <c r="F604" s="49"/>
      <c r="G604" s="49"/>
      <c r="H604" s="49"/>
      <c r="I604" s="49"/>
      <c r="J604" s="49"/>
      <c r="K604" s="49"/>
      <c r="L604" s="49"/>
      <c r="M604" s="49"/>
      <c r="N604" s="49"/>
      <c r="O604" s="49"/>
      <c r="P604" s="49"/>
      <c r="Q604" s="49"/>
      <c r="R604" s="49"/>
      <c r="S604" s="49"/>
      <c r="T604" s="49"/>
      <c r="U604" s="49"/>
      <c r="V604" s="49"/>
      <c r="W604" s="49"/>
      <c r="X604" s="49"/>
      <c r="Y604" s="49"/>
      <c r="Z604" s="49"/>
      <c r="AA604" s="49"/>
      <c r="AB604" s="49"/>
      <c r="AC604" s="49"/>
      <c r="AD604" s="49"/>
    </row>
    <row r="605" spans="1:30" ht="13">
      <c r="A605" s="141"/>
      <c r="B605" s="141"/>
      <c r="C605" s="141"/>
      <c r="D605" s="49"/>
      <c r="E605" s="49"/>
      <c r="F605" s="49"/>
      <c r="G605" s="49"/>
      <c r="H605" s="49"/>
      <c r="I605" s="49"/>
      <c r="J605" s="49"/>
      <c r="K605" s="49"/>
      <c r="L605" s="49"/>
      <c r="M605" s="49"/>
      <c r="N605" s="49"/>
      <c r="O605" s="49"/>
      <c r="P605" s="49"/>
      <c r="Q605" s="49"/>
      <c r="R605" s="49"/>
      <c r="S605" s="49"/>
      <c r="T605" s="49"/>
      <c r="U605" s="49"/>
      <c r="V605" s="49"/>
      <c r="W605" s="49"/>
      <c r="X605" s="49"/>
      <c r="Y605" s="49"/>
      <c r="Z605" s="49"/>
      <c r="AA605" s="49"/>
      <c r="AB605" s="49"/>
      <c r="AC605" s="49"/>
      <c r="AD605" s="49"/>
    </row>
    <row r="606" spans="1:30" ht="13">
      <c r="A606" s="141"/>
      <c r="B606" s="141"/>
      <c r="C606" s="141"/>
      <c r="D606" s="49"/>
      <c r="E606" s="49"/>
      <c r="F606" s="49"/>
      <c r="G606" s="49"/>
      <c r="H606" s="49"/>
      <c r="I606" s="49"/>
      <c r="J606" s="49"/>
      <c r="K606" s="49"/>
      <c r="L606" s="49"/>
      <c r="M606" s="49"/>
      <c r="N606" s="49"/>
      <c r="O606" s="49"/>
      <c r="P606" s="49"/>
      <c r="Q606" s="49"/>
      <c r="R606" s="49"/>
      <c r="S606" s="49"/>
      <c r="T606" s="49"/>
      <c r="U606" s="49"/>
      <c r="V606" s="49"/>
      <c r="W606" s="49"/>
      <c r="X606" s="49"/>
      <c r="Y606" s="49"/>
      <c r="Z606" s="49"/>
      <c r="AA606" s="49"/>
      <c r="AB606" s="49"/>
      <c r="AC606" s="49"/>
      <c r="AD606" s="49"/>
    </row>
    <row r="607" spans="1:30" ht="13">
      <c r="A607" s="141"/>
      <c r="B607" s="141"/>
      <c r="C607" s="141"/>
      <c r="D607" s="49"/>
      <c r="E607" s="49"/>
      <c r="F607" s="49"/>
      <c r="G607" s="49"/>
      <c r="H607" s="49"/>
      <c r="I607" s="49"/>
      <c r="J607" s="49"/>
      <c r="K607" s="49"/>
      <c r="L607" s="49"/>
      <c r="M607" s="49"/>
      <c r="N607" s="49"/>
      <c r="O607" s="49"/>
      <c r="P607" s="49"/>
      <c r="Q607" s="49"/>
      <c r="R607" s="49"/>
      <c r="S607" s="49"/>
      <c r="T607" s="49"/>
      <c r="U607" s="49"/>
      <c r="V607" s="49"/>
      <c r="W607" s="49"/>
      <c r="X607" s="49"/>
      <c r="Y607" s="49"/>
      <c r="Z607" s="49"/>
      <c r="AA607" s="49"/>
      <c r="AB607" s="49"/>
      <c r="AC607" s="49"/>
      <c r="AD607" s="49"/>
    </row>
    <row r="608" spans="1:30" ht="13">
      <c r="A608" s="141"/>
      <c r="B608" s="141"/>
      <c r="C608" s="141"/>
      <c r="D608" s="49"/>
      <c r="E608" s="49"/>
      <c r="F608" s="49"/>
      <c r="G608" s="49"/>
      <c r="H608" s="49"/>
      <c r="I608" s="49"/>
      <c r="J608" s="49"/>
      <c r="K608" s="49"/>
      <c r="L608" s="49"/>
      <c r="M608" s="49"/>
      <c r="N608" s="49"/>
      <c r="O608" s="49"/>
      <c r="P608" s="49"/>
      <c r="Q608" s="49"/>
      <c r="R608" s="49"/>
      <c r="S608" s="49"/>
      <c r="T608" s="49"/>
      <c r="U608" s="49"/>
      <c r="V608" s="49"/>
      <c r="W608" s="49"/>
      <c r="X608" s="49"/>
      <c r="Y608" s="49"/>
      <c r="Z608" s="49"/>
      <c r="AA608" s="49"/>
      <c r="AB608" s="49"/>
      <c r="AC608" s="49"/>
      <c r="AD608" s="49"/>
    </row>
    <row r="609" spans="1:30" ht="13">
      <c r="A609" s="141"/>
      <c r="B609" s="141"/>
      <c r="C609" s="141"/>
      <c r="D609" s="49"/>
      <c r="E609" s="49"/>
      <c r="F609" s="49"/>
      <c r="G609" s="49"/>
      <c r="H609" s="49"/>
      <c r="I609" s="49"/>
      <c r="J609" s="49"/>
      <c r="K609" s="49"/>
      <c r="L609" s="49"/>
      <c r="M609" s="49"/>
      <c r="N609" s="49"/>
      <c r="O609" s="49"/>
      <c r="P609" s="49"/>
      <c r="Q609" s="49"/>
      <c r="R609" s="49"/>
      <c r="S609" s="49"/>
      <c r="T609" s="49"/>
      <c r="U609" s="49"/>
      <c r="V609" s="49"/>
      <c r="W609" s="49"/>
      <c r="X609" s="49"/>
      <c r="Y609" s="49"/>
      <c r="Z609" s="49"/>
      <c r="AA609" s="49"/>
      <c r="AB609" s="49"/>
      <c r="AC609" s="49"/>
      <c r="AD609" s="49"/>
    </row>
    <row r="610" spans="1:30" ht="13">
      <c r="A610" s="141"/>
      <c r="B610" s="141"/>
      <c r="C610" s="141"/>
      <c r="D610" s="49"/>
      <c r="E610" s="49"/>
      <c r="F610" s="49"/>
      <c r="G610" s="49"/>
      <c r="H610" s="49"/>
      <c r="I610" s="49"/>
      <c r="J610" s="49"/>
      <c r="K610" s="49"/>
      <c r="L610" s="49"/>
      <c r="M610" s="49"/>
      <c r="N610" s="49"/>
      <c r="O610" s="49"/>
      <c r="P610" s="49"/>
      <c r="Q610" s="49"/>
      <c r="R610" s="49"/>
      <c r="S610" s="49"/>
      <c r="T610" s="49"/>
      <c r="U610" s="49"/>
      <c r="V610" s="49"/>
      <c r="W610" s="49"/>
      <c r="X610" s="49"/>
      <c r="Y610" s="49"/>
      <c r="Z610" s="49"/>
      <c r="AA610" s="49"/>
      <c r="AB610" s="49"/>
      <c r="AC610" s="49"/>
      <c r="AD610" s="49"/>
    </row>
    <row r="611" spans="1:30" ht="13">
      <c r="A611" s="141"/>
      <c r="B611" s="141"/>
      <c r="C611" s="141"/>
      <c r="D611" s="49"/>
      <c r="E611" s="49"/>
      <c r="F611" s="49"/>
      <c r="G611" s="49"/>
      <c r="H611" s="49"/>
      <c r="I611" s="49"/>
      <c r="J611" s="49"/>
      <c r="K611" s="49"/>
      <c r="L611" s="49"/>
      <c r="M611" s="49"/>
      <c r="N611" s="49"/>
      <c r="O611" s="49"/>
      <c r="P611" s="49"/>
      <c r="Q611" s="49"/>
      <c r="R611" s="49"/>
      <c r="S611" s="49"/>
      <c r="T611" s="49"/>
      <c r="U611" s="49"/>
      <c r="V611" s="49"/>
      <c r="W611" s="49"/>
      <c r="X611" s="49"/>
      <c r="Y611" s="49"/>
      <c r="Z611" s="49"/>
      <c r="AA611" s="49"/>
      <c r="AB611" s="49"/>
      <c r="AC611" s="49"/>
      <c r="AD611" s="49"/>
    </row>
    <row r="612" spans="1:30" ht="13">
      <c r="A612" s="141"/>
      <c r="B612" s="141"/>
      <c r="C612" s="141"/>
      <c r="D612" s="49"/>
      <c r="E612" s="49"/>
      <c r="F612" s="49"/>
      <c r="G612" s="49"/>
      <c r="H612" s="49"/>
      <c r="I612" s="49"/>
      <c r="J612" s="49"/>
      <c r="K612" s="49"/>
      <c r="L612" s="49"/>
      <c r="M612" s="49"/>
      <c r="N612" s="49"/>
      <c r="O612" s="49"/>
      <c r="P612" s="49"/>
      <c r="Q612" s="49"/>
      <c r="R612" s="49"/>
      <c r="S612" s="49"/>
      <c r="T612" s="49"/>
      <c r="U612" s="49"/>
      <c r="V612" s="49"/>
      <c r="W612" s="49"/>
      <c r="X612" s="49"/>
      <c r="Y612" s="49"/>
      <c r="Z612" s="49"/>
      <c r="AA612" s="49"/>
      <c r="AB612" s="49"/>
      <c r="AC612" s="49"/>
      <c r="AD612" s="49"/>
    </row>
    <row r="613" spans="1:30" ht="13">
      <c r="A613" s="141"/>
      <c r="B613" s="141"/>
      <c r="C613" s="141"/>
      <c r="D613" s="49"/>
      <c r="E613" s="49"/>
      <c r="F613" s="49"/>
      <c r="G613" s="49"/>
      <c r="H613" s="49"/>
      <c r="I613" s="49"/>
      <c r="J613" s="49"/>
      <c r="K613" s="49"/>
      <c r="L613" s="49"/>
      <c r="M613" s="49"/>
      <c r="N613" s="49"/>
      <c r="O613" s="49"/>
      <c r="P613" s="49"/>
      <c r="Q613" s="49"/>
      <c r="R613" s="49"/>
      <c r="S613" s="49"/>
      <c r="T613" s="49"/>
      <c r="U613" s="49"/>
      <c r="V613" s="49"/>
      <c r="W613" s="49"/>
      <c r="X613" s="49"/>
      <c r="Y613" s="49"/>
      <c r="Z613" s="49"/>
      <c r="AA613" s="49"/>
      <c r="AB613" s="49"/>
      <c r="AC613" s="49"/>
      <c r="AD613" s="49"/>
    </row>
    <row r="614" spans="1:30" ht="13">
      <c r="A614" s="141"/>
      <c r="B614" s="141"/>
      <c r="C614" s="141"/>
      <c r="D614" s="49"/>
      <c r="E614" s="49"/>
      <c r="F614" s="49"/>
      <c r="G614" s="49"/>
      <c r="H614" s="49"/>
      <c r="I614" s="49"/>
      <c r="J614" s="49"/>
      <c r="K614" s="49"/>
      <c r="L614" s="49"/>
      <c r="M614" s="49"/>
      <c r="N614" s="49"/>
      <c r="O614" s="49"/>
      <c r="P614" s="49"/>
      <c r="Q614" s="49"/>
      <c r="R614" s="49"/>
      <c r="S614" s="49"/>
      <c r="T614" s="49"/>
      <c r="U614" s="49"/>
      <c r="V614" s="49"/>
      <c r="W614" s="49"/>
      <c r="X614" s="49"/>
      <c r="Y614" s="49"/>
      <c r="Z614" s="49"/>
      <c r="AA614" s="49"/>
      <c r="AB614" s="49"/>
      <c r="AC614" s="49"/>
      <c r="AD614" s="49"/>
    </row>
    <row r="615" spans="1:30" ht="13">
      <c r="A615" s="141"/>
      <c r="B615" s="141"/>
      <c r="C615" s="141"/>
      <c r="D615" s="49"/>
      <c r="E615" s="49"/>
      <c r="F615" s="49"/>
      <c r="G615" s="49"/>
      <c r="H615" s="49"/>
      <c r="I615" s="49"/>
      <c r="J615" s="49"/>
      <c r="K615" s="49"/>
      <c r="L615" s="49"/>
      <c r="M615" s="49"/>
      <c r="N615" s="49"/>
      <c r="O615" s="49"/>
      <c r="P615" s="49"/>
      <c r="Q615" s="49"/>
      <c r="R615" s="49"/>
      <c r="S615" s="49"/>
      <c r="T615" s="49"/>
      <c r="U615" s="49"/>
      <c r="V615" s="49"/>
      <c r="W615" s="49"/>
      <c r="X615" s="49"/>
      <c r="Y615" s="49"/>
      <c r="Z615" s="49"/>
      <c r="AA615" s="49"/>
      <c r="AB615" s="49"/>
      <c r="AC615" s="49"/>
      <c r="AD615" s="49"/>
    </row>
    <row r="616" spans="1:30" ht="13">
      <c r="A616" s="141"/>
      <c r="B616" s="141"/>
      <c r="C616" s="141"/>
      <c r="D616" s="49"/>
      <c r="E616" s="49"/>
      <c r="F616" s="49"/>
      <c r="G616" s="49"/>
      <c r="H616" s="49"/>
      <c r="I616" s="49"/>
      <c r="J616" s="49"/>
      <c r="K616" s="49"/>
      <c r="L616" s="49"/>
      <c r="M616" s="49"/>
      <c r="N616" s="49"/>
      <c r="O616" s="49"/>
      <c r="P616" s="49"/>
      <c r="Q616" s="49"/>
      <c r="R616" s="49"/>
      <c r="S616" s="49"/>
      <c r="T616" s="49"/>
      <c r="U616" s="49"/>
      <c r="V616" s="49"/>
      <c r="W616" s="49"/>
      <c r="X616" s="49"/>
      <c r="Y616" s="49"/>
      <c r="Z616" s="49"/>
      <c r="AA616" s="49"/>
      <c r="AB616" s="49"/>
      <c r="AC616" s="49"/>
      <c r="AD616" s="49"/>
    </row>
    <row r="617" spans="1:30" ht="13">
      <c r="A617" s="141"/>
      <c r="B617" s="141"/>
      <c r="C617" s="141"/>
      <c r="D617" s="49"/>
      <c r="E617" s="49"/>
      <c r="F617" s="49"/>
      <c r="G617" s="49"/>
      <c r="H617" s="49"/>
      <c r="I617" s="49"/>
      <c r="J617" s="49"/>
      <c r="K617" s="49"/>
      <c r="L617" s="49"/>
      <c r="M617" s="49"/>
      <c r="N617" s="49"/>
      <c r="O617" s="49"/>
      <c r="P617" s="49"/>
      <c r="Q617" s="49"/>
      <c r="R617" s="49"/>
      <c r="S617" s="49"/>
      <c r="T617" s="49"/>
      <c r="U617" s="49"/>
      <c r="V617" s="49"/>
      <c r="W617" s="49"/>
      <c r="X617" s="49"/>
      <c r="Y617" s="49"/>
      <c r="Z617" s="49"/>
      <c r="AA617" s="49"/>
      <c r="AB617" s="49"/>
      <c r="AC617" s="49"/>
      <c r="AD617" s="49"/>
    </row>
    <row r="618" spans="1:30" ht="13">
      <c r="A618" s="141"/>
      <c r="B618" s="141"/>
      <c r="C618" s="141"/>
      <c r="D618" s="49"/>
      <c r="E618" s="49"/>
      <c r="F618" s="49"/>
      <c r="G618" s="49"/>
      <c r="H618" s="49"/>
      <c r="I618" s="49"/>
      <c r="J618" s="49"/>
      <c r="K618" s="49"/>
      <c r="L618" s="49"/>
      <c r="M618" s="49"/>
      <c r="N618" s="49"/>
      <c r="O618" s="49"/>
      <c r="P618" s="49"/>
      <c r="Q618" s="49"/>
      <c r="R618" s="49"/>
      <c r="S618" s="49"/>
      <c r="T618" s="49"/>
      <c r="U618" s="49"/>
      <c r="V618" s="49"/>
      <c r="W618" s="49"/>
      <c r="X618" s="49"/>
      <c r="Y618" s="49"/>
      <c r="Z618" s="49"/>
      <c r="AA618" s="49"/>
      <c r="AB618" s="49"/>
      <c r="AC618" s="49"/>
      <c r="AD618" s="49"/>
    </row>
    <row r="619" spans="1:30" ht="13">
      <c r="A619" s="141"/>
      <c r="B619" s="141"/>
      <c r="C619" s="141"/>
      <c r="D619" s="49"/>
      <c r="E619" s="49"/>
      <c r="F619" s="49"/>
      <c r="G619" s="49"/>
      <c r="H619" s="49"/>
      <c r="I619" s="49"/>
      <c r="J619" s="49"/>
      <c r="K619" s="49"/>
      <c r="L619" s="49"/>
      <c r="M619" s="49"/>
      <c r="N619" s="49"/>
      <c r="O619" s="49"/>
      <c r="P619" s="49"/>
      <c r="Q619" s="49"/>
      <c r="R619" s="49"/>
      <c r="S619" s="49"/>
      <c r="T619" s="49"/>
      <c r="U619" s="49"/>
      <c r="V619" s="49"/>
      <c r="W619" s="49"/>
      <c r="X619" s="49"/>
      <c r="Y619" s="49"/>
      <c r="Z619" s="49"/>
      <c r="AA619" s="49"/>
      <c r="AB619" s="49"/>
      <c r="AC619" s="49"/>
      <c r="AD619" s="49"/>
    </row>
    <row r="620" spans="1:30" ht="13">
      <c r="A620" s="141"/>
      <c r="B620" s="141"/>
      <c r="C620" s="141"/>
      <c r="D620" s="49"/>
      <c r="E620" s="49"/>
      <c r="F620" s="49"/>
      <c r="G620" s="49"/>
      <c r="H620" s="49"/>
      <c r="I620" s="49"/>
      <c r="J620" s="49"/>
      <c r="K620" s="49"/>
      <c r="L620" s="49"/>
      <c r="M620" s="49"/>
      <c r="N620" s="49"/>
      <c r="O620" s="49"/>
      <c r="P620" s="49"/>
      <c r="Q620" s="49"/>
      <c r="R620" s="49"/>
      <c r="S620" s="49"/>
      <c r="T620" s="49"/>
      <c r="U620" s="49"/>
      <c r="V620" s="49"/>
      <c r="W620" s="49"/>
      <c r="X620" s="49"/>
      <c r="Y620" s="49"/>
      <c r="Z620" s="49"/>
      <c r="AA620" s="49"/>
      <c r="AB620" s="49"/>
      <c r="AC620" s="49"/>
      <c r="AD620" s="49"/>
    </row>
    <row r="621" spans="1:30" ht="13">
      <c r="A621" s="141"/>
      <c r="B621" s="141"/>
      <c r="C621" s="141"/>
      <c r="D621" s="49"/>
      <c r="E621" s="49"/>
      <c r="F621" s="49"/>
      <c r="G621" s="49"/>
      <c r="H621" s="49"/>
      <c r="I621" s="49"/>
      <c r="J621" s="49"/>
      <c r="K621" s="49"/>
      <c r="L621" s="49"/>
      <c r="M621" s="49"/>
      <c r="N621" s="49"/>
      <c r="O621" s="49"/>
      <c r="P621" s="49"/>
      <c r="Q621" s="49"/>
      <c r="R621" s="49"/>
      <c r="S621" s="49"/>
      <c r="T621" s="49"/>
      <c r="U621" s="49"/>
      <c r="V621" s="49"/>
      <c r="W621" s="49"/>
      <c r="X621" s="49"/>
      <c r="Y621" s="49"/>
      <c r="Z621" s="49"/>
      <c r="AA621" s="49"/>
      <c r="AB621" s="49"/>
      <c r="AC621" s="49"/>
      <c r="AD621" s="49"/>
    </row>
    <row r="622" spans="1:30" ht="13">
      <c r="A622" s="141"/>
      <c r="B622" s="141"/>
      <c r="C622" s="141"/>
      <c r="D622" s="49"/>
      <c r="E622" s="49"/>
      <c r="F622" s="49"/>
      <c r="G622" s="49"/>
      <c r="H622" s="49"/>
      <c r="I622" s="49"/>
      <c r="J622" s="49"/>
      <c r="K622" s="49"/>
      <c r="L622" s="49"/>
      <c r="M622" s="49"/>
      <c r="N622" s="49"/>
      <c r="O622" s="49"/>
      <c r="P622" s="49"/>
      <c r="Q622" s="49"/>
      <c r="R622" s="49"/>
      <c r="S622" s="49"/>
      <c r="T622" s="49"/>
      <c r="U622" s="49"/>
      <c r="V622" s="49"/>
      <c r="W622" s="49"/>
      <c r="X622" s="49"/>
      <c r="Y622" s="49"/>
      <c r="Z622" s="49"/>
      <c r="AA622" s="49"/>
      <c r="AB622" s="49"/>
      <c r="AC622" s="49"/>
      <c r="AD622" s="49"/>
    </row>
    <row r="623" spans="1:30" ht="13">
      <c r="A623" s="141"/>
      <c r="B623" s="141"/>
      <c r="C623" s="141"/>
      <c r="D623" s="49"/>
      <c r="E623" s="49"/>
      <c r="F623" s="49"/>
      <c r="G623" s="49"/>
      <c r="H623" s="49"/>
      <c r="I623" s="49"/>
      <c r="J623" s="49"/>
      <c r="K623" s="49"/>
      <c r="L623" s="49"/>
      <c r="M623" s="49"/>
      <c r="N623" s="49"/>
      <c r="O623" s="49"/>
      <c r="P623" s="49"/>
      <c r="Q623" s="49"/>
      <c r="R623" s="49"/>
      <c r="S623" s="49"/>
      <c r="T623" s="49"/>
      <c r="U623" s="49"/>
      <c r="V623" s="49"/>
      <c r="W623" s="49"/>
      <c r="X623" s="49"/>
      <c r="Y623" s="49"/>
      <c r="Z623" s="49"/>
      <c r="AA623" s="49"/>
      <c r="AB623" s="49"/>
      <c r="AC623" s="49"/>
      <c r="AD623" s="49"/>
    </row>
    <row r="624" spans="1:30" ht="13">
      <c r="A624" s="141"/>
      <c r="B624" s="141"/>
      <c r="C624" s="141"/>
      <c r="D624" s="49"/>
      <c r="E624" s="49"/>
      <c r="F624" s="49"/>
      <c r="G624" s="49"/>
      <c r="H624" s="49"/>
      <c r="I624" s="49"/>
      <c r="J624" s="49"/>
      <c r="K624" s="49"/>
      <c r="L624" s="49"/>
      <c r="M624" s="49"/>
      <c r="N624" s="49"/>
      <c r="O624" s="49"/>
      <c r="P624" s="49"/>
      <c r="Q624" s="49"/>
      <c r="R624" s="49"/>
      <c r="S624" s="49"/>
      <c r="T624" s="49"/>
      <c r="U624" s="49"/>
      <c r="V624" s="49"/>
      <c r="W624" s="49"/>
      <c r="X624" s="49"/>
      <c r="Y624" s="49"/>
      <c r="Z624" s="49"/>
      <c r="AA624" s="49"/>
      <c r="AB624" s="49"/>
      <c r="AC624" s="49"/>
      <c r="AD624" s="49"/>
    </row>
    <row r="625" spans="1:30" ht="13">
      <c r="A625" s="141"/>
      <c r="B625" s="141"/>
      <c r="C625" s="141"/>
      <c r="D625" s="49"/>
      <c r="E625" s="49"/>
      <c r="F625" s="49"/>
      <c r="G625" s="49"/>
      <c r="H625" s="49"/>
      <c r="I625" s="49"/>
      <c r="J625" s="49"/>
      <c r="K625" s="49"/>
      <c r="L625" s="49"/>
      <c r="M625" s="49"/>
      <c r="N625" s="49"/>
      <c r="O625" s="49"/>
      <c r="P625" s="49"/>
      <c r="Q625" s="49"/>
      <c r="R625" s="49"/>
      <c r="S625" s="49"/>
      <c r="T625" s="49"/>
      <c r="U625" s="49"/>
      <c r="V625" s="49"/>
      <c r="W625" s="49"/>
      <c r="X625" s="49"/>
      <c r="Y625" s="49"/>
      <c r="Z625" s="49"/>
      <c r="AA625" s="49"/>
      <c r="AB625" s="49"/>
      <c r="AC625" s="49"/>
      <c r="AD625" s="49"/>
    </row>
    <row r="626" spans="1:30" ht="13">
      <c r="A626" s="141"/>
      <c r="B626" s="141"/>
      <c r="C626" s="141"/>
      <c r="D626" s="49"/>
      <c r="E626" s="49"/>
      <c r="F626" s="49"/>
      <c r="G626" s="49"/>
      <c r="H626" s="49"/>
      <c r="I626" s="49"/>
      <c r="J626" s="49"/>
      <c r="K626" s="49"/>
      <c r="L626" s="49"/>
      <c r="M626" s="49"/>
      <c r="N626" s="49"/>
      <c r="O626" s="49"/>
      <c r="P626" s="49"/>
      <c r="Q626" s="49"/>
      <c r="R626" s="49"/>
      <c r="S626" s="49"/>
      <c r="T626" s="49"/>
      <c r="U626" s="49"/>
      <c r="V626" s="49"/>
      <c r="W626" s="49"/>
      <c r="X626" s="49"/>
      <c r="Y626" s="49"/>
      <c r="Z626" s="49"/>
      <c r="AA626" s="49"/>
      <c r="AB626" s="49"/>
      <c r="AC626" s="49"/>
      <c r="AD626" s="49"/>
    </row>
    <row r="627" spans="1:30" ht="13">
      <c r="A627" s="141"/>
      <c r="B627" s="141"/>
      <c r="C627" s="141"/>
      <c r="D627" s="49"/>
      <c r="E627" s="49"/>
      <c r="F627" s="49"/>
      <c r="G627" s="49"/>
      <c r="H627" s="49"/>
      <c r="I627" s="49"/>
      <c r="J627" s="49"/>
      <c r="K627" s="49"/>
      <c r="L627" s="49"/>
      <c r="M627" s="49"/>
      <c r="N627" s="49"/>
      <c r="O627" s="49"/>
      <c r="P627" s="49"/>
      <c r="Q627" s="49"/>
      <c r="R627" s="49"/>
      <c r="S627" s="49"/>
      <c r="T627" s="49"/>
      <c r="U627" s="49"/>
      <c r="V627" s="49"/>
      <c r="W627" s="49"/>
      <c r="X627" s="49"/>
      <c r="Y627" s="49"/>
      <c r="Z627" s="49"/>
      <c r="AA627" s="49"/>
      <c r="AB627" s="49"/>
      <c r="AC627" s="49"/>
      <c r="AD627" s="49"/>
    </row>
    <row r="628" spans="1:30" ht="13">
      <c r="A628" s="141"/>
      <c r="B628" s="141"/>
      <c r="C628" s="141"/>
      <c r="D628" s="49"/>
      <c r="E628" s="49"/>
      <c r="F628" s="49"/>
      <c r="G628" s="49"/>
      <c r="H628" s="49"/>
      <c r="I628" s="49"/>
      <c r="J628" s="49"/>
      <c r="K628" s="49"/>
      <c r="L628" s="49"/>
      <c r="M628" s="49"/>
      <c r="N628" s="49"/>
      <c r="O628" s="49"/>
      <c r="P628" s="49"/>
      <c r="Q628" s="49"/>
      <c r="R628" s="49"/>
      <c r="S628" s="49"/>
      <c r="T628" s="49"/>
      <c r="U628" s="49"/>
      <c r="V628" s="49"/>
      <c r="W628" s="49"/>
      <c r="X628" s="49"/>
      <c r="Y628" s="49"/>
      <c r="Z628" s="49"/>
      <c r="AA628" s="49"/>
      <c r="AB628" s="49"/>
      <c r="AC628" s="49"/>
      <c r="AD628" s="49"/>
    </row>
    <row r="629" spans="1:30" ht="13">
      <c r="A629" s="141"/>
      <c r="B629" s="141"/>
      <c r="C629" s="141"/>
      <c r="D629" s="49"/>
      <c r="E629" s="49"/>
      <c r="F629" s="49"/>
      <c r="G629" s="49"/>
      <c r="H629" s="49"/>
      <c r="I629" s="49"/>
      <c r="J629" s="49"/>
      <c r="K629" s="49"/>
      <c r="L629" s="49"/>
      <c r="M629" s="49"/>
      <c r="N629" s="49"/>
      <c r="O629" s="49"/>
      <c r="P629" s="49"/>
      <c r="Q629" s="49"/>
      <c r="R629" s="49"/>
      <c r="S629" s="49"/>
      <c r="T629" s="49"/>
      <c r="U629" s="49"/>
      <c r="V629" s="49"/>
      <c r="W629" s="49"/>
      <c r="X629" s="49"/>
      <c r="Y629" s="49"/>
      <c r="Z629" s="49"/>
      <c r="AA629" s="49"/>
      <c r="AB629" s="49"/>
      <c r="AC629" s="49"/>
      <c r="AD629" s="49"/>
    </row>
    <row r="630" spans="1:30" ht="13">
      <c r="A630" s="141"/>
      <c r="B630" s="141"/>
      <c r="C630" s="141"/>
      <c r="D630" s="49"/>
      <c r="E630" s="49"/>
      <c r="F630" s="49"/>
      <c r="G630" s="49"/>
      <c r="H630" s="49"/>
      <c r="I630" s="49"/>
      <c r="J630" s="49"/>
      <c r="K630" s="49"/>
      <c r="L630" s="49"/>
      <c r="M630" s="49"/>
      <c r="N630" s="49"/>
      <c r="O630" s="49"/>
      <c r="P630" s="49"/>
      <c r="Q630" s="49"/>
      <c r="R630" s="49"/>
      <c r="S630" s="49"/>
      <c r="T630" s="49"/>
      <c r="U630" s="49"/>
      <c r="V630" s="49"/>
      <c r="W630" s="49"/>
      <c r="X630" s="49"/>
      <c r="Y630" s="49"/>
      <c r="Z630" s="49"/>
      <c r="AA630" s="49"/>
      <c r="AB630" s="49"/>
      <c r="AC630" s="49"/>
      <c r="AD630" s="49"/>
    </row>
    <row r="631" spans="1:30" ht="13">
      <c r="A631" s="141"/>
      <c r="B631" s="141"/>
      <c r="C631" s="141"/>
      <c r="D631" s="49"/>
      <c r="E631" s="49"/>
      <c r="F631" s="49"/>
      <c r="G631" s="49"/>
      <c r="H631" s="49"/>
      <c r="I631" s="49"/>
      <c r="J631" s="49"/>
      <c r="K631" s="49"/>
      <c r="L631" s="49"/>
      <c r="M631" s="49"/>
      <c r="N631" s="49"/>
      <c r="O631" s="49"/>
      <c r="P631" s="49"/>
      <c r="Q631" s="49"/>
      <c r="R631" s="49"/>
      <c r="S631" s="49"/>
      <c r="T631" s="49"/>
      <c r="U631" s="49"/>
      <c r="V631" s="49"/>
      <c r="W631" s="49"/>
      <c r="X631" s="49"/>
      <c r="Y631" s="49"/>
      <c r="Z631" s="49"/>
      <c r="AA631" s="49"/>
      <c r="AB631" s="49"/>
      <c r="AC631" s="49"/>
      <c r="AD631" s="49"/>
    </row>
    <row r="632" spans="1:30" ht="13">
      <c r="A632" s="141"/>
      <c r="B632" s="141"/>
      <c r="C632" s="141"/>
      <c r="D632" s="49"/>
      <c r="E632" s="49"/>
      <c r="F632" s="49"/>
      <c r="G632" s="49"/>
      <c r="H632" s="49"/>
      <c r="I632" s="49"/>
      <c r="J632" s="49"/>
      <c r="K632" s="49"/>
      <c r="L632" s="49"/>
      <c r="M632" s="49"/>
      <c r="N632" s="49"/>
      <c r="O632" s="49"/>
      <c r="P632" s="49"/>
      <c r="Q632" s="49"/>
      <c r="R632" s="49"/>
      <c r="S632" s="49"/>
      <c r="T632" s="49"/>
      <c r="U632" s="49"/>
      <c r="V632" s="49"/>
      <c r="W632" s="49"/>
      <c r="X632" s="49"/>
      <c r="Y632" s="49"/>
      <c r="Z632" s="49"/>
      <c r="AA632" s="49"/>
      <c r="AB632" s="49"/>
      <c r="AC632" s="49"/>
      <c r="AD632" s="49"/>
    </row>
    <row r="633" spans="1:30" ht="13">
      <c r="A633" s="141"/>
      <c r="B633" s="141"/>
      <c r="C633" s="141"/>
      <c r="D633" s="49"/>
      <c r="E633" s="49"/>
      <c r="F633" s="49"/>
      <c r="G633" s="49"/>
      <c r="H633" s="49"/>
      <c r="I633" s="49"/>
      <c r="J633" s="49"/>
      <c r="K633" s="49"/>
      <c r="L633" s="49"/>
      <c r="M633" s="49"/>
      <c r="N633" s="49"/>
      <c r="O633" s="49"/>
      <c r="P633" s="49"/>
      <c r="Q633" s="49"/>
      <c r="R633" s="49"/>
      <c r="S633" s="49"/>
      <c r="T633" s="49"/>
      <c r="U633" s="49"/>
      <c r="V633" s="49"/>
      <c r="W633" s="49"/>
      <c r="X633" s="49"/>
      <c r="Y633" s="49"/>
      <c r="Z633" s="49"/>
      <c r="AA633" s="49"/>
      <c r="AB633" s="49"/>
      <c r="AC633" s="49"/>
      <c r="AD633" s="49"/>
    </row>
    <row r="634" spans="1:30" ht="13">
      <c r="A634" s="141"/>
      <c r="B634" s="141"/>
      <c r="C634" s="141"/>
      <c r="D634" s="49"/>
      <c r="E634" s="49"/>
      <c r="F634" s="49"/>
      <c r="G634" s="49"/>
      <c r="H634" s="49"/>
      <c r="I634" s="49"/>
      <c r="J634" s="49"/>
      <c r="K634" s="49"/>
      <c r="L634" s="49"/>
      <c r="M634" s="49"/>
      <c r="N634" s="49"/>
      <c r="O634" s="49"/>
      <c r="P634" s="49"/>
      <c r="Q634" s="49"/>
      <c r="R634" s="49"/>
      <c r="S634" s="49"/>
      <c r="T634" s="49"/>
      <c r="U634" s="49"/>
      <c r="V634" s="49"/>
      <c r="W634" s="49"/>
      <c r="X634" s="49"/>
      <c r="Y634" s="49"/>
      <c r="Z634" s="49"/>
      <c r="AA634" s="49"/>
      <c r="AB634" s="49"/>
      <c r="AC634" s="49"/>
      <c r="AD634" s="49"/>
    </row>
    <row r="635" spans="1:30" ht="13">
      <c r="A635" s="141"/>
      <c r="B635" s="141"/>
      <c r="C635" s="141"/>
      <c r="D635" s="49"/>
      <c r="E635" s="49"/>
      <c r="F635" s="49"/>
      <c r="G635" s="49"/>
      <c r="H635" s="49"/>
      <c r="I635" s="49"/>
      <c r="J635" s="49"/>
      <c r="K635" s="49"/>
      <c r="L635" s="49"/>
      <c r="M635" s="49"/>
      <c r="N635" s="49"/>
      <c r="O635" s="49"/>
      <c r="P635" s="49"/>
      <c r="Q635" s="49"/>
      <c r="R635" s="49"/>
      <c r="S635" s="49"/>
      <c r="T635" s="49"/>
      <c r="U635" s="49"/>
      <c r="V635" s="49"/>
      <c r="W635" s="49"/>
      <c r="X635" s="49"/>
      <c r="Y635" s="49"/>
      <c r="Z635" s="49"/>
      <c r="AA635" s="49"/>
      <c r="AB635" s="49"/>
      <c r="AC635" s="49"/>
      <c r="AD635" s="49"/>
    </row>
    <row r="636" spans="1:30" ht="13">
      <c r="A636" s="141"/>
      <c r="B636" s="141"/>
      <c r="C636" s="141"/>
      <c r="D636" s="49"/>
      <c r="E636" s="49"/>
      <c r="F636" s="49"/>
      <c r="G636" s="49"/>
      <c r="H636" s="49"/>
      <c r="I636" s="49"/>
      <c r="J636" s="49"/>
      <c r="K636" s="49"/>
      <c r="L636" s="49"/>
      <c r="M636" s="49"/>
      <c r="N636" s="49"/>
      <c r="O636" s="49"/>
      <c r="P636" s="49"/>
      <c r="Q636" s="49"/>
      <c r="R636" s="49"/>
      <c r="S636" s="49"/>
      <c r="T636" s="49"/>
      <c r="U636" s="49"/>
      <c r="V636" s="49"/>
      <c r="W636" s="49"/>
      <c r="X636" s="49"/>
      <c r="Y636" s="49"/>
      <c r="Z636" s="49"/>
      <c r="AA636" s="49"/>
      <c r="AB636" s="49"/>
      <c r="AC636" s="49"/>
      <c r="AD636" s="49"/>
    </row>
    <row r="637" spans="1:30" ht="13">
      <c r="A637" s="141"/>
      <c r="B637" s="141"/>
      <c r="C637" s="141"/>
      <c r="D637" s="49"/>
      <c r="E637" s="49"/>
      <c r="F637" s="49"/>
      <c r="G637" s="49"/>
      <c r="H637" s="49"/>
      <c r="I637" s="49"/>
      <c r="J637" s="49"/>
      <c r="K637" s="49"/>
      <c r="L637" s="49"/>
      <c r="M637" s="49"/>
      <c r="N637" s="49"/>
      <c r="O637" s="49"/>
      <c r="P637" s="49"/>
      <c r="Q637" s="49"/>
      <c r="R637" s="49"/>
      <c r="S637" s="49"/>
      <c r="T637" s="49"/>
      <c r="U637" s="49"/>
      <c r="V637" s="49"/>
      <c r="W637" s="49"/>
      <c r="X637" s="49"/>
      <c r="Y637" s="49"/>
      <c r="Z637" s="49"/>
      <c r="AA637" s="49"/>
      <c r="AB637" s="49"/>
      <c r="AC637" s="49"/>
      <c r="AD637" s="49"/>
    </row>
    <row r="638" spans="1:30" ht="13">
      <c r="A638" s="141"/>
      <c r="B638" s="141"/>
      <c r="C638" s="141"/>
      <c r="D638" s="49"/>
      <c r="E638" s="49"/>
      <c r="F638" s="49"/>
      <c r="G638" s="49"/>
      <c r="H638" s="49"/>
      <c r="I638" s="49"/>
      <c r="J638" s="49"/>
      <c r="K638" s="49"/>
      <c r="L638" s="49"/>
      <c r="M638" s="49"/>
      <c r="N638" s="49"/>
      <c r="O638" s="49"/>
      <c r="P638" s="49"/>
      <c r="Q638" s="49"/>
      <c r="R638" s="49"/>
      <c r="S638" s="49"/>
      <c r="T638" s="49"/>
      <c r="U638" s="49"/>
      <c r="V638" s="49"/>
      <c r="W638" s="49"/>
      <c r="X638" s="49"/>
      <c r="Y638" s="49"/>
      <c r="Z638" s="49"/>
      <c r="AA638" s="49"/>
      <c r="AB638" s="49"/>
      <c r="AC638" s="49"/>
      <c r="AD638" s="49"/>
    </row>
    <row r="639" spans="1:30" ht="13">
      <c r="A639" s="141"/>
      <c r="B639" s="141"/>
      <c r="C639" s="141"/>
      <c r="D639" s="49"/>
      <c r="E639" s="49"/>
      <c r="F639" s="49"/>
      <c r="G639" s="49"/>
      <c r="H639" s="49"/>
      <c r="I639" s="49"/>
      <c r="J639" s="49"/>
      <c r="K639" s="49"/>
      <c r="L639" s="49"/>
      <c r="M639" s="49"/>
      <c r="N639" s="49"/>
      <c r="O639" s="49"/>
      <c r="P639" s="49"/>
      <c r="Q639" s="49"/>
      <c r="R639" s="49"/>
      <c r="S639" s="49"/>
      <c r="T639" s="49"/>
      <c r="U639" s="49"/>
      <c r="V639" s="49"/>
      <c r="W639" s="49"/>
      <c r="X639" s="49"/>
      <c r="Y639" s="49"/>
      <c r="Z639" s="49"/>
      <c r="AA639" s="49"/>
      <c r="AB639" s="49"/>
      <c r="AC639" s="49"/>
      <c r="AD639" s="49"/>
    </row>
    <row r="640" spans="1:30" ht="13">
      <c r="A640" s="141"/>
      <c r="B640" s="141"/>
      <c r="C640" s="141"/>
      <c r="D640" s="49"/>
      <c r="E640" s="49"/>
      <c r="F640" s="49"/>
      <c r="G640" s="49"/>
      <c r="H640" s="49"/>
      <c r="I640" s="49"/>
      <c r="J640" s="49"/>
      <c r="K640" s="49"/>
      <c r="L640" s="49"/>
      <c r="M640" s="49"/>
      <c r="N640" s="49"/>
      <c r="O640" s="49"/>
      <c r="P640" s="49"/>
      <c r="Q640" s="49"/>
      <c r="R640" s="49"/>
      <c r="S640" s="49"/>
      <c r="T640" s="49"/>
      <c r="U640" s="49"/>
      <c r="V640" s="49"/>
      <c r="W640" s="49"/>
      <c r="X640" s="49"/>
      <c r="Y640" s="49"/>
      <c r="Z640" s="49"/>
      <c r="AA640" s="49"/>
      <c r="AB640" s="49"/>
      <c r="AC640" s="49"/>
      <c r="AD640" s="49"/>
    </row>
    <row r="641" spans="1:30" ht="13">
      <c r="A641" s="141"/>
      <c r="B641" s="141"/>
      <c r="C641" s="141"/>
      <c r="D641" s="49"/>
      <c r="E641" s="49"/>
      <c r="F641" s="49"/>
      <c r="G641" s="49"/>
      <c r="H641" s="49"/>
      <c r="I641" s="49"/>
      <c r="J641" s="49"/>
      <c r="K641" s="49"/>
      <c r="L641" s="49"/>
      <c r="M641" s="49"/>
      <c r="N641" s="49"/>
      <c r="O641" s="49"/>
      <c r="P641" s="49"/>
      <c r="Q641" s="49"/>
      <c r="R641" s="49"/>
      <c r="S641" s="49"/>
      <c r="T641" s="49"/>
      <c r="U641" s="49"/>
      <c r="V641" s="49"/>
      <c r="W641" s="49"/>
      <c r="X641" s="49"/>
      <c r="Y641" s="49"/>
      <c r="Z641" s="49"/>
      <c r="AA641" s="49"/>
      <c r="AB641" s="49"/>
      <c r="AC641" s="49"/>
      <c r="AD641" s="49"/>
    </row>
    <row r="642" spans="1:30" ht="13">
      <c r="A642" s="141"/>
      <c r="B642" s="141"/>
      <c r="C642" s="141"/>
      <c r="D642" s="49"/>
      <c r="E642" s="49"/>
      <c r="F642" s="49"/>
      <c r="G642" s="49"/>
      <c r="H642" s="49"/>
      <c r="I642" s="49"/>
      <c r="J642" s="49"/>
      <c r="K642" s="49"/>
      <c r="L642" s="49"/>
      <c r="M642" s="49"/>
      <c r="N642" s="49"/>
      <c r="O642" s="49"/>
      <c r="P642" s="49"/>
      <c r="Q642" s="49"/>
      <c r="R642" s="49"/>
      <c r="S642" s="49"/>
      <c r="T642" s="49"/>
      <c r="U642" s="49"/>
      <c r="V642" s="49"/>
      <c r="W642" s="49"/>
      <c r="X642" s="49"/>
      <c r="Y642" s="49"/>
      <c r="Z642" s="49"/>
      <c r="AA642" s="49"/>
      <c r="AB642" s="49"/>
      <c r="AC642" s="49"/>
      <c r="AD642" s="49"/>
    </row>
    <row r="643" spans="1:30" ht="13">
      <c r="A643" s="141"/>
      <c r="B643" s="141"/>
      <c r="C643" s="141"/>
      <c r="D643" s="49"/>
      <c r="E643" s="49"/>
      <c r="F643" s="49"/>
      <c r="G643" s="49"/>
      <c r="H643" s="49"/>
      <c r="I643" s="49"/>
      <c r="J643" s="49"/>
      <c r="K643" s="49"/>
      <c r="L643" s="49"/>
      <c r="M643" s="49"/>
      <c r="N643" s="49"/>
      <c r="O643" s="49"/>
      <c r="P643" s="49"/>
      <c r="Q643" s="49"/>
      <c r="R643" s="49"/>
      <c r="S643" s="49"/>
      <c r="T643" s="49"/>
      <c r="U643" s="49"/>
      <c r="V643" s="49"/>
      <c r="W643" s="49"/>
      <c r="X643" s="49"/>
      <c r="Y643" s="49"/>
      <c r="Z643" s="49"/>
      <c r="AA643" s="49"/>
      <c r="AB643" s="49"/>
      <c r="AC643" s="49"/>
      <c r="AD643" s="49"/>
    </row>
    <row r="644" spans="1:30" ht="13">
      <c r="A644" s="141"/>
      <c r="B644" s="141"/>
      <c r="C644" s="141"/>
      <c r="D644" s="49"/>
      <c r="E644" s="49"/>
      <c r="F644" s="49"/>
      <c r="G644" s="49"/>
      <c r="H644" s="49"/>
      <c r="I644" s="49"/>
      <c r="J644" s="49"/>
      <c r="K644" s="49"/>
      <c r="L644" s="49"/>
      <c r="M644" s="49"/>
      <c r="N644" s="49"/>
      <c r="O644" s="49"/>
      <c r="P644" s="49"/>
      <c r="Q644" s="49"/>
      <c r="R644" s="49"/>
      <c r="S644" s="49"/>
      <c r="T644" s="49"/>
      <c r="U644" s="49"/>
      <c r="V644" s="49"/>
      <c r="W644" s="49"/>
      <c r="X644" s="49"/>
      <c r="Y644" s="49"/>
      <c r="Z644" s="49"/>
      <c r="AA644" s="49"/>
      <c r="AB644" s="49"/>
      <c r="AC644" s="49"/>
      <c r="AD644" s="49"/>
    </row>
    <row r="645" spans="1:30" ht="13">
      <c r="A645" s="141"/>
      <c r="B645" s="141"/>
      <c r="C645" s="141"/>
      <c r="D645" s="49"/>
      <c r="E645" s="49"/>
      <c r="F645" s="49"/>
      <c r="G645" s="49"/>
      <c r="H645" s="49"/>
      <c r="I645" s="49"/>
      <c r="J645" s="49"/>
      <c r="K645" s="49"/>
      <c r="L645" s="49"/>
      <c r="M645" s="49"/>
      <c r="N645" s="49"/>
      <c r="O645" s="49"/>
      <c r="P645" s="49"/>
      <c r="Q645" s="49"/>
      <c r="R645" s="49"/>
      <c r="S645" s="49"/>
      <c r="T645" s="49"/>
      <c r="U645" s="49"/>
      <c r="V645" s="49"/>
      <c r="W645" s="49"/>
      <c r="X645" s="49"/>
      <c r="Y645" s="49"/>
      <c r="Z645" s="49"/>
      <c r="AA645" s="49"/>
      <c r="AB645" s="49"/>
      <c r="AC645" s="49"/>
      <c r="AD645" s="49"/>
    </row>
    <row r="646" spans="1:30" ht="13">
      <c r="A646" s="141"/>
      <c r="B646" s="141"/>
      <c r="C646" s="141"/>
      <c r="D646" s="49"/>
      <c r="E646" s="49"/>
      <c r="F646" s="49"/>
      <c r="G646" s="49"/>
      <c r="H646" s="49"/>
      <c r="I646" s="49"/>
      <c r="J646" s="49"/>
      <c r="K646" s="49"/>
      <c r="L646" s="49"/>
      <c r="M646" s="49"/>
      <c r="N646" s="49"/>
      <c r="O646" s="49"/>
      <c r="P646" s="49"/>
      <c r="Q646" s="49"/>
      <c r="R646" s="49"/>
      <c r="S646" s="49"/>
      <c r="T646" s="49"/>
      <c r="U646" s="49"/>
      <c r="V646" s="49"/>
      <c r="W646" s="49"/>
      <c r="X646" s="49"/>
      <c r="Y646" s="49"/>
      <c r="Z646" s="49"/>
      <c r="AA646" s="49"/>
      <c r="AB646" s="49"/>
      <c r="AC646" s="49"/>
      <c r="AD646" s="49"/>
    </row>
    <row r="647" spans="1:30" ht="13">
      <c r="A647" s="141"/>
      <c r="B647" s="141"/>
      <c r="C647" s="141"/>
      <c r="D647" s="49"/>
      <c r="E647" s="49"/>
      <c r="F647" s="49"/>
      <c r="G647" s="49"/>
      <c r="H647" s="49"/>
      <c r="I647" s="49"/>
      <c r="J647" s="49"/>
      <c r="K647" s="49"/>
      <c r="L647" s="49"/>
      <c r="M647" s="49"/>
      <c r="N647" s="49"/>
      <c r="O647" s="49"/>
      <c r="P647" s="49"/>
      <c r="Q647" s="49"/>
      <c r="R647" s="49"/>
      <c r="S647" s="49"/>
      <c r="T647" s="49"/>
      <c r="U647" s="49"/>
      <c r="V647" s="49"/>
      <c r="W647" s="49"/>
      <c r="X647" s="49"/>
      <c r="Y647" s="49"/>
      <c r="Z647" s="49"/>
      <c r="AA647" s="49"/>
      <c r="AB647" s="49"/>
      <c r="AC647" s="49"/>
      <c r="AD647" s="49"/>
    </row>
    <row r="648" spans="1:30" ht="13">
      <c r="A648" s="141"/>
      <c r="B648" s="141"/>
      <c r="C648" s="141"/>
      <c r="D648" s="49"/>
      <c r="E648" s="49"/>
      <c r="F648" s="49"/>
      <c r="G648" s="49"/>
      <c r="H648" s="49"/>
      <c r="I648" s="49"/>
      <c r="J648" s="49"/>
      <c r="K648" s="49"/>
      <c r="L648" s="49"/>
      <c r="M648" s="49"/>
      <c r="N648" s="49"/>
      <c r="O648" s="49"/>
      <c r="P648" s="49"/>
      <c r="Q648" s="49"/>
      <c r="R648" s="49"/>
      <c r="S648" s="49"/>
      <c r="T648" s="49"/>
      <c r="U648" s="49"/>
      <c r="V648" s="49"/>
      <c r="W648" s="49"/>
      <c r="X648" s="49"/>
      <c r="Y648" s="49"/>
      <c r="Z648" s="49"/>
      <c r="AA648" s="49"/>
      <c r="AB648" s="49"/>
      <c r="AC648" s="49"/>
      <c r="AD648" s="49"/>
    </row>
    <row r="649" spans="1:30" ht="13">
      <c r="A649" s="141"/>
      <c r="B649" s="141"/>
      <c r="C649" s="141"/>
      <c r="D649" s="49"/>
      <c r="E649" s="49"/>
      <c r="F649" s="49"/>
      <c r="G649" s="49"/>
      <c r="H649" s="49"/>
      <c r="I649" s="49"/>
      <c r="J649" s="49"/>
      <c r="K649" s="49"/>
      <c r="L649" s="49"/>
      <c r="M649" s="49"/>
      <c r="N649" s="49"/>
      <c r="O649" s="49"/>
      <c r="P649" s="49"/>
      <c r="Q649" s="49"/>
      <c r="R649" s="49"/>
      <c r="S649" s="49"/>
      <c r="T649" s="49"/>
      <c r="U649" s="49"/>
      <c r="V649" s="49"/>
      <c r="W649" s="49"/>
      <c r="X649" s="49"/>
      <c r="Y649" s="49"/>
      <c r="Z649" s="49"/>
      <c r="AA649" s="49"/>
      <c r="AB649" s="49"/>
      <c r="AC649" s="49"/>
      <c r="AD649" s="49"/>
    </row>
    <row r="650" spans="1:30" ht="13">
      <c r="A650" s="141"/>
      <c r="B650" s="141"/>
      <c r="C650" s="141"/>
      <c r="D650" s="49"/>
      <c r="E650" s="49"/>
      <c r="F650" s="49"/>
      <c r="G650" s="49"/>
      <c r="H650" s="49"/>
      <c r="I650" s="49"/>
      <c r="J650" s="49"/>
      <c r="K650" s="49"/>
      <c r="L650" s="49"/>
      <c r="M650" s="49"/>
      <c r="N650" s="49"/>
      <c r="O650" s="49"/>
      <c r="P650" s="49"/>
      <c r="Q650" s="49"/>
      <c r="R650" s="49"/>
      <c r="S650" s="49"/>
      <c r="T650" s="49"/>
      <c r="U650" s="49"/>
      <c r="V650" s="49"/>
      <c r="W650" s="49"/>
      <c r="X650" s="49"/>
      <c r="Y650" s="49"/>
      <c r="Z650" s="49"/>
      <c r="AA650" s="49"/>
      <c r="AB650" s="49"/>
      <c r="AC650" s="49"/>
      <c r="AD650" s="49"/>
    </row>
    <row r="651" spans="1:30" ht="13">
      <c r="A651" s="141"/>
      <c r="B651" s="141"/>
      <c r="C651" s="141"/>
      <c r="D651" s="49"/>
      <c r="E651" s="49"/>
      <c r="F651" s="49"/>
      <c r="G651" s="49"/>
      <c r="H651" s="49"/>
      <c r="I651" s="49"/>
      <c r="J651" s="49"/>
      <c r="K651" s="49"/>
      <c r="L651" s="49"/>
      <c r="M651" s="49"/>
      <c r="N651" s="49"/>
      <c r="O651" s="49"/>
      <c r="P651" s="49"/>
      <c r="Q651" s="49"/>
      <c r="R651" s="49"/>
      <c r="S651" s="49"/>
      <c r="T651" s="49"/>
      <c r="U651" s="49"/>
      <c r="V651" s="49"/>
      <c r="W651" s="49"/>
      <c r="X651" s="49"/>
      <c r="Y651" s="49"/>
      <c r="Z651" s="49"/>
      <c r="AA651" s="49"/>
      <c r="AB651" s="49"/>
      <c r="AC651" s="49"/>
      <c r="AD651" s="49"/>
    </row>
    <row r="652" spans="1:30" ht="13">
      <c r="A652" s="141"/>
      <c r="B652" s="141"/>
      <c r="C652" s="141"/>
      <c r="D652" s="49"/>
      <c r="E652" s="49"/>
      <c r="F652" s="49"/>
      <c r="G652" s="49"/>
      <c r="H652" s="49"/>
      <c r="I652" s="49"/>
      <c r="J652" s="49"/>
      <c r="K652" s="49"/>
      <c r="L652" s="49"/>
      <c r="M652" s="49"/>
      <c r="N652" s="49"/>
      <c r="O652" s="49"/>
      <c r="P652" s="49"/>
      <c r="Q652" s="49"/>
      <c r="R652" s="49"/>
      <c r="S652" s="49"/>
      <c r="T652" s="49"/>
      <c r="U652" s="49"/>
      <c r="V652" s="49"/>
      <c r="W652" s="49"/>
      <c r="X652" s="49"/>
      <c r="Y652" s="49"/>
      <c r="Z652" s="49"/>
      <c r="AA652" s="49"/>
      <c r="AB652" s="49"/>
      <c r="AC652" s="49"/>
      <c r="AD652" s="49"/>
    </row>
    <row r="653" spans="1:30" ht="13">
      <c r="A653" s="141"/>
      <c r="B653" s="141"/>
      <c r="C653" s="141"/>
      <c r="D653" s="49"/>
      <c r="E653" s="49"/>
      <c r="F653" s="49"/>
      <c r="G653" s="49"/>
      <c r="H653" s="49"/>
      <c r="I653" s="49"/>
      <c r="J653" s="49"/>
      <c r="K653" s="49"/>
      <c r="L653" s="49"/>
      <c r="M653" s="49"/>
      <c r="N653" s="49"/>
      <c r="O653" s="49"/>
      <c r="P653" s="49"/>
      <c r="Q653" s="49"/>
      <c r="R653" s="49"/>
      <c r="S653" s="49"/>
      <c r="T653" s="49"/>
      <c r="U653" s="49"/>
      <c r="V653" s="49"/>
      <c r="W653" s="49"/>
      <c r="X653" s="49"/>
      <c r="Y653" s="49"/>
      <c r="Z653" s="49"/>
      <c r="AA653" s="49"/>
      <c r="AB653" s="49"/>
      <c r="AC653" s="49"/>
      <c r="AD653" s="49"/>
    </row>
    <row r="654" spans="1:30" ht="13">
      <c r="A654" s="141"/>
      <c r="B654" s="141"/>
      <c r="C654" s="141"/>
      <c r="D654" s="49"/>
      <c r="E654" s="49"/>
      <c r="F654" s="49"/>
      <c r="G654" s="49"/>
      <c r="H654" s="49"/>
      <c r="I654" s="49"/>
      <c r="J654" s="49"/>
      <c r="K654" s="49"/>
      <c r="L654" s="49"/>
      <c r="M654" s="49"/>
      <c r="N654" s="49"/>
      <c r="O654" s="49"/>
      <c r="P654" s="49"/>
      <c r="Q654" s="49"/>
      <c r="R654" s="49"/>
      <c r="S654" s="49"/>
      <c r="T654" s="49"/>
      <c r="U654" s="49"/>
      <c r="V654" s="49"/>
      <c r="W654" s="49"/>
      <c r="X654" s="49"/>
      <c r="Y654" s="49"/>
      <c r="Z654" s="49"/>
      <c r="AA654" s="49"/>
      <c r="AB654" s="49"/>
      <c r="AC654" s="49"/>
      <c r="AD654" s="49"/>
    </row>
    <row r="655" spans="1:30" ht="13">
      <c r="A655" s="141"/>
      <c r="B655" s="141"/>
      <c r="C655" s="141"/>
      <c r="D655" s="49"/>
      <c r="E655" s="49"/>
      <c r="F655" s="49"/>
      <c r="G655" s="49"/>
      <c r="H655" s="49"/>
      <c r="I655" s="49"/>
      <c r="J655" s="49"/>
      <c r="K655" s="49"/>
      <c r="L655" s="49"/>
      <c r="M655" s="49"/>
      <c r="N655" s="49"/>
      <c r="O655" s="49"/>
      <c r="P655" s="49"/>
      <c r="Q655" s="49"/>
      <c r="R655" s="49"/>
      <c r="S655" s="49"/>
      <c r="T655" s="49"/>
      <c r="U655" s="49"/>
      <c r="V655" s="49"/>
      <c r="W655" s="49"/>
      <c r="X655" s="49"/>
      <c r="Y655" s="49"/>
      <c r="Z655" s="49"/>
      <c r="AA655" s="49"/>
      <c r="AB655" s="49"/>
      <c r="AC655" s="49"/>
      <c r="AD655" s="49"/>
    </row>
    <row r="656" spans="1:30" ht="13">
      <c r="A656" s="141"/>
      <c r="B656" s="141"/>
      <c r="C656" s="141"/>
      <c r="D656" s="49"/>
      <c r="E656" s="49"/>
      <c r="F656" s="49"/>
      <c r="G656" s="49"/>
      <c r="H656" s="49"/>
      <c r="I656" s="49"/>
      <c r="J656" s="49"/>
      <c r="K656" s="49"/>
      <c r="L656" s="49"/>
      <c r="M656" s="49"/>
      <c r="N656" s="49"/>
      <c r="O656" s="49"/>
      <c r="P656" s="49"/>
      <c r="Q656" s="49"/>
      <c r="R656" s="49"/>
      <c r="S656" s="49"/>
      <c r="T656" s="49"/>
      <c r="U656" s="49"/>
      <c r="V656" s="49"/>
      <c r="W656" s="49"/>
      <c r="X656" s="49"/>
      <c r="Y656" s="49"/>
      <c r="Z656" s="49"/>
      <c r="AA656" s="49"/>
      <c r="AB656" s="49"/>
      <c r="AC656" s="49"/>
      <c r="AD656" s="49"/>
    </row>
    <row r="657" spans="1:30" ht="13">
      <c r="A657" s="141"/>
      <c r="B657" s="141"/>
      <c r="C657" s="141"/>
      <c r="D657" s="49"/>
      <c r="E657" s="49"/>
      <c r="F657" s="49"/>
      <c r="G657" s="49"/>
      <c r="H657" s="49"/>
      <c r="I657" s="49"/>
      <c r="J657" s="49"/>
      <c r="K657" s="49"/>
      <c r="L657" s="49"/>
      <c r="M657" s="49"/>
      <c r="N657" s="49"/>
      <c r="O657" s="49"/>
      <c r="P657" s="49"/>
      <c r="Q657" s="49"/>
      <c r="R657" s="49"/>
      <c r="S657" s="49"/>
      <c r="T657" s="49"/>
      <c r="U657" s="49"/>
      <c r="V657" s="49"/>
      <c r="W657" s="49"/>
      <c r="X657" s="49"/>
      <c r="Y657" s="49"/>
      <c r="Z657" s="49"/>
      <c r="AA657" s="49"/>
      <c r="AB657" s="49"/>
      <c r="AC657" s="49"/>
      <c r="AD657" s="49"/>
    </row>
    <row r="658" spans="1:30" ht="13">
      <c r="A658" s="141"/>
      <c r="B658" s="141"/>
      <c r="C658" s="141"/>
      <c r="D658" s="49"/>
      <c r="E658" s="49"/>
      <c r="F658" s="49"/>
      <c r="G658" s="49"/>
      <c r="H658" s="49"/>
      <c r="I658" s="49"/>
      <c r="J658" s="49"/>
      <c r="K658" s="49"/>
      <c r="L658" s="49"/>
      <c r="M658" s="49"/>
      <c r="N658" s="49"/>
      <c r="O658" s="49"/>
      <c r="P658" s="49"/>
      <c r="Q658" s="49"/>
      <c r="R658" s="49"/>
      <c r="S658" s="49"/>
      <c r="T658" s="49"/>
      <c r="U658" s="49"/>
      <c r="V658" s="49"/>
      <c r="W658" s="49"/>
      <c r="X658" s="49"/>
      <c r="Y658" s="49"/>
      <c r="Z658" s="49"/>
      <c r="AA658" s="49"/>
      <c r="AB658" s="49"/>
      <c r="AC658" s="49"/>
      <c r="AD658" s="49"/>
    </row>
    <row r="659" spans="1:30" ht="13">
      <c r="A659" s="141"/>
      <c r="B659" s="141"/>
      <c r="C659" s="141"/>
      <c r="D659" s="49"/>
      <c r="E659" s="49"/>
      <c r="F659" s="49"/>
      <c r="G659" s="49"/>
      <c r="H659" s="49"/>
      <c r="I659" s="49"/>
      <c r="J659" s="49"/>
      <c r="K659" s="49"/>
      <c r="L659" s="49"/>
      <c r="M659" s="49"/>
      <c r="N659" s="49"/>
      <c r="O659" s="49"/>
      <c r="P659" s="49"/>
      <c r="Q659" s="49"/>
      <c r="R659" s="49"/>
      <c r="S659" s="49"/>
      <c r="T659" s="49"/>
      <c r="U659" s="49"/>
      <c r="V659" s="49"/>
      <c r="W659" s="49"/>
      <c r="X659" s="49"/>
      <c r="Y659" s="49"/>
      <c r="Z659" s="49"/>
      <c r="AA659" s="49"/>
      <c r="AB659" s="49"/>
      <c r="AC659" s="49"/>
      <c r="AD659" s="49"/>
    </row>
    <row r="660" spans="1:30" ht="13">
      <c r="A660" s="141"/>
      <c r="B660" s="141"/>
      <c r="C660" s="141"/>
      <c r="D660" s="49"/>
      <c r="E660" s="49"/>
      <c r="F660" s="49"/>
      <c r="G660" s="49"/>
      <c r="H660" s="49"/>
      <c r="I660" s="49"/>
      <c r="J660" s="49"/>
      <c r="K660" s="49"/>
      <c r="L660" s="49"/>
      <c r="M660" s="49"/>
      <c r="N660" s="49"/>
      <c r="O660" s="49"/>
      <c r="P660" s="49"/>
      <c r="Q660" s="49"/>
      <c r="R660" s="49"/>
      <c r="S660" s="49"/>
      <c r="T660" s="49"/>
      <c r="U660" s="49"/>
      <c r="V660" s="49"/>
      <c r="W660" s="49"/>
      <c r="X660" s="49"/>
      <c r="Y660" s="49"/>
      <c r="Z660" s="49"/>
      <c r="AA660" s="49"/>
      <c r="AB660" s="49"/>
      <c r="AC660" s="49"/>
      <c r="AD660" s="49"/>
    </row>
    <row r="661" spans="1:30" ht="13">
      <c r="A661" s="141"/>
      <c r="B661" s="141"/>
      <c r="C661" s="141"/>
      <c r="D661" s="49"/>
      <c r="E661" s="49"/>
      <c r="F661" s="49"/>
      <c r="G661" s="49"/>
      <c r="H661" s="49"/>
      <c r="I661" s="49"/>
      <c r="J661" s="49"/>
      <c r="K661" s="49"/>
      <c r="L661" s="49"/>
      <c r="M661" s="49"/>
      <c r="N661" s="49"/>
      <c r="O661" s="49"/>
      <c r="P661" s="49"/>
      <c r="Q661" s="49"/>
      <c r="R661" s="49"/>
      <c r="S661" s="49"/>
      <c r="T661" s="49"/>
      <c r="U661" s="49"/>
      <c r="V661" s="49"/>
      <c r="W661" s="49"/>
      <c r="X661" s="49"/>
      <c r="Y661" s="49"/>
      <c r="Z661" s="49"/>
      <c r="AA661" s="49"/>
      <c r="AB661" s="49"/>
      <c r="AC661" s="49"/>
      <c r="AD661" s="49"/>
    </row>
    <row r="662" spans="1:30" ht="13">
      <c r="A662" s="141"/>
      <c r="B662" s="141"/>
      <c r="C662" s="141"/>
      <c r="D662" s="49"/>
      <c r="E662" s="49"/>
      <c r="F662" s="49"/>
      <c r="G662" s="49"/>
      <c r="H662" s="49"/>
      <c r="I662" s="49"/>
      <c r="J662" s="49"/>
      <c r="K662" s="49"/>
      <c r="L662" s="49"/>
      <c r="M662" s="49"/>
      <c r="N662" s="49"/>
      <c r="O662" s="49"/>
      <c r="P662" s="49"/>
      <c r="Q662" s="49"/>
      <c r="R662" s="49"/>
      <c r="S662" s="49"/>
      <c r="T662" s="49"/>
      <c r="U662" s="49"/>
      <c r="V662" s="49"/>
      <c r="W662" s="49"/>
      <c r="X662" s="49"/>
      <c r="Y662" s="49"/>
      <c r="Z662" s="49"/>
      <c r="AA662" s="49"/>
      <c r="AB662" s="49"/>
      <c r="AC662" s="49"/>
      <c r="AD662" s="49"/>
    </row>
    <row r="663" spans="1:30" ht="13">
      <c r="A663" s="141"/>
      <c r="B663" s="141"/>
      <c r="C663" s="141"/>
      <c r="D663" s="49"/>
      <c r="E663" s="49"/>
      <c r="F663" s="49"/>
      <c r="G663" s="49"/>
      <c r="H663" s="49"/>
      <c r="I663" s="49"/>
      <c r="J663" s="49"/>
      <c r="K663" s="49"/>
      <c r="L663" s="49"/>
      <c r="M663" s="49"/>
      <c r="N663" s="49"/>
      <c r="O663" s="49"/>
      <c r="P663" s="49"/>
      <c r="Q663" s="49"/>
      <c r="R663" s="49"/>
      <c r="S663" s="49"/>
      <c r="T663" s="49"/>
      <c r="U663" s="49"/>
      <c r="V663" s="49"/>
      <c r="W663" s="49"/>
      <c r="X663" s="49"/>
      <c r="Y663" s="49"/>
      <c r="Z663" s="49"/>
      <c r="AA663" s="49"/>
      <c r="AB663" s="49"/>
      <c r="AC663" s="49"/>
      <c r="AD663" s="49"/>
    </row>
    <row r="664" spans="1:30" ht="13">
      <c r="A664" s="141"/>
      <c r="B664" s="141"/>
      <c r="C664" s="141"/>
      <c r="D664" s="49"/>
      <c r="E664" s="49"/>
      <c r="F664" s="49"/>
      <c r="G664" s="49"/>
      <c r="H664" s="49"/>
      <c r="I664" s="49"/>
      <c r="J664" s="49"/>
      <c r="K664" s="49"/>
      <c r="L664" s="49"/>
      <c r="M664" s="49"/>
      <c r="N664" s="49"/>
      <c r="O664" s="49"/>
      <c r="P664" s="49"/>
      <c r="Q664" s="49"/>
      <c r="R664" s="49"/>
      <c r="S664" s="49"/>
      <c r="T664" s="49"/>
      <c r="U664" s="49"/>
      <c r="V664" s="49"/>
      <c r="W664" s="49"/>
      <c r="X664" s="49"/>
      <c r="Y664" s="49"/>
      <c r="Z664" s="49"/>
      <c r="AA664" s="49"/>
      <c r="AB664" s="49"/>
      <c r="AC664" s="49"/>
      <c r="AD664" s="49"/>
    </row>
    <row r="665" spans="1:30" ht="13">
      <c r="A665" s="141"/>
      <c r="B665" s="141"/>
      <c r="C665" s="141"/>
      <c r="D665" s="49"/>
      <c r="E665" s="49"/>
      <c r="F665" s="49"/>
      <c r="G665" s="49"/>
      <c r="H665" s="49"/>
      <c r="I665" s="49"/>
      <c r="J665" s="49"/>
      <c r="K665" s="49"/>
      <c r="L665" s="49"/>
      <c r="M665" s="49"/>
      <c r="N665" s="49"/>
      <c r="O665" s="49"/>
      <c r="P665" s="49"/>
      <c r="Q665" s="49"/>
      <c r="R665" s="49"/>
      <c r="S665" s="49"/>
      <c r="T665" s="49"/>
      <c r="U665" s="49"/>
      <c r="V665" s="49"/>
      <c r="W665" s="49"/>
      <c r="X665" s="49"/>
      <c r="Y665" s="49"/>
      <c r="Z665" s="49"/>
      <c r="AA665" s="49"/>
      <c r="AB665" s="49"/>
      <c r="AC665" s="49"/>
      <c r="AD665" s="49"/>
    </row>
    <row r="666" spans="1:30" ht="13">
      <c r="A666" s="141"/>
      <c r="B666" s="141"/>
      <c r="C666" s="141"/>
      <c r="D666" s="49"/>
      <c r="E666" s="49"/>
      <c r="F666" s="49"/>
      <c r="G666" s="49"/>
      <c r="H666" s="49"/>
      <c r="I666" s="49"/>
      <c r="J666" s="49"/>
      <c r="K666" s="49"/>
      <c r="L666" s="49"/>
      <c r="M666" s="49"/>
      <c r="N666" s="49"/>
      <c r="O666" s="49"/>
      <c r="P666" s="49"/>
      <c r="Q666" s="49"/>
      <c r="R666" s="49"/>
      <c r="S666" s="49"/>
      <c r="T666" s="49"/>
      <c r="U666" s="49"/>
      <c r="V666" s="49"/>
      <c r="W666" s="49"/>
      <c r="X666" s="49"/>
      <c r="Y666" s="49"/>
      <c r="Z666" s="49"/>
      <c r="AA666" s="49"/>
      <c r="AB666" s="49"/>
      <c r="AC666" s="49"/>
      <c r="AD666" s="49"/>
    </row>
    <row r="667" spans="1:30" ht="13">
      <c r="A667" s="141"/>
      <c r="B667" s="141"/>
      <c r="C667" s="141"/>
      <c r="D667" s="49"/>
      <c r="E667" s="49"/>
      <c r="F667" s="49"/>
      <c r="G667" s="49"/>
      <c r="H667" s="49"/>
      <c r="I667" s="49"/>
      <c r="J667" s="49"/>
      <c r="K667" s="49"/>
      <c r="L667" s="49"/>
      <c r="M667" s="49"/>
      <c r="N667" s="49"/>
      <c r="O667" s="49"/>
      <c r="P667" s="49"/>
      <c r="Q667" s="49"/>
      <c r="R667" s="49"/>
      <c r="S667" s="49"/>
      <c r="T667" s="49"/>
      <c r="U667" s="49"/>
      <c r="V667" s="49"/>
      <c r="W667" s="49"/>
      <c r="X667" s="49"/>
      <c r="Y667" s="49"/>
      <c r="Z667" s="49"/>
      <c r="AA667" s="49"/>
      <c r="AB667" s="49"/>
      <c r="AC667" s="49"/>
      <c r="AD667" s="49"/>
    </row>
    <row r="668" spans="1:30" ht="13">
      <c r="A668" s="141"/>
      <c r="B668" s="141"/>
      <c r="C668" s="141"/>
      <c r="D668" s="49"/>
      <c r="E668" s="49"/>
      <c r="F668" s="49"/>
      <c r="G668" s="49"/>
      <c r="H668" s="49"/>
      <c r="I668" s="49"/>
      <c r="J668" s="49"/>
      <c r="K668" s="49"/>
      <c r="L668" s="49"/>
      <c r="M668" s="49"/>
      <c r="N668" s="49"/>
      <c r="O668" s="49"/>
      <c r="P668" s="49"/>
      <c r="Q668" s="49"/>
      <c r="R668" s="49"/>
      <c r="S668" s="49"/>
      <c r="T668" s="49"/>
      <c r="U668" s="49"/>
      <c r="V668" s="49"/>
      <c r="W668" s="49"/>
      <c r="X668" s="49"/>
      <c r="Y668" s="49"/>
      <c r="Z668" s="49"/>
      <c r="AA668" s="49"/>
      <c r="AB668" s="49"/>
      <c r="AC668" s="49"/>
      <c r="AD668" s="49"/>
    </row>
    <row r="669" spans="1:30" ht="13">
      <c r="A669" s="141"/>
      <c r="B669" s="141"/>
      <c r="C669" s="141"/>
      <c r="D669" s="49"/>
      <c r="E669" s="49"/>
      <c r="F669" s="49"/>
      <c r="G669" s="49"/>
      <c r="H669" s="49"/>
      <c r="I669" s="49"/>
      <c r="J669" s="49"/>
      <c r="K669" s="49"/>
      <c r="L669" s="49"/>
      <c r="M669" s="49"/>
      <c r="N669" s="49"/>
      <c r="O669" s="49"/>
      <c r="P669" s="49"/>
      <c r="Q669" s="49"/>
      <c r="R669" s="49"/>
      <c r="S669" s="49"/>
      <c r="T669" s="49"/>
      <c r="U669" s="49"/>
      <c r="V669" s="49"/>
      <c r="W669" s="49"/>
      <c r="X669" s="49"/>
      <c r="Y669" s="49"/>
      <c r="Z669" s="49"/>
      <c r="AA669" s="49"/>
      <c r="AB669" s="49"/>
      <c r="AC669" s="49"/>
      <c r="AD669" s="49"/>
    </row>
    <row r="670" spans="1:30" ht="13">
      <c r="A670" s="141"/>
      <c r="B670" s="141"/>
      <c r="C670" s="141"/>
      <c r="D670" s="49"/>
      <c r="E670" s="49"/>
      <c r="F670" s="49"/>
      <c r="G670" s="49"/>
      <c r="H670" s="49"/>
      <c r="I670" s="49"/>
      <c r="J670" s="49"/>
      <c r="K670" s="49"/>
      <c r="L670" s="49"/>
      <c r="M670" s="49"/>
      <c r="N670" s="49"/>
      <c r="O670" s="49"/>
      <c r="P670" s="49"/>
      <c r="Q670" s="49"/>
      <c r="R670" s="49"/>
      <c r="S670" s="49"/>
      <c r="T670" s="49"/>
      <c r="U670" s="49"/>
      <c r="V670" s="49"/>
      <c r="W670" s="49"/>
      <c r="X670" s="49"/>
      <c r="Y670" s="49"/>
      <c r="Z670" s="49"/>
      <c r="AA670" s="49"/>
      <c r="AB670" s="49"/>
      <c r="AC670" s="49"/>
      <c r="AD670" s="49"/>
    </row>
    <row r="671" spans="1:30" ht="13">
      <c r="A671" s="141"/>
      <c r="B671" s="141"/>
      <c r="C671" s="141"/>
      <c r="D671" s="49"/>
      <c r="E671" s="49"/>
      <c r="F671" s="49"/>
      <c r="G671" s="49"/>
      <c r="H671" s="49"/>
      <c r="I671" s="49"/>
      <c r="J671" s="49"/>
      <c r="K671" s="49"/>
      <c r="L671" s="49"/>
      <c r="M671" s="49"/>
      <c r="N671" s="49"/>
      <c r="O671" s="49"/>
      <c r="P671" s="49"/>
      <c r="Q671" s="49"/>
      <c r="R671" s="49"/>
      <c r="S671" s="49"/>
      <c r="T671" s="49"/>
      <c r="U671" s="49"/>
      <c r="V671" s="49"/>
      <c r="W671" s="49"/>
      <c r="X671" s="49"/>
      <c r="Y671" s="49"/>
      <c r="Z671" s="49"/>
      <c r="AA671" s="49"/>
      <c r="AB671" s="49"/>
      <c r="AC671" s="49"/>
      <c r="AD671" s="49"/>
    </row>
    <row r="672" spans="1:30" ht="13">
      <c r="A672" s="141"/>
      <c r="B672" s="141"/>
      <c r="C672" s="141"/>
      <c r="D672" s="49"/>
      <c r="E672" s="49"/>
      <c r="F672" s="49"/>
      <c r="G672" s="49"/>
      <c r="H672" s="49"/>
      <c r="I672" s="49"/>
      <c r="J672" s="49"/>
      <c r="K672" s="49"/>
      <c r="L672" s="49"/>
      <c r="M672" s="49"/>
      <c r="N672" s="49"/>
      <c r="O672" s="49"/>
      <c r="P672" s="49"/>
      <c r="Q672" s="49"/>
      <c r="R672" s="49"/>
      <c r="S672" s="49"/>
      <c r="T672" s="49"/>
      <c r="U672" s="49"/>
      <c r="V672" s="49"/>
      <c r="W672" s="49"/>
      <c r="X672" s="49"/>
      <c r="Y672" s="49"/>
      <c r="Z672" s="49"/>
      <c r="AA672" s="49"/>
      <c r="AB672" s="49"/>
      <c r="AC672" s="49"/>
      <c r="AD672" s="49"/>
    </row>
    <row r="673" spans="1:30" ht="13">
      <c r="A673" s="141"/>
      <c r="B673" s="141"/>
      <c r="C673" s="141"/>
      <c r="D673" s="49"/>
      <c r="E673" s="49"/>
      <c r="F673" s="49"/>
      <c r="G673" s="49"/>
      <c r="H673" s="49"/>
      <c r="I673" s="49"/>
      <c r="J673" s="49"/>
      <c r="K673" s="49"/>
      <c r="L673" s="49"/>
      <c r="M673" s="49"/>
      <c r="N673" s="49"/>
      <c r="O673" s="49"/>
      <c r="P673" s="49"/>
      <c r="Q673" s="49"/>
      <c r="R673" s="49"/>
      <c r="S673" s="49"/>
      <c r="T673" s="49"/>
      <c r="U673" s="49"/>
      <c r="V673" s="49"/>
      <c r="W673" s="49"/>
      <c r="X673" s="49"/>
      <c r="Y673" s="49"/>
      <c r="Z673" s="49"/>
      <c r="AA673" s="49"/>
      <c r="AB673" s="49"/>
      <c r="AC673" s="49"/>
      <c r="AD673" s="49"/>
    </row>
    <row r="674" spans="1:30" ht="13">
      <c r="A674" s="141"/>
      <c r="B674" s="141"/>
      <c r="C674" s="141"/>
      <c r="D674" s="49"/>
      <c r="E674" s="49"/>
      <c r="F674" s="49"/>
      <c r="G674" s="49"/>
      <c r="H674" s="49"/>
      <c r="I674" s="49"/>
      <c r="J674" s="49"/>
      <c r="K674" s="49"/>
      <c r="L674" s="49"/>
      <c r="M674" s="49"/>
      <c r="N674" s="49"/>
      <c r="O674" s="49"/>
      <c r="P674" s="49"/>
      <c r="Q674" s="49"/>
      <c r="R674" s="49"/>
      <c r="S674" s="49"/>
      <c r="T674" s="49"/>
      <c r="U674" s="49"/>
      <c r="V674" s="49"/>
      <c r="W674" s="49"/>
      <c r="X674" s="49"/>
      <c r="Y674" s="49"/>
      <c r="Z674" s="49"/>
      <c r="AA674" s="49"/>
      <c r="AB674" s="49"/>
      <c r="AC674" s="49"/>
      <c r="AD674" s="49"/>
    </row>
    <row r="675" spans="1:30" ht="13">
      <c r="A675" s="141"/>
      <c r="B675" s="141"/>
      <c r="C675" s="141"/>
      <c r="D675" s="49"/>
      <c r="E675" s="49"/>
      <c r="F675" s="49"/>
      <c r="G675" s="49"/>
      <c r="H675" s="49"/>
      <c r="I675" s="49"/>
      <c r="J675" s="49"/>
      <c r="K675" s="49"/>
      <c r="L675" s="49"/>
      <c r="M675" s="49"/>
      <c r="N675" s="49"/>
      <c r="O675" s="49"/>
      <c r="P675" s="49"/>
      <c r="Q675" s="49"/>
      <c r="R675" s="49"/>
      <c r="S675" s="49"/>
      <c r="T675" s="49"/>
      <c r="U675" s="49"/>
      <c r="V675" s="49"/>
      <c r="W675" s="49"/>
      <c r="X675" s="49"/>
      <c r="Y675" s="49"/>
      <c r="Z675" s="49"/>
      <c r="AA675" s="49"/>
      <c r="AB675" s="49"/>
      <c r="AC675" s="49"/>
      <c r="AD675" s="49"/>
    </row>
    <row r="676" spans="1:30" ht="13">
      <c r="A676" s="141"/>
      <c r="B676" s="141"/>
      <c r="C676" s="141"/>
      <c r="D676" s="49"/>
      <c r="E676" s="49"/>
      <c r="F676" s="49"/>
      <c r="G676" s="49"/>
      <c r="H676" s="49"/>
      <c r="I676" s="49"/>
      <c r="J676" s="49"/>
      <c r="K676" s="49"/>
      <c r="L676" s="49"/>
      <c r="M676" s="49"/>
      <c r="N676" s="49"/>
      <c r="O676" s="49"/>
      <c r="P676" s="49"/>
      <c r="Q676" s="49"/>
      <c r="R676" s="49"/>
      <c r="S676" s="49"/>
      <c r="T676" s="49"/>
      <c r="U676" s="49"/>
      <c r="V676" s="49"/>
      <c r="W676" s="49"/>
      <c r="X676" s="49"/>
      <c r="Y676" s="49"/>
      <c r="Z676" s="49"/>
      <c r="AA676" s="49"/>
      <c r="AB676" s="49"/>
      <c r="AC676" s="49"/>
      <c r="AD676" s="49"/>
    </row>
    <row r="677" spans="1:30" ht="13">
      <c r="A677" s="141"/>
      <c r="B677" s="141"/>
      <c r="C677" s="141"/>
      <c r="D677" s="49"/>
      <c r="E677" s="49"/>
      <c r="F677" s="49"/>
      <c r="G677" s="49"/>
      <c r="H677" s="49"/>
      <c r="I677" s="49"/>
      <c r="J677" s="49"/>
      <c r="K677" s="49"/>
      <c r="L677" s="49"/>
      <c r="M677" s="49"/>
      <c r="N677" s="49"/>
      <c r="O677" s="49"/>
      <c r="P677" s="49"/>
      <c r="Q677" s="49"/>
      <c r="R677" s="49"/>
      <c r="S677" s="49"/>
      <c r="T677" s="49"/>
      <c r="U677" s="49"/>
      <c r="V677" s="49"/>
      <c r="W677" s="49"/>
      <c r="X677" s="49"/>
      <c r="Y677" s="49"/>
      <c r="Z677" s="49"/>
      <c r="AA677" s="49"/>
      <c r="AB677" s="49"/>
      <c r="AC677" s="49"/>
      <c r="AD677" s="49"/>
    </row>
    <row r="678" spans="1:30" ht="13">
      <c r="A678" s="141"/>
      <c r="B678" s="141"/>
      <c r="C678" s="141"/>
      <c r="D678" s="49"/>
      <c r="E678" s="49"/>
      <c r="F678" s="49"/>
      <c r="G678" s="49"/>
      <c r="H678" s="49"/>
      <c r="I678" s="49"/>
      <c r="J678" s="49"/>
      <c r="K678" s="49"/>
      <c r="L678" s="49"/>
      <c r="M678" s="49"/>
      <c r="N678" s="49"/>
      <c r="O678" s="49"/>
      <c r="P678" s="49"/>
      <c r="Q678" s="49"/>
      <c r="R678" s="49"/>
      <c r="S678" s="49"/>
      <c r="T678" s="49"/>
      <c r="U678" s="49"/>
      <c r="V678" s="49"/>
      <c r="W678" s="49"/>
      <c r="X678" s="49"/>
      <c r="Y678" s="49"/>
      <c r="Z678" s="49"/>
      <c r="AA678" s="49"/>
      <c r="AB678" s="49"/>
      <c r="AC678" s="49"/>
      <c r="AD678" s="49"/>
    </row>
    <row r="679" spans="1:30" ht="13">
      <c r="A679" s="141"/>
      <c r="B679" s="141"/>
      <c r="C679" s="141"/>
      <c r="D679" s="49"/>
      <c r="E679" s="49"/>
      <c r="F679" s="49"/>
      <c r="G679" s="49"/>
      <c r="H679" s="49"/>
      <c r="I679" s="49"/>
      <c r="J679" s="49"/>
      <c r="K679" s="49"/>
      <c r="L679" s="49"/>
      <c r="M679" s="49"/>
      <c r="N679" s="49"/>
      <c r="O679" s="49"/>
      <c r="P679" s="49"/>
      <c r="Q679" s="49"/>
      <c r="R679" s="49"/>
      <c r="S679" s="49"/>
      <c r="T679" s="49"/>
      <c r="U679" s="49"/>
      <c r="V679" s="49"/>
      <c r="W679" s="49"/>
      <c r="X679" s="49"/>
      <c r="Y679" s="49"/>
      <c r="Z679" s="49"/>
      <c r="AA679" s="49"/>
      <c r="AB679" s="49"/>
      <c r="AC679" s="49"/>
      <c r="AD679" s="49"/>
    </row>
    <row r="680" spans="1:30" ht="13">
      <c r="A680" s="141"/>
      <c r="B680" s="141"/>
      <c r="C680" s="141"/>
      <c r="D680" s="49"/>
      <c r="E680" s="49"/>
      <c r="F680" s="49"/>
      <c r="G680" s="49"/>
      <c r="H680" s="49"/>
      <c r="I680" s="49"/>
      <c r="J680" s="49"/>
      <c r="K680" s="49"/>
      <c r="L680" s="49"/>
      <c r="M680" s="49"/>
      <c r="N680" s="49"/>
      <c r="O680" s="49"/>
      <c r="P680" s="49"/>
      <c r="Q680" s="49"/>
      <c r="R680" s="49"/>
      <c r="S680" s="49"/>
      <c r="T680" s="49"/>
      <c r="U680" s="49"/>
      <c r="V680" s="49"/>
      <c r="W680" s="49"/>
      <c r="X680" s="49"/>
      <c r="Y680" s="49"/>
      <c r="Z680" s="49"/>
      <c r="AA680" s="49"/>
      <c r="AB680" s="49"/>
      <c r="AC680" s="49"/>
      <c r="AD680" s="49"/>
    </row>
    <row r="681" spans="1:30" ht="13">
      <c r="A681" s="141"/>
      <c r="B681" s="141"/>
      <c r="C681" s="141"/>
      <c r="D681" s="49"/>
      <c r="E681" s="49"/>
      <c r="F681" s="49"/>
      <c r="G681" s="49"/>
      <c r="H681" s="49"/>
      <c r="I681" s="49"/>
      <c r="J681" s="49"/>
      <c r="K681" s="49"/>
      <c r="L681" s="49"/>
      <c r="M681" s="49"/>
      <c r="N681" s="49"/>
      <c r="O681" s="49"/>
      <c r="P681" s="49"/>
      <c r="Q681" s="49"/>
      <c r="R681" s="49"/>
      <c r="S681" s="49"/>
      <c r="T681" s="49"/>
      <c r="U681" s="49"/>
      <c r="V681" s="49"/>
      <c r="W681" s="49"/>
      <c r="X681" s="49"/>
      <c r="Y681" s="49"/>
      <c r="Z681" s="49"/>
      <c r="AA681" s="49"/>
      <c r="AB681" s="49"/>
      <c r="AC681" s="49"/>
      <c r="AD681" s="49"/>
    </row>
    <row r="682" spans="1:30" ht="13">
      <c r="A682" s="141"/>
      <c r="B682" s="141"/>
      <c r="C682" s="141"/>
      <c r="D682" s="49"/>
      <c r="E682" s="49"/>
      <c r="F682" s="49"/>
      <c r="G682" s="49"/>
      <c r="H682" s="49"/>
      <c r="I682" s="49"/>
      <c r="J682" s="49"/>
      <c r="K682" s="49"/>
      <c r="L682" s="49"/>
      <c r="M682" s="49"/>
      <c r="N682" s="49"/>
      <c r="O682" s="49"/>
      <c r="P682" s="49"/>
      <c r="Q682" s="49"/>
      <c r="R682" s="49"/>
      <c r="S682" s="49"/>
      <c r="T682" s="49"/>
      <c r="U682" s="49"/>
      <c r="V682" s="49"/>
      <c r="W682" s="49"/>
      <c r="X682" s="49"/>
      <c r="Y682" s="49"/>
      <c r="Z682" s="49"/>
      <c r="AA682" s="49"/>
      <c r="AB682" s="49"/>
      <c r="AC682" s="49"/>
      <c r="AD682" s="49"/>
    </row>
    <row r="683" spans="1:30" ht="13">
      <c r="A683" s="141"/>
      <c r="B683" s="141"/>
      <c r="C683" s="141"/>
      <c r="D683" s="49"/>
      <c r="E683" s="49"/>
      <c r="F683" s="49"/>
      <c r="G683" s="49"/>
      <c r="H683" s="49"/>
      <c r="I683" s="49"/>
      <c r="J683" s="49"/>
      <c r="K683" s="49"/>
      <c r="L683" s="49"/>
      <c r="M683" s="49"/>
      <c r="N683" s="49"/>
      <c r="O683" s="49"/>
      <c r="P683" s="49"/>
      <c r="Q683" s="49"/>
      <c r="R683" s="49"/>
      <c r="S683" s="49"/>
      <c r="T683" s="49"/>
      <c r="U683" s="49"/>
      <c r="V683" s="49"/>
      <c r="W683" s="49"/>
      <c r="X683" s="49"/>
      <c r="Y683" s="49"/>
      <c r="Z683" s="49"/>
      <c r="AA683" s="49"/>
      <c r="AB683" s="49"/>
      <c r="AC683" s="49"/>
      <c r="AD683" s="49"/>
    </row>
    <row r="684" spans="1:30" ht="13">
      <c r="A684" s="141"/>
      <c r="B684" s="141"/>
      <c r="C684" s="141"/>
      <c r="D684" s="49"/>
      <c r="E684" s="49"/>
      <c r="F684" s="49"/>
      <c r="G684" s="49"/>
      <c r="H684" s="49"/>
      <c r="I684" s="49"/>
      <c r="J684" s="49"/>
      <c r="K684" s="49"/>
      <c r="L684" s="49"/>
      <c r="M684" s="49"/>
      <c r="N684" s="49"/>
      <c r="O684" s="49"/>
      <c r="P684" s="49"/>
      <c r="Q684" s="49"/>
      <c r="R684" s="49"/>
      <c r="S684" s="49"/>
      <c r="T684" s="49"/>
      <c r="U684" s="49"/>
      <c r="V684" s="49"/>
      <c r="W684" s="49"/>
      <c r="X684" s="49"/>
      <c r="Y684" s="49"/>
      <c r="Z684" s="49"/>
      <c r="AA684" s="49"/>
      <c r="AB684" s="49"/>
      <c r="AC684" s="49"/>
      <c r="AD684" s="49"/>
    </row>
    <row r="685" spans="1:30" ht="13">
      <c r="A685" s="141"/>
      <c r="B685" s="141"/>
      <c r="C685" s="141"/>
      <c r="D685" s="49"/>
      <c r="E685" s="49"/>
      <c r="F685" s="49"/>
      <c r="G685" s="49"/>
      <c r="H685" s="49"/>
      <c r="I685" s="49"/>
      <c r="J685" s="49"/>
      <c r="K685" s="49"/>
      <c r="L685" s="49"/>
      <c r="M685" s="49"/>
      <c r="N685" s="49"/>
      <c r="O685" s="49"/>
      <c r="P685" s="49"/>
      <c r="Q685" s="49"/>
      <c r="R685" s="49"/>
      <c r="S685" s="49"/>
      <c r="T685" s="49"/>
      <c r="U685" s="49"/>
      <c r="V685" s="49"/>
      <c r="W685" s="49"/>
      <c r="X685" s="49"/>
      <c r="Y685" s="49"/>
      <c r="Z685" s="49"/>
      <c r="AA685" s="49"/>
      <c r="AB685" s="49"/>
      <c r="AC685" s="49"/>
      <c r="AD685" s="49"/>
    </row>
    <row r="686" spans="1:30" ht="13">
      <c r="A686" s="141"/>
      <c r="B686" s="141"/>
      <c r="C686" s="141"/>
      <c r="D686" s="49"/>
      <c r="E686" s="49"/>
      <c r="F686" s="49"/>
      <c r="G686" s="49"/>
      <c r="H686" s="49"/>
      <c r="I686" s="49"/>
      <c r="J686" s="49"/>
      <c r="K686" s="49"/>
      <c r="L686" s="49"/>
      <c r="M686" s="49"/>
      <c r="N686" s="49"/>
      <c r="O686" s="49"/>
      <c r="P686" s="49"/>
      <c r="Q686" s="49"/>
      <c r="R686" s="49"/>
      <c r="S686" s="49"/>
      <c r="T686" s="49"/>
      <c r="U686" s="49"/>
      <c r="V686" s="49"/>
      <c r="W686" s="49"/>
      <c r="X686" s="49"/>
      <c r="Y686" s="49"/>
      <c r="Z686" s="49"/>
      <c r="AA686" s="49"/>
      <c r="AB686" s="49"/>
      <c r="AC686" s="49"/>
      <c r="AD686" s="49"/>
    </row>
    <row r="687" spans="1:30" ht="13">
      <c r="A687" s="141"/>
      <c r="B687" s="141"/>
      <c r="C687" s="141"/>
      <c r="D687" s="49"/>
      <c r="E687" s="49"/>
      <c r="F687" s="49"/>
      <c r="G687" s="49"/>
      <c r="H687" s="49"/>
      <c r="I687" s="49"/>
      <c r="J687" s="49"/>
      <c r="K687" s="49"/>
      <c r="L687" s="49"/>
      <c r="M687" s="49"/>
      <c r="N687" s="49"/>
      <c r="O687" s="49"/>
      <c r="P687" s="49"/>
      <c r="Q687" s="49"/>
      <c r="R687" s="49"/>
      <c r="S687" s="49"/>
      <c r="T687" s="49"/>
      <c r="U687" s="49"/>
      <c r="V687" s="49"/>
      <c r="W687" s="49"/>
      <c r="X687" s="49"/>
      <c r="Y687" s="49"/>
      <c r="Z687" s="49"/>
      <c r="AA687" s="49"/>
      <c r="AB687" s="49"/>
      <c r="AC687" s="49"/>
      <c r="AD687" s="49"/>
    </row>
    <row r="688" spans="1:30" ht="13">
      <c r="A688" s="141"/>
      <c r="B688" s="141"/>
      <c r="C688" s="141"/>
      <c r="D688" s="49"/>
      <c r="E688" s="49"/>
      <c r="F688" s="49"/>
      <c r="G688" s="49"/>
      <c r="H688" s="49"/>
      <c r="I688" s="49"/>
      <c r="J688" s="49"/>
      <c r="K688" s="49"/>
      <c r="L688" s="49"/>
      <c r="M688" s="49"/>
      <c r="N688" s="49"/>
      <c r="O688" s="49"/>
      <c r="P688" s="49"/>
      <c r="Q688" s="49"/>
      <c r="R688" s="49"/>
      <c r="S688" s="49"/>
      <c r="T688" s="49"/>
      <c r="U688" s="49"/>
      <c r="V688" s="49"/>
      <c r="W688" s="49"/>
      <c r="X688" s="49"/>
      <c r="Y688" s="49"/>
      <c r="Z688" s="49"/>
      <c r="AA688" s="49"/>
      <c r="AB688" s="49"/>
      <c r="AC688" s="49"/>
      <c r="AD688" s="49"/>
    </row>
    <row r="689" spans="1:30" ht="13">
      <c r="A689" s="141"/>
      <c r="B689" s="141"/>
      <c r="C689" s="141"/>
      <c r="D689" s="49"/>
      <c r="E689" s="49"/>
      <c r="F689" s="49"/>
      <c r="G689" s="49"/>
      <c r="H689" s="49"/>
      <c r="I689" s="49"/>
      <c r="J689" s="49"/>
      <c r="K689" s="49"/>
      <c r="L689" s="49"/>
      <c r="M689" s="49"/>
      <c r="N689" s="49"/>
      <c r="O689" s="49"/>
      <c r="P689" s="49"/>
      <c r="Q689" s="49"/>
      <c r="R689" s="49"/>
      <c r="S689" s="49"/>
      <c r="T689" s="49"/>
      <c r="U689" s="49"/>
      <c r="V689" s="49"/>
      <c r="W689" s="49"/>
      <c r="X689" s="49"/>
      <c r="Y689" s="49"/>
      <c r="Z689" s="49"/>
      <c r="AA689" s="49"/>
      <c r="AB689" s="49"/>
      <c r="AC689" s="49"/>
      <c r="AD689" s="49"/>
    </row>
    <row r="690" spans="1:30" ht="13">
      <c r="A690" s="141"/>
      <c r="B690" s="141"/>
      <c r="C690" s="141"/>
      <c r="D690" s="49"/>
      <c r="E690" s="49"/>
      <c r="F690" s="49"/>
      <c r="G690" s="49"/>
      <c r="H690" s="49"/>
      <c r="I690" s="49"/>
      <c r="J690" s="49"/>
      <c r="K690" s="49"/>
      <c r="L690" s="49"/>
      <c r="M690" s="49"/>
      <c r="N690" s="49"/>
      <c r="O690" s="49"/>
      <c r="P690" s="49"/>
      <c r="Q690" s="49"/>
      <c r="R690" s="49"/>
      <c r="S690" s="49"/>
      <c r="T690" s="49"/>
      <c r="U690" s="49"/>
      <c r="V690" s="49"/>
      <c r="W690" s="49"/>
      <c r="X690" s="49"/>
      <c r="Y690" s="49"/>
      <c r="Z690" s="49"/>
      <c r="AA690" s="49"/>
      <c r="AB690" s="49"/>
      <c r="AC690" s="49"/>
      <c r="AD690" s="49"/>
    </row>
    <row r="691" spans="1:30" ht="13">
      <c r="A691" s="141"/>
      <c r="B691" s="141"/>
      <c r="C691" s="141"/>
      <c r="D691" s="49"/>
      <c r="E691" s="49"/>
      <c r="F691" s="49"/>
      <c r="G691" s="49"/>
      <c r="H691" s="49"/>
      <c r="I691" s="49"/>
      <c r="J691" s="49"/>
      <c r="K691" s="49"/>
      <c r="L691" s="49"/>
      <c r="M691" s="49"/>
      <c r="N691" s="49"/>
      <c r="O691" s="49"/>
      <c r="P691" s="49"/>
      <c r="Q691" s="49"/>
      <c r="R691" s="49"/>
      <c r="S691" s="49"/>
      <c r="T691" s="49"/>
      <c r="U691" s="49"/>
      <c r="V691" s="49"/>
      <c r="W691" s="49"/>
      <c r="X691" s="49"/>
      <c r="Y691" s="49"/>
      <c r="Z691" s="49"/>
      <c r="AA691" s="49"/>
      <c r="AB691" s="49"/>
      <c r="AC691" s="49"/>
      <c r="AD691" s="49"/>
    </row>
    <row r="692" spans="1:30" ht="13">
      <c r="A692" s="141"/>
      <c r="B692" s="141"/>
      <c r="C692" s="141"/>
      <c r="D692" s="49"/>
      <c r="E692" s="49"/>
      <c r="F692" s="49"/>
      <c r="G692" s="49"/>
      <c r="H692" s="49"/>
      <c r="I692" s="49"/>
      <c r="J692" s="49"/>
      <c r="K692" s="49"/>
      <c r="L692" s="49"/>
      <c r="M692" s="49"/>
      <c r="N692" s="49"/>
      <c r="O692" s="49"/>
      <c r="P692" s="49"/>
      <c r="Q692" s="49"/>
      <c r="R692" s="49"/>
      <c r="S692" s="49"/>
      <c r="T692" s="49"/>
      <c r="U692" s="49"/>
      <c r="V692" s="49"/>
      <c r="W692" s="49"/>
      <c r="X692" s="49"/>
      <c r="Y692" s="49"/>
      <c r="Z692" s="49"/>
      <c r="AA692" s="49"/>
      <c r="AB692" s="49"/>
      <c r="AC692" s="49"/>
      <c r="AD692" s="49"/>
    </row>
    <row r="693" spans="1:30" ht="13">
      <c r="A693" s="141"/>
      <c r="B693" s="141"/>
      <c r="C693" s="141"/>
      <c r="D693" s="49"/>
      <c r="E693" s="49"/>
      <c r="F693" s="49"/>
      <c r="G693" s="49"/>
      <c r="H693" s="49"/>
      <c r="I693" s="49"/>
      <c r="J693" s="49"/>
      <c r="K693" s="49"/>
      <c r="L693" s="49"/>
      <c r="M693" s="49"/>
      <c r="N693" s="49"/>
      <c r="O693" s="49"/>
      <c r="P693" s="49"/>
      <c r="Q693" s="49"/>
      <c r="R693" s="49"/>
      <c r="S693" s="49"/>
      <c r="T693" s="49"/>
      <c r="U693" s="49"/>
      <c r="V693" s="49"/>
      <c r="W693" s="49"/>
      <c r="X693" s="49"/>
      <c r="Y693" s="49"/>
      <c r="Z693" s="49"/>
      <c r="AA693" s="49"/>
      <c r="AB693" s="49"/>
      <c r="AC693" s="49"/>
      <c r="AD693" s="49"/>
    </row>
    <row r="694" spans="1:30" ht="13">
      <c r="A694" s="141"/>
      <c r="B694" s="141"/>
      <c r="C694" s="141"/>
      <c r="D694" s="49"/>
      <c r="E694" s="49"/>
      <c r="F694" s="49"/>
      <c r="G694" s="49"/>
      <c r="H694" s="49"/>
      <c r="I694" s="49"/>
      <c r="J694" s="49"/>
      <c r="K694" s="49"/>
      <c r="L694" s="49"/>
      <c r="M694" s="49"/>
      <c r="N694" s="49"/>
      <c r="O694" s="49"/>
      <c r="P694" s="49"/>
      <c r="Q694" s="49"/>
      <c r="R694" s="49"/>
      <c r="S694" s="49"/>
      <c r="T694" s="49"/>
      <c r="U694" s="49"/>
      <c r="V694" s="49"/>
      <c r="W694" s="49"/>
      <c r="X694" s="49"/>
      <c r="Y694" s="49"/>
      <c r="Z694" s="49"/>
      <c r="AA694" s="49"/>
      <c r="AB694" s="49"/>
      <c r="AC694" s="49"/>
      <c r="AD694" s="49"/>
    </row>
    <row r="695" spans="1:30" ht="13">
      <c r="A695" s="141"/>
      <c r="B695" s="141"/>
      <c r="C695" s="141"/>
      <c r="D695" s="49"/>
      <c r="E695" s="49"/>
      <c r="F695" s="49"/>
      <c r="G695" s="49"/>
      <c r="H695" s="49"/>
      <c r="I695" s="49"/>
      <c r="J695" s="49"/>
      <c r="K695" s="49"/>
      <c r="L695" s="49"/>
      <c r="M695" s="49"/>
      <c r="N695" s="49"/>
      <c r="O695" s="49"/>
      <c r="P695" s="49"/>
      <c r="Q695" s="49"/>
      <c r="R695" s="49"/>
      <c r="S695" s="49"/>
      <c r="T695" s="49"/>
      <c r="U695" s="49"/>
      <c r="V695" s="49"/>
      <c r="W695" s="49"/>
      <c r="X695" s="49"/>
      <c r="Y695" s="49"/>
      <c r="Z695" s="49"/>
      <c r="AA695" s="49"/>
      <c r="AB695" s="49"/>
      <c r="AC695" s="49"/>
      <c r="AD695" s="49"/>
    </row>
    <row r="696" spans="1:30" ht="13">
      <c r="A696" s="141"/>
      <c r="B696" s="141"/>
      <c r="C696" s="141"/>
      <c r="D696" s="49"/>
      <c r="E696" s="49"/>
      <c r="F696" s="49"/>
      <c r="G696" s="49"/>
      <c r="H696" s="49"/>
      <c r="I696" s="49"/>
      <c r="J696" s="49"/>
      <c r="K696" s="49"/>
      <c r="L696" s="49"/>
      <c r="M696" s="49"/>
      <c r="N696" s="49"/>
      <c r="O696" s="49"/>
      <c r="P696" s="49"/>
      <c r="Q696" s="49"/>
      <c r="R696" s="49"/>
      <c r="S696" s="49"/>
      <c r="T696" s="49"/>
      <c r="U696" s="49"/>
      <c r="V696" s="49"/>
      <c r="W696" s="49"/>
      <c r="X696" s="49"/>
      <c r="Y696" s="49"/>
      <c r="Z696" s="49"/>
      <c r="AA696" s="49"/>
      <c r="AB696" s="49"/>
      <c r="AC696" s="49"/>
      <c r="AD696" s="49"/>
    </row>
    <row r="697" spans="1:30" ht="13">
      <c r="A697" s="141"/>
      <c r="B697" s="141"/>
      <c r="C697" s="141"/>
      <c r="D697" s="49"/>
      <c r="E697" s="49"/>
      <c r="F697" s="49"/>
      <c r="G697" s="49"/>
      <c r="H697" s="49"/>
      <c r="I697" s="49"/>
      <c r="J697" s="49"/>
      <c r="K697" s="49"/>
      <c r="L697" s="49"/>
      <c r="M697" s="49"/>
      <c r="N697" s="49"/>
      <c r="O697" s="49"/>
      <c r="P697" s="49"/>
      <c r="Q697" s="49"/>
      <c r="R697" s="49"/>
      <c r="S697" s="49"/>
      <c r="T697" s="49"/>
      <c r="U697" s="49"/>
      <c r="V697" s="49"/>
      <c r="W697" s="49"/>
      <c r="X697" s="49"/>
      <c r="Y697" s="49"/>
      <c r="Z697" s="49"/>
      <c r="AA697" s="49"/>
      <c r="AB697" s="49"/>
      <c r="AC697" s="49"/>
      <c r="AD697" s="49"/>
    </row>
    <row r="698" spans="1:30" ht="13">
      <c r="A698" s="141"/>
      <c r="B698" s="141"/>
      <c r="C698" s="141"/>
      <c r="D698" s="49"/>
      <c r="E698" s="49"/>
      <c r="F698" s="49"/>
      <c r="G698" s="49"/>
      <c r="H698" s="49"/>
      <c r="I698" s="49"/>
      <c r="J698" s="49"/>
      <c r="K698" s="49"/>
      <c r="L698" s="49"/>
      <c r="M698" s="49"/>
      <c r="N698" s="49"/>
      <c r="O698" s="49"/>
      <c r="P698" s="49"/>
      <c r="Q698" s="49"/>
      <c r="R698" s="49"/>
      <c r="S698" s="49"/>
      <c r="T698" s="49"/>
      <c r="U698" s="49"/>
      <c r="V698" s="49"/>
      <c r="W698" s="49"/>
      <c r="X698" s="49"/>
      <c r="Y698" s="49"/>
      <c r="Z698" s="49"/>
      <c r="AA698" s="49"/>
      <c r="AB698" s="49"/>
      <c r="AC698" s="49"/>
      <c r="AD698" s="49"/>
    </row>
    <row r="699" spans="1:30" ht="13">
      <c r="A699" s="141"/>
      <c r="B699" s="141"/>
      <c r="C699" s="141"/>
      <c r="D699" s="49"/>
      <c r="E699" s="49"/>
      <c r="F699" s="49"/>
      <c r="G699" s="49"/>
      <c r="H699" s="49"/>
      <c r="I699" s="49"/>
      <c r="J699" s="49"/>
      <c r="K699" s="49"/>
      <c r="L699" s="49"/>
      <c r="M699" s="49"/>
      <c r="N699" s="49"/>
      <c r="O699" s="49"/>
      <c r="P699" s="49"/>
      <c r="Q699" s="49"/>
      <c r="R699" s="49"/>
      <c r="S699" s="49"/>
      <c r="T699" s="49"/>
      <c r="U699" s="49"/>
      <c r="V699" s="49"/>
      <c r="W699" s="49"/>
      <c r="X699" s="49"/>
      <c r="Y699" s="49"/>
      <c r="Z699" s="49"/>
      <c r="AA699" s="49"/>
      <c r="AB699" s="49"/>
      <c r="AC699" s="49"/>
      <c r="AD699" s="49"/>
    </row>
    <row r="700" spans="1:30" ht="13">
      <c r="A700" s="141"/>
      <c r="B700" s="141"/>
      <c r="C700" s="141"/>
      <c r="D700" s="49"/>
      <c r="E700" s="49"/>
      <c r="F700" s="49"/>
      <c r="G700" s="49"/>
      <c r="H700" s="49"/>
      <c r="I700" s="49"/>
      <c r="J700" s="49"/>
      <c r="K700" s="49"/>
      <c r="L700" s="49"/>
      <c r="M700" s="49"/>
      <c r="N700" s="49"/>
      <c r="O700" s="49"/>
      <c r="P700" s="49"/>
      <c r="Q700" s="49"/>
      <c r="R700" s="49"/>
      <c r="S700" s="49"/>
      <c r="T700" s="49"/>
      <c r="U700" s="49"/>
      <c r="V700" s="49"/>
      <c r="W700" s="49"/>
      <c r="X700" s="49"/>
      <c r="Y700" s="49"/>
      <c r="Z700" s="49"/>
      <c r="AA700" s="49"/>
      <c r="AB700" s="49"/>
      <c r="AC700" s="49"/>
      <c r="AD700" s="49"/>
    </row>
    <row r="701" spans="1:30" ht="13">
      <c r="A701" s="141"/>
      <c r="B701" s="141"/>
      <c r="C701" s="141"/>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row>
    <row r="702" spans="1:30" ht="13">
      <c r="A702" s="141"/>
      <c r="B702" s="141"/>
      <c r="C702" s="141"/>
      <c r="D702" s="49"/>
      <c r="E702" s="49"/>
      <c r="F702" s="49"/>
      <c r="G702" s="49"/>
      <c r="H702" s="49"/>
      <c r="I702" s="49"/>
      <c r="J702" s="49"/>
      <c r="K702" s="49"/>
      <c r="L702" s="49"/>
      <c r="M702" s="49"/>
      <c r="N702" s="49"/>
      <c r="O702" s="49"/>
      <c r="P702" s="49"/>
      <c r="Q702" s="49"/>
      <c r="R702" s="49"/>
      <c r="S702" s="49"/>
      <c r="T702" s="49"/>
      <c r="U702" s="49"/>
      <c r="V702" s="49"/>
      <c r="W702" s="49"/>
      <c r="X702" s="49"/>
      <c r="Y702" s="49"/>
      <c r="Z702" s="49"/>
      <c r="AA702" s="49"/>
      <c r="AB702" s="49"/>
      <c r="AC702" s="49"/>
      <c r="AD702" s="49"/>
    </row>
    <row r="703" spans="1:30" ht="13">
      <c r="A703" s="141"/>
      <c r="B703" s="141"/>
      <c r="C703" s="141"/>
      <c r="D703" s="49"/>
      <c r="E703" s="49"/>
      <c r="F703" s="49"/>
      <c r="G703" s="49"/>
      <c r="H703" s="49"/>
      <c r="I703" s="49"/>
      <c r="J703" s="49"/>
      <c r="K703" s="49"/>
      <c r="L703" s="49"/>
      <c r="M703" s="49"/>
      <c r="N703" s="49"/>
      <c r="O703" s="49"/>
      <c r="P703" s="49"/>
      <c r="Q703" s="49"/>
      <c r="R703" s="49"/>
      <c r="S703" s="49"/>
      <c r="T703" s="49"/>
      <c r="U703" s="49"/>
      <c r="V703" s="49"/>
      <c r="W703" s="49"/>
      <c r="X703" s="49"/>
      <c r="Y703" s="49"/>
      <c r="Z703" s="49"/>
      <c r="AA703" s="49"/>
      <c r="AB703" s="49"/>
      <c r="AC703" s="49"/>
      <c r="AD703" s="49"/>
    </row>
    <row r="704" spans="1:30" ht="13">
      <c r="A704" s="141"/>
      <c r="B704" s="141"/>
      <c r="C704" s="141"/>
      <c r="D704" s="49"/>
      <c r="E704" s="49"/>
      <c r="F704" s="49"/>
      <c r="G704" s="49"/>
      <c r="H704" s="49"/>
      <c r="I704" s="49"/>
      <c r="J704" s="49"/>
      <c r="K704" s="49"/>
      <c r="L704" s="49"/>
      <c r="M704" s="49"/>
      <c r="N704" s="49"/>
      <c r="O704" s="49"/>
      <c r="P704" s="49"/>
      <c r="Q704" s="49"/>
      <c r="R704" s="49"/>
      <c r="S704" s="49"/>
      <c r="T704" s="49"/>
      <c r="U704" s="49"/>
      <c r="V704" s="49"/>
      <c r="W704" s="49"/>
      <c r="X704" s="49"/>
      <c r="Y704" s="49"/>
      <c r="Z704" s="49"/>
      <c r="AA704" s="49"/>
      <c r="AB704" s="49"/>
      <c r="AC704" s="49"/>
      <c r="AD704" s="49"/>
    </row>
    <row r="705" spans="1:30" ht="13">
      <c r="A705" s="141"/>
      <c r="B705" s="141"/>
      <c r="C705" s="141"/>
      <c r="D705" s="49"/>
      <c r="E705" s="49"/>
      <c r="F705" s="49"/>
      <c r="G705" s="49"/>
      <c r="H705" s="49"/>
      <c r="I705" s="49"/>
      <c r="J705" s="49"/>
      <c r="K705" s="49"/>
      <c r="L705" s="49"/>
      <c r="M705" s="49"/>
      <c r="N705" s="49"/>
      <c r="O705" s="49"/>
      <c r="P705" s="49"/>
      <c r="Q705" s="49"/>
      <c r="R705" s="49"/>
      <c r="S705" s="49"/>
      <c r="T705" s="49"/>
      <c r="U705" s="49"/>
      <c r="V705" s="49"/>
      <c r="W705" s="49"/>
      <c r="X705" s="49"/>
      <c r="Y705" s="49"/>
      <c r="Z705" s="49"/>
      <c r="AA705" s="49"/>
      <c r="AB705" s="49"/>
      <c r="AC705" s="49"/>
      <c r="AD705" s="49"/>
    </row>
    <row r="706" spans="1:30" ht="13">
      <c r="A706" s="141"/>
      <c r="B706" s="141"/>
      <c r="C706" s="141"/>
      <c r="D706" s="49"/>
      <c r="E706" s="49"/>
      <c r="F706" s="49"/>
      <c r="G706" s="49"/>
      <c r="H706" s="49"/>
      <c r="I706" s="49"/>
      <c r="J706" s="49"/>
      <c r="K706" s="49"/>
      <c r="L706" s="49"/>
      <c r="M706" s="49"/>
      <c r="N706" s="49"/>
      <c r="O706" s="49"/>
      <c r="P706" s="49"/>
      <c r="Q706" s="49"/>
      <c r="R706" s="49"/>
      <c r="S706" s="49"/>
      <c r="T706" s="49"/>
      <c r="U706" s="49"/>
      <c r="V706" s="49"/>
      <c r="W706" s="49"/>
      <c r="X706" s="49"/>
      <c r="Y706" s="49"/>
      <c r="Z706" s="49"/>
      <c r="AA706" s="49"/>
      <c r="AB706" s="49"/>
      <c r="AC706" s="49"/>
      <c r="AD706" s="49"/>
    </row>
    <row r="707" spans="1:30" ht="13">
      <c r="A707" s="141"/>
      <c r="B707" s="141"/>
      <c r="C707" s="141"/>
      <c r="D707" s="49"/>
      <c r="E707" s="49"/>
      <c r="F707" s="49"/>
      <c r="G707" s="49"/>
      <c r="H707" s="49"/>
      <c r="I707" s="49"/>
      <c r="J707" s="49"/>
      <c r="K707" s="49"/>
      <c r="L707" s="49"/>
      <c r="M707" s="49"/>
      <c r="N707" s="49"/>
      <c r="O707" s="49"/>
      <c r="P707" s="49"/>
      <c r="Q707" s="49"/>
      <c r="R707" s="49"/>
      <c r="S707" s="49"/>
      <c r="T707" s="49"/>
      <c r="U707" s="49"/>
      <c r="V707" s="49"/>
      <c r="W707" s="49"/>
      <c r="X707" s="49"/>
      <c r="Y707" s="49"/>
      <c r="Z707" s="49"/>
      <c r="AA707" s="49"/>
      <c r="AB707" s="49"/>
      <c r="AC707" s="49"/>
      <c r="AD707" s="49"/>
    </row>
    <row r="708" spans="1:30" ht="13">
      <c r="A708" s="141"/>
      <c r="B708" s="141"/>
      <c r="C708" s="141"/>
      <c r="D708" s="49"/>
      <c r="E708" s="49"/>
      <c r="F708" s="49"/>
      <c r="G708" s="49"/>
      <c r="H708" s="49"/>
      <c r="I708" s="49"/>
      <c r="J708" s="49"/>
      <c r="K708" s="49"/>
      <c r="L708" s="49"/>
      <c r="M708" s="49"/>
      <c r="N708" s="49"/>
      <c r="O708" s="49"/>
      <c r="P708" s="49"/>
      <c r="Q708" s="49"/>
      <c r="R708" s="49"/>
      <c r="S708" s="49"/>
      <c r="T708" s="49"/>
      <c r="U708" s="49"/>
      <c r="V708" s="49"/>
      <c r="W708" s="49"/>
      <c r="X708" s="49"/>
      <c r="Y708" s="49"/>
      <c r="Z708" s="49"/>
      <c r="AA708" s="49"/>
      <c r="AB708" s="49"/>
      <c r="AC708" s="49"/>
      <c r="AD708" s="49"/>
    </row>
    <row r="709" spans="1:30" ht="13">
      <c r="A709" s="141"/>
      <c r="B709" s="141"/>
      <c r="C709" s="141"/>
      <c r="D709" s="49"/>
      <c r="E709" s="49"/>
      <c r="F709" s="49"/>
      <c r="G709" s="49"/>
      <c r="H709" s="49"/>
      <c r="I709" s="49"/>
      <c r="J709" s="49"/>
      <c r="K709" s="49"/>
      <c r="L709" s="49"/>
      <c r="M709" s="49"/>
      <c r="N709" s="49"/>
      <c r="O709" s="49"/>
      <c r="P709" s="49"/>
      <c r="Q709" s="49"/>
      <c r="R709" s="49"/>
      <c r="S709" s="49"/>
      <c r="T709" s="49"/>
      <c r="U709" s="49"/>
      <c r="V709" s="49"/>
      <c r="W709" s="49"/>
      <c r="X709" s="49"/>
      <c r="Y709" s="49"/>
      <c r="Z709" s="49"/>
      <c r="AA709" s="49"/>
      <c r="AB709" s="49"/>
      <c r="AC709" s="49"/>
      <c r="AD709" s="49"/>
    </row>
    <row r="710" spans="1:30" ht="13">
      <c r="A710" s="141"/>
      <c r="B710" s="141"/>
      <c r="C710" s="141"/>
      <c r="D710" s="49"/>
      <c r="E710" s="49"/>
      <c r="F710" s="49"/>
      <c r="G710" s="49"/>
      <c r="H710" s="49"/>
      <c r="I710" s="49"/>
      <c r="J710" s="49"/>
      <c r="K710" s="49"/>
      <c r="L710" s="49"/>
      <c r="M710" s="49"/>
      <c r="N710" s="49"/>
      <c r="O710" s="49"/>
      <c r="P710" s="49"/>
      <c r="Q710" s="49"/>
      <c r="R710" s="49"/>
      <c r="S710" s="49"/>
      <c r="T710" s="49"/>
      <c r="U710" s="49"/>
      <c r="V710" s="49"/>
      <c r="W710" s="49"/>
      <c r="X710" s="49"/>
      <c r="Y710" s="49"/>
      <c r="Z710" s="49"/>
      <c r="AA710" s="49"/>
      <c r="AB710" s="49"/>
      <c r="AC710" s="49"/>
      <c r="AD710" s="49"/>
    </row>
    <row r="711" spans="1:30" ht="13">
      <c r="A711" s="141"/>
      <c r="B711" s="141"/>
      <c r="C711" s="141"/>
      <c r="D711" s="49"/>
      <c r="E711" s="49"/>
      <c r="F711" s="49"/>
      <c r="G711" s="49"/>
      <c r="H711" s="49"/>
      <c r="I711" s="49"/>
      <c r="J711" s="49"/>
      <c r="K711" s="49"/>
      <c r="L711" s="49"/>
      <c r="M711" s="49"/>
      <c r="N711" s="49"/>
      <c r="O711" s="49"/>
      <c r="P711" s="49"/>
      <c r="Q711" s="49"/>
      <c r="R711" s="49"/>
      <c r="S711" s="49"/>
      <c r="T711" s="49"/>
      <c r="U711" s="49"/>
      <c r="V711" s="49"/>
      <c r="W711" s="49"/>
      <c r="X711" s="49"/>
      <c r="Y711" s="49"/>
      <c r="Z711" s="49"/>
      <c r="AA711" s="49"/>
      <c r="AB711" s="49"/>
      <c r="AC711" s="49"/>
      <c r="AD711" s="49"/>
    </row>
    <row r="712" spans="1:30" ht="13">
      <c r="A712" s="141"/>
      <c r="B712" s="141"/>
      <c r="C712" s="141"/>
      <c r="D712" s="49"/>
      <c r="E712" s="49"/>
      <c r="F712" s="49"/>
      <c r="G712" s="49"/>
      <c r="H712" s="49"/>
      <c r="I712" s="49"/>
      <c r="J712" s="49"/>
      <c r="K712" s="49"/>
      <c r="L712" s="49"/>
      <c r="M712" s="49"/>
      <c r="N712" s="49"/>
      <c r="O712" s="49"/>
      <c r="P712" s="49"/>
      <c r="Q712" s="49"/>
      <c r="R712" s="49"/>
      <c r="S712" s="49"/>
      <c r="T712" s="49"/>
      <c r="U712" s="49"/>
      <c r="V712" s="49"/>
      <c r="W712" s="49"/>
      <c r="X712" s="49"/>
      <c r="Y712" s="49"/>
      <c r="Z712" s="49"/>
      <c r="AA712" s="49"/>
      <c r="AB712" s="49"/>
      <c r="AC712" s="49"/>
      <c r="AD712" s="49"/>
    </row>
    <row r="713" spans="1:30" ht="13">
      <c r="A713" s="141"/>
      <c r="B713" s="141"/>
      <c r="C713" s="141"/>
      <c r="D713" s="49"/>
      <c r="E713" s="49"/>
      <c r="F713" s="49"/>
      <c r="G713" s="49"/>
      <c r="H713" s="49"/>
      <c r="I713" s="49"/>
      <c r="J713" s="49"/>
      <c r="K713" s="49"/>
      <c r="L713" s="49"/>
      <c r="M713" s="49"/>
      <c r="N713" s="49"/>
      <c r="O713" s="49"/>
      <c r="P713" s="49"/>
      <c r="Q713" s="49"/>
      <c r="R713" s="49"/>
      <c r="S713" s="49"/>
      <c r="T713" s="49"/>
      <c r="U713" s="49"/>
      <c r="V713" s="49"/>
      <c r="W713" s="49"/>
      <c r="X713" s="49"/>
      <c r="Y713" s="49"/>
      <c r="Z713" s="49"/>
      <c r="AA713" s="49"/>
      <c r="AB713" s="49"/>
      <c r="AC713" s="49"/>
      <c r="AD713" s="49"/>
    </row>
    <row r="714" spans="1:30" ht="13">
      <c r="A714" s="141"/>
      <c r="B714" s="141"/>
      <c r="C714" s="141"/>
      <c r="D714" s="49"/>
      <c r="E714" s="49"/>
      <c r="F714" s="49"/>
      <c r="G714" s="49"/>
      <c r="H714" s="49"/>
      <c r="I714" s="49"/>
      <c r="J714" s="49"/>
      <c r="K714" s="49"/>
      <c r="L714" s="49"/>
      <c r="M714" s="49"/>
      <c r="N714" s="49"/>
      <c r="O714" s="49"/>
      <c r="P714" s="49"/>
      <c r="Q714" s="49"/>
      <c r="R714" s="49"/>
      <c r="S714" s="49"/>
      <c r="T714" s="49"/>
      <c r="U714" s="49"/>
      <c r="V714" s="49"/>
      <c r="W714" s="49"/>
      <c r="X714" s="49"/>
      <c r="Y714" s="49"/>
      <c r="Z714" s="49"/>
      <c r="AA714" s="49"/>
      <c r="AB714" s="49"/>
      <c r="AC714" s="49"/>
      <c r="AD714" s="49"/>
    </row>
    <row r="715" spans="1:30" ht="13">
      <c r="A715" s="141"/>
      <c r="B715" s="141"/>
      <c r="C715" s="141"/>
      <c r="D715" s="49"/>
      <c r="E715" s="49"/>
      <c r="F715" s="49"/>
      <c r="G715" s="49"/>
      <c r="H715" s="49"/>
      <c r="I715" s="49"/>
      <c r="J715" s="49"/>
      <c r="K715" s="49"/>
      <c r="L715" s="49"/>
      <c r="M715" s="49"/>
      <c r="N715" s="49"/>
      <c r="O715" s="49"/>
      <c r="P715" s="49"/>
      <c r="Q715" s="49"/>
      <c r="R715" s="49"/>
      <c r="S715" s="49"/>
      <c r="T715" s="49"/>
      <c r="U715" s="49"/>
      <c r="V715" s="49"/>
      <c r="W715" s="49"/>
      <c r="X715" s="49"/>
      <c r="Y715" s="49"/>
      <c r="Z715" s="49"/>
      <c r="AA715" s="49"/>
      <c r="AB715" s="49"/>
      <c r="AC715" s="49"/>
      <c r="AD715" s="49"/>
    </row>
    <row r="716" spans="1:30" ht="13">
      <c r="A716" s="141"/>
      <c r="B716" s="141"/>
      <c r="C716" s="141"/>
      <c r="D716" s="49"/>
      <c r="E716" s="49"/>
      <c r="F716" s="49"/>
      <c r="G716" s="49"/>
      <c r="H716" s="49"/>
      <c r="I716" s="49"/>
      <c r="J716" s="49"/>
      <c r="K716" s="49"/>
      <c r="L716" s="49"/>
      <c r="M716" s="49"/>
      <c r="N716" s="49"/>
      <c r="O716" s="49"/>
      <c r="P716" s="49"/>
      <c r="Q716" s="49"/>
      <c r="R716" s="49"/>
      <c r="S716" s="49"/>
      <c r="T716" s="49"/>
      <c r="U716" s="49"/>
      <c r="V716" s="49"/>
      <c r="W716" s="49"/>
      <c r="X716" s="49"/>
      <c r="Y716" s="49"/>
      <c r="Z716" s="49"/>
      <c r="AA716" s="49"/>
      <c r="AB716" s="49"/>
      <c r="AC716" s="49"/>
      <c r="AD716" s="49"/>
    </row>
    <row r="717" spans="1:30" ht="13">
      <c r="A717" s="141"/>
      <c r="B717" s="141"/>
      <c r="C717" s="141"/>
      <c r="D717" s="49"/>
      <c r="E717" s="49"/>
      <c r="F717" s="49"/>
      <c r="G717" s="49"/>
      <c r="H717" s="49"/>
      <c r="I717" s="49"/>
      <c r="J717" s="49"/>
      <c r="K717" s="49"/>
      <c r="L717" s="49"/>
      <c r="M717" s="49"/>
      <c r="N717" s="49"/>
      <c r="O717" s="49"/>
      <c r="P717" s="49"/>
      <c r="Q717" s="49"/>
      <c r="R717" s="49"/>
      <c r="S717" s="49"/>
      <c r="T717" s="49"/>
      <c r="U717" s="49"/>
      <c r="V717" s="49"/>
      <c r="W717" s="49"/>
      <c r="X717" s="49"/>
      <c r="Y717" s="49"/>
      <c r="Z717" s="49"/>
      <c r="AA717" s="49"/>
      <c r="AB717" s="49"/>
      <c r="AC717" s="49"/>
      <c r="AD717" s="49"/>
    </row>
    <row r="718" spans="1:30" ht="13">
      <c r="A718" s="141"/>
      <c r="B718" s="141"/>
      <c r="C718" s="141"/>
      <c r="D718" s="49"/>
      <c r="E718" s="49"/>
      <c r="F718" s="49"/>
      <c r="G718" s="49"/>
      <c r="H718" s="49"/>
      <c r="I718" s="49"/>
      <c r="J718" s="49"/>
      <c r="K718" s="49"/>
      <c r="L718" s="49"/>
      <c r="M718" s="49"/>
      <c r="N718" s="49"/>
      <c r="O718" s="49"/>
      <c r="P718" s="49"/>
      <c r="Q718" s="49"/>
      <c r="R718" s="49"/>
      <c r="S718" s="49"/>
      <c r="T718" s="49"/>
      <c r="U718" s="49"/>
      <c r="V718" s="49"/>
      <c r="W718" s="49"/>
      <c r="X718" s="49"/>
      <c r="Y718" s="49"/>
      <c r="Z718" s="49"/>
      <c r="AA718" s="49"/>
      <c r="AB718" s="49"/>
      <c r="AC718" s="49"/>
      <c r="AD718" s="49"/>
    </row>
    <row r="719" spans="1:30" ht="13">
      <c r="A719" s="141"/>
      <c r="B719" s="141"/>
      <c r="C719" s="141"/>
      <c r="D719" s="49"/>
      <c r="E719" s="49"/>
      <c r="F719" s="49"/>
      <c r="G719" s="49"/>
      <c r="H719" s="49"/>
      <c r="I719" s="49"/>
      <c r="J719" s="49"/>
      <c r="K719" s="49"/>
      <c r="L719" s="49"/>
      <c r="M719" s="49"/>
      <c r="N719" s="49"/>
      <c r="O719" s="49"/>
      <c r="P719" s="49"/>
      <c r="Q719" s="49"/>
      <c r="R719" s="49"/>
      <c r="S719" s="49"/>
      <c r="T719" s="49"/>
      <c r="U719" s="49"/>
      <c r="V719" s="49"/>
      <c r="W719" s="49"/>
      <c r="X719" s="49"/>
      <c r="Y719" s="49"/>
      <c r="Z719" s="49"/>
      <c r="AA719" s="49"/>
      <c r="AB719" s="49"/>
      <c r="AC719" s="49"/>
      <c r="AD719" s="49"/>
    </row>
    <row r="720" spans="1:30" ht="13">
      <c r="A720" s="141"/>
      <c r="B720" s="141"/>
      <c r="C720" s="141"/>
      <c r="D720" s="49"/>
      <c r="E720" s="49"/>
      <c r="F720" s="49"/>
      <c r="G720" s="49"/>
      <c r="H720" s="49"/>
      <c r="I720" s="49"/>
      <c r="J720" s="49"/>
      <c r="K720" s="49"/>
      <c r="L720" s="49"/>
      <c r="M720" s="49"/>
      <c r="N720" s="49"/>
      <c r="O720" s="49"/>
      <c r="P720" s="49"/>
      <c r="Q720" s="49"/>
      <c r="R720" s="49"/>
      <c r="S720" s="49"/>
      <c r="T720" s="49"/>
      <c r="U720" s="49"/>
      <c r="V720" s="49"/>
      <c r="W720" s="49"/>
      <c r="X720" s="49"/>
      <c r="Y720" s="49"/>
      <c r="Z720" s="49"/>
      <c r="AA720" s="49"/>
      <c r="AB720" s="49"/>
      <c r="AC720" s="49"/>
      <c r="AD720" s="49"/>
    </row>
    <row r="721" spans="1:30" ht="13">
      <c r="A721" s="141"/>
      <c r="B721" s="141"/>
      <c r="C721" s="141"/>
      <c r="D721" s="49"/>
      <c r="E721" s="49"/>
      <c r="F721" s="49"/>
      <c r="G721" s="49"/>
      <c r="H721" s="49"/>
      <c r="I721" s="49"/>
      <c r="J721" s="49"/>
      <c r="K721" s="49"/>
      <c r="L721" s="49"/>
      <c r="M721" s="49"/>
      <c r="N721" s="49"/>
      <c r="O721" s="49"/>
      <c r="P721" s="49"/>
      <c r="Q721" s="49"/>
      <c r="R721" s="49"/>
      <c r="S721" s="49"/>
      <c r="T721" s="49"/>
      <c r="U721" s="49"/>
      <c r="V721" s="49"/>
      <c r="W721" s="49"/>
      <c r="X721" s="49"/>
      <c r="Y721" s="49"/>
      <c r="Z721" s="49"/>
      <c r="AA721" s="49"/>
      <c r="AB721" s="49"/>
      <c r="AC721" s="49"/>
      <c r="AD721" s="49"/>
    </row>
    <row r="722" spans="1:30" ht="13">
      <c r="A722" s="141"/>
      <c r="B722" s="141"/>
      <c r="C722" s="141"/>
      <c r="D722" s="49"/>
      <c r="E722" s="49"/>
      <c r="F722" s="49"/>
      <c r="G722" s="49"/>
      <c r="H722" s="49"/>
      <c r="I722" s="49"/>
      <c r="J722" s="49"/>
      <c r="K722" s="49"/>
      <c r="L722" s="49"/>
      <c r="M722" s="49"/>
      <c r="N722" s="49"/>
      <c r="O722" s="49"/>
      <c r="P722" s="49"/>
      <c r="Q722" s="49"/>
      <c r="R722" s="49"/>
      <c r="S722" s="49"/>
      <c r="T722" s="49"/>
      <c r="U722" s="49"/>
      <c r="V722" s="49"/>
      <c r="W722" s="49"/>
      <c r="X722" s="49"/>
      <c r="Y722" s="49"/>
      <c r="Z722" s="49"/>
      <c r="AA722" s="49"/>
      <c r="AB722" s="49"/>
      <c r="AC722" s="49"/>
      <c r="AD722" s="49"/>
    </row>
    <row r="723" spans="1:30" ht="13">
      <c r="A723" s="141"/>
      <c r="B723" s="141"/>
      <c r="C723" s="141"/>
      <c r="D723" s="49"/>
      <c r="E723" s="49"/>
      <c r="F723" s="49"/>
      <c r="G723" s="49"/>
      <c r="H723" s="49"/>
      <c r="I723" s="49"/>
      <c r="J723" s="49"/>
      <c r="K723" s="49"/>
      <c r="L723" s="49"/>
      <c r="M723" s="49"/>
      <c r="N723" s="49"/>
      <c r="O723" s="49"/>
      <c r="P723" s="49"/>
      <c r="Q723" s="49"/>
      <c r="R723" s="49"/>
      <c r="S723" s="49"/>
      <c r="T723" s="49"/>
      <c r="U723" s="49"/>
      <c r="V723" s="49"/>
      <c r="W723" s="49"/>
      <c r="X723" s="49"/>
      <c r="Y723" s="49"/>
      <c r="Z723" s="49"/>
      <c r="AA723" s="49"/>
      <c r="AB723" s="49"/>
      <c r="AC723" s="49"/>
      <c r="AD723" s="49"/>
    </row>
    <row r="724" spans="1:30" ht="13">
      <c r="A724" s="141"/>
      <c r="B724" s="141"/>
      <c r="C724" s="141"/>
      <c r="D724" s="49"/>
      <c r="E724" s="49"/>
      <c r="F724" s="49"/>
      <c r="G724" s="49"/>
      <c r="H724" s="49"/>
      <c r="I724" s="49"/>
      <c r="J724" s="49"/>
      <c r="K724" s="49"/>
      <c r="L724" s="49"/>
      <c r="M724" s="49"/>
      <c r="N724" s="49"/>
      <c r="O724" s="49"/>
      <c r="P724" s="49"/>
      <c r="Q724" s="49"/>
      <c r="R724" s="49"/>
      <c r="S724" s="49"/>
      <c r="T724" s="49"/>
      <c r="U724" s="49"/>
      <c r="V724" s="49"/>
      <c r="W724" s="49"/>
      <c r="X724" s="49"/>
      <c r="Y724" s="49"/>
      <c r="Z724" s="49"/>
      <c r="AA724" s="49"/>
      <c r="AB724" s="49"/>
      <c r="AC724" s="49"/>
      <c r="AD724" s="49"/>
    </row>
    <row r="725" spans="1:30" ht="13">
      <c r="A725" s="141"/>
      <c r="B725" s="141"/>
      <c r="C725" s="141"/>
      <c r="D725" s="49"/>
      <c r="E725" s="49"/>
      <c r="F725" s="49"/>
      <c r="G725" s="49"/>
      <c r="H725" s="49"/>
      <c r="I725" s="49"/>
      <c r="J725" s="49"/>
      <c r="K725" s="49"/>
      <c r="L725" s="49"/>
      <c r="M725" s="49"/>
      <c r="N725" s="49"/>
      <c r="O725" s="49"/>
      <c r="P725" s="49"/>
      <c r="Q725" s="49"/>
      <c r="R725" s="49"/>
      <c r="S725" s="49"/>
      <c r="T725" s="49"/>
      <c r="U725" s="49"/>
      <c r="V725" s="49"/>
      <c r="W725" s="49"/>
      <c r="X725" s="49"/>
      <c r="Y725" s="49"/>
      <c r="Z725" s="49"/>
      <c r="AA725" s="49"/>
      <c r="AB725" s="49"/>
      <c r="AC725" s="49"/>
      <c r="AD725" s="49"/>
    </row>
    <row r="726" spans="1:30" ht="13">
      <c r="A726" s="141"/>
      <c r="B726" s="141"/>
      <c r="C726" s="141"/>
      <c r="D726" s="49"/>
      <c r="E726" s="49"/>
      <c r="F726" s="49"/>
      <c r="G726" s="49"/>
      <c r="H726" s="49"/>
      <c r="I726" s="49"/>
      <c r="J726" s="49"/>
      <c r="K726" s="49"/>
      <c r="L726" s="49"/>
      <c r="M726" s="49"/>
      <c r="N726" s="49"/>
      <c r="O726" s="49"/>
      <c r="P726" s="49"/>
      <c r="Q726" s="49"/>
      <c r="R726" s="49"/>
      <c r="S726" s="49"/>
      <c r="T726" s="49"/>
      <c r="U726" s="49"/>
      <c r="V726" s="49"/>
      <c r="W726" s="49"/>
      <c r="X726" s="49"/>
      <c r="Y726" s="49"/>
      <c r="Z726" s="49"/>
      <c r="AA726" s="49"/>
      <c r="AB726" s="49"/>
      <c r="AC726" s="49"/>
      <c r="AD726" s="49"/>
    </row>
    <row r="727" spans="1:30" ht="13">
      <c r="A727" s="141"/>
      <c r="B727" s="141"/>
      <c r="C727" s="141"/>
      <c r="D727" s="49"/>
      <c r="E727" s="49"/>
      <c r="F727" s="49"/>
      <c r="G727" s="49"/>
      <c r="H727" s="49"/>
      <c r="I727" s="49"/>
      <c r="J727" s="49"/>
      <c r="K727" s="49"/>
      <c r="L727" s="49"/>
      <c r="M727" s="49"/>
      <c r="N727" s="49"/>
      <c r="O727" s="49"/>
      <c r="P727" s="49"/>
      <c r="Q727" s="49"/>
      <c r="R727" s="49"/>
      <c r="S727" s="49"/>
      <c r="T727" s="49"/>
      <c r="U727" s="49"/>
      <c r="V727" s="49"/>
      <c r="W727" s="49"/>
      <c r="X727" s="49"/>
      <c r="Y727" s="49"/>
      <c r="Z727" s="49"/>
      <c r="AA727" s="49"/>
      <c r="AB727" s="49"/>
      <c r="AC727" s="49"/>
      <c r="AD727" s="49"/>
    </row>
    <row r="728" spans="1:30" ht="13">
      <c r="A728" s="141"/>
      <c r="B728" s="141"/>
      <c r="C728" s="141"/>
      <c r="D728" s="49"/>
      <c r="E728" s="49"/>
      <c r="F728" s="49"/>
      <c r="G728" s="49"/>
      <c r="H728" s="49"/>
      <c r="I728" s="49"/>
      <c r="J728" s="49"/>
      <c r="K728" s="49"/>
      <c r="L728" s="49"/>
      <c r="M728" s="49"/>
      <c r="N728" s="49"/>
      <c r="O728" s="49"/>
      <c r="P728" s="49"/>
      <c r="Q728" s="49"/>
      <c r="R728" s="49"/>
      <c r="S728" s="49"/>
      <c r="T728" s="49"/>
      <c r="U728" s="49"/>
      <c r="V728" s="49"/>
      <c r="W728" s="49"/>
      <c r="X728" s="49"/>
      <c r="Y728" s="49"/>
      <c r="Z728" s="49"/>
      <c r="AA728" s="49"/>
      <c r="AB728" s="49"/>
      <c r="AC728" s="49"/>
      <c r="AD728" s="49"/>
    </row>
    <row r="729" spans="1:30" ht="13">
      <c r="A729" s="141"/>
      <c r="B729" s="141"/>
      <c r="C729" s="141"/>
      <c r="D729" s="49"/>
      <c r="E729" s="49"/>
      <c r="F729" s="49"/>
      <c r="G729" s="49"/>
      <c r="H729" s="49"/>
      <c r="I729" s="49"/>
      <c r="J729" s="49"/>
      <c r="K729" s="49"/>
      <c r="L729" s="49"/>
      <c r="M729" s="49"/>
      <c r="N729" s="49"/>
      <c r="O729" s="49"/>
      <c r="P729" s="49"/>
      <c r="Q729" s="49"/>
      <c r="R729" s="49"/>
      <c r="S729" s="49"/>
      <c r="T729" s="49"/>
      <c r="U729" s="49"/>
      <c r="V729" s="49"/>
      <c r="W729" s="49"/>
      <c r="X729" s="49"/>
      <c r="Y729" s="49"/>
      <c r="Z729" s="49"/>
      <c r="AA729" s="49"/>
      <c r="AB729" s="49"/>
      <c r="AC729" s="49"/>
      <c r="AD729" s="49"/>
    </row>
    <row r="730" spans="1:30" ht="13">
      <c r="A730" s="141"/>
      <c r="B730" s="141"/>
      <c r="C730" s="141"/>
      <c r="D730" s="49"/>
      <c r="E730" s="49"/>
      <c r="F730" s="49"/>
      <c r="G730" s="49"/>
      <c r="H730" s="49"/>
      <c r="I730" s="49"/>
      <c r="J730" s="49"/>
      <c r="K730" s="49"/>
      <c r="L730" s="49"/>
      <c r="M730" s="49"/>
      <c r="N730" s="49"/>
      <c r="O730" s="49"/>
      <c r="P730" s="49"/>
      <c r="Q730" s="49"/>
      <c r="R730" s="49"/>
      <c r="S730" s="49"/>
      <c r="T730" s="49"/>
      <c r="U730" s="49"/>
      <c r="V730" s="49"/>
      <c r="W730" s="49"/>
      <c r="X730" s="49"/>
      <c r="Y730" s="49"/>
      <c r="Z730" s="49"/>
      <c r="AA730" s="49"/>
      <c r="AB730" s="49"/>
      <c r="AC730" s="49"/>
      <c r="AD730" s="49"/>
    </row>
    <row r="731" spans="1:30" ht="13">
      <c r="A731" s="141"/>
      <c r="B731" s="141"/>
      <c r="C731" s="141"/>
      <c r="D731" s="49"/>
      <c r="E731" s="49"/>
      <c r="F731" s="49"/>
      <c r="G731" s="49"/>
      <c r="H731" s="49"/>
      <c r="I731" s="49"/>
      <c r="J731" s="49"/>
      <c r="K731" s="49"/>
      <c r="L731" s="49"/>
      <c r="M731" s="49"/>
      <c r="N731" s="49"/>
      <c r="O731" s="49"/>
      <c r="P731" s="49"/>
      <c r="Q731" s="49"/>
      <c r="R731" s="49"/>
      <c r="S731" s="49"/>
      <c r="T731" s="49"/>
      <c r="U731" s="49"/>
      <c r="V731" s="49"/>
      <c r="W731" s="49"/>
      <c r="X731" s="49"/>
      <c r="Y731" s="49"/>
      <c r="Z731" s="49"/>
      <c r="AA731" s="49"/>
      <c r="AB731" s="49"/>
      <c r="AC731" s="49"/>
      <c r="AD731" s="49"/>
    </row>
    <row r="732" spans="1:30" ht="13">
      <c r="A732" s="141"/>
      <c r="B732" s="141"/>
      <c r="C732" s="141"/>
      <c r="D732" s="49"/>
      <c r="E732" s="49"/>
      <c r="F732" s="49"/>
      <c r="G732" s="49"/>
      <c r="H732" s="49"/>
      <c r="I732" s="49"/>
      <c r="J732" s="49"/>
      <c r="K732" s="49"/>
      <c r="L732" s="49"/>
      <c r="M732" s="49"/>
      <c r="N732" s="49"/>
      <c r="O732" s="49"/>
      <c r="P732" s="49"/>
      <c r="Q732" s="49"/>
      <c r="R732" s="49"/>
      <c r="S732" s="49"/>
      <c r="T732" s="49"/>
      <c r="U732" s="49"/>
      <c r="V732" s="49"/>
      <c r="W732" s="49"/>
      <c r="X732" s="49"/>
      <c r="Y732" s="49"/>
      <c r="Z732" s="49"/>
      <c r="AA732" s="49"/>
      <c r="AB732" s="49"/>
      <c r="AC732" s="49"/>
      <c r="AD732" s="49"/>
    </row>
    <row r="733" spans="1:30" ht="13">
      <c r="A733" s="141"/>
      <c r="B733" s="141"/>
      <c r="C733" s="141"/>
      <c r="D733" s="49"/>
      <c r="E733" s="49"/>
      <c r="F733" s="49"/>
      <c r="G733" s="49"/>
      <c r="H733" s="49"/>
      <c r="I733" s="49"/>
      <c r="J733" s="49"/>
      <c r="K733" s="49"/>
      <c r="L733" s="49"/>
      <c r="M733" s="49"/>
      <c r="N733" s="49"/>
      <c r="O733" s="49"/>
      <c r="P733" s="49"/>
      <c r="Q733" s="49"/>
      <c r="R733" s="49"/>
      <c r="S733" s="49"/>
      <c r="T733" s="49"/>
      <c r="U733" s="49"/>
      <c r="V733" s="49"/>
      <c r="W733" s="49"/>
      <c r="X733" s="49"/>
      <c r="Y733" s="49"/>
      <c r="Z733" s="49"/>
      <c r="AA733" s="49"/>
      <c r="AB733" s="49"/>
      <c r="AC733" s="49"/>
      <c r="AD733" s="49"/>
    </row>
    <row r="734" spans="1:30" ht="13">
      <c r="A734" s="141"/>
      <c r="B734" s="141"/>
      <c r="C734" s="141"/>
      <c r="D734" s="49"/>
      <c r="E734" s="49"/>
      <c r="F734" s="49"/>
      <c r="G734" s="49"/>
      <c r="H734" s="49"/>
      <c r="I734" s="49"/>
      <c r="J734" s="49"/>
      <c r="K734" s="49"/>
      <c r="L734" s="49"/>
      <c r="M734" s="49"/>
      <c r="N734" s="49"/>
      <c r="O734" s="49"/>
      <c r="P734" s="49"/>
      <c r="Q734" s="49"/>
      <c r="R734" s="49"/>
      <c r="S734" s="49"/>
      <c r="T734" s="49"/>
      <c r="U734" s="49"/>
      <c r="V734" s="49"/>
      <c r="W734" s="49"/>
      <c r="X734" s="49"/>
      <c r="Y734" s="49"/>
      <c r="Z734" s="49"/>
      <c r="AA734" s="49"/>
      <c r="AB734" s="49"/>
      <c r="AC734" s="49"/>
      <c r="AD734" s="49"/>
    </row>
    <row r="735" spans="1:30" ht="13">
      <c r="A735" s="141"/>
      <c r="B735" s="141"/>
      <c r="C735" s="141"/>
      <c r="D735" s="49"/>
      <c r="E735" s="49"/>
      <c r="F735" s="49"/>
      <c r="G735" s="49"/>
      <c r="H735" s="49"/>
      <c r="I735" s="49"/>
      <c r="J735" s="49"/>
      <c r="K735" s="49"/>
      <c r="L735" s="49"/>
      <c r="M735" s="49"/>
      <c r="N735" s="49"/>
      <c r="O735" s="49"/>
      <c r="P735" s="49"/>
      <c r="Q735" s="49"/>
      <c r="R735" s="49"/>
      <c r="S735" s="49"/>
      <c r="T735" s="49"/>
      <c r="U735" s="49"/>
      <c r="V735" s="49"/>
      <c r="W735" s="49"/>
      <c r="X735" s="49"/>
      <c r="Y735" s="49"/>
      <c r="Z735" s="49"/>
      <c r="AA735" s="49"/>
      <c r="AB735" s="49"/>
      <c r="AC735" s="49"/>
      <c r="AD735" s="49"/>
    </row>
    <row r="736" spans="1:30" ht="13">
      <c r="A736" s="141"/>
      <c r="B736" s="141"/>
      <c r="C736" s="141"/>
      <c r="D736" s="49"/>
      <c r="E736" s="49"/>
      <c r="F736" s="49"/>
      <c r="G736" s="49"/>
      <c r="H736" s="49"/>
      <c r="I736" s="49"/>
      <c r="J736" s="49"/>
      <c r="K736" s="49"/>
      <c r="L736" s="49"/>
      <c r="M736" s="49"/>
      <c r="N736" s="49"/>
      <c r="O736" s="49"/>
      <c r="P736" s="49"/>
      <c r="Q736" s="49"/>
      <c r="R736" s="49"/>
      <c r="S736" s="49"/>
      <c r="T736" s="49"/>
      <c r="U736" s="49"/>
      <c r="V736" s="49"/>
      <c r="W736" s="49"/>
      <c r="X736" s="49"/>
      <c r="Y736" s="49"/>
      <c r="Z736" s="49"/>
      <c r="AA736" s="49"/>
      <c r="AB736" s="49"/>
      <c r="AC736" s="49"/>
      <c r="AD736" s="49"/>
    </row>
    <row r="737" spans="1:30" ht="13">
      <c r="A737" s="141"/>
      <c r="B737" s="141"/>
      <c r="C737" s="141"/>
      <c r="D737" s="49"/>
      <c r="E737" s="49"/>
      <c r="F737" s="49"/>
      <c r="G737" s="49"/>
      <c r="H737" s="49"/>
      <c r="I737" s="49"/>
      <c r="J737" s="49"/>
      <c r="K737" s="49"/>
      <c r="L737" s="49"/>
      <c r="M737" s="49"/>
      <c r="N737" s="49"/>
      <c r="O737" s="49"/>
      <c r="P737" s="49"/>
      <c r="Q737" s="49"/>
      <c r="R737" s="49"/>
      <c r="S737" s="49"/>
      <c r="T737" s="49"/>
      <c r="U737" s="49"/>
      <c r="V737" s="49"/>
      <c r="W737" s="49"/>
      <c r="X737" s="49"/>
      <c r="Y737" s="49"/>
      <c r="Z737" s="49"/>
      <c r="AA737" s="49"/>
      <c r="AB737" s="49"/>
      <c r="AC737" s="49"/>
      <c r="AD737" s="49"/>
    </row>
    <row r="738" spans="1:30" ht="13">
      <c r="A738" s="141"/>
      <c r="B738" s="141"/>
      <c r="C738" s="141"/>
      <c r="D738" s="49"/>
      <c r="E738" s="49"/>
      <c r="F738" s="49"/>
      <c r="G738" s="49"/>
      <c r="H738" s="49"/>
      <c r="I738" s="49"/>
      <c r="J738" s="49"/>
      <c r="K738" s="49"/>
      <c r="L738" s="49"/>
      <c r="M738" s="49"/>
      <c r="N738" s="49"/>
      <c r="O738" s="49"/>
      <c r="P738" s="49"/>
      <c r="Q738" s="49"/>
      <c r="R738" s="49"/>
      <c r="S738" s="49"/>
      <c r="T738" s="49"/>
      <c r="U738" s="49"/>
      <c r="V738" s="49"/>
      <c r="W738" s="49"/>
      <c r="X738" s="49"/>
      <c r="Y738" s="49"/>
      <c r="Z738" s="49"/>
      <c r="AA738" s="49"/>
      <c r="AB738" s="49"/>
      <c r="AC738" s="49"/>
      <c r="AD738" s="49"/>
    </row>
    <row r="739" spans="1:30" ht="13">
      <c r="A739" s="141"/>
      <c r="B739" s="141"/>
      <c r="C739" s="141"/>
      <c r="D739" s="49"/>
      <c r="E739" s="49"/>
      <c r="F739" s="49"/>
      <c r="G739" s="49"/>
      <c r="H739" s="49"/>
      <c r="I739" s="49"/>
      <c r="J739" s="49"/>
      <c r="K739" s="49"/>
      <c r="L739" s="49"/>
      <c r="M739" s="49"/>
      <c r="N739" s="49"/>
      <c r="O739" s="49"/>
      <c r="P739" s="49"/>
      <c r="Q739" s="49"/>
      <c r="R739" s="49"/>
      <c r="S739" s="49"/>
      <c r="T739" s="49"/>
      <c r="U739" s="49"/>
      <c r="V739" s="49"/>
      <c r="W739" s="49"/>
      <c r="X739" s="49"/>
      <c r="Y739" s="49"/>
      <c r="Z739" s="49"/>
      <c r="AA739" s="49"/>
      <c r="AB739" s="49"/>
      <c r="AC739" s="49"/>
      <c r="AD739" s="49"/>
    </row>
    <row r="740" spans="1:30" ht="13">
      <c r="A740" s="141"/>
      <c r="B740" s="141"/>
      <c r="C740" s="141"/>
      <c r="D740" s="49"/>
      <c r="E740" s="49"/>
      <c r="F740" s="49"/>
      <c r="G740" s="49"/>
      <c r="H740" s="49"/>
      <c r="I740" s="49"/>
      <c r="J740" s="49"/>
      <c r="K740" s="49"/>
      <c r="L740" s="49"/>
      <c r="M740" s="49"/>
      <c r="N740" s="49"/>
      <c r="O740" s="49"/>
      <c r="P740" s="49"/>
      <c r="Q740" s="49"/>
      <c r="R740" s="49"/>
      <c r="S740" s="49"/>
      <c r="T740" s="49"/>
      <c r="U740" s="49"/>
      <c r="V740" s="49"/>
      <c r="W740" s="49"/>
      <c r="X740" s="49"/>
      <c r="Y740" s="49"/>
      <c r="Z740" s="49"/>
      <c r="AA740" s="49"/>
      <c r="AB740" s="49"/>
      <c r="AC740" s="49"/>
      <c r="AD740" s="49"/>
    </row>
    <row r="741" spans="1:30" ht="13">
      <c r="A741" s="141"/>
      <c r="B741" s="141"/>
      <c r="C741" s="141"/>
      <c r="D741" s="49"/>
      <c r="E741" s="49"/>
      <c r="F741" s="49"/>
      <c r="G741" s="49"/>
      <c r="H741" s="49"/>
      <c r="I741" s="49"/>
      <c r="J741" s="49"/>
      <c r="K741" s="49"/>
      <c r="L741" s="49"/>
      <c r="M741" s="49"/>
      <c r="N741" s="49"/>
      <c r="O741" s="49"/>
      <c r="P741" s="49"/>
      <c r="Q741" s="49"/>
      <c r="R741" s="49"/>
      <c r="S741" s="49"/>
      <c r="T741" s="49"/>
      <c r="U741" s="49"/>
      <c r="V741" s="49"/>
      <c r="W741" s="49"/>
      <c r="X741" s="49"/>
      <c r="Y741" s="49"/>
      <c r="Z741" s="49"/>
      <c r="AA741" s="49"/>
      <c r="AB741" s="49"/>
      <c r="AC741" s="49"/>
      <c r="AD741" s="49"/>
    </row>
    <row r="742" spans="1:30" ht="13">
      <c r="A742" s="141"/>
      <c r="B742" s="141"/>
      <c r="C742" s="141"/>
      <c r="D742" s="49"/>
      <c r="E742" s="49"/>
      <c r="F742" s="49"/>
      <c r="G742" s="49"/>
      <c r="H742" s="49"/>
      <c r="I742" s="49"/>
      <c r="J742" s="49"/>
      <c r="K742" s="49"/>
      <c r="L742" s="49"/>
      <c r="M742" s="49"/>
      <c r="N742" s="49"/>
      <c r="O742" s="49"/>
      <c r="P742" s="49"/>
      <c r="Q742" s="49"/>
      <c r="R742" s="49"/>
      <c r="S742" s="49"/>
      <c r="T742" s="49"/>
      <c r="U742" s="49"/>
      <c r="V742" s="49"/>
      <c r="W742" s="49"/>
      <c r="X742" s="49"/>
      <c r="Y742" s="49"/>
      <c r="Z742" s="49"/>
      <c r="AA742" s="49"/>
      <c r="AB742" s="49"/>
      <c r="AC742" s="49"/>
      <c r="AD742" s="49"/>
    </row>
    <row r="743" spans="1:30" ht="13">
      <c r="A743" s="141"/>
      <c r="B743" s="141"/>
      <c r="C743" s="141"/>
      <c r="D743" s="49"/>
      <c r="E743" s="49"/>
      <c r="F743" s="49"/>
      <c r="G743" s="49"/>
      <c r="H743" s="49"/>
      <c r="I743" s="49"/>
      <c r="J743" s="49"/>
      <c r="K743" s="49"/>
      <c r="L743" s="49"/>
      <c r="M743" s="49"/>
      <c r="N743" s="49"/>
      <c r="O743" s="49"/>
      <c r="P743" s="49"/>
      <c r="Q743" s="49"/>
      <c r="R743" s="49"/>
      <c r="S743" s="49"/>
      <c r="T743" s="49"/>
      <c r="U743" s="49"/>
      <c r="V743" s="49"/>
      <c r="W743" s="49"/>
      <c r="X743" s="49"/>
      <c r="Y743" s="49"/>
      <c r="Z743" s="49"/>
      <c r="AA743" s="49"/>
      <c r="AB743" s="49"/>
      <c r="AC743" s="49"/>
      <c r="AD743" s="49"/>
    </row>
    <row r="744" spans="1:30" ht="13">
      <c r="A744" s="141"/>
      <c r="B744" s="141"/>
      <c r="C744" s="141"/>
      <c r="D744" s="49"/>
      <c r="E744" s="49"/>
      <c r="F744" s="49"/>
      <c r="G744" s="49"/>
      <c r="H744" s="49"/>
      <c r="I744" s="49"/>
      <c r="J744" s="49"/>
      <c r="K744" s="49"/>
      <c r="L744" s="49"/>
      <c r="M744" s="49"/>
      <c r="N744" s="49"/>
      <c r="O744" s="49"/>
      <c r="P744" s="49"/>
      <c r="Q744" s="49"/>
      <c r="R744" s="49"/>
      <c r="S744" s="49"/>
      <c r="T744" s="49"/>
      <c r="U744" s="49"/>
      <c r="V744" s="49"/>
      <c r="W744" s="49"/>
      <c r="X744" s="49"/>
      <c r="Y744" s="49"/>
      <c r="Z744" s="49"/>
      <c r="AA744" s="49"/>
      <c r="AB744" s="49"/>
      <c r="AC744" s="49"/>
      <c r="AD744" s="49"/>
    </row>
    <row r="745" spans="1:30" ht="13">
      <c r="A745" s="141"/>
      <c r="B745" s="141"/>
      <c r="C745" s="141"/>
      <c r="D745" s="49"/>
      <c r="E745" s="49"/>
      <c r="F745" s="49"/>
      <c r="G745" s="49"/>
      <c r="H745" s="49"/>
      <c r="I745" s="49"/>
      <c r="J745" s="49"/>
      <c r="K745" s="49"/>
      <c r="L745" s="49"/>
      <c r="M745" s="49"/>
      <c r="N745" s="49"/>
      <c r="O745" s="49"/>
      <c r="P745" s="49"/>
      <c r="Q745" s="49"/>
      <c r="R745" s="49"/>
      <c r="S745" s="49"/>
      <c r="T745" s="49"/>
      <c r="U745" s="49"/>
      <c r="V745" s="49"/>
      <c r="W745" s="49"/>
      <c r="X745" s="49"/>
      <c r="Y745" s="49"/>
      <c r="Z745" s="49"/>
      <c r="AA745" s="49"/>
      <c r="AB745" s="49"/>
      <c r="AC745" s="49"/>
      <c r="AD745" s="49"/>
    </row>
    <row r="746" spans="1:30" ht="13">
      <c r="A746" s="141"/>
      <c r="B746" s="141"/>
      <c r="C746" s="141"/>
      <c r="D746" s="49"/>
      <c r="E746" s="49"/>
      <c r="F746" s="49"/>
      <c r="G746" s="49"/>
      <c r="H746" s="49"/>
      <c r="I746" s="49"/>
      <c r="J746" s="49"/>
      <c r="K746" s="49"/>
      <c r="L746" s="49"/>
      <c r="M746" s="49"/>
      <c r="N746" s="49"/>
      <c r="O746" s="49"/>
      <c r="P746" s="49"/>
      <c r="Q746" s="49"/>
      <c r="R746" s="49"/>
      <c r="S746" s="49"/>
      <c r="T746" s="49"/>
      <c r="U746" s="49"/>
      <c r="V746" s="49"/>
      <c r="W746" s="49"/>
      <c r="X746" s="49"/>
      <c r="Y746" s="49"/>
      <c r="Z746" s="49"/>
      <c r="AA746" s="49"/>
      <c r="AB746" s="49"/>
      <c r="AC746" s="49"/>
      <c r="AD746" s="49"/>
    </row>
    <row r="747" spans="1:30" ht="13">
      <c r="A747" s="141"/>
      <c r="B747" s="141"/>
      <c r="C747" s="141"/>
      <c r="D747" s="49"/>
      <c r="E747" s="49"/>
      <c r="F747" s="49"/>
      <c r="G747" s="49"/>
      <c r="H747" s="49"/>
      <c r="I747" s="49"/>
      <c r="J747" s="49"/>
      <c r="K747" s="49"/>
      <c r="L747" s="49"/>
      <c r="M747" s="49"/>
      <c r="N747" s="49"/>
      <c r="O747" s="49"/>
      <c r="P747" s="49"/>
      <c r="Q747" s="49"/>
      <c r="R747" s="49"/>
      <c r="S747" s="49"/>
      <c r="T747" s="49"/>
      <c r="U747" s="49"/>
      <c r="V747" s="49"/>
      <c r="W747" s="49"/>
      <c r="X747" s="49"/>
      <c r="Y747" s="49"/>
      <c r="Z747" s="49"/>
      <c r="AA747" s="49"/>
      <c r="AB747" s="49"/>
      <c r="AC747" s="49"/>
      <c r="AD747" s="49"/>
    </row>
    <row r="748" spans="1:30" ht="13">
      <c r="A748" s="141"/>
      <c r="B748" s="141"/>
      <c r="C748" s="141"/>
      <c r="D748" s="49"/>
      <c r="E748" s="49"/>
      <c r="F748" s="49"/>
      <c r="G748" s="49"/>
      <c r="H748" s="49"/>
      <c r="I748" s="49"/>
      <c r="J748" s="49"/>
      <c r="K748" s="49"/>
      <c r="L748" s="49"/>
      <c r="M748" s="49"/>
      <c r="N748" s="49"/>
      <c r="O748" s="49"/>
      <c r="P748" s="49"/>
      <c r="Q748" s="49"/>
      <c r="R748" s="49"/>
      <c r="S748" s="49"/>
      <c r="T748" s="49"/>
      <c r="U748" s="49"/>
      <c r="V748" s="49"/>
      <c r="W748" s="49"/>
      <c r="X748" s="49"/>
      <c r="Y748" s="49"/>
      <c r="Z748" s="49"/>
      <c r="AA748" s="49"/>
      <c r="AB748" s="49"/>
      <c r="AC748" s="49"/>
      <c r="AD748" s="49"/>
    </row>
    <row r="749" spans="1:30" ht="13">
      <c r="A749" s="141"/>
      <c r="B749" s="141"/>
      <c r="C749" s="141"/>
      <c r="D749" s="49"/>
      <c r="E749" s="49"/>
      <c r="F749" s="49"/>
      <c r="G749" s="49"/>
      <c r="H749" s="49"/>
      <c r="I749" s="49"/>
      <c r="J749" s="49"/>
      <c r="K749" s="49"/>
      <c r="L749" s="49"/>
      <c r="M749" s="49"/>
      <c r="N749" s="49"/>
      <c r="O749" s="49"/>
      <c r="P749" s="49"/>
      <c r="Q749" s="49"/>
      <c r="R749" s="49"/>
      <c r="S749" s="49"/>
      <c r="T749" s="49"/>
      <c r="U749" s="49"/>
      <c r="V749" s="49"/>
      <c r="W749" s="49"/>
      <c r="X749" s="49"/>
      <c r="Y749" s="49"/>
      <c r="Z749" s="49"/>
      <c r="AA749" s="49"/>
      <c r="AB749" s="49"/>
      <c r="AC749" s="49"/>
      <c r="AD749" s="49"/>
    </row>
    <row r="750" spans="1:30" ht="13">
      <c r="A750" s="141"/>
      <c r="B750" s="141"/>
      <c r="C750" s="141"/>
      <c r="D750" s="49"/>
      <c r="E750" s="49"/>
      <c r="F750" s="49"/>
      <c r="G750" s="49"/>
      <c r="H750" s="49"/>
      <c r="I750" s="49"/>
      <c r="J750" s="49"/>
      <c r="K750" s="49"/>
      <c r="L750" s="49"/>
      <c r="M750" s="49"/>
      <c r="N750" s="49"/>
      <c r="O750" s="49"/>
      <c r="P750" s="49"/>
      <c r="Q750" s="49"/>
      <c r="R750" s="49"/>
      <c r="S750" s="49"/>
      <c r="T750" s="49"/>
      <c r="U750" s="49"/>
      <c r="V750" s="49"/>
      <c r="W750" s="49"/>
      <c r="X750" s="49"/>
      <c r="Y750" s="49"/>
      <c r="Z750" s="49"/>
      <c r="AA750" s="49"/>
      <c r="AB750" s="49"/>
      <c r="AC750" s="49"/>
      <c r="AD750" s="49"/>
    </row>
    <row r="751" spans="1:30" ht="13">
      <c r="A751" s="141"/>
      <c r="B751" s="141"/>
      <c r="C751" s="141"/>
      <c r="D751" s="49"/>
      <c r="E751" s="49"/>
      <c r="F751" s="49"/>
      <c r="G751" s="49"/>
      <c r="H751" s="49"/>
      <c r="I751" s="49"/>
      <c r="J751" s="49"/>
      <c r="K751" s="49"/>
      <c r="L751" s="49"/>
      <c r="M751" s="49"/>
      <c r="N751" s="49"/>
      <c r="O751" s="49"/>
      <c r="P751" s="49"/>
      <c r="Q751" s="49"/>
      <c r="R751" s="49"/>
      <c r="S751" s="49"/>
      <c r="T751" s="49"/>
      <c r="U751" s="49"/>
      <c r="V751" s="49"/>
      <c r="W751" s="49"/>
      <c r="X751" s="49"/>
      <c r="Y751" s="49"/>
      <c r="Z751" s="49"/>
      <c r="AA751" s="49"/>
      <c r="AB751" s="49"/>
      <c r="AC751" s="49"/>
      <c r="AD751" s="49"/>
    </row>
    <row r="752" spans="1:30" ht="13">
      <c r="A752" s="141"/>
      <c r="B752" s="141"/>
      <c r="C752" s="141"/>
      <c r="D752" s="49"/>
      <c r="E752" s="49"/>
      <c r="F752" s="49"/>
      <c r="G752" s="49"/>
      <c r="H752" s="49"/>
      <c r="I752" s="49"/>
      <c r="J752" s="49"/>
      <c r="K752" s="49"/>
      <c r="L752" s="49"/>
      <c r="M752" s="49"/>
      <c r="N752" s="49"/>
      <c r="O752" s="49"/>
      <c r="P752" s="49"/>
      <c r="Q752" s="49"/>
      <c r="R752" s="49"/>
      <c r="S752" s="49"/>
      <c r="T752" s="49"/>
      <c r="U752" s="49"/>
      <c r="V752" s="49"/>
      <c r="W752" s="49"/>
      <c r="X752" s="49"/>
      <c r="Y752" s="49"/>
      <c r="Z752" s="49"/>
      <c r="AA752" s="49"/>
      <c r="AB752" s="49"/>
      <c r="AC752" s="49"/>
      <c r="AD752" s="49"/>
    </row>
    <row r="753" spans="1:30" ht="13">
      <c r="A753" s="141"/>
      <c r="B753" s="141"/>
      <c r="C753" s="141"/>
      <c r="D753" s="49"/>
      <c r="E753" s="49"/>
      <c r="F753" s="49"/>
      <c r="G753" s="49"/>
      <c r="H753" s="49"/>
      <c r="I753" s="49"/>
      <c r="J753" s="49"/>
      <c r="K753" s="49"/>
      <c r="L753" s="49"/>
      <c r="M753" s="49"/>
      <c r="N753" s="49"/>
      <c r="O753" s="49"/>
      <c r="P753" s="49"/>
      <c r="Q753" s="49"/>
      <c r="R753" s="49"/>
      <c r="S753" s="49"/>
      <c r="T753" s="49"/>
      <c r="U753" s="49"/>
      <c r="V753" s="49"/>
      <c r="W753" s="49"/>
      <c r="X753" s="49"/>
      <c r="Y753" s="49"/>
      <c r="Z753" s="49"/>
      <c r="AA753" s="49"/>
      <c r="AB753" s="49"/>
      <c r="AC753" s="49"/>
      <c r="AD753" s="49"/>
    </row>
    <row r="754" spans="1:30" ht="13">
      <c r="A754" s="141"/>
      <c r="B754" s="141"/>
      <c r="C754" s="141"/>
      <c r="D754" s="49"/>
      <c r="E754" s="49"/>
      <c r="F754" s="49"/>
      <c r="G754" s="49"/>
      <c r="H754" s="49"/>
      <c r="I754" s="49"/>
      <c r="J754" s="49"/>
      <c r="K754" s="49"/>
      <c r="L754" s="49"/>
      <c r="M754" s="49"/>
      <c r="N754" s="49"/>
      <c r="O754" s="49"/>
      <c r="P754" s="49"/>
      <c r="Q754" s="49"/>
      <c r="R754" s="49"/>
      <c r="S754" s="49"/>
      <c r="T754" s="49"/>
      <c r="U754" s="49"/>
      <c r="V754" s="49"/>
      <c r="W754" s="49"/>
      <c r="X754" s="49"/>
      <c r="Y754" s="49"/>
      <c r="Z754" s="49"/>
      <c r="AA754" s="49"/>
      <c r="AB754" s="49"/>
      <c r="AC754" s="49"/>
      <c r="AD754" s="49"/>
    </row>
    <row r="755" spans="1:30" ht="13">
      <c r="A755" s="141"/>
      <c r="B755" s="141"/>
      <c r="C755" s="141"/>
      <c r="D755" s="49"/>
      <c r="E755" s="49"/>
      <c r="F755" s="49"/>
      <c r="G755" s="49"/>
      <c r="H755" s="49"/>
      <c r="I755" s="49"/>
      <c r="J755" s="49"/>
      <c r="K755" s="49"/>
      <c r="L755" s="49"/>
      <c r="M755" s="49"/>
      <c r="N755" s="49"/>
      <c r="O755" s="49"/>
      <c r="P755" s="49"/>
      <c r="Q755" s="49"/>
      <c r="R755" s="49"/>
      <c r="S755" s="49"/>
      <c r="T755" s="49"/>
      <c r="U755" s="49"/>
      <c r="V755" s="49"/>
      <c r="W755" s="49"/>
      <c r="X755" s="49"/>
      <c r="Y755" s="49"/>
      <c r="Z755" s="49"/>
      <c r="AA755" s="49"/>
      <c r="AB755" s="49"/>
      <c r="AC755" s="49"/>
      <c r="AD755" s="49"/>
    </row>
    <row r="756" spans="1:30" ht="13">
      <c r="A756" s="141"/>
      <c r="B756" s="141"/>
      <c r="C756" s="141"/>
      <c r="D756" s="49"/>
      <c r="E756" s="49"/>
      <c r="F756" s="49"/>
      <c r="G756" s="49"/>
      <c r="H756" s="49"/>
      <c r="I756" s="49"/>
      <c r="J756" s="49"/>
      <c r="K756" s="49"/>
      <c r="L756" s="49"/>
      <c r="M756" s="49"/>
      <c r="N756" s="49"/>
      <c r="O756" s="49"/>
      <c r="P756" s="49"/>
      <c r="Q756" s="49"/>
      <c r="R756" s="49"/>
      <c r="S756" s="49"/>
      <c r="T756" s="49"/>
      <c r="U756" s="49"/>
      <c r="V756" s="49"/>
      <c r="W756" s="49"/>
      <c r="X756" s="49"/>
      <c r="Y756" s="49"/>
      <c r="Z756" s="49"/>
      <c r="AA756" s="49"/>
      <c r="AB756" s="49"/>
      <c r="AC756" s="49"/>
      <c r="AD756" s="49"/>
    </row>
    <row r="757" spans="1:30" ht="13">
      <c r="A757" s="141"/>
      <c r="B757" s="141"/>
      <c r="C757" s="141"/>
      <c r="D757" s="49"/>
      <c r="E757" s="49"/>
      <c r="F757" s="49"/>
      <c r="G757" s="49"/>
      <c r="H757" s="49"/>
      <c r="I757" s="49"/>
      <c r="J757" s="49"/>
      <c r="K757" s="49"/>
      <c r="L757" s="49"/>
      <c r="M757" s="49"/>
      <c r="N757" s="49"/>
      <c r="O757" s="49"/>
      <c r="P757" s="49"/>
      <c r="Q757" s="49"/>
      <c r="R757" s="49"/>
      <c r="S757" s="49"/>
      <c r="T757" s="49"/>
      <c r="U757" s="49"/>
      <c r="V757" s="49"/>
      <c r="W757" s="49"/>
      <c r="X757" s="49"/>
      <c r="Y757" s="49"/>
      <c r="Z757" s="49"/>
      <c r="AA757" s="49"/>
      <c r="AB757" s="49"/>
      <c r="AC757" s="49"/>
      <c r="AD757" s="49"/>
    </row>
    <row r="758" spans="1:30" ht="13">
      <c r="A758" s="141"/>
      <c r="B758" s="141"/>
      <c r="C758" s="141"/>
      <c r="D758" s="49"/>
      <c r="E758" s="49"/>
      <c r="F758" s="49"/>
      <c r="G758" s="49"/>
      <c r="H758" s="49"/>
      <c r="I758" s="49"/>
      <c r="J758" s="49"/>
      <c r="K758" s="49"/>
      <c r="L758" s="49"/>
      <c r="M758" s="49"/>
      <c r="N758" s="49"/>
      <c r="O758" s="49"/>
      <c r="P758" s="49"/>
      <c r="Q758" s="49"/>
      <c r="R758" s="49"/>
      <c r="S758" s="49"/>
      <c r="T758" s="49"/>
      <c r="U758" s="49"/>
      <c r="V758" s="49"/>
      <c r="W758" s="49"/>
      <c r="X758" s="49"/>
      <c r="Y758" s="49"/>
      <c r="Z758" s="49"/>
      <c r="AA758" s="49"/>
      <c r="AB758" s="49"/>
      <c r="AC758" s="49"/>
      <c r="AD758" s="49"/>
    </row>
    <row r="759" spans="1:30" ht="13">
      <c r="A759" s="141"/>
      <c r="B759" s="141"/>
      <c r="C759" s="141"/>
      <c r="D759" s="49"/>
      <c r="E759" s="49"/>
      <c r="F759" s="49"/>
      <c r="G759" s="49"/>
      <c r="H759" s="49"/>
      <c r="I759" s="49"/>
      <c r="J759" s="49"/>
      <c r="K759" s="49"/>
      <c r="L759" s="49"/>
      <c r="M759" s="49"/>
      <c r="N759" s="49"/>
      <c r="O759" s="49"/>
      <c r="P759" s="49"/>
      <c r="Q759" s="49"/>
      <c r="R759" s="49"/>
      <c r="S759" s="49"/>
      <c r="T759" s="49"/>
      <c r="U759" s="49"/>
      <c r="V759" s="49"/>
      <c r="W759" s="49"/>
      <c r="X759" s="49"/>
      <c r="Y759" s="49"/>
      <c r="Z759" s="49"/>
      <c r="AA759" s="49"/>
      <c r="AB759" s="49"/>
      <c r="AC759" s="49"/>
      <c r="AD759" s="49"/>
    </row>
    <row r="760" spans="1:30" ht="13">
      <c r="A760" s="141"/>
      <c r="B760" s="141"/>
      <c r="C760" s="141"/>
      <c r="D760" s="49"/>
      <c r="E760" s="49"/>
      <c r="F760" s="49"/>
      <c r="G760" s="49"/>
      <c r="H760" s="49"/>
      <c r="I760" s="49"/>
      <c r="J760" s="49"/>
      <c r="K760" s="49"/>
      <c r="L760" s="49"/>
      <c r="M760" s="49"/>
      <c r="N760" s="49"/>
      <c r="O760" s="49"/>
      <c r="P760" s="49"/>
      <c r="Q760" s="49"/>
      <c r="R760" s="49"/>
      <c r="S760" s="49"/>
      <c r="T760" s="49"/>
      <c r="U760" s="49"/>
      <c r="V760" s="49"/>
      <c r="W760" s="49"/>
      <c r="X760" s="49"/>
      <c r="Y760" s="49"/>
      <c r="Z760" s="49"/>
      <c r="AA760" s="49"/>
      <c r="AB760" s="49"/>
      <c r="AC760" s="49"/>
      <c r="AD760" s="49"/>
    </row>
    <row r="761" spans="1:30" ht="13">
      <c r="A761" s="141"/>
      <c r="B761" s="141"/>
      <c r="C761" s="141"/>
      <c r="D761" s="49"/>
      <c r="E761" s="49"/>
      <c r="F761" s="49"/>
      <c r="G761" s="49"/>
      <c r="H761" s="49"/>
      <c r="I761" s="49"/>
      <c r="J761" s="49"/>
      <c r="K761" s="49"/>
      <c r="L761" s="49"/>
      <c r="M761" s="49"/>
      <c r="N761" s="49"/>
      <c r="O761" s="49"/>
      <c r="P761" s="49"/>
      <c r="Q761" s="49"/>
      <c r="R761" s="49"/>
      <c r="S761" s="49"/>
      <c r="T761" s="49"/>
      <c r="U761" s="49"/>
      <c r="V761" s="49"/>
      <c r="W761" s="49"/>
      <c r="X761" s="49"/>
      <c r="Y761" s="49"/>
      <c r="Z761" s="49"/>
      <c r="AA761" s="49"/>
      <c r="AB761" s="49"/>
      <c r="AC761" s="49"/>
      <c r="AD761" s="49"/>
    </row>
    <row r="762" spans="1:30" ht="13">
      <c r="A762" s="141"/>
      <c r="B762" s="141"/>
      <c r="C762" s="141"/>
      <c r="D762" s="49"/>
      <c r="E762" s="49"/>
      <c r="F762" s="49"/>
      <c r="G762" s="49"/>
      <c r="H762" s="49"/>
      <c r="I762" s="49"/>
      <c r="J762" s="49"/>
      <c r="K762" s="49"/>
      <c r="L762" s="49"/>
      <c r="M762" s="49"/>
      <c r="N762" s="49"/>
      <c r="O762" s="49"/>
      <c r="P762" s="49"/>
      <c r="Q762" s="49"/>
      <c r="R762" s="49"/>
      <c r="S762" s="49"/>
      <c r="T762" s="49"/>
      <c r="U762" s="49"/>
      <c r="V762" s="49"/>
      <c r="W762" s="49"/>
      <c r="X762" s="49"/>
      <c r="Y762" s="49"/>
      <c r="Z762" s="49"/>
      <c r="AA762" s="49"/>
      <c r="AB762" s="49"/>
      <c r="AC762" s="49"/>
      <c r="AD762" s="49"/>
    </row>
    <row r="763" spans="1:30" ht="13">
      <c r="A763" s="141"/>
      <c r="B763" s="141"/>
      <c r="C763" s="141"/>
      <c r="D763" s="49"/>
      <c r="E763" s="49"/>
      <c r="F763" s="49"/>
      <c r="G763" s="49"/>
      <c r="H763" s="49"/>
      <c r="I763" s="49"/>
      <c r="J763" s="49"/>
      <c r="K763" s="49"/>
      <c r="L763" s="49"/>
      <c r="M763" s="49"/>
      <c r="N763" s="49"/>
      <c r="O763" s="49"/>
      <c r="P763" s="49"/>
      <c r="Q763" s="49"/>
      <c r="R763" s="49"/>
      <c r="S763" s="49"/>
      <c r="T763" s="49"/>
      <c r="U763" s="49"/>
      <c r="V763" s="49"/>
      <c r="W763" s="49"/>
      <c r="X763" s="49"/>
      <c r="Y763" s="49"/>
      <c r="Z763" s="49"/>
      <c r="AA763" s="49"/>
      <c r="AB763" s="49"/>
      <c r="AC763" s="49"/>
      <c r="AD763" s="49"/>
    </row>
    <row r="764" spans="1:30" ht="13">
      <c r="A764" s="141"/>
      <c r="B764" s="141"/>
      <c r="C764" s="141"/>
      <c r="D764" s="49"/>
      <c r="E764" s="49"/>
      <c r="F764" s="49"/>
      <c r="G764" s="49"/>
      <c r="H764" s="49"/>
      <c r="I764" s="49"/>
      <c r="J764" s="49"/>
      <c r="K764" s="49"/>
      <c r="L764" s="49"/>
      <c r="M764" s="49"/>
      <c r="N764" s="49"/>
      <c r="O764" s="49"/>
      <c r="P764" s="49"/>
      <c r="Q764" s="49"/>
      <c r="R764" s="49"/>
      <c r="S764" s="49"/>
      <c r="T764" s="49"/>
      <c r="U764" s="49"/>
      <c r="V764" s="49"/>
      <c r="W764" s="49"/>
      <c r="X764" s="49"/>
      <c r="Y764" s="49"/>
      <c r="Z764" s="49"/>
      <c r="AA764" s="49"/>
      <c r="AB764" s="49"/>
      <c r="AC764" s="49"/>
      <c r="AD764" s="49"/>
    </row>
    <row r="765" spans="1:30" ht="13">
      <c r="A765" s="141"/>
      <c r="B765" s="141"/>
      <c r="C765" s="141"/>
      <c r="D765" s="49"/>
      <c r="E765" s="49"/>
      <c r="F765" s="49"/>
      <c r="G765" s="49"/>
      <c r="H765" s="49"/>
      <c r="I765" s="49"/>
      <c r="J765" s="49"/>
      <c r="K765" s="49"/>
      <c r="L765" s="49"/>
      <c r="M765" s="49"/>
      <c r="N765" s="49"/>
      <c r="O765" s="49"/>
      <c r="P765" s="49"/>
      <c r="Q765" s="49"/>
      <c r="R765" s="49"/>
      <c r="S765" s="49"/>
      <c r="T765" s="49"/>
      <c r="U765" s="49"/>
      <c r="V765" s="49"/>
      <c r="W765" s="49"/>
      <c r="X765" s="49"/>
      <c r="Y765" s="49"/>
      <c r="Z765" s="49"/>
      <c r="AA765" s="49"/>
      <c r="AB765" s="49"/>
      <c r="AC765" s="49"/>
      <c r="AD765" s="49"/>
    </row>
    <row r="766" spans="1:30" ht="13">
      <c r="A766" s="141"/>
      <c r="B766" s="141"/>
      <c r="C766" s="141"/>
      <c r="D766" s="49"/>
      <c r="E766" s="49"/>
      <c r="F766" s="49"/>
      <c r="G766" s="49"/>
      <c r="H766" s="49"/>
      <c r="I766" s="49"/>
      <c r="J766" s="49"/>
      <c r="K766" s="49"/>
      <c r="L766" s="49"/>
      <c r="M766" s="49"/>
      <c r="N766" s="49"/>
      <c r="O766" s="49"/>
      <c r="P766" s="49"/>
      <c r="Q766" s="49"/>
      <c r="R766" s="49"/>
      <c r="S766" s="49"/>
      <c r="T766" s="49"/>
      <c r="U766" s="49"/>
      <c r="V766" s="49"/>
      <c r="W766" s="49"/>
      <c r="X766" s="49"/>
      <c r="Y766" s="49"/>
      <c r="Z766" s="49"/>
      <c r="AA766" s="49"/>
      <c r="AB766" s="49"/>
      <c r="AC766" s="49"/>
      <c r="AD766" s="49"/>
    </row>
    <row r="767" spans="1:30" ht="13">
      <c r="A767" s="141"/>
      <c r="B767" s="141"/>
      <c r="C767" s="141"/>
      <c r="D767" s="49"/>
      <c r="E767" s="49"/>
      <c r="F767" s="49"/>
      <c r="G767" s="49"/>
      <c r="H767" s="49"/>
      <c r="I767" s="49"/>
      <c r="J767" s="49"/>
      <c r="K767" s="49"/>
      <c r="L767" s="49"/>
      <c r="M767" s="49"/>
      <c r="N767" s="49"/>
      <c r="O767" s="49"/>
      <c r="P767" s="49"/>
      <c r="Q767" s="49"/>
      <c r="R767" s="49"/>
      <c r="S767" s="49"/>
      <c r="T767" s="49"/>
      <c r="U767" s="49"/>
      <c r="V767" s="49"/>
      <c r="W767" s="49"/>
      <c r="X767" s="49"/>
      <c r="Y767" s="49"/>
      <c r="Z767" s="49"/>
      <c r="AA767" s="49"/>
      <c r="AB767" s="49"/>
      <c r="AC767" s="49"/>
      <c r="AD767" s="49"/>
    </row>
    <row r="768" spans="1:30" ht="13">
      <c r="A768" s="141"/>
      <c r="B768" s="141"/>
      <c r="C768" s="141"/>
      <c r="D768" s="49"/>
      <c r="E768" s="49"/>
      <c r="F768" s="49"/>
      <c r="G768" s="49"/>
      <c r="H768" s="49"/>
      <c r="I768" s="49"/>
      <c r="J768" s="49"/>
      <c r="K768" s="49"/>
      <c r="L768" s="49"/>
      <c r="M768" s="49"/>
      <c r="N768" s="49"/>
      <c r="O768" s="49"/>
      <c r="P768" s="49"/>
      <c r="Q768" s="49"/>
      <c r="R768" s="49"/>
      <c r="S768" s="49"/>
      <c r="T768" s="49"/>
      <c r="U768" s="49"/>
      <c r="V768" s="49"/>
      <c r="W768" s="49"/>
      <c r="X768" s="49"/>
      <c r="Y768" s="49"/>
      <c r="Z768" s="49"/>
      <c r="AA768" s="49"/>
      <c r="AB768" s="49"/>
      <c r="AC768" s="49"/>
      <c r="AD768" s="49"/>
    </row>
    <row r="769" spans="1:30" ht="13">
      <c r="A769" s="141"/>
      <c r="B769" s="141"/>
      <c r="C769" s="141"/>
      <c r="D769" s="49"/>
      <c r="E769" s="49"/>
      <c r="F769" s="49"/>
      <c r="G769" s="49"/>
      <c r="H769" s="49"/>
      <c r="I769" s="49"/>
      <c r="J769" s="49"/>
      <c r="K769" s="49"/>
      <c r="L769" s="49"/>
      <c r="M769" s="49"/>
      <c r="N769" s="49"/>
      <c r="O769" s="49"/>
      <c r="P769" s="49"/>
      <c r="Q769" s="49"/>
      <c r="R769" s="49"/>
      <c r="S769" s="49"/>
      <c r="T769" s="49"/>
      <c r="U769" s="49"/>
      <c r="V769" s="49"/>
      <c r="W769" s="49"/>
      <c r="X769" s="49"/>
      <c r="Y769" s="49"/>
      <c r="Z769" s="49"/>
      <c r="AA769" s="49"/>
      <c r="AB769" s="49"/>
      <c r="AC769" s="49"/>
      <c r="AD769" s="49"/>
    </row>
    <row r="770" spans="1:30" ht="13">
      <c r="A770" s="141"/>
      <c r="B770" s="141"/>
      <c r="C770" s="141"/>
      <c r="D770" s="49"/>
      <c r="E770" s="49"/>
      <c r="F770" s="49"/>
      <c r="G770" s="49"/>
      <c r="H770" s="49"/>
      <c r="I770" s="49"/>
      <c r="J770" s="49"/>
      <c r="K770" s="49"/>
      <c r="L770" s="49"/>
      <c r="M770" s="49"/>
      <c r="N770" s="49"/>
      <c r="O770" s="49"/>
      <c r="P770" s="49"/>
      <c r="Q770" s="49"/>
      <c r="R770" s="49"/>
      <c r="S770" s="49"/>
      <c r="T770" s="49"/>
      <c r="U770" s="49"/>
      <c r="V770" s="49"/>
      <c r="W770" s="49"/>
      <c r="X770" s="49"/>
      <c r="Y770" s="49"/>
      <c r="Z770" s="49"/>
      <c r="AA770" s="49"/>
      <c r="AB770" s="49"/>
      <c r="AC770" s="49"/>
      <c r="AD770" s="49"/>
    </row>
    <row r="771" spans="1:30" ht="13">
      <c r="A771" s="141"/>
      <c r="B771" s="141"/>
      <c r="C771" s="141"/>
      <c r="D771" s="49"/>
      <c r="E771" s="49"/>
      <c r="F771" s="49"/>
      <c r="G771" s="49"/>
      <c r="H771" s="49"/>
      <c r="I771" s="49"/>
      <c r="J771" s="49"/>
      <c r="K771" s="49"/>
      <c r="L771" s="49"/>
      <c r="M771" s="49"/>
      <c r="N771" s="49"/>
      <c r="O771" s="49"/>
      <c r="P771" s="49"/>
      <c r="Q771" s="49"/>
      <c r="R771" s="49"/>
      <c r="S771" s="49"/>
      <c r="T771" s="49"/>
      <c r="U771" s="49"/>
      <c r="V771" s="49"/>
      <c r="W771" s="49"/>
      <c r="X771" s="49"/>
      <c r="Y771" s="49"/>
      <c r="Z771" s="49"/>
      <c r="AA771" s="49"/>
      <c r="AB771" s="49"/>
      <c r="AC771" s="49"/>
      <c r="AD771" s="49"/>
    </row>
    <row r="772" spans="1:30" ht="13">
      <c r="A772" s="141"/>
      <c r="B772" s="141"/>
      <c r="C772" s="141"/>
      <c r="D772" s="49"/>
      <c r="E772" s="49"/>
      <c r="F772" s="49"/>
      <c r="G772" s="49"/>
      <c r="H772" s="49"/>
      <c r="I772" s="49"/>
      <c r="J772" s="49"/>
      <c r="K772" s="49"/>
      <c r="L772" s="49"/>
      <c r="M772" s="49"/>
      <c r="N772" s="49"/>
      <c r="O772" s="49"/>
      <c r="P772" s="49"/>
      <c r="Q772" s="49"/>
      <c r="R772" s="49"/>
      <c r="S772" s="49"/>
      <c r="T772" s="49"/>
      <c r="U772" s="49"/>
      <c r="V772" s="49"/>
      <c r="W772" s="49"/>
      <c r="X772" s="49"/>
      <c r="Y772" s="49"/>
      <c r="Z772" s="49"/>
      <c r="AA772" s="49"/>
      <c r="AB772" s="49"/>
      <c r="AC772" s="49"/>
      <c r="AD772" s="49"/>
    </row>
    <row r="773" spans="1:30" ht="13">
      <c r="A773" s="141"/>
      <c r="B773" s="141"/>
      <c r="C773" s="141"/>
      <c r="D773" s="49"/>
      <c r="E773" s="49"/>
      <c r="F773" s="49"/>
      <c r="G773" s="49"/>
      <c r="H773" s="49"/>
      <c r="I773" s="49"/>
      <c r="J773" s="49"/>
      <c r="K773" s="49"/>
      <c r="L773" s="49"/>
      <c r="M773" s="49"/>
      <c r="N773" s="49"/>
      <c r="O773" s="49"/>
      <c r="P773" s="49"/>
      <c r="Q773" s="49"/>
      <c r="R773" s="49"/>
      <c r="S773" s="49"/>
      <c r="T773" s="49"/>
      <c r="U773" s="49"/>
      <c r="V773" s="49"/>
      <c r="W773" s="49"/>
      <c r="X773" s="49"/>
      <c r="Y773" s="49"/>
      <c r="Z773" s="49"/>
      <c r="AA773" s="49"/>
      <c r="AB773" s="49"/>
      <c r="AC773" s="49"/>
      <c r="AD773" s="49"/>
    </row>
    <row r="774" spans="1:30" ht="13">
      <c r="A774" s="141"/>
      <c r="B774" s="141"/>
      <c r="C774" s="141"/>
      <c r="D774" s="49"/>
      <c r="E774" s="49"/>
      <c r="F774" s="49"/>
      <c r="G774" s="49"/>
      <c r="H774" s="49"/>
      <c r="I774" s="49"/>
      <c r="J774" s="49"/>
      <c r="K774" s="49"/>
      <c r="L774" s="49"/>
      <c r="M774" s="49"/>
      <c r="N774" s="49"/>
      <c r="O774" s="49"/>
      <c r="P774" s="49"/>
      <c r="Q774" s="49"/>
      <c r="R774" s="49"/>
      <c r="S774" s="49"/>
      <c r="T774" s="49"/>
      <c r="U774" s="49"/>
      <c r="V774" s="49"/>
      <c r="W774" s="49"/>
      <c r="X774" s="49"/>
      <c r="Y774" s="49"/>
      <c r="Z774" s="49"/>
      <c r="AA774" s="49"/>
      <c r="AB774" s="49"/>
      <c r="AC774" s="49"/>
      <c r="AD774" s="49"/>
    </row>
    <row r="775" spans="1:30" ht="13">
      <c r="A775" s="141"/>
      <c r="B775" s="141"/>
      <c r="C775" s="141"/>
      <c r="D775" s="49"/>
      <c r="E775" s="49"/>
      <c r="F775" s="49"/>
      <c r="G775" s="49"/>
      <c r="H775" s="49"/>
      <c r="I775" s="49"/>
      <c r="J775" s="49"/>
      <c r="K775" s="49"/>
      <c r="L775" s="49"/>
      <c r="M775" s="49"/>
      <c r="N775" s="49"/>
      <c r="O775" s="49"/>
      <c r="P775" s="49"/>
      <c r="Q775" s="49"/>
      <c r="R775" s="49"/>
      <c r="S775" s="49"/>
      <c r="T775" s="49"/>
      <c r="U775" s="49"/>
      <c r="V775" s="49"/>
      <c r="W775" s="49"/>
      <c r="X775" s="49"/>
      <c r="Y775" s="49"/>
      <c r="Z775" s="49"/>
      <c r="AA775" s="49"/>
      <c r="AB775" s="49"/>
      <c r="AC775" s="49"/>
      <c r="AD775" s="49"/>
    </row>
    <row r="776" spans="1:30" ht="13">
      <c r="A776" s="141"/>
      <c r="B776" s="141"/>
      <c r="C776" s="141"/>
      <c r="D776" s="49"/>
      <c r="E776" s="49"/>
      <c r="F776" s="49"/>
      <c r="G776" s="49"/>
      <c r="H776" s="49"/>
      <c r="I776" s="49"/>
      <c r="J776" s="49"/>
      <c r="K776" s="49"/>
      <c r="L776" s="49"/>
      <c r="M776" s="49"/>
      <c r="N776" s="49"/>
      <c r="O776" s="49"/>
      <c r="P776" s="49"/>
      <c r="Q776" s="49"/>
      <c r="R776" s="49"/>
      <c r="S776" s="49"/>
      <c r="T776" s="49"/>
      <c r="U776" s="49"/>
      <c r="V776" s="49"/>
      <c r="W776" s="49"/>
      <c r="X776" s="49"/>
      <c r="Y776" s="49"/>
      <c r="Z776" s="49"/>
      <c r="AA776" s="49"/>
      <c r="AB776" s="49"/>
      <c r="AC776" s="49"/>
      <c r="AD776" s="49"/>
    </row>
    <row r="777" spans="1:30" ht="13">
      <c r="A777" s="141"/>
      <c r="B777" s="141"/>
      <c r="C777" s="141"/>
      <c r="D777" s="49"/>
      <c r="E777" s="49"/>
      <c r="F777" s="49"/>
      <c r="G777" s="49"/>
      <c r="H777" s="49"/>
      <c r="I777" s="49"/>
      <c r="J777" s="49"/>
      <c r="K777" s="49"/>
      <c r="L777" s="49"/>
      <c r="M777" s="49"/>
      <c r="N777" s="49"/>
      <c r="O777" s="49"/>
      <c r="P777" s="49"/>
      <c r="Q777" s="49"/>
      <c r="R777" s="49"/>
      <c r="S777" s="49"/>
      <c r="T777" s="49"/>
      <c r="U777" s="49"/>
      <c r="V777" s="49"/>
      <c r="W777" s="49"/>
      <c r="X777" s="49"/>
      <c r="Y777" s="49"/>
      <c r="Z777" s="49"/>
      <c r="AA777" s="49"/>
      <c r="AB777" s="49"/>
      <c r="AC777" s="49"/>
      <c r="AD777" s="49"/>
    </row>
    <row r="778" spans="1:30" ht="13">
      <c r="A778" s="141"/>
      <c r="B778" s="141"/>
      <c r="C778" s="141"/>
      <c r="D778" s="49"/>
      <c r="E778" s="49"/>
      <c r="F778" s="49"/>
      <c r="G778" s="49"/>
      <c r="H778" s="49"/>
      <c r="I778" s="49"/>
      <c r="J778" s="49"/>
      <c r="K778" s="49"/>
      <c r="L778" s="49"/>
      <c r="M778" s="49"/>
      <c r="N778" s="49"/>
      <c r="O778" s="49"/>
      <c r="P778" s="49"/>
      <c r="Q778" s="49"/>
      <c r="R778" s="49"/>
      <c r="S778" s="49"/>
      <c r="T778" s="49"/>
      <c r="U778" s="49"/>
      <c r="V778" s="49"/>
      <c r="W778" s="49"/>
      <c r="X778" s="49"/>
      <c r="Y778" s="49"/>
      <c r="Z778" s="49"/>
      <c r="AA778" s="49"/>
      <c r="AB778" s="49"/>
      <c r="AC778" s="49"/>
      <c r="AD778" s="49"/>
    </row>
    <row r="779" spans="1:30" ht="13">
      <c r="A779" s="141"/>
      <c r="B779" s="141"/>
      <c r="C779" s="141"/>
      <c r="D779" s="49"/>
      <c r="E779" s="49"/>
      <c r="F779" s="49"/>
      <c r="G779" s="49"/>
      <c r="H779" s="49"/>
      <c r="I779" s="49"/>
      <c r="J779" s="49"/>
      <c r="K779" s="49"/>
      <c r="L779" s="49"/>
      <c r="M779" s="49"/>
      <c r="N779" s="49"/>
      <c r="O779" s="49"/>
      <c r="P779" s="49"/>
      <c r="Q779" s="49"/>
      <c r="R779" s="49"/>
      <c r="S779" s="49"/>
      <c r="T779" s="49"/>
      <c r="U779" s="49"/>
      <c r="V779" s="49"/>
      <c r="W779" s="49"/>
      <c r="X779" s="49"/>
      <c r="Y779" s="49"/>
      <c r="Z779" s="49"/>
      <c r="AA779" s="49"/>
      <c r="AB779" s="49"/>
      <c r="AC779" s="49"/>
      <c r="AD779" s="49"/>
    </row>
    <row r="780" spans="1:30" ht="13">
      <c r="A780" s="141"/>
      <c r="B780" s="141"/>
      <c r="C780" s="141"/>
      <c r="D780" s="49"/>
      <c r="E780" s="49"/>
      <c r="F780" s="49"/>
      <c r="G780" s="49"/>
      <c r="H780" s="49"/>
      <c r="I780" s="49"/>
      <c r="J780" s="49"/>
      <c r="K780" s="49"/>
      <c r="L780" s="49"/>
      <c r="M780" s="49"/>
      <c r="N780" s="49"/>
      <c r="O780" s="49"/>
      <c r="P780" s="49"/>
      <c r="Q780" s="49"/>
      <c r="R780" s="49"/>
      <c r="S780" s="49"/>
      <c r="T780" s="49"/>
      <c r="U780" s="49"/>
      <c r="V780" s="49"/>
      <c r="W780" s="49"/>
      <c r="X780" s="49"/>
      <c r="Y780" s="49"/>
      <c r="Z780" s="49"/>
      <c r="AA780" s="49"/>
      <c r="AB780" s="49"/>
      <c r="AC780" s="49"/>
      <c r="AD780" s="49"/>
    </row>
    <row r="781" spans="1:30" ht="13">
      <c r="A781" s="141"/>
      <c r="B781" s="141"/>
      <c r="C781" s="141"/>
      <c r="D781" s="49"/>
      <c r="E781" s="49"/>
      <c r="F781" s="49"/>
      <c r="G781" s="49"/>
      <c r="H781" s="49"/>
      <c r="I781" s="49"/>
      <c r="J781" s="49"/>
      <c r="K781" s="49"/>
      <c r="L781" s="49"/>
      <c r="M781" s="49"/>
      <c r="N781" s="49"/>
      <c r="O781" s="49"/>
      <c r="P781" s="49"/>
      <c r="Q781" s="49"/>
      <c r="R781" s="49"/>
      <c r="S781" s="49"/>
      <c r="T781" s="49"/>
      <c r="U781" s="49"/>
      <c r="V781" s="49"/>
      <c r="W781" s="49"/>
      <c r="X781" s="49"/>
      <c r="Y781" s="49"/>
      <c r="Z781" s="49"/>
      <c r="AA781" s="49"/>
      <c r="AB781" s="49"/>
      <c r="AC781" s="49"/>
      <c r="AD781" s="49"/>
    </row>
    <row r="782" spans="1:30" ht="13">
      <c r="A782" s="141"/>
      <c r="B782" s="141"/>
      <c r="C782" s="141"/>
      <c r="D782" s="49"/>
      <c r="E782" s="49"/>
      <c r="F782" s="49"/>
      <c r="G782" s="49"/>
      <c r="H782" s="49"/>
      <c r="I782" s="49"/>
      <c r="J782" s="49"/>
      <c r="K782" s="49"/>
      <c r="L782" s="49"/>
      <c r="M782" s="49"/>
      <c r="N782" s="49"/>
      <c r="O782" s="49"/>
      <c r="P782" s="49"/>
      <c r="Q782" s="49"/>
      <c r="R782" s="49"/>
      <c r="S782" s="49"/>
      <c r="T782" s="49"/>
      <c r="U782" s="49"/>
      <c r="V782" s="49"/>
      <c r="W782" s="49"/>
      <c r="X782" s="49"/>
      <c r="Y782" s="49"/>
      <c r="Z782" s="49"/>
      <c r="AA782" s="49"/>
      <c r="AB782" s="49"/>
      <c r="AC782" s="49"/>
      <c r="AD782" s="49"/>
    </row>
    <row r="783" spans="1:30" ht="13">
      <c r="A783" s="141"/>
      <c r="B783" s="141"/>
      <c r="C783" s="141"/>
      <c r="D783" s="49"/>
      <c r="E783" s="49"/>
      <c r="F783" s="49"/>
      <c r="G783" s="49"/>
      <c r="H783" s="49"/>
      <c r="I783" s="49"/>
      <c r="J783" s="49"/>
      <c r="K783" s="49"/>
      <c r="L783" s="49"/>
      <c r="M783" s="49"/>
      <c r="N783" s="49"/>
      <c r="O783" s="49"/>
      <c r="P783" s="49"/>
      <c r="Q783" s="49"/>
      <c r="R783" s="49"/>
      <c r="S783" s="49"/>
      <c r="T783" s="49"/>
      <c r="U783" s="49"/>
      <c r="V783" s="49"/>
      <c r="W783" s="49"/>
      <c r="X783" s="49"/>
      <c r="Y783" s="49"/>
      <c r="Z783" s="49"/>
      <c r="AA783" s="49"/>
      <c r="AB783" s="49"/>
      <c r="AC783" s="49"/>
      <c r="AD783" s="49"/>
    </row>
    <row r="784" spans="1:30" ht="13">
      <c r="A784" s="141"/>
      <c r="B784" s="141"/>
      <c r="C784" s="141"/>
      <c r="D784" s="49"/>
      <c r="E784" s="49"/>
      <c r="F784" s="49"/>
      <c r="G784" s="49"/>
      <c r="H784" s="49"/>
      <c r="I784" s="49"/>
      <c r="J784" s="49"/>
      <c r="K784" s="49"/>
      <c r="L784" s="49"/>
      <c r="M784" s="49"/>
      <c r="N784" s="49"/>
      <c r="O784" s="49"/>
      <c r="P784" s="49"/>
      <c r="Q784" s="49"/>
      <c r="R784" s="49"/>
      <c r="S784" s="49"/>
      <c r="T784" s="49"/>
      <c r="U784" s="49"/>
      <c r="V784" s="49"/>
      <c r="W784" s="49"/>
      <c r="X784" s="49"/>
      <c r="Y784" s="49"/>
      <c r="Z784" s="49"/>
      <c r="AA784" s="49"/>
      <c r="AB784" s="49"/>
      <c r="AC784" s="49"/>
      <c r="AD784" s="49"/>
    </row>
    <row r="785" spans="1:30" ht="13">
      <c r="A785" s="141"/>
      <c r="B785" s="141"/>
      <c r="C785" s="141"/>
      <c r="D785" s="49"/>
      <c r="E785" s="49"/>
      <c r="F785" s="49"/>
      <c r="G785" s="49"/>
      <c r="H785" s="49"/>
      <c r="I785" s="49"/>
      <c r="J785" s="49"/>
      <c r="K785" s="49"/>
      <c r="L785" s="49"/>
      <c r="M785" s="49"/>
      <c r="N785" s="49"/>
      <c r="O785" s="49"/>
      <c r="P785" s="49"/>
      <c r="Q785" s="49"/>
      <c r="R785" s="49"/>
      <c r="S785" s="49"/>
      <c r="T785" s="49"/>
      <c r="U785" s="49"/>
      <c r="V785" s="49"/>
      <c r="W785" s="49"/>
      <c r="X785" s="49"/>
      <c r="Y785" s="49"/>
      <c r="Z785" s="49"/>
      <c r="AA785" s="49"/>
      <c r="AB785" s="49"/>
      <c r="AC785" s="49"/>
      <c r="AD785" s="49"/>
    </row>
    <row r="786" spans="1:30" ht="13">
      <c r="A786" s="141"/>
      <c r="B786" s="141"/>
      <c r="C786" s="141"/>
      <c r="D786" s="49"/>
      <c r="E786" s="49"/>
      <c r="F786" s="49"/>
      <c r="G786" s="49"/>
      <c r="H786" s="49"/>
      <c r="I786" s="49"/>
      <c r="J786" s="49"/>
      <c r="K786" s="49"/>
      <c r="L786" s="49"/>
      <c r="M786" s="49"/>
      <c r="N786" s="49"/>
      <c r="O786" s="49"/>
      <c r="P786" s="49"/>
      <c r="Q786" s="49"/>
      <c r="R786" s="49"/>
      <c r="S786" s="49"/>
      <c r="T786" s="49"/>
      <c r="U786" s="49"/>
      <c r="V786" s="49"/>
      <c r="W786" s="49"/>
      <c r="X786" s="49"/>
      <c r="Y786" s="49"/>
      <c r="Z786" s="49"/>
      <c r="AA786" s="49"/>
      <c r="AB786" s="49"/>
      <c r="AC786" s="49"/>
      <c r="AD786" s="49"/>
    </row>
    <row r="787" spans="1:30" ht="13">
      <c r="A787" s="141"/>
      <c r="B787" s="141"/>
      <c r="C787" s="141"/>
      <c r="D787" s="49"/>
      <c r="E787" s="49"/>
      <c r="F787" s="49"/>
      <c r="G787" s="49"/>
      <c r="H787" s="49"/>
      <c r="I787" s="49"/>
      <c r="J787" s="49"/>
      <c r="K787" s="49"/>
      <c r="L787" s="49"/>
      <c r="M787" s="49"/>
      <c r="N787" s="49"/>
      <c r="O787" s="49"/>
      <c r="P787" s="49"/>
      <c r="Q787" s="49"/>
      <c r="R787" s="49"/>
      <c r="S787" s="49"/>
      <c r="T787" s="49"/>
      <c r="U787" s="49"/>
      <c r="V787" s="49"/>
      <c r="W787" s="49"/>
      <c r="X787" s="49"/>
      <c r="Y787" s="49"/>
      <c r="Z787" s="49"/>
      <c r="AA787" s="49"/>
      <c r="AB787" s="49"/>
      <c r="AC787" s="49"/>
      <c r="AD787" s="49"/>
    </row>
    <row r="788" spans="1:30" ht="13">
      <c r="A788" s="141"/>
      <c r="B788" s="141"/>
      <c r="C788" s="141"/>
      <c r="D788" s="49"/>
      <c r="E788" s="49"/>
      <c r="F788" s="49"/>
      <c r="G788" s="49"/>
      <c r="H788" s="49"/>
      <c r="I788" s="49"/>
      <c r="J788" s="49"/>
      <c r="K788" s="49"/>
      <c r="L788" s="49"/>
      <c r="M788" s="49"/>
      <c r="N788" s="49"/>
      <c r="O788" s="49"/>
      <c r="P788" s="49"/>
      <c r="Q788" s="49"/>
      <c r="R788" s="49"/>
      <c r="S788" s="49"/>
      <c r="T788" s="49"/>
      <c r="U788" s="49"/>
      <c r="V788" s="49"/>
      <c r="W788" s="49"/>
      <c r="X788" s="49"/>
      <c r="Y788" s="49"/>
      <c r="Z788" s="49"/>
      <c r="AA788" s="49"/>
      <c r="AB788" s="49"/>
      <c r="AC788" s="49"/>
      <c r="AD788" s="49"/>
    </row>
    <row r="789" spans="1:30" ht="13">
      <c r="A789" s="141"/>
      <c r="B789" s="141"/>
      <c r="C789" s="141"/>
      <c r="D789" s="49"/>
      <c r="E789" s="49"/>
      <c r="F789" s="49"/>
      <c r="G789" s="49"/>
      <c r="H789" s="49"/>
      <c r="I789" s="49"/>
      <c r="J789" s="49"/>
      <c r="K789" s="49"/>
      <c r="L789" s="49"/>
      <c r="M789" s="49"/>
      <c r="N789" s="49"/>
      <c r="O789" s="49"/>
      <c r="P789" s="49"/>
      <c r="Q789" s="49"/>
      <c r="R789" s="49"/>
      <c r="S789" s="49"/>
      <c r="T789" s="49"/>
      <c r="U789" s="49"/>
      <c r="V789" s="49"/>
      <c r="W789" s="49"/>
      <c r="X789" s="49"/>
      <c r="Y789" s="49"/>
      <c r="Z789" s="49"/>
      <c r="AA789" s="49"/>
      <c r="AB789" s="49"/>
      <c r="AC789" s="49"/>
      <c r="AD789" s="49"/>
    </row>
    <row r="790" spans="1:30" ht="13">
      <c r="A790" s="141"/>
      <c r="B790" s="141"/>
      <c r="C790" s="141"/>
      <c r="D790" s="49"/>
      <c r="E790" s="49"/>
      <c r="F790" s="49"/>
      <c r="G790" s="49"/>
      <c r="H790" s="49"/>
      <c r="I790" s="49"/>
      <c r="J790" s="49"/>
      <c r="K790" s="49"/>
      <c r="L790" s="49"/>
      <c r="M790" s="49"/>
      <c r="N790" s="49"/>
      <c r="O790" s="49"/>
      <c r="P790" s="49"/>
      <c r="Q790" s="49"/>
      <c r="R790" s="49"/>
      <c r="S790" s="49"/>
      <c r="T790" s="49"/>
      <c r="U790" s="49"/>
      <c r="V790" s="49"/>
      <c r="W790" s="49"/>
      <c r="X790" s="49"/>
      <c r="Y790" s="49"/>
      <c r="Z790" s="49"/>
      <c r="AA790" s="49"/>
      <c r="AB790" s="49"/>
      <c r="AC790" s="49"/>
      <c r="AD790" s="49"/>
    </row>
    <row r="791" spans="1:30" ht="13">
      <c r="A791" s="141"/>
      <c r="B791" s="141"/>
      <c r="C791" s="141"/>
      <c r="D791" s="49"/>
      <c r="E791" s="49"/>
      <c r="F791" s="49"/>
      <c r="G791" s="49"/>
      <c r="H791" s="49"/>
      <c r="I791" s="49"/>
      <c r="J791" s="49"/>
      <c r="K791" s="49"/>
      <c r="L791" s="49"/>
      <c r="M791" s="49"/>
      <c r="N791" s="49"/>
      <c r="O791" s="49"/>
      <c r="P791" s="49"/>
      <c r="Q791" s="49"/>
      <c r="R791" s="49"/>
      <c r="S791" s="49"/>
      <c r="T791" s="49"/>
      <c r="U791" s="49"/>
      <c r="V791" s="49"/>
      <c r="W791" s="49"/>
      <c r="X791" s="49"/>
      <c r="Y791" s="49"/>
      <c r="Z791" s="49"/>
      <c r="AA791" s="49"/>
      <c r="AB791" s="49"/>
      <c r="AC791" s="49"/>
      <c r="AD791" s="49"/>
    </row>
    <row r="792" spans="1:30" ht="13">
      <c r="A792" s="141"/>
      <c r="B792" s="141"/>
      <c r="C792" s="141"/>
      <c r="D792" s="49"/>
      <c r="E792" s="49"/>
      <c r="F792" s="49"/>
      <c r="G792" s="49"/>
      <c r="H792" s="49"/>
      <c r="I792" s="49"/>
      <c r="J792" s="49"/>
      <c r="K792" s="49"/>
      <c r="L792" s="49"/>
      <c r="M792" s="49"/>
      <c r="N792" s="49"/>
      <c r="O792" s="49"/>
      <c r="P792" s="49"/>
      <c r="Q792" s="49"/>
      <c r="R792" s="49"/>
      <c r="S792" s="49"/>
      <c r="T792" s="49"/>
      <c r="U792" s="49"/>
      <c r="V792" s="49"/>
      <c r="W792" s="49"/>
      <c r="X792" s="49"/>
      <c r="Y792" s="49"/>
      <c r="Z792" s="49"/>
      <c r="AA792" s="49"/>
      <c r="AB792" s="49"/>
      <c r="AC792" s="49"/>
      <c r="AD792" s="49"/>
    </row>
    <row r="793" spans="1:30" ht="13">
      <c r="A793" s="141"/>
      <c r="B793" s="141"/>
      <c r="C793" s="141"/>
      <c r="D793" s="49"/>
      <c r="E793" s="49"/>
      <c r="F793" s="49"/>
      <c r="G793" s="49"/>
      <c r="H793" s="49"/>
      <c r="I793" s="49"/>
      <c r="J793" s="49"/>
      <c r="K793" s="49"/>
      <c r="L793" s="49"/>
      <c r="M793" s="49"/>
      <c r="N793" s="49"/>
      <c r="O793" s="49"/>
      <c r="P793" s="49"/>
      <c r="Q793" s="49"/>
      <c r="R793" s="49"/>
      <c r="S793" s="49"/>
      <c r="T793" s="49"/>
      <c r="U793" s="49"/>
      <c r="V793" s="49"/>
      <c r="W793" s="49"/>
      <c r="X793" s="49"/>
      <c r="Y793" s="49"/>
      <c r="Z793" s="49"/>
      <c r="AA793" s="49"/>
      <c r="AB793" s="49"/>
      <c r="AC793" s="49"/>
      <c r="AD793" s="49"/>
    </row>
    <row r="794" spans="1:30" ht="13">
      <c r="A794" s="141"/>
      <c r="B794" s="141"/>
      <c r="C794" s="141"/>
      <c r="D794" s="49"/>
      <c r="E794" s="49"/>
      <c r="F794" s="49"/>
      <c r="G794" s="49"/>
      <c r="H794" s="49"/>
      <c r="I794" s="49"/>
      <c r="J794" s="49"/>
      <c r="K794" s="49"/>
      <c r="L794" s="49"/>
      <c r="M794" s="49"/>
      <c r="N794" s="49"/>
      <c r="O794" s="49"/>
      <c r="P794" s="49"/>
      <c r="Q794" s="49"/>
      <c r="R794" s="49"/>
      <c r="S794" s="49"/>
      <c r="T794" s="49"/>
      <c r="U794" s="49"/>
      <c r="V794" s="49"/>
      <c r="W794" s="49"/>
      <c r="X794" s="49"/>
      <c r="Y794" s="49"/>
      <c r="Z794" s="49"/>
      <c r="AA794" s="49"/>
      <c r="AB794" s="49"/>
      <c r="AC794" s="49"/>
      <c r="AD794" s="49"/>
    </row>
    <row r="795" spans="1:30" ht="13">
      <c r="A795" s="141"/>
      <c r="B795" s="141"/>
      <c r="C795" s="141"/>
      <c r="D795" s="49"/>
      <c r="E795" s="49"/>
      <c r="F795" s="49"/>
      <c r="G795" s="49"/>
      <c r="H795" s="49"/>
      <c r="I795" s="49"/>
      <c r="J795" s="49"/>
      <c r="K795" s="49"/>
      <c r="L795" s="49"/>
      <c r="M795" s="49"/>
      <c r="N795" s="49"/>
      <c r="O795" s="49"/>
      <c r="P795" s="49"/>
      <c r="Q795" s="49"/>
      <c r="R795" s="49"/>
      <c r="S795" s="49"/>
      <c r="T795" s="49"/>
      <c r="U795" s="49"/>
      <c r="V795" s="49"/>
      <c r="W795" s="49"/>
      <c r="X795" s="49"/>
      <c r="Y795" s="49"/>
      <c r="Z795" s="49"/>
      <c r="AA795" s="49"/>
      <c r="AB795" s="49"/>
      <c r="AC795" s="49"/>
      <c r="AD795" s="49"/>
    </row>
    <row r="796" spans="1:30" ht="13">
      <c r="A796" s="141"/>
      <c r="B796" s="141"/>
      <c r="C796" s="141"/>
      <c r="D796" s="49"/>
      <c r="E796" s="49"/>
      <c r="F796" s="49"/>
      <c r="G796" s="49"/>
      <c r="H796" s="49"/>
      <c r="I796" s="49"/>
      <c r="J796" s="49"/>
      <c r="K796" s="49"/>
      <c r="L796" s="49"/>
      <c r="M796" s="49"/>
      <c r="N796" s="49"/>
      <c r="O796" s="49"/>
      <c r="P796" s="49"/>
      <c r="Q796" s="49"/>
      <c r="R796" s="49"/>
      <c r="S796" s="49"/>
      <c r="T796" s="49"/>
      <c r="U796" s="49"/>
      <c r="V796" s="49"/>
      <c r="W796" s="49"/>
      <c r="X796" s="49"/>
      <c r="Y796" s="49"/>
      <c r="Z796" s="49"/>
      <c r="AA796" s="49"/>
      <c r="AB796" s="49"/>
      <c r="AC796" s="49"/>
      <c r="AD796" s="49"/>
    </row>
    <row r="797" spans="1:30" ht="13">
      <c r="A797" s="141"/>
      <c r="B797" s="141"/>
      <c r="C797" s="141"/>
      <c r="D797" s="49"/>
      <c r="E797" s="49"/>
      <c r="F797" s="49"/>
      <c r="G797" s="49"/>
      <c r="H797" s="49"/>
      <c r="I797" s="49"/>
      <c r="J797" s="49"/>
      <c r="K797" s="49"/>
      <c r="L797" s="49"/>
      <c r="M797" s="49"/>
      <c r="N797" s="49"/>
      <c r="O797" s="49"/>
      <c r="P797" s="49"/>
      <c r="Q797" s="49"/>
      <c r="R797" s="49"/>
      <c r="S797" s="49"/>
      <c r="T797" s="49"/>
      <c r="U797" s="49"/>
      <c r="V797" s="49"/>
      <c r="W797" s="49"/>
      <c r="X797" s="49"/>
      <c r="Y797" s="49"/>
      <c r="Z797" s="49"/>
      <c r="AA797" s="49"/>
      <c r="AB797" s="49"/>
      <c r="AC797" s="49"/>
      <c r="AD797" s="49"/>
    </row>
    <row r="798" spans="1:30" ht="13">
      <c r="A798" s="141"/>
      <c r="B798" s="141"/>
      <c r="C798" s="141"/>
      <c r="D798" s="49"/>
      <c r="E798" s="49"/>
      <c r="F798" s="49"/>
      <c r="G798" s="49"/>
      <c r="H798" s="49"/>
      <c r="I798" s="49"/>
      <c r="J798" s="49"/>
      <c r="K798" s="49"/>
      <c r="L798" s="49"/>
      <c r="M798" s="49"/>
      <c r="N798" s="49"/>
      <c r="O798" s="49"/>
      <c r="P798" s="49"/>
      <c r="Q798" s="49"/>
      <c r="R798" s="49"/>
      <c r="S798" s="49"/>
      <c r="T798" s="49"/>
      <c r="U798" s="49"/>
      <c r="V798" s="49"/>
      <c r="W798" s="49"/>
      <c r="X798" s="49"/>
      <c r="Y798" s="49"/>
      <c r="Z798" s="49"/>
      <c r="AA798" s="49"/>
      <c r="AB798" s="49"/>
      <c r="AC798" s="49"/>
      <c r="AD798" s="49"/>
    </row>
    <row r="799" spans="1:30" ht="13">
      <c r="A799" s="141"/>
      <c r="B799" s="141"/>
      <c r="C799" s="141"/>
      <c r="D799" s="49"/>
      <c r="E799" s="49"/>
      <c r="F799" s="49"/>
      <c r="G799" s="49"/>
      <c r="H799" s="49"/>
      <c r="I799" s="49"/>
      <c r="J799" s="49"/>
      <c r="K799" s="49"/>
      <c r="L799" s="49"/>
      <c r="M799" s="49"/>
      <c r="N799" s="49"/>
      <c r="O799" s="49"/>
      <c r="P799" s="49"/>
      <c r="Q799" s="49"/>
      <c r="R799" s="49"/>
      <c r="S799" s="49"/>
      <c r="T799" s="49"/>
      <c r="U799" s="49"/>
      <c r="V799" s="49"/>
      <c r="W799" s="49"/>
      <c r="X799" s="49"/>
      <c r="Y799" s="49"/>
      <c r="Z799" s="49"/>
      <c r="AA799" s="49"/>
      <c r="AB799" s="49"/>
      <c r="AC799" s="49"/>
      <c r="AD799" s="49"/>
    </row>
    <row r="800" spans="1:30" ht="13">
      <c r="A800" s="141"/>
      <c r="B800" s="141"/>
      <c r="C800" s="141"/>
      <c r="D800" s="49"/>
      <c r="E800" s="49"/>
      <c r="F800" s="49"/>
      <c r="G800" s="49"/>
      <c r="H800" s="49"/>
      <c r="I800" s="49"/>
      <c r="J800" s="49"/>
      <c r="K800" s="49"/>
      <c r="L800" s="49"/>
      <c r="M800" s="49"/>
      <c r="N800" s="49"/>
      <c r="O800" s="49"/>
      <c r="P800" s="49"/>
      <c r="Q800" s="49"/>
      <c r="R800" s="49"/>
      <c r="S800" s="49"/>
      <c r="T800" s="49"/>
      <c r="U800" s="49"/>
      <c r="V800" s="49"/>
      <c r="W800" s="49"/>
      <c r="X800" s="49"/>
      <c r="Y800" s="49"/>
      <c r="Z800" s="49"/>
      <c r="AA800" s="49"/>
      <c r="AB800" s="49"/>
      <c r="AC800" s="49"/>
      <c r="AD800" s="49"/>
    </row>
    <row r="801" spans="1:30" ht="13">
      <c r="A801" s="141"/>
      <c r="B801" s="141"/>
      <c r="C801" s="141"/>
      <c r="D801" s="49"/>
      <c r="E801" s="49"/>
      <c r="F801" s="49"/>
      <c r="G801" s="49"/>
      <c r="H801" s="49"/>
      <c r="I801" s="49"/>
      <c r="J801" s="49"/>
      <c r="K801" s="49"/>
      <c r="L801" s="49"/>
      <c r="M801" s="49"/>
      <c r="N801" s="49"/>
      <c r="O801" s="49"/>
      <c r="P801" s="49"/>
      <c r="Q801" s="49"/>
      <c r="R801" s="49"/>
      <c r="S801" s="49"/>
      <c r="T801" s="49"/>
      <c r="U801" s="49"/>
      <c r="V801" s="49"/>
      <c r="W801" s="49"/>
      <c r="X801" s="49"/>
      <c r="Y801" s="49"/>
      <c r="Z801" s="49"/>
      <c r="AA801" s="49"/>
      <c r="AB801" s="49"/>
      <c r="AC801" s="49"/>
      <c r="AD801" s="49"/>
    </row>
    <row r="802" spans="1:30" ht="13">
      <c r="A802" s="141"/>
      <c r="B802" s="141"/>
      <c r="C802" s="141"/>
      <c r="D802" s="49"/>
      <c r="E802" s="49"/>
      <c r="F802" s="49"/>
      <c r="G802" s="49"/>
      <c r="H802" s="49"/>
      <c r="I802" s="49"/>
      <c r="J802" s="49"/>
      <c r="K802" s="49"/>
      <c r="L802" s="49"/>
      <c r="M802" s="49"/>
      <c r="N802" s="49"/>
      <c r="O802" s="49"/>
      <c r="P802" s="49"/>
      <c r="Q802" s="49"/>
      <c r="R802" s="49"/>
      <c r="S802" s="49"/>
      <c r="T802" s="49"/>
      <c r="U802" s="49"/>
      <c r="V802" s="49"/>
      <c r="W802" s="49"/>
      <c r="X802" s="49"/>
      <c r="Y802" s="49"/>
      <c r="Z802" s="49"/>
      <c r="AA802" s="49"/>
      <c r="AB802" s="49"/>
      <c r="AC802" s="49"/>
      <c r="AD802" s="49"/>
    </row>
    <row r="803" spans="1:30" ht="13">
      <c r="A803" s="141"/>
      <c r="B803" s="141"/>
      <c r="C803" s="141"/>
      <c r="D803" s="49"/>
      <c r="E803" s="49"/>
      <c r="F803" s="49"/>
      <c r="G803" s="49"/>
      <c r="H803" s="49"/>
      <c r="I803" s="49"/>
      <c r="J803" s="49"/>
      <c r="K803" s="49"/>
      <c r="L803" s="49"/>
      <c r="M803" s="49"/>
      <c r="N803" s="49"/>
      <c r="O803" s="49"/>
      <c r="P803" s="49"/>
      <c r="Q803" s="49"/>
      <c r="R803" s="49"/>
      <c r="S803" s="49"/>
      <c r="T803" s="49"/>
      <c r="U803" s="49"/>
      <c r="V803" s="49"/>
      <c r="W803" s="49"/>
      <c r="X803" s="49"/>
      <c r="Y803" s="49"/>
      <c r="Z803" s="49"/>
      <c r="AA803" s="49"/>
      <c r="AB803" s="49"/>
      <c r="AC803" s="49"/>
      <c r="AD803" s="49"/>
    </row>
    <row r="804" spans="1:30" ht="13">
      <c r="A804" s="141"/>
      <c r="B804" s="141"/>
      <c r="C804" s="141"/>
      <c r="D804" s="49"/>
      <c r="E804" s="49"/>
      <c r="F804" s="49"/>
      <c r="G804" s="49"/>
      <c r="H804" s="49"/>
      <c r="I804" s="49"/>
      <c r="J804" s="49"/>
      <c r="K804" s="49"/>
      <c r="L804" s="49"/>
      <c r="M804" s="49"/>
      <c r="N804" s="49"/>
      <c r="O804" s="49"/>
      <c r="P804" s="49"/>
      <c r="Q804" s="49"/>
      <c r="R804" s="49"/>
      <c r="S804" s="49"/>
      <c r="T804" s="49"/>
      <c r="U804" s="49"/>
      <c r="V804" s="49"/>
      <c r="W804" s="49"/>
      <c r="X804" s="49"/>
      <c r="Y804" s="49"/>
      <c r="Z804" s="49"/>
      <c r="AA804" s="49"/>
      <c r="AB804" s="49"/>
      <c r="AC804" s="49"/>
      <c r="AD804" s="49"/>
    </row>
    <row r="805" spans="1:30" ht="13">
      <c r="A805" s="141"/>
      <c r="B805" s="141"/>
      <c r="C805" s="141"/>
      <c r="D805" s="49"/>
      <c r="E805" s="49"/>
      <c r="F805" s="49"/>
      <c r="G805" s="49"/>
      <c r="H805" s="49"/>
      <c r="I805" s="49"/>
      <c r="J805" s="49"/>
      <c r="K805" s="49"/>
      <c r="L805" s="49"/>
      <c r="M805" s="49"/>
      <c r="N805" s="49"/>
      <c r="O805" s="49"/>
      <c r="P805" s="49"/>
      <c r="Q805" s="49"/>
      <c r="R805" s="49"/>
      <c r="S805" s="49"/>
      <c r="T805" s="49"/>
      <c r="U805" s="49"/>
      <c r="V805" s="49"/>
      <c r="W805" s="49"/>
      <c r="X805" s="49"/>
      <c r="Y805" s="49"/>
      <c r="Z805" s="49"/>
      <c r="AA805" s="49"/>
      <c r="AB805" s="49"/>
      <c r="AC805" s="49"/>
      <c r="AD805" s="49"/>
    </row>
    <row r="806" spans="1:30" ht="13">
      <c r="A806" s="141"/>
      <c r="B806" s="141"/>
      <c r="C806" s="141"/>
      <c r="D806" s="49"/>
      <c r="E806" s="49"/>
      <c r="F806" s="49"/>
      <c r="G806" s="49"/>
      <c r="H806" s="49"/>
      <c r="I806" s="49"/>
      <c r="J806" s="49"/>
      <c r="K806" s="49"/>
      <c r="L806" s="49"/>
      <c r="M806" s="49"/>
      <c r="N806" s="49"/>
      <c r="O806" s="49"/>
      <c r="P806" s="49"/>
      <c r="Q806" s="49"/>
      <c r="R806" s="49"/>
      <c r="S806" s="49"/>
      <c r="T806" s="49"/>
      <c r="U806" s="49"/>
      <c r="V806" s="49"/>
      <c r="W806" s="49"/>
      <c r="X806" s="49"/>
      <c r="Y806" s="49"/>
      <c r="Z806" s="49"/>
      <c r="AA806" s="49"/>
      <c r="AB806" s="49"/>
      <c r="AC806" s="49"/>
      <c r="AD806" s="49"/>
    </row>
    <row r="807" spans="1:30" ht="13">
      <c r="A807" s="141"/>
      <c r="B807" s="141"/>
      <c r="C807" s="141"/>
      <c r="D807" s="49"/>
      <c r="E807" s="49"/>
      <c r="F807" s="49"/>
      <c r="G807" s="49"/>
      <c r="H807" s="49"/>
      <c r="I807" s="49"/>
      <c r="J807" s="49"/>
      <c r="K807" s="49"/>
      <c r="L807" s="49"/>
      <c r="M807" s="49"/>
      <c r="N807" s="49"/>
      <c r="O807" s="49"/>
      <c r="P807" s="49"/>
      <c r="Q807" s="49"/>
      <c r="R807" s="49"/>
      <c r="S807" s="49"/>
      <c r="T807" s="49"/>
      <c r="U807" s="49"/>
      <c r="V807" s="49"/>
      <c r="W807" s="49"/>
      <c r="X807" s="49"/>
      <c r="Y807" s="49"/>
      <c r="Z807" s="49"/>
      <c r="AA807" s="49"/>
      <c r="AB807" s="49"/>
      <c r="AC807" s="49"/>
      <c r="AD807" s="49"/>
    </row>
    <row r="808" spans="1:30" ht="13">
      <c r="A808" s="141"/>
      <c r="B808" s="141"/>
      <c r="C808" s="141"/>
      <c r="D808" s="49"/>
      <c r="E808" s="49"/>
      <c r="F808" s="49"/>
      <c r="G808" s="49"/>
      <c r="H808" s="49"/>
      <c r="I808" s="49"/>
      <c r="J808" s="49"/>
      <c r="K808" s="49"/>
      <c r="L808" s="49"/>
      <c r="M808" s="49"/>
      <c r="N808" s="49"/>
      <c r="O808" s="49"/>
      <c r="P808" s="49"/>
      <c r="Q808" s="49"/>
      <c r="R808" s="49"/>
      <c r="S808" s="49"/>
      <c r="T808" s="49"/>
      <c r="U808" s="49"/>
      <c r="V808" s="49"/>
      <c r="W808" s="49"/>
      <c r="X808" s="49"/>
      <c r="Y808" s="49"/>
      <c r="Z808" s="49"/>
      <c r="AA808" s="49"/>
      <c r="AB808" s="49"/>
      <c r="AC808" s="49"/>
      <c r="AD808" s="49"/>
    </row>
    <row r="809" spans="1:30" ht="13">
      <c r="A809" s="141"/>
      <c r="B809" s="141"/>
      <c r="C809" s="141"/>
      <c r="D809" s="49"/>
      <c r="E809" s="49"/>
      <c r="F809" s="49"/>
      <c r="G809" s="49"/>
      <c r="H809" s="49"/>
      <c r="I809" s="49"/>
      <c r="J809" s="49"/>
      <c r="K809" s="49"/>
      <c r="L809" s="49"/>
      <c r="M809" s="49"/>
      <c r="N809" s="49"/>
      <c r="O809" s="49"/>
      <c r="P809" s="49"/>
      <c r="Q809" s="49"/>
      <c r="R809" s="49"/>
      <c r="S809" s="49"/>
      <c r="T809" s="49"/>
      <c r="U809" s="49"/>
      <c r="V809" s="49"/>
      <c r="W809" s="49"/>
      <c r="X809" s="49"/>
      <c r="Y809" s="49"/>
      <c r="Z809" s="49"/>
      <c r="AA809" s="49"/>
      <c r="AB809" s="49"/>
      <c r="AC809" s="49"/>
      <c r="AD809" s="49"/>
    </row>
    <row r="810" spans="1:30" ht="13">
      <c r="A810" s="141"/>
      <c r="B810" s="141"/>
      <c r="C810" s="141"/>
      <c r="D810" s="49"/>
      <c r="E810" s="49"/>
      <c r="F810" s="49"/>
      <c r="G810" s="49"/>
      <c r="H810" s="49"/>
      <c r="I810" s="49"/>
      <c r="J810" s="49"/>
      <c r="K810" s="49"/>
      <c r="L810" s="49"/>
      <c r="M810" s="49"/>
      <c r="N810" s="49"/>
      <c r="O810" s="49"/>
      <c r="P810" s="49"/>
      <c r="Q810" s="49"/>
      <c r="R810" s="49"/>
      <c r="S810" s="49"/>
      <c r="T810" s="49"/>
      <c r="U810" s="49"/>
      <c r="V810" s="49"/>
      <c r="W810" s="49"/>
      <c r="X810" s="49"/>
      <c r="Y810" s="49"/>
      <c r="Z810" s="49"/>
      <c r="AA810" s="49"/>
      <c r="AB810" s="49"/>
      <c r="AC810" s="49"/>
      <c r="AD810" s="49"/>
    </row>
    <row r="811" spans="1:30" ht="13">
      <c r="A811" s="141"/>
      <c r="B811" s="141"/>
      <c r="C811" s="141"/>
      <c r="D811" s="49"/>
      <c r="E811" s="49"/>
      <c r="F811" s="49"/>
      <c r="G811" s="49"/>
      <c r="H811" s="49"/>
      <c r="I811" s="49"/>
      <c r="J811" s="49"/>
      <c r="K811" s="49"/>
      <c r="L811" s="49"/>
      <c r="M811" s="49"/>
      <c r="N811" s="49"/>
      <c r="O811" s="49"/>
      <c r="P811" s="49"/>
      <c r="Q811" s="49"/>
      <c r="R811" s="49"/>
      <c r="S811" s="49"/>
      <c r="T811" s="49"/>
      <c r="U811" s="49"/>
      <c r="V811" s="49"/>
      <c r="W811" s="49"/>
      <c r="X811" s="49"/>
      <c r="Y811" s="49"/>
      <c r="Z811" s="49"/>
      <c r="AA811" s="49"/>
      <c r="AB811" s="49"/>
      <c r="AC811" s="49"/>
      <c r="AD811" s="49"/>
    </row>
    <row r="812" spans="1:30" ht="13">
      <c r="A812" s="141"/>
      <c r="B812" s="141"/>
      <c r="C812" s="141"/>
      <c r="D812" s="49"/>
      <c r="E812" s="49"/>
      <c r="F812" s="49"/>
      <c r="G812" s="49"/>
      <c r="H812" s="49"/>
      <c r="I812" s="49"/>
      <c r="J812" s="49"/>
      <c r="K812" s="49"/>
      <c r="L812" s="49"/>
      <c r="M812" s="49"/>
      <c r="N812" s="49"/>
      <c r="O812" s="49"/>
      <c r="P812" s="49"/>
      <c r="Q812" s="49"/>
      <c r="R812" s="49"/>
      <c r="S812" s="49"/>
      <c r="T812" s="49"/>
      <c r="U812" s="49"/>
      <c r="V812" s="49"/>
      <c r="W812" s="49"/>
      <c r="X812" s="49"/>
      <c r="Y812" s="49"/>
      <c r="Z812" s="49"/>
      <c r="AA812" s="49"/>
      <c r="AB812" s="49"/>
      <c r="AC812" s="49"/>
      <c r="AD812" s="49"/>
    </row>
    <row r="813" spans="1:30" ht="13">
      <c r="A813" s="141"/>
      <c r="B813" s="141"/>
      <c r="C813" s="141"/>
      <c r="D813" s="49"/>
      <c r="E813" s="49"/>
      <c r="F813" s="49"/>
      <c r="G813" s="49"/>
      <c r="H813" s="49"/>
      <c r="I813" s="49"/>
      <c r="J813" s="49"/>
      <c r="K813" s="49"/>
      <c r="L813" s="49"/>
      <c r="M813" s="49"/>
      <c r="N813" s="49"/>
      <c r="O813" s="49"/>
      <c r="P813" s="49"/>
      <c r="Q813" s="49"/>
      <c r="R813" s="49"/>
      <c r="S813" s="49"/>
      <c r="T813" s="49"/>
      <c r="U813" s="49"/>
      <c r="V813" s="49"/>
      <c r="W813" s="49"/>
      <c r="X813" s="49"/>
      <c r="Y813" s="49"/>
      <c r="Z813" s="49"/>
      <c r="AA813" s="49"/>
      <c r="AB813" s="49"/>
      <c r="AC813" s="49"/>
      <c r="AD813" s="49"/>
    </row>
    <row r="814" spans="1:30" ht="13">
      <c r="A814" s="141"/>
      <c r="B814" s="141"/>
      <c r="C814" s="141"/>
      <c r="D814" s="49"/>
      <c r="E814" s="49"/>
      <c r="F814" s="49"/>
      <c r="G814" s="49"/>
      <c r="H814" s="49"/>
      <c r="I814" s="49"/>
      <c r="J814" s="49"/>
      <c r="K814" s="49"/>
      <c r="L814" s="49"/>
      <c r="M814" s="49"/>
      <c r="N814" s="49"/>
      <c r="O814" s="49"/>
      <c r="P814" s="49"/>
      <c r="Q814" s="49"/>
      <c r="R814" s="49"/>
      <c r="S814" s="49"/>
      <c r="T814" s="49"/>
      <c r="U814" s="49"/>
      <c r="V814" s="49"/>
      <c r="W814" s="49"/>
      <c r="X814" s="49"/>
      <c r="Y814" s="49"/>
      <c r="Z814" s="49"/>
      <c r="AA814" s="49"/>
      <c r="AB814" s="49"/>
      <c r="AC814" s="49"/>
      <c r="AD814" s="49"/>
    </row>
    <row r="815" spans="1:30" ht="13">
      <c r="A815" s="141"/>
      <c r="B815" s="141"/>
      <c r="C815" s="141"/>
      <c r="D815" s="49"/>
      <c r="E815" s="49"/>
      <c r="F815" s="49"/>
      <c r="G815" s="49"/>
      <c r="H815" s="49"/>
      <c r="I815" s="49"/>
      <c r="J815" s="49"/>
      <c r="K815" s="49"/>
      <c r="L815" s="49"/>
      <c r="M815" s="49"/>
      <c r="N815" s="49"/>
      <c r="O815" s="49"/>
      <c r="P815" s="49"/>
      <c r="Q815" s="49"/>
      <c r="R815" s="49"/>
      <c r="S815" s="49"/>
      <c r="T815" s="49"/>
      <c r="U815" s="49"/>
      <c r="V815" s="49"/>
      <c r="W815" s="49"/>
      <c r="X815" s="49"/>
      <c r="Y815" s="49"/>
      <c r="Z815" s="49"/>
      <c r="AA815" s="49"/>
      <c r="AB815" s="49"/>
      <c r="AC815" s="49"/>
      <c r="AD815" s="49"/>
    </row>
    <row r="816" spans="1:30" ht="13">
      <c r="A816" s="141"/>
      <c r="B816" s="141"/>
      <c r="C816" s="141"/>
      <c r="D816" s="49"/>
      <c r="E816" s="49"/>
      <c r="F816" s="49"/>
      <c r="G816" s="49"/>
      <c r="H816" s="49"/>
      <c r="I816" s="49"/>
      <c r="J816" s="49"/>
      <c r="K816" s="49"/>
      <c r="L816" s="49"/>
      <c r="M816" s="49"/>
      <c r="N816" s="49"/>
      <c r="O816" s="49"/>
      <c r="P816" s="49"/>
      <c r="Q816" s="49"/>
      <c r="R816" s="49"/>
      <c r="S816" s="49"/>
      <c r="T816" s="49"/>
      <c r="U816" s="49"/>
      <c r="V816" s="49"/>
      <c r="W816" s="49"/>
      <c r="X816" s="49"/>
      <c r="Y816" s="49"/>
      <c r="Z816" s="49"/>
      <c r="AA816" s="49"/>
      <c r="AB816" s="49"/>
      <c r="AC816" s="49"/>
      <c r="AD816" s="49"/>
    </row>
    <row r="817" spans="1:30" ht="13">
      <c r="A817" s="141"/>
      <c r="B817" s="141"/>
      <c r="C817" s="141"/>
      <c r="D817" s="49"/>
      <c r="E817" s="49"/>
      <c r="F817" s="49"/>
      <c r="G817" s="49"/>
      <c r="H817" s="49"/>
      <c r="I817" s="49"/>
      <c r="J817" s="49"/>
      <c r="K817" s="49"/>
      <c r="L817" s="49"/>
      <c r="M817" s="49"/>
      <c r="N817" s="49"/>
      <c r="O817" s="49"/>
      <c r="P817" s="49"/>
      <c r="Q817" s="49"/>
      <c r="R817" s="49"/>
      <c r="S817" s="49"/>
      <c r="T817" s="49"/>
      <c r="U817" s="49"/>
      <c r="V817" s="49"/>
      <c r="W817" s="49"/>
      <c r="X817" s="49"/>
      <c r="Y817" s="49"/>
      <c r="Z817" s="49"/>
      <c r="AA817" s="49"/>
      <c r="AB817" s="49"/>
      <c r="AC817" s="49"/>
      <c r="AD817" s="49"/>
    </row>
    <row r="818" spans="1:30" ht="13">
      <c r="A818" s="141"/>
      <c r="B818" s="141"/>
      <c r="C818" s="141"/>
      <c r="D818" s="49"/>
      <c r="E818" s="49"/>
      <c r="F818" s="49"/>
      <c r="G818" s="49"/>
      <c r="H818" s="49"/>
      <c r="I818" s="49"/>
      <c r="J818" s="49"/>
      <c r="K818" s="49"/>
      <c r="L818" s="49"/>
      <c r="M818" s="49"/>
      <c r="N818" s="49"/>
      <c r="O818" s="49"/>
      <c r="P818" s="49"/>
      <c r="Q818" s="49"/>
      <c r="R818" s="49"/>
      <c r="S818" s="49"/>
      <c r="T818" s="49"/>
      <c r="U818" s="49"/>
      <c r="V818" s="49"/>
      <c r="W818" s="49"/>
      <c r="X818" s="49"/>
      <c r="Y818" s="49"/>
      <c r="Z818" s="49"/>
      <c r="AA818" s="49"/>
      <c r="AB818" s="49"/>
      <c r="AC818" s="49"/>
      <c r="AD818" s="49"/>
    </row>
    <row r="819" spans="1:30" ht="13">
      <c r="A819" s="141"/>
      <c r="B819" s="141"/>
      <c r="C819" s="141"/>
      <c r="D819" s="49"/>
      <c r="E819" s="49"/>
      <c r="F819" s="49"/>
      <c r="G819" s="49"/>
      <c r="H819" s="49"/>
      <c r="I819" s="49"/>
      <c r="J819" s="49"/>
      <c r="K819" s="49"/>
      <c r="L819" s="49"/>
      <c r="M819" s="49"/>
      <c r="N819" s="49"/>
      <c r="O819" s="49"/>
      <c r="P819" s="49"/>
      <c r="Q819" s="49"/>
      <c r="R819" s="49"/>
      <c r="S819" s="49"/>
      <c r="T819" s="49"/>
      <c r="U819" s="49"/>
      <c r="V819" s="49"/>
      <c r="W819" s="49"/>
      <c r="X819" s="49"/>
      <c r="Y819" s="49"/>
      <c r="Z819" s="49"/>
      <c r="AA819" s="49"/>
      <c r="AB819" s="49"/>
      <c r="AC819" s="49"/>
      <c r="AD819" s="49"/>
    </row>
    <row r="820" spans="1:30" ht="13">
      <c r="A820" s="141"/>
      <c r="B820" s="141"/>
      <c r="C820" s="141"/>
      <c r="D820" s="49"/>
      <c r="E820" s="49"/>
      <c r="F820" s="49"/>
      <c r="G820" s="49"/>
      <c r="H820" s="49"/>
      <c r="I820" s="49"/>
      <c r="J820" s="49"/>
      <c r="K820" s="49"/>
      <c r="L820" s="49"/>
      <c r="M820" s="49"/>
      <c r="N820" s="49"/>
      <c r="O820" s="49"/>
      <c r="P820" s="49"/>
      <c r="Q820" s="49"/>
      <c r="R820" s="49"/>
      <c r="S820" s="49"/>
      <c r="T820" s="49"/>
      <c r="U820" s="49"/>
      <c r="V820" s="49"/>
      <c r="W820" s="49"/>
      <c r="X820" s="49"/>
      <c r="Y820" s="49"/>
      <c r="Z820" s="49"/>
      <c r="AA820" s="49"/>
      <c r="AB820" s="49"/>
      <c r="AC820" s="49"/>
      <c r="AD820" s="49"/>
    </row>
    <row r="821" spans="1:30" ht="13">
      <c r="A821" s="141"/>
      <c r="B821" s="141"/>
      <c r="C821" s="141"/>
      <c r="D821" s="49"/>
      <c r="E821" s="49"/>
      <c r="F821" s="49"/>
      <c r="G821" s="49"/>
      <c r="H821" s="49"/>
      <c r="I821" s="49"/>
      <c r="J821" s="49"/>
      <c r="K821" s="49"/>
      <c r="L821" s="49"/>
      <c r="M821" s="49"/>
      <c r="N821" s="49"/>
      <c r="O821" s="49"/>
      <c r="P821" s="49"/>
      <c r="Q821" s="49"/>
      <c r="R821" s="49"/>
      <c r="S821" s="49"/>
      <c r="T821" s="49"/>
      <c r="U821" s="49"/>
      <c r="V821" s="49"/>
      <c r="W821" s="49"/>
      <c r="X821" s="49"/>
      <c r="Y821" s="49"/>
      <c r="Z821" s="49"/>
      <c r="AA821" s="49"/>
      <c r="AB821" s="49"/>
      <c r="AC821" s="49"/>
      <c r="AD821" s="49"/>
    </row>
    <row r="822" spans="1:30" ht="13">
      <c r="A822" s="141"/>
      <c r="B822" s="141"/>
      <c r="C822" s="141"/>
      <c r="D822" s="49"/>
      <c r="E822" s="49"/>
      <c r="F822" s="49"/>
      <c r="G822" s="49"/>
      <c r="H822" s="49"/>
      <c r="I822" s="49"/>
      <c r="J822" s="49"/>
      <c r="K822" s="49"/>
      <c r="L822" s="49"/>
      <c r="M822" s="49"/>
      <c r="N822" s="49"/>
      <c r="O822" s="49"/>
      <c r="P822" s="49"/>
      <c r="Q822" s="49"/>
      <c r="R822" s="49"/>
      <c r="S822" s="49"/>
      <c r="T822" s="49"/>
      <c r="U822" s="49"/>
      <c r="V822" s="49"/>
      <c r="W822" s="49"/>
      <c r="X822" s="49"/>
      <c r="Y822" s="49"/>
      <c r="Z822" s="49"/>
      <c r="AA822" s="49"/>
      <c r="AB822" s="49"/>
      <c r="AC822" s="49"/>
      <c r="AD822" s="49"/>
    </row>
    <row r="823" spans="1:30" ht="13">
      <c r="A823" s="141"/>
      <c r="B823" s="141"/>
      <c r="C823" s="141"/>
      <c r="D823" s="49"/>
      <c r="E823" s="49"/>
      <c r="F823" s="49"/>
      <c r="G823" s="49"/>
      <c r="H823" s="49"/>
      <c r="I823" s="49"/>
      <c r="J823" s="49"/>
      <c r="K823" s="49"/>
      <c r="L823" s="49"/>
      <c r="M823" s="49"/>
      <c r="N823" s="49"/>
      <c r="O823" s="49"/>
      <c r="P823" s="49"/>
      <c r="Q823" s="49"/>
      <c r="R823" s="49"/>
      <c r="S823" s="49"/>
      <c r="T823" s="49"/>
      <c r="U823" s="49"/>
      <c r="V823" s="49"/>
      <c r="W823" s="49"/>
      <c r="X823" s="49"/>
      <c r="Y823" s="49"/>
      <c r="Z823" s="49"/>
      <c r="AA823" s="49"/>
      <c r="AB823" s="49"/>
      <c r="AC823" s="49"/>
      <c r="AD823" s="49"/>
    </row>
    <row r="824" spans="1:30" ht="13">
      <c r="A824" s="141"/>
      <c r="B824" s="141"/>
      <c r="C824" s="141"/>
      <c r="D824" s="49"/>
      <c r="E824" s="49"/>
      <c r="F824" s="49"/>
      <c r="G824" s="49"/>
      <c r="H824" s="49"/>
      <c r="I824" s="49"/>
      <c r="J824" s="49"/>
      <c r="K824" s="49"/>
      <c r="L824" s="49"/>
      <c r="M824" s="49"/>
      <c r="N824" s="49"/>
      <c r="O824" s="49"/>
      <c r="P824" s="49"/>
      <c r="Q824" s="49"/>
      <c r="R824" s="49"/>
      <c r="S824" s="49"/>
      <c r="T824" s="49"/>
      <c r="U824" s="49"/>
      <c r="V824" s="49"/>
      <c r="W824" s="49"/>
      <c r="X824" s="49"/>
      <c r="Y824" s="49"/>
      <c r="Z824" s="49"/>
      <c r="AA824" s="49"/>
      <c r="AB824" s="49"/>
      <c r="AC824" s="49"/>
      <c r="AD824" s="49"/>
    </row>
    <row r="825" spans="1:30" ht="13">
      <c r="A825" s="141"/>
      <c r="B825" s="141"/>
      <c r="C825" s="141"/>
      <c r="D825" s="49"/>
      <c r="E825" s="49"/>
      <c r="F825" s="49"/>
      <c r="G825" s="49"/>
      <c r="H825" s="49"/>
      <c r="I825" s="49"/>
      <c r="J825" s="49"/>
      <c r="K825" s="49"/>
      <c r="L825" s="49"/>
      <c r="M825" s="49"/>
      <c r="N825" s="49"/>
      <c r="O825" s="49"/>
      <c r="P825" s="49"/>
      <c r="Q825" s="49"/>
      <c r="R825" s="49"/>
      <c r="S825" s="49"/>
      <c r="T825" s="49"/>
      <c r="U825" s="49"/>
      <c r="V825" s="49"/>
      <c r="W825" s="49"/>
      <c r="X825" s="49"/>
      <c r="Y825" s="49"/>
      <c r="Z825" s="49"/>
      <c r="AA825" s="49"/>
      <c r="AB825" s="49"/>
      <c r="AC825" s="49"/>
      <c r="AD825" s="49"/>
    </row>
    <row r="826" spans="1:30" ht="13">
      <c r="A826" s="141"/>
      <c r="B826" s="141"/>
      <c r="C826" s="141"/>
      <c r="D826" s="49"/>
      <c r="E826" s="49"/>
      <c r="F826" s="49"/>
      <c r="G826" s="49"/>
      <c r="H826" s="49"/>
      <c r="I826" s="49"/>
      <c r="J826" s="49"/>
      <c r="K826" s="49"/>
      <c r="L826" s="49"/>
      <c r="M826" s="49"/>
      <c r="N826" s="49"/>
      <c r="O826" s="49"/>
      <c r="P826" s="49"/>
      <c r="Q826" s="49"/>
      <c r="R826" s="49"/>
      <c r="S826" s="49"/>
      <c r="T826" s="49"/>
      <c r="U826" s="49"/>
      <c r="V826" s="49"/>
      <c r="W826" s="49"/>
      <c r="X826" s="49"/>
      <c r="Y826" s="49"/>
      <c r="Z826" s="49"/>
      <c r="AA826" s="49"/>
      <c r="AB826" s="49"/>
      <c r="AC826" s="49"/>
      <c r="AD826" s="49"/>
    </row>
    <row r="827" spans="1:30" ht="13">
      <c r="A827" s="141"/>
      <c r="B827" s="141"/>
      <c r="C827" s="141"/>
      <c r="D827" s="49"/>
      <c r="E827" s="49"/>
      <c r="F827" s="49"/>
      <c r="G827" s="49"/>
      <c r="H827" s="49"/>
      <c r="I827" s="49"/>
      <c r="J827" s="49"/>
      <c r="K827" s="49"/>
      <c r="L827" s="49"/>
      <c r="M827" s="49"/>
      <c r="N827" s="49"/>
      <c r="O827" s="49"/>
      <c r="P827" s="49"/>
      <c r="Q827" s="49"/>
      <c r="R827" s="49"/>
      <c r="S827" s="49"/>
      <c r="T827" s="49"/>
      <c r="U827" s="49"/>
      <c r="V827" s="49"/>
      <c r="W827" s="49"/>
      <c r="X827" s="49"/>
      <c r="Y827" s="49"/>
      <c r="Z827" s="49"/>
      <c r="AA827" s="49"/>
      <c r="AB827" s="49"/>
      <c r="AC827" s="49"/>
      <c r="AD827" s="49"/>
    </row>
    <row r="828" spans="1:30" ht="13">
      <c r="A828" s="141"/>
      <c r="B828" s="141"/>
      <c r="C828" s="141"/>
      <c r="D828" s="49"/>
      <c r="E828" s="49"/>
      <c r="F828" s="49"/>
      <c r="G828" s="49"/>
      <c r="H828" s="49"/>
      <c r="I828" s="49"/>
      <c r="J828" s="49"/>
      <c r="K828" s="49"/>
      <c r="L828" s="49"/>
      <c r="M828" s="49"/>
      <c r="N828" s="49"/>
      <c r="O828" s="49"/>
      <c r="P828" s="49"/>
      <c r="Q828" s="49"/>
      <c r="R828" s="49"/>
      <c r="S828" s="49"/>
      <c r="T828" s="49"/>
      <c r="U828" s="49"/>
      <c r="V828" s="49"/>
      <c r="W828" s="49"/>
      <c r="X828" s="49"/>
      <c r="Y828" s="49"/>
      <c r="Z828" s="49"/>
      <c r="AA828" s="49"/>
      <c r="AB828" s="49"/>
      <c r="AC828" s="49"/>
      <c r="AD828" s="49"/>
    </row>
    <row r="829" spans="1:30" ht="13">
      <c r="A829" s="141"/>
      <c r="B829" s="141"/>
      <c r="C829" s="141"/>
      <c r="D829" s="49"/>
      <c r="E829" s="49"/>
      <c r="F829" s="49"/>
      <c r="G829" s="49"/>
      <c r="H829" s="49"/>
      <c r="I829" s="49"/>
      <c r="J829" s="49"/>
      <c r="K829" s="49"/>
      <c r="L829" s="49"/>
      <c r="M829" s="49"/>
      <c r="N829" s="49"/>
      <c r="O829" s="49"/>
      <c r="P829" s="49"/>
      <c r="Q829" s="49"/>
      <c r="R829" s="49"/>
      <c r="S829" s="49"/>
      <c r="T829" s="49"/>
      <c r="U829" s="49"/>
      <c r="V829" s="49"/>
      <c r="W829" s="49"/>
      <c r="X829" s="49"/>
      <c r="Y829" s="49"/>
      <c r="Z829" s="49"/>
      <c r="AA829" s="49"/>
      <c r="AB829" s="49"/>
      <c r="AC829" s="49"/>
      <c r="AD829" s="49"/>
    </row>
    <row r="830" spans="1:30" ht="13">
      <c r="A830" s="141"/>
      <c r="B830" s="141"/>
      <c r="C830" s="141"/>
      <c r="D830" s="49"/>
      <c r="E830" s="49"/>
      <c r="F830" s="49"/>
      <c r="G830" s="49"/>
      <c r="H830" s="49"/>
      <c r="I830" s="49"/>
      <c r="J830" s="49"/>
      <c r="K830" s="49"/>
      <c r="L830" s="49"/>
      <c r="M830" s="49"/>
      <c r="N830" s="49"/>
      <c r="O830" s="49"/>
      <c r="P830" s="49"/>
      <c r="Q830" s="49"/>
      <c r="R830" s="49"/>
      <c r="S830" s="49"/>
      <c r="T830" s="49"/>
      <c r="U830" s="49"/>
      <c r="V830" s="49"/>
      <c r="W830" s="49"/>
      <c r="X830" s="49"/>
      <c r="Y830" s="49"/>
      <c r="Z830" s="49"/>
      <c r="AA830" s="49"/>
      <c r="AB830" s="49"/>
      <c r="AC830" s="49"/>
      <c r="AD830" s="49"/>
    </row>
    <row r="831" spans="1:30" ht="13">
      <c r="A831" s="141"/>
      <c r="B831" s="141"/>
      <c r="C831" s="141"/>
      <c r="D831" s="49"/>
      <c r="E831" s="49"/>
      <c r="F831" s="49"/>
      <c r="G831" s="49"/>
      <c r="H831" s="49"/>
      <c r="I831" s="49"/>
      <c r="J831" s="49"/>
      <c r="K831" s="49"/>
      <c r="L831" s="49"/>
      <c r="M831" s="49"/>
      <c r="N831" s="49"/>
      <c r="O831" s="49"/>
      <c r="P831" s="49"/>
      <c r="Q831" s="49"/>
      <c r="R831" s="49"/>
      <c r="S831" s="49"/>
      <c r="T831" s="49"/>
      <c r="U831" s="49"/>
      <c r="V831" s="49"/>
      <c r="W831" s="49"/>
      <c r="X831" s="49"/>
      <c r="Y831" s="49"/>
      <c r="Z831" s="49"/>
      <c r="AA831" s="49"/>
      <c r="AB831" s="49"/>
      <c r="AC831" s="49"/>
      <c r="AD831" s="49"/>
    </row>
    <row r="832" spans="1:30" ht="13">
      <c r="A832" s="141"/>
      <c r="B832" s="141"/>
      <c r="C832" s="141"/>
      <c r="D832" s="49"/>
      <c r="E832" s="49"/>
      <c r="F832" s="49"/>
      <c r="G832" s="49"/>
      <c r="H832" s="49"/>
      <c r="I832" s="49"/>
      <c r="J832" s="49"/>
      <c r="K832" s="49"/>
      <c r="L832" s="49"/>
      <c r="M832" s="49"/>
      <c r="N832" s="49"/>
      <c r="O832" s="49"/>
      <c r="P832" s="49"/>
      <c r="Q832" s="49"/>
      <c r="R832" s="49"/>
      <c r="S832" s="49"/>
      <c r="T832" s="49"/>
      <c r="U832" s="49"/>
      <c r="V832" s="49"/>
      <c r="W832" s="49"/>
      <c r="X832" s="49"/>
      <c r="Y832" s="49"/>
      <c r="Z832" s="49"/>
      <c r="AA832" s="49"/>
      <c r="AB832" s="49"/>
      <c r="AC832" s="49"/>
      <c r="AD832" s="49"/>
    </row>
    <row r="833" spans="1:30" ht="13">
      <c r="A833" s="141"/>
      <c r="B833" s="141"/>
      <c r="C833" s="141"/>
      <c r="D833" s="49"/>
      <c r="E833" s="49"/>
      <c r="F833" s="49"/>
      <c r="G833" s="49"/>
      <c r="H833" s="49"/>
      <c r="I833" s="49"/>
      <c r="J833" s="49"/>
      <c r="K833" s="49"/>
      <c r="L833" s="49"/>
      <c r="M833" s="49"/>
      <c r="N833" s="49"/>
      <c r="O833" s="49"/>
      <c r="P833" s="49"/>
      <c r="Q833" s="49"/>
      <c r="R833" s="49"/>
      <c r="S833" s="49"/>
      <c r="T833" s="49"/>
      <c r="U833" s="49"/>
      <c r="V833" s="49"/>
      <c r="W833" s="49"/>
      <c r="X833" s="49"/>
      <c r="Y833" s="49"/>
      <c r="Z833" s="49"/>
      <c r="AA833" s="49"/>
      <c r="AB833" s="49"/>
      <c r="AC833" s="49"/>
      <c r="AD833" s="49"/>
    </row>
    <row r="834" spans="1:30" ht="13">
      <c r="A834" s="141"/>
      <c r="B834" s="141"/>
      <c r="C834" s="141"/>
      <c r="D834" s="49"/>
      <c r="E834" s="49"/>
      <c r="F834" s="49"/>
      <c r="G834" s="49"/>
      <c r="H834" s="49"/>
      <c r="I834" s="49"/>
      <c r="J834" s="49"/>
      <c r="K834" s="49"/>
      <c r="L834" s="49"/>
      <c r="M834" s="49"/>
      <c r="N834" s="49"/>
      <c r="O834" s="49"/>
      <c r="P834" s="49"/>
      <c r="Q834" s="49"/>
      <c r="R834" s="49"/>
      <c r="S834" s="49"/>
      <c r="T834" s="49"/>
      <c r="U834" s="49"/>
      <c r="V834" s="49"/>
      <c r="W834" s="49"/>
      <c r="X834" s="49"/>
      <c r="Y834" s="49"/>
      <c r="Z834" s="49"/>
      <c r="AA834" s="49"/>
      <c r="AB834" s="49"/>
      <c r="AC834" s="49"/>
      <c r="AD834" s="49"/>
    </row>
    <row r="835" spans="1:30" ht="13">
      <c r="A835" s="141"/>
      <c r="B835" s="141"/>
      <c r="C835" s="141"/>
      <c r="D835" s="49"/>
      <c r="E835" s="49"/>
      <c r="F835" s="49"/>
      <c r="G835" s="49"/>
      <c r="H835" s="49"/>
      <c r="I835" s="49"/>
      <c r="J835" s="49"/>
      <c r="K835" s="49"/>
      <c r="L835" s="49"/>
      <c r="M835" s="49"/>
      <c r="N835" s="49"/>
      <c r="O835" s="49"/>
      <c r="P835" s="49"/>
      <c r="Q835" s="49"/>
      <c r="R835" s="49"/>
      <c r="S835" s="49"/>
      <c r="T835" s="49"/>
      <c r="U835" s="49"/>
      <c r="V835" s="49"/>
      <c r="W835" s="49"/>
      <c r="X835" s="49"/>
      <c r="Y835" s="49"/>
      <c r="Z835" s="49"/>
      <c r="AA835" s="49"/>
      <c r="AB835" s="49"/>
      <c r="AC835" s="49"/>
      <c r="AD835" s="49"/>
    </row>
    <row r="836" spans="1:30" ht="13">
      <c r="A836" s="141"/>
      <c r="B836" s="141"/>
      <c r="C836" s="141"/>
      <c r="D836" s="49"/>
      <c r="E836" s="49"/>
      <c r="F836" s="49"/>
      <c r="G836" s="49"/>
      <c r="H836" s="49"/>
      <c r="I836" s="49"/>
      <c r="J836" s="49"/>
      <c r="K836" s="49"/>
      <c r="L836" s="49"/>
      <c r="M836" s="49"/>
      <c r="N836" s="49"/>
      <c r="O836" s="49"/>
      <c r="P836" s="49"/>
      <c r="Q836" s="49"/>
      <c r="R836" s="49"/>
      <c r="S836" s="49"/>
      <c r="T836" s="49"/>
      <c r="U836" s="49"/>
      <c r="V836" s="49"/>
      <c r="W836" s="49"/>
      <c r="X836" s="49"/>
      <c r="Y836" s="49"/>
      <c r="Z836" s="49"/>
      <c r="AA836" s="49"/>
      <c r="AB836" s="49"/>
      <c r="AC836" s="49"/>
      <c r="AD836" s="49"/>
    </row>
    <row r="837" spans="1:30" ht="13">
      <c r="A837" s="141"/>
      <c r="B837" s="141"/>
      <c r="C837" s="141"/>
      <c r="D837" s="49"/>
      <c r="E837" s="49"/>
      <c r="F837" s="49"/>
      <c r="G837" s="49"/>
      <c r="H837" s="49"/>
      <c r="I837" s="49"/>
      <c r="J837" s="49"/>
      <c r="K837" s="49"/>
      <c r="L837" s="49"/>
      <c r="M837" s="49"/>
      <c r="N837" s="49"/>
      <c r="O837" s="49"/>
      <c r="P837" s="49"/>
      <c r="Q837" s="49"/>
      <c r="R837" s="49"/>
      <c r="S837" s="49"/>
      <c r="T837" s="49"/>
      <c r="U837" s="49"/>
      <c r="V837" s="49"/>
      <c r="W837" s="49"/>
      <c r="X837" s="49"/>
      <c r="Y837" s="49"/>
      <c r="Z837" s="49"/>
      <c r="AA837" s="49"/>
      <c r="AB837" s="49"/>
      <c r="AC837" s="49"/>
      <c r="AD837" s="49"/>
    </row>
    <row r="838" spans="1:30" ht="13">
      <c r="A838" s="141"/>
      <c r="B838" s="141"/>
      <c r="C838" s="141"/>
      <c r="D838" s="49"/>
      <c r="E838" s="49"/>
      <c r="F838" s="49"/>
      <c r="G838" s="49"/>
      <c r="H838" s="49"/>
      <c r="I838" s="49"/>
      <c r="J838" s="49"/>
      <c r="K838" s="49"/>
      <c r="L838" s="49"/>
      <c r="M838" s="49"/>
      <c r="N838" s="49"/>
      <c r="O838" s="49"/>
      <c r="P838" s="49"/>
      <c r="Q838" s="49"/>
      <c r="R838" s="49"/>
      <c r="S838" s="49"/>
      <c r="T838" s="49"/>
      <c r="U838" s="49"/>
      <c r="V838" s="49"/>
      <c r="W838" s="49"/>
      <c r="X838" s="49"/>
      <c r="Y838" s="49"/>
      <c r="Z838" s="49"/>
      <c r="AA838" s="49"/>
      <c r="AB838" s="49"/>
      <c r="AC838" s="49"/>
      <c r="AD838" s="49"/>
    </row>
    <row r="839" spans="1:30" ht="13">
      <c r="A839" s="141"/>
      <c r="B839" s="141"/>
      <c r="C839" s="141"/>
      <c r="D839" s="49"/>
      <c r="E839" s="49"/>
      <c r="F839" s="49"/>
      <c r="G839" s="49"/>
      <c r="H839" s="49"/>
      <c r="I839" s="49"/>
      <c r="J839" s="49"/>
      <c r="K839" s="49"/>
      <c r="L839" s="49"/>
      <c r="M839" s="49"/>
      <c r="N839" s="49"/>
      <c r="O839" s="49"/>
      <c r="P839" s="49"/>
      <c r="Q839" s="49"/>
      <c r="R839" s="49"/>
      <c r="S839" s="49"/>
      <c r="T839" s="49"/>
      <c r="U839" s="49"/>
      <c r="V839" s="49"/>
      <c r="W839" s="49"/>
      <c r="X839" s="49"/>
      <c r="Y839" s="49"/>
      <c r="Z839" s="49"/>
      <c r="AA839" s="49"/>
      <c r="AB839" s="49"/>
      <c r="AC839" s="49"/>
      <c r="AD839" s="49"/>
    </row>
    <row r="840" spans="1:30" ht="13">
      <c r="A840" s="141"/>
      <c r="B840" s="141"/>
      <c r="C840" s="141"/>
      <c r="D840" s="49"/>
      <c r="E840" s="49"/>
      <c r="F840" s="49"/>
      <c r="G840" s="49"/>
      <c r="H840" s="49"/>
      <c r="I840" s="49"/>
      <c r="J840" s="49"/>
      <c r="K840" s="49"/>
      <c r="L840" s="49"/>
      <c r="M840" s="49"/>
      <c r="N840" s="49"/>
      <c r="O840" s="49"/>
      <c r="P840" s="49"/>
      <c r="Q840" s="49"/>
      <c r="R840" s="49"/>
      <c r="S840" s="49"/>
      <c r="T840" s="49"/>
      <c r="U840" s="49"/>
      <c r="V840" s="49"/>
      <c r="W840" s="49"/>
      <c r="X840" s="49"/>
      <c r="Y840" s="49"/>
      <c r="Z840" s="49"/>
      <c r="AA840" s="49"/>
      <c r="AB840" s="49"/>
      <c r="AC840" s="49"/>
      <c r="AD840" s="49"/>
    </row>
    <row r="841" spans="1:30" ht="13">
      <c r="A841" s="141"/>
      <c r="B841" s="141"/>
      <c r="C841" s="141"/>
      <c r="D841" s="49"/>
      <c r="E841" s="49"/>
      <c r="F841" s="49"/>
      <c r="G841" s="49"/>
      <c r="H841" s="49"/>
      <c r="I841" s="49"/>
      <c r="J841" s="49"/>
      <c r="K841" s="49"/>
      <c r="L841" s="49"/>
      <c r="M841" s="49"/>
      <c r="N841" s="49"/>
      <c r="O841" s="49"/>
      <c r="P841" s="49"/>
      <c r="Q841" s="49"/>
      <c r="R841" s="49"/>
      <c r="S841" s="49"/>
      <c r="T841" s="49"/>
      <c r="U841" s="49"/>
      <c r="V841" s="49"/>
      <c r="W841" s="49"/>
      <c r="X841" s="49"/>
      <c r="Y841" s="49"/>
      <c r="Z841" s="49"/>
      <c r="AA841" s="49"/>
      <c r="AB841" s="49"/>
      <c r="AC841" s="49"/>
      <c r="AD841" s="49"/>
    </row>
    <row r="842" spans="1:30" ht="13">
      <c r="A842" s="141"/>
      <c r="B842" s="141"/>
      <c r="C842" s="141"/>
      <c r="D842" s="49"/>
      <c r="E842" s="49"/>
      <c r="F842" s="49"/>
      <c r="G842" s="49"/>
      <c r="H842" s="49"/>
      <c r="I842" s="49"/>
      <c r="J842" s="49"/>
      <c r="K842" s="49"/>
      <c r="L842" s="49"/>
      <c r="M842" s="49"/>
      <c r="N842" s="49"/>
      <c r="O842" s="49"/>
      <c r="P842" s="49"/>
      <c r="Q842" s="49"/>
      <c r="R842" s="49"/>
      <c r="S842" s="49"/>
      <c r="T842" s="49"/>
      <c r="U842" s="49"/>
      <c r="V842" s="49"/>
      <c r="W842" s="49"/>
      <c r="X842" s="49"/>
      <c r="Y842" s="49"/>
      <c r="Z842" s="49"/>
      <c r="AA842" s="49"/>
      <c r="AB842" s="49"/>
      <c r="AC842" s="49"/>
      <c r="AD842" s="49"/>
    </row>
    <row r="843" spans="1:30" ht="13">
      <c r="A843" s="141"/>
      <c r="B843" s="141"/>
      <c r="C843" s="141"/>
      <c r="D843" s="49"/>
      <c r="E843" s="49"/>
      <c r="F843" s="49"/>
      <c r="G843" s="49"/>
      <c r="H843" s="49"/>
      <c r="I843" s="49"/>
      <c r="J843" s="49"/>
      <c r="K843" s="49"/>
      <c r="L843" s="49"/>
      <c r="M843" s="49"/>
      <c r="N843" s="49"/>
      <c r="O843" s="49"/>
      <c r="P843" s="49"/>
      <c r="Q843" s="49"/>
      <c r="R843" s="49"/>
      <c r="S843" s="49"/>
      <c r="T843" s="49"/>
      <c r="U843" s="49"/>
      <c r="V843" s="49"/>
      <c r="W843" s="49"/>
      <c r="X843" s="49"/>
      <c r="Y843" s="49"/>
      <c r="Z843" s="49"/>
      <c r="AA843" s="49"/>
      <c r="AB843" s="49"/>
      <c r="AC843" s="49"/>
      <c r="AD843" s="49"/>
    </row>
    <row r="844" spans="1:30" ht="13">
      <c r="A844" s="141"/>
      <c r="B844" s="141"/>
      <c r="C844" s="141"/>
      <c r="D844" s="49"/>
      <c r="E844" s="49"/>
      <c r="F844" s="49"/>
      <c r="G844" s="49"/>
      <c r="H844" s="49"/>
      <c r="I844" s="49"/>
      <c r="J844" s="49"/>
      <c r="K844" s="49"/>
      <c r="L844" s="49"/>
      <c r="M844" s="49"/>
      <c r="N844" s="49"/>
      <c r="O844" s="49"/>
      <c r="P844" s="49"/>
      <c r="Q844" s="49"/>
      <c r="R844" s="49"/>
      <c r="S844" s="49"/>
      <c r="T844" s="49"/>
      <c r="U844" s="49"/>
      <c r="V844" s="49"/>
      <c r="W844" s="49"/>
      <c r="X844" s="49"/>
      <c r="Y844" s="49"/>
      <c r="Z844" s="49"/>
      <c r="AA844" s="49"/>
      <c r="AB844" s="49"/>
      <c r="AC844" s="49"/>
      <c r="AD844" s="49"/>
    </row>
    <row r="845" spans="1:30" ht="13">
      <c r="A845" s="141"/>
      <c r="B845" s="141"/>
      <c r="C845" s="141"/>
      <c r="D845" s="49"/>
      <c r="E845" s="49"/>
      <c r="F845" s="49"/>
      <c r="G845" s="49"/>
      <c r="H845" s="49"/>
      <c r="I845" s="49"/>
      <c r="J845" s="49"/>
      <c r="K845" s="49"/>
      <c r="L845" s="49"/>
      <c r="M845" s="49"/>
      <c r="N845" s="49"/>
      <c r="O845" s="49"/>
      <c r="P845" s="49"/>
      <c r="Q845" s="49"/>
      <c r="R845" s="49"/>
      <c r="S845" s="49"/>
      <c r="T845" s="49"/>
      <c r="U845" s="49"/>
      <c r="V845" s="49"/>
      <c r="W845" s="49"/>
      <c r="X845" s="49"/>
      <c r="Y845" s="49"/>
      <c r="Z845" s="49"/>
      <c r="AA845" s="49"/>
      <c r="AB845" s="49"/>
      <c r="AC845" s="49"/>
      <c r="AD845" s="49"/>
    </row>
    <row r="846" spans="1:30" ht="13">
      <c r="A846" s="141"/>
      <c r="B846" s="141"/>
      <c r="C846" s="141"/>
      <c r="D846" s="49"/>
      <c r="E846" s="49"/>
      <c r="F846" s="49"/>
      <c r="G846" s="49"/>
      <c r="H846" s="49"/>
      <c r="I846" s="49"/>
      <c r="J846" s="49"/>
      <c r="K846" s="49"/>
      <c r="L846" s="49"/>
      <c r="M846" s="49"/>
      <c r="N846" s="49"/>
      <c r="O846" s="49"/>
      <c r="P846" s="49"/>
      <c r="Q846" s="49"/>
      <c r="R846" s="49"/>
      <c r="S846" s="49"/>
      <c r="T846" s="49"/>
      <c r="U846" s="49"/>
      <c r="V846" s="49"/>
      <c r="W846" s="49"/>
      <c r="X846" s="49"/>
      <c r="Y846" s="49"/>
      <c r="Z846" s="49"/>
      <c r="AA846" s="49"/>
      <c r="AB846" s="49"/>
      <c r="AC846" s="49"/>
      <c r="AD846" s="49"/>
    </row>
    <row r="847" spans="1:30" ht="13">
      <c r="A847" s="141"/>
      <c r="B847" s="141"/>
      <c r="C847" s="141"/>
      <c r="D847" s="49"/>
      <c r="E847" s="49"/>
      <c r="F847" s="49"/>
      <c r="G847" s="49"/>
      <c r="H847" s="49"/>
      <c r="I847" s="49"/>
      <c r="J847" s="49"/>
      <c r="K847" s="49"/>
      <c r="L847" s="49"/>
      <c r="M847" s="49"/>
      <c r="N847" s="49"/>
      <c r="O847" s="49"/>
      <c r="P847" s="49"/>
      <c r="Q847" s="49"/>
      <c r="R847" s="49"/>
      <c r="S847" s="49"/>
      <c r="T847" s="49"/>
      <c r="U847" s="49"/>
      <c r="V847" s="49"/>
      <c r="W847" s="49"/>
      <c r="X847" s="49"/>
      <c r="Y847" s="49"/>
      <c r="Z847" s="49"/>
      <c r="AA847" s="49"/>
      <c r="AB847" s="49"/>
      <c r="AC847" s="49"/>
      <c r="AD847" s="49"/>
    </row>
    <row r="848" spans="1:30" ht="13">
      <c r="A848" s="141"/>
      <c r="B848" s="141"/>
      <c r="C848" s="141"/>
      <c r="D848" s="49"/>
      <c r="E848" s="49"/>
      <c r="F848" s="49"/>
      <c r="G848" s="49"/>
      <c r="H848" s="49"/>
      <c r="I848" s="49"/>
      <c r="J848" s="49"/>
      <c r="K848" s="49"/>
      <c r="L848" s="49"/>
      <c r="M848" s="49"/>
      <c r="N848" s="49"/>
      <c r="O848" s="49"/>
      <c r="P848" s="49"/>
      <c r="Q848" s="49"/>
      <c r="R848" s="49"/>
      <c r="S848" s="49"/>
      <c r="T848" s="49"/>
      <c r="U848" s="49"/>
      <c r="V848" s="49"/>
      <c r="W848" s="49"/>
      <c r="X848" s="49"/>
      <c r="Y848" s="49"/>
      <c r="Z848" s="49"/>
      <c r="AA848" s="49"/>
      <c r="AB848" s="49"/>
      <c r="AC848" s="49"/>
      <c r="AD848" s="49"/>
    </row>
    <row r="849" spans="1:30" ht="13">
      <c r="A849" s="141"/>
      <c r="B849" s="141"/>
      <c r="C849" s="141"/>
      <c r="D849" s="49"/>
      <c r="E849" s="49"/>
      <c r="F849" s="49"/>
      <c r="G849" s="49"/>
      <c r="H849" s="49"/>
      <c r="I849" s="49"/>
      <c r="J849" s="49"/>
      <c r="K849" s="49"/>
      <c r="L849" s="49"/>
      <c r="M849" s="49"/>
      <c r="N849" s="49"/>
      <c r="O849" s="49"/>
      <c r="P849" s="49"/>
      <c r="Q849" s="49"/>
      <c r="R849" s="49"/>
      <c r="S849" s="49"/>
      <c r="T849" s="49"/>
      <c r="U849" s="49"/>
      <c r="V849" s="49"/>
      <c r="W849" s="49"/>
      <c r="X849" s="49"/>
      <c r="Y849" s="49"/>
      <c r="Z849" s="49"/>
      <c r="AA849" s="49"/>
      <c r="AB849" s="49"/>
      <c r="AC849" s="49"/>
      <c r="AD849" s="49"/>
    </row>
    <row r="850" spans="1:30" ht="13">
      <c r="A850" s="141"/>
      <c r="B850" s="141"/>
      <c r="C850" s="141"/>
      <c r="D850" s="49"/>
      <c r="E850" s="49"/>
      <c r="F850" s="49"/>
      <c r="G850" s="49"/>
      <c r="H850" s="49"/>
      <c r="I850" s="49"/>
      <c r="J850" s="49"/>
      <c r="K850" s="49"/>
      <c r="L850" s="49"/>
      <c r="M850" s="49"/>
      <c r="N850" s="49"/>
      <c r="O850" s="49"/>
      <c r="P850" s="49"/>
      <c r="Q850" s="49"/>
      <c r="R850" s="49"/>
      <c r="S850" s="49"/>
      <c r="T850" s="49"/>
      <c r="U850" s="49"/>
      <c r="V850" s="49"/>
      <c r="W850" s="49"/>
      <c r="X850" s="49"/>
      <c r="Y850" s="49"/>
      <c r="Z850" s="49"/>
      <c r="AA850" s="49"/>
      <c r="AB850" s="49"/>
      <c r="AC850" s="49"/>
      <c r="AD850" s="49"/>
    </row>
    <row r="851" spans="1:30" ht="13">
      <c r="A851" s="141"/>
      <c r="B851" s="141"/>
      <c r="C851" s="141"/>
      <c r="D851" s="49"/>
      <c r="E851" s="49"/>
      <c r="F851" s="49"/>
      <c r="G851" s="49"/>
      <c r="H851" s="49"/>
      <c r="I851" s="49"/>
      <c r="J851" s="49"/>
      <c r="K851" s="49"/>
      <c r="L851" s="49"/>
      <c r="M851" s="49"/>
      <c r="N851" s="49"/>
      <c r="O851" s="49"/>
      <c r="P851" s="49"/>
      <c r="Q851" s="49"/>
      <c r="R851" s="49"/>
      <c r="S851" s="49"/>
      <c r="T851" s="49"/>
      <c r="U851" s="49"/>
      <c r="V851" s="49"/>
      <c r="W851" s="49"/>
      <c r="X851" s="49"/>
      <c r="Y851" s="49"/>
      <c r="Z851" s="49"/>
      <c r="AA851" s="49"/>
      <c r="AB851" s="49"/>
      <c r="AC851" s="49"/>
      <c r="AD851" s="49"/>
    </row>
    <row r="852" spans="1:30" ht="13">
      <c r="A852" s="141"/>
      <c r="B852" s="141"/>
      <c r="C852" s="141"/>
      <c r="D852" s="49"/>
      <c r="E852" s="49"/>
      <c r="F852" s="49"/>
      <c r="G852" s="49"/>
      <c r="H852" s="49"/>
      <c r="I852" s="49"/>
      <c r="J852" s="49"/>
      <c r="K852" s="49"/>
      <c r="L852" s="49"/>
      <c r="M852" s="49"/>
      <c r="N852" s="49"/>
      <c r="O852" s="49"/>
      <c r="P852" s="49"/>
      <c r="Q852" s="49"/>
      <c r="R852" s="49"/>
      <c r="S852" s="49"/>
      <c r="T852" s="49"/>
      <c r="U852" s="49"/>
      <c r="V852" s="49"/>
      <c r="W852" s="49"/>
      <c r="X852" s="49"/>
      <c r="Y852" s="49"/>
      <c r="Z852" s="49"/>
      <c r="AA852" s="49"/>
      <c r="AB852" s="49"/>
      <c r="AC852" s="49"/>
      <c r="AD852" s="49"/>
    </row>
    <row r="853" spans="1:30" ht="13">
      <c r="A853" s="141"/>
      <c r="B853" s="141"/>
      <c r="C853" s="141"/>
      <c r="D853" s="49"/>
      <c r="E853" s="49"/>
      <c r="F853" s="49"/>
      <c r="G853" s="49"/>
      <c r="H853" s="49"/>
      <c r="I853" s="49"/>
      <c r="J853" s="49"/>
      <c r="K853" s="49"/>
      <c r="L853" s="49"/>
      <c r="M853" s="49"/>
      <c r="N853" s="49"/>
      <c r="O853" s="49"/>
      <c r="P853" s="49"/>
      <c r="Q853" s="49"/>
      <c r="R853" s="49"/>
      <c r="S853" s="49"/>
      <c r="T853" s="49"/>
      <c r="U853" s="49"/>
      <c r="V853" s="49"/>
      <c r="W853" s="49"/>
      <c r="X853" s="49"/>
      <c r="Y853" s="49"/>
      <c r="Z853" s="49"/>
      <c r="AA853" s="49"/>
      <c r="AB853" s="49"/>
      <c r="AC853" s="49"/>
      <c r="AD853" s="49"/>
    </row>
    <row r="854" spans="1:30" ht="13">
      <c r="A854" s="141"/>
      <c r="B854" s="141"/>
      <c r="C854" s="141"/>
      <c r="D854" s="49"/>
      <c r="E854" s="49"/>
      <c r="F854" s="49"/>
      <c r="G854" s="49"/>
      <c r="H854" s="49"/>
      <c r="I854" s="49"/>
      <c r="J854" s="49"/>
      <c r="K854" s="49"/>
      <c r="L854" s="49"/>
      <c r="M854" s="49"/>
      <c r="N854" s="49"/>
      <c r="O854" s="49"/>
      <c r="P854" s="49"/>
      <c r="Q854" s="49"/>
      <c r="R854" s="49"/>
      <c r="S854" s="49"/>
      <c r="T854" s="49"/>
      <c r="U854" s="49"/>
      <c r="V854" s="49"/>
      <c r="W854" s="49"/>
      <c r="X854" s="49"/>
      <c r="Y854" s="49"/>
      <c r="Z854" s="49"/>
      <c r="AA854" s="49"/>
      <c r="AB854" s="49"/>
      <c r="AC854" s="49"/>
      <c r="AD854" s="49"/>
    </row>
    <row r="855" spans="1:30" ht="13">
      <c r="A855" s="141"/>
      <c r="B855" s="141"/>
      <c r="C855" s="141"/>
      <c r="D855" s="49"/>
      <c r="E855" s="49"/>
      <c r="F855" s="49"/>
      <c r="G855" s="49"/>
      <c r="H855" s="49"/>
      <c r="I855" s="49"/>
      <c r="J855" s="49"/>
      <c r="K855" s="49"/>
      <c r="L855" s="49"/>
      <c r="M855" s="49"/>
      <c r="N855" s="49"/>
      <c r="O855" s="49"/>
      <c r="P855" s="49"/>
      <c r="Q855" s="49"/>
      <c r="R855" s="49"/>
      <c r="S855" s="49"/>
      <c r="T855" s="49"/>
      <c r="U855" s="49"/>
      <c r="V855" s="49"/>
      <c r="W855" s="49"/>
      <c r="X855" s="49"/>
      <c r="Y855" s="49"/>
      <c r="Z855" s="49"/>
      <c r="AA855" s="49"/>
      <c r="AB855" s="49"/>
      <c r="AC855" s="49"/>
      <c r="AD855" s="49"/>
    </row>
    <row r="856" spans="1:30" ht="13">
      <c r="A856" s="141"/>
      <c r="B856" s="141"/>
      <c r="C856" s="141"/>
      <c r="D856" s="49"/>
      <c r="E856" s="49"/>
      <c r="F856" s="49"/>
      <c r="G856" s="49"/>
      <c r="H856" s="49"/>
      <c r="I856" s="49"/>
      <c r="J856" s="49"/>
      <c r="K856" s="49"/>
      <c r="L856" s="49"/>
      <c r="M856" s="49"/>
      <c r="N856" s="49"/>
      <c r="O856" s="49"/>
      <c r="P856" s="49"/>
      <c r="Q856" s="49"/>
      <c r="R856" s="49"/>
      <c r="S856" s="49"/>
      <c r="T856" s="49"/>
      <c r="U856" s="49"/>
      <c r="V856" s="49"/>
      <c r="W856" s="49"/>
      <c r="X856" s="49"/>
      <c r="Y856" s="49"/>
      <c r="Z856" s="49"/>
      <c r="AA856" s="49"/>
      <c r="AB856" s="49"/>
      <c r="AC856" s="49"/>
      <c r="AD856" s="49"/>
    </row>
    <row r="857" spans="1:30" ht="13">
      <c r="A857" s="141"/>
      <c r="B857" s="141"/>
      <c r="C857" s="141"/>
      <c r="D857" s="49"/>
      <c r="E857" s="49"/>
      <c r="F857" s="49"/>
      <c r="G857" s="49"/>
      <c r="H857" s="49"/>
      <c r="I857" s="49"/>
      <c r="J857" s="49"/>
      <c r="K857" s="49"/>
      <c r="L857" s="49"/>
      <c r="M857" s="49"/>
      <c r="N857" s="49"/>
      <c r="O857" s="49"/>
      <c r="P857" s="49"/>
      <c r="Q857" s="49"/>
      <c r="R857" s="49"/>
      <c r="S857" s="49"/>
      <c r="T857" s="49"/>
      <c r="U857" s="49"/>
      <c r="V857" s="49"/>
      <c r="W857" s="49"/>
      <c r="X857" s="49"/>
      <c r="Y857" s="49"/>
      <c r="Z857" s="49"/>
      <c r="AA857" s="49"/>
      <c r="AB857" s="49"/>
      <c r="AC857" s="49"/>
      <c r="AD857" s="49"/>
    </row>
    <row r="858" spans="1:30" ht="13">
      <c r="A858" s="141"/>
      <c r="B858" s="141"/>
      <c r="C858" s="141"/>
      <c r="D858" s="49"/>
      <c r="E858" s="49"/>
      <c r="F858" s="49"/>
      <c r="G858" s="49"/>
      <c r="H858" s="49"/>
      <c r="I858" s="49"/>
      <c r="J858" s="49"/>
      <c r="K858" s="49"/>
      <c r="L858" s="49"/>
      <c r="M858" s="49"/>
      <c r="N858" s="49"/>
      <c r="O858" s="49"/>
      <c r="P858" s="49"/>
      <c r="Q858" s="49"/>
      <c r="R858" s="49"/>
      <c r="S858" s="49"/>
      <c r="T858" s="49"/>
      <c r="U858" s="49"/>
      <c r="V858" s="49"/>
      <c r="W858" s="49"/>
      <c r="X858" s="49"/>
      <c r="Y858" s="49"/>
      <c r="Z858" s="49"/>
      <c r="AA858" s="49"/>
      <c r="AB858" s="49"/>
      <c r="AC858" s="49"/>
      <c r="AD858" s="49"/>
    </row>
    <row r="859" spans="1:30" ht="13">
      <c r="A859" s="141"/>
      <c r="B859" s="141"/>
      <c r="C859" s="141"/>
      <c r="D859" s="49"/>
      <c r="E859" s="49"/>
      <c r="F859" s="49"/>
      <c r="G859" s="49"/>
      <c r="H859" s="49"/>
      <c r="I859" s="49"/>
      <c r="J859" s="49"/>
      <c r="K859" s="49"/>
      <c r="L859" s="49"/>
      <c r="M859" s="49"/>
      <c r="N859" s="49"/>
      <c r="O859" s="49"/>
      <c r="P859" s="49"/>
      <c r="Q859" s="49"/>
      <c r="R859" s="49"/>
      <c r="S859" s="49"/>
      <c r="T859" s="49"/>
      <c r="U859" s="49"/>
      <c r="V859" s="49"/>
      <c r="W859" s="49"/>
      <c r="X859" s="49"/>
      <c r="Y859" s="49"/>
      <c r="Z859" s="49"/>
      <c r="AA859" s="49"/>
      <c r="AB859" s="49"/>
      <c r="AC859" s="49"/>
      <c r="AD859" s="49"/>
    </row>
    <row r="860" spans="1:30" ht="13">
      <c r="A860" s="141"/>
      <c r="B860" s="141"/>
      <c r="C860" s="141"/>
      <c r="D860" s="49"/>
      <c r="E860" s="49"/>
      <c r="F860" s="49"/>
      <c r="G860" s="49"/>
      <c r="H860" s="49"/>
      <c r="I860" s="49"/>
      <c r="J860" s="49"/>
      <c r="K860" s="49"/>
      <c r="L860" s="49"/>
      <c r="M860" s="49"/>
      <c r="N860" s="49"/>
      <c r="O860" s="49"/>
      <c r="P860" s="49"/>
      <c r="Q860" s="49"/>
      <c r="R860" s="49"/>
      <c r="S860" s="49"/>
      <c r="T860" s="49"/>
      <c r="U860" s="49"/>
      <c r="V860" s="49"/>
      <c r="W860" s="49"/>
      <c r="X860" s="49"/>
      <c r="Y860" s="49"/>
      <c r="Z860" s="49"/>
      <c r="AA860" s="49"/>
      <c r="AB860" s="49"/>
      <c r="AC860" s="49"/>
      <c r="AD860" s="49"/>
    </row>
    <row r="861" spans="1:30" ht="13">
      <c r="A861" s="141"/>
      <c r="B861" s="141"/>
      <c r="C861" s="141"/>
      <c r="D861" s="49"/>
      <c r="E861" s="49"/>
      <c r="F861" s="49"/>
      <c r="G861" s="49"/>
      <c r="H861" s="49"/>
      <c r="I861" s="49"/>
      <c r="J861" s="49"/>
      <c r="K861" s="49"/>
      <c r="L861" s="49"/>
      <c r="M861" s="49"/>
      <c r="N861" s="49"/>
      <c r="O861" s="49"/>
      <c r="P861" s="49"/>
      <c r="Q861" s="49"/>
      <c r="R861" s="49"/>
      <c r="S861" s="49"/>
      <c r="T861" s="49"/>
      <c r="U861" s="49"/>
      <c r="V861" s="49"/>
      <c r="W861" s="49"/>
      <c r="X861" s="49"/>
      <c r="Y861" s="49"/>
      <c r="Z861" s="49"/>
      <c r="AA861" s="49"/>
      <c r="AB861" s="49"/>
      <c r="AC861" s="49"/>
      <c r="AD861" s="49"/>
    </row>
    <row r="862" spans="1:30" ht="13">
      <c r="A862" s="141"/>
      <c r="B862" s="141"/>
      <c r="C862" s="141"/>
      <c r="D862" s="49"/>
      <c r="E862" s="49"/>
      <c r="F862" s="49"/>
      <c r="G862" s="49"/>
      <c r="H862" s="49"/>
      <c r="I862" s="49"/>
      <c r="J862" s="49"/>
      <c r="K862" s="49"/>
      <c r="L862" s="49"/>
      <c r="M862" s="49"/>
      <c r="N862" s="49"/>
      <c r="O862" s="49"/>
      <c r="P862" s="49"/>
      <c r="Q862" s="49"/>
      <c r="R862" s="49"/>
      <c r="S862" s="49"/>
      <c r="T862" s="49"/>
      <c r="U862" s="49"/>
      <c r="V862" s="49"/>
      <c r="W862" s="49"/>
      <c r="X862" s="49"/>
      <c r="Y862" s="49"/>
      <c r="Z862" s="49"/>
      <c r="AA862" s="49"/>
      <c r="AB862" s="49"/>
      <c r="AC862" s="49"/>
      <c r="AD862" s="49"/>
    </row>
    <row r="863" spans="1:30" ht="13">
      <c r="A863" s="141"/>
      <c r="B863" s="141"/>
      <c r="C863" s="141"/>
      <c r="D863" s="49"/>
      <c r="E863" s="49"/>
      <c r="F863" s="49"/>
      <c r="G863" s="49"/>
      <c r="H863" s="49"/>
      <c r="I863" s="49"/>
      <c r="J863" s="49"/>
      <c r="K863" s="49"/>
      <c r="L863" s="49"/>
      <c r="M863" s="49"/>
      <c r="N863" s="49"/>
      <c r="O863" s="49"/>
      <c r="P863" s="49"/>
      <c r="Q863" s="49"/>
      <c r="R863" s="49"/>
      <c r="S863" s="49"/>
      <c r="T863" s="49"/>
      <c r="U863" s="49"/>
      <c r="V863" s="49"/>
      <c r="W863" s="49"/>
      <c r="X863" s="49"/>
      <c r="Y863" s="49"/>
      <c r="Z863" s="49"/>
      <c r="AA863" s="49"/>
      <c r="AB863" s="49"/>
      <c r="AC863" s="49"/>
      <c r="AD863" s="49"/>
    </row>
    <row r="864" spans="1:30" ht="13">
      <c r="A864" s="141"/>
      <c r="B864" s="141"/>
      <c r="C864" s="141"/>
      <c r="D864" s="49"/>
      <c r="E864" s="49"/>
      <c r="F864" s="49"/>
      <c r="G864" s="49"/>
      <c r="H864" s="49"/>
      <c r="I864" s="49"/>
      <c r="J864" s="49"/>
      <c r="K864" s="49"/>
      <c r="L864" s="49"/>
      <c r="M864" s="49"/>
      <c r="N864" s="49"/>
      <c r="O864" s="49"/>
      <c r="P864" s="49"/>
      <c r="Q864" s="49"/>
      <c r="R864" s="49"/>
      <c r="S864" s="49"/>
      <c r="T864" s="49"/>
      <c r="U864" s="49"/>
      <c r="V864" s="49"/>
      <c r="W864" s="49"/>
      <c r="X864" s="49"/>
      <c r="Y864" s="49"/>
      <c r="Z864" s="49"/>
      <c r="AA864" s="49"/>
      <c r="AB864" s="49"/>
      <c r="AC864" s="49"/>
      <c r="AD864" s="49"/>
    </row>
    <row r="865" spans="1:30" ht="13">
      <c r="A865" s="141"/>
      <c r="B865" s="141"/>
      <c r="C865" s="141"/>
      <c r="D865" s="49"/>
      <c r="E865" s="49"/>
      <c r="F865" s="49"/>
      <c r="G865" s="49"/>
      <c r="H865" s="49"/>
      <c r="I865" s="49"/>
      <c r="J865" s="49"/>
      <c r="K865" s="49"/>
      <c r="L865" s="49"/>
      <c r="M865" s="49"/>
      <c r="N865" s="49"/>
      <c r="O865" s="49"/>
      <c r="P865" s="49"/>
      <c r="Q865" s="49"/>
      <c r="R865" s="49"/>
      <c r="S865" s="49"/>
      <c r="T865" s="49"/>
      <c r="U865" s="49"/>
      <c r="V865" s="49"/>
      <c r="W865" s="49"/>
      <c r="X865" s="49"/>
      <c r="Y865" s="49"/>
      <c r="Z865" s="49"/>
      <c r="AA865" s="49"/>
      <c r="AB865" s="49"/>
      <c r="AC865" s="49"/>
      <c r="AD865" s="49"/>
    </row>
    <row r="866" spans="1:30" ht="13">
      <c r="A866" s="141"/>
      <c r="B866" s="141"/>
      <c r="C866" s="141"/>
      <c r="D866" s="49"/>
      <c r="E866" s="49"/>
      <c r="F866" s="49"/>
      <c r="G866" s="49"/>
      <c r="H866" s="49"/>
      <c r="I866" s="49"/>
      <c r="J866" s="49"/>
      <c r="K866" s="49"/>
      <c r="L866" s="49"/>
      <c r="M866" s="49"/>
      <c r="N866" s="49"/>
      <c r="O866" s="49"/>
      <c r="P866" s="49"/>
      <c r="Q866" s="49"/>
      <c r="R866" s="49"/>
      <c r="S866" s="49"/>
      <c r="T866" s="49"/>
      <c r="U866" s="49"/>
      <c r="V866" s="49"/>
      <c r="W866" s="49"/>
      <c r="X866" s="49"/>
      <c r="Y866" s="49"/>
      <c r="Z866" s="49"/>
      <c r="AA866" s="49"/>
      <c r="AB866" s="49"/>
      <c r="AC866" s="49"/>
      <c r="AD866" s="49"/>
    </row>
    <row r="867" spans="1:30" ht="13">
      <c r="A867" s="141"/>
      <c r="B867" s="141"/>
      <c r="C867" s="141"/>
      <c r="D867" s="49"/>
      <c r="E867" s="49"/>
      <c r="F867" s="49"/>
      <c r="G867" s="49"/>
      <c r="H867" s="49"/>
      <c r="I867" s="49"/>
      <c r="J867" s="49"/>
      <c r="K867" s="49"/>
      <c r="L867" s="49"/>
      <c r="M867" s="49"/>
      <c r="N867" s="49"/>
      <c r="O867" s="49"/>
      <c r="P867" s="49"/>
      <c r="Q867" s="49"/>
      <c r="R867" s="49"/>
      <c r="S867" s="49"/>
      <c r="T867" s="49"/>
      <c r="U867" s="49"/>
      <c r="V867" s="49"/>
      <c r="W867" s="49"/>
      <c r="X867" s="49"/>
      <c r="Y867" s="49"/>
      <c r="Z867" s="49"/>
      <c r="AA867" s="49"/>
      <c r="AB867" s="49"/>
      <c r="AC867" s="49"/>
      <c r="AD867" s="49"/>
    </row>
    <row r="868" spans="1:30" ht="13">
      <c r="A868" s="141"/>
      <c r="B868" s="141"/>
      <c r="C868" s="141"/>
      <c r="D868" s="49"/>
      <c r="E868" s="49"/>
      <c r="F868" s="49"/>
      <c r="G868" s="49"/>
      <c r="H868" s="49"/>
      <c r="I868" s="49"/>
      <c r="J868" s="49"/>
      <c r="K868" s="49"/>
      <c r="L868" s="49"/>
      <c r="M868" s="49"/>
      <c r="N868" s="49"/>
      <c r="O868" s="49"/>
      <c r="P868" s="49"/>
      <c r="Q868" s="49"/>
      <c r="R868" s="49"/>
      <c r="S868" s="49"/>
      <c r="T868" s="49"/>
      <c r="U868" s="49"/>
      <c r="V868" s="49"/>
      <c r="W868" s="49"/>
      <c r="X868" s="49"/>
      <c r="Y868" s="49"/>
      <c r="Z868" s="49"/>
      <c r="AA868" s="49"/>
      <c r="AB868" s="49"/>
      <c r="AC868" s="49"/>
      <c r="AD868" s="49"/>
    </row>
    <row r="869" spans="1:30" ht="13">
      <c r="A869" s="141"/>
      <c r="B869" s="141"/>
      <c r="C869" s="141"/>
      <c r="D869" s="49"/>
      <c r="E869" s="49"/>
      <c r="F869" s="49"/>
      <c r="G869" s="49"/>
      <c r="H869" s="49"/>
      <c r="I869" s="49"/>
      <c r="J869" s="49"/>
      <c r="K869" s="49"/>
      <c r="L869" s="49"/>
      <c r="M869" s="49"/>
      <c r="N869" s="49"/>
      <c r="O869" s="49"/>
      <c r="P869" s="49"/>
      <c r="Q869" s="49"/>
      <c r="R869" s="49"/>
      <c r="S869" s="49"/>
      <c r="T869" s="49"/>
      <c r="U869" s="49"/>
      <c r="V869" s="49"/>
      <c r="W869" s="49"/>
      <c r="X869" s="49"/>
      <c r="Y869" s="49"/>
      <c r="Z869" s="49"/>
      <c r="AA869" s="49"/>
      <c r="AB869" s="49"/>
      <c r="AC869" s="49"/>
      <c r="AD869" s="49"/>
    </row>
    <row r="870" spans="1:30" ht="13">
      <c r="A870" s="141"/>
      <c r="B870" s="141"/>
      <c r="C870" s="141"/>
      <c r="D870" s="49"/>
      <c r="E870" s="49"/>
      <c r="F870" s="49"/>
      <c r="G870" s="49"/>
      <c r="H870" s="49"/>
      <c r="I870" s="49"/>
      <c r="J870" s="49"/>
      <c r="K870" s="49"/>
      <c r="L870" s="49"/>
      <c r="M870" s="49"/>
      <c r="N870" s="49"/>
      <c r="O870" s="49"/>
      <c r="P870" s="49"/>
      <c r="Q870" s="49"/>
      <c r="R870" s="49"/>
      <c r="S870" s="49"/>
      <c r="T870" s="49"/>
      <c r="U870" s="49"/>
      <c r="V870" s="49"/>
      <c r="W870" s="49"/>
      <c r="X870" s="49"/>
      <c r="Y870" s="49"/>
      <c r="Z870" s="49"/>
      <c r="AA870" s="49"/>
      <c r="AB870" s="49"/>
      <c r="AC870" s="49"/>
      <c r="AD870" s="49"/>
    </row>
    <row r="871" spans="1:30" ht="13">
      <c r="A871" s="141"/>
      <c r="B871" s="141"/>
      <c r="C871" s="141"/>
      <c r="D871" s="49"/>
      <c r="E871" s="49"/>
      <c r="F871" s="49"/>
      <c r="G871" s="49"/>
      <c r="H871" s="49"/>
      <c r="I871" s="49"/>
      <c r="J871" s="49"/>
      <c r="K871" s="49"/>
      <c r="L871" s="49"/>
      <c r="M871" s="49"/>
      <c r="N871" s="49"/>
      <c r="O871" s="49"/>
      <c r="P871" s="49"/>
      <c r="Q871" s="49"/>
      <c r="R871" s="49"/>
      <c r="S871" s="49"/>
      <c r="T871" s="49"/>
      <c r="U871" s="49"/>
      <c r="V871" s="49"/>
      <c r="W871" s="49"/>
      <c r="X871" s="49"/>
      <c r="Y871" s="49"/>
      <c r="Z871" s="49"/>
      <c r="AA871" s="49"/>
      <c r="AB871" s="49"/>
      <c r="AC871" s="49"/>
      <c r="AD871" s="49"/>
    </row>
    <row r="872" spans="1:30" ht="13">
      <c r="A872" s="141"/>
      <c r="B872" s="141"/>
      <c r="C872" s="141"/>
      <c r="D872" s="49"/>
      <c r="E872" s="49"/>
      <c r="F872" s="49"/>
      <c r="G872" s="49"/>
      <c r="H872" s="49"/>
      <c r="I872" s="49"/>
      <c r="J872" s="49"/>
      <c r="K872" s="49"/>
      <c r="L872" s="49"/>
      <c r="M872" s="49"/>
      <c r="N872" s="49"/>
      <c r="O872" s="49"/>
      <c r="P872" s="49"/>
      <c r="Q872" s="49"/>
      <c r="R872" s="49"/>
      <c r="S872" s="49"/>
      <c r="T872" s="49"/>
      <c r="U872" s="49"/>
      <c r="V872" s="49"/>
      <c r="W872" s="49"/>
      <c r="X872" s="49"/>
      <c r="Y872" s="49"/>
      <c r="Z872" s="49"/>
      <c r="AA872" s="49"/>
      <c r="AB872" s="49"/>
      <c r="AC872" s="49"/>
      <c r="AD872" s="49"/>
    </row>
    <row r="873" spans="1:30" ht="13">
      <c r="A873" s="141"/>
      <c r="B873" s="141"/>
      <c r="C873" s="141"/>
      <c r="D873" s="49"/>
      <c r="E873" s="49"/>
      <c r="F873" s="49"/>
      <c r="G873" s="49"/>
      <c r="H873" s="49"/>
      <c r="I873" s="49"/>
      <c r="J873" s="49"/>
      <c r="K873" s="49"/>
      <c r="L873" s="49"/>
      <c r="M873" s="49"/>
      <c r="N873" s="49"/>
      <c r="O873" s="49"/>
      <c r="P873" s="49"/>
      <c r="Q873" s="49"/>
      <c r="R873" s="49"/>
      <c r="S873" s="49"/>
      <c r="T873" s="49"/>
      <c r="U873" s="49"/>
      <c r="V873" s="49"/>
      <c r="W873" s="49"/>
      <c r="X873" s="49"/>
      <c r="Y873" s="49"/>
      <c r="Z873" s="49"/>
      <c r="AA873" s="49"/>
      <c r="AB873" s="49"/>
      <c r="AC873" s="49"/>
      <c r="AD873" s="49"/>
    </row>
    <row r="874" spans="1:30" ht="13">
      <c r="A874" s="141"/>
      <c r="B874" s="141"/>
      <c r="C874" s="141"/>
      <c r="D874" s="49"/>
      <c r="E874" s="49"/>
      <c r="F874" s="49"/>
      <c r="G874" s="49"/>
      <c r="H874" s="49"/>
      <c r="I874" s="49"/>
      <c r="J874" s="49"/>
      <c r="K874" s="49"/>
      <c r="L874" s="49"/>
      <c r="M874" s="49"/>
      <c r="N874" s="49"/>
      <c r="O874" s="49"/>
      <c r="P874" s="49"/>
      <c r="Q874" s="49"/>
      <c r="R874" s="49"/>
      <c r="S874" s="49"/>
      <c r="T874" s="49"/>
      <c r="U874" s="49"/>
      <c r="V874" s="49"/>
      <c r="W874" s="49"/>
      <c r="X874" s="49"/>
      <c r="Y874" s="49"/>
      <c r="Z874" s="49"/>
      <c r="AA874" s="49"/>
      <c r="AB874" s="49"/>
      <c r="AC874" s="49"/>
      <c r="AD874" s="49"/>
    </row>
    <row r="875" spans="1:30" ht="13">
      <c r="A875" s="141"/>
      <c r="B875" s="141"/>
      <c r="C875" s="141"/>
      <c r="D875" s="49"/>
      <c r="E875" s="49"/>
      <c r="F875" s="49"/>
      <c r="G875" s="49"/>
      <c r="H875" s="49"/>
      <c r="I875" s="49"/>
      <c r="J875" s="49"/>
      <c r="K875" s="49"/>
      <c r="L875" s="49"/>
      <c r="M875" s="49"/>
      <c r="N875" s="49"/>
      <c r="O875" s="49"/>
      <c r="P875" s="49"/>
      <c r="Q875" s="49"/>
      <c r="R875" s="49"/>
      <c r="S875" s="49"/>
      <c r="T875" s="49"/>
      <c r="U875" s="49"/>
      <c r="V875" s="49"/>
      <c r="W875" s="49"/>
      <c r="X875" s="49"/>
      <c r="Y875" s="49"/>
      <c r="Z875" s="49"/>
      <c r="AA875" s="49"/>
      <c r="AB875" s="49"/>
      <c r="AC875" s="49"/>
      <c r="AD875" s="49"/>
    </row>
    <row r="876" spans="1:30" ht="13">
      <c r="A876" s="141"/>
      <c r="B876" s="141"/>
      <c r="C876" s="141"/>
      <c r="D876" s="49"/>
      <c r="E876" s="49"/>
      <c r="F876" s="49"/>
      <c r="G876" s="49"/>
      <c r="H876" s="49"/>
      <c r="I876" s="49"/>
      <c r="J876" s="49"/>
      <c r="K876" s="49"/>
      <c r="L876" s="49"/>
      <c r="M876" s="49"/>
      <c r="N876" s="49"/>
      <c r="O876" s="49"/>
      <c r="P876" s="49"/>
      <c r="Q876" s="49"/>
      <c r="R876" s="49"/>
      <c r="S876" s="49"/>
      <c r="T876" s="49"/>
      <c r="U876" s="49"/>
      <c r="V876" s="49"/>
      <c r="W876" s="49"/>
      <c r="X876" s="49"/>
      <c r="Y876" s="49"/>
      <c r="Z876" s="49"/>
      <c r="AA876" s="49"/>
      <c r="AB876" s="49"/>
      <c r="AC876" s="49"/>
      <c r="AD876" s="49"/>
    </row>
    <row r="877" spans="1:30" ht="13">
      <c r="A877" s="141"/>
      <c r="B877" s="141"/>
      <c r="C877" s="141"/>
      <c r="D877" s="49"/>
      <c r="E877" s="49"/>
      <c r="F877" s="49"/>
      <c r="G877" s="49"/>
      <c r="H877" s="49"/>
      <c r="I877" s="49"/>
      <c r="J877" s="49"/>
      <c r="K877" s="49"/>
      <c r="L877" s="49"/>
      <c r="M877" s="49"/>
      <c r="N877" s="49"/>
      <c r="O877" s="49"/>
      <c r="P877" s="49"/>
      <c r="Q877" s="49"/>
      <c r="R877" s="49"/>
      <c r="S877" s="49"/>
      <c r="T877" s="49"/>
      <c r="U877" s="49"/>
      <c r="V877" s="49"/>
      <c r="W877" s="49"/>
      <c r="X877" s="49"/>
      <c r="Y877" s="49"/>
      <c r="Z877" s="49"/>
      <c r="AA877" s="49"/>
      <c r="AB877" s="49"/>
      <c r="AC877" s="49"/>
      <c r="AD877" s="49"/>
    </row>
    <row r="878" spans="1:30" ht="13">
      <c r="A878" s="141"/>
      <c r="B878" s="141"/>
      <c r="C878" s="141"/>
      <c r="D878" s="49"/>
      <c r="E878" s="49"/>
      <c r="F878" s="49"/>
      <c r="G878" s="49"/>
      <c r="H878" s="49"/>
      <c r="I878" s="49"/>
      <c r="J878" s="49"/>
      <c r="K878" s="49"/>
      <c r="L878" s="49"/>
      <c r="M878" s="49"/>
      <c r="N878" s="49"/>
      <c r="O878" s="49"/>
      <c r="P878" s="49"/>
      <c r="Q878" s="49"/>
      <c r="R878" s="49"/>
      <c r="S878" s="49"/>
      <c r="T878" s="49"/>
      <c r="U878" s="49"/>
      <c r="V878" s="49"/>
      <c r="W878" s="49"/>
      <c r="X878" s="49"/>
      <c r="Y878" s="49"/>
      <c r="Z878" s="49"/>
      <c r="AA878" s="49"/>
      <c r="AB878" s="49"/>
      <c r="AC878" s="49"/>
      <c r="AD878" s="49"/>
    </row>
    <row r="879" spans="1:30" ht="13">
      <c r="A879" s="141"/>
      <c r="B879" s="141"/>
      <c r="C879" s="141"/>
      <c r="D879" s="49"/>
      <c r="E879" s="49"/>
      <c r="F879" s="49"/>
      <c r="G879" s="49"/>
      <c r="H879" s="49"/>
      <c r="I879" s="49"/>
      <c r="J879" s="49"/>
      <c r="K879" s="49"/>
      <c r="L879" s="49"/>
      <c r="M879" s="49"/>
      <c r="N879" s="49"/>
      <c r="O879" s="49"/>
      <c r="P879" s="49"/>
      <c r="Q879" s="49"/>
      <c r="R879" s="49"/>
      <c r="S879" s="49"/>
      <c r="T879" s="49"/>
      <c r="U879" s="49"/>
      <c r="V879" s="49"/>
      <c r="W879" s="49"/>
      <c r="X879" s="49"/>
      <c r="Y879" s="49"/>
      <c r="Z879" s="49"/>
      <c r="AA879" s="49"/>
      <c r="AB879" s="49"/>
      <c r="AC879" s="49"/>
      <c r="AD879" s="49"/>
    </row>
    <row r="880" spans="1:30" ht="13">
      <c r="A880" s="141"/>
      <c r="B880" s="141"/>
      <c r="C880" s="141"/>
      <c r="D880" s="49"/>
      <c r="E880" s="49"/>
      <c r="F880" s="49"/>
      <c r="G880" s="49"/>
      <c r="H880" s="49"/>
      <c r="I880" s="49"/>
      <c r="J880" s="49"/>
      <c r="K880" s="49"/>
      <c r="L880" s="49"/>
      <c r="M880" s="49"/>
      <c r="N880" s="49"/>
      <c r="O880" s="49"/>
      <c r="P880" s="49"/>
      <c r="Q880" s="49"/>
      <c r="R880" s="49"/>
      <c r="S880" s="49"/>
      <c r="T880" s="49"/>
      <c r="U880" s="49"/>
      <c r="V880" s="49"/>
      <c r="W880" s="49"/>
      <c r="X880" s="49"/>
      <c r="Y880" s="49"/>
      <c r="Z880" s="49"/>
      <c r="AA880" s="49"/>
      <c r="AB880" s="49"/>
      <c r="AC880" s="49"/>
      <c r="AD880" s="49"/>
    </row>
    <row r="881" spans="1:30" ht="13">
      <c r="A881" s="141"/>
      <c r="B881" s="141"/>
      <c r="C881" s="141"/>
      <c r="D881" s="49"/>
      <c r="E881" s="49"/>
      <c r="F881" s="49"/>
      <c r="G881" s="49"/>
      <c r="H881" s="49"/>
      <c r="I881" s="49"/>
      <c r="J881" s="49"/>
      <c r="K881" s="49"/>
      <c r="L881" s="49"/>
      <c r="M881" s="49"/>
      <c r="N881" s="49"/>
      <c r="O881" s="49"/>
      <c r="P881" s="49"/>
      <c r="Q881" s="49"/>
      <c r="R881" s="49"/>
      <c r="S881" s="49"/>
      <c r="T881" s="49"/>
      <c r="U881" s="49"/>
      <c r="V881" s="49"/>
      <c r="W881" s="49"/>
      <c r="X881" s="49"/>
      <c r="Y881" s="49"/>
      <c r="Z881" s="49"/>
      <c r="AA881" s="49"/>
      <c r="AB881" s="49"/>
      <c r="AC881" s="49"/>
      <c r="AD881" s="49"/>
    </row>
    <row r="882" spans="1:30" ht="13">
      <c r="A882" s="141"/>
      <c r="B882" s="141"/>
      <c r="C882" s="141"/>
      <c r="D882" s="49"/>
      <c r="E882" s="49"/>
      <c r="F882" s="49"/>
      <c r="G882" s="49"/>
      <c r="H882" s="49"/>
      <c r="I882" s="49"/>
      <c r="J882" s="49"/>
      <c r="K882" s="49"/>
      <c r="L882" s="49"/>
      <c r="M882" s="49"/>
      <c r="N882" s="49"/>
      <c r="O882" s="49"/>
      <c r="P882" s="49"/>
      <c r="Q882" s="49"/>
      <c r="R882" s="49"/>
      <c r="S882" s="49"/>
      <c r="T882" s="49"/>
      <c r="U882" s="49"/>
      <c r="V882" s="49"/>
      <c r="W882" s="49"/>
      <c r="X882" s="49"/>
      <c r="Y882" s="49"/>
      <c r="Z882" s="49"/>
      <c r="AA882" s="49"/>
      <c r="AB882" s="49"/>
      <c r="AC882" s="49"/>
      <c r="AD882" s="49"/>
    </row>
    <row r="883" spans="1:30" ht="13">
      <c r="A883" s="141"/>
      <c r="B883" s="141"/>
      <c r="C883" s="141"/>
      <c r="D883" s="49"/>
      <c r="E883" s="49"/>
      <c r="F883" s="49"/>
      <c r="G883" s="49"/>
      <c r="H883" s="49"/>
      <c r="I883" s="49"/>
      <c r="J883" s="49"/>
      <c r="K883" s="49"/>
      <c r="L883" s="49"/>
      <c r="M883" s="49"/>
      <c r="N883" s="49"/>
      <c r="O883" s="49"/>
      <c r="P883" s="49"/>
      <c r="Q883" s="49"/>
      <c r="R883" s="49"/>
      <c r="S883" s="49"/>
      <c r="T883" s="49"/>
      <c r="U883" s="49"/>
      <c r="V883" s="49"/>
      <c r="W883" s="49"/>
      <c r="X883" s="49"/>
      <c r="Y883" s="49"/>
      <c r="Z883" s="49"/>
      <c r="AA883" s="49"/>
      <c r="AB883" s="49"/>
      <c r="AC883" s="49"/>
      <c r="AD883" s="49"/>
    </row>
    <row r="884" spans="1:30" ht="13">
      <c r="A884" s="141"/>
      <c r="B884" s="141"/>
      <c r="C884" s="141"/>
      <c r="D884" s="49"/>
      <c r="E884" s="49"/>
      <c r="F884" s="49"/>
      <c r="G884" s="49"/>
      <c r="H884" s="49"/>
      <c r="I884" s="49"/>
      <c r="J884" s="49"/>
      <c r="K884" s="49"/>
      <c r="L884" s="49"/>
      <c r="M884" s="49"/>
      <c r="N884" s="49"/>
      <c r="O884" s="49"/>
      <c r="P884" s="49"/>
      <c r="Q884" s="49"/>
      <c r="R884" s="49"/>
      <c r="S884" s="49"/>
      <c r="T884" s="49"/>
      <c r="U884" s="49"/>
      <c r="V884" s="49"/>
      <c r="W884" s="49"/>
      <c r="X884" s="49"/>
      <c r="Y884" s="49"/>
      <c r="Z884" s="49"/>
      <c r="AA884" s="49"/>
      <c r="AB884" s="49"/>
      <c r="AC884" s="49"/>
      <c r="AD884" s="49"/>
    </row>
    <row r="885" spans="1:30" ht="13">
      <c r="A885" s="141"/>
      <c r="B885" s="141"/>
      <c r="C885" s="141"/>
      <c r="D885" s="49"/>
      <c r="E885" s="49"/>
      <c r="F885" s="49"/>
      <c r="G885" s="49"/>
      <c r="H885" s="49"/>
      <c r="I885" s="49"/>
      <c r="J885" s="49"/>
      <c r="K885" s="49"/>
      <c r="L885" s="49"/>
      <c r="M885" s="49"/>
      <c r="N885" s="49"/>
      <c r="O885" s="49"/>
      <c r="P885" s="49"/>
      <c r="Q885" s="49"/>
      <c r="R885" s="49"/>
      <c r="S885" s="49"/>
      <c r="T885" s="49"/>
      <c r="U885" s="49"/>
      <c r="V885" s="49"/>
      <c r="W885" s="49"/>
      <c r="X885" s="49"/>
      <c r="Y885" s="49"/>
      <c r="Z885" s="49"/>
      <c r="AA885" s="49"/>
      <c r="AB885" s="49"/>
      <c r="AC885" s="49"/>
      <c r="AD885" s="49"/>
    </row>
    <row r="886" spans="1:30" ht="13">
      <c r="A886" s="141"/>
      <c r="B886" s="141"/>
      <c r="C886" s="141"/>
      <c r="D886" s="49"/>
      <c r="E886" s="49"/>
      <c r="F886" s="49"/>
      <c r="G886" s="49"/>
      <c r="H886" s="49"/>
      <c r="I886" s="49"/>
      <c r="J886" s="49"/>
      <c r="K886" s="49"/>
      <c r="L886" s="49"/>
      <c r="M886" s="49"/>
      <c r="N886" s="49"/>
      <c r="O886" s="49"/>
      <c r="P886" s="49"/>
      <c r="Q886" s="49"/>
      <c r="R886" s="49"/>
      <c r="S886" s="49"/>
      <c r="T886" s="49"/>
      <c r="U886" s="49"/>
      <c r="V886" s="49"/>
      <c r="W886" s="49"/>
      <c r="X886" s="49"/>
      <c r="Y886" s="49"/>
      <c r="Z886" s="49"/>
      <c r="AA886" s="49"/>
      <c r="AB886" s="49"/>
      <c r="AC886" s="49"/>
      <c r="AD886" s="49"/>
    </row>
    <row r="887" spans="1:30" ht="13">
      <c r="A887" s="141"/>
      <c r="B887" s="141"/>
      <c r="C887" s="141"/>
      <c r="D887" s="49"/>
      <c r="E887" s="49"/>
      <c r="F887" s="49"/>
      <c r="G887" s="49"/>
      <c r="H887" s="49"/>
      <c r="I887" s="49"/>
      <c r="J887" s="49"/>
      <c r="K887" s="49"/>
      <c r="L887" s="49"/>
      <c r="M887" s="49"/>
      <c r="N887" s="49"/>
      <c r="O887" s="49"/>
      <c r="P887" s="49"/>
      <c r="Q887" s="49"/>
      <c r="R887" s="49"/>
      <c r="S887" s="49"/>
      <c r="T887" s="49"/>
      <c r="U887" s="49"/>
      <c r="V887" s="49"/>
      <c r="W887" s="49"/>
      <c r="X887" s="49"/>
      <c r="Y887" s="49"/>
      <c r="Z887" s="49"/>
      <c r="AA887" s="49"/>
      <c r="AB887" s="49"/>
      <c r="AC887" s="49"/>
      <c r="AD887" s="49"/>
    </row>
    <row r="888" spans="1:30" ht="13">
      <c r="A888" s="141"/>
      <c r="B888" s="141"/>
      <c r="C888" s="141"/>
      <c r="D888" s="49"/>
      <c r="E888" s="49"/>
      <c r="F888" s="49"/>
      <c r="G888" s="49"/>
      <c r="H888" s="49"/>
      <c r="I888" s="49"/>
      <c r="J888" s="49"/>
      <c r="K888" s="49"/>
      <c r="L888" s="49"/>
      <c r="M888" s="49"/>
      <c r="N888" s="49"/>
      <c r="O888" s="49"/>
      <c r="P888" s="49"/>
      <c r="Q888" s="49"/>
      <c r="R888" s="49"/>
      <c r="S888" s="49"/>
      <c r="T888" s="49"/>
      <c r="U888" s="49"/>
      <c r="V888" s="49"/>
      <c r="W888" s="49"/>
      <c r="X888" s="49"/>
      <c r="Y888" s="49"/>
      <c r="Z888" s="49"/>
      <c r="AA888" s="49"/>
      <c r="AB888" s="49"/>
      <c r="AC888" s="49"/>
      <c r="AD888" s="49"/>
    </row>
    <row r="889" spans="1:30" ht="13">
      <c r="A889" s="141"/>
      <c r="B889" s="141"/>
      <c r="C889" s="141"/>
      <c r="D889" s="49"/>
      <c r="E889" s="49"/>
      <c r="F889" s="49"/>
      <c r="G889" s="49"/>
      <c r="H889" s="49"/>
      <c r="I889" s="49"/>
      <c r="J889" s="49"/>
      <c r="K889" s="49"/>
      <c r="L889" s="49"/>
      <c r="M889" s="49"/>
      <c r="N889" s="49"/>
      <c r="O889" s="49"/>
      <c r="P889" s="49"/>
      <c r="Q889" s="49"/>
      <c r="R889" s="49"/>
      <c r="S889" s="49"/>
      <c r="T889" s="49"/>
      <c r="U889" s="49"/>
      <c r="V889" s="49"/>
      <c r="W889" s="49"/>
      <c r="X889" s="49"/>
      <c r="Y889" s="49"/>
      <c r="Z889" s="49"/>
      <c r="AA889" s="49"/>
      <c r="AB889" s="49"/>
      <c r="AC889" s="49"/>
      <c r="AD889" s="49"/>
    </row>
    <row r="890" spans="1:30" ht="13">
      <c r="A890" s="141"/>
      <c r="B890" s="141"/>
      <c r="C890" s="141"/>
      <c r="D890" s="49"/>
      <c r="E890" s="49"/>
      <c r="F890" s="49"/>
      <c r="G890" s="49"/>
      <c r="H890" s="49"/>
      <c r="I890" s="49"/>
      <c r="J890" s="49"/>
      <c r="K890" s="49"/>
      <c r="L890" s="49"/>
      <c r="M890" s="49"/>
      <c r="N890" s="49"/>
      <c r="O890" s="49"/>
      <c r="P890" s="49"/>
      <c r="Q890" s="49"/>
      <c r="R890" s="49"/>
      <c r="S890" s="49"/>
      <c r="T890" s="49"/>
      <c r="U890" s="49"/>
      <c r="V890" s="49"/>
      <c r="W890" s="49"/>
      <c r="X890" s="49"/>
      <c r="Y890" s="49"/>
      <c r="Z890" s="49"/>
      <c r="AA890" s="49"/>
      <c r="AB890" s="49"/>
      <c r="AC890" s="49"/>
      <c r="AD890" s="49"/>
    </row>
    <row r="891" spans="1:30" ht="13">
      <c r="A891" s="141"/>
      <c r="B891" s="141"/>
      <c r="C891" s="141"/>
      <c r="D891" s="49"/>
      <c r="E891" s="49"/>
      <c r="F891" s="49"/>
      <c r="G891" s="49"/>
      <c r="H891" s="49"/>
      <c r="I891" s="49"/>
      <c r="J891" s="49"/>
      <c r="K891" s="49"/>
      <c r="L891" s="49"/>
      <c r="M891" s="49"/>
      <c r="N891" s="49"/>
      <c r="O891" s="49"/>
      <c r="P891" s="49"/>
      <c r="Q891" s="49"/>
      <c r="R891" s="49"/>
      <c r="S891" s="49"/>
      <c r="T891" s="49"/>
      <c r="U891" s="49"/>
      <c r="V891" s="49"/>
      <c r="W891" s="49"/>
      <c r="X891" s="49"/>
      <c r="Y891" s="49"/>
      <c r="Z891" s="49"/>
      <c r="AA891" s="49"/>
      <c r="AB891" s="49"/>
      <c r="AC891" s="49"/>
      <c r="AD891" s="49"/>
    </row>
    <row r="892" spans="1:30" ht="13">
      <c r="A892" s="141"/>
      <c r="B892" s="141"/>
      <c r="C892" s="141"/>
      <c r="D892" s="49"/>
      <c r="E892" s="49"/>
      <c r="F892" s="49"/>
      <c r="G892" s="49"/>
      <c r="H892" s="49"/>
      <c r="I892" s="49"/>
      <c r="J892" s="49"/>
      <c r="K892" s="49"/>
      <c r="L892" s="49"/>
      <c r="M892" s="49"/>
      <c r="N892" s="49"/>
      <c r="O892" s="49"/>
      <c r="P892" s="49"/>
      <c r="Q892" s="49"/>
      <c r="R892" s="49"/>
      <c r="S892" s="49"/>
      <c r="T892" s="49"/>
      <c r="U892" s="49"/>
      <c r="V892" s="49"/>
      <c r="W892" s="49"/>
      <c r="X892" s="49"/>
      <c r="Y892" s="49"/>
      <c r="Z892" s="49"/>
      <c r="AA892" s="49"/>
      <c r="AB892" s="49"/>
      <c r="AC892" s="49"/>
      <c r="AD892" s="49"/>
    </row>
    <row r="893" spans="1:30" ht="13">
      <c r="A893" s="141"/>
      <c r="B893" s="141"/>
      <c r="C893" s="141"/>
      <c r="D893" s="49"/>
      <c r="E893" s="49"/>
      <c r="F893" s="49"/>
      <c r="G893" s="49"/>
      <c r="H893" s="49"/>
      <c r="I893" s="49"/>
      <c r="J893" s="49"/>
      <c r="K893" s="49"/>
      <c r="L893" s="49"/>
      <c r="M893" s="49"/>
      <c r="N893" s="49"/>
      <c r="O893" s="49"/>
      <c r="P893" s="49"/>
      <c r="Q893" s="49"/>
      <c r="R893" s="49"/>
      <c r="S893" s="49"/>
      <c r="T893" s="49"/>
      <c r="U893" s="49"/>
      <c r="V893" s="49"/>
      <c r="W893" s="49"/>
      <c r="X893" s="49"/>
      <c r="Y893" s="49"/>
      <c r="Z893" s="49"/>
      <c r="AA893" s="49"/>
      <c r="AB893" s="49"/>
      <c r="AC893" s="49"/>
      <c r="AD893" s="49"/>
    </row>
    <row r="894" spans="1:30" ht="13">
      <c r="A894" s="141"/>
      <c r="B894" s="141"/>
      <c r="C894" s="141"/>
      <c r="D894" s="49"/>
      <c r="E894" s="49"/>
      <c r="F894" s="49"/>
      <c r="G894" s="49"/>
      <c r="H894" s="49"/>
      <c r="I894" s="49"/>
      <c r="J894" s="49"/>
      <c r="K894" s="49"/>
      <c r="L894" s="49"/>
      <c r="M894" s="49"/>
      <c r="N894" s="49"/>
      <c r="O894" s="49"/>
      <c r="P894" s="49"/>
      <c r="Q894" s="49"/>
      <c r="R894" s="49"/>
      <c r="S894" s="49"/>
      <c r="T894" s="49"/>
      <c r="U894" s="49"/>
      <c r="V894" s="49"/>
      <c r="W894" s="49"/>
      <c r="X894" s="49"/>
      <c r="Y894" s="49"/>
      <c r="Z894" s="49"/>
      <c r="AA894" s="49"/>
      <c r="AB894" s="49"/>
      <c r="AC894" s="49"/>
      <c r="AD894" s="49"/>
    </row>
    <row r="895" spans="1:30" ht="13">
      <c r="A895" s="141"/>
      <c r="B895" s="141"/>
      <c r="C895" s="141"/>
      <c r="D895" s="49"/>
      <c r="E895" s="49"/>
      <c r="F895" s="49"/>
      <c r="G895" s="49"/>
      <c r="H895" s="49"/>
      <c r="I895" s="49"/>
      <c r="J895" s="49"/>
      <c r="K895" s="49"/>
      <c r="L895" s="49"/>
      <c r="M895" s="49"/>
      <c r="N895" s="49"/>
      <c r="O895" s="49"/>
      <c r="P895" s="49"/>
      <c r="Q895" s="49"/>
      <c r="R895" s="49"/>
      <c r="S895" s="49"/>
      <c r="T895" s="49"/>
      <c r="U895" s="49"/>
      <c r="V895" s="49"/>
      <c r="W895" s="49"/>
      <c r="X895" s="49"/>
      <c r="Y895" s="49"/>
      <c r="Z895" s="49"/>
      <c r="AA895" s="49"/>
      <c r="AB895" s="49"/>
      <c r="AC895" s="49"/>
      <c r="AD895" s="49"/>
    </row>
    <row r="896" spans="1:30" ht="13">
      <c r="A896" s="141"/>
      <c r="B896" s="141"/>
      <c r="C896" s="141"/>
      <c r="D896" s="49"/>
      <c r="E896" s="49"/>
      <c r="F896" s="49"/>
      <c r="G896" s="49"/>
      <c r="H896" s="49"/>
      <c r="I896" s="49"/>
      <c r="J896" s="49"/>
      <c r="K896" s="49"/>
      <c r="L896" s="49"/>
      <c r="M896" s="49"/>
      <c r="N896" s="49"/>
      <c r="O896" s="49"/>
      <c r="P896" s="49"/>
      <c r="Q896" s="49"/>
      <c r="R896" s="49"/>
      <c r="S896" s="49"/>
      <c r="T896" s="49"/>
      <c r="U896" s="49"/>
      <c r="V896" s="49"/>
      <c r="W896" s="49"/>
      <c r="X896" s="49"/>
      <c r="Y896" s="49"/>
      <c r="Z896" s="49"/>
      <c r="AA896" s="49"/>
      <c r="AB896" s="49"/>
      <c r="AC896" s="49"/>
      <c r="AD896" s="49"/>
    </row>
    <row r="897" spans="1:30" ht="13">
      <c r="A897" s="141"/>
      <c r="B897" s="141"/>
      <c r="C897" s="141"/>
      <c r="D897" s="49"/>
      <c r="E897" s="49"/>
      <c r="F897" s="49"/>
      <c r="G897" s="49"/>
      <c r="H897" s="49"/>
      <c r="I897" s="49"/>
      <c r="J897" s="49"/>
      <c r="K897" s="49"/>
      <c r="L897" s="49"/>
      <c r="M897" s="49"/>
      <c r="N897" s="49"/>
      <c r="O897" s="49"/>
      <c r="P897" s="49"/>
      <c r="Q897" s="49"/>
      <c r="R897" s="49"/>
      <c r="S897" s="49"/>
      <c r="T897" s="49"/>
      <c r="U897" s="49"/>
      <c r="V897" s="49"/>
      <c r="W897" s="49"/>
      <c r="X897" s="49"/>
      <c r="Y897" s="49"/>
      <c r="Z897" s="49"/>
      <c r="AA897" s="49"/>
      <c r="AB897" s="49"/>
      <c r="AC897" s="49"/>
      <c r="AD897" s="49"/>
    </row>
    <row r="898" spans="1:30" ht="13">
      <c r="A898" s="141"/>
      <c r="B898" s="141"/>
      <c r="C898" s="141"/>
      <c r="D898" s="49"/>
      <c r="E898" s="49"/>
      <c r="F898" s="49"/>
      <c r="G898" s="49"/>
      <c r="H898" s="49"/>
      <c r="I898" s="49"/>
      <c r="J898" s="49"/>
      <c r="K898" s="49"/>
      <c r="L898" s="49"/>
      <c r="M898" s="49"/>
      <c r="N898" s="49"/>
      <c r="O898" s="49"/>
      <c r="P898" s="49"/>
      <c r="Q898" s="49"/>
      <c r="R898" s="49"/>
      <c r="S898" s="49"/>
      <c r="T898" s="49"/>
      <c r="U898" s="49"/>
      <c r="V898" s="49"/>
      <c r="W898" s="49"/>
      <c r="X898" s="49"/>
      <c r="Y898" s="49"/>
      <c r="Z898" s="49"/>
      <c r="AA898" s="49"/>
      <c r="AB898" s="49"/>
      <c r="AC898" s="49"/>
      <c r="AD898" s="49"/>
    </row>
    <row r="899" spans="1:30" ht="13">
      <c r="A899" s="141"/>
      <c r="B899" s="141"/>
      <c r="C899" s="141"/>
      <c r="D899" s="49"/>
      <c r="E899" s="49"/>
      <c r="F899" s="49"/>
      <c r="G899" s="49"/>
      <c r="H899" s="49"/>
      <c r="I899" s="49"/>
      <c r="J899" s="49"/>
      <c r="K899" s="49"/>
      <c r="L899" s="49"/>
      <c r="M899" s="49"/>
      <c r="N899" s="49"/>
      <c r="O899" s="49"/>
      <c r="P899" s="49"/>
      <c r="Q899" s="49"/>
      <c r="R899" s="49"/>
      <c r="S899" s="49"/>
      <c r="T899" s="49"/>
      <c r="U899" s="49"/>
      <c r="V899" s="49"/>
      <c r="W899" s="49"/>
      <c r="X899" s="49"/>
      <c r="Y899" s="49"/>
      <c r="Z899" s="49"/>
      <c r="AA899" s="49"/>
      <c r="AB899" s="49"/>
      <c r="AC899" s="49"/>
      <c r="AD899" s="49"/>
    </row>
    <row r="900" spans="1:30" ht="13">
      <c r="A900" s="141"/>
      <c r="B900" s="141"/>
      <c r="C900" s="141"/>
      <c r="D900" s="49"/>
      <c r="E900" s="49"/>
      <c r="F900" s="49"/>
      <c r="G900" s="49"/>
      <c r="H900" s="49"/>
      <c r="I900" s="49"/>
      <c r="J900" s="49"/>
      <c r="K900" s="49"/>
      <c r="L900" s="49"/>
      <c r="M900" s="49"/>
      <c r="N900" s="49"/>
      <c r="O900" s="49"/>
      <c r="P900" s="49"/>
      <c r="Q900" s="49"/>
      <c r="R900" s="49"/>
      <c r="S900" s="49"/>
      <c r="T900" s="49"/>
      <c r="U900" s="49"/>
      <c r="V900" s="49"/>
      <c r="W900" s="49"/>
      <c r="X900" s="49"/>
      <c r="Y900" s="49"/>
      <c r="Z900" s="49"/>
      <c r="AA900" s="49"/>
      <c r="AB900" s="49"/>
      <c r="AC900" s="49"/>
      <c r="AD900" s="49"/>
    </row>
    <row r="901" spans="1:30" ht="13">
      <c r="A901" s="141"/>
      <c r="B901" s="141"/>
      <c r="C901" s="141"/>
      <c r="D901" s="49"/>
      <c r="E901" s="49"/>
      <c r="F901" s="49"/>
      <c r="G901" s="49"/>
      <c r="H901" s="49"/>
      <c r="I901" s="49"/>
      <c r="J901" s="49"/>
      <c r="K901" s="49"/>
      <c r="L901" s="49"/>
      <c r="M901" s="49"/>
      <c r="N901" s="49"/>
      <c r="O901" s="49"/>
      <c r="P901" s="49"/>
      <c r="Q901" s="49"/>
      <c r="R901" s="49"/>
      <c r="S901" s="49"/>
      <c r="T901" s="49"/>
      <c r="U901" s="49"/>
      <c r="V901" s="49"/>
      <c r="W901" s="49"/>
      <c r="X901" s="49"/>
      <c r="Y901" s="49"/>
      <c r="Z901" s="49"/>
      <c r="AA901" s="49"/>
      <c r="AB901" s="49"/>
      <c r="AC901" s="49"/>
      <c r="AD901" s="49"/>
    </row>
    <row r="902" spans="1:30" ht="13">
      <c r="A902" s="141"/>
      <c r="B902" s="141"/>
      <c r="C902" s="141"/>
      <c r="D902" s="49"/>
      <c r="E902" s="49"/>
      <c r="F902" s="49"/>
      <c r="G902" s="49"/>
      <c r="H902" s="49"/>
      <c r="I902" s="49"/>
      <c r="J902" s="49"/>
      <c r="K902" s="49"/>
      <c r="L902" s="49"/>
      <c r="M902" s="49"/>
      <c r="N902" s="49"/>
      <c r="O902" s="49"/>
      <c r="P902" s="49"/>
      <c r="Q902" s="49"/>
      <c r="R902" s="49"/>
      <c r="S902" s="49"/>
      <c r="T902" s="49"/>
      <c r="U902" s="49"/>
      <c r="V902" s="49"/>
      <c r="W902" s="49"/>
      <c r="X902" s="49"/>
      <c r="Y902" s="49"/>
      <c r="Z902" s="49"/>
      <c r="AA902" s="49"/>
      <c r="AB902" s="49"/>
      <c r="AC902" s="49"/>
      <c r="AD902" s="49"/>
    </row>
    <row r="903" spans="1:30" ht="13">
      <c r="A903" s="141"/>
      <c r="B903" s="141"/>
      <c r="C903" s="141"/>
      <c r="D903" s="49"/>
      <c r="E903" s="49"/>
      <c r="F903" s="49"/>
      <c r="G903" s="49"/>
      <c r="H903" s="49"/>
      <c r="I903" s="49"/>
      <c r="J903" s="49"/>
      <c r="K903" s="49"/>
      <c r="L903" s="49"/>
      <c r="M903" s="49"/>
      <c r="N903" s="49"/>
      <c r="O903" s="49"/>
      <c r="P903" s="49"/>
      <c r="Q903" s="49"/>
      <c r="R903" s="49"/>
      <c r="S903" s="49"/>
      <c r="T903" s="49"/>
      <c r="U903" s="49"/>
      <c r="V903" s="49"/>
      <c r="W903" s="49"/>
      <c r="X903" s="49"/>
      <c r="Y903" s="49"/>
      <c r="Z903" s="49"/>
      <c r="AA903" s="49"/>
      <c r="AB903" s="49"/>
      <c r="AC903" s="49"/>
      <c r="AD903" s="49"/>
    </row>
    <row r="904" spans="1:30" ht="13">
      <c r="A904" s="141"/>
      <c r="B904" s="141"/>
      <c r="C904" s="141"/>
      <c r="D904" s="49"/>
      <c r="E904" s="49"/>
      <c r="F904" s="49"/>
      <c r="G904" s="49"/>
      <c r="H904" s="49"/>
      <c r="I904" s="49"/>
      <c r="J904" s="49"/>
      <c r="K904" s="49"/>
      <c r="L904" s="49"/>
      <c r="M904" s="49"/>
      <c r="N904" s="49"/>
      <c r="O904" s="49"/>
      <c r="P904" s="49"/>
      <c r="Q904" s="49"/>
      <c r="R904" s="49"/>
      <c r="S904" s="49"/>
      <c r="T904" s="49"/>
      <c r="U904" s="49"/>
      <c r="V904" s="49"/>
      <c r="W904" s="49"/>
      <c r="X904" s="49"/>
      <c r="Y904" s="49"/>
      <c r="Z904" s="49"/>
      <c r="AA904" s="49"/>
      <c r="AB904" s="49"/>
      <c r="AC904" s="49"/>
      <c r="AD904" s="49"/>
    </row>
    <row r="905" spans="1:30" ht="13">
      <c r="A905" s="141"/>
      <c r="B905" s="141"/>
      <c r="C905" s="141"/>
      <c r="D905" s="49"/>
      <c r="E905" s="49"/>
      <c r="F905" s="49"/>
      <c r="G905" s="49"/>
      <c r="H905" s="49"/>
      <c r="I905" s="49"/>
      <c r="J905" s="49"/>
      <c r="K905" s="49"/>
      <c r="L905" s="49"/>
      <c r="M905" s="49"/>
      <c r="N905" s="49"/>
      <c r="O905" s="49"/>
      <c r="P905" s="49"/>
      <c r="Q905" s="49"/>
      <c r="R905" s="49"/>
      <c r="S905" s="49"/>
      <c r="T905" s="49"/>
      <c r="U905" s="49"/>
      <c r="V905" s="49"/>
      <c r="W905" s="49"/>
      <c r="X905" s="49"/>
      <c r="Y905" s="49"/>
      <c r="Z905" s="49"/>
      <c r="AA905" s="49"/>
      <c r="AB905" s="49"/>
      <c r="AC905" s="49"/>
      <c r="AD905" s="49"/>
    </row>
    <row r="906" spans="1:30" ht="13">
      <c r="A906" s="141"/>
      <c r="B906" s="141"/>
      <c r="C906" s="141"/>
      <c r="D906" s="49"/>
      <c r="E906" s="49"/>
      <c r="F906" s="49"/>
      <c r="G906" s="49"/>
      <c r="H906" s="49"/>
      <c r="I906" s="49"/>
      <c r="J906" s="49"/>
      <c r="K906" s="49"/>
      <c r="L906" s="49"/>
      <c r="M906" s="49"/>
      <c r="N906" s="49"/>
      <c r="O906" s="49"/>
      <c r="P906" s="49"/>
      <c r="Q906" s="49"/>
      <c r="R906" s="49"/>
      <c r="S906" s="49"/>
      <c r="T906" s="49"/>
      <c r="U906" s="49"/>
      <c r="V906" s="49"/>
      <c r="W906" s="49"/>
      <c r="X906" s="49"/>
      <c r="Y906" s="49"/>
      <c r="Z906" s="49"/>
      <c r="AA906" s="49"/>
      <c r="AB906" s="49"/>
      <c r="AC906" s="49"/>
      <c r="AD906" s="49"/>
    </row>
    <row r="907" spans="1:30" ht="13">
      <c r="A907" s="141"/>
      <c r="B907" s="141"/>
      <c r="C907" s="141"/>
      <c r="D907" s="49"/>
      <c r="E907" s="49"/>
      <c r="F907" s="49"/>
      <c r="G907" s="49"/>
      <c r="H907" s="49"/>
      <c r="I907" s="49"/>
      <c r="J907" s="49"/>
      <c r="K907" s="49"/>
      <c r="L907" s="49"/>
      <c r="M907" s="49"/>
      <c r="N907" s="49"/>
      <c r="O907" s="49"/>
      <c r="P907" s="49"/>
      <c r="Q907" s="49"/>
      <c r="R907" s="49"/>
      <c r="S907" s="49"/>
      <c r="T907" s="49"/>
      <c r="U907" s="49"/>
      <c r="V907" s="49"/>
      <c r="W907" s="49"/>
      <c r="X907" s="49"/>
      <c r="Y907" s="49"/>
      <c r="Z907" s="49"/>
      <c r="AA907" s="49"/>
      <c r="AB907" s="49"/>
      <c r="AC907" s="49"/>
      <c r="AD907" s="49"/>
    </row>
    <row r="908" spans="1:30" ht="13">
      <c r="A908" s="141"/>
      <c r="B908" s="141"/>
      <c r="C908" s="141"/>
      <c r="D908" s="49"/>
      <c r="E908" s="49"/>
      <c r="F908" s="49"/>
      <c r="G908" s="49"/>
      <c r="H908" s="49"/>
      <c r="I908" s="49"/>
      <c r="J908" s="49"/>
      <c r="K908" s="49"/>
      <c r="L908" s="49"/>
      <c r="M908" s="49"/>
      <c r="N908" s="49"/>
      <c r="O908" s="49"/>
      <c r="P908" s="49"/>
      <c r="Q908" s="49"/>
      <c r="R908" s="49"/>
      <c r="S908" s="49"/>
      <c r="T908" s="49"/>
      <c r="U908" s="49"/>
      <c r="V908" s="49"/>
      <c r="W908" s="49"/>
      <c r="X908" s="49"/>
      <c r="Y908" s="49"/>
      <c r="Z908" s="49"/>
      <c r="AA908" s="49"/>
      <c r="AB908" s="49"/>
      <c r="AC908" s="49"/>
      <c r="AD908" s="49"/>
    </row>
    <row r="909" spans="1:30" ht="13">
      <c r="A909" s="141"/>
      <c r="B909" s="141"/>
      <c r="C909" s="141"/>
      <c r="D909" s="49"/>
      <c r="E909" s="49"/>
      <c r="F909" s="49"/>
      <c r="G909" s="49"/>
      <c r="H909" s="49"/>
      <c r="I909" s="49"/>
      <c r="J909" s="49"/>
      <c r="K909" s="49"/>
      <c r="L909" s="49"/>
      <c r="M909" s="49"/>
      <c r="N909" s="49"/>
      <c r="O909" s="49"/>
      <c r="P909" s="49"/>
      <c r="Q909" s="49"/>
      <c r="R909" s="49"/>
      <c r="S909" s="49"/>
      <c r="T909" s="49"/>
      <c r="U909" s="49"/>
      <c r="V909" s="49"/>
      <c r="W909" s="49"/>
      <c r="X909" s="49"/>
      <c r="Y909" s="49"/>
      <c r="Z909" s="49"/>
      <c r="AA909" s="49"/>
      <c r="AB909" s="49"/>
      <c r="AC909" s="49"/>
      <c r="AD909" s="49"/>
    </row>
    <row r="910" spans="1:30" ht="13">
      <c r="A910" s="141"/>
      <c r="B910" s="141"/>
      <c r="C910" s="141"/>
      <c r="D910" s="49"/>
      <c r="E910" s="49"/>
      <c r="F910" s="49"/>
      <c r="G910" s="49"/>
      <c r="H910" s="49"/>
      <c r="I910" s="49"/>
      <c r="J910" s="49"/>
      <c r="K910" s="49"/>
      <c r="L910" s="49"/>
      <c r="M910" s="49"/>
      <c r="N910" s="49"/>
      <c r="O910" s="49"/>
      <c r="P910" s="49"/>
      <c r="Q910" s="49"/>
      <c r="R910" s="49"/>
      <c r="S910" s="49"/>
      <c r="T910" s="49"/>
      <c r="U910" s="49"/>
      <c r="V910" s="49"/>
      <c r="W910" s="49"/>
      <c r="X910" s="49"/>
      <c r="Y910" s="49"/>
      <c r="Z910" s="49"/>
      <c r="AA910" s="49"/>
      <c r="AB910" s="49"/>
      <c r="AC910" s="49"/>
      <c r="AD910" s="49"/>
    </row>
    <row r="911" spans="1:30" ht="13">
      <c r="A911" s="141"/>
      <c r="B911" s="141"/>
      <c r="C911" s="141"/>
      <c r="D911" s="49"/>
      <c r="E911" s="49"/>
      <c r="F911" s="49"/>
      <c r="G911" s="49"/>
      <c r="H911" s="49"/>
      <c r="I911" s="49"/>
      <c r="J911" s="49"/>
      <c r="K911" s="49"/>
      <c r="L911" s="49"/>
      <c r="M911" s="49"/>
      <c r="N911" s="49"/>
      <c r="O911" s="49"/>
      <c r="P911" s="49"/>
      <c r="Q911" s="49"/>
      <c r="R911" s="49"/>
      <c r="S911" s="49"/>
      <c r="T911" s="49"/>
      <c r="U911" s="49"/>
      <c r="V911" s="49"/>
      <c r="W911" s="49"/>
      <c r="X911" s="49"/>
      <c r="Y911" s="49"/>
      <c r="Z911" s="49"/>
      <c r="AA911" s="49"/>
      <c r="AB911" s="49"/>
      <c r="AC911" s="49"/>
      <c r="AD911" s="49"/>
    </row>
    <row r="912" spans="1:30" ht="13">
      <c r="A912" s="141"/>
      <c r="B912" s="141"/>
      <c r="C912" s="141"/>
      <c r="D912" s="49"/>
      <c r="E912" s="49"/>
      <c r="F912" s="49"/>
      <c r="G912" s="49"/>
      <c r="H912" s="49"/>
      <c r="I912" s="49"/>
      <c r="J912" s="49"/>
      <c r="K912" s="49"/>
      <c r="L912" s="49"/>
      <c r="M912" s="49"/>
      <c r="N912" s="49"/>
      <c r="O912" s="49"/>
      <c r="P912" s="49"/>
      <c r="Q912" s="49"/>
      <c r="R912" s="49"/>
      <c r="S912" s="49"/>
      <c r="T912" s="49"/>
      <c r="U912" s="49"/>
      <c r="V912" s="49"/>
      <c r="W912" s="49"/>
      <c r="X912" s="49"/>
      <c r="Y912" s="49"/>
      <c r="Z912" s="49"/>
      <c r="AA912" s="49"/>
      <c r="AB912" s="49"/>
      <c r="AC912" s="49"/>
      <c r="AD912" s="49"/>
    </row>
    <row r="913" spans="1:30" ht="13">
      <c r="A913" s="141"/>
      <c r="B913" s="141"/>
      <c r="C913" s="141"/>
      <c r="D913" s="49"/>
      <c r="E913" s="49"/>
      <c r="F913" s="49"/>
      <c r="G913" s="49"/>
      <c r="H913" s="49"/>
      <c r="I913" s="49"/>
      <c r="J913" s="49"/>
      <c r="K913" s="49"/>
      <c r="L913" s="49"/>
      <c r="M913" s="49"/>
      <c r="N913" s="49"/>
      <c r="O913" s="49"/>
      <c r="P913" s="49"/>
      <c r="Q913" s="49"/>
      <c r="R913" s="49"/>
      <c r="S913" s="49"/>
      <c r="T913" s="49"/>
      <c r="U913" s="49"/>
      <c r="V913" s="49"/>
      <c r="W913" s="49"/>
      <c r="X913" s="49"/>
      <c r="Y913" s="49"/>
      <c r="Z913" s="49"/>
      <c r="AA913" s="49"/>
      <c r="AB913" s="49"/>
      <c r="AC913" s="49"/>
      <c r="AD913" s="49"/>
    </row>
    <row r="914" spans="1:30" ht="13">
      <c r="A914" s="141"/>
      <c r="B914" s="141"/>
      <c r="C914" s="141"/>
      <c r="D914" s="49"/>
      <c r="E914" s="49"/>
      <c r="F914" s="49"/>
      <c r="G914" s="49"/>
      <c r="H914" s="49"/>
      <c r="I914" s="49"/>
      <c r="J914" s="49"/>
      <c r="K914" s="49"/>
      <c r="L914" s="49"/>
      <c r="M914" s="49"/>
      <c r="N914" s="49"/>
      <c r="O914" s="49"/>
      <c r="P914" s="49"/>
      <c r="Q914" s="49"/>
      <c r="R914" s="49"/>
      <c r="S914" s="49"/>
      <c r="T914" s="49"/>
      <c r="U914" s="49"/>
      <c r="V914" s="49"/>
      <c r="W914" s="49"/>
      <c r="X914" s="49"/>
      <c r="Y914" s="49"/>
      <c r="Z914" s="49"/>
      <c r="AA914" s="49"/>
      <c r="AB914" s="49"/>
      <c r="AC914" s="49"/>
      <c r="AD914" s="49"/>
    </row>
    <row r="915" spans="1:30" ht="13">
      <c r="A915" s="141"/>
      <c r="B915" s="141"/>
      <c r="C915" s="141"/>
      <c r="D915" s="49"/>
      <c r="E915" s="49"/>
      <c r="F915" s="49"/>
      <c r="G915" s="49"/>
      <c r="H915" s="49"/>
      <c r="I915" s="49"/>
      <c r="J915" s="49"/>
      <c r="K915" s="49"/>
      <c r="L915" s="49"/>
      <c r="M915" s="49"/>
      <c r="N915" s="49"/>
      <c r="O915" s="49"/>
      <c r="P915" s="49"/>
      <c r="Q915" s="49"/>
      <c r="R915" s="49"/>
      <c r="S915" s="49"/>
      <c r="T915" s="49"/>
      <c r="U915" s="49"/>
      <c r="V915" s="49"/>
      <c r="W915" s="49"/>
      <c r="X915" s="49"/>
      <c r="Y915" s="49"/>
      <c r="Z915" s="49"/>
      <c r="AA915" s="49"/>
      <c r="AB915" s="49"/>
      <c r="AC915" s="49"/>
      <c r="AD915" s="49"/>
    </row>
    <row r="916" spans="1:30" ht="13">
      <c r="A916" s="141"/>
      <c r="B916" s="141"/>
      <c r="C916" s="141"/>
      <c r="D916" s="49"/>
      <c r="E916" s="49"/>
      <c r="F916" s="49"/>
      <c r="G916" s="49"/>
      <c r="H916" s="49"/>
      <c r="I916" s="49"/>
      <c r="J916" s="49"/>
      <c r="K916" s="49"/>
      <c r="L916" s="49"/>
      <c r="M916" s="49"/>
      <c r="N916" s="49"/>
      <c r="O916" s="49"/>
      <c r="P916" s="49"/>
      <c r="Q916" s="49"/>
      <c r="R916" s="49"/>
      <c r="S916" s="49"/>
      <c r="T916" s="49"/>
      <c r="U916" s="49"/>
      <c r="V916" s="49"/>
      <c r="W916" s="49"/>
      <c r="X916" s="49"/>
      <c r="Y916" s="49"/>
      <c r="Z916" s="49"/>
      <c r="AA916" s="49"/>
      <c r="AB916" s="49"/>
      <c r="AC916" s="49"/>
      <c r="AD916" s="49"/>
    </row>
    <row r="917" spans="1:30" ht="13">
      <c r="A917" s="141"/>
      <c r="B917" s="141"/>
      <c r="C917" s="141"/>
      <c r="D917" s="49"/>
      <c r="E917" s="49"/>
      <c r="F917" s="49"/>
      <c r="G917" s="49"/>
      <c r="H917" s="49"/>
      <c r="I917" s="49"/>
      <c r="J917" s="49"/>
      <c r="K917" s="49"/>
      <c r="L917" s="49"/>
      <c r="M917" s="49"/>
      <c r="N917" s="49"/>
      <c r="O917" s="49"/>
      <c r="P917" s="49"/>
      <c r="Q917" s="49"/>
      <c r="R917" s="49"/>
      <c r="S917" s="49"/>
      <c r="T917" s="49"/>
      <c r="U917" s="49"/>
      <c r="V917" s="49"/>
      <c r="W917" s="49"/>
      <c r="X917" s="49"/>
      <c r="Y917" s="49"/>
      <c r="Z917" s="49"/>
      <c r="AA917" s="49"/>
      <c r="AB917" s="49"/>
      <c r="AC917" s="49"/>
      <c r="AD917" s="49"/>
    </row>
    <row r="918" spans="1:30" ht="13">
      <c r="A918" s="141"/>
      <c r="B918" s="141"/>
      <c r="C918" s="141"/>
      <c r="D918" s="49"/>
      <c r="E918" s="49"/>
      <c r="F918" s="49"/>
      <c r="G918" s="49"/>
      <c r="H918" s="49"/>
      <c r="I918" s="49"/>
      <c r="J918" s="49"/>
      <c r="K918" s="49"/>
      <c r="L918" s="49"/>
      <c r="M918" s="49"/>
      <c r="N918" s="49"/>
      <c r="O918" s="49"/>
      <c r="P918" s="49"/>
      <c r="Q918" s="49"/>
      <c r="R918" s="49"/>
      <c r="S918" s="49"/>
      <c r="T918" s="49"/>
      <c r="U918" s="49"/>
      <c r="V918" s="49"/>
      <c r="W918" s="49"/>
      <c r="X918" s="49"/>
      <c r="Y918" s="49"/>
      <c r="Z918" s="49"/>
      <c r="AA918" s="49"/>
      <c r="AB918" s="49"/>
      <c r="AC918" s="49"/>
      <c r="AD918" s="49"/>
    </row>
    <row r="919" spans="1:30" ht="13">
      <c r="A919" s="141"/>
      <c r="B919" s="141"/>
      <c r="C919" s="141"/>
      <c r="D919" s="49"/>
      <c r="E919" s="49"/>
      <c r="F919" s="49"/>
      <c r="G919" s="49"/>
      <c r="H919" s="49"/>
      <c r="I919" s="49"/>
      <c r="J919" s="49"/>
      <c r="K919" s="49"/>
      <c r="L919" s="49"/>
      <c r="M919" s="49"/>
      <c r="N919" s="49"/>
      <c r="O919" s="49"/>
      <c r="P919" s="49"/>
      <c r="Q919" s="49"/>
      <c r="R919" s="49"/>
      <c r="S919" s="49"/>
      <c r="T919" s="49"/>
      <c r="U919" s="49"/>
      <c r="V919" s="49"/>
      <c r="W919" s="49"/>
      <c r="X919" s="49"/>
      <c r="Y919" s="49"/>
      <c r="Z919" s="49"/>
      <c r="AA919" s="49"/>
      <c r="AB919" s="49"/>
      <c r="AC919" s="49"/>
      <c r="AD919" s="49"/>
    </row>
    <row r="920" spans="1:30" ht="13">
      <c r="A920" s="141"/>
      <c r="B920" s="141"/>
      <c r="C920" s="141"/>
      <c r="D920" s="49"/>
      <c r="E920" s="49"/>
      <c r="F920" s="49"/>
      <c r="G920" s="49"/>
      <c r="H920" s="49"/>
      <c r="I920" s="49"/>
      <c r="J920" s="49"/>
      <c r="K920" s="49"/>
      <c r="L920" s="49"/>
      <c r="M920" s="49"/>
      <c r="N920" s="49"/>
      <c r="O920" s="49"/>
      <c r="P920" s="49"/>
      <c r="Q920" s="49"/>
      <c r="R920" s="49"/>
      <c r="S920" s="49"/>
      <c r="T920" s="49"/>
      <c r="U920" s="49"/>
      <c r="V920" s="49"/>
      <c r="W920" s="49"/>
      <c r="X920" s="49"/>
      <c r="Y920" s="49"/>
      <c r="Z920" s="49"/>
      <c r="AA920" s="49"/>
      <c r="AB920" s="49"/>
      <c r="AC920" s="49"/>
      <c r="AD920" s="49"/>
    </row>
    <row r="921" spans="1:30" ht="13">
      <c r="A921" s="141"/>
      <c r="B921" s="141"/>
      <c r="C921" s="141"/>
      <c r="D921" s="49"/>
      <c r="E921" s="49"/>
      <c r="F921" s="49"/>
      <c r="G921" s="49"/>
      <c r="H921" s="49"/>
      <c r="I921" s="49"/>
      <c r="J921" s="49"/>
      <c r="K921" s="49"/>
      <c r="L921" s="49"/>
      <c r="M921" s="49"/>
      <c r="N921" s="49"/>
      <c r="O921" s="49"/>
      <c r="P921" s="49"/>
      <c r="Q921" s="49"/>
      <c r="R921" s="49"/>
      <c r="S921" s="49"/>
      <c r="T921" s="49"/>
      <c r="U921" s="49"/>
      <c r="V921" s="49"/>
      <c r="W921" s="49"/>
      <c r="X921" s="49"/>
      <c r="Y921" s="49"/>
      <c r="Z921" s="49"/>
      <c r="AA921" s="49"/>
      <c r="AB921" s="49"/>
      <c r="AC921" s="49"/>
      <c r="AD921" s="49"/>
    </row>
    <row r="922" spans="1:30" ht="13">
      <c r="A922" s="141"/>
      <c r="B922" s="141"/>
      <c r="C922" s="141"/>
      <c r="D922" s="49"/>
      <c r="E922" s="49"/>
      <c r="F922" s="49"/>
      <c r="G922" s="49"/>
      <c r="H922" s="49"/>
      <c r="I922" s="49"/>
      <c r="J922" s="49"/>
      <c r="K922" s="49"/>
      <c r="L922" s="49"/>
      <c r="M922" s="49"/>
      <c r="N922" s="49"/>
      <c r="O922" s="49"/>
      <c r="P922" s="49"/>
      <c r="Q922" s="49"/>
      <c r="R922" s="49"/>
      <c r="S922" s="49"/>
      <c r="T922" s="49"/>
      <c r="U922" s="49"/>
      <c r="V922" s="49"/>
      <c r="W922" s="49"/>
      <c r="X922" s="49"/>
      <c r="Y922" s="49"/>
      <c r="Z922" s="49"/>
      <c r="AA922" s="49"/>
      <c r="AB922" s="49"/>
      <c r="AC922" s="49"/>
      <c r="AD922" s="49"/>
    </row>
    <row r="923" spans="1:30" ht="13">
      <c r="A923" s="141"/>
      <c r="B923" s="141"/>
      <c r="C923" s="141"/>
      <c r="D923" s="49"/>
      <c r="E923" s="49"/>
      <c r="F923" s="49"/>
      <c r="G923" s="49"/>
      <c r="H923" s="49"/>
      <c r="I923" s="49"/>
      <c r="J923" s="49"/>
      <c r="K923" s="49"/>
      <c r="L923" s="49"/>
      <c r="M923" s="49"/>
      <c r="N923" s="49"/>
      <c r="O923" s="49"/>
      <c r="P923" s="49"/>
      <c r="Q923" s="49"/>
      <c r="R923" s="49"/>
      <c r="S923" s="49"/>
      <c r="T923" s="49"/>
      <c r="U923" s="49"/>
      <c r="V923" s="49"/>
      <c r="W923" s="49"/>
      <c r="X923" s="49"/>
      <c r="Y923" s="49"/>
      <c r="Z923" s="49"/>
      <c r="AA923" s="49"/>
      <c r="AB923" s="49"/>
      <c r="AC923" s="49"/>
      <c r="AD923" s="49"/>
    </row>
    <row r="924" spans="1:30" ht="13">
      <c r="A924" s="141"/>
      <c r="B924" s="141"/>
      <c r="C924" s="141"/>
      <c r="D924" s="49"/>
      <c r="E924" s="49"/>
      <c r="F924" s="49"/>
      <c r="G924" s="49"/>
      <c r="H924" s="49"/>
      <c r="I924" s="49"/>
      <c r="J924" s="49"/>
      <c r="K924" s="49"/>
      <c r="L924" s="49"/>
      <c r="M924" s="49"/>
      <c r="N924" s="49"/>
      <c r="O924" s="49"/>
      <c r="P924" s="49"/>
      <c r="Q924" s="49"/>
      <c r="R924" s="49"/>
      <c r="S924" s="49"/>
      <c r="T924" s="49"/>
      <c r="U924" s="49"/>
      <c r="V924" s="49"/>
      <c r="W924" s="49"/>
      <c r="X924" s="49"/>
      <c r="Y924" s="49"/>
      <c r="Z924" s="49"/>
      <c r="AA924" s="49"/>
      <c r="AB924" s="49"/>
      <c r="AC924" s="49"/>
      <c r="AD924" s="49"/>
    </row>
    <row r="925" spans="1:30" ht="13">
      <c r="A925" s="141"/>
      <c r="B925" s="141"/>
      <c r="C925" s="141"/>
      <c r="D925" s="49"/>
      <c r="E925" s="49"/>
      <c r="F925" s="49"/>
      <c r="G925" s="49"/>
      <c r="H925" s="49"/>
      <c r="I925" s="49"/>
      <c r="J925" s="49"/>
      <c r="K925" s="49"/>
      <c r="L925" s="49"/>
      <c r="M925" s="49"/>
      <c r="N925" s="49"/>
      <c r="O925" s="49"/>
      <c r="P925" s="49"/>
      <c r="Q925" s="49"/>
      <c r="R925" s="49"/>
      <c r="S925" s="49"/>
      <c r="T925" s="49"/>
      <c r="U925" s="49"/>
      <c r="V925" s="49"/>
      <c r="W925" s="49"/>
      <c r="X925" s="49"/>
      <c r="Y925" s="49"/>
      <c r="Z925" s="49"/>
      <c r="AA925" s="49"/>
      <c r="AB925" s="49"/>
      <c r="AC925" s="49"/>
      <c r="AD925" s="49"/>
    </row>
    <row r="926" spans="1:30" ht="13">
      <c r="A926" s="141"/>
      <c r="B926" s="141"/>
      <c r="C926" s="141"/>
      <c r="D926" s="49"/>
      <c r="E926" s="49"/>
      <c r="F926" s="49"/>
      <c r="G926" s="49"/>
      <c r="H926" s="49"/>
      <c r="I926" s="49"/>
      <c r="J926" s="49"/>
      <c r="K926" s="49"/>
      <c r="L926" s="49"/>
      <c r="M926" s="49"/>
      <c r="N926" s="49"/>
      <c r="O926" s="49"/>
      <c r="P926" s="49"/>
      <c r="Q926" s="49"/>
      <c r="R926" s="49"/>
      <c r="S926" s="49"/>
      <c r="T926" s="49"/>
      <c r="U926" s="49"/>
      <c r="V926" s="49"/>
      <c r="W926" s="49"/>
      <c r="X926" s="49"/>
      <c r="Y926" s="49"/>
      <c r="Z926" s="49"/>
      <c r="AA926" s="49"/>
      <c r="AB926" s="49"/>
      <c r="AC926" s="49"/>
      <c r="AD926" s="49"/>
    </row>
    <row r="927" spans="1:30" ht="13">
      <c r="A927" s="141"/>
      <c r="B927" s="141"/>
      <c r="C927" s="141"/>
      <c r="D927" s="49"/>
      <c r="E927" s="49"/>
      <c r="F927" s="49"/>
      <c r="G927" s="49"/>
      <c r="H927" s="49"/>
      <c r="I927" s="49"/>
      <c r="J927" s="49"/>
      <c r="K927" s="49"/>
      <c r="L927" s="49"/>
      <c r="M927" s="49"/>
      <c r="N927" s="49"/>
      <c r="O927" s="49"/>
      <c r="P927" s="49"/>
      <c r="Q927" s="49"/>
      <c r="R927" s="49"/>
      <c r="S927" s="49"/>
      <c r="T927" s="49"/>
      <c r="U927" s="49"/>
      <c r="V927" s="49"/>
      <c r="W927" s="49"/>
      <c r="X927" s="49"/>
      <c r="Y927" s="49"/>
      <c r="Z927" s="49"/>
      <c r="AA927" s="49"/>
      <c r="AB927" s="49"/>
      <c r="AC927" s="49"/>
      <c r="AD927" s="49"/>
    </row>
    <row r="928" spans="1:30" ht="13">
      <c r="A928" s="141"/>
      <c r="B928" s="141"/>
      <c r="C928" s="141"/>
      <c r="D928" s="49"/>
      <c r="E928" s="49"/>
      <c r="F928" s="49"/>
      <c r="G928" s="49"/>
      <c r="H928" s="49"/>
      <c r="I928" s="49"/>
      <c r="J928" s="49"/>
      <c r="K928" s="49"/>
      <c r="L928" s="49"/>
      <c r="M928" s="49"/>
      <c r="N928" s="49"/>
      <c r="O928" s="49"/>
      <c r="P928" s="49"/>
      <c r="Q928" s="49"/>
      <c r="R928" s="49"/>
      <c r="S928" s="49"/>
      <c r="T928" s="49"/>
      <c r="U928" s="49"/>
      <c r="V928" s="49"/>
      <c r="W928" s="49"/>
      <c r="X928" s="49"/>
      <c r="Y928" s="49"/>
      <c r="Z928" s="49"/>
      <c r="AA928" s="49"/>
      <c r="AB928" s="49"/>
      <c r="AC928" s="49"/>
      <c r="AD928" s="49"/>
    </row>
    <row r="929" spans="1:30" ht="13">
      <c r="A929" s="141"/>
      <c r="B929" s="141"/>
      <c r="C929" s="141"/>
      <c r="D929" s="49"/>
      <c r="E929" s="49"/>
      <c r="F929" s="49"/>
      <c r="G929" s="49"/>
      <c r="H929" s="49"/>
      <c r="I929" s="49"/>
      <c r="J929" s="49"/>
      <c r="K929" s="49"/>
      <c r="L929" s="49"/>
      <c r="M929" s="49"/>
      <c r="N929" s="49"/>
      <c r="O929" s="49"/>
      <c r="P929" s="49"/>
      <c r="Q929" s="49"/>
      <c r="R929" s="49"/>
      <c r="S929" s="49"/>
      <c r="T929" s="49"/>
      <c r="U929" s="49"/>
      <c r="V929" s="49"/>
      <c r="W929" s="49"/>
      <c r="X929" s="49"/>
      <c r="Y929" s="49"/>
      <c r="Z929" s="49"/>
      <c r="AA929" s="49"/>
      <c r="AB929" s="49"/>
      <c r="AC929" s="49"/>
      <c r="AD929" s="49"/>
    </row>
    <row r="930" spans="1:30" ht="13">
      <c r="A930" s="141"/>
      <c r="B930" s="141"/>
      <c r="C930" s="141"/>
      <c r="D930" s="49"/>
      <c r="E930" s="49"/>
      <c r="F930" s="49"/>
      <c r="G930" s="49"/>
      <c r="H930" s="49"/>
      <c r="I930" s="49"/>
      <c r="J930" s="49"/>
      <c r="K930" s="49"/>
      <c r="L930" s="49"/>
      <c r="M930" s="49"/>
      <c r="N930" s="49"/>
      <c r="O930" s="49"/>
      <c r="P930" s="49"/>
      <c r="Q930" s="49"/>
      <c r="R930" s="49"/>
      <c r="S930" s="49"/>
      <c r="T930" s="49"/>
      <c r="U930" s="49"/>
      <c r="V930" s="49"/>
      <c r="W930" s="49"/>
      <c r="X930" s="49"/>
      <c r="Y930" s="49"/>
      <c r="Z930" s="49"/>
      <c r="AA930" s="49"/>
      <c r="AB930" s="49"/>
      <c r="AC930" s="49"/>
      <c r="AD930" s="49"/>
    </row>
    <row r="931" spans="1:30" ht="13">
      <c r="A931" s="141"/>
      <c r="B931" s="141"/>
      <c r="C931" s="141"/>
      <c r="D931" s="49"/>
      <c r="E931" s="49"/>
      <c r="F931" s="49"/>
      <c r="G931" s="49"/>
      <c r="H931" s="49"/>
      <c r="I931" s="49"/>
      <c r="J931" s="49"/>
      <c r="K931" s="49"/>
      <c r="L931" s="49"/>
      <c r="M931" s="49"/>
      <c r="N931" s="49"/>
      <c r="O931" s="49"/>
      <c r="P931" s="49"/>
      <c r="Q931" s="49"/>
      <c r="R931" s="49"/>
      <c r="S931" s="49"/>
      <c r="T931" s="49"/>
      <c r="U931" s="49"/>
      <c r="V931" s="49"/>
      <c r="W931" s="49"/>
      <c r="X931" s="49"/>
      <c r="Y931" s="49"/>
      <c r="Z931" s="49"/>
      <c r="AA931" s="49"/>
      <c r="AB931" s="49"/>
      <c r="AC931" s="49"/>
      <c r="AD931" s="49"/>
    </row>
    <row r="932" spans="1:30" ht="13">
      <c r="A932" s="141"/>
      <c r="B932" s="141"/>
      <c r="C932" s="141"/>
      <c r="D932" s="49"/>
      <c r="E932" s="49"/>
      <c r="F932" s="49"/>
      <c r="G932" s="49"/>
      <c r="H932" s="49"/>
      <c r="I932" s="49"/>
      <c r="J932" s="49"/>
      <c r="K932" s="49"/>
      <c r="L932" s="49"/>
      <c r="M932" s="49"/>
      <c r="N932" s="49"/>
      <c r="O932" s="49"/>
      <c r="P932" s="49"/>
      <c r="Q932" s="49"/>
      <c r="R932" s="49"/>
      <c r="S932" s="49"/>
      <c r="T932" s="49"/>
      <c r="U932" s="49"/>
      <c r="V932" s="49"/>
      <c r="W932" s="49"/>
      <c r="X932" s="49"/>
      <c r="Y932" s="49"/>
      <c r="Z932" s="49"/>
      <c r="AA932" s="49"/>
      <c r="AB932" s="49"/>
      <c r="AC932" s="49"/>
      <c r="AD932" s="49"/>
    </row>
    <row r="933" spans="1:30" ht="13">
      <c r="A933" s="141"/>
      <c r="B933" s="141"/>
      <c r="C933" s="141"/>
      <c r="D933" s="49"/>
      <c r="E933" s="49"/>
      <c r="F933" s="49"/>
      <c r="G933" s="49"/>
      <c r="H933" s="49"/>
      <c r="I933" s="49"/>
      <c r="J933" s="49"/>
      <c r="K933" s="49"/>
      <c r="L933" s="49"/>
      <c r="M933" s="49"/>
      <c r="N933" s="49"/>
      <c r="O933" s="49"/>
      <c r="P933" s="49"/>
      <c r="Q933" s="49"/>
      <c r="R933" s="49"/>
      <c r="S933" s="49"/>
      <c r="T933" s="49"/>
      <c r="U933" s="49"/>
      <c r="V933" s="49"/>
      <c r="W933" s="49"/>
      <c r="X933" s="49"/>
      <c r="Y933" s="49"/>
      <c r="Z933" s="49"/>
      <c r="AA933" s="49"/>
      <c r="AB933" s="49"/>
      <c r="AC933" s="49"/>
      <c r="AD933" s="49"/>
    </row>
    <row r="934" spans="1:30" ht="13">
      <c r="A934" s="141"/>
      <c r="B934" s="141"/>
      <c r="C934" s="141"/>
      <c r="D934" s="49"/>
      <c r="E934" s="49"/>
      <c r="F934" s="49"/>
      <c r="G934" s="49"/>
      <c r="H934" s="49"/>
      <c r="I934" s="49"/>
      <c r="J934" s="49"/>
      <c r="K934" s="49"/>
      <c r="L934" s="49"/>
      <c r="M934" s="49"/>
      <c r="N934" s="49"/>
      <c r="O934" s="49"/>
      <c r="P934" s="49"/>
      <c r="Q934" s="49"/>
      <c r="R934" s="49"/>
      <c r="S934" s="49"/>
      <c r="T934" s="49"/>
      <c r="U934" s="49"/>
      <c r="V934" s="49"/>
      <c r="W934" s="49"/>
      <c r="X934" s="49"/>
      <c r="Y934" s="49"/>
      <c r="Z934" s="49"/>
      <c r="AA934" s="49"/>
      <c r="AB934" s="49"/>
      <c r="AC934" s="49"/>
      <c r="AD934" s="49"/>
    </row>
    <row r="935" spans="1:30" ht="13">
      <c r="A935" s="141"/>
      <c r="B935" s="141"/>
      <c r="C935" s="141"/>
      <c r="D935" s="49"/>
      <c r="E935" s="49"/>
      <c r="F935" s="49"/>
      <c r="G935" s="49"/>
      <c r="H935" s="49"/>
      <c r="I935" s="49"/>
      <c r="J935" s="49"/>
      <c r="K935" s="49"/>
      <c r="L935" s="49"/>
      <c r="M935" s="49"/>
      <c r="N935" s="49"/>
      <c r="O935" s="49"/>
      <c r="P935" s="49"/>
      <c r="Q935" s="49"/>
      <c r="R935" s="49"/>
      <c r="S935" s="49"/>
      <c r="T935" s="49"/>
      <c r="U935" s="49"/>
      <c r="V935" s="49"/>
      <c r="W935" s="49"/>
      <c r="X935" s="49"/>
      <c r="Y935" s="49"/>
      <c r="Z935" s="49"/>
      <c r="AA935" s="49"/>
      <c r="AB935" s="49"/>
      <c r="AC935" s="49"/>
      <c r="AD935" s="49"/>
    </row>
    <row r="936" spans="1:30" ht="13">
      <c r="A936" s="141"/>
      <c r="B936" s="141"/>
      <c r="C936" s="141"/>
      <c r="D936" s="49"/>
      <c r="E936" s="49"/>
      <c r="F936" s="49"/>
      <c r="G936" s="49"/>
      <c r="H936" s="49"/>
      <c r="I936" s="49"/>
      <c r="J936" s="49"/>
      <c r="K936" s="49"/>
      <c r="L936" s="49"/>
      <c r="M936" s="49"/>
      <c r="N936" s="49"/>
      <c r="O936" s="49"/>
      <c r="P936" s="49"/>
      <c r="Q936" s="49"/>
      <c r="R936" s="49"/>
      <c r="S936" s="49"/>
      <c r="T936" s="49"/>
      <c r="U936" s="49"/>
      <c r="V936" s="49"/>
      <c r="W936" s="49"/>
      <c r="X936" s="49"/>
      <c r="Y936" s="49"/>
      <c r="Z936" s="49"/>
      <c r="AA936" s="49"/>
      <c r="AB936" s="49"/>
      <c r="AC936" s="49"/>
      <c r="AD936" s="49"/>
    </row>
    <row r="937" spans="1:30" ht="13">
      <c r="A937" s="141"/>
      <c r="B937" s="141"/>
      <c r="C937" s="141"/>
      <c r="D937" s="49"/>
      <c r="E937" s="49"/>
      <c r="F937" s="49"/>
      <c r="G937" s="49"/>
      <c r="H937" s="49"/>
      <c r="I937" s="49"/>
      <c r="J937" s="49"/>
      <c r="K937" s="49"/>
      <c r="L937" s="49"/>
      <c r="M937" s="49"/>
      <c r="N937" s="49"/>
      <c r="O937" s="49"/>
      <c r="P937" s="49"/>
      <c r="Q937" s="49"/>
      <c r="R937" s="49"/>
      <c r="S937" s="49"/>
      <c r="T937" s="49"/>
      <c r="U937" s="49"/>
      <c r="V937" s="49"/>
      <c r="W937" s="49"/>
      <c r="X937" s="49"/>
      <c r="Y937" s="49"/>
      <c r="Z937" s="49"/>
      <c r="AA937" s="49"/>
      <c r="AB937" s="49"/>
      <c r="AC937" s="49"/>
      <c r="AD937" s="49"/>
    </row>
    <row r="938" spans="1:30" ht="13">
      <c r="A938" s="141"/>
      <c r="B938" s="141"/>
      <c r="C938" s="141"/>
      <c r="D938" s="49"/>
      <c r="E938" s="49"/>
      <c r="F938" s="49"/>
      <c r="G938" s="49"/>
      <c r="H938" s="49"/>
      <c r="I938" s="49"/>
      <c r="J938" s="49"/>
      <c r="K938" s="49"/>
      <c r="L938" s="49"/>
      <c r="M938" s="49"/>
      <c r="N938" s="49"/>
      <c r="O938" s="49"/>
      <c r="P938" s="49"/>
      <c r="Q938" s="49"/>
      <c r="R938" s="49"/>
      <c r="S938" s="49"/>
      <c r="T938" s="49"/>
      <c r="U938" s="49"/>
      <c r="V938" s="49"/>
      <c r="W938" s="49"/>
      <c r="X938" s="49"/>
      <c r="Y938" s="49"/>
      <c r="Z938" s="49"/>
      <c r="AA938" s="49"/>
      <c r="AB938" s="49"/>
      <c r="AC938" s="49"/>
      <c r="AD938" s="49"/>
    </row>
    <row r="939" spans="1:30" ht="13">
      <c r="A939" s="141"/>
      <c r="B939" s="141"/>
      <c r="C939" s="141"/>
      <c r="D939" s="49"/>
      <c r="E939" s="49"/>
      <c r="F939" s="49"/>
      <c r="G939" s="49"/>
      <c r="H939" s="49"/>
      <c r="I939" s="49"/>
      <c r="J939" s="49"/>
      <c r="K939" s="49"/>
      <c r="L939" s="49"/>
      <c r="M939" s="49"/>
      <c r="N939" s="49"/>
      <c r="O939" s="49"/>
      <c r="P939" s="49"/>
      <c r="Q939" s="49"/>
      <c r="R939" s="49"/>
      <c r="S939" s="49"/>
      <c r="T939" s="49"/>
      <c r="U939" s="49"/>
      <c r="V939" s="49"/>
      <c r="W939" s="49"/>
      <c r="X939" s="49"/>
      <c r="Y939" s="49"/>
      <c r="Z939" s="49"/>
      <c r="AA939" s="49"/>
      <c r="AB939" s="49"/>
      <c r="AC939" s="49"/>
      <c r="AD939" s="49"/>
    </row>
    <row r="940" spans="1:30" ht="13">
      <c r="A940" s="141"/>
      <c r="B940" s="141"/>
      <c r="C940" s="141"/>
      <c r="D940" s="49"/>
      <c r="E940" s="49"/>
      <c r="F940" s="49"/>
      <c r="G940" s="49"/>
      <c r="H940" s="49"/>
      <c r="I940" s="49"/>
      <c r="J940" s="49"/>
      <c r="K940" s="49"/>
      <c r="L940" s="49"/>
      <c r="M940" s="49"/>
      <c r="N940" s="49"/>
      <c r="O940" s="49"/>
      <c r="P940" s="49"/>
      <c r="Q940" s="49"/>
      <c r="R940" s="49"/>
      <c r="S940" s="49"/>
      <c r="T940" s="49"/>
      <c r="U940" s="49"/>
      <c r="V940" s="49"/>
      <c r="W940" s="49"/>
      <c r="X940" s="49"/>
      <c r="Y940" s="49"/>
      <c r="Z940" s="49"/>
      <c r="AA940" s="49"/>
      <c r="AB940" s="49"/>
      <c r="AC940" s="49"/>
      <c r="AD940" s="49"/>
    </row>
    <row r="941" spans="1:30" ht="13">
      <c r="A941" s="141"/>
      <c r="B941" s="141"/>
      <c r="C941" s="141"/>
      <c r="D941" s="49"/>
      <c r="E941" s="49"/>
      <c r="F941" s="49"/>
      <c r="G941" s="49"/>
      <c r="H941" s="49"/>
      <c r="I941" s="49"/>
      <c r="J941" s="49"/>
      <c r="K941" s="49"/>
      <c r="L941" s="49"/>
      <c r="M941" s="49"/>
      <c r="N941" s="49"/>
      <c r="O941" s="49"/>
      <c r="P941" s="49"/>
      <c r="Q941" s="49"/>
      <c r="R941" s="49"/>
      <c r="S941" s="49"/>
      <c r="T941" s="49"/>
      <c r="U941" s="49"/>
      <c r="V941" s="49"/>
      <c r="W941" s="49"/>
      <c r="X941" s="49"/>
      <c r="Y941" s="49"/>
      <c r="Z941" s="49"/>
      <c r="AA941" s="49"/>
      <c r="AB941" s="49"/>
      <c r="AC941" s="49"/>
      <c r="AD941" s="49"/>
    </row>
    <row r="942" spans="1:30" ht="13">
      <c r="A942" s="141"/>
      <c r="B942" s="141"/>
      <c r="C942" s="141"/>
      <c r="D942" s="49"/>
      <c r="E942" s="49"/>
      <c r="F942" s="49"/>
      <c r="G942" s="49"/>
      <c r="H942" s="49"/>
      <c r="I942" s="49"/>
      <c r="J942" s="49"/>
      <c r="K942" s="49"/>
      <c r="L942" s="49"/>
      <c r="M942" s="49"/>
      <c r="N942" s="49"/>
      <c r="O942" s="49"/>
      <c r="P942" s="49"/>
      <c r="Q942" s="49"/>
      <c r="R942" s="49"/>
      <c r="S942" s="49"/>
      <c r="T942" s="49"/>
      <c r="U942" s="49"/>
      <c r="V942" s="49"/>
      <c r="W942" s="49"/>
      <c r="X942" s="49"/>
      <c r="Y942" s="49"/>
      <c r="Z942" s="49"/>
      <c r="AA942" s="49"/>
      <c r="AB942" s="49"/>
      <c r="AC942" s="49"/>
      <c r="AD942" s="49"/>
    </row>
    <row r="943" spans="1:30" ht="13">
      <c r="A943" s="141"/>
      <c r="B943" s="141"/>
      <c r="C943" s="141"/>
      <c r="D943" s="49"/>
      <c r="E943" s="49"/>
      <c r="F943" s="49"/>
      <c r="G943" s="49"/>
      <c r="H943" s="49"/>
      <c r="I943" s="49"/>
      <c r="J943" s="49"/>
      <c r="K943" s="49"/>
      <c r="L943" s="49"/>
      <c r="M943" s="49"/>
      <c r="N943" s="49"/>
      <c r="O943" s="49"/>
      <c r="P943" s="49"/>
      <c r="Q943" s="49"/>
      <c r="R943" s="49"/>
      <c r="S943" s="49"/>
      <c r="T943" s="49"/>
      <c r="U943" s="49"/>
      <c r="V943" s="49"/>
      <c r="W943" s="49"/>
      <c r="X943" s="49"/>
      <c r="Y943" s="49"/>
      <c r="Z943" s="49"/>
      <c r="AA943" s="49"/>
      <c r="AB943" s="49"/>
      <c r="AC943" s="49"/>
      <c r="AD943" s="49"/>
    </row>
    <row r="944" spans="1:30" ht="13">
      <c r="A944" s="141"/>
      <c r="B944" s="141"/>
      <c r="C944" s="141"/>
      <c r="D944" s="49"/>
      <c r="E944" s="49"/>
      <c r="F944" s="49"/>
      <c r="G944" s="49"/>
      <c r="H944" s="49"/>
      <c r="I944" s="49"/>
      <c r="J944" s="49"/>
      <c r="K944" s="49"/>
      <c r="L944" s="49"/>
      <c r="M944" s="49"/>
      <c r="N944" s="49"/>
      <c r="O944" s="49"/>
      <c r="P944" s="49"/>
      <c r="Q944" s="49"/>
      <c r="R944" s="49"/>
      <c r="S944" s="49"/>
      <c r="T944" s="49"/>
      <c r="U944" s="49"/>
      <c r="V944" s="49"/>
      <c r="W944" s="49"/>
      <c r="X944" s="49"/>
      <c r="Y944" s="49"/>
      <c r="Z944" s="49"/>
      <c r="AA944" s="49"/>
      <c r="AB944" s="49"/>
      <c r="AC944" s="49"/>
      <c r="AD944" s="49"/>
    </row>
    <row r="945" spans="1:30" ht="13">
      <c r="A945" s="141"/>
      <c r="B945" s="141"/>
      <c r="C945" s="141"/>
      <c r="D945" s="49"/>
      <c r="E945" s="49"/>
      <c r="F945" s="49"/>
      <c r="G945" s="49"/>
      <c r="H945" s="49"/>
      <c r="I945" s="49"/>
      <c r="J945" s="49"/>
      <c r="K945" s="49"/>
      <c r="L945" s="49"/>
      <c r="M945" s="49"/>
      <c r="N945" s="49"/>
      <c r="O945" s="49"/>
      <c r="P945" s="49"/>
      <c r="Q945" s="49"/>
      <c r="R945" s="49"/>
      <c r="S945" s="49"/>
      <c r="T945" s="49"/>
      <c r="U945" s="49"/>
      <c r="V945" s="49"/>
      <c r="W945" s="49"/>
      <c r="X945" s="49"/>
      <c r="Y945" s="49"/>
      <c r="Z945" s="49"/>
      <c r="AA945" s="49"/>
      <c r="AB945" s="49"/>
      <c r="AC945" s="49"/>
      <c r="AD945" s="49"/>
    </row>
    <row r="946" spans="1:30" ht="13">
      <c r="A946" s="141"/>
      <c r="B946" s="141"/>
      <c r="C946" s="141"/>
      <c r="D946" s="49"/>
      <c r="E946" s="49"/>
      <c r="F946" s="49"/>
      <c r="G946" s="49"/>
      <c r="H946" s="49"/>
      <c r="I946" s="49"/>
      <c r="J946" s="49"/>
      <c r="K946" s="49"/>
      <c r="L946" s="49"/>
      <c r="M946" s="49"/>
      <c r="N946" s="49"/>
      <c r="O946" s="49"/>
      <c r="P946" s="49"/>
      <c r="Q946" s="49"/>
      <c r="R946" s="49"/>
      <c r="S946" s="49"/>
      <c r="T946" s="49"/>
      <c r="U946" s="49"/>
      <c r="V946" s="49"/>
      <c r="W946" s="49"/>
      <c r="X946" s="49"/>
      <c r="Y946" s="49"/>
      <c r="Z946" s="49"/>
      <c r="AA946" s="49"/>
      <c r="AB946" s="49"/>
      <c r="AC946" s="49"/>
      <c r="AD946" s="49"/>
    </row>
    <row r="947" spans="1:30" ht="13">
      <c r="A947" s="141"/>
      <c r="B947" s="141"/>
      <c r="C947" s="141"/>
      <c r="D947" s="49"/>
      <c r="E947" s="49"/>
      <c r="F947" s="49"/>
      <c r="G947" s="49"/>
      <c r="H947" s="49"/>
      <c r="I947" s="49"/>
      <c r="J947" s="49"/>
      <c r="K947" s="49"/>
      <c r="L947" s="49"/>
      <c r="M947" s="49"/>
      <c r="N947" s="49"/>
      <c r="O947" s="49"/>
      <c r="P947" s="49"/>
      <c r="Q947" s="49"/>
      <c r="R947" s="49"/>
      <c r="S947" s="49"/>
      <c r="T947" s="49"/>
      <c r="U947" s="49"/>
      <c r="V947" s="49"/>
      <c r="W947" s="49"/>
      <c r="X947" s="49"/>
      <c r="Y947" s="49"/>
      <c r="Z947" s="49"/>
      <c r="AA947" s="49"/>
      <c r="AB947" s="49"/>
      <c r="AC947" s="49"/>
      <c r="AD947" s="49"/>
    </row>
    <row r="948" spans="1:30" ht="13">
      <c r="A948" s="141"/>
      <c r="B948" s="141"/>
      <c r="C948" s="141"/>
      <c r="D948" s="49"/>
      <c r="E948" s="49"/>
      <c r="F948" s="49"/>
      <c r="G948" s="49"/>
      <c r="H948" s="49"/>
      <c r="I948" s="49"/>
      <c r="J948" s="49"/>
      <c r="K948" s="49"/>
      <c r="L948" s="49"/>
      <c r="M948" s="49"/>
      <c r="N948" s="49"/>
      <c r="O948" s="49"/>
      <c r="P948" s="49"/>
      <c r="Q948" s="49"/>
      <c r="R948" s="49"/>
      <c r="S948" s="49"/>
      <c r="T948" s="49"/>
      <c r="U948" s="49"/>
      <c r="V948" s="49"/>
      <c r="W948" s="49"/>
      <c r="X948" s="49"/>
      <c r="Y948" s="49"/>
      <c r="Z948" s="49"/>
      <c r="AA948" s="49"/>
      <c r="AB948" s="49"/>
      <c r="AC948" s="49"/>
      <c r="AD948" s="49"/>
    </row>
    <row r="949" spans="1:30" ht="13">
      <c r="A949" s="141"/>
      <c r="B949" s="141"/>
      <c r="C949" s="141"/>
      <c r="D949" s="49"/>
      <c r="E949" s="49"/>
      <c r="F949" s="49"/>
      <c r="G949" s="49"/>
      <c r="H949" s="49"/>
      <c r="I949" s="49"/>
      <c r="J949" s="49"/>
      <c r="K949" s="49"/>
      <c r="L949" s="49"/>
      <c r="M949" s="49"/>
      <c r="N949" s="49"/>
      <c r="O949" s="49"/>
      <c r="P949" s="49"/>
      <c r="Q949" s="49"/>
      <c r="R949" s="49"/>
      <c r="S949" s="49"/>
      <c r="T949" s="49"/>
      <c r="U949" s="49"/>
      <c r="V949" s="49"/>
      <c r="W949" s="49"/>
      <c r="X949" s="49"/>
      <c r="Y949" s="49"/>
      <c r="Z949" s="49"/>
      <c r="AA949" s="49"/>
      <c r="AB949" s="49"/>
      <c r="AC949" s="49"/>
      <c r="AD949" s="49"/>
    </row>
    <row r="950" spans="1:30" ht="13">
      <c r="A950" s="141"/>
      <c r="B950" s="141"/>
      <c r="C950" s="141"/>
      <c r="D950" s="49"/>
      <c r="E950" s="49"/>
      <c r="F950" s="49"/>
      <c r="G950" s="49"/>
      <c r="H950" s="49"/>
      <c r="I950" s="49"/>
      <c r="J950" s="49"/>
      <c r="K950" s="49"/>
      <c r="L950" s="49"/>
      <c r="M950" s="49"/>
      <c r="N950" s="49"/>
      <c r="O950" s="49"/>
      <c r="P950" s="49"/>
      <c r="Q950" s="49"/>
      <c r="R950" s="49"/>
      <c r="S950" s="49"/>
      <c r="T950" s="49"/>
      <c r="U950" s="49"/>
      <c r="V950" s="49"/>
      <c r="W950" s="49"/>
      <c r="X950" s="49"/>
      <c r="Y950" s="49"/>
      <c r="Z950" s="49"/>
      <c r="AA950" s="49"/>
      <c r="AB950" s="49"/>
      <c r="AC950" s="49"/>
      <c r="AD950" s="49"/>
    </row>
    <row r="951" spans="1:30" ht="13">
      <c r="A951" s="141"/>
      <c r="B951" s="141"/>
      <c r="C951" s="141"/>
      <c r="D951" s="49"/>
      <c r="E951" s="49"/>
      <c r="F951" s="49"/>
      <c r="G951" s="49"/>
      <c r="H951" s="49"/>
      <c r="I951" s="49"/>
      <c r="J951" s="49"/>
      <c r="K951" s="49"/>
      <c r="L951" s="49"/>
      <c r="M951" s="49"/>
      <c r="N951" s="49"/>
      <c r="O951" s="49"/>
      <c r="P951" s="49"/>
      <c r="Q951" s="49"/>
      <c r="R951" s="49"/>
      <c r="S951" s="49"/>
      <c r="T951" s="49"/>
      <c r="U951" s="49"/>
      <c r="V951" s="49"/>
      <c r="W951" s="49"/>
      <c r="X951" s="49"/>
      <c r="Y951" s="49"/>
      <c r="Z951" s="49"/>
      <c r="AA951" s="49"/>
      <c r="AB951" s="49"/>
      <c r="AC951" s="49"/>
      <c r="AD951" s="49"/>
    </row>
    <row r="952" spans="1:30" ht="13">
      <c r="A952" s="141"/>
      <c r="B952" s="141"/>
      <c r="C952" s="141"/>
      <c r="D952" s="49"/>
      <c r="E952" s="49"/>
      <c r="F952" s="49"/>
      <c r="G952" s="49"/>
      <c r="H952" s="49"/>
      <c r="I952" s="49"/>
      <c r="J952" s="49"/>
      <c r="K952" s="49"/>
      <c r="L952" s="49"/>
      <c r="M952" s="49"/>
      <c r="N952" s="49"/>
      <c r="O952" s="49"/>
      <c r="P952" s="49"/>
      <c r="Q952" s="49"/>
      <c r="R952" s="49"/>
      <c r="S952" s="49"/>
      <c r="T952" s="49"/>
      <c r="U952" s="49"/>
      <c r="V952" s="49"/>
      <c r="W952" s="49"/>
      <c r="X952" s="49"/>
      <c r="Y952" s="49"/>
      <c r="Z952" s="49"/>
      <c r="AA952" s="49"/>
      <c r="AB952" s="49"/>
      <c r="AC952" s="49"/>
      <c r="AD952" s="49"/>
    </row>
    <row r="953" spans="1:30" ht="13">
      <c r="A953" s="141"/>
      <c r="B953" s="141"/>
      <c r="C953" s="141"/>
      <c r="D953" s="49"/>
      <c r="E953" s="49"/>
      <c r="F953" s="49"/>
      <c r="G953" s="49"/>
      <c r="H953" s="49"/>
      <c r="I953" s="49"/>
      <c r="J953" s="49"/>
      <c r="K953" s="49"/>
      <c r="L953" s="49"/>
      <c r="M953" s="49"/>
      <c r="N953" s="49"/>
      <c r="O953" s="49"/>
      <c r="P953" s="49"/>
      <c r="Q953" s="49"/>
      <c r="R953" s="49"/>
      <c r="S953" s="49"/>
      <c r="T953" s="49"/>
      <c r="U953" s="49"/>
      <c r="V953" s="49"/>
      <c r="W953" s="49"/>
      <c r="X953" s="49"/>
      <c r="Y953" s="49"/>
      <c r="Z953" s="49"/>
      <c r="AA953" s="49"/>
      <c r="AB953" s="49"/>
      <c r="AC953" s="49"/>
      <c r="AD953" s="49"/>
    </row>
    <row r="954" spans="1:30" ht="13">
      <c r="A954" s="141"/>
      <c r="B954" s="141"/>
      <c r="C954" s="141"/>
      <c r="D954" s="49"/>
      <c r="E954" s="49"/>
      <c r="F954" s="49"/>
      <c r="G954" s="49"/>
      <c r="H954" s="49"/>
      <c r="I954" s="49"/>
      <c r="J954" s="49"/>
      <c r="K954" s="49"/>
      <c r="L954" s="49"/>
      <c r="M954" s="49"/>
      <c r="N954" s="49"/>
      <c r="O954" s="49"/>
      <c r="P954" s="49"/>
      <c r="Q954" s="49"/>
      <c r="R954" s="49"/>
      <c r="S954" s="49"/>
      <c r="T954" s="49"/>
      <c r="U954" s="49"/>
      <c r="V954" s="49"/>
      <c r="W954" s="49"/>
      <c r="X954" s="49"/>
      <c r="Y954" s="49"/>
      <c r="Z954" s="49"/>
      <c r="AA954" s="49"/>
      <c r="AB954" s="49"/>
      <c r="AC954" s="49"/>
      <c r="AD954" s="49"/>
    </row>
    <row r="955" spans="1:30" ht="13">
      <c r="A955" s="141"/>
      <c r="B955" s="141"/>
      <c r="C955" s="141"/>
      <c r="D955" s="49"/>
      <c r="E955" s="49"/>
      <c r="F955" s="49"/>
      <c r="G955" s="49"/>
      <c r="H955" s="49"/>
      <c r="I955" s="49"/>
      <c r="J955" s="49"/>
      <c r="K955" s="49"/>
      <c r="L955" s="49"/>
      <c r="M955" s="49"/>
      <c r="N955" s="49"/>
      <c r="O955" s="49"/>
      <c r="P955" s="49"/>
      <c r="Q955" s="49"/>
      <c r="R955" s="49"/>
      <c r="S955" s="49"/>
      <c r="T955" s="49"/>
      <c r="U955" s="49"/>
      <c r="V955" s="49"/>
      <c r="W955" s="49"/>
      <c r="X955" s="49"/>
      <c r="Y955" s="49"/>
      <c r="Z955" s="49"/>
      <c r="AA955" s="49"/>
      <c r="AB955" s="49"/>
      <c r="AC955" s="49"/>
      <c r="AD955" s="49"/>
    </row>
    <row r="956" spans="1:30" ht="13">
      <c r="A956" s="141"/>
      <c r="B956" s="141"/>
      <c r="C956" s="141"/>
      <c r="D956" s="49"/>
      <c r="E956" s="49"/>
      <c r="F956" s="49"/>
      <c r="G956" s="49"/>
      <c r="H956" s="49"/>
      <c r="I956" s="49"/>
      <c r="J956" s="49"/>
      <c r="K956" s="49"/>
      <c r="L956" s="49"/>
      <c r="M956" s="49"/>
      <c r="N956" s="49"/>
      <c r="O956" s="49"/>
      <c r="P956" s="49"/>
      <c r="Q956" s="49"/>
      <c r="R956" s="49"/>
      <c r="S956" s="49"/>
      <c r="T956" s="49"/>
      <c r="U956" s="49"/>
      <c r="V956" s="49"/>
      <c r="W956" s="49"/>
      <c r="X956" s="49"/>
      <c r="Y956" s="49"/>
      <c r="Z956" s="49"/>
      <c r="AA956" s="49"/>
      <c r="AB956" s="49"/>
      <c r="AC956" s="49"/>
      <c r="AD956" s="49"/>
    </row>
    <row r="957" spans="1:30" ht="13">
      <c r="A957" s="141"/>
      <c r="B957" s="141"/>
      <c r="C957" s="141"/>
      <c r="D957" s="49"/>
      <c r="E957" s="49"/>
      <c r="F957" s="49"/>
      <c r="G957" s="49"/>
      <c r="H957" s="49"/>
      <c r="I957" s="49"/>
      <c r="J957" s="49"/>
      <c r="K957" s="49"/>
      <c r="L957" s="49"/>
      <c r="M957" s="49"/>
      <c r="N957" s="49"/>
      <c r="O957" s="49"/>
      <c r="P957" s="49"/>
      <c r="Q957" s="49"/>
      <c r="R957" s="49"/>
      <c r="S957" s="49"/>
      <c r="T957" s="49"/>
      <c r="U957" s="49"/>
      <c r="V957" s="49"/>
      <c r="W957" s="49"/>
      <c r="X957" s="49"/>
      <c r="Y957" s="49"/>
      <c r="Z957" s="49"/>
      <c r="AA957" s="49"/>
      <c r="AB957" s="49"/>
      <c r="AC957" s="49"/>
      <c r="AD957" s="49"/>
    </row>
    <row r="958" spans="1:30" ht="13">
      <c r="A958" s="141"/>
      <c r="B958" s="141"/>
      <c r="C958" s="141"/>
      <c r="D958" s="49"/>
      <c r="E958" s="49"/>
      <c r="F958" s="49"/>
      <c r="G958" s="49"/>
      <c r="H958" s="49"/>
      <c r="I958" s="49"/>
      <c r="J958" s="49"/>
      <c r="K958" s="49"/>
      <c r="L958" s="49"/>
      <c r="M958" s="49"/>
      <c r="N958" s="49"/>
      <c r="O958" s="49"/>
      <c r="P958" s="49"/>
      <c r="Q958" s="49"/>
      <c r="R958" s="49"/>
      <c r="S958" s="49"/>
      <c r="T958" s="49"/>
      <c r="U958" s="49"/>
      <c r="V958" s="49"/>
      <c r="W958" s="49"/>
      <c r="X958" s="49"/>
      <c r="Y958" s="49"/>
      <c r="Z958" s="49"/>
      <c r="AA958" s="49"/>
      <c r="AB958" s="49"/>
      <c r="AC958" s="49"/>
      <c r="AD958" s="49"/>
    </row>
    <row r="959" spans="1:30" ht="13">
      <c r="A959" s="141"/>
      <c r="B959" s="141"/>
      <c r="C959" s="141"/>
      <c r="D959" s="49"/>
      <c r="E959" s="49"/>
      <c r="F959" s="49"/>
      <c r="G959" s="49"/>
      <c r="H959" s="49"/>
      <c r="I959" s="49"/>
      <c r="J959" s="49"/>
      <c r="K959" s="49"/>
      <c r="L959" s="49"/>
      <c r="M959" s="49"/>
      <c r="N959" s="49"/>
      <c r="O959" s="49"/>
      <c r="P959" s="49"/>
      <c r="Q959" s="49"/>
      <c r="R959" s="49"/>
      <c r="S959" s="49"/>
      <c r="T959" s="49"/>
      <c r="U959" s="49"/>
      <c r="V959" s="49"/>
      <c r="W959" s="49"/>
      <c r="X959" s="49"/>
      <c r="Y959" s="49"/>
      <c r="Z959" s="49"/>
      <c r="AA959" s="49"/>
      <c r="AB959" s="49"/>
      <c r="AC959" s="49"/>
      <c r="AD959" s="49"/>
    </row>
    <row r="960" spans="1:30" ht="13">
      <c r="A960" s="141"/>
      <c r="B960" s="141"/>
      <c r="C960" s="141"/>
      <c r="D960" s="49"/>
      <c r="E960" s="49"/>
      <c r="F960" s="49"/>
      <c r="G960" s="49"/>
      <c r="H960" s="49"/>
      <c r="I960" s="49"/>
      <c r="J960" s="49"/>
      <c r="K960" s="49"/>
      <c r="L960" s="49"/>
      <c r="M960" s="49"/>
      <c r="N960" s="49"/>
      <c r="O960" s="49"/>
      <c r="P960" s="49"/>
      <c r="Q960" s="49"/>
      <c r="R960" s="49"/>
      <c r="S960" s="49"/>
      <c r="T960" s="49"/>
      <c r="U960" s="49"/>
      <c r="V960" s="49"/>
      <c r="W960" s="49"/>
      <c r="X960" s="49"/>
      <c r="Y960" s="49"/>
      <c r="Z960" s="49"/>
      <c r="AA960" s="49"/>
      <c r="AB960" s="49"/>
      <c r="AC960" s="49"/>
      <c r="AD960" s="49"/>
    </row>
    <row r="961" spans="1:30" ht="13">
      <c r="A961" s="141"/>
      <c r="B961" s="141"/>
      <c r="C961" s="141"/>
      <c r="D961" s="49"/>
      <c r="E961" s="49"/>
      <c r="F961" s="49"/>
      <c r="G961" s="49"/>
      <c r="H961" s="49"/>
      <c r="I961" s="49"/>
      <c r="J961" s="49"/>
      <c r="K961" s="49"/>
      <c r="L961" s="49"/>
      <c r="M961" s="49"/>
      <c r="N961" s="49"/>
      <c r="O961" s="49"/>
      <c r="P961" s="49"/>
      <c r="Q961" s="49"/>
      <c r="R961" s="49"/>
      <c r="S961" s="49"/>
      <c r="T961" s="49"/>
      <c r="U961" s="49"/>
      <c r="V961" s="49"/>
      <c r="W961" s="49"/>
      <c r="X961" s="49"/>
      <c r="Y961" s="49"/>
      <c r="Z961" s="49"/>
      <c r="AA961" s="49"/>
      <c r="AB961" s="49"/>
      <c r="AC961" s="49"/>
      <c r="AD961" s="49"/>
    </row>
    <row r="962" spans="1:30" ht="13">
      <c r="A962" s="141"/>
      <c r="B962" s="141"/>
      <c r="C962" s="141"/>
      <c r="D962" s="49"/>
      <c r="E962" s="49"/>
      <c r="F962" s="49"/>
      <c r="G962" s="49"/>
      <c r="H962" s="49"/>
      <c r="I962" s="49"/>
      <c r="J962" s="49"/>
      <c r="K962" s="49"/>
      <c r="L962" s="49"/>
      <c r="M962" s="49"/>
      <c r="N962" s="49"/>
      <c r="O962" s="49"/>
      <c r="P962" s="49"/>
      <c r="Q962" s="49"/>
      <c r="R962" s="49"/>
      <c r="S962" s="49"/>
      <c r="T962" s="49"/>
      <c r="U962" s="49"/>
      <c r="V962" s="49"/>
      <c r="W962" s="49"/>
      <c r="X962" s="49"/>
      <c r="Y962" s="49"/>
      <c r="Z962" s="49"/>
      <c r="AA962" s="49"/>
      <c r="AB962" s="49"/>
      <c r="AC962" s="49"/>
      <c r="AD962" s="49"/>
    </row>
    <row r="963" spans="1:30" ht="13">
      <c r="A963" s="141"/>
      <c r="B963" s="141"/>
      <c r="C963" s="141"/>
      <c r="D963" s="49"/>
      <c r="E963" s="49"/>
      <c r="F963" s="49"/>
      <c r="G963" s="49"/>
      <c r="H963" s="49"/>
      <c r="I963" s="49"/>
      <c r="J963" s="49"/>
      <c r="K963" s="49"/>
      <c r="L963" s="49"/>
      <c r="M963" s="49"/>
      <c r="N963" s="49"/>
      <c r="O963" s="49"/>
      <c r="P963" s="49"/>
      <c r="Q963" s="49"/>
      <c r="R963" s="49"/>
      <c r="S963" s="49"/>
      <c r="T963" s="49"/>
      <c r="U963" s="49"/>
      <c r="V963" s="49"/>
      <c r="W963" s="49"/>
      <c r="X963" s="49"/>
      <c r="Y963" s="49"/>
      <c r="Z963" s="49"/>
      <c r="AA963" s="49"/>
      <c r="AB963" s="49"/>
      <c r="AC963" s="49"/>
      <c r="AD963" s="49"/>
    </row>
    <row r="964" spans="1:30" ht="13">
      <c r="A964" s="141"/>
      <c r="B964" s="141"/>
      <c r="C964" s="141"/>
      <c r="D964" s="49"/>
      <c r="E964" s="49"/>
      <c r="F964" s="49"/>
      <c r="G964" s="49"/>
      <c r="H964" s="49"/>
      <c r="I964" s="49"/>
      <c r="J964" s="49"/>
      <c r="K964" s="49"/>
      <c r="L964" s="49"/>
      <c r="M964" s="49"/>
      <c r="N964" s="49"/>
      <c r="O964" s="49"/>
      <c r="P964" s="49"/>
      <c r="Q964" s="49"/>
      <c r="R964" s="49"/>
      <c r="S964" s="49"/>
      <c r="T964" s="49"/>
      <c r="U964" s="49"/>
      <c r="V964" s="49"/>
      <c r="W964" s="49"/>
      <c r="X964" s="49"/>
      <c r="Y964" s="49"/>
      <c r="Z964" s="49"/>
      <c r="AA964" s="49"/>
      <c r="AB964" s="49"/>
      <c r="AC964" s="49"/>
      <c r="AD964" s="49"/>
    </row>
    <row r="965" spans="1:30" ht="13">
      <c r="A965" s="141"/>
      <c r="B965" s="141"/>
      <c r="C965" s="141"/>
      <c r="D965" s="49"/>
      <c r="E965" s="49"/>
      <c r="F965" s="49"/>
      <c r="G965" s="49"/>
      <c r="H965" s="49"/>
      <c r="I965" s="49"/>
      <c r="J965" s="49"/>
      <c r="K965" s="49"/>
      <c r="L965" s="49"/>
      <c r="M965" s="49"/>
      <c r="N965" s="49"/>
      <c r="O965" s="49"/>
      <c r="P965" s="49"/>
      <c r="Q965" s="49"/>
      <c r="R965" s="49"/>
      <c r="S965" s="49"/>
      <c r="T965" s="49"/>
      <c r="U965" s="49"/>
      <c r="V965" s="49"/>
      <c r="W965" s="49"/>
      <c r="X965" s="49"/>
      <c r="Y965" s="49"/>
      <c r="Z965" s="49"/>
      <c r="AA965" s="49"/>
      <c r="AB965" s="49"/>
      <c r="AC965" s="49"/>
      <c r="AD965" s="49"/>
    </row>
    <row r="966" spans="1:30" ht="13">
      <c r="A966" s="141"/>
      <c r="B966" s="141"/>
      <c r="C966" s="141"/>
      <c r="D966" s="49"/>
      <c r="E966" s="49"/>
      <c r="F966" s="49"/>
      <c r="G966" s="49"/>
      <c r="H966" s="49"/>
      <c r="I966" s="49"/>
      <c r="J966" s="49"/>
      <c r="K966" s="49"/>
      <c r="L966" s="49"/>
      <c r="M966" s="49"/>
      <c r="N966" s="49"/>
      <c r="O966" s="49"/>
      <c r="P966" s="49"/>
      <c r="Q966" s="49"/>
      <c r="R966" s="49"/>
      <c r="S966" s="49"/>
      <c r="T966" s="49"/>
      <c r="U966" s="49"/>
      <c r="V966" s="49"/>
      <c r="W966" s="49"/>
      <c r="X966" s="49"/>
      <c r="Y966" s="49"/>
      <c r="Z966" s="49"/>
      <c r="AA966" s="49"/>
      <c r="AB966" s="49"/>
      <c r="AC966" s="49"/>
      <c r="AD966" s="49"/>
    </row>
    <row r="967" spans="1:30" ht="13">
      <c r="A967" s="141"/>
      <c r="B967" s="141"/>
      <c r="C967" s="141"/>
      <c r="D967" s="49"/>
      <c r="E967" s="49"/>
      <c r="F967" s="49"/>
      <c r="G967" s="49"/>
      <c r="H967" s="49"/>
      <c r="I967" s="49"/>
      <c r="J967" s="49"/>
      <c r="K967" s="49"/>
      <c r="L967" s="49"/>
      <c r="M967" s="49"/>
      <c r="N967" s="49"/>
      <c r="O967" s="49"/>
      <c r="P967" s="49"/>
      <c r="Q967" s="49"/>
      <c r="R967" s="49"/>
      <c r="S967" s="49"/>
      <c r="T967" s="49"/>
      <c r="U967" s="49"/>
      <c r="V967" s="49"/>
      <c r="W967" s="49"/>
      <c r="X967" s="49"/>
      <c r="Y967" s="49"/>
      <c r="Z967" s="49"/>
      <c r="AA967" s="49"/>
      <c r="AB967" s="49"/>
      <c r="AC967" s="49"/>
      <c r="AD967" s="49"/>
    </row>
    <row r="968" spans="1:30" ht="13">
      <c r="A968" s="141"/>
      <c r="B968" s="141"/>
      <c r="C968" s="141"/>
      <c r="D968" s="49"/>
      <c r="E968" s="49"/>
      <c r="F968" s="49"/>
      <c r="G968" s="49"/>
      <c r="H968" s="49"/>
      <c r="I968" s="49"/>
      <c r="J968" s="49"/>
      <c r="K968" s="49"/>
      <c r="L968" s="49"/>
      <c r="M968" s="49"/>
      <c r="N968" s="49"/>
      <c r="O968" s="49"/>
      <c r="P968" s="49"/>
      <c r="Q968" s="49"/>
      <c r="R968" s="49"/>
      <c r="S968" s="49"/>
      <c r="T968" s="49"/>
      <c r="U968" s="49"/>
      <c r="V968" s="49"/>
      <c r="W968" s="49"/>
      <c r="X968" s="49"/>
      <c r="Y968" s="49"/>
      <c r="Z968" s="49"/>
      <c r="AA968" s="49"/>
      <c r="AB968" s="49"/>
      <c r="AC968" s="49"/>
      <c r="AD968" s="49"/>
    </row>
    <row r="969" spans="1:30" ht="13">
      <c r="A969" s="141"/>
      <c r="B969" s="141"/>
      <c r="C969" s="141"/>
      <c r="D969" s="49"/>
      <c r="E969" s="49"/>
      <c r="F969" s="49"/>
      <c r="G969" s="49"/>
      <c r="H969" s="49"/>
      <c r="I969" s="49"/>
      <c r="J969" s="49"/>
      <c r="K969" s="49"/>
      <c r="L969" s="49"/>
      <c r="M969" s="49"/>
      <c r="N969" s="49"/>
      <c r="O969" s="49"/>
      <c r="P969" s="49"/>
      <c r="Q969" s="49"/>
      <c r="R969" s="49"/>
      <c r="S969" s="49"/>
      <c r="T969" s="49"/>
      <c r="U969" s="49"/>
      <c r="V969" s="49"/>
      <c r="W969" s="49"/>
      <c r="X969" s="49"/>
      <c r="Y969" s="49"/>
      <c r="Z969" s="49"/>
      <c r="AA969" s="49"/>
      <c r="AB969" s="49"/>
      <c r="AC969" s="49"/>
      <c r="AD969" s="49"/>
    </row>
    <row r="970" spans="1:30" ht="13">
      <c r="A970" s="141"/>
      <c r="B970" s="141"/>
      <c r="C970" s="141"/>
      <c r="D970" s="49"/>
      <c r="E970" s="49"/>
      <c r="F970" s="49"/>
      <c r="G970" s="49"/>
      <c r="H970" s="49"/>
      <c r="I970" s="49"/>
      <c r="J970" s="49"/>
      <c r="K970" s="49"/>
      <c r="L970" s="49"/>
      <c r="M970" s="49"/>
      <c r="N970" s="49"/>
      <c r="O970" s="49"/>
      <c r="P970" s="49"/>
      <c r="Q970" s="49"/>
      <c r="R970" s="49"/>
      <c r="S970" s="49"/>
      <c r="T970" s="49"/>
      <c r="U970" s="49"/>
      <c r="V970" s="49"/>
      <c r="W970" s="49"/>
      <c r="X970" s="49"/>
      <c r="Y970" s="49"/>
      <c r="Z970" s="49"/>
      <c r="AA970" s="49"/>
      <c r="AB970" s="49"/>
      <c r="AC970" s="49"/>
      <c r="AD970" s="49"/>
    </row>
    <row r="971" spans="1:30" ht="13">
      <c r="A971" s="141"/>
      <c r="B971" s="141"/>
      <c r="C971" s="141"/>
      <c r="D971" s="49"/>
      <c r="E971" s="49"/>
      <c r="F971" s="49"/>
      <c r="G971" s="49"/>
      <c r="H971" s="49"/>
      <c r="I971" s="49"/>
      <c r="J971" s="49"/>
      <c r="K971" s="49"/>
      <c r="L971" s="49"/>
      <c r="M971" s="49"/>
      <c r="N971" s="49"/>
      <c r="O971" s="49"/>
      <c r="P971" s="49"/>
      <c r="Q971" s="49"/>
      <c r="R971" s="49"/>
      <c r="S971" s="49"/>
      <c r="T971" s="49"/>
      <c r="U971" s="49"/>
      <c r="V971" s="49"/>
      <c r="W971" s="49"/>
      <c r="X971" s="49"/>
      <c r="Y971" s="49"/>
      <c r="Z971" s="49"/>
      <c r="AA971" s="49"/>
      <c r="AB971" s="49"/>
      <c r="AC971" s="49"/>
      <c r="AD971" s="49"/>
    </row>
    <row r="972" spans="1:30" ht="13">
      <c r="A972" s="141"/>
      <c r="B972" s="141"/>
      <c r="C972" s="141"/>
      <c r="D972" s="49"/>
      <c r="E972" s="49"/>
      <c r="F972" s="49"/>
      <c r="G972" s="49"/>
      <c r="H972" s="49"/>
      <c r="I972" s="49"/>
      <c r="J972" s="49"/>
      <c r="K972" s="49"/>
      <c r="L972" s="49"/>
      <c r="M972" s="49"/>
      <c r="N972" s="49"/>
      <c r="O972" s="49"/>
      <c r="P972" s="49"/>
      <c r="Q972" s="49"/>
      <c r="R972" s="49"/>
      <c r="S972" s="49"/>
      <c r="T972" s="49"/>
      <c r="U972" s="49"/>
      <c r="V972" s="49"/>
      <c r="W972" s="49"/>
      <c r="X972" s="49"/>
      <c r="Y972" s="49"/>
      <c r="Z972" s="49"/>
      <c r="AA972" s="49"/>
      <c r="AB972" s="49"/>
      <c r="AC972" s="49"/>
      <c r="AD972" s="49"/>
    </row>
    <row r="973" spans="1:30" ht="13">
      <c r="A973" s="141"/>
      <c r="B973" s="141"/>
      <c r="C973" s="141"/>
      <c r="D973" s="49"/>
      <c r="E973" s="49"/>
      <c r="F973" s="49"/>
      <c r="G973" s="49"/>
      <c r="H973" s="49"/>
      <c r="I973" s="49"/>
      <c r="J973" s="49"/>
      <c r="K973" s="49"/>
      <c r="L973" s="49"/>
      <c r="M973" s="49"/>
      <c r="N973" s="49"/>
      <c r="O973" s="49"/>
      <c r="P973" s="49"/>
      <c r="Q973" s="49"/>
      <c r="R973" s="49"/>
      <c r="S973" s="49"/>
      <c r="T973" s="49"/>
      <c r="U973" s="49"/>
      <c r="V973" s="49"/>
      <c r="W973" s="49"/>
      <c r="X973" s="49"/>
      <c r="Y973" s="49"/>
      <c r="Z973" s="49"/>
      <c r="AA973" s="49"/>
      <c r="AB973" s="49"/>
      <c r="AC973" s="49"/>
      <c r="AD973" s="49"/>
    </row>
    <row r="974" spans="1:30" ht="13">
      <c r="A974" s="141"/>
      <c r="B974" s="141"/>
      <c r="C974" s="141"/>
      <c r="D974" s="49"/>
      <c r="E974" s="49"/>
      <c r="F974" s="49"/>
      <c r="G974" s="49"/>
      <c r="H974" s="49"/>
      <c r="I974" s="49"/>
      <c r="J974" s="49"/>
      <c r="K974" s="49"/>
      <c r="L974" s="49"/>
      <c r="M974" s="49"/>
      <c r="N974" s="49"/>
      <c r="O974" s="49"/>
      <c r="P974" s="49"/>
      <c r="Q974" s="49"/>
      <c r="R974" s="49"/>
      <c r="S974" s="49"/>
      <c r="T974" s="49"/>
      <c r="U974" s="49"/>
      <c r="V974" s="49"/>
      <c r="W974" s="49"/>
      <c r="X974" s="49"/>
      <c r="Y974" s="49"/>
      <c r="Z974" s="49"/>
      <c r="AA974" s="49"/>
      <c r="AB974" s="49"/>
      <c r="AC974" s="49"/>
      <c r="AD974" s="49"/>
    </row>
    <row r="975" spans="1:30" ht="13">
      <c r="A975" s="141"/>
      <c r="B975" s="141"/>
      <c r="C975" s="141"/>
      <c r="D975" s="49"/>
      <c r="E975" s="49"/>
      <c r="F975" s="49"/>
      <c r="G975" s="49"/>
      <c r="H975" s="49"/>
      <c r="I975" s="49"/>
      <c r="J975" s="49"/>
      <c r="K975" s="49"/>
      <c r="L975" s="49"/>
      <c r="M975" s="49"/>
      <c r="N975" s="49"/>
      <c r="O975" s="49"/>
      <c r="P975" s="49"/>
      <c r="Q975" s="49"/>
      <c r="R975" s="49"/>
      <c r="S975" s="49"/>
      <c r="T975" s="49"/>
      <c r="U975" s="49"/>
      <c r="V975" s="49"/>
      <c r="W975" s="49"/>
      <c r="X975" s="49"/>
      <c r="Y975" s="49"/>
      <c r="Z975" s="49"/>
      <c r="AA975" s="49"/>
      <c r="AB975" s="49"/>
      <c r="AC975" s="49"/>
      <c r="AD975" s="49"/>
    </row>
    <row r="976" spans="1:30" ht="13">
      <c r="A976" s="141"/>
      <c r="B976" s="141"/>
      <c r="C976" s="141"/>
      <c r="D976" s="49"/>
      <c r="E976" s="49"/>
      <c r="F976" s="49"/>
      <c r="G976" s="49"/>
      <c r="H976" s="49"/>
      <c r="I976" s="49"/>
      <c r="J976" s="49"/>
      <c r="K976" s="49"/>
      <c r="L976" s="49"/>
      <c r="M976" s="49"/>
      <c r="N976" s="49"/>
      <c r="O976" s="49"/>
      <c r="P976" s="49"/>
      <c r="Q976" s="49"/>
      <c r="R976" s="49"/>
      <c r="S976" s="49"/>
      <c r="T976" s="49"/>
      <c r="U976" s="49"/>
      <c r="V976" s="49"/>
      <c r="W976" s="49"/>
      <c r="X976" s="49"/>
      <c r="Y976" s="49"/>
      <c r="Z976" s="49"/>
      <c r="AA976" s="49"/>
      <c r="AB976" s="49"/>
      <c r="AC976" s="49"/>
      <c r="AD976" s="49"/>
    </row>
    <row r="977" spans="1:30" ht="13">
      <c r="A977" s="141"/>
      <c r="B977" s="141"/>
      <c r="C977" s="141"/>
      <c r="D977" s="49"/>
      <c r="E977" s="49"/>
      <c r="F977" s="49"/>
      <c r="G977" s="49"/>
      <c r="H977" s="49"/>
      <c r="I977" s="49"/>
      <c r="J977" s="49"/>
      <c r="K977" s="49"/>
      <c r="L977" s="49"/>
      <c r="M977" s="49"/>
      <c r="N977" s="49"/>
      <c r="O977" s="49"/>
      <c r="P977" s="49"/>
      <c r="Q977" s="49"/>
      <c r="R977" s="49"/>
      <c r="S977" s="49"/>
      <c r="T977" s="49"/>
      <c r="U977" s="49"/>
      <c r="V977" s="49"/>
      <c r="W977" s="49"/>
      <c r="X977" s="49"/>
      <c r="Y977" s="49"/>
      <c r="Z977" s="49"/>
      <c r="AA977" s="49"/>
      <c r="AB977" s="49"/>
      <c r="AC977" s="49"/>
      <c r="AD977" s="49"/>
    </row>
    <row r="978" spans="1:30" ht="13">
      <c r="A978" s="141"/>
      <c r="B978" s="141"/>
      <c r="C978" s="141"/>
      <c r="D978" s="49"/>
      <c r="E978" s="49"/>
      <c r="F978" s="49"/>
      <c r="G978" s="49"/>
      <c r="H978" s="49"/>
      <c r="I978" s="49"/>
      <c r="J978" s="49"/>
      <c r="K978" s="49"/>
      <c r="L978" s="49"/>
      <c r="M978" s="49"/>
      <c r="N978" s="49"/>
      <c r="O978" s="49"/>
      <c r="P978" s="49"/>
      <c r="Q978" s="49"/>
      <c r="R978" s="49"/>
      <c r="S978" s="49"/>
      <c r="T978" s="49"/>
      <c r="U978" s="49"/>
      <c r="V978" s="49"/>
      <c r="W978" s="49"/>
      <c r="X978" s="49"/>
      <c r="Y978" s="49"/>
      <c r="Z978" s="49"/>
      <c r="AA978" s="49"/>
      <c r="AB978" s="49"/>
      <c r="AC978" s="49"/>
      <c r="AD978" s="49"/>
    </row>
    <row r="979" spans="1:30" ht="13">
      <c r="A979" s="141"/>
      <c r="B979" s="141"/>
      <c r="C979" s="141"/>
      <c r="D979" s="49"/>
      <c r="E979" s="49"/>
      <c r="F979" s="49"/>
      <c r="G979" s="49"/>
      <c r="H979" s="49"/>
      <c r="I979" s="49"/>
      <c r="J979" s="49"/>
      <c r="K979" s="49"/>
      <c r="L979" s="49"/>
      <c r="M979" s="49"/>
      <c r="N979" s="49"/>
      <c r="O979" s="49"/>
      <c r="P979" s="49"/>
      <c r="Q979" s="49"/>
      <c r="R979" s="49"/>
      <c r="S979" s="49"/>
      <c r="T979" s="49"/>
      <c r="U979" s="49"/>
      <c r="V979" s="49"/>
      <c r="W979" s="49"/>
      <c r="X979" s="49"/>
      <c r="Y979" s="49"/>
      <c r="Z979" s="49"/>
      <c r="AA979" s="49"/>
      <c r="AB979" s="49"/>
      <c r="AC979" s="49"/>
      <c r="AD979" s="49"/>
    </row>
    <row r="980" spans="1:30" ht="13">
      <c r="A980" s="141"/>
      <c r="B980" s="141"/>
      <c r="C980" s="141"/>
      <c r="D980" s="49"/>
      <c r="E980" s="49"/>
      <c r="F980" s="49"/>
      <c r="G980" s="49"/>
      <c r="H980" s="49"/>
      <c r="I980" s="49"/>
      <c r="J980" s="49"/>
      <c r="K980" s="49"/>
      <c r="L980" s="49"/>
      <c r="M980" s="49"/>
      <c r="N980" s="49"/>
      <c r="O980" s="49"/>
      <c r="P980" s="49"/>
      <c r="Q980" s="49"/>
      <c r="R980" s="49"/>
      <c r="S980" s="49"/>
      <c r="T980" s="49"/>
      <c r="U980" s="49"/>
      <c r="V980" s="49"/>
      <c r="W980" s="49"/>
      <c r="X980" s="49"/>
      <c r="Y980" s="49"/>
      <c r="Z980" s="49"/>
      <c r="AA980" s="49"/>
      <c r="AB980" s="49"/>
      <c r="AC980" s="49"/>
      <c r="AD980" s="49"/>
    </row>
    <row r="981" spans="1:30" ht="13">
      <c r="A981" s="141"/>
      <c r="B981" s="141"/>
      <c r="C981" s="141"/>
      <c r="D981" s="49"/>
      <c r="E981" s="49"/>
      <c r="F981" s="49"/>
      <c r="G981" s="49"/>
      <c r="H981" s="49"/>
      <c r="I981" s="49"/>
      <c r="J981" s="49"/>
      <c r="K981" s="49"/>
      <c r="L981" s="49"/>
      <c r="M981" s="49"/>
      <c r="N981" s="49"/>
      <c r="O981" s="49"/>
      <c r="P981" s="49"/>
      <c r="Q981" s="49"/>
      <c r="R981" s="49"/>
      <c r="S981" s="49"/>
      <c r="T981" s="49"/>
      <c r="U981" s="49"/>
      <c r="V981" s="49"/>
      <c r="W981" s="49"/>
      <c r="X981" s="49"/>
      <c r="Y981" s="49"/>
      <c r="Z981" s="49"/>
      <c r="AA981" s="49"/>
      <c r="AB981" s="49"/>
      <c r="AC981" s="49"/>
      <c r="AD981" s="49"/>
    </row>
    <row r="982" spans="1:30" ht="13">
      <c r="A982" s="141"/>
      <c r="B982" s="141"/>
      <c r="C982" s="141"/>
      <c r="D982" s="49"/>
      <c r="E982" s="49"/>
      <c r="F982" s="49"/>
      <c r="G982" s="49"/>
      <c r="H982" s="49"/>
      <c r="I982" s="49"/>
      <c r="J982" s="49"/>
      <c r="K982" s="49"/>
      <c r="L982" s="49"/>
      <c r="M982" s="49"/>
      <c r="N982" s="49"/>
      <c r="O982" s="49"/>
      <c r="P982" s="49"/>
      <c r="Q982" s="49"/>
      <c r="R982" s="49"/>
      <c r="S982" s="49"/>
      <c r="T982" s="49"/>
      <c r="U982" s="49"/>
      <c r="V982" s="49"/>
      <c r="W982" s="49"/>
      <c r="X982" s="49"/>
      <c r="Y982" s="49"/>
      <c r="Z982" s="49"/>
      <c r="AA982" s="49"/>
      <c r="AB982" s="49"/>
      <c r="AC982" s="49"/>
      <c r="AD982" s="49"/>
    </row>
    <row r="983" spans="1:30" ht="13">
      <c r="A983" s="141"/>
      <c r="B983" s="141"/>
      <c r="C983" s="141"/>
      <c r="D983" s="49"/>
      <c r="E983" s="49"/>
      <c r="F983" s="49"/>
      <c r="G983" s="49"/>
      <c r="H983" s="49"/>
      <c r="I983" s="49"/>
      <c r="J983" s="49"/>
      <c r="K983" s="49"/>
      <c r="L983" s="49"/>
      <c r="M983" s="49"/>
      <c r="N983" s="49"/>
      <c r="O983" s="49"/>
      <c r="P983" s="49"/>
      <c r="Q983" s="49"/>
      <c r="R983" s="49"/>
      <c r="S983" s="49"/>
      <c r="T983" s="49"/>
      <c r="U983" s="49"/>
      <c r="V983" s="49"/>
      <c r="W983" s="49"/>
      <c r="X983" s="49"/>
      <c r="Y983" s="49"/>
      <c r="Z983" s="49"/>
      <c r="AA983" s="49"/>
      <c r="AB983" s="49"/>
      <c r="AC983" s="49"/>
      <c r="AD983" s="49"/>
    </row>
    <row r="984" spans="1:30" ht="13">
      <c r="A984" s="141"/>
      <c r="B984" s="141"/>
      <c r="C984" s="141"/>
      <c r="D984" s="49"/>
      <c r="E984" s="49"/>
      <c r="F984" s="49"/>
      <c r="G984" s="49"/>
      <c r="H984" s="49"/>
      <c r="I984" s="49"/>
      <c r="J984" s="49"/>
      <c r="K984" s="49"/>
      <c r="L984" s="49"/>
      <c r="M984" s="49"/>
      <c r="N984" s="49"/>
      <c r="O984" s="49"/>
      <c r="P984" s="49"/>
      <c r="Q984" s="49"/>
      <c r="R984" s="49"/>
      <c r="S984" s="49"/>
      <c r="T984" s="49"/>
      <c r="U984" s="49"/>
      <c r="V984" s="49"/>
      <c r="W984" s="49"/>
      <c r="X984" s="49"/>
      <c r="Y984" s="49"/>
      <c r="Z984" s="49"/>
      <c r="AA984" s="49"/>
      <c r="AB984" s="49"/>
      <c r="AC984" s="49"/>
      <c r="AD984" s="49"/>
    </row>
    <row r="985" spans="1:30" ht="13">
      <c r="A985" s="141"/>
      <c r="B985" s="141"/>
      <c r="C985" s="141"/>
      <c r="D985" s="49"/>
      <c r="E985" s="49"/>
      <c r="F985" s="49"/>
      <c r="G985" s="49"/>
      <c r="H985" s="49"/>
      <c r="I985" s="49"/>
      <c r="J985" s="49"/>
      <c r="K985" s="49"/>
      <c r="L985" s="49"/>
      <c r="M985" s="49"/>
      <c r="N985" s="49"/>
      <c r="O985" s="49"/>
      <c r="P985" s="49"/>
      <c r="Q985" s="49"/>
      <c r="R985" s="49"/>
      <c r="S985" s="49"/>
      <c r="T985" s="49"/>
      <c r="U985" s="49"/>
      <c r="V985" s="49"/>
      <c r="W985" s="49"/>
      <c r="X985" s="49"/>
      <c r="Y985" s="49"/>
      <c r="Z985" s="49"/>
      <c r="AA985" s="49"/>
      <c r="AB985" s="49"/>
      <c r="AC985" s="49"/>
      <c r="AD985" s="49"/>
    </row>
    <row r="986" spans="1:30" ht="13">
      <c r="A986" s="141"/>
      <c r="B986" s="141"/>
      <c r="C986" s="141"/>
      <c r="D986" s="49"/>
      <c r="E986" s="49"/>
      <c r="F986" s="49"/>
      <c r="G986" s="49"/>
      <c r="H986" s="49"/>
      <c r="I986" s="49"/>
      <c r="J986" s="49"/>
      <c r="K986" s="49"/>
      <c r="L986" s="49"/>
      <c r="M986" s="49"/>
      <c r="N986" s="49"/>
      <c r="O986" s="49"/>
      <c r="P986" s="49"/>
      <c r="Q986" s="49"/>
      <c r="R986" s="49"/>
      <c r="S986" s="49"/>
      <c r="T986" s="49"/>
      <c r="U986" s="49"/>
      <c r="V986" s="49"/>
      <c r="W986" s="49"/>
      <c r="X986" s="49"/>
      <c r="Y986" s="49"/>
      <c r="Z986" s="49"/>
      <c r="AA986" s="49"/>
      <c r="AB986" s="49"/>
      <c r="AC986" s="49"/>
      <c r="AD986" s="49"/>
    </row>
    <row r="987" spans="1:30" ht="13">
      <c r="A987" s="141"/>
      <c r="B987" s="141"/>
      <c r="C987" s="141"/>
      <c r="D987" s="49"/>
      <c r="E987" s="49"/>
      <c r="F987" s="49"/>
      <c r="G987" s="49"/>
      <c r="H987" s="49"/>
      <c r="I987" s="49"/>
      <c r="J987" s="49"/>
      <c r="K987" s="49"/>
      <c r="L987" s="49"/>
      <c r="M987" s="49"/>
      <c r="N987" s="49"/>
      <c r="O987" s="49"/>
      <c r="P987" s="49"/>
      <c r="Q987" s="49"/>
      <c r="R987" s="49"/>
      <c r="S987" s="49"/>
      <c r="T987" s="49"/>
      <c r="U987" s="49"/>
      <c r="V987" s="49"/>
      <c r="W987" s="49"/>
      <c r="X987" s="49"/>
      <c r="Y987" s="49"/>
      <c r="Z987" s="49"/>
      <c r="AA987" s="49"/>
      <c r="AB987" s="49"/>
      <c r="AC987" s="49"/>
      <c r="AD987" s="49"/>
    </row>
    <row r="988" spans="1:30" ht="13">
      <c r="A988" s="141"/>
      <c r="B988" s="141"/>
      <c r="C988" s="141"/>
      <c r="D988" s="49"/>
      <c r="E988" s="49"/>
      <c r="F988" s="49"/>
      <c r="G988" s="49"/>
      <c r="H988" s="49"/>
      <c r="I988" s="49"/>
      <c r="J988" s="49"/>
      <c r="K988" s="49"/>
      <c r="L988" s="49"/>
      <c r="M988" s="49"/>
      <c r="N988" s="49"/>
      <c r="O988" s="49"/>
      <c r="P988" s="49"/>
      <c r="Q988" s="49"/>
      <c r="R988" s="49"/>
      <c r="S988" s="49"/>
      <c r="T988" s="49"/>
      <c r="U988" s="49"/>
      <c r="V988" s="49"/>
      <c r="W988" s="49"/>
      <c r="X988" s="49"/>
      <c r="Y988" s="49"/>
      <c r="Z988" s="49"/>
      <c r="AA988" s="49"/>
      <c r="AB988" s="49"/>
      <c r="AC988" s="49"/>
      <c r="AD988" s="49"/>
    </row>
    <row r="989" spans="1:30" ht="13">
      <c r="A989" s="141"/>
      <c r="B989" s="141"/>
      <c r="C989" s="141"/>
      <c r="D989" s="49"/>
      <c r="E989" s="49"/>
      <c r="F989" s="49"/>
      <c r="G989" s="49"/>
      <c r="H989" s="49"/>
      <c r="I989" s="49"/>
      <c r="J989" s="49"/>
      <c r="K989" s="49"/>
      <c r="L989" s="49"/>
      <c r="M989" s="49"/>
      <c r="N989" s="49"/>
      <c r="O989" s="49"/>
      <c r="P989" s="49"/>
      <c r="Q989" s="49"/>
      <c r="R989" s="49"/>
      <c r="S989" s="49"/>
      <c r="T989" s="49"/>
      <c r="U989" s="49"/>
      <c r="V989" s="49"/>
      <c r="W989" s="49"/>
      <c r="X989" s="49"/>
      <c r="Y989" s="49"/>
      <c r="Z989" s="49"/>
      <c r="AA989" s="49"/>
      <c r="AB989" s="49"/>
      <c r="AC989" s="49"/>
      <c r="AD989" s="49"/>
    </row>
    <row r="990" spans="1:30" ht="13">
      <c r="A990" s="141"/>
      <c r="B990" s="141"/>
      <c r="C990" s="141"/>
      <c r="D990" s="49"/>
      <c r="E990" s="49"/>
      <c r="F990" s="49"/>
      <c r="G990" s="49"/>
      <c r="H990" s="49"/>
      <c r="I990" s="49"/>
      <c r="J990" s="49"/>
      <c r="K990" s="49"/>
      <c r="L990" s="49"/>
      <c r="M990" s="49"/>
      <c r="N990" s="49"/>
      <c r="O990" s="49"/>
      <c r="P990" s="49"/>
      <c r="Q990" s="49"/>
      <c r="R990" s="49"/>
      <c r="S990" s="49"/>
      <c r="T990" s="49"/>
      <c r="U990" s="49"/>
      <c r="V990" s="49"/>
      <c r="W990" s="49"/>
      <c r="X990" s="49"/>
      <c r="Y990" s="49"/>
      <c r="Z990" s="49"/>
      <c r="AA990" s="49"/>
      <c r="AB990" s="49"/>
      <c r="AC990" s="49"/>
      <c r="AD990" s="49"/>
    </row>
    <row r="991" spans="1:30" ht="13">
      <c r="A991" s="141"/>
      <c r="B991" s="141"/>
      <c r="C991" s="141"/>
      <c r="D991" s="49"/>
      <c r="E991" s="49"/>
      <c r="F991" s="49"/>
      <c r="G991" s="49"/>
      <c r="H991" s="49"/>
      <c r="I991" s="49"/>
      <c r="J991" s="49"/>
      <c r="K991" s="49"/>
      <c r="L991" s="49"/>
      <c r="M991" s="49"/>
      <c r="N991" s="49"/>
      <c r="O991" s="49"/>
      <c r="P991" s="49"/>
      <c r="Q991" s="49"/>
      <c r="R991" s="49"/>
      <c r="S991" s="49"/>
      <c r="T991" s="49"/>
      <c r="U991" s="49"/>
      <c r="V991" s="49"/>
      <c r="W991" s="49"/>
      <c r="X991" s="49"/>
      <c r="Y991" s="49"/>
      <c r="Z991" s="49"/>
      <c r="AA991" s="49"/>
      <c r="AB991" s="49"/>
      <c r="AC991" s="49"/>
      <c r="AD991" s="49"/>
    </row>
    <row r="992" spans="1:30" ht="13">
      <c r="A992" s="141"/>
      <c r="B992" s="141"/>
      <c r="C992" s="141"/>
      <c r="D992" s="49"/>
      <c r="E992" s="49"/>
      <c r="F992" s="49"/>
      <c r="G992" s="49"/>
      <c r="H992" s="49"/>
      <c r="I992" s="49"/>
      <c r="J992" s="49"/>
      <c r="K992" s="49"/>
      <c r="L992" s="49"/>
      <c r="M992" s="49"/>
      <c r="N992" s="49"/>
      <c r="O992" s="49"/>
      <c r="P992" s="49"/>
      <c r="Q992" s="49"/>
      <c r="R992" s="49"/>
      <c r="S992" s="49"/>
      <c r="T992" s="49"/>
      <c r="U992" s="49"/>
      <c r="V992" s="49"/>
      <c r="W992" s="49"/>
      <c r="X992" s="49"/>
      <c r="Y992" s="49"/>
      <c r="Z992" s="49"/>
      <c r="AA992" s="49"/>
      <c r="AB992" s="49"/>
      <c r="AC992" s="49"/>
      <c r="AD992" s="49"/>
    </row>
    <row r="993" spans="1:30" ht="13">
      <c r="A993" s="141"/>
      <c r="B993" s="141"/>
      <c r="C993" s="141"/>
      <c r="D993" s="49"/>
      <c r="E993" s="49"/>
      <c r="F993" s="49"/>
      <c r="G993" s="49"/>
      <c r="H993" s="49"/>
      <c r="I993" s="49"/>
      <c r="J993" s="49"/>
      <c r="K993" s="49"/>
      <c r="L993" s="49"/>
      <c r="M993" s="49"/>
      <c r="N993" s="49"/>
      <c r="O993" s="49"/>
      <c r="P993" s="49"/>
      <c r="Q993" s="49"/>
      <c r="R993" s="49"/>
      <c r="S993" s="49"/>
      <c r="T993" s="49"/>
      <c r="U993" s="49"/>
      <c r="V993" s="49"/>
      <c r="W993" s="49"/>
      <c r="X993" s="49"/>
      <c r="Y993" s="49"/>
      <c r="Z993" s="49"/>
      <c r="AA993" s="49"/>
      <c r="AB993" s="49"/>
      <c r="AC993" s="49"/>
      <c r="AD993" s="49"/>
    </row>
    <row r="994" spans="1:30" ht="13">
      <c r="A994" s="141"/>
      <c r="B994" s="141"/>
      <c r="C994" s="141"/>
      <c r="D994" s="49"/>
      <c r="E994" s="49"/>
      <c r="F994" s="49"/>
      <c r="G994" s="49"/>
      <c r="H994" s="49"/>
      <c r="I994" s="49"/>
      <c r="J994" s="49"/>
      <c r="K994" s="49"/>
      <c r="L994" s="49"/>
      <c r="M994" s="49"/>
      <c r="N994" s="49"/>
      <c r="O994" s="49"/>
      <c r="P994" s="49"/>
      <c r="Q994" s="49"/>
      <c r="R994" s="49"/>
      <c r="S994" s="49"/>
      <c r="T994" s="49"/>
      <c r="U994" s="49"/>
      <c r="V994" s="49"/>
      <c r="W994" s="49"/>
      <c r="X994" s="49"/>
      <c r="Y994" s="49"/>
      <c r="Z994" s="49"/>
      <c r="AA994" s="49"/>
      <c r="AB994" s="49"/>
      <c r="AC994" s="49"/>
      <c r="AD994" s="49"/>
    </row>
    <row r="995" spans="1:30" ht="13">
      <c r="A995" s="141"/>
      <c r="B995" s="141"/>
      <c r="C995" s="141"/>
      <c r="D995" s="49"/>
      <c r="E995" s="49"/>
      <c r="F995" s="49"/>
      <c r="G995" s="49"/>
      <c r="H995" s="49"/>
      <c r="I995" s="49"/>
      <c r="J995" s="49"/>
      <c r="K995" s="49"/>
      <c r="L995" s="49"/>
      <c r="M995" s="49"/>
      <c r="N995" s="49"/>
      <c r="O995" s="49"/>
      <c r="P995" s="49"/>
      <c r="Q995" s="49"/>
      <c r="R995" s="49"/>
      <c r="S995" s="49"/>
      <c r="T995" s="49"/>
      <c r="U995" s="49"/>
      <c r="V995" s="49"/>
      <c r="W995" s="49"/>
      <c r="X995" s="49"/>
      <c r="Y995" s="49"/>
      <c r="Z995" s="49"/>
      <c r="AA995" s="49"/>
      <c r="AB995" s="49"/>
      <c r="AC995" s="49"/>
      <c r="AD995" s="49"/>
    </row>
    <row r="996" spans="1:30" ht="13">
      <c r="A996" s="141"/>
      <c r="B996" s="141"/>
      <c r="C996" s="141"/>
      <c r="D996" s="49"/>
      <c r="E996" s="49"/>
      <c r="F996" s="49"/>
      <c r="G996" s="49"/>
      <c r="H996" s="49"/>
      <c r="I996" s="49"/>
      <c r="J996" s="49"/>
      <c r="K996" s="49"/>
      <c r="L996" s="49"/>
      <c r="M996" s="49"/>
      <c r="N996" s="49"/>
      <c r="O996" s="49"/>
      <c r="P996" s="49"/>
      <c r="Q996" s="49"/>
      <c r="R996" s="49"/>
      <c r="S996" s="49"/>
      <c r="T996" s="49"/>
      <c r="U996" s="49"/>
      <c r="V996" s="49"/>
      <c r="W996" s="49"/>
      <c r="X996" s="49"/>
      <c r="Y996" s="49"/>
      <c r="Z996" s="49"/>
      <c r="AA996" s="49"/>
      <c r="AB996" s="49"/>
      <c r="AC996" s="49"/>
      <c r="AD996" s="49"/>
    </row>
    <row r="997" spans="1:30" ht="13">
      <c r="A997" s="141"/>
      <c r="B997" s="141"/>
      <c r="C997" s="141"/>
      <c r="D997" s="49"/>
      <c r="E997" s="49"/>
      <c r="F997" s="49"/>
      <c r="G997" s="49"/>
      <c r="H997" s="49"/>
      <c r="I997" s="49"/>
      <c r="J997" s="49"/>
      <c r="K997" s="49"/>
      <c r="L997" s="49"/>
      <c r="M997" s="49"/>
      <c r="N997" s="49"/>
      <c r="O997" s="49"/>
      <c r="P997" s="49"/>
      <c r="Q997" s="49"/>
      <c r="R997" s="49"/>
      <c r="S997" s="49"/>
      <c r="T997" s="49"/>
      <c r="U997" s="49"/>
      <c r="V997" s="49"/>
      <c r="W997" s="49"/>
      <c r="X997" s="49"/>
      <c r="Y997" s="49"/>
      <c r="Z997" s="49"/>
      <c r="AA997" s="49"/>
      <c r="AB997" s="49"/>
      <c r="AC997" s="49"/>
      <c r="AD997" s="49"/>
    </row>
    <row r="998" spans="1:30" ht="13">
      <c r="A998" s="141"/>
      <c r="B998" s="141"/>
      <c r="C998" s="141"/>
      <c r="D998" s="49"/>
      <c r="E998" s="49"/>
      <c r="F998" s="49"/>
      <c r="G998" s="49"/>
      <c r="H998" s="49"/>
      <c r="I998" s="49"/>
      <c r="J998" s="49"/>
      <c r="K998" s="49"/>
      <c r="L998" s="49"/>
      <c r="M998" s="49"/>
      <c r="N998" s="49"/>
      <c r="O998" s="49"/>
      <c r="P998" s="49"/>
      <c r="Q998" s="49"/>
      <c r="R998" s="49"/>
      <c r="S998" s="49"/>
      <c r="T998" s="49"/>
      <c r="U998" s="49"/>
      <c r="V998" s="49"/>
      <c r="W998" s="49"/>
      <c r="X998" s="49"/>
      <c r="Y998" s="49"/>
      <c r="Z998" s="49"/>
      <c r="AA998" s="49"/>
      <c r="AB998" s="49"/>
      <c r="AC998" s="49"/>
      <c r="AD998" s="49"/>
    </row>
    <row r="999" spans="1:30" ht="13">
      <c r="A999" s="141"/>
      <c r="B999" s="141"/>
      <c r="C999" s="141"/>
      <c r="D999" s="49"/>
      <c r="E999" s="49"/>
      <c r="F999" s="49"/>
      <c r="G999" s="49"/>
      <c r="H999" s="49"/>
      <c r="I999" s="49"/>
      <c r="J999" s="49"/>
      <c r="K999" s="49"/>
      <c r="L999" s="49"/>
      <c r="M999" s="49"/>
      <c r="N999" s="49"/>
      <c r="O999" s="49"/>
      <c r="P999" s="49"/>
      <c r="Q999" s="49"/>
      <c r="R999" s="49"/>
      <c r="S999" s="49"/>
      <c r="T999" s="49"/>
      <c r="U999" s="49"/>
      <c r="V999" s="49"/>
      <c r="W999" s="49"/>
      <c r="X999" s="49"/>
      <c r="Y999" s="49"/>
      <c r="Z999" s="49"/>
      <c r="AA999" s="49"/>
      <c r="AB999" s="49"/>
      <c r="AC999" s="49"/>
      <c r="AD999" s="49"/>
    </row>
    <row r="1000" spans="1:30" ht="13">
      <c r="A1000" s="141"/>
      <c r="B1000" s="141"/>
      <c r="C1000" s="141"/>
      <c r="D1000" s="49"/>
      <c r="E1000" s="49"/>
      <c r="F1000" s="49"/>
      <c r="G1000" s="49"/>
      <c r="H1000" s="49"/>
      <c r="I1000" s="49"/>
      <c r="J1000" s="49"/>
      <c r="K1000" s="49"/>
      <c r="L1000" s="49"/>
      <c r="M1000" s="49"/>
      <c r="N1000" s="49"/>
      <c r="O1000" s="49"/>
      <c r="P1000" s="49"/>
      <c r="Q1000" s="49"/>
      <c r="R1000" s="49"/>
      <c r="S1000" s="49"/>
      <c r="T1000" s="49"/>
      <c r="U1000" s="49"/>
      <c r="V1000" s="49"/>
      <c r="W1000" s="49"/>
      <c r="X1000" s="49"/>
      <c r="Y1000" s="49"/>
      <c r="Z1000" s="49"/>
      <c r="AA1000" s="49"/>
      <c r="AB1000" s="49"/>
      <c r="AC1000" s="49"/>
      <c r="AD1000" s="49"/>
    </row>
    <row r="1001" spans="1:30" ht="13">
      <c r="A1001" s="141"/>
      <c r="B1001" s="141"/>
      <c r="C1001" s="141"/>
      <c r="D1001" s="49"/>
      <c r="E1001" s="49"/>
      <c r="F1001" s="49"/>
      <c r="G1001" s="49"/>
      <c r="H1001" s="49"/>
      <c r="I1001" s="49"/>
      <c r="J1001" s="49"/>
      <c r="K1001" s="49"/>
      <c r="L1001" s="49"/>
      <c r="M1001" s="49"/>
      <c r="N1001" s="49"/>
      <c r="O1001" s="49"/>
      <c r="P1001" s="49"/>
      <c r="Q1001" s="49"/>
      <c r="R1001" s="49"/>
      <c r="S1001" s="49"/>
      <c r="T1001" s="49"/>
      <c r="U1001" s="49"/>
      <c r="V1001" s="49"/>
      <c r="W1001" s="49"/>
      <c r="X1001" s="49"/>
      <c r="Y1001" s="49"/>
      <c r="Z1001" s="49"/>
      <c r="AA1001" s="49"/>
      <c r="AB1001" s="49"/>
      <c r="AC1001" s="49"/>
      <c r="AD1001" s="49"/>
    </row>
    <row r="1002" spans="1:30" ht="13">
      <c r="A1002" s="141"/>
      <c r="B1002" s="141"/>
      <c r="C1002" s="141"/>
      <c r="D1002" s="49"/>
      <c r="E1002" s="49"/>
      <c r="F1002" s="49"/>
      <c r="G1002" s="49"/>
      <c r="H1002" s="49"/>
      <c r="I1002" s="49"/>
      <c r="J1002" s="49"/>
      <c r="K1002" s="49"/>
      <c r="L1002" s="49"/>
      <c r="M1002" s="49"/>
      <c r="N1002" s="49"/>
      <c r="O1002" s="49"/>
      <c r="P1002" s="49"/>
      <c r="Q1002" s="49"/>
      <c r="R1002" s="49"/>
      <c r="S1002" s="49"/>
      <c r="T1002" s="49"/>
      <c r="U1002" s="49"/>
      <c r="V1002" s="49"/>
      <c r="W1002" s="49"/>
      <c r="X1002" s="49"/>
      <c r="Y1002" s="49"/>
      <c r="Z1002" s="49"/>
      <c r="AA1002" s="49"/>
      <c r="AB1002" s="49"/>
      <c r="AC1002" s="49"/>
      <c r="AD1002" s="49"/>
    </row>
    <row r="1003" spans="1:30" ht="13">
      <c r="A1003" s="141"/>
      <c r="B1003" s="141"/>
      <c r="C1003" s="141"/>
      <c r="D1003" s="49"/>
      <c r="E1003" s="49"/>
      <c r="F1003" s="49"/>
      <c r="G1003" s="49"/>
      <c r="H1003" s="49"/>
      <c r="I1003" s="49"/>
      <c r="J1003" s="49"/>
      <c r="K1003" s="49"/>
      <c r="L1003" s="49"/>
      <c r="M1003" s="49"/>
      <c r="N1003" s="49"/>
      <c r="O1003" s="49"/>
      <c r="P1003" s="49"/>
      <c r="Q1003" s="49"/>
      <c r="R1003" s="49"/>
      <c r="S1003" s="49"/>
      <c r="T1003" s="49"/>
      <c r="U1003" s="49"/>
      <c r="V1003" s="49"/>
      <c r="W1003" s="49"/>
      <c r="X1003" s="49"/>
      <c r="Y1003" s="49"/>
      <c r="Z1003" s="49"/>
      <c r="AA1003" s="49"/>
      <c r="AB1003" s="49"/>
      <c r="AC1003" s="49"/>
      <c r="AD1003" s="49"/>
    </row>
    <row r="1004" spans="1:30" ht="13">
      <c r="A1004" s="141"/>
      <c r="B1004" s="141"/>
      <c r="C1004" s="141"/>
      <c r="D1004" s="49"/>
      <c r="E1004" s="49"/>
      <c r="F1004" s="49"/>
      <c r="G1004" s="49"/>
      <c r="H1004" s="49"/>
      <c r="I1004" s="49"/>
      <c r="J1004" s="49"/>
      <c r="K1004" s="49"/>
      <c r="L1004" s="49"/>
      <c r="M1004" s="49"/>
      <c r="N1004" s="49"/>
      <c r="O1004" s="49"/>
      <c r="P1004" s="49"/>
      <c r="Q1004" s="49"/>
      <c r="R1004" s="49"/>
      <c r="S1004" s="49"/>
      <c r="T1004" s="49"/>
      <c r="U1004" s="49"/>
      <c r="V1004" s="49"/>
      <c r="W1004" s="49"/>
      <c r="X1004" s="49"/>
      <c r="Y1004" s="49"/>
      <c r="Z1004" s="49"/>
      <c r="AA1004" s="49"/>
      <c r="AB1004" s="49"/>
      <c r="AC1004" s="49"/>
      <c r="AD1004" s="49"/>
    </row>
    <row r="1005" spans="1:30" ht="13">
      <c r="A1005" s="141"/>
      <c r="B1005" s="141"/>
      <c r="C1005" s="141"/>
      <c r="D1005" s="49"/>
      <c r="E1005" s="49"/>
      <c r="F1005" s="49"/>
      <c r="G1005" s="49"/>
      <c r="H1005" s="49"/>
      <c r="I1005" s="49"/>
      <c r="J1005" s="49"/>
      <c r="K1005" s="49"/>
      <c r="L1005" s="49"/>
      <c r="M1005" s="49"/>
      <c r="N1005" s="49"/>
      <c r="O1005" s="49"/>
      <c r="P1005" s="49"/>
      <c r="Q1005" s="49"/>
      <c r="R1005" s="49"/>
      <c r="S1005" s="49"/>
      <c r="T1005" s="49"/>
      <c r="U1005" s="49"/>
      <c r="V1005" s="49"/>
      <c r="W1005" s="49"/>
      <c r="X1005" s="49"/>
      <c r="Y1005" s="49"/>
      <c r="Z1005" s="49"/>
      <c r="AA1005" s="49"/>
      <c r="AB1005" s="49"/>
      <c r="AC1005" s="49"/>
      <c r="AD1005" s="49"/>
    </row>
    <row r="1006" spans="1:30" ht="13">
      <c r="A1006" s="141"/>
      <c r="B1006" s="141"/>
      <c r="C1006" s="141"/>
      <c r="D1006" s="49"/>
      <c r="E1006" s="49"/>
      <c r="F1006" s="49"/>
      <c r="G1006" s="49"/>
      <c r="H1006" s="49"/>
      <c r="I1006" s="49"/>
      <c r="J1006" s="49"/>
      <c r="K1006" s="49"/>
      <c r="L1006" s="49"/>
      <c r="M1006" s="49"/>
      <c r="N1006" s="49"/>
      <c r="O1006" s="49"/>
      <c r="P1006" s="49"/>
      <c r="Q1006" s="49"/>
      <c r="R1006" s="49"/>
      <c r="S1006" s="49"/>
      <c r="T1006" s="49"/>
      <c r="U1006" s="49"/>
      <c r="V1006" s="49"/>
      <c r="W1006" s="49"/>
      <c r="X1006" s="49"/>
      <c r="Y1006" s="49"/>
      <c r="Z1006" s="49"/>
      <c r="AA1006" s="49"/>
      <c r="AB1006" s="49"/>
      <c r="AC1006" s="49"/>
      <c r="AD1006" s="49"/>
    </row>
    <row r="1007" spans="1:30" ht="13">
      <c r="A1007" s="141"/>
      <c r="B1007" s="141"/>
      <c r="C1007" s="141"/>
      <c r="D1007" s="49"/>
      <c r="E1007" s="49"/>
      <c r="F1007" s="49"/>
      <c r="G1007" s="49"/>
      <c r="H1007" s="49"/>
      <c r="I1007" s="49"/>
      <c r="J1007" s="49"/>
      <c r="K1007" s="49"/>
      <c r="L1007" s="49"/>
      <c r="M1007" s="49"/>
      <c r="N1007" s="49"/>
      <c r="O1007" s="49"/>
      <c r="P1007" s="49"/>
      <c r="Q1007" s="49"/>
      <c r="R1007" s="49"/>
      <c r="S1007" s="49"/>
      <c r="T1007" s="49"/>
      <c r="U1007" s="49"/>
      <c r="V1007" s="49"/>
      <c r="W1007" s="49"/>
      <c r="X1007" s="49"/>
      <c r="Y1007" s="49"/>
      <c r="Z1007" s="49"/>
      <c r="AA1007" s="49"/>
      <c r="AB1007" s="49"/>
      <c r="AC1007" s="49"/>
      <c r="AD1007" s="49"/>
    </row>
    <row r="1008" spans="1:30" ht="13">
      <c r="A1008" s="141"/>
      <c r="B1008" s="141"/>
      <c r="C1008" s="141"/>
      <c r="D1008" s="49"/>
      <c r="E1008" s="49"/>
      <c r="F1008" s="49"/>
      <c r="G1008" s="49"/>
      <c r="H1008" s="49"/>
      <c r="I1008" s="49"/>
      <c r="J1008" s="49"/>
      <c r="K1008" s="49"/>
      <c r="L1008" s="49"/>
      <c r="M1008" s="49"/>
      <c r="N1008" s="49"/>
      <c r="O1008" s="49"/>
      <c r="P1008" s="49"/>
      <c r="Q1008" s="49"/>
      <c r="R1008" s="49"/>
      <c r="S1008" s="49"/>
      <c r="T1008" s="49"/>
      <c r="U1008" s="49"/>
      <c r="V1008" s="49"/>
      <c r="W1008" s="49"/>
      <c r="X1008" s="49"/>
      <c r="Y1008" s="49"/>
      <c r="Z1008" s="49"/>
      <c r="AA1008" s="49"/>
      <c r="AB1008" s="49"/>
      <c r="AC1008" s="49"/>
      <c r="AD1008" s="49"/>
    </row>
    <row r="1009" spans="1:30" ht="13">
      <c r="A1009" s="141"/>
      <c r="B1009" s="141"/>
      <c r="C1009" s="141"/>
      <c r="D1009" s="49"/>
      <c r="E1009" s="49"/>
      <c r="F1009" s="49"/>
      <c r="G1009" s="49"/>
      <c r="H1009" s="49"/>
      <c r="I1009" s="49"/>
      <c r="J1009" s="49"/>
      <c r="K1009" s="49"/>
      <c r="L1009" s="49"/>
      <c r="M1009" s="49"/>
      <c r="N1009" s="49"/>
      <c r="O1009" s="49"/>
      <c r="P1009" s="49"/>
      <c r="Q1009" s="49"/>
      <c r="R1009" s="49"/>
      <c r="S1009" s="49"/>
      <c r="T1009" s="49"/>
      <c r="U1009" s="49"/>
      <c r="V1009" s="49"/>
      <c r="W1009" s="49"/>
      <c r="X1009" s="49"/>
      <c r="Y1009" s="49"/>
      <c r="Z1009" s="49"/>
      <c r="AA1009" s="49"/>
      <c r="AB1009" s="49"/>
      <c r="AC1009" s="49"/>
      <c r="AD1009" s="49"/>
    </row>
    <row r="1010" spans="1:30" ht="13">
      <c r="A1010" s="141"/>
      <c r="B1010" s="141"/>
      <c r="C1010" s="141"/>
      <c r="D1010" s="49"/>
      <c r="E1010" s="49"/>
      <c r="F1010" s="49"/>
      <c r="G1010" s="49"/>
      <c r="H1010" s="49"/>
      <c r="I1010" s="49"/>
      <c r="J1010" s="49"/>
      <c r="K1010" s="49"/>
      <c r="L1010" s="49"/>
      <c r="M1010" s="49"/>
      <c r="N1010" s="49"/>
      <c r="O1010" s="49"/>
      <c r="P1010" s="49"/>
      <c r="Q1010" s="49"/>
      <c r="R1010" s="49"/>
      <c r="S1010" s="49"/>
      <c r="T1010" s="49"/>
      <c r="U1010" s="49"/>
      <c r="V1010" s="49"/>
      <c r="W1010" s="49"/>
      <c r="X1010" s="49"/>
      <c r="Y1010" s="49"/>
      <c r="Z1010" s="49"/>
      <c r="AA1010" s="49"/>
      <c r="AB1010" s="49"/>
      <c r="AC1010" s="49"/>
      <c r="AD1010" s="49"/>
    </row>
    <row r="1011" spans="1:30" ht="13">
      <c r="A1011" s="141"/>
      <c r="B1011" s="141"/>
      <c r="C1011" s="141"/>
      <c r="D1011" s="49"/>
      <c r="E1011" s="49"/>
      <c r="F1011" s="49"/>
      <c r="G1011" s="49"/>
      <c r="H1011" s="49"/>
      <c r="I1011" s="49"/>
      <c r="J1011" s="49"/>
      <c r="K1011" s="49"/>
      <c r="L1011" s="49"/>
      <c r="M1011" s="49"/>
      <c r="N1011" s="49"/>
      <c r="O1011" s="49"/>
      <c r="P1011" s="49"/>
      <c r="Q1011" s="49"/>
      <c r="R1011" s="49"/>
      <c r="S1011" s="49"/>
      <c r="T1011" s="49"/>
      <c r="U1011" s="49"/>
      <c r="V1011" s="49"/>
      <c r="W1011" s="49"/>
      <c r="X1011" s="49"/>
      <c r="Y1011" s="49"/>
      <c r="Z1011" s="49"/>
      <c r="AA1011" s="49"/>
      <c r="AB1011" s="49"/>
      <c r="AC1011" s="49"/>
      <c r="AD1011" s="49"/>
    </row>
    <row r="1012" spans="1:30" ht="13">
      <c r="A1012" s="141"/>
      <c r="B1012" s="141"/>
      <c r="C1012" s="141"/>
      <c r="D1012" s="49"/>
      <c r="E1012" s="49"/>
      <c r="F1012" s="49"/>
      <c r="G1012" s="49"/>
      <c r="H1012" s="49"/>
      <c r="I1012" s="49"/>
      <c r="J1012" s="49"/>
      <c r="K1012" s="49"/>
      <c r="L1012" s="49"/>
      <c r="M1012" s="49"/>
      <c r="N1012" s="49"/>
      <c r="O1012" s="49"/>
      <c r="P1012" s="49"/>
      <c r="Q1012" s="49"/>
      <c r="R1012" s="49"/>
      <c r="S1012" s="49"/>
      <c r="T1012" s="49"/>
      <c r="U1012" s="49"/>
      <c r="V1012" s="49"/>
      <c r="W1012" s="49"/>
      <c r="X1012" s="49"/>
      <c r="Y1012" s="49"/>
      <c r="Z1012" s="49"/>
      <c r="AA1012" s="49"/>
      <c r="AB1012" s="49"/>
      <c r="AC1012" s="49"/>
      <c r="AD1012" s="49"/>
    </row>
    <row r="1013" spans="1:30" ht="13">
      <c r="A1013" s="141"/>
      <c r="B1013" s="141"/>
      <c r="C1013" s="141"/>
      <c r="D1013" s="49"/>
      <c r="E1013" s="49"/>
      <c r="F1013" s="49"/>
      <c r="G1013" s="49"/>
      <c r="H1013" s="49"/>
      <c r="I1013" s="49"/>
      <c r="J1013" s="49"/>
      <c r="K1013" s="49"/>
      <c r="L1013" s="49"/>
      <c r="M1013" s="49"/>
      <c r="N1013" s="49"/>
      <c r="O1013" s="49"/>
      <c r="P1013" s="49"/>
      <c r="Q1013" s="49"/>
      <c r="R1013" s="49"/>
      <c r="S1013" s="49"/>
      <c r="T1013" s="49"/>
      <c r="U1013" s="49"/>
      <c r="V1013" s="49"/>
      <c r="W1013" s="49"/>
      <c r="X1013" s="49"/>
      <c r="Y1013" s="49"/>
      <c r="Z1013" s="49"/>
      <c r="AA1013" s="49"/>
      <c r="AB1013" s="49"/>
      <c r="AC1013" s="49"/>
      <c r="AD1013" s="49"/>
    </row>
    <row r="1014" spans="1:30" ht="13">
      <c r="A1014" s="141"/>
      <c r="B1014" s="141"/>
      <c r="C1014" s="141"/>
      <c r="D1014" s="49"/>
      <c r="E1014" s="49"/>
      <c r="F1014" s="49"/>
      <c r="G1014" s="49"/>
      <c r="H1014" s="49"/>
      <c r="I1014" s="49"/>
      <c r="J1014" s="49"/>
      <c r="K1014" s="49"/>
      <c r="L1014" s="49"/>
      <c r="M1014" s="49"/>
      <c r="N1014" s="49"/>
      <c r="O1014" s="49"/>
      <c r="P1014" s="49"/>
      <c r="Q1014" s="49"/>
      <c r="R1014" s="49"/>
      <c r="S1014" s="49"/>
      <c r="T1014" s="49"/>
      <c r="U1014" s="49"/>
      <c r="V1014" s="49"/>
      <c r="W1014" s="49"/>
      <c r="X1014" s="49"/>
      <c r="Y1014" s="49"/>
      <c r="Z1014" s="49"/>
      <c r="AA1014" s="49"/>
      <c r="AB1014" s="49"/>
      <c r="AC1014" s="49"/>
      <c r="AD1014" s="49"/>
    </row>
    <row r="1015" spans="1:30" ht="13">
      <c r="A1015" s="141"/>
      <c r="B1015" s="141"/>
      <c r="C1015" s="141"/>
      <c r="D1015" s="49"/>
      <c r="E1015" s="49"/>
      <c r="F1015" s="49"/>
      <c r="G1015" s="49"/>
      <c r="H1015" s="49"/>
      <c r="I1015" s="49"/>
      <c r="J1015" s="49"/>
      <c r="K1015" s="49"/>
      <c r="L1015" s="49"/>
      <c r="M1015" s="49"/>
      <c r="N1015" s="49"/>
      <c r="O1015" s="49"/>
      <c r="P1015" s="49"/>
      <c r="Q1015" s="49"/>
      <c r="R1015" s="49"/>
      <c r="S1015" s="49"/>
      <c r="T1015" s="49"/>
      <c r="U1015" s="49"/>
      <c r="V1015" s="49"/>
      <c r="W1015" s="49"/>
      <c r="X1015" s="49"/>
      <c r="Y1015" s="49"/>
      <c r="Z1015" s="49"/>
      <c r="AA1015" s="49"/>
      <c r="AB1015" s="49"/>
      <c r="AC1015" s="49"/>
      <c r="AD1015" s="49"/>
    </row>
    <row r="1016" spans="1:30" ht="13">
      <c r="A1016" s="141"/>
      <c r="B1016" s="141"/>
      <c r="C1016" s="141"/>
      <c r="D1016" s="49"/>
      <c r="E1016" s="49"/>
      <c r="F1016" s="49"/>
      <c r="G1016" s="49"/>
      <c r="H1016" s="49"/>
      <c r="I1016" s="49"/>
      <c r="J1016" s="49"/>
      <c r="K1016" s="49"/>
      <c r="L1016" s="49"/>
      <c r="M1016" s="49"/>
      <c r="N1016" s="49"/>
      <c r="O1016" s="49"/>
      <c r="P1016" s="49"/>
      <c r="Q1016" s="49"/>
      <c r="R1016" s="49"/>
      <c r="S1016" s="49"/>
      <c r="T1016" s="49"/>
      <c r="U1016" s="49"/>
      <c r="V1016" s="49"/>
      <c r="W1016" s="49"/>
      <c r="X1016" s="49"/>
      <c r="Y1016" s="49"/>
      <c r="Z1016" s="49"/>
      <c r="AA1016" s="49"/>
      <c r="AB1016" s="49"/>
      <c r="AC1016" s="49"/>
      <c r="AD1016" s="49"/>
    </row>
    <row r="1017" spans="1:30" ht="13">
      <c r="A1017" s="141"/>
      <c r="B1017" s="141"/>
      <c r="C1017" s="141"/>
      <c r="D1017" s="49"/>
      <c r="E1017" s="49"/>
      <c r="F1017" s="49"/>
      <c r="G1017" s="49"/>
      <c r="H1017" s="49"/>
      <c r="I1017" s="49"/>
      <c r="J1017" s="49"/>
      <c r="K1017" s="49"/>
      <c r="L1017" s="49"/>
      <c r="M1017" s="49"/>
      <c r="N1017" s="49"/>
      <c r="O1017" s="49"/>
      <c r="P1017" s="49"/>
      <c r="Q1017" s="49"/>
      <c r="R1017" s="49"/>
      <c r="S1017" s="49"/>
      <c r="T1017" s="49"/>
      <c r="U1017" s="49"/>
      <c r="V1017" s="49"/>
      <c r="W1017" s="49"/>
      <c r="X1017" s="49"/>
      <c r="Y1017" s="49"/>
      <c r="Z1017" s="49"/>
      <c r="AA1017" s="49"/>
      <c r="AB1017" s="49"/>
      <c r="AC1017" s="49"/>
      <c r="AD1017" s="49"/>
    </row>
    <row r="1018" spans="1:30" ht="13">
      <c r="A1018" s="141"/>
      <c r="B1018" s="141"/>
      <c r="C1018" s="141"/>
      <c r="D1018" s="49"/>
      <c r="E1018" s="49"/>
      <c r="F1018" s="49"/>
      <c r="G1018" s="49"/>
      <c r="H1018" s="49"/>
      <c r="I1018" s="49"/>
      <c r="J1018" s="49"/>
      <c r="K1018" s="49"/>
      <c r="L1018" s="49"/>
      <c r="M1018" s="49"/>
      <c r="N1018" s="49"/>
      <c r="O1018" s="49"/>
      <c r="P1018" s="49"/>
      <c r="Q1018" s="49"/>
      <c r="R1018" s="49"/>
      <c r="S1018" s="49"/>
      <c r="T1018" s="49"/>
      <c r="U1018" s="49"/>
      <c r="V1018" s="49"/>
      <c r="W1018" s="49"/>
      <c r="X1018" s="49"/>
      <c r="Y1018" s="49"/>
      <c r="Z1018" s="49"/>
      <c r="AA1018" s="49"/>
      <c r="AB1018" s="49"/>
      <c r="AC1018" s="49"/>
      <c r="AD1018" s="49"/>
    </row>
    <row r="1019" spans="1:30" ht="13">
      <c r="A1019" s="141"/>
      <c r="B1019" s="141"/>
      <c r="C1019" s="141"/>
      <c r="D1019" s="49"/>
      <c r="E1019" s="49"/>
      <c r="F1019" s="49"/>
      <c r="G1019" s="49"/>
      <c r="H1019" s="49"/>
      <c r="I1019" s="49"/>
      <c r="J1019" s="49"/>
      <c r="K1019" s="49"/>
      <c r="L1019" s="49"/>
      <c r="M1019" s="49"/>
      <c r="N1019" s="49"/>
      <c r="O1019" s="49"/>
      <c r="P1019" s="49"/>
      <c r="Q1019" s="49"/>
      <c r="R1019" s="49"/>
      <c r="S1019" s="49"/>
      <c r="T1019" s="49"/>
      <c r="U1019" s="49"/>
      <c r="V1019" s="49"/>
      <c r="W1019" s="49"/>
      <c r="X1019" s="49"/>
      <c r="Y1019" s="49"/>
      <c r="Z1019" s="49"/>
      <c r="AA1019" s="49"/>
      <c r="AB1019" s="49"/>
      <c r="AC1019" s="49"/>
      <c r="AD1019" s="49"/>
    </row>
    <row r="1020" spans="1:30" ht="13">
      <c r="A1020" s="141"/>
      <c r="B1020" s="141"/>
      <c r="C1020" s="141"/>
      <c r="D1020" s="49"/>
      <c r="E1020" s="49"/>
      <c r="F1020" s="49"/>
      <c r="G1020" s="49"/>
      <c r="H1020" s="49"/>
      <c r="I1020" s="49"/>
      <c r="J1020" s="49"/>
      <c r="K1020" s="49"/>
      <c r="L1020" s="49"/>
      <c r="M1020" s="49"/>
      <c r="N1020" s="49"/>
      <c r="O1020" s="49"/>
      <c r="P1020" s="49"/>
      <c r="Q1020" s="49"/>
      <c r="R1020" s="49"/>
      <c r="S1020" s="49"/>
      <c r="T1020" s="49"/>
      <c r="U1020" s="49"/>
      <c r="V1020" s="49"/>
      <c r="W1020" s="49"/>
      <c r="X1020" s="49"/>
      <c r="Y1020" s="49"/>
      <c r="Z1020" s="49"/>
      <c r="AA1020" s="49"/>
      <c r="AB1020" s="49"/>
      <c r="AC1020" s="49"/>
      <c r="AD1020" s="49"/>
    </row>
    <row r="1021" spans="1:30" ht="13">
      <c r="A1021" s="141"/>
      <c r="B1021" s="141"/>
      <c r="C1021" s="141"/>
      <c r="D1021" s="49"/>
      <c r="E1021" s="49"/>
      <c r="F1021" s="49"/>
      <c r="G1021" s="49"/>
      <c r="H1021" s="49"/>
      <c r="I1021" s="49"/>
      <c r="J1021" s="49"/>
      <c r="K1021" s="49"/>
      <c r="L1021" s="49"/>
      <c r="M1021" s="49"/>
      <c r="N1021" s="49"/>
      <c r="O1021" s="49"/>
      <c r="P1021" s="49"/>
      <c r="Q1021" s="49"/>
      <c r="R1021" s="49"/>
      <c r="S1021" s="49"/>
      <c r="T1021" s="49"/>
      <c r="U1021" s="49"/>
      <c r="V1021" s="49"/>
      <c r="W1021" s="49"/>
      <c r="X1021" s="49"/>
      <c r="Y1021" s="49"/>
      <c r="Z1021" s="49"/>
      <c r="AA1021" s="49"/>
      <c r="AB1021" s="49"/>
      <c r="AC1021" s="49"/>
      <c r="AD1021" s="49"/>
    </row>
    <row r="1022" spans="1:30" ht="13">
      <c r="A1022" s="141"/>
      <c r="B1022" s="141"/>
      <c r="C1022" s="141"/>
      <c r="D1022" s="49"/>
      <c r="E1022" s="49"/>
      <c r="F1022" s="49"/>
      <c r="G1022" s="49"/>
      <c r="H1022" s="49"/>
      <c r="I1022" s="49"/>
      <c r="J1022" s="49"/>
      <c r="K1022" s="49"/>
      <c r="L1022" s="49"/>
      <c r="M1022" s="49"/>
      <c r="N1022" s="49"/>
      <c r="O1022" s="49"/>
      <c r="P1022" s="49"/>
      <c r="Q1022" s="49"/>
      <c r="R1022" s="49"/>
      <c r="S1022" s="49"/>
      <c r="T1022" s="49"/>
      <c r="U1022" s="49"/>
      <c r="V1022" s="49"/>
      <c r="W1022" s="49"/>
      <c r="X1022" s="49"/>
      <c r="Y1022" s="49"/>
      <c r="Z1022" s="49"/>
      <c r="AA1022" s="49"/>
      <c r="AB1022" s="49"/>
      <c r="AC1022" s="49"/>
      <c r="AD1022" s="49"/>
    </row>
    <row r="1023" spans="1:30" ht="13">
      <c r="A1023" s="141"/>
      <c r="B1023" s="141"/>
      <c r="C1023" s="141"/>
      <c r="D1023" s="49"/>
      <c r="E1023" s="49"/>
      <c r="F1023" s="49"/>
      <c r="G1023" s="49"/>
      <c r="H1023" s="49"/>
      <c r="I1023" s="49"/>
      <c r="J1023" s="49"/>
      <c r="K1023" s="49"/>
      <c r="L1023" s="49"/>
      <c r="M1023" s="49"/>
      <c r="N1023" s="49"/>
      <c r="O1023" s="49"/>
      <c r="P1023" s="49"/>
      <c r="Q1023" s="49"/>
      <c r="R1023" s="49"/>
      <c r="S1023" s="49"/>
      <c r="T1023" s="49"/>
      <c r="U1023" s="49"/>
      <c r="V1023" s="49"/>
      <c r="W1023" s="49"/>
      <c r="X1023" s="49"/>
      <c r="Y1023" s="49"/>
      <c r="Z1023" s="49"/>
      <c r="AA1023" s="49"/>
      <c r="AB1023" s="49"/>
      <c r="AC1023" s="49"/>
      <c r="AD1023" s="49"/>
    </row>
    <row r="1024" spans="1:30" ht="13">
      <c r="A1024" s="141"/>
      <c r="B1024" s="141"/>
      <c r="C1024" s="141"/>
      <c r="D1024" s="49"/>
      <c r="E1024" s="49"/>
      <c r="F1024" s="49"/>
      <c r="G1024" s="49"/>
      <c r="H1024" s="49"/>
      <c r="I1024" s="49"/>
      <c r="J1024" s="49"/>
      <c r="K1024" s="49"/>
      <c r="L1024" s="49"/>
      <c r="M1024" s="49"/>
      <c r="N1024" s="49"/>
      <c r="O1024" s="49"/>
      <c r="P1024" s="49"/>
      <c r="Q1024" s="49"/>
      <c r="R1024" s="49"/>
      <c r="S1024" s="49"/>
      <c r="T1024" s="49"/>
      <c r="U1024" s="49"/>
      <c r="V1024" s="49"/>
      <c r="W1024" s="49"/>
      <c r="X1024" s="49"/>
      <c r="Y1024" s="49"/>
      <c r="Z1024" s="49"/>
      <c r="AA1024" s="49"/>
      <c r="AB1024" s="49"/>
      <c r="AC1024" s="49"/>
      <c r="AD1024" s="49"/>
    </row>
    <row r="1025" spans="1:30" ht="13">
      <c r="A1025" s="141"/>
      <c r="B1025" s="141"/>
      <c r="C1025" s="141"/>
      <c r="D1025" s="49"/>
      <c r="E1025" s="49"/>
      <c r="F1025" s="49"/>
      <c r="G1025" s="49"/>
      <c r="H1025" s="49"/>
      <c r="I1025" s="49"/>
      <c r="J1025" s="49"/>
      <c r="K1025" s="49"/>
      <c r="L1025" s="49"/>
      <c r="M1025" s="49"/>
      <c r="N1025" s="49"/>
      <c r="O1025" s="49"/>
      <c r="P1025" s="49"/>
      <c r="Q1025" s="49"/>
      <c r="R1025" s="49"/>
      <c r="S1025" s="49"/>
      <c r="T1025" s="49"/>
      <c r="U1025" s="49"/>
      <c r="V1025" s="49"/>
      <c r="W1025" s="49"/>
      <c r="X1025" s="49"/>
      <c r="Y1025" s="49"/>
      <c r="Z1025" s="49"/>
      <c r="AA1025" s="49"/>
      <c r="AB1025" s="49"/>
      <c r="AC1025" s="49"/>
      <c r="AD1025" s="49"/>
    </row>
    <row r="1026" spans="1:30" ht="13">
      <c r="A1026" s="141"/>
      <c r="B1026" s="141"/>
      <c r="C1026" s="141"/>
      <c r="D1026" s="49"/>
      <c r="E1026" s="49"/>
      <c r="F1026" s="49"/>
      <c r="G1026" s="49"/>
      <c r="H1026" s="49"/>
      <c r="I1026" s="49"/>
      <c r="J1026" s="49"/>
      <c r="K1026" s="49"/>
      <c r="L1026" s="49"/>
      <c r="M1026" s="49"/>
      <c r="N1026" s="49"/>
      <c r="O1026" s="49"/>
      <c r="P1026" s="49"/>
      <c r="Q1026" s="49"/>
      <c r="R1026" s="49"/>
      <c r="S1026" s="49"/>
      <c r="T1026" s="49"/>
      <c r="U1026" s="49"/>
      <c r="V1026" s="49"/>
      <c r="W1026" s="49"/>
      <c r="X1026" s="49"/>
      <c r="Y1026" s="49"/>
      <c r="Z1026" s="49"/>
      <c r="AA1026" s="49"/>
      <c r="AB1026" s="49"/>
      <c r="AC1026" s="49"/>
      <c r="AD1026" s="49"/>
    </row>
    <row r="1027" spans="1:30" ht="13">
      <c r="A1027" s="141"/>
      <c r="B1027" s="141"/>
      <c r="C1027" s="141"/>
      <c r="D1027" s="49"/>
      <c r="E1027" s="49"/>
      <c r="F1027" s="49"/>
      <c r="G1027" s="49"/>
      <c r="H1027" s="49"/>
      <c r="I1027" s="49"/>
      <c r="J1027" s="49"/>
      <c r="K1027" s="49"/>
      <c r="L1027" s="49"/>
      <c r="M1027" s="49"/>
      <c r="N1027" s="49"/>
      <c r="O1027" s="49"/>
      <c r="P1027" s="49"/>
      <c r="Q1027" s="49"/>
      <c r="R1027" s="49"/>
      <c r="S1027" s="49"/>
      <c r="T1027" s="49"/>
      <c r="U1027" s="49"/>
      <c r="V1027" s="49"/>
      <c r="W1027" s="49"/>
      <c r="X1027" s="49"/>
      <c r="Y1027" s="49"/>
      <c r="Z1027" s="49"/>
      <c r="AA1027" s="49"/>
      <c r="AB1027" s="49"/>
      <c r="AC1027" s="49"/>
      <c r="AD1027" s="49"/>
    </row>
    <row r="1028" spans="1:30" ht="13">
      <c r="A1028" s="141"/>
      <c r="B1028" s="141"/>
      <c r="C1028" s="141"/>
      <c r="D1028" s="49"/>
      <c r="E1028" s="49"/>
      <c r="F1028" s="49"/>
      <c r="G1028" s="49"/>
      <c r="H1028" s="49"/>
      <c r="I1028" s="49"/>
      <c r="J1028" s="49"/>
      <c r="K1028" s="49"/>
      <c r="L1028" s="49"/>
      <c r="M1028" s="49"/>
      <c r="N1028" s="49"/>
      <c r="O1028" s="49"/>
      <c r="P1028" s="49"/>
      <c r="Q1028" s="49"/>
      <c r="R1028" s="49"/>
      <c r="S1028" s="49"/>
      <c r="T1028" s="49"/>
      <c r="U1028" s="49"/>
      <c r="V1028" s="49"/>
      <c r="W1028" s="49"/>
      <c r="X1028" s="49"/>
      <c r="Y1028" s="49"/>
      <c r="Z1028" s="49"/>
      <c r="AA1028" s="49"/>
      <c r="AB1028" s="49"/>
      <c r="AC1028" s="49"/>
      <c r="AD1028" s="49"/>
    </row>
    <row r="1029" spans="1:30" ht="13">
      <c r="A1029" s="141"/>
      <c r="B1029" s="141"/>
      <c r="C1029" s="141"/>
      <c r="D1029" s="49"/>
      <c r="E1029" s="49"/>
      <c r="F1029" s="49"/>
      <c r="G1029" s="49"/>
      <c r="H1029" s="49"/>
      <c r="I1029" s="49"/>
      <c r="J1029" s="49"/>
      <c r="K1029" s="49"/>
      <c r="L1029" s="49"/>
      <c r="M1029" s="49"/>
      <c r="N1029" s="49"/>
      <c r="O1029" s="49"/>
      <c r="P1029" s="49"/>
      <c r="Q1029" s="49"/>
      <c r="R1029" s="49"/>
      <c r="S1029" s="49"/>
      <c r="T1029" s="49"/>
      <c r="U1029" s="49"/>
      <c r="V1029" s="49"/>
      <c r="W1029" s="49"/>
      <c r="X1029" s="49"/>
      <c r="Y1029" s="49"/>
      <c r="Z1029" s="49"/>
      <c r="AA1029" s="49"/>
      <c r="AB1029" s="49"/>
      <c r="AC1029" s="49"/>
      <c r="AD1029" s="49"/>
    </row>
    <row r="1030" spans="1:30" ht="13">
      <c r="A1030" s="141"/>
      <c r="B1030" s="141"/>
      <c r="C1030" s="141"/>
      <c r="D1030" s="49"/>
      <c r="E1030" s="49"/>
      <c r="F1030" s="49"/>
      <c r="G1030" s="49"/>
      <c r="H1030" s="49"/>
      <c r="I1030" s="49"/>
      <c r="J1030" s="49"/>
      <c r="K1030" s="49"/>
      <c r="L1030" s="49"/>
      <c r="M1030" s="49"/>
      <c r="N1030" s="49"/>
      <c r="O1030" s="49"/>
      <c r="P1030" s="49"/>
      <c r="Q1030" s="49"/>
      <c r="R1030" s="49"/>
      <c r="S1030" s="49"/>
      <c r="T1030" s="49"/>
      <c r="U1030" s="49"/>
      <c r="V1030" s="49"/>
      <c r="W1030" s="49"/>
      <c r="X1030" s="49"/>
      <c r="Y1030" s="49"/>
      <c r="Z1030" s="49"/>
      <c r="AA1030" s="49"/>
      <c r="AB1030" s="49"/>
      <c r="AC1030" s="49"/>
      <c r="AD1030" s="49"/>
    </row>
    <row r="1031" spans="1:30" ht="13">
      <c r="A1031" s="141"/>
      <c r="B1031" s="141"/>
      <c r="C1031" s="141"/>
      <c r="D1031" s="49"/>
      <c r="E1031" s="49"/>
      <c r="F1031" s="49"/>
      <c r="G1031" s="49"/>
      <c r="H1031" s="49"/>
      <c r="I1031" s="49"/>
      <c r="J1031" s="49"/>
      <c r="K1031" s="49"/>
      <c r="L1031" s="49"/>
      <c r="M1031" s="49"/>
      <c r="N1031" s="49"/>
      <c r="O1031" s="49"/>
      <c r="P1031" s="49"/>
      <c r="Q1031" s="49"/>
      <c r="R1031" s="49"/>
      <c r="S1031" s="49"/>
      <c r="T1031" s="49"/>
      <c r="U1031" s="49"/>
      <c r="V1031" s="49"/>
      <c r="W1031" s="49"/>
      <c r="X1031" s="49"/>
      <c r="Y1031" s="49"/>
      <c r="Z1031" s="49"/>
      <c r="AA1031" s="49"/>
      <c r="AB1031" s="49"/>
      <c r="AC1031" s="49"/>
      <c r="AD1031" s="49"/>
    </row>
    <row r="1032" spans="1:30" ht="13">
      <c r="A1032" s="141"/>
      <c r="B1032" s="141"/>
      <c r="C1032" s="141"/>
      <c r="D1032" s="49"/>
      <c r="E1032" s="49"/>
      <c r="F1032" s="49"/>
      <c r="G1032" s="49"/>
      <c r="H1032" s="49"/>
      <c r="I1032" s="49"/>
      <c r="J1032" s="49"/>
      <c r="K1032" s="49"/>
      <c r="L1032" s="49"/>
      <c r="M1032" s="49"/>
      <c r="N1032" s="49"/>
      <c r="O1032" s="49"/>
      <c r="P1032" s="49"/>
      <c r="Q1032" s="49"/>
      <c r="R1032" s="49"/>
      <c r="S1032" s="49"/>
      <c r="T1032" s="49"/>
      <c r="U1032" s="49"/>
      <c r="V1032" s="49"/>
      <c r="W1032" s="49"/>
      <c r="X1032" s="49"/>
      <c r="Y1032" s="49"/>
      <c r="Z1032" s="49"/>
      <c r="AA1032" s="49"/>
      <c r="AB1032" s="49"/>
      <c r="AC1032" s="49"/>
      <c r="AD1032" s="49"/>
    </row>
    <row r="1033" spans="1:30" ht="13">
      <c r="A1033" s="141"/>
      <c r="B1033" s="141"/>
      <c r="C1033" s="141"/>
      <c r="D1033" s="49"/>
      <c r="E1033" s="49"/>
      <c r="F1033" s="49"/>
      <c r="G1033" s="49"/>
      <c r="H1033" s="49"/>
      <c r="I1033" s="49"/>
      <c r="J1033" s="49"/>
      <c r="K1033" s="49"/>
      <c r="L1033" s="49"/>
      <c r="M1033" s="49"/>
      <c r="N1033" s="49"/>
      <c r="O1033" s="49"/>
      <c r="P1033" s="49"/>
      <c r="Q1033" s="49"/>
      <c r="R1033" s="49"/>
      <c r="S1033" s="49"/>
      <c r="T1033" s="49"/>
      <c r="U1033" s="49"/>
      <c r="V1033" s="49"/>
      <c r="W1033" s="49"/>
      <c r="X1033" s="49"/>
      <c r="Y1033" s="49"/>
      <c r="Z1033" s="49"/>
      <c r="AA1033" s="49"/>
      <c r="AB1033" s="49"/>
      <c r="AC1033" s="49"/>
      <c r="AD1033" s="49"/>
    </row>
    <row r="1034" spans="1:30" ht="13">
      <c r="A1034" s="141"/>
      <c r="B1034" s="141"/>
      <c r="C1034" s="141"/>
      <c r="D1034" s="49"/>
      <c r="E1034" s="49"/>
      <c r="F1034" s="49"/>
      <c r="G1034" s="49"/>
      <c r="H1034" s="49"/>
      <c r="I1034" s="49"/>
      <c r="J1034" s="49"/>
      <c r="K1034" s="49"/>
      <c r="L1034" s="49"/>
      <c r="M1034" s="49"/>
      <c r="N1034" s="49"/>
      <c r="O1034" s="49"/>
      <c r="P1034" s="49"/>
      <c r="Q1034" s="49"/>
      <c r="R1034" s="49"/>
      <c r="S1034" s="49"/>
      <c r="T1034" s="49"/>
      <c r="U1034" s="49"/>
      <c r="V1034" s="49"/>
      <c r="W1034" s="49"/>
      <c r="X1034" s="49"/>
      <c r="Y1034" s="49"/>
      <c r="Z1034" s="49"/>
      <c r="AA1034" s="49"/>
      <c r="AB1034" s="49"/>
      <c r="AC1034" s="49"/>
      <c r="AD1034" s="49"/>
    </row>
    <row r="1035" spans="1:30" ht="13">
      <c r="A1035" s="141"/>
      <c r="B1035" s="141"/>
      <c r="C1035" s="141"/>
      <c r="D1035" s="49"/>
      <c r="E1035" s="49"/>
      <c r="F1035" s="49"/>
      <c r="G1035" s="49"/>
      <c r="H1035" s="49"/>
      <c r="I1035" s="49"/>
      <c r="J1035" s="49"/>
      <c r="K1035" s="49"/>
      <c r="L1035" s="49"/>
      <c r="M1035" s="49"/>
      <c r="N1035" s="49"/>
      <c r="O1035" s="49"/>
      <c r="P1035" s="49"/>
      <c r="Q1035" s="49"/>
      <c r="R1035" s="49"/>
      <c r="S1035" s="49"/>
      <c r="T1035" s="49"/>
      <c r="U1035" s="49"/>
      <c r="V1035" s="49"/>
      <c r="W1035" s="49"/>
      <c r="X1035" s="49"/>
      <c r="Y1035" s="49"/>
      <c r="Z1035" s="49"/>
      <c r="AA1035" s="49"/>
      <c r="AB1035" s="49"/>
      <c r="AC1035" s="49"/>
      <c r="AD1035" s="49"/>
    </row>
    <row r="1036" spans="1:30" ht="13">
      <c r="A1036" s="141"/>
      <c r="B1036" s="141"/>
      <c r="C1036" s="141"/>
      <c r="D1036" s="49"/>
      <c r="E1036" s="49"/>
      <c r="F1036" s="49"/>
      <c r="G1036" s="49"/>
      <c r="H1036" s="49"/>
      <c r="I1036" s="49"/>
      <c r="J1036" s="49"/>
      <c r="K1036" s="49"/>
      <c r="L1036" s="49"/>
      <c r="M1036" s="49"/>
      <c r="N1036" s="49"/>
      <c r="O1036" s="49"/>
      <c r="P1036" s="49"/>
      <c r="Q1036" s="49"/>
      <c r="R1036" s="49"/>
      <c r="S1036" s="49"/>
      <c r="T1036" s="49"/>
      <c r="U1036" s="49"/>
      <c r="V1036" s="49"/>
      <c r="W1036" s="49"/>
      <c r="X1036" s="49"/>
      <c r="Y1036" s="49"/>
      <c r="Z1036" s="49"/>
      <c r="AA1036" s="49"/>
      <c r="AB1036" s="49"/>
      <c r="AC1036" s="49"/>
      <c r="AD1036" s="49"/>
    </row>
    <row r="1037" spans="1:30" ht="13">
      <c r="A1037" s="141"/>
      <c r="B1037" s="141"/>
      <c r="C1037" s="141"/>
      <c r="D1037" s="49"/>
      <c r="E1037" s="49"/>
      <c r="F1037" s="49"/>
      <c r="G1037" s="49"/>
      <c r="H1037" s="49"/>
      <c r="I1037" s="49"/>
      <c r="J1037" s="49"/>
      <c r="K1037" s="49"/>
      <c r="L1037" s="49"/>
      <c r="M1037" s="49"/>
      <c r="N1037" s="49"/>
      <c r="O1037" s="49"/>
      <c r="P1037" s="49"/>
      <c r="Q1037" s="49"/>
      <c r="R1037" s="49"/>
      <c r="S1037" s="49"/>
      <c r="T1037" s="49"/>
      <c r="U1037" s="49"/>
      <c r="V1037" s="49"/>
      <c r="W1037" s="49"/>
      <c r="X1037" s="49"/>
      <c r="Y1037" s="49"/>
      <c r="Z1037" s="49"/>
      <c r="AA1037" s="49"/>
      <c r="AB1037" s="49"/>
      <c r="AC1037" s="49"/>
      <c r="AD1037" s="49"/>
    </row>
    <row r="1038" spans="1:30" ht="13">
      <c r="A1038" s="141"/>
      <c r="B1038" s="141"/>
      <c r="C1038" s="141"/>
      <c r="D1038" s="49"/>
      <c r="E1038" s="49"/>
      <c r="F1038" s="49"/>
      <c r="G1038" s="49"/>
      <c r="H1038" s="49"/>
      <c r="I1038" s="49"/>
      <c r="J1038" s="49"/>
      <c r="K1038" s="49"/>
      <c r="L1038" s="49"/>
      <c r="M1038" s="49"/>
      <c r="N1038" s="49"/>
      <c r="O1038" s="49"/>
      <c r="P1038" s="49"/>
      <c r="Q1038" s="49"/>
      <c r="R1038" s="49"/>
      <c r="S1038" s="49"/>
      <c r="T1038" s="49"/>
      <c r="U1038" s="49"/>
      <c r="V1038" s="49"/>
      <c r="W1038" s="49"/>
      <c r="X1038" s="49"/>
      <c r="Y1038" s="49"/>
      <c r="Z1038" s="49"/>
      <c r="AA1038" s="49"/>
      <c r="AB1038" s="49"/>
      <c r="AC1038" s="49"/>
      <c r="AD1038" s="49"/>
    </row>
    <row r="1039" spans="1:30" ht="13">
      <c r="A1039" s="141"/>
      <c r="B1039" s="141"/>
      <c r="C1039" s="141"/>
      <c r="D1039" s="49"/>
      <c r="E1039" s="49"/>
      <c r="F1039" s="49"/>
      <c r="G1039" s="49"/>
      <c r="H1039" s="49"/>
      <c r="I1039" s="49"/>
      <c r="J1039" s="49"/>
      <c r="K1039" s="49"/>
      <c r="L1039" s="49"/>
      <c r="M1039" s="49"/>
      <c r="N1039" s="49"/>
      <c r="O1039" s="49"/>
      <c r="P1039" s="49"/>
      <c r="Q1039" s="49"/>
      <c r="R1039" s="49"/>
      <c r="S1039" s="49"/>
      <c r="T1039" s="49"/>
      <c r="U1039" s="49"/>
      <c r="V1039" s="49"/>
      <c r="W1039" s="49"/>
      <c r="X1039" s="49"/>
      <c r="Y1039" s="49"/>
      <c r="Z1039" s="49"/>
      <c r="AA1039" s="49"/>
      <c r="AB1039" s="49"/>
      <c r="AC1039" s="49"/>
      <c r="AD1039" s="49"/>
    </row>
    <row r="1040" spans="1:30" ht="13">
      <c r="A1040" s="141"/>
      <c r="B1040" s="141"/>
      <c r="C1040" s="141"/>
      <c r="D1040" s="49"/>
      <c r="E1040" s="49"/>
      <c r="F1040" s="49"/>
      <c r="G1040" s="49"/>
      <c r="H1040" s="49"/>
      <c r="I1040" s="49"/>
      <c r="J1040" s="49"/>
      <c r="K1040" s="49"/>
      <c r="L1040" s="49"/>
      <c r="M1040" s="49"/>
      <c r="N1040" s="49"/>
      <c r="O1040" s="49"/>
      <c r="P1040" s="49"/>
      <c r="Q1040" s="49"/>
      <c r="R1040" s="49"/>
      <c r="S1040" s="49"/>
      <c r="T1040" s="49"/>
      <c r="U1040" s="49"/>
      <c r="V1040" s="49"/>
      <c r="W1040" s="49"/>
      <c r="X1040" s="49"/>
      <c r="Y1040" s="49"/>
      <c r="Z1040" s="49"/>
      <c r="AA1040" s="49"/>
      <c r="AB1040" s="49"/>
      <c r="AC1040" s="49"/>
      <c r="AD1040" s="49"/>
    </row>
    <row r="1041" spans="1:30" ht="13">
      <c r="A1041" s="141"/>
      <c r="B1041" s="141"/>
      <c r="C1041" s="141"/>
      <c r="D1041" s="49"/>
      <c r="E1041" s="49"/>
      <c r="F1041" s="49"/>
      <c r="G1041" s="49"/>
      <c r="H1041" s="49"/>
      <c r="I1041" s="49"/>
      <c r="J1041" s="49"/>
      <c r="K1041" s="49"/>
      <c r="L1041" s="49"/>
      <c r="M1041" s="49"/>
      <c r="N1041" s="49"/>
      <c r="O1041" s="49"/>
      <c r="P1041" s="49"/>
      <c r="Q1041" s="49"/>
      <c r="R1041" s="49"/>
      <c r="S1041" s="49"/>
      <c r="T1041" s="49"/>
      <c r="U1041" s="49"/>
      <c r="V1041" s="49"/>
      <c r="W1041" s="49"/>
      <c r="X1041" s="49"/>
      <c r="Y1041" s="49"/>
      <c r="Z1041" s="49"/>
      <c r="AA1041" s="49"/>
      <c r="AB1041" s="49"/>
      <c r="AC1041" s="49"/>
      <c r="AD1041" s="49"/>
    </row>
    <row r="1042" spans="1:30" ht="13">
      <c r="A1042" s="141"/>
      <c r="B1042" s="141"/>
      <c r="C1042" s="141"/>
      <c r="D1042" s="49"/>
      <c r="E1042" s="49"/>
      <c r="F1042" s="49"/>
      <c r="G1042" s="49"/>
      <c r="H1042" s="49"/>
      <c r="I1042" s="49"/>
      <c r="J1042" s="49"/>
      <c r="K1042" s="49"/>
      <c r="L1042" s="49"/>
      <c r="M1042" s="49"/>
      <c r="N1042" s="49"/>
      <c r="O1042" s="49"/>
      <c r="P1042" s="49"/>
      <c r="Q1042" s="49"/>
      <c r="R1042" s="49"/>
      <c r="S1042" s="49"/>
      <c r="T1042" s="49"/>
      <c r="U1042" s="49"/>
      <c r="V1042" s="49"/>
      <c r="W1042" s="49"/>
      <c r="X1042" s="49"/>
      <c r="Y1042" s="49"/>
      <c r="Z1042" s="49"/>
      <c r="AA1042" s="49"/>
      <c r="AB1042" s="49"/>
      <c r="AC1042" s="49"/>
      <c r="AD1042" s="49"/>
    </row>
    <row r="1043" spans="1:30" ht="13">
      <c r="A1043" s="141"/>
      <c r="B1043" s="141"/>
      <c r="C1043" s="141"/>
      <c r="D1043" s="49"/>
      <c r="E1043" s="49"/>
      <c r="F1043" s="49"/>
      <c r="G1043" s="49"/>
      <c r="H1043" s="49"/>
      <c r="I1043" s="49"/>
      <c r="J1043" s="49"/>
      <c r="K1043" s="49"/>
      <c r="L1043" s="49"/>
      <c r="M1043" s="49"/>
      <c r="N1043" s="49"/>
      <c r="O1043" s="49"/>
      <c r="P1043" s="49"/>
      <c r="Q1043" s="49"/>
      <c r="R1043" s="49"/>
      <c r="S1043" s="49"/>
      <c r="T1043" s="49"/>
      <c r="U1043" s="49"/>
      <c r="V1043" s="49"/>
      <c r="W1043" s="49"/>
      <c r="X1043" s="49"/>
      <c r="Y1043" s="49"/>
      <c r="Z1043" s="49"/>
      <c r="AA1043" s="49"/>
      <c r="AB1043" s="49"/>
      <c r="AC1043" s="49"/>
      <c r="AD1043" s="49"/>
    </row>
    <row r="1044" spans="1:30" ht="13">
      <c r="A1044" s="141"/>
      <c r="B1044" s="141"/>
      <c r="C1044" s="141"/>
      <c r="D1044" s="49"/>
      <c r="E1044" s="49"/>
      <c r="F1044" s="49"/>
      <c r="G1044" s="49"/>
      <c r="H1044" s="49"/>
      <c r="I1044" s="49"/>
      <c r="J1044" s="49"/>
      <c r="K1044" s="49"/>
      <c r="L1044" s="49"/>
      <c r="M1044" s="49"/>
      <c r="N1044" s="49"/>
      <c r="O1044" s="49"/>
      <c r="P1044" s="49"/>
      <c r="Q1044" s="49"/>
      <c r="R1044" s="49"/>
      <c r="S1044" s="49"/>
      <c r="T1044" s="49"/>
      <c r="U1044" s="49"/>
      <c r="V1044" s="49"/>
      <c r="W1044" s="49"/>
      <c r="X1044" s="49"/>
      <c r="Y1044" s="49"/>
      <c r="Z1044" s="49"/>
      <c r="AA1044" s="49"/>
      <c r="AB1044" s="49"/>
      <c r="AC1044" s="49"/>
      <c r="AD1044" s="49"/>
    </row>
    <row r="1045" spans="1:30" ht="13">
      <c r="A1045" s="141"/>
      <c r="B1045" s="141"/>
      <c r="C1045" s="141"/>
      <c r="D1045" s="49"/>
      <c r="E1045" s="49"/>
      <c r="F1045" s="49"/>
      <c r="G1045" s="49"/>
      <c r="H1045" s="49"/>
      <c r="I1045" s="49"/>
      <c r="J1045" s="49"/>
      <c r="K1045" s="49"/>
      <c r="L1045" s="49"/>
      <c r="M1045" s="49"/>
      <c r="N1045" s="49"/>
      <c r="O1045" s="49"/>
      <c r="P1045" s="49"/>
      <c r="Q1045" s="49"/>
      <c r="R1045" s="49"/>
      <c r="S1045" s="49"/>
      <c r="T1045" s="49"/>
      <c r="U1045" s="49"/>
      <c r="V1045" s="49"/>
      <c r="W1045" s="49"/>
      <c r="X1045" s="49"/>
      <c r="Y1045" s="49"/>
      <c r="Z1045" s="49"/>
      <c r="AA1045" s="49"/>
      <c r="AB1045" s="49"/>
      <c r="AC1045" s="49"/>
      <c r="AD1045" s="49"/>
    </row>
    <row r="1046" spans="1:30" ht="13">
      <c r="A1046" s="141"/>
      <c r="B1046" s="141"/>
      <c r="C1046" s="141"/>
      <c r="D1046" s="49"/>
      <c r="E1046" s="49"/>
      <c r="F1046" s="49"/>
      <c r="G1046" s="49"/>
      <c r="H1046" s="49"/>
      <c r="I1046" s="49"/>
      <c r="J1046" s="49"/>
      <c r="K1046" s="49"/>
      <c r="L1046" s="49"/>
      <c r="M1046" s="49"/>
      <c r="N1046" s="49"/>
      <c r="O1046" s="49"/>
      <c r="P1046" s="49"/>
      <c r="Q1046" s="49"/>
      <c r="R1046" s="49"/>
      <c r="S1046" s="49"/>
      <c r="T1046" s="49"/>
      <c r="U1046" s="49"/>
      <c r="V1046" s="49"/>
      <c r="W1046" s="49"/>
      <c r="X1046" s="49"/>
      <c r="Y1046" s="49"/>
      <c r="Z1046" s="49"/>
      <c r="AA1046" s="49"/>
      <c r="AB1046" s="49"/>
      <c r="AC1046" s="49"/>
      <c r="AD1046" s="49"/>
    </row>
    <row r="1047" spans="1:30" ht="13">
      <c r="A1047" s="141"/>
      <c r="B1047" s="141"/>
      <c r="C1047" s="141"/>
      <c r="D1047" s="49"/>
      <c r="E1047" s="49"/>
      <c r="F1047" s="49"/>
      <c r="G1047" s="49"/>
      <c r="H1047" s="49"/>
      <c r="I1047" s="49"/>
      <c r="J1047" s="49"/>
      <c r="K1047" s="49"/>
      <c r="L1047" s="49"/>
      <c r="M1047" s="49"/>
      <c r="N1047" s="49"/>
      <c r="O1047" s="49"/>
      <c r="P1047" s="49"/>
      <c r="Q1047" s="49"/>
      <c r="R1047" s="49"/>
      <c r="S1047" s="49"/>
      <c r="T1047" s="49"/>
      <c r="U1047" s="49"/>
      <c r="V1047" s="49"/>
      <c r="W1047" s="49"/>
      <c r="X1047" s="49"/>
      <c r="Y1047" s="49"/>
      <c r="Z1047" s="49"/>
      <c r="AA1047" s="49"/>
      <c r="AB1047" s="49"/>
      <c r="AC1047" s="49"/>
      <c r="AD1047" s="49"/>
    </row>
    <row r="1048" spans="1:30" ht="13">
      <c r="A1048" s="141"/>
      <c r="B1048" s="141"/>
      <c r="C1048" s="141"/>
      <c r="D1048" s="49"/>
      <c r="E1048" s="49"/>
      <c r="F1048" s="49"/>
      <c r="G1048" s="49"/>
      <c r="H1048" s="49"/>
      <c r="I1048" s="49"/>
      <c r="J1048" s="49"/>
      <c r="K1048" s="49"/>
      <c r="L1048" s="49"/>
      <c r="M1048" s="49"/>
      <c r="N1048" s="49"/>
      <c r="O1048" s="49"/>
      <c r="P1048" s="49"/>
      <c r="Q1048" s="49"/>
      <c r="R1048" s="49"/>
      <c r="S1048" s="49"/>
      <c r="T1048" s="49"/>
      <c r="U1048" s="49"/>
      <c r="V1048" s="49"/>
      <c r="W1048" s="49"/>
      <c r="X1048" s="49"/>
      <c r="Y1048" s="49"/>
      <c r="Z1048" s="49"/>
      <c r="AA1048" s="49"/>
      <c r="AB1048" s="49"/>
      <c r="AC1048" s="49"/>
      <c r="AD1048" s="49"/>
    </row>
    <row r="1049" spans="1:30" ht="13">
      <c r="A1049" s="141"/>
      <c r="B1049" s="141"/>
      <c r="C1049" s="141"/>
      <c r="D1049" s="49"/>
      <c r="E1049" s="49"/>
      <c r="F1049" s="49"/>
      <c r="G1049" s="49"/>
      <c r="H1049" s="49"/>
      <c r="I1049" s="49"/>
      <c r="J1049" s="49"/>
      <c r="K1049" s="49"/>
      <c r="L1049" s="49"/>
      <c r="M1049" s="49"/>
      <c r="N1049" s="49"/>
      <c r="O1049" s="49"/>
      <c r="P1049" s="49"/>
      <c r="Q1049" s="49"/>
      <c r="R1049" s="49"/>
      <c r="S1049" s="49"/>
      <c r="T1049" s="49"/>
      <c r="U1049" s="49"/>
      <c r="V1049" s="49"/>
      <c r="W1049" s="49"/>
      <c r="X1049" s="49"/>
      <c r="Y1049" s="49"/>
      <c r="Z1049" s="49"/>
      <c r="AA1049" s="49"/>
      <c r="AB1049" s="49"/>
      <c r="AC1049" s="49"/>
      <c r="AD1049" s="49"/>
    </row>
    <row r="1050" spans="1:30" ht="13">
      <c r="A1050" s="141"/>
      <c r="B1050" s="141"/>
      <c r="C1050" s="141"/>
      <c r="D1050" s="49"/>
      <c r="E1050" s="49"/>
      <c r="F1050" s="49"/>
      <c r="G1050" s="49"/>
      <c r="H1050" s="49"/>
      <c r="I1050" s="49"/>
      <c r="J1050" s="49"/>
      <c r="K1050" s="49"/>
      <c r="L1050" s="49"/>
      <c r="M1050" s="49"/>
      <c r="N1050" s="49"/>
      <c r="O1050" s="49"/>
      <c r="P1050" s="49"/>
      <c r="Q1050" s="49"/>
      <c r="R1050" s="49"/>
      <c r="S1050" s="49"/>
      <c r="T1050" s="49"/>
      <c r="U1050" s="49"/>
      <c r="V1050" s="49"/>
      <c r="W1050" s="49"/>
      <c r="X1050" s="49"/>
      <c r="Y1050" s="49"/>
      <c r="Z1050" s="49"/>
      <c r="AA1050" s="49"/>
      <c r="AB1050" s="49"/>
      <c r="AC1050" s="49"/>
      <c r="AD1050" s="49"/>
    </row>
    <row r="1051" spans="1:30" ht="13">
      <c r="A1051" s="141"/>
      <c r="B1051" s="141"/>
      <c r="C1051" s="141"/>
      <c r="D1051" s="49"/>
      <c r="E1051" s="49"/>
      <c r="F1051" s="49"/>
      <c r="G1051" s="49"/>
      <c r="H1051" s="49"/>
      <c r="I1051" s="49"/>
      <c r="J1051" s="49"/>
      <c r="K1051" s="49"/>
      <c r="L1051" s="49"/>
      <c r="M1051" s="49"/>
      <c r="N1051" s="49"/>
      <c r="O1051" s="49"/>
      <c r="P1051" s="49"/>
      <c r="Q1051" s="49"/>
      <c r="R1051" s="49"/>
      <c r="S1051" s="49"/>
      <c r="T1051" s="49"/>
      <c r="U1051" s="49"/>
      <c r="V1051" s="49"/>
      <c r="W1051" s="49"/>
      <c r="X1051" s="49"/>
      <c r="Y1051" s="49"/>
      <c r="Z1051" s="49"/>
      <c r="AA1051" s="49"/>
      <c r="AB1051" s="49"/>
      <c r="AC1051" s="49"/>
      <c r="AD1051" s="49"/>
    </row>
    <row r="1052" spans="1:30" ht="13">
      <c r="A1052" s="141"/>
      <c r="B1052" s="141"/>
      <c r="C1052" s="141"/>
      <c r="D1052" s="49"/>
      <c r="E1052" s="49"/>
      <c r="F1052" s="49"/>
      <c r="G1052" s="49"/>
      <c r="H1052" s="49"/>
      <c r="I1052" s="49"/>
      <c r="J1052" s="49"/>
      <c r="K1052" s="49"/>
      <c r="L1052" s="49"/>
      <c r="M1052" s="49"/>
      <c r="N1052" s="49"/>
      <c r="O1052" s="49"/>
      <c r="P1052" s="49"/>
      <c r="Q1052" s="49"/>
      <c r="R1052" s="49"/>
      <c r="S1052" s="49"/>
      <c r="T1052" s="49"/>
      <c r="U1052" s="49"/>
      <c r="V1052" s="49"/>
      <c r="W1052" s="49"/>
      <c r="X1052" s="49"/>
      <c r="Y1052" s="49"/>
      <c r="Z1052" s="49"/>
      <c r="AA1052" s="49"/>
      <c r="AB1052" s="49"/>
      <c r="AC1052" s="49"/>
      <c r="AD1052" s="49"/>
    </row>
    <row r="1053" spans="1:30" ht="13">
      <c r="A1053" s="141"/>
      <c r="B1053" s="141"/>
      <c r="C1053" s="141"/>
      <c r="D1053" s="49"/>
      <c r="E1053" s="49"/>
      <c r="F1053" s="49"/>
      <c r="G1053" s="49"/>
      <c r="H1053" s="49"/>
      <c r="I1053" s="49"/>
      <c r="J1053" s="49"/>
      <c r="K1053" s="49"/>
      <c r="L1053" s="49"/>
      <c r="M1053" s="49"/>
      <c r="N1053" s="49"/>
      <c r="O1053" s="49"/>
      <c r="P1053" s="49"/>
      <c r="Q1053" s="49"/>
      <c r="R1053" s="49"/>
      <c r="S1053" s="49"/>
      <c r="T1053" s="49"/>
      <c r="U1053" s="49"/>
      <c r="V1053" s="49"/>
      <c r="W1053" s="49"/>
      <c r="X1053" s="49"/>
      <c r="Y1053" s="49"/>
      <c r="Z1053" s="49"/>
      <c r="AA1053" s="49"/>
      <c r="AB1053" s="49"/>
      <c r="AC1053" s="49"/>
      <c r="AD1053" s="49"/>
    </row>
    <row r="1054" spans="1:30" ht="13">
      <c r="A1054" s="141"/>
      <c r="B1054" s="141"/>
      <c r="C1054" s="141"/>
      <c r="D1054" s="49"/>
      <c r="E1054" s="49"/>
      <c r="F1054" s="49"/>
      <c r="G1054" s="49"/>
      <c r="H1054" s="49"/>
      <c r="I1054" s="49"/>
      <c r="J1054" s="49"/>
      <c r="K1054" s="49"/>
      <c r="L1054" s="49"/>
      <c r="M1054" s="49"/>
      <c r="N1054" s="49"/>
      <c r="O1054" s="49"/>
      <c r="P1054" s="49"/>
      <c r="Q1054" s="49"/>
      <c r="R1054" s="49"/>
      <c r="S1054" s="49"/>
      <c r="T1054" s="49"/>
      <c r="U1054" s="49"/>
      <c r="V1054" s="49"/>
      <c r="W1054" s="49"/>
      <c r="X1054" s="49"/>
      <c r="Y1054" s="49"/>
      <c r="Z1054" s="49"/>
      <c r="AA1054" s="49"/>
      <c r="AB1054" s="49"/>
      <c r="AC1054" s="49"/>
      <c r="AD1054" s="49"/>
    </row>
    <row r="1055" spans="1:30" ht="13">
      <c r="A1055" s="141"/>
      <c r="B1055" s="141"/>
      <c r="C1055" s="141"/>
      <c r="D1055" s="49"/>
      <c r="E1055" s="49"/>
      <c r="F1055" s="49"/>
      <c r="G1055" s="49"/>
      <c r="H1055" s="49"/>
      <c r="I1055" s="49"/>
      <c r="J1055" s="49"/>
      <c r="K1055" s="49"/>
      <c r="L1055" s="49"/>
      <c r="M1055" s="49"/>
      <c r="N1055" s="49"/>
      <c r="O1055" s="49"/>
      <c r="P1055" s="49"/>
      <c r="Q1055" s="49"/>
      <c r="R1055" s="49"/>
      <c r="S1055" s="49"/>
      <c r="T1055" s="49"/>
      <c r="U1055" s="49"/>
      <c r="V1055" s="49"/>
      <c r="W1055" s="49"/>
      <c r="X1055" s="49"/>
      <c r="Y1055" s="49"/>
      <c r="Z1055" s="49"/>
      <c r="AA1055" s="49"/>
      <c r="AB1055" s="49"/>
      <c r="AC1055" s="49"/>
      <c r="AD1055" s="49"/>
    </row>
    <row r="1056" spans="1:30" ht="13">
      <c r="A1056" s="141"/>
      <c r="B1056" s="141"/>
      <c r="C1056" s="141"/>
      <c r="D1056" s="49"/>
      <c r="E1056" s="49"/>
      <c r="F1056" s="49"/>
      <c r="G1056" s="49"/>
      <c r="H1056" s="49"/>
      <c r="I1056" s="49"/>
      <c r="J1056" s="49"/>
      <c r="K1056" s="49"/>
      <c r="L1056" s="49"/>
      <c r="M1056" s="49"/>
      <c r="N1056" s="49"/>
      <c r="O1056" s="49"/>
      <c r="P1056" s="49"/>
      <c r="Q1056" s="49"/>
      <c r="R1056" s="49"/>
      <c r="S1056" s="49"/>
      <c r="T1056" s="49"/>
      <c r="U1056" s="49"/>
      <c r="V1056" s="49"/>
      <c r="W1056" s="49"/>
      <c r="X1056" s="49"/>
      <c r="Y1056" s="49"/>
      <c r="Z1056" s="49"/>
      <c r="AA1056" s="49"/>
      <c r="AB1056" s="49"/>
      <c r="AC1056" s="49"/>
      <c r="AD1056" s="49"/>
    </row>
    <row r="1057" spans="1:30" ht="13">
      <c r="A1057" s="141"/>
      <c r="B1057" s="141"/>
      <c r="C1057" s="141"/>
      <c r="D1057" s="49"/>
      <c r="E1057" s="49"/>
      <c r="F1057" s="49"/>
      <c r="G1057" s="49"/>
      <c r="H1057" s="49"/>
      <c r="I1057" s="49"/>
      <c r="J1057" s="49"/>
      <c r="K1057" s="49"/>
      <c r="L1057" s="49"/>
      <c r="M1057" s="49"/>
      <c r="N1057" s="49"/>
      <c r="O1057" s="49"/>
      <c r="P1057" s="49"/>
      <c r="Q1057" s="49"/>
      <c r="R1057" s="49"/>
      <c r="S1057" s="49"/>
      <c r="T1057" s="49"/>
      <c r="U1057" s="49"/>
      <c r="V1057" s="49"/>
      <c r="W1057" s="49"/>
      <c r="X1057" s="49"/>
      <c r="Y1057" s="49"/>
      <c r="Z1057" s="49"/>
      <c r="AA1057" s="49"/>
      <c r="AB1057" s="49"/>
      <c r="AC1057" s="49"/>
      <c r="AD1057" s="49"/>
    </row>
    <row r="1058" spans="1:30" ht="13">
      <c r="A1058" s="141"/>
      <c r="B1058" s="141"/>
      <c r="C1058" s="141"/>
      <c r="D1058" s="49"/>
      <c r="E1058" s="49"/>
      <c r="F1058" s="49"/>
      <c r="G1058" s="49"/>
      <c r="H1058" s="49"/>
      <c r="I1058" s="49"/>
      <c r="J1058" s="49"/>
      <c r="K1058" s="49"/>
      <c r="L1058" s="49"/>
      <c r="M1058" s="49"/>
      <c r="N1058" s="49"/>
      <c r="O1058" s="49"/>
      <c r="P1058" s="49"/>
      <c r="Q1058" s="49"/>
      <c r="R1058" s="49"/>
      <c r="S1058" s="49"/>
      <c r="T1058" s="49"/>
      <c r="U1058" s="49"/>
      <c r="V1058" s="49"/>
      <c r="W1058" s="49"/>
      <c r="X1058" s="49"/>
      <c r="Y1058" s="49"/>
      <c r="Z1058" s="49"/>
      <c r="AA1058" s="49"/>
      <c r="AB1058" s="49"/>
      <c r="AC1058" s="49"/>
      <c r="AD1058" s="49"/>
    </row>
    <row r="1059" spans="1:30" ht="13">
      <c r="A1059" s="141"/>
      <c r="B1059" s="141"/>
      <c r="C1059" s="141"/>
      <c r="D1059" s="49"/>
      <c r="E1059" s="49"/>
      <c r="F1059" s="49"/>
      <c r="G1059" s="49"/>
      <c r="H1059" s="49"/>
      <c r="I1059" s="49"/>
      <c r="J1059" s="49"/>
      <c r="K1059" s="49"/>
      <c r="L1059" s="49"/>
      <c r="M1059" s="49"/>
      <c r="N1059" s="49"/>
      <c r="O1059" s="49"/>
      <c r="P1059" s="49"/>
      <c r="Q1059" s="49"/>
      <c r="R1059" s="49"/>
      <c r="S1059" s="49"/>
      <c r="T1059" s="49"/>
      <c r="U1059" s="49"/>
      <c r="V1059" s="49"/>
      <c r="W1059" s="49"/>
      <c r="X1059" s="49"/>
      <c r="Y1059" s="49"/>
      <c r="Z1059" s="49"/>
      <c r="AA1059" s="49"/>
      <c r="AB1059" s="49"/>
      <c r="AC1059" s="49"/>
      <c r="AD1059" s="49"/>
    </row>
    <row r="1060" spans="1:30" ht="13">
      <c r="A1060" s="141"/>
      <c r="B1060" s="141"/>
      <c r="C1060" s="141"/>
      <c r="D1060" s="49"/>
      <c r="E1060" s="49"/>
      <c r="F1060" s="49"/>
      <c r="G1060" s="49"/>
      <c r="H1060" s="49"/>
      <c r="I1060" s="49"/>
      <c r="J1060" s="49"/>
      <c r="K1060" s="49"/>
      <c r="L1060" s="49"/>
      <c r="M1060" s="49"/>
      <c r="N1060" s="49"/>
      <c r="O1060" s="49"/>
      <c r="P1060" s="49"/>
      <c r="Q1060" s="49"/>
      <c r="R1060" s="49"/>
      <c r="S1060" s="49"/>
      <c r="T1060" s="49"/>
      <c r="U1060" s="49"/>
      <c r="V1060" s="49"/>
      <c r="W1060" s="49"/>
      <c r="X1060" s="49"/>
      <c r="Y1060" s="49"/>
      <c r="Z1060" s="49"/>
      <c r="AA1060" s="49"/>
      <c r="AB1060" s="49"/>
      <c r="AC1060" s="49"/>
      <c r="AD1060" s="49"/>
    </row>
    <row r="1061" spans="1:30" ht="13">
      <c r="A1061" s="141"/>
      <c r="B1061" s="141"/>
      <c r="C1061" s="141"/>
      <c r="D1061" s="49"/>
      <c r="E1061" s="49"/>
      <c r="F1061" s="49"/>
      <c r="G1061" s="49"/>
      <c r="H1061" s="49"/>
      <c r="I1061" s="49"/>
      <c r="J1061" s="49"/>
      <c r="K1061" s="49"/>
      <c r="L1061" s="49"/>
      <c r="M1061" s="49"/>
      <c r="N1061" s="49"/>
      <c r="O1061" s="49"/>
      <c r="P1061" s="49"/>
      <c r="Q1061" s="49"/>
      <c r="R1061" s="49"/>
      <c r="S1061" s="49"/>
      <c r="T1061" s="49"/>
      <c r="U1061" s="49"/>
      <c r="V1061" s="49"/>
      <c r="W1061" s="49"/>
      <c r="X1061" s="49"/>
      <c r="Y1061" s="49"/>
      <c r="Z1061" s="49"/>
      <c r="AA1061" s="49"/>
      <c r="AB1061" s="49"/>
      <c r="AC1061" s="49"/>
      <c r="AD1061" s="49"/>
    </row>
    <row r="1062" spans="1:30" ht="13">
      <c r="A1062" s="141"/>
      <c r="B1062" s="141"/>
      <c r="C1062" s="141"/>
      <c r="D1062" s="49"/>
      <c r="E1062" s="49"/>
      <c r="F1062" s="49"/>
      <c r="G1062" s="49"/>
      <c r="H1062" s="49"/>
      <c r="I1062" s="49"/>
      <c r="J1062" s="49"/>
      <c r="K1062" s="49"/>
      <c r="L1062" s="49"/>
      <c r="M1062" s="49"/>
      <c r="N1062" s="49"/>
      <c r="O1062" s="49"/>
      <c r="P1062" s="49"/>
      <c r="Q1062" s="49"/>
      <c r="R1062" s="49"/>
      <c r="S1062" s="49"/>
      <c r="T1062" s="49"/>
      <c r="U1062" s="49"/>
      <c r="V1062" s="49"/>
      <c r="W1062" s="49"/>
      <c r="X1062" s="49"/>
      <c r="Y1062" s="49"/>
      <c r="Z1062" s="49"/>
      <c r="AA1062" s="49"/>
      <c r="AB1062" s="49"/>
      <c r="AC1062" s="49"/>
      <c r="AD1062" s="49"/>
    </row>
    <row r="1063" spans="1:30" ht="13">
      <c r="A1063" s="141"/>
      <c r="B1063" s="141"/>
      <c r="C1063" s="141"/>
      <c r="D1063" s="49"/>
      <c r="E1063" s="49"/>
      <c r="F1063" s="49"/>
      <c r="G1063" s="49"/>
      <c r="H1063" s="49"/>
      <c r="I1063" s="49"/>
      <c r="J1063" s="49"/>
      <c r="K1063" s="49"/>
      <c r="L1063" s="49"/>
      <c r="M1063" s="49"/>
      <c r="N1063" s="49"/>
      <c r="O1063" s="49"/>
      <c r="P1063" s="49"/>
      <c r="Q1063" s="49"/>
      <c r="R1063" s="49"/>
      <c r="S1063" s="49"/>
      <c r="T1063" s="49"/>
      <c r="U1063" s="49"/>
      <c r="V1063" s="49"/>
      <c r="W1063" s="49"/>
      <c r="X1063" s="49"/>
      <c r="Y1063" s="49"/>
      <c r="Z1063" s="49"/>
      <c r="AA1063" s="49"/>
      <c r="AB1063" s="49"/>
      <c r="AC1063" s="49"/>
      <c r="AD1063" s="49"/>
    </row>
    <row r="1064" spans="1:30" ht="13">
      <c r="A1064" s="141"/>
      <c r="B1064" s="141"/>
      <c r="C1064" s="141"/>
      <c r="D1064" s="49"/>
      <c r="E1064" s="49"/>
      <c r="F1064" s="49"/>
      <c r="G1064" s="49"/>
      <c r="H1064" s="49"/>
      <c r="I1064" s="49"/>
      <c r="J1064" s="49"/>
      <c r="K1064" s="49"/>
      <c r="L1064" s="49"/>
      <c r="M1064" s="49"/>
      <c r="N1064" s="49"/>
      <c r="O1064" s="49"/>
      <c r="P1064" s="49"/>
      <c r="Q1064" s="49"/>
      <c r="R1064" s="49"/>
      <c r="S1064" s="49"/>
      <c r="T1064" s="49"/>
      <c r="U1064" s="49"/>
      <c r="V1064" s="49"/>
      <c r="W1064" s="49"/>
      <c r="X1064" s="49"/>
      <c r="Y1064" s="49"/>
      <c r="Z1064" s="49"/>
      <c r="AA1064" s="49"/>
      <c r="AB1064" s="49"/>
      <c r="AC1064" s="49"/>
      <c r="AD1064" s="49"/>
    </row>
    <row r="1065" spans="1:30" ht="13">
      <c r="A1065" s="141"/>
      <c r="B1065" s="141"/>
      <c r="C1065" s="141"/>
      <c r="D1065" s="49"/>
      <c r="E1065" s="49"/>
      <c r="F1065" s="49"/>
      <c r="G1065" s="49"/>
      <c r="H1065" s="49"/>
      <c r="I1065" s="49"/>
      <c r="J1065" s="49"/>
      <c r="K1065" s="49"/>
      <c r="L1065" s="49"/>
      <c r="M1065" s="49"/>
      <c r="N1065" s="49"/>
      <c r="O1065" s="49"/>
      <c r="P1065" s="49"/>
      <c r="Q1065" s="49"/>
      <c r="R1065" s="49"/>
      <c r="S1065" s="49"/>
      <c r="T1065" s="49"/>
      <c r="U1065" s="49"/>
      <c r="V1065" s="49"/>
      <c r="W1065" s="49"/>
      <c r="X1065" s="49"/>
      <c r="Y1065" s="49"/>
      <c r="Z1065" s="49"/>
      <c r="AA1065" s="49"/>
      <c r="AB1065" s="49"/>
      <c r="AC1065" s="49"/>
      <c r="AD1065" s="49"/>
    </row>
    <row r="1066" spans="1:30" ht="13">
      <c r="A1066" s="141"/>
      <c r="B1066" s="141"/>
      <c r="C1066" s="141"/>
      <c r="D1066" s="49"/>
      <c r="E1066" s="49"/>
      <c r="F1066" s="49"/>
      <c r="G1066" s="49"/>
      <c r="H1066" s="49"/>
      <c r="I1066" s="49"/>
      <c r="J1066" s="49"/>
      <c r="K1066" s="49"/>
      <c r="L1066" s="49"/>
      <c r="M1066" s="49"/>
      <c r="N1066" s="49"/>
      <c r="O1066" s="49"/>
      <c r="P1066" s="49"/>
      <c r="Q1066" s="49"/>
      <c r="R1066" s="49"/>
      <c r="S1066" s="49"/>
      <c r="T1066" s="49"/>
      <c r="U1066" s="49"/>
      <c r="V1066" s="49"/>
      <c r="W1066" s="49"/>
      <c r="X1066" s="49"/>
      <c r="Y1066" s="49"/>
      <c r="Z1066" s="49"/>
      <c r="AA1066" s="49"/>
      <c r="AB1066" s="49"/>
      <c r="AC1066" s="49"/>
      <c r="AD1066" s="49"/>
    </row>
    <row r="1067" spans="1:30" ht="13">
      <c r="A1067" s="141"/>
      <c r="B1067" s="141"/>
      <c r="C1067" s="141"/>
      <c r="D1067" s="49"/>
      <c r="E1067" s="49"/>
      <c r="F1067" s="49"/>
      <c r="G1067" s="49"/>
      <c r="H1067" s="49"/>
      <c r="I1067" s="49"/>
      <c r="J1067" s="49"/>
      <c r="K1067" s="49"/>
      <c r="L1067" s="49"/>
      <c r="M1067" s="49"/>
      <c r="N1067" s="49"/>
      <c r="O1067" s="49"/>
      <c r="P1067" s="49"/>
      <c r="Q1067" s="49"/>
      <c r="R1067" s="49"/>
      <c r="S1067" s="49"/>
      <c r="T1067" s="49"/>
      <c r="U1067" s="49"/>
      <c r="V1067" s="49"/>
      <c r="W1067" s="49"/>
      <c r="X1067" s="49"/>
      <c r="Y1067" s="49"/>
      <c r="Z1067" s="49"/>
      <c r="AA1067" s="49"/>
      <c r="AB1067" s="49"/>
      <c r="AC1067" s="49"/>
      <c r="AD1067" s="49"/>
    </row>
    <row r="1068" spans="1:30" ht="13">
      <c r="A1068" s="141"/>
      <c r="B1068" s="141"/>
      <c r="C1068" s="141"/>
      <c r="D1068" s="49"/>
      <c r="E1068" s="49"/>
      <c r="F1068" s="49"/>
      <c r="G1068" s="49"/>
      <c r="H1068" s="49"/>
      <c r="I1068" s="49"/>
      <c r="J1068" s="49"/>
      <c r="K1068" s="49"/>
      <c r="L1068" s="49"/>
      <c r="M1068" s="49"/>
      <c r="N1068" s="49"/>
      <c r="O1068" s="49"/>
      <c r="P1068" s="49"/>
      <c r="Q1068" s="49"/>
      <c r="R1068" s="49"/>
      <c r="S1068" s="49"/>
      <c r="T1068" s="49"/>
      <c r="U1068" s="49"/>
      <c r="V1068" s="49"/>
      <c r="W1068" s="49"/>
      <c r="X1068" s="49"/>
      <c r="Y1068" s="49"/>
      <c r="Z1068" s="49"/>
      <c r="AA1068" s="49"/>
      <c r="AB1068" s="49"/>
      <c r="AC1068" s="49"/>
      <c r="AD1068" s="49"/>
    </row>
    <row r="1069" spans="1:30" ht="13">
      <c r="A1069" s="141"/>
      <c r="B1069" s="141"/>
      <c r="C1069" s="141"/>
      <c r="D1069" s="49"/>
      <c r="E1069" s="49"/>
      <c r="F1069" s="49"/>
      <c r="G1069" s="49"/>
      <c r="H1069" s="49"/>
      <c r="I1069" s="49"/>
      <c r="J1069" s="49"/>
      <c r="K1069" s="49"/>
      <c r="L1069" s="49"/>
      <c r="M1069" s="49"/>
      <c r="N1069" s="49"/>
      <c r="O1069" s="49"/>
      <c r="P1069" s="49"/>
      <c r="Q1069" s="49"/>
      <c r="R1069" s="49"/>
      <c r="S1069" s="49"/>
      <c r="T1069" s="49"/>
      <c r="U1069" s="49"/>
      <c r="V1069" s="49"/>
      <c r="W1069" s="49"/>
      <c r="X1069" s="49"/>
      <c r="Y1069" s="49"/>
      <c r="Z1069" s="49"/>
      <c r="AA1069" s="49"/>
      <c r="AB1069" s="49"/>
      <c r="AC1069" s="49"/>
      <c r="AD1069" s="49"/>
    </row>
    <row r="1070" spans="1:30" ht="13">
      <c r="A1070" s="141"/>
      <c r="B1070" s="141"/>
      <c r="C1070" s="141"/>
      <c r="D1070" s="49"/>
      <c r="E1070" s="49"/>
      <c r="F1070" s="49"/>
      <c r="G1070" s="49"/>
      <c r="H1070" s="49"/>
      <c r="I1070" s="49"/>
      <c r="J1070" s="49"/>
      <c r="K1070" s="49"/>
      <c r="L1070" s="49"/>
      <c r="M1070" s="49"/>
      <c r="N1070" s="49"/>
      <c r="O1070" s="49"/>
      <c r="P1070" s="49"/>
      <c r="Q1070" s="49"/>
      <c r="R1070" s="49"/>
      <c r="S1070" s="49"/>
      <c r="T1070" s="49"/>
      <c r="U1070" s="49"/>
      <c r="V1070" s="49"/>
      <c r="W1070" s="49"/>
      <c r="X1070" s="49"/>
      <c r="Y1070" s="49"/>
      <c r="Z1070" s="49"/>
      <c r="AA1070" s="49"/>
      <c r="AB1070" s="49"/>
      <c r="AC1070" s="49"/>
      <c r="AD1070" s="49"/>
    </row>
    <row r="1071" spans="1:30" ht="13">
      <c r="A1071" s="141"/>
      <c r="B1071" s="141"/>
      <c r="C1071" s="141"/>
      <c r="D1071" s="49"/>
      <c r="E1071" s="49"/>
      <c r="F1071" s="49"/>
      <c r="G1071" s="49"/>
      <c r="H1071" s="49"/>
      <c r="I1071" s="49"/>
      <c r="J1071" s="49"/>
      <c r="K1071" s="49"/>
      <c r="L1071" s="49"/>
      <c r="M1071" s="49"/>
      <c r="N1071" s="49"/>
      <c r="O1071" s="49"/>
      <c r="P1071" s="49"/>
      <c r="Q1071" s="49"/>
      <c r="R1071" s="49"/>
      <c r="S1071" s="49"/>
      <c r="T1071" s="49"/>
      <c r="U1071" s="49"/>
      <c r="V1071" s="49"/>
      <c r="W1071" s="49"/>
      <c r="X1071" s="49"/>
      <c r="Y1071" s="49"/>
      <c r="Z1071" s="49"/>
      <c r="AA1071" s="49"/>
      <c r="AB1071" s="49"/>
      <c r="AC1071" s="49"/>
      <c r="AD1071" s="49"/>
    </row>
    <row r="1072" spans="1:30" ht="13">
      <c r="A1072" s="141"/>
      <c r="B1072" s="141"/>
      <c r="C1072" s="141"/>
      <c r="D1072" s="49"/>
      <c r="E1072" s="49"/>
      <c r="F1072" s="49"/>
      <c r="G1072" s="49"/>
      <c r="H1072" s="49"/>
      <c r="I1072" s="49"/>
      <c r="J1072" s="49"/>
      <c r="K1072" s="49"/>
      <c r="L1072" s="49"/>
      <c r="M1072" s="49"/>
      <c r="N1072" s="49"/>
      <c r="O1072" s="49"/>
      <c r="P1072" s="49"/>
      <c r="Q1072" s="49"/>
      <c r="R1072" s="49"/>
      <c r="S1072" s="49"/>
      <c r="T1072" s="49"/>
      <c r="U1072" s="49"/>
      <c r="V1072" s="49"/>
      <c r="W1072" s="49"/>
      <c r="X1072" s="49"/>
      <c r="Y1072" s="49"/>
      <c r="Z1072" s="49"/>
      <c r="AA1072" s="49"/>
      <c r="AB1072" s="49"/>
      <c r="AC1072" s="49"/>
      <c r="AD1072" s="49"/>
    </row>
    <row r="1073" spans="1:30" ht="13">
      <c r="A1073" s="141"/>
      <c r="B1073" s="141"/>
      <c r="C1073" s="141"/>
      <c r="D1073" s="49"/>
      <c r="E1073" s="49"/>
      <c r="F1073" s="49"/>
      <c r="G1073" s="49"/>
      <c r="H1073" s="49"/>
      <c r="I1073" s="49"/>
      <c r="J1073" s="49"/>
      <c r="K1073" s="49"/>
      <c r="L1073" s="49"/>
      <c r="M1073" s="49"/>
      <c r="N1073" s="49"/>
      <c r="O1073" s="49"/>
      <c r="P1073" s="49"/>
      <c r="Q1073" s="49"/>
      <c r="R1073" s="49"/>
      <c r="S1073" s="49"/>
      <c r="T1073" s="49"/>
      <c r="U1073" s="49"/>
      <c r="V1073" s="49"/>
      <c r="W1073" s="49"/>
      <c r="X1073" s="49"/>
      <c r="Y1073" s="49"/>
      <c r="Z1073" s="49"/>
      <c r="AA1073" s="49"/>
      <c r="AB1073" s="49"/>
      <c r="AC1073" s="49"/>
      <c r="AD1073" s="49"/>
    </row>
    <row r="1074" spans="1:30" ht="13">
      <c r="A1074" s="141"/>
      <c r="B1074" s="141"/>
      <c r="C1074" s="141"/>
      <c r="D1074" s="49"/>
      <c r="E1074" s="49"/>
      <c r="F1074" s="49"/>
      <c r="G1074" s="49"/>
      <c r="H1074" s="49"/>
      <c r="I1074" s="49"/>
      <c r="J1074" s="49"/>
      <c r="K1074" s="49"/>
      <c r="L1074" s="49"/>
      <c r="M1074" s="49"/>
      <c r="N1074" s="49"/>
      <c r="O1074" s="49"/>
      <c r="P1074" s="49"/>
      <c r="Q1074" s="49"/>
      <c r="R1074" s="49"/>
      <c r="S1074" s="49"/>
      <c r="T1074" s="49"/>
      <c r="U1074" s="49"/>
      <c r="V1074" s="49"/>
      <c r="W1074" s="49"/>
      <c r="X1074" s="49"/>
      <c r="Y1074" s="49"/>
      <c r="Z1074" s="49"/>
      <c r="AA1074" s="49"/>
      <c r="AB1074" s="49"/>
      <c r="AC1074" s="49"/>
      <c r="AD1074" s="49"/>
    </row>
    <row r="1075" spans="1:30" ht="13">
      <c r="A1075" s="141"/>
      <c r="B1075" s="141"/>
      <c r="C1075" s="141"/>
      <c r="D1075" s="49"/>
      <c r="E1075" s="49"/>
      <c r="F1075" s="49"/>
      <c r="G1075" s="49"/>
      <c r="H1075" s="49"/>
      <c r="I1075" s="49"/>
      <c r="J1075" s="49"/>
      <c r="K1075" s="49"/>
      <c r="L1075" s="49"/>
      <c r="M1075" s="49"/>
      <c r="N1075" s="49"/>
      <c r="O1075" s="49"/>
      <c r="P1075" s="49"/>
      <c r="Q1075" s="49"/>
      <c r="R1075" s="49"/>
      <c r="S1075" s="49"/>
      <c r="T1075" s="49"/>
      <c r="U1075" s="49"/>
      <c r="V1075" s="49"/>
      <c r="W1075" s="49"/>
      <c r="X1075" s="49"/>
      <c r="Y1075" s="49"/>
      <c r="Z1075" s="49"/>
      <c r="AA1075" s="49"/>
      <c r="AB1075" s="49"/>
      <c r="AC1075" s="49"/>
      <c r="AD1075" s="49"/>
    </row>
    <row r="1076" spans="1:30" ht="13">
      <c r="A1076" s="141"/>
      <c r="B1076" s="141"/>
      <c r="C1076" s="141"/>
      <c r="D1076" s="49"/>
      <c r="E1076" s="49"/>
      <c r="F1076" s="49"/>
      <c r="G1076" s="49"/>
      <c r="H1076" s="49"/>
      <c r="I1076" s="49"/>
      <c r="J1076" s="49"/>
      <c r="K1076" s="49"/>
      <c r="L1076" s="49"/>
      <c r="M1076" s="49"/>
      <c r="N1076" s="49"/>
      <c r="O1076" s="49"/>
      <c r="P1076" s="49"/>
      <c r="Q1076" s="49"/>
      <c r="R1076" s="49"/>
      <c r="S1076" s="49"/>
      <c r="T1076" s="49"/>
      <c r="U1076" s="49"/>
      <c r="V1076" s="49"/>
      <c r="W1076" s="49"/>
      <c r="X1076" s="49"/>
      <c r="Y1076" s="49"/>
      <c r="Z1076" s="49"/>
      <c r="AA1076" s="49"/>
      <c r="AB1076" s="49"/>
      <c r="AC1076" s="49"/>
      <c r="AD1076" s="49"/>
    </row>
    <row r="1077" spans="1:30" ht="13">
      <c r="A1077" s="141"/>
      <c r="B1077" s="141"/>
      <c r="C1077" s="141"/>
      <c r="D1077" s="49"/>
      <c r="E1077" s="49"/>
      <c r="F1077" s="49"/>
      <c r="G1077" s="49"/>
      <c r="H1077" s="49"/>
      <c r="I1077" s="49"/>
      <c r="J1077" s="49"/>
      <c r="K1077" s="49"/>
      <c r="L1077" s="49"/>
      <c r="M1077" s="49"/>
      <c r="N1077" s="49"/>
      <c r="O1077" s="49"/>
      <c r="P1077" s="49"/>
      <c r="Q1077" s="49"/>
      <c r="R1077" s="49"/>
      <c r="S1077" s="49"/>
      <c r="T1077" s="49"/>
      <c r="U1077" s="49"/>
      <c r="V1077" s="49"/>
      <c r="W1077" s="49"/>
      <c r="X1077" s="49"/>
      <c r="Y1077" s="49"/>
      <c r="Z1077" s="49"/>
      <c r="AA1077" s="49"/>
      <c r="AB1077" s="49"/>
      <c r="AC1077" s="49"/>
      <c r="AD1077" s="49"/>
    </row>
    <row r="1078" spans="1:30" ht="13">
      <c r="A1078" s="141"/>
      <c r="B1078" s="141"/>
      <c r="C1078" s="141"/>
      <c r="D1078" s="49"/>
      <c r="E1078" s="49"/>
      <c r="F1078" s="49"/>
      <c r="G1078" s="49"/>
      <c r="H1078" s="49"/>
      <c r="I1078" s="49"/>
      <c r="J1078" s="49"/>
      <c r="K1078" s="49"/>
      <c r="L1078" s="49"/>
      <c r="M1078" s="49"/>
      <c r="N1078" s="49"/>
      <c r="O1078" s="49"/>
      <c r="P1078" s="49"/>
      <c r="Q1078" s="49"/>
      <c r="R1078" s="49"/>
      <c r="S1078" s="49"/>
      <c r="T1078" s="49"/>
      <c r="U1078" s="49"/>
      <c r="V1078" s="49"/>
      <c r="W1078" s="49"/>
      <c r="X1078" s="49"/>
      <c r="Y1078" s="49"/>
      <c r="Z1078" s="49"/>
      <c r="AA1078" s="49"/>
      <c r="AB1078" s="49"/>
      <c r="AC1078" s="49"/>
      <c r="AD1078" s="49"/>
    </row>
    <row r="1079" spans="1:30" ht="13">
      <c r="A1079" s="141"/>
      <c r="B1079" s="141"/>
      <c r="C1079" s="141"/>
      <c r="D1079" s="49"/>
      <c r="E1079" s="49"/>
      <c r="F1079" s="49"/>
      <c r="G1079" s="49"/>
      <c r="H1079" s="49"/>
      <c r="I1079" s="49"/>
      <c r="J1079" s="49"/>
      <c r="K1079" s="49"/>
      <c r="L1079" s="49"/>
      <c r="M1079" s="49"/>
      <c r="N1079" s="49"/>
      <c r="O1079" s="49"/>
      <c r="P1079" s="49"/>
      <c r="Q1079" s="49"/>
      <c r="R1079" s="49"/>
      <c r="S1079" s="49"/>
      <c r="T1079" s="49"/>
      <c r="U1079" s="49"/>
      <c r="V1079" s="49"/>
      <c r="W1079" s="49"/>
      <c r="X1079" s="49"/>
      <c r="Y1079" s="49"/>
      <c r="Z1079" s="49"/>
      <c r="AA1079" s="49"/>
      <c r="AB1079" s="49"/>
      <c r="AC1079" s="49"/>
      <c r="AD1079" s="49"/>
    </row>
    <row r="1080" spans="1:30" ht="13">
      <c r="A1080" s="141"/>
      <c r="B1080" s="141"/>
      <c r="C1080" s="141"/>
      <c r="D1080" s="49"/>
      <c r="E1080" s="49"/>
      <c r="F1080" s="49"/>
      <c r="G1080" s="49"/>
      <c r="H1080" s="49"/>
      <c r="I1080" s="49"/>
      <c r="J1080" s="49"/>
      <c r="K1080" s="49"/>
      <c r="L1080" s="49"/>
      <c r="M1080" s="49"/>
      <c r="N1080" s="49"/>
      <c r="O1080" s="49"/>
      <c r="P1080" s="49"/>
      <c r="Q1080" s="49"/>
      <c r="R1080" s="49"/>
      <c r="S1080" s="49"/>
      <c r="T1080" s="49"/>
      <c r="U1080" s="49"/>
      <c r="V1080" s="49"/>
      <c r="W1080" s="49"/>
      <c r="X1080" s="49"/>
      <c r="Y1080" s="49"/>
      <c r="Z1080" s="49"/>
      <c r="AA1080" s="49"/>
      <c r="AB1080" s="49"/>
      <c r="AC1080" s="49"/>
      <c r="AD1080" s="49"/>
    </row>
    <row r="1081" spans="1:30" ht="13">
      <c r="A1081" s="141"/>
      <c r="B1081" s="141"/>
      <c r="C1081" s="141"/>
      <c r="D1081" s="49"/>
      <c r="E1081" s="49"/>
      <c r="F1081" s="49"/>
      <c r="G1081" s="49"/>
      <c r="H1081" s="49"/>
      <c r="I1081" s="49"/>
      <c r="J1081" s="49"/>
      <c r="K1081" s="49"/>
      <c r="L1081" s="49"/>
      <c r="M1081" s="49"/>
      <c r="N1081" s="49"/>
      <c r="O1081" s="49"/>
      <c r="P1081" s="49"/>
      <c r="Q1081" s="49"/>
      <c r="R1081" s="49"/>
      <c r="S1081" s="49"/>
      <c r="T1081" s="49"/>
      <c r="U1081" s="49"/>
      <c r="V1081" s="49"/>
      <c r="W1081" s="49"/>
      <c r="X1081" s="49"/>
      <c r="Y1081" s="49"/>
      <c r="Z1081" s="49"/>
      <c r="AA1081" s="49"/>
      <c r="AB1081" s="49"/>
      <c r="AC1081" s="49"/>
      <c r="AD1081" s="49"/>
    </row>
    <row r="1082" spans="1:30" ht="13">
      <c r="A1082" s="141"/>
      <c r="B1082" s="141"/>
      <c r="C1082" s="141"/>
      <c r="D1082" s="49"/>
      <c r="E1082" s="49"/>
      <c r="F1082" s="49"/>
      <c r="G1082" s="49"/>
      <c r="H1082" s="49"/>
      <c r="I1082" s="49"/>
      <c r="J1082" s="49"/>
      <c r="K1082" s="49"/>
      <c r="L1082" s="49"/>
      <c r="M1082" s="49"/>
      <c r="N1082" s="49"/>
      <c r="O1082" s="49"/>
      <c r="P1082" s="49"/>
      <c r="Q1082" s="49"/>
      <c r="R1082" s="49"/>
      <c r="S1082" s="49"/>
      <c r="T1082" s="49"/>
      <c r="U1082" s="49"/>
      <c r="V1082" s="49"/>
      <c r="W1082" s="49"/>
      <c r="X1082" s="49"/>
      <c r="Y1082" s="49"/>
      <c r="Z1082" s="49"/>
      <c r="AA1082" s="49"/>
      <c r="AB1082" s="49"/>
      <c r="AC1082" s="49"/>
      <c r="AD1082" s="49"/>
    </row>
    <row r="1083" spans="1:30" ht="13">
      <c r="A1083" s="141"/>
      <c r="B1083" s="141"/>
      <c r="C1083" s="141"/>
      <c r="D1083" s="49"/>
      <c r="E1083" s="49"/>
      <c r="F1083" s="49"/>
      <c r="G1083" s="49"/>
      <c r="H1083" s="49"/>
      <c r="I1083" s="49"/>
      <c r="J1083" s="49"/>
      <c r="K1083" s="49"/>
      <c r="L1083" s="49"/>
      <c r="M1083" s="49"/>
      <c r="N1083" s="49"/>
      <c r="O1083" s="49"/>
      <c r="P1083" s="49"/>
      <c r="Q1083" s="49"/>
      <c r="R1083" s="49"/>
      <c r="S1083" s="49"/>
      <c r="T1083" s="49"/>
      <c r="U1083" s="49"/>
      <c r="V1083" s="49"/>
      <c r="W1083" s="49"/>
      <c r="X1083" s="49"/>
      <c r="Y1083" s="49"/>
      <c r="Z1083" s="49"/>
      <c r="AA1083" s="49"/>
      <c r="AB1083" s="49"/>
      <c r="AC1083" s="49"/>
      <c r="AD1083" s="49"/>
    </row>
    <row r="1084" spans="1:30" ht="13">
      <c r="A1084" s="141"/>
      <c r="B1084" s="141"/>
      <c r="C1084" s="141"/>
      <c r="D1084" s="49"/>
      <c r="E1084" s="49"/>
      <c r="F1084" s="49"/>
      <c r="G1084" s="49"/>
      <c r="H1084" s="49"/>
      <c r="I1084" s="49"/>
      <c r="J1084" s="49"/>
      <c r="K1084" s="49"/>
      <c r="L1084" s="49"/>
      <c r="M1084" s="49"/>
      <c r="N1084" s="49"/>
      <c r="O1084" s="49"/>
      <c r="P1084" s="49"/>
      <c r="Q1084" s="49"/>
      <c r="R1084" s="49"/>
      <c r="S1084" s="49"/>
      <c r="T1084" s="49"/>
      <c r="U1084" s="49"/>
      <c r="V1084" s="49"/>
      <c r="W1084" s="49"/>
      <c r="X1084" s="49"/>
      <c r="Y1084" s="49"/>
      <c r="Z1084" s="49"/>
      <c r="AA1084" s="49"/>
      <c r="AB1084" s="49"/>
      <c r="AC1084" s="49"/>
      <c r="AD1084" s="49"/>
    </row>
    <row r="1085" spans="1:30" ht="13">
      <c r="A1085" s="141"/>
      <c r="B1085" s="141"/>
      <c r="C1085" s="141"/>
      <c r="D1085" s="49"/>
      <c r="E1085" s="49"/>
      <c r="F1085" s="49"/>
      <c r="G1085" s="49"/>
      <c r="H1085" s="49"/>
      <c r="I1085" s="49"/>
      <c r="J1085" s="49"/>
      <c r="K1085" s="49"/>
      <c r="L1085" s="49"/>
      <c r="M1085" s="49"/>
      <c r="N1085" s="49"/>
      <c r="O1085" s="49"/>
      <c r="P1085" s="49"/>
      <c r="Q1085" s="49"/>
      <c r="R1085" s="49"/>
      <c r="S1085" s="49"/>
      <c r="T1085" s="49"/>
      <c r="U1085" s="49"/>
      <c r="V1085" s="49"/>
      <c r="W1085" s="49"/>
      <c r="X1085" s="49"/>
      <c r="Y1085" s="49"/>
      <c r="Z1085" s="49"/>
      <c r="AA1085" s="49"/>
      <c r="AB1085" s="49"/>
      <c r="AC1085" s="49"/>
      <c r="AD1085" s="49"/>
    </row>
    <row r="1086" spans="1:30" ht="13">
      <c r="A1086" s="141"/>
      <c r="B1086" s="141"/>
      <c r="C1086" s="141"/>
      <c r="D1086" s="49"/>
      <c r="E1086" s="49"/>
      <c r="F1086" s="49"/>
      <c r="G1086" s="49"/>
      <c r="H1086" s="49"/>
      <c r="I1086" s="49"/>
      <c r="J1086" s="49"/>
      <c r="K1086" s="49"/>
      <c r="L1086" s="49"/>
      <c r="M1086" s="49"/>
      <c r="N1086" s="49"/>
      <c r="O1086" s="49"/>
      <c r="P1086" s="49"/>
      <c r="Q1086" s="49"/>
      <c r="R1086" s="49"/>
      <c r="S1086" s="49"/>
      <c r="T1086" s="49"/>
      <c r="U1086" s="49"/>
      <c r="V1086" s="49"/>
      <c r="W1086" s="49"/>
      <c r="X1086" s="49"/>
      <c r="Y1086" s="49"/>
      <c r="Z1086" s="49"/>
      <c r="AA1086" s="49"/>
      <c r="AB1086" s="49"/>
      <c r="AC1086" s="49"/>
      <c r="AD1086" s="49"/>
    </row>
    <row r="1087" spans="1:30" ht="13">
      <c r="A1087" s="141"/>
      <c r="B1087" s="141"/>
      <c r="C1087" s="141"/>
      <c r="D1087" s="49"/>
      <c r="E1087" s="49"/>
      <c r="F1087" s="49"/>
      <c r="G1087" s="49"/>
      <c r="H1087" s="49"/>
      <c r="I1087" s="49"/>
      <c r="J1087" s="49"/>
      <c r="K1087" s="49"/>
      <c r="L1087" s="49"/>
      <c r="M1087" s="49"/>
      <c r="N1087" s="49"/>
      <c r="O1087" s="49"/>
      <c r="P1087" s="49"/>
      <c r="Q1087" s="49"/>
      <c r="R1087" s="49"/>
      <c r="S1087" s="49"/>
      <c r="T1087" s="49"/>
      <c r="U1087" s="49"/>
      <c r="V1087" s="49"/>
      <c r="W1087" s="49"/>
      <c r="X1087" s="49"/>
      <c r="Y1087" s="49"/>
      <c r="Z1087" s="49"/>
      <c r="AA1087" s="49"/>
      <c r="AB1087" s="49"/>
      <c r="AC1087" s="49"/>
      <c r="AD1087" s="49"/>
    </row>
    <row r="1088" spans="1:30" ht="13">
      <c r="A1088" s="141"/>
      <c r="B1088" s="141"/>
      <c r="C1088" s="141"/>
      <c r="D1088" s="49"/>
      <c r="E1088" s="49"/>
      <c r="F1088" s="49"/>
      <c r="G1088" s="49"/>
      <c r="H1088" s="49"/>
      <c r="I1088" s="49"/>
      <c r="J1088" s="49"/>
      <c r="K1088" s="49"/>
      <c r="L1088" s="49"/>
      <c r="M1088" s="49"/>
      <c r="N1088" s="49"/>
      <c r="O1088" s="49"/>
      <c r="P1088" s="49"/>
      <c r="Q1088" s="49"/>
      <c r="R1088" s="49"/>
      <c r="S1088" s="49"/>
      <c r="T1088" s="49"/>
      <c r="U1088" s="49"/>
      <c r="V1088" s="49"/>
      <c r="W1088" s="49"/>
      <c r="X1088" s="49"/>
      <c r="Y1088" s="49"/>
      <c r="Z1088" s="49"/>
      <c r="AA1088" s="49"/>
      <c r="AB1088" s="49"/>
      <c r="AC1088" s="49"/>
      <c r="AD1088" s="49"/>
    </row>
    <row r="1089" spans="1:30" ht="13">
      <c r="A1089" s="141"/>
      <c r="B1089" s="141"/>
      <c r="C1089" s="141"/>
      <c r="D1089" s="49"/>
      <c r="E1089" s="49"/>
      <c r="F1089" s="49"/>
      <c r="G1089" s="49"/>
      <c r="H1089" s="49"/>
      <c r="I1089" s="49"/>
      <c r="J1089" s="49"/>
      <c r="K1089" s="49"/>
      <c r="L1089" s="49"/>
      <c r="M1089" s="49"/>
      <c r="N1089" s="49"/>
      <c r="O1089" s="49"/>
      <c r="P1089" s="49"/>
      <c r="Q1089" s="49"/>
      <c r="R1089" s="49"/>
      <c r="S1089" s="49"/>
      <c r="T1089" s="49"/>
      <c r="U1089" s="49"/>
      <c r="V1089" s="49"/>
      <c r="W1089" s="49"/>
      <c r="X1089" s="49"/>
      <c r="Y1089" s="49"/>
      <c r="Z1089" s="49"/>
      <c r="AA1089" s="49"/>
      <c r="AB1089" s="49"/>
      <c r="AC1089" s="49"/>
      <c r="AD1089" s="49"/>
    </row>
    <row r="1090" spans="1:30" ht="13">
      <c r="A1090" s="141"/>
      <c r="B1090" s="141"/>
      <c r="C1090" s="141"/>
      <c r="D1090" s="49"/>
      <c r="E1090" s="49"/>
      <c r="F1090" s="49"/>
      <c r="G1090" s="49"/>
      <c r="H1090" s="49"/>
      <c r="I1090" s="49"/>
      <c r="J1090" s="49"/>
      <c r="K1090" s="49"/>
      <c r="L1090" s="49"/>
      <c r="M1090" s="49"/>
      <c r="N1090" s="49"/>
      <c r="O1090" s="49"/>
      <c r="P1090" s="49"/>
      <c r="Q1090" s="49"/>
      <c r="R1090" s="49"/>
      <c r="S1090" s="49"/>
      <c r="T1090" s="49"/>
      <c r="U1090" s="49"/>
      <c r="V1090" s="49"/>
      <c r="W1090" s="49"/>
      <c r="X1090" s="49"/>
      <c r="Y1090" s="49"/>
      <c r="Z1090" s="49"/>
      <c r="AA1090" s="49"/>
      <c r="AB1090" s="49"/>
      <c r="AC1090" s="49"/>
      <c r="AD1090" s="49"/>
    </row>
    <row r="1091" spans="1:30" ht="13">
      <c r="A1091" s="141"/>
      <c r="B1091" s="141"/>
      <c r="C1091" s="141"/>
      <c r="D1091" s="49"/>
      <c r="E1091" s="49"/>
      <c r="F1091" s="49"/>
      <c r="G1091" s="49"/>
      <c r="H1091" s="49"/>
      <c r="I1091" s="49"/>
      <c r="J1091" s="49"/>
      <c r="K1091" s="49"/>
      <c r="L1091" s="49"/>
      <c r="M1091" s="49"/>
      <c r="N1091" s="49"/>
      <c r="O1091" s="49"/>
      <c r="P1091" s="49"/>
      <c r="Q1091" s="49"/>
      <c r="R1091" s="49"/>
      <c r="S1091" s="49"/>
      <c r="T1091" s="49"/>
      <c r="U1091" s="49"/>
      <c r="V1091" s="49"/>
      <c r="W1091" s="49"/>
      <c r="X1091" s="49"/>
      <c r="Y1091" s="49"/>
      <c r="Z1091" s="49"/>
      <c r="AA1091" s="49"/>
      <c r="AB1091" s="49"/>
      <c r="AC1091" s="49"/>
      <c r="AD1091" s="49"/>
    </row>
    <row r="1092" spans="1:30" ht="13">
      <c r="A1092" s="141"/>
      <c r="B1092" s="141"/>
      <c r="C1092" s="141"/>
      <c r="D1092" s="49"/>
      <c r="E1092" s="49"/>
      <c r="F1092" s="49"/>
      <c r="G1092" s="49"/>
      <c r="H1092" s="49"/>
      <c r="I1092" s="49"/>
      <c r="J1092" s="49"/>
      <c r="K1092" s="49"/>
      <c r="L1092" s="49"/>
      <c r="M1092" s="49"/>
      <c r="N1092" s="49"/>
      <c r="O1092" s="49"/>
      <c r="P1092" s="49"/>
      <c r="Q1092" s="49"/>
      <c r="R1092" s="49"/>
      <c r="S1092" s="49"/>
      <c r="T1092" s="49"/>
      <c r="U1092" s="49"/>
      <c r="V1092" s="49"/>
      <c r="W1092" s="49"/>
      <c r="X1092" s="49"/>
      <c r="Y1092" s="49"/>
      <c r="Z1092" s="49"/>
      <c r="AA1092" s="49"/>
      <c r="AB1092" s="49"/>
      <c r="AC1092" s="49"/>
      <c r="AD1092" s="49"/>
    </row>
    <row r="1093" spans="1:30" ht="13">
      <c r="A1093" s="141"/>
      <c r="B1093" s="141"/>
      <c r="C1093" s="141"/>
      <c r="D1093" s="49"/>
      <c r="E1093" s="49"/>
      <c r="F1093" s="49"/>
      <c r="G1093" s="49"/>
      <c r="H1093" s="49"/>
      <c r="I1093" s="49"/>
      <c r="J1093" s="49"/>
      <c r="K1093" s="49"/>
      <c r="L1093" s="49"/>
      <c r="M1093" s="49"/>
      <c r="N1093" s="49"/>
      <c r="O1093" s="49"/>
      <c r="P1093" s="49"/>
      <c r="Q1093" s="49"/>
      <c r="R1093" s="49"/>
      <c r="S1093" s="49"/>
      <c r="T1093" s="49"/>
      <c r="U1093" s="49"/>
      <c r="V1093" s="49"/>
      <c r="W1093" s="49"/>
      <c r="X1093" s="49"/>
      <c r="Y1093" s="49"/>
      <c r="Z1093" s="49"/>
      <c r="AA1093" s="49"/>
      <c r="AB1093" s="49"/>
      <c r="AC1093" s="49"/>
      <c r="AD1093" s="49"/>
    </row>
    <row r="1094" spans="1:30" ht="13">
      <c r="A1094" s="141"/>
      <c r="B1094" s="141"/>
      <c r="C1094" s="141"/>
      <c r="D1094" s="49"/>
      <c r="E1094" s="49"/>
      <c r="F1094" s="49"/>
      <c r="G1094" s="49"/>
      <c r="H1094" s="49"/>
      <c r="I1094" s="49"/>
      <c r="J1094" s="49"/>
      <c r="K1094" s="49"/>
      <c r="L1094" s="49"/>
      <c r="M1094" s="49"/>
      <c r="N1094" s="49"/>
      <c r="O1094" s="49"/>
      <c r="P1094" s="49"/>
      <c r="Q1094" s="49"/>
      <c r="R1094" s="49"/>
      <c r="S1094" s="49"/>
      <c r="T1094" s="49"/>
      <c r="U1094" s="49"/>
      <c r="V1094" s="49"/>
      <c r="W1094" s="49"/>
      <c r="X1094" s="49"/>
      <c r="Y1094" s="49"/>
      <c r="Z1094" s="49"/>
      <c r="AA1094" s="49"/>
      <c r="AB1094" s="49"/>
      <c r="AC1094" s="49"/>
      <c r="AD1094" s="49"/>
    </row>
    <row r="1095" spans="1:30" ht="13">
      <c r="A1095" s="141"/>
      <c r="B1095" s="141"/>
      <c r="C1095" s="141"/>
      <c r="D1095" s="49"/>
      <c r="E1095" s="49"/>
      <c r="F1095" s="49"/>
      <c r="G1095" s="49"/>
      <c r="H1095" s="49"/>
      <c r="I1095" s="49"/>
      <c r="J1095" s="49"/>
      <c r="K1095" s="49"/>
      <c r="L1095" s="49"/>
      <c r="M1095" s="49"/>
      <c r="N1095" s="49"/>
      <c r="O1095" s="49"/>
      <c r="P1095" s="49"/>
      <c r="Q1095" s="49"/>
      <c r="R1095" s="49"/>
      <c r="S1095" s="49"/>
      <c r="T1095" s="49"/>
      <c r="U1095" s="49"/>
      <c r="V1095" s="49"/>
      <c r="W1095" s="49"/>
      <c r="X1095" s="49"/>
      <c r="Y1095" s="49"/>
      <c r="Z1095" s="49"/>
      <c r="AA1095" s="49"/>
      <c r="AB1095" s="49"/>
      <c r="AC1095" s="49"/>
      <c r="AD1095" s="49"/>
    </row>
    <row r="1096" spans="1:30" ht="13">
      <c r="A1096" s="141"/>
      <c r="B1096" s="141"/>
      <c r="C1096" s="141"/>
      <c r="D1096" s="49"/>
      <c r="E1096" s="49"/>
      <c r="F1096" s="49"/>
      <c r="G1096" s="49"/>
      <c r="H1096" s="49"/>
      <c r="I1096" s="49"/>
      <c r="J1096" s="49"/>
      <c r="K1096" s="49"/>
      <c r="L1096" s="49"/>
      <c r="M1096" s="49"/>
      <c r="N1096" s="49"/>
      <c r="O1096" s="49"/>
      <c r="P1096" s="49"/>
      <c r="Q1096" s="49"/>
      <c r="R1096" s="49"/>
      <c r="S1096" s="49"/>
      <c r="T1096" s="49"/>
      <c r="U1096" s="49"/>
      <c r="V1096" s="49"/>
      <c r="W1096" s="49"/>
      <c r="X1096" s="49"/>
      <c r="Y1096" s="49"/>
      <c r="Z1096" s="49"/>
      <c r="AA1096" s="49"/>
      <c r="AB1096" s="49"/>
      <c r="AC1096" s="49"/>
      <c r="AD1096" s="49"/>
    </row>
    <row r="1097" spans="1:30" ht="13">
      <c r="A1097" s="141"/>
      <c r="B1097" s="141"/>
      <c r="C1097" s="141"/>
      <c r="D1097" s="49"/>
      <c r="E1097" s="49"/>
      <c r="F1097" s="49"/>
      <c r="G1097" s="49"/>
      <c r="H1097" s="49"/>
      <c r="I1097" s="49"/>
      <c r="J1097" s="49"/>
      <c r="K1097" s="49"/>
      <c r="L1097" s="49"/>
      <c r="M1097" s="49"/>
      <c r="N1097" s="49"/>
      <c r="O1097" s="49"/>
      <c r="P1097" s="49"/>
      <c r="Q1097" s="49"/>
      <c r="R1097" s="49"/>
      <c r="S1097" s="49"/>
      <c r="T1097" s="49"/>
      <c r="U1097" s="49"/>
      <c r="V1097" s="49"/>
      <c r="W1097" s="49"/>
      <c r="X1097" s="49"/>
      <c r="Y1097" s="49"/>
      <c r="Z1097" s="49"/>
      <c r="AA1097" s="49"/>
      <c r="AB1097" s="49"/>
      <c r="AC1097" s="49"/>
      <c r="AD1097" s="49"/>
    </row>
    <row r="1098" spans="1:30" ht="13">
      <c r="A1098" s="141"/>
      <c r="B1098" s="141"/>
      <c r="C1098" s="141"/>
      <c r="D1098" s="49"/>
      <c r="E1098" s="49"/>
      <c r="F1098" s="49"/>
      <c r="G1098" s="49"/>
      <c r="H1098" s="49"/>
      <c r="I1098" s="49"/>
      <c r="J1098" s="49"/>
      <c r="K1098" s="49"/>
      <c r="L1098" s="49"/>
      <c r="M1098" s="49"/>
      <c r="N1098" s="49"/>
      <c r="O1098" s="49"/>
      <c r="P1098" s="49"/>
      <c r="Q1098" s="49"/>
      <c r="R1098" s="49"/>
      <c r="S1098" s="49"/>
      <c r="T1098" s="49"/>
      <c r="U1098" s="49"/>
      <c r="V1098" s="49"/>
      <c r="W1098" s="49"/>
      <c r="X1098" s="49"/>
      <c r="Y1098" s="49"/>
      <c r="Z1098" s="49"/>
      <c r="AA1098" s="49"/>
      <c r="AB1098" s="49"/>
      <c r="AC1098" s="49"/>
      <c r="AD1098" s="49"/>
    </row>
    <row r="1099" spans="1:30" ht="13">
      <c r="A1099" s="141"/>
      <c r="B1099" s="141"/>
      <c r="C1099" s="141"/>
      <c r="D1099" s="49"/>
      <c r="E1099" s="49"/>
      <c r="F1099" s="49"/>
      <c r="G1099" s="49"/>
      <c r="H1099" s="49"/>
      <c r="I1099" s="49"/>
      <c r="J1099" s="49"/>
      <c r="K1099" s="49"/>
      <c r="L1099" s="49"/>
      <c r="M1099" s="49"/>
      <c r="N1099" s="49"/>
      <c r="O1099" s="49"/>
      <c r="P1099" s="49"/>
      <c r="Q1099" s="49"/>
      <c r="R1099" s="49"/>
      <c r="S1099" s="49"/>
      <c r="T1099" s="49"/>
      <c r="U1099" s="49"/>
      <c r="V1099" s="49"/>
      <c r="W1099" s="49"/>
      <c r="X1099" s="49"/>
      <c r="Y1099" s="49"/>
      <c r="Z1099" s="49"/>
      <c r="AA1099" s="49"/>
      <c r="AB1099" s="49"/>
      <c r="AC1099" s="49"/>
      <c r="AD1099" s="49"/>
    </row>
    <row r="1100" spans="1:30" ht="13">
      <c r="A1100" s="141"/>
      <c r="B1100" s="141"/>
      <c r="C1100" s="141"/>
      <c r="D1100" s="49"/>
      <c r="E1100" s="49"/>
      <c r="F1100" s="49"/>
      <c r="G1100" s="49"/>
      <c r="H1100" s="49"/>
      <c r="I1100" s="49"/>
      <c r="J1100" s="49"/>
      <c r="K1100" s="49"/>
      <c r="L1100" s="49"/>
      <c r="M1100" s="49"/>
      <c r="N1100" s="49"/>
      <c r="O1100" s="49"/>
      <c r="P1100" s="49"/>
      <c r="Q1100" s="49"/>
      <c r="R1100" s="49"/>
      <c r="S1100" s="49"/>
      <c r="T1100" s="49"/>
      <c r="U1100" s="49"/>
      <c r="V1100" s="49"/>
      <c r="W1100" s="49"/>
      <c r="X1100" s="49"/>
      <c r="Y1100" s="49"/>
      <c r="Z1100" s="49"/>
      <c r="AA1100" s="49"/>
      <c r="AB1100" s="49"/>
      <c r="AC1100" s="49"/>
      <c r="AD1100" s="49"/>
    </row>
    <row r="1101" spans="1:30" ht="13">
      <c r="A1101" s="141"/>
      <c r="B1101" s="141"/>
      <c r="C1101" s="141"/>
      <c r="D1101" s="49"/>
      <c r="E1101" s="49"/>
      <c r="F1101" s="49"/>
      <c r="G1101" s="49"/>
      <c r="H1101" s="49"/>
      <c r="I1101" s="49"/>
      <c r="J1101" s="49"/>
      <c r="K1101" s="49"/>
      <c r="L1101" s="49"/>
      <c r="M1101" s="49"/>
      <c r="N1101" s="49"/>
      <c r="O1101" s="49"/>
      <c r="P1101" s="49"/>
      <c r="Q1101" s="49"/>
      <c r="R1101" s="49"/>
      <c r="S1101" s="49"/>
      <c r="T1101" s="49"/>
      <c r="U1101" s="49"/>
      <c r="V1101" s="49"/>
      <c r="W1101" s="49"/>
      <c r="X1101" s="49"/>
      <c r="Y1101" s="49"/>
      <c r="Z1101" s="49"/>
      <c r="AA1101" s="49"/>
      <c r="AB1101" s="49"/>
      <c r="AC1101" s="49"/>
      <c r="AD1101" s="49"/>
    </row>
    <row r="1102" spans="1:30" ht="13">
      <c r="A1102" s="141"/>
      <c r="B1102" s="141"/>
      <c r="C1102" s="141"/>
      <c r="D1102" s="49"/>
      <c r="E1102" s="49"/>
      <c r="F1102" s="49"/>
      <c r="G1102" s="49"/>
      <c r="H1102" s="49"/>
      <c r="I1102" s="49"/>
      <c r="J1102" s="49"/>
      <c r="K1102" s="49"/>
      <c r="L1102" s="49"/>
      <c r="M1102" s="49"/>
      <c r="N1102" s="49"/>
      <c r="O1102" s="49"/>
      <c r="P1102" s="49"/>
      <c r="Q1102" s="49"/>
      <c r="R1102" s="49"/>
      <c r="S1102" s="49"/>
      <c r="T1102" s="49"/>
      <c r="U1102" s="49"/>
      <c r="V1102" s="49"/>
      <c r="W1102" s="49"/>
      <c r="X1102" s="49"/>
      <c r="Y1102" s="49"/>
      <c r="Z1102" s="49"/>
      <c r="AA1102" s="49"/>
      <c r="AB1102" s="49"/>
      <c r="AC1102" s="49"/>
      <c r="AD1102" s="49"/>
    </row>
    <row r="1103" spans="1:30" ht="13">
      <c r="A1103" s="141"/>
      <c r="B1103" s="141"/>
      <c r="C1103" s="141"/>
      <c r="D1103" s="49"/>
      <c r="E1103" s="49"/>
      <c r="F1103" s="49"/>
      <c r="G1103" s="49"/>
      <c r="H1103" s="49"/>
      <c r="I1103" s="49"/>
      <c r="J1103" s="49"/>
      <c r="K1103" s="49"/>
      <c r="L1103" s="49"/>
      <c r="M1103" s="49"/>
      <c r="N1103" s="49"/>
      <c r="O1103" s="49"/>
      <c r="P1103" s="49"/>
      <c r="Q1103" s="49"/>
      <c r="R1103" s="49"/>
      <c r="S1103" s="49"/>
      <c r="T1103" s="49"/>
      <c r="U1103" s="49"/>
      <c r="V1103" s="49"/>
      <c r="W1103" s="49"/>
      <c r="X1103" s="49"/>
      <c r="Y1103" s="49"/>
      <c r="Z1103" s="49"/>
      <c r="AA1103" s="49"/>
      <c r="AB1103" s="49"/>
      <c r="AC1103" s="49"/>
      <c r="AD1103" s="49"/>
    </row>
    <row r="1104" spans="1:30" ht="13">
      <c r="A1104" s="141"/>
      <c r="B1104" s="141"/>
      <c r="C1104" s="141"/>
      <c r="D1104" s="49"/>
      <c r="E1104" s="49"/>
      <c r="F1104" s="49"/>
      <c r="G1104" s="49"/>
      <c r="H1104" s="49"/>
      <c r="I1104" s="49"/>
      <c r="J1104" s="49"/>
      <c r="K1104" s="49"/>
      <c r="L1104" s="49"/>
      <c r="M1104" s="49"/>
      <c r="N1104" s="49"/>
      <c r="O1104" s="49"/>
      <c r="P1104" s="49"/>
      <c r="Q1104" s="49"/>
      <c r="R1104" s="49"/>
      <c r="S1104" s="49"/>
      <c r="T1104" s="49"/>
      <c r="U1104" s="49"/>
      <c r="V1104" s="49"/>
      <c r="W1104" s="49"/>
      <c r="X1104" s="49"/>
      <c r="Y1104" s="49"/>
      <c r="Z1104" s="49"/>
      <c r="AA1104" s="49"/>
      <c r="AB1104" s="49"/>
      <c r="AC1104" s="49"/>
      <c r="AD1104" s="49"/>
    </row>
    <row r="1105" spans="1:30" ht="13">
      <c r="A1105" s="141"/>
      <c r="B1105" s="141"/>
      <c r="C1105" s="141"/>
      <c r="D1105" s="49"/>
      <c r="E1105" s="49"/>
      <c r="F1105" s="49"/>
      <c r="G1105" s="49"/>
      <c r="H1105" s="49"/>
      <c r="I1105" s="49"/>
      <c r="J1105" s="49"/>
      <c r="K1105" s="49"/>
      <c r="L1105" s="49"/>
      <c r="M1105" s="49"/>
      <c r="N1105" s="49"/>
      <c r="O1105" s="49"/>
      <c r="P1105" s="49"/>
      <c r="Q1105" s="49"/>
      <c r="R1105" s="49"/>
      <c r="S1105" s="49"/>
      <c r="T1105" s="49"/>
      <c r="U1105" s="49"/>
      <c r="V1105" s="49"/>
      <c r="W1105" s="49"/>
      <c r="X1105" s="49"/>
      <c r="Y1105" s="49"/>
      <c r="Z1105" s="49"/>
      <c r="AA1105" s="49"/>
      <c r="AB1105" s="49"/>
      <c r="AC1105" s="49"/>
      <c r="AD1105" s="49"/>
    </row>
    <row r="1106" spans="1:30" ht="13">
      <c r="A1106" s="141"/>
      <c r="B1106" s="141"/>
      <c r="C1106" s="141"/>
      <c r="D1106" s="49"/>
      <c r="E1106" s="49"/>
      <c r="F1106" s="49"/>
      <c r="G1106" s="49"/>
      <c r="H1106" s="49"/>
      <c r="I1106" s="49"/>
      <c r="J1106" s="49"/>
      <c r="K1106" s="49"/>
      <c r="L1106" s="49"/>
      <c r="M1106" s="49"/>
      <c r="N1106" s="49"/>
      <c r="O1106" s="49"/>
      <c r="P1106" s="49"/>
      <c r="Q1106" s="49"/>
      <c r="R1106" s="49"/>
      <c r="S1106" s="49"/>
      <c r="T1106" s="49"/>
      <c r="U1106" s="49"/>
      <c r="V1106" s="49"/>
      <c r="W1106" s="49"/>
      <c r="X1106" s="49"/>
      <c r="Y1106" s="49"/>
      <c r="Z1106" s="49"/>
      <c r="AA1106" s="49"/>
      <c r="AB1106" s="49"/>
      <c r="AC1106" s="49"/>
      <c r="AD1106" s="49"/>
    </row>
    <row r="1107" spans="1:30" ht="13">
      <c r="A1107" s="141"/>
      <c r="B1107" s="141"/>
      <c r="C1107" s="141"/>
      <c r="D1107" s="49"/>
      <c r="E1107" s="49"/>
      <c r="F1107" s="49"/>
      <c r="G1107" s="49"/>
      <c r="H1107" s="49"/>
      <c r="I1107" s="49"/>
      <c r="J1107" s="49"/>
      <c r="K1107" s="49"/>
      <c r="L1107" s="49"/>
      <c r="M1107" s="49"/>
      <c r="N1107" s="49"/>
      <c r="O1107" s="49"/>
      <c r="P1107" s="49"/>
      <c r="Q1107" s="49"/>
      <c r="R1107" s="49"/>
      <c r="S1107" s="49"/>
      <c r="T1107" s="49"/>
      <c r="U1107" s="49"/>
      <c r="V1107" s="49"/>
      <c r="W1107" s="49"/>
      <c r="X1107" s="49"/>
      <c r="Y1107" s="49"/>
      <c r="Z1107" s="49"/>
      <c r="AA1107" s="49"/>
      <c r="AB1107" s="49"/>
      <c r="AC1107" s="49"/>
      <c r="AD1107" s="49"/>
    </row>
    <row r="1108" spans="1:30" ht="13">
      <c r="A1108" s="141"/>
      <c r="B1108" s="141"/>
      <c r="C1108" s="141"/>
      <c r="D1108" s="49"/>
      <c r="E1108" s="49"/>
      <c r="F1108" s="49"/>
      <c r="G1108" s="49"/>
      <c r="H1108" s="49"/>
      <c r="I1108" s="49"/>
      <c r="J1108" s="49"/>
      <c r="K1108" s="49"/>
      <c r="L1108" s="49"/>
      <c r="M1108" s="49"/>
      <c r="N1108" s="49"/>
      <c r="O1108" s="49"/>
      <c r="P1108" s="49"/>
      <c r="Q1108" s="49"/>
      <c r="R1108" s="49"/>
      <c r="S1108" s="49"/>
      <c r="T1108" s="49"/>
      <c r="U1108" s="49"/>
      <c r="V1108" s="49"/>
      <c r="W1108" s="49"/>
      <c r="X1108" s="49"/>
      <c r="Y1108" s="49"/>
      <c r="Z1108" s="49"/>
      <c r="AA1108" s="49"/>
      <c r="AB1108" s="49"/>
      <c r="AC1108" s="49"/>
      <c r="AD1108" s="49"/>
    </row>
    <row r="1109" spans="1:30" ht="13">
      <c r="A1109" s="141"/>
      <c r="B1109" s="141"/>
      <c r="C1109" s="141"/>
      <c r="D1109" s="49"/>
      <c r="E1109" s="49"/>
      <c r="F1109" s="49"/>
      <c r="G1109" s="49"/>
      <c r="H1109" s="49"/>
      <c r="I1109" s="49"/>
      <c r="J1109" s="49"/>
      <c r="K1109" s="49"/>
      <c r="L1109" s="49"/>
      <c r="M1109" s="49"/>
      <c r="N1109" s="49"/>
      <c r="O1109" s="49"/>
      <c r="P1109" s="49"/>
      <c r="Q1109" s="49"/>
      <c r="R1109" s="49"/>
      <c r="S1109" s="49"/>
      <c r="T1109" s="49"/>
      <c r="U1109" s="49"/>
      <c r="V1109" s="49"/>
      <c r="W1109" s="49"/>
      <c r="X1109" s="49"/>
      <c r="Y1109" s="49"/>
      <c r="Z1109" s="49"/>
      <c r="AA1109" s="49"/>
      <c r="AB1109" s="49"/>
      <c r="AC1109" s="49"/>
      <c r="AD1109" s="49"/>
    </row>
    <row r="1110" spans="1:30" ht="13">
      <c r="A1110" s="141"/>
      <c r="B1110" s="141"/>
      <c r="C1110" s="141"/>
      <c r="D1110" s="49"/>
      <c r="E1110" s="49"/>
      <c r="F1110" s="49"/>
      <c r="G1110" s="49"/>
      <c r="H1110" s="49"/>
      <c r="I1110" s="49"/>
      <c r="J1110" s="49"/>
      <c r="K1110" s="49"/>
      <c r="L1110" s="49"/>
      <c r="M1110" s="49"/>
      <c r="N1110" s="49"/>
      <c r="O1110" s="49"/>
      <c r="P1110" s="49"/>
      <c r="Q1110" s="49"/>
      <c r="R1110" s="49"/>
      <c r="S1110" s="49"/>
      <c r="T1110" s="49"/>
      <c r="U1110" s="49"/>
      <c r="V1110" s="49"/>
      <c r="W1110" s="49"/>
      <c r="X1110" s="49"/>
      <c r="Y1110" s="49"/>
      <c r="Z1110" s="49"/>
      <c r="AA1110" s="49"/>
      <c r="AB1110" s="49"/>
      <c r="AC1110" s="49"/>
      <c r="AD1110" s="49"/>
    </row>
    <row r="1111" spans="1:30" ht="13">
      <c r="A1111" s="141"/>
      <c r="B1111" s="141"/>
      <c r="C1111" s="141"/>
      <c r="D1111" s="49"/>
      <c r="E1111" s="49"/>
      <c r="F1111" s="49"/>
      <c r="G1111" s="49"/>
      <c r="H1111" s="49"/>
      <c r="I1111" s="49"/>
      <c r="J1111" s="49"/>
      <c r="K1111" s="49"/>
      <c r="L1111" s="49"/>
      <c r="M1111" s="49"/>
      <c r="N1111" s="49"/>
      <c r="O1111" s="49"/>
      <c r="P1111" s="49"/>
      <c r="Q1111" s="49"/>
      <c r="R1111" s="49"/>
      <c r="S1111" s="49"/>
      <c r="T1111" s="49"/>
      <c r="U1111" s="49"/>
      <c r="V1111" s="49"/>
      <c r="W1111" s="49"/>
      <c r="X1111" s="49"/>
      <c r="Y1111" s="49"/>
      <c r="Z1111" s="49"/>
      <c r="AA1111" s="49"/>
      <c r="AB1111" s="49"/>
      <c r="AC1111" s="49"/>
      <c r="AD1111" s="49"/>
    </row>
    <row r="1112" spans="1:30" ht="13">
      <c r="A1112" s="141"/>
      <c r="B1112" s="141"/>
      <c r="C1112" s="141"/>
      <c r="D1112" s="49"/>
      <c r="E1112" s="49"/>
      <c r="F1112" s="49"/>
      <c r="G1112" s="49"/>
      <c r="H1112" s="49"/>
      <c r="I1112" s="49"/>
      <c r="J1112" s="49"/>
      <c r="K1112" s="49"/>
      <c r="L1112" s="49"/>
      <c r="M1112" s="49"/>
      <c r="N1112" s="49"/>
      <c r="O1112" s="49"/>
      <c r="P1112" s="49"/>
      <c r="Q1112" s="49"/>
      <c r="R1112" s="49"/>
      <c r="S1112" s="49"/>
      <c r="T1112" s="49"/>
      <c r="U1112" s="49"/>
      <c r="V1112" s="49"/>
      <c r="W1112" s="49"/>
      <c r="X1112" s="49"/>
      <c r="Y1112" s="49"/>
      <c r="Z1112" s="49"/>
      <c r="AA1112" s="49"/>
      <c r="AB1112" s="49"/>
      <c r="AC1112" s="49"/>
      <c r="AD1112" s="49"/>
    </row>
    <row r="1113" spans="1:30" ht="13">
      <c r="A1113" s="141"/>
      <c r="B1113" s="141"/>
      <c r="C1113" s="141"/>
      <c r="D1113" s="49"/>
      <c r="E1113" s="49"/>
      <c r="F1113" s="49"/>
      <c r="G1113" s="49"/>
      <c r="H1113" s="49"/>
      <c r="I1113" s="49"/>
      <c r="J1113" s="49"/>
      <c r="K1113" s="49"/>
      <c r="L1113" s="49"/>
      <c r="M1113" s="49"/>
      <c r="N1113" s="49"/>
      <c r="O1113" s="49"/>
      <c r="P1113" s="49"/>
      <c r="Q1113" s="49"/>
      <c r="R1113" s="49"/>
      <c r="S1113" s="49"/>
      <c r="T1113" s="49"/>
      <c r="U1113" s="49"/>
      <c r="V1113" s="49"/>
      <c r="W1113" s="49"/>
      <c r="X1113" s="49"/>
      <c r="Y1113" s="49"/>
      <c r="Z1113" s="49"/>
      <c r="AA1113" s="49"/>
      <c r="AB1113" s="49"/>
      <c r="AC1113" s="49"/>
      <c r="AD1113" s="49"/>
    </row>
    <row r="1114" spans="1:30" ht="13">
      <c r="A1114" s="141"/>
      <c r="B1114" s="141"/>
      <c r="C1114" s="141"/>
      <c r="D1114" s="49"/>
      <c r="E1114" s="49"/>
      <c r="F1114" s="49"/>
      <c r="G1114" s="49"/>
      <c r="H1114" s="49"/>
      <c r="I1114" s="49"/>
      <c r="J1114" s="49"/>
      <c r="K1114" s="49"/>
      <c r="L1114" s="49"/>
      <c r="M1114" s="49"/>
      <c r="N1114" s="49"/>
      <c r="O1114" s="49"/>
      <c r="P1114" s="49"/>
      <c r="Q1114" s="49"/>
      <c r="R1114" s="49"/>
      <c r="S1114" s="49"/>
      <c r="T1114" s="49"/>
      <c r="U1114" s="49"/>
      <c r="V1114" s="49"/>
      <c r="W1114" s="49"/>
      <c r="X1114" s="49"/>
      <c r="Y1114" s="49"/>
      <c r="Z1114" s="49"/>
      <c r="AA1114" s="49"/>
      <c r="AB1114" s="49"/>
      <c r="AC1114" s="49"/>
      <c r="AD1114" s="49"/>
    </row>
    <row r="1115" spans="1:30" ht="13">
      <c r="A1115" s="141"/>
      <c r="B1115" s="141"/>
      <c r="C1115" s="141"/>
      <c r="D1115" s="49"/>
      <c r="E1115" s="49"/>
      <c r="F1115" s="49"/>
      <c r="G1115" s="49"/>
      <c r="H1115" s="49"/>
      <c r="I1115" s="49"/>
      <c r="J1115" s="49"/>
      <c r="K1115" s="49"/>
      <c r="L1115" s="49"/>
      <c r="M1115" s="49"/>
      <c r="N1115" s="49"/>
      <c r="O1115" s="49"/>
      <c r="P1115" s="49"/>
      <c r="Q1115" s="49"/>
      <c r="R1115" s="49"/>
      <c r="S1115" s="49"/>
      <c r="T1115" s="49"/>
      <c r="U1115" s="49"/>
      <c r="V1115" s="49"/>
      <c r="W1115" s="49"/>
      <c r="X1115" s="49"/>
      <c r="Y1115" s="49"/>
      <c r="Z1115" s="49"/>
      <c r="AA1115" s="49"/>
      <c r="AB1115" s="49"/>
      <c r="AC1115" s="49"/>
      <c r="AD1115" s="49"/>
    </row>
    <row r="1116" spans="1:30" ht="13">
      <c r="A1116" s="141"/>
      <c r="B1116" s="141"/>
      <c r="C1116" s="141"/>
      <c r="D1116" s="49"/>
      <c r="E1116" s="49"/>
      <c r="F1116" s="49"/>
      <c r="G1116" s="49"/>
      <c r="H1116" s="49"/>
      <c r="I1116" s="49"/>
      <c r="J1116" s="49"/>
      <c r="K1116" s="49"/>
      <c r="L1116" s="49"/>
      <c r="M1116" s="49"/>
      <c r="N1116" s="49"/>
      <c r="O1116" s="49"/>
      <c r="P1116" s="49"/>
      <c r="Q1116" s="49"/>
      <c r="R1116" s="49"/>
      <c r="S1116" s="49"/>
      <c r="T1116" s="49"/>
      <c r="U1116" s="49"/>
      <c r="V1116" s="49"/>
      <c r="W1116" s="49"/>
      <c r="X1116" s="49"/>
      <c r="Y1116" s="49"/>
      <c r="Z1116" s="49"/>
      <c r="AA1116" s="49"/>
      <c r="AB1116" s="49"/>
      <c r="AC1116" s="49"/>
      <c r="AD1116" s="49"/>
    </row>
    <row r="1117" spans="1:30" ht="13">
      <c r="A1117" s="141"/>
      <c r="B1117" s="141"/>
      <c r="C1117" s="141"/>
      <c r="D1117" s="49"/>
      <c r="E1117" s="49"/>
      <c r="F1117" s="49"/>
      <c r="G1117" s="49"/>
      <c r="H1117" s="49"/>
      <c r="I1117" s="49"/>
      <c r="J1117" s="49"/>
      <c r="K1117" s="49"/>
      <c r="L1117" s="49"/>
      <c r="M1117" s="49"/>
      <c r="N1117" s="49"/>
      <c r="O1117" s="49"/>
      <c r="P1117" s="49"/>
      <c r="Q1117" s="49"/>
      <c r="R1117" s="49"/>
      <c r="S1117" s="49"/>
      <c r="T1117" s="49"/>
      <c r="U1117" s="49"/>
      <c r="V1117" s="49"/>
      <c r="W1117" s="49"/>
      <c r="X1117" s="49"/>
      <c r="Y1117" s="49"/>
      <c r="Z1117" s="49"/>
      <c r="AA1117" s="49"/>
      <c r="AB1117" s="49"/>
      <c r="AC1117" s="49"/>
      <c r="AD1117" s="49"/>
    </row>
    <row r="1118" spans="1:30" ht="13">
      <c r="A1118" s="141"/>
      <c r="B1118" s="141"/>
      <c r="C1118" s="141"/>
      <c r="D1118" s="49"/>
      <c r="E1118" s="49"/>
      <c r="F1118" s="49"/>
      <c r="G1118" s="49"/>
      <c r="H1118" s="49"/>
      <c r="I1118" s="49"/>
      <c r="J1118" s="49"/>
      <c r="K1118" s="49"/>
      <c r="L1118" s="49"/>
      <c r="M1118" s="49"/>
      <c r="N1118" s="49"/>
      <c r="O1118" s="49"/>
      <c r="P1118" s="49"/>
      <c r="Q1118" s="49"/>
      <c r="R1118" s="49"/>
      <c r="S1118" s="49"/>
      <c r="T1118" s="49"/>
      <c r="U1118" s="49"/>
      <c r="V1118" s="49"/>
      <c r="W1118" s="49"/>
      <c r="X1118" s="49"/>
      <c r="Y1118" s="49"/>
      <c r="Z1118" s="49"/>
      <c r="AA1118" s="49"/>
      <c r="AB1118" s="49"/>
      <c r="AC1118" s="49"/>
      <c r="AD1118" s="49"/>
    </row>
    <row r="1119" spans="1:30" ht="13">
      <c r="A1119" s="141"/>
      <c r="B1119" s="141"/>
      <c r="C1119" s="141"/>
      <c r="D1119" s="49"/>
      <c r="E1119" s="49"/>
      <c r="F1119" s="49"/>
      <c r="G1119" s="49"/>
      <c r="H1119" s="49"/>
      <c r="I1119" s="49"/>
      <c r="J1119" s="49"/>
      <c r="K1119" s="49"/>
      <c r="L1119" s="49"/>
      <c r="M1119" s="49"/>
      <c r="N1119" s="49"/>
      <c r="O1119" s="49"/>
      <c r="P1119" s="49"/>
      <c r="Q1119" s="49"/>
      <c r="R1119" s="49"/>
      <c r="S1119" s="49"/>
      <c r="T1119" s="49"/>
      <c r="U1119" s="49"/>
      <c r="V1119" s="49"/>
      <c r="W1119" s="49"/>
      <c r="X1119" s="49"/>
      <c r="Y1119" s="49"/>
      <c r="Z1119" s="49"/>
      <c r="AA1119" s="49"/>
      <c r="AB1119" s="49"/>
      <c r="AC1119" s="49"/>
      <c r="AD1119" s="49"/>
    </row>
    <row r="1120" spans="1:30" ht="13">
      <c r="A1120" s="141"/>
      <c r="B1120" s="141"/>
      <c r="C1120" s="141"/>
      <c r="D1120" s="49"/>
      <c r="E1120" s="49"/>
      <c r="F1120" s="49"/>
      <c r="G1120" s="49"/>
      <c r="H1120" s="49"/>
      <c r="I1120" s="49"/>
      <c r="J1120" s="49"/>
      <c r="K1120" s="49"/>
      <c r="L1120" s="49"/>
      <c r="M1120" s="49"/>
      <c r="N1120" s="49"/>
      <c r="O1120" s="49"/>
      <c r="P1120" s="49"/>
      <c r="Q1120" s="49"/>
      <c r="R1120" s="49"/>
      <c r="S1120" s="49"/>
      <c r="T1120" s="49"/>
      <c r="U1120" s="49"/>
      <c r="V1120" s="49"/>
      <c r="W1120" s="49"/>
      <c r="X1120" s="49"/>
      <c r="Y1120" s="49"/>
      <c r="Z1120" s="49"/>
      <c r="AA1120" s="49"/>
      <c r="AB1120" s="49"/>
      <c r="AC1120" s="49"/>
      <c r="AD1120" s="49"/>
    </row>
    <row r="1121" spans="1:30" ht="13">
      <c r="A1121" s="141"/>
      <c r="B1121" s="141"/>
      <c r="C1121" s="141"/>
      <c r="D1121" s="49"/>
      <c r="E1121" s="49"/>
      <c r="F1121" s="49"/>
      <c r="G1121" s="49"/>
      <c r="H1121" s="49"/>
      <c r="I1121" s="49"/>
      <c r="J1121" s="49"/>
      <c r="K1121" s="49"/>
      <c r="L1121" s="49"/>
      <c r="M1121" s="49"/>
      <c r="N1121" s="49"/>
      <c r="O1121" s="49"/>
      <c r="P1121" s="49"/>
      <c r="Q1121" s="49"/>
      <c r="R1121" s="49"/>
      <c r="S1121" s="49"/>
      <c r="T1121" s="49"/>
      <c r="U1121" s="49"/>
      <c r="V1121" s="49"/>
      <c r="W1121" s="49"/>
      <c r="X1121" s="49"/>
      <c r="Y1121" s="49"/>
      <c r="Z1121" s="49"/>
      <c r="AA1121" s="49"/>
      <c r="AB1121" s="49"/>
      <c r="AC1121" s="49"/>
      <c r="AD1121" s="49"/>
    </row>
    <row r="1122" spans="1:30" ht="13">
      <c r="A1122" s="141"/>
      <c r="B1122" s="141"/>
      <c r="C1122" s="141"/>
      <c r="D1122" s="49"/>
      <c r="E1122" s="49"/>
      <c r="F1122" s="49"/>
      <c r="G1122" s="49"/>
      <c r="H1122" s="49"/>
      <c r="I1122" s="49"/>
      <c r="J1122" s="49"/>
      <c r="K1122" s="49"/>
      <c r="L1122" s="49"/>
      <c r="M1122" s="49"/>
      <c r="N1122" s="49"/>
      <c r="O1122" s="49"/>
      <c r="P1122" s="49"/>
      <c r="Q1122" s="49"/>
      <c r="R1122" s="49"/>
      <c r="S1122" s="49"/>
      <c r="T1122" s="49"/>
      <c r="U1122" s="49"/>
      <c r="V1122" s="49"/>
      <c r="W1122" s="49"/>
      <c r="X1122" s="49"/>
      <c r="Y1122" s="49"/>
      <c r="Z1122" s="49"/>
      <c r="AA1122" s="49"/>
      <c r="AB1122" s="49"/>
      <c r="AC1122" s="49"/>
      <c r="AD1122" s="49"/>
    </row>
    <row r="1123" spans="1:30" ht="13">
      <c r="A1123" s="141"/>
      <c r="B1123" s="141"/>
      <c r="C1123" s="141"/>
      <c r="D1123" s="49"/>
      <c r="E1123" s="49"/>
      <c r="F1123" s="49"/>
      <c r="G1123" s="49"/>
      <c r="H1123" s="49"/>
      <c r="I1123" s="49"/>
      <c r="J1123" s="49"/>
      <c r="K1123" s="49"/>
      <c r="L1123" s="49"/>
      <c r="M1123" s="49"/>
      <c r="N1123" s="49"/>
      <c r="O1123" s="49"/>
      <c r="P1123" s="49"/>
      <c r="Q1123" s="49"/>
      <c r="R1123" s="49"/>
      <c r="S1123" s="49"/>
      <c r="T1123" s="49"/>
      <c r="U1123" s="49"/>
      <c r="V1123" s="49"/>
      <c r="W1123" s="49"/>
      <c r="X1123" s="49"/>
      <c r="Y1123" s="49"/>
      <c r="Z1123" s="49"/>
      <c r="AA1123" s="49"/>
      <c r="AB1123" s="49"/>
      <c r="AC1123" s="49"/>
      <c r="AD1123" s="49"/>
    </row>
    <row r="1124" spans="1:30" ht="13">
      <c r="A1124" s="141"/>
      <c r="B1124" s="141"/>
      <c r="C1124" s="141"/>
      <c r="D1124" s="49"/>
      <c r="E1124" s="49"/>
      <c r="F1124" s="49"/>
      <c r="G1124" s="49"/>
      <c r="H1124" s="49"/>
      <c r="I1124" s="49"/>
      <c r="J1124" s="49"/>
      <c r="K1124" s="49"/>
      <c r="L1124" s="49"/>
      <c r="M1124" s="49"/>
      <c r="N1124" s="49"/>
      <c r="O1124" s="49"/>
      <c r="P1124" s="49"/>
      <c r="Q1124" s="49"/>
      <c r="R1124" s="49"/>
      <c r="S1124" s="49"/>
      <c r="T1124" s="49"/>
      <c r="U1124" s="49"/>
      <c r="V1124" s="49"/>
      <c r="W1124" s="49"/>
      <c r="X1124" s="49"/>
      <c r="Y1124" s="49"/>
      <c r="Z1124" s="49"/>
      <c r="AA1124" s="49"/>
      <c r="AB1124" s="49"/>
      <c r="AC1124" s="49"/>
      <c r="AD1124" s="49"/>
    </row>
    <row r="1125" spans="1:30" ht="13">
      <c r="A1125" s="141"/>
      <c r="B1125" s="141"/>
      <c r="C1125" s="141"/>
      <c r="D1125" s="49"/>
      <c r="E1125" s="49"/>
      <c r="F1125" s="49"/>
      <c r="G1125" s="49"/>
      <c r="H1125" s="49"/>
      <c r="I1125" s="49"/>
      <c r="J1125" s="49"/>
      <c r="K1125" s="49"/>
      <c r="L1125" s="49"/>
      <c r="M1125" s="49"/>
      <c r="N1125" s="49"/>
      <c r="O1125" s="49"/>
      <c r="P1125" s="49"/>
      <c r="Q1125" s="49"/>
      <c r="R1125" s="49"/>
      <c r="S1125" s="49"/>
      <c r="T1125" s="49"/>
      <c r="U1125" s="49"/>
      <c r="V1125" s="49"/>
      <c r="W1125" s="49"/>
      <c r="X1125" s="49"/>
      <c r="Y1125" s="49"/>
      <c r="Z1125" s="49"/>
      <c r="AA1125" s="49"/>
      <c r="AB1125" s="49"/>
      <c r="AC1125" s="49"/>
      <c r="AD1125" s="49"/>
    </row>
    <row r="1126" spans="1:30" ht="13">
      <c r="A1126" s="141"/>
      <c r="B1126" s="141"/>
      <c r="C1126" s="141"/>
      <c r="D1126" s="49"/>
      <c r="E1126" s="49"/>
      <c r="F1126" s="49"/>
      <c r="G1126" s="49"/>
      <c r="H1126" s="49"/>
      <c r="I1126" s="49"/>
      <c r="J1126" s="49"/>
      <c r="K1126" s="49"/>
      <c r="L1126" s="49"/>
      <c r="M1126" s="49"/>
      <c r="N1126" s="49"/>
      <c r="O1126" s="49"/>
      <c r="P1126" s="49"/>
      <c r="Q1126" s="49"/>
      <c r="R1126" s="49"/>
      <c r="S1126" s="49"/>
      <c r="T1126" s="49"/>
      <c r="U1126" s="49"/>
      <c r="V1126" s="49"/>
      <c r="W1126" s="49"/>
      <c r="X1126" s="49"/>
      <c r="Y1126" s="49"/>
      <c r="Z1126" s="49"/>
      <c r="AA1126" s="49"/>
      <c r="AB1126" s="49"/>
      <c r="AC1126" s="49"/>
      <c r="AD1126" s="49"/>
    </row>
    <row r="1127" spans="1:30" ht="13">
      <c r="A1127" s="141"/>
      <c r="B1127" s="141"/>
      <c r="C1127" s="141"/>
      <c r="D1127" s="49"/>
      <c r="E1127" s="49"/>
      <c r="F1127" s="49"/>
      <c r="G1127" s="49"/>
      <c r="H1127" s="49"/>
      <c r="I1127" s="49"/>
      <c r="J1127" s="49"/>
      <c r="K1127" s="49"/>
      <c r="L1127" s="49"/>
      <c r="M1127" s="49"/>
      <c r="N1127" s="49"/>
      <c r="O1127" s="49"/>
      <c r="P1127" s="49"/>
      <c r="Q1127" s="49"/>
      <c r="R1127" s="49"/>
      <c r="S1127" s="49"/>
      <c r="T1127" s="49"/>
      <c r="U1127" s="49"/>
      <c r="V1127" s="49"/>
      <c r="W1127" s="49"/>
      <c r="X1127" s="49"/>
      <c r="Y1127" s="49"/>
      <c r="Z1127" s="49"/>
      <c r="AA1127" s="49"/>
      <c r="AB1127" s="49"/>
      <c r="AC1127" s="49"/>
      <c r="AD1127" s="49"/>
    </row>
    <row r="1128" spans="1:30" ht="13">
      <c r="A1128" s="141"/>
      <c r="B1128" s="141"/>
      <c r="C1128" s="141"/>
      <c r="D1128" s="49"/>
      <c r="E1128" s="49"/>
      <c r="F1128" s="49"/>
      <c r="G1128" s="49"/>
      <c r="H1128" s="49"/>
      <c r="I1128" s="49"/>
      <c r="J1128" s="49"/>
      <c r="K1128" s="49"/>
      <c r="L1128" s="49"/>
      <c r="M1128" s="49"/>
      <c r="N1128" s="49"/>
      <c r="O1128" s="49"/>
      <c r="P1128" s="49"/>
      <c r="Q1128" s="49"/>
      <c r="R1128" s="49"/>
      <c r="S1128" s="49"/>
      <c r="T1128" s="49"/>
      <c r="U1128" s="49"/>
      <c r="V1128" s="49"/>
      <c r="W1128" s="49"/>
      <c r="X1128" s="49"/>
      <c r="Y1128" s="49"/>
      <c r="Z1128" s="49"/>
      <c r="AA1128" s="49"/>
      <c r="AB1128" s="49"/>
      <c r="AC1128" s="49"/>
      <c r="AD1128" s="49"/>
    </row>
    <row r="1129" spans="1:30" ht="13">
      <c r="A1129" s="141"/>
      <c r="B1129" s="141"/>
      <c r="C1129" s="141"/>
      <c r="D1129" s="49"/>
      <c r="E1129" s="49"/>
      <c r="F1129" s="49"/>
      <c r="G1129" s="49"/>
      <c r="H1129" s="49"/>
      <c r="I1129" s="49"/>
      <c r="J1129" s="49"/>
      <c r="K1129" s="49"/>
      <c r="L1129" s="49"/>
      <c r="M1129" s="49"/>
      <c r="N1129" s="49"/>
      <c r="O1129" s="49"/>
      <c r="P1129" s="49"/>
      <c r="Q1129" s="49"/>
      <c r="R1129" s="49"/>
      <c r="S1129" s="49"/>
      <c r="T1129" s="49"/>
      <c r="U1129" s="49"/>
      <c r="V1129" s="49"/>
      <c r="W1129" s="49"/>
      <c r="X1129" s="49"/>
      <c r="Y1129" s="49"/>
      <c r="Z1129" s="49"/>
      <c r="AA1129" s="49"/>
      <c r="AB1129" s="49"/>
      <c r="AC1129" s="49"/>
      <c r="AD1129" s="49"/>
    </row>
    <row r="1130" spans="1:30" ht="13">
      <c r="A1130" s="141"/>
      <c r="B1130" s="141"/>
      <c r="C1130" s="141"/>
      <c r="D1130" s="49"/>
      <c r="E1130" s="49"/>
      <c r="F1130" s="49"/>
      <c r="G1130" s="49"/>
      <c r="H1130" s="49"/>
      <c r="I1130" s="49"/>
      <c r="J1130" s="49"/>
      <c r="K1130" s="49"/>
      <c r="L1130" s="49"/>
      <c r="M1130" s="49"/>
      <c r="N1130" s="49"/>
      <c r="O1130" s="49"/>
      <c r="P1130" s="49"/>
      <c r="Q1130" s="49"/>
      <c r="R1130" s="49"/>
      <c r="S1130" s="49"/>
      <c r="T1130" s="49"/>
      <c r="U1130" s="49"/>
      <c r="V1130" s="49"/>
      <c r="W1130" s="49"/>
      <c r="X1130" s="49"/>
      <c r="Y1130" s="49"/>
      <c r="Z1130" s="49"/>
      <c r="AA1130" s="49"/>
      <c r="AB1130" s="49"/>
      <c r="AC1130" s="49"/>
      <c r="AD1130" s="49"/>
    </row>
    <row r="1131" spans="1:30" ht="13">
      <c r="A1131" s="141"/>
      <c r="B1131" s="141"/>
      <c r="C1131" s="141"/>
      <c r="D1131" s="49"/>
      <c r="E1131" s="49"/>
      <c r="F1131" s="49"/>
      <c r="G1131" s="49"/>
      <c r="H1131" s="49"/>
      <c r="I1131" s="49"/>
      <c r="J1131" s="49"/>
      <c r="K1131" s="49"/>
      <c r="L1131" s="49"/>
      <c r="M1131" s="49"/>
      <c r="N1131" s="49"/>
      <c r="O1131" s="49"/>
      <c r="P1131" s="49"/>
      <c r="Q1131" s="49"/>
      <c r="R1131" s="49"/>
      <c r="S1131" s="49"/>
      <c r="T1131" s="49"/>
      <c r="U1131" s="49"/>
      <c r="V1131" s="49"/>
      <c r="W1131" s="49"/>
      <c r="X1131" s="49"/>
      <c r="Y1131" s="49"/>
      <c r="Z1131" s="49"/>
      <c r="AA1131" s="49"/>
      <c r="AB1131" s="49"/>
      <c r="AC1131" s="49"/>
      <c r="AD1131" s="49"/>
    </row>
    <row r="1132" spans="1:30" ht="13">
      <c r="A1132" s="141"/>
      <c r="B1132" s="141"/>
      <c r="C1132" s="141"/>
      <c r="D1132" s="49"/>
      <c r="E1132" s="49"/>
      <c r="F1132" s="49"/>
      <c r="G1132" s="49"/>
      <c r="H1132" s="49"/>
      <c r="I1132" s="49"/>
      <c r="J1132" s="49"/>
      <c r="K1132" s="49"/>
      <c r="L1132" s="49"/>
      <c r="M1132" s="49"/>
      <c r="N1132" s="49"/>
      <c r="O1132" s="49"/>
      <c r="P1132" s="49"/>
      <c r="Q1132" s="49"/>
      <c r="R1132" s="49"/>
      <c r="S1132" s="49"/>
      <c r="T1132" s="49"/>
      <c r="U1132" s="49"/>
      <c r="V1132" s="49"/>
      <c r="W1132" s="49"/>
      <c r="X1132" s="49"/>
      <c r="Y1132" s="49"/>
      <c r="Z1132" s="49"/>
      <c r="AA1132" s="49"/>
      <c r="AB1132" s="49"/>
      <c r="AC1132" s="49"/>
      <c r="AD1132" s="49"/>
    </row>
    <row r="1133" spans="1:30" ht="13">
      <c r="A1133" s="141"/>
      <c r="B1133" s="141"/>
      <c r="C1133" s="141"/>
      <c r="D1133" s="49"/>
      <c r="E1133" s="49"/>
      <c r="F1133" s="49"/>
      <c r="G1133" s="49"/>
      <c r="H1133" s="49"/>
      <c r="I1133" s="49"/>
      <c r="J1133" s="49"/>
      <c r="K1133" s="49"/>
      <c r="L1133" s="49"/>
      <c r="M1133" s="49"/>
      <c r="N1133" s="49"/>
      <c r="O1133" s="49"/>
      <c r="P1133" s="49"/>
      <c r="Q1133" s="49"/>
      <c r="R1133" s="49"/>
      <c r="S1133" s="49"/>
      <c r="T1133" s="49"/>
      <c r="U1133" s="49"/>
      <c r="V1133" s="49"/>
      <c r="W1133" s="49"/>
      <c r="X1133" s="49"/>
      <c r="Y1133" s="49"/>
      <c r="Z1133" s="49"/>
      <c r="AA1133" s="49"/>
      <c r="AB1133" s="49"/>
      <c r="AC1133" s="49"/>
      <c r="AD1133" s="49"/>
    </row>
    <row r="1134" spans="1:30" ht="13">
      <c r="A1134" s="141"/>
      <c r="B1134" s="141"/>
      <c r="C1134" s="141"/>
      <c r="D1134" s="49"/>
      <c r="E1134" s="49"/>
      <c r="F1134" s="49"/>
      <c r="G1134" s="49"/>
      <c r="H1134" s="49"/>
      <c r="I1134" s="49"/>
      <c r="J1134" s="49"/>
      <c r="K1134" s="49"/>
      <c r="L1134" s="49"/>
      <c r="M1134" s="49"/>
      <c r="N1134" s="49"/>
      <c r="O1134" s="49"/>
      <c r="P1134" s="49"/>
      <c r="Q1134" s="49"/>
      <c r="R1134" s="49"/>
      <c r="S1134" s="49"/>
      <c r="T1134" s="49"/>
      <c r="U1134" s="49"/>
      <c r="V1134" s="49"/>
      <c r="W1134" s="49"/>
      <c r="X1134" s="49"/>
      <c r="Y1134" s="49"/>
      <c r="Z1134" s="49"/>
      <c r="AA1134" s="49"/>
      <c r="AB1134" s="49"/>
      <c r="AC1134" s="49"/>
      <c r="AD1134" s="49"/>
    </row>
    <row r="1135" spans="1:30" ht="13">
      <c r="A1135" s="141"/>
      <c r="B1135" s="141"/>
      <c r="C1135" s="141"/>
      <c r="D1135" s="49"/>
      <c r="E1135" s="49"/>
      <c r="F1135" s="49"/>
      <c r="G1135" s="49"/>
      <c r="H1135" s="49"/>
      <c r="I1135" s="49"/>
      <c r="J1135" s="49"/>
      <c r="K1135" s="49"/>
      <c r="L1135" s="49"/>
      <c r="M1135" s="49"/>
      <c r="N1135" s="49"/>
      <c r="O1135" s="49"/>
      <c r="P1135" s="49"/>
      <c r="Q1135" s="49"/>
      <c r="R1135" s="49"/>
      <c r="S1135" s="49"/>
      <c r="T1135" s="49"/>
      <c r="U1135" s="49"/>
      <c r="V1135" s="49"/>
      <c r="W1135" s="49"/>
      <c r="X1135" s="49"/>
      <c r="Y1135" s="49"/>
      <c r="Z1135" s="49"/>
      <c r="AA1135" s="49"/>
      <c r="AB1135" s="49"/>
      <c r="AC1135" s="49"/>
      <c r="AD1135" s="49"/>
    </row>
    <row r="1136" spans="1:30" ht="13">
      <c r="A1136" s="141"/>
      <c r="B1136" s="141"/>
      <c r="C1136" s="141"/>
      <c r="D1136" s="49"/>
      <c r="E1136" s="49"/>
      <c r="F1136" s="49"/>
      <c r="G1136" s="49"/>
      <c r="H1136" s="49"/>
      <c r="I1136" s="49"/>
      <c r="J1136" s="49"/>
      <c r="K1136" s="49"/>
      <c r="L1136" s="49"/>
      <c r="M1136" s="49"/>
      <c r="N1136" s="49"/>
      <c r="O1136" s="49"/>
      <c r="P1136" s="49"/>
      <c r="Q1136" s="49"/>
      <c r="R1136" s="49"/>
      <c r="S1136" s="49"/>
      <c r="T1136" s="49"/>
      <c r="U1136" s="49"/>
      <c r="V1136" s="49"/>
      <c r="W1136" s="49"/>
      <c r="X1136" s="49"/>
      <c r="Y1136" s="49"/>
      <c r="Z1136" s="49"/>
      <c r="AA1136" s="49"/>
      <c r="AB1136" s="49"/>
      <c r="AC1136" s="49"/>
      <c r="AD1136" s="49"/>
    </row>
    <row r="1137" spans="1:30" ht="13">
      <c r="A1137" s="141"/>
      <c r="B1137" s="141"/>
      <c r="C1137" s="141"/>
      <c r="D1137" s="49"/>
      <c r="E1137" s="49"/>
      <c r="F1137" s="49"/>
      <c r="G1137" s="49"/>
      <c r="H1137" s="49"/>
      <c r="I1137" s="49"/>
      <c r="J1137" s="49"/>
      <c r="K1137" s="49"/>
      <c r="L1137" s="49"/>
      <c r="M1137" s="49"/>
      <c r="N1137" s="49"/>
      <c r="O1137" s="49"/>
      <c r="P1137" s="49"/>
      <c r="Q1137" s="49"/>
      <c r="R1137" s="49"/>
      <c r="S1137" s="49"/>
      <c r="T1137" s="49"/>
      <c r="U1137" s="49"/>
      <c r="V1137" s="49"/>
      <c r="W1137" s="49"/>
      <c r="X1137" s="49"/>
      <c r="Y1137" s="49"/>
      <c r="Z1137" s="49"/>
      <c r="AA1137" s="49"/>
      <c r="AB1137" s="49"/>
      <c r="AC1137" s="49"/>
      <c r="AD1137" s="49"/>
    </row>
    <row r="1138" spans="1:30" ht="13">
      <c r="A1138" s="141"/>
      <c r="B1138" s="141"/>
      <c r="C1138" s="141"/>
      <c r="D1138" s="49"/>
      <c r="E1138" s="49"/>
      <c r="F1138" s="49"/>
      <c r="G1138" s="49"/>
      <c r="H1138" s="49"/>
      <c r="I1138" s="49"/>
      <c r="J1138" s="49"/>
      <c r="K1138" s="49"/>
      <c r="L1138" s="49"/>
      <c r="M1138" s="49"/>
      <c r="N1138" s="49"/>
      <c r="O1138" s="49"/>
      <c r="P1138" s="49"/>
      <c r="Q1138" s="49"/>
      <c r="R1138" s="49"/>
      <c r="S1138" s="49"/>
      <c r="T1138" s="49"/>
      <c r="U1138" s="49"/>
      <c r="V1138" s="49"/>
      <c r="W1138" s="49"/>
      <c r="X1138" s="49"/>
      <c r="Y1138" s="49"/>
      <c r="Z1138" s="49"/>
      <c r="AA1138" s="49"/>
      <c r="AB1138" s="49"/>
      <c r="AC1138" s="49"/>
      <c r="AD1138" s="49"/>
    </row>
    <row r="1139" spans="1:30" ht="13">
      <c r="A1139" s="141"/>
      <c r="B1139" s="141"/>
      <c r="C1139" s="141"/>
      <c r="D1139" s="49"/>
      <c r="E1139" s="49"/>
      <c r="F1139" s="49"/>
      <c r="G1139" s="49"/>
      <c r="H1139" s="49"/>
      <c r="I1139" s="49"/>
      <c r="J1139" s="49"/>
      <c r="K1139" s="49"/>
      <c r="L1139" s="49"/>
      <c r="M1139" s="49"/>
      <c r="N1139" s="49"/>
      <c r="O1139" s="49"/>
      <c r="P1139" s="49"/>
      <c r="Q1139" s="49"/>
      <c r="R1139" s="49"/>
      <c r="S1139" s="49"/>
      <c r="T1139" s="49"/>
      <c r="U1139" s="49"/>
      <c r="V1139" s="49"/>
      <c r="W1139" s="49"/>
      <c r="X1139" s="49"/>
      <c r="Y1139" s="49"/>
      <c r="Z1139" s="49"/>
      <c r="AA1139" s="49"/>
      <c r="AB1139" s="49"/>
      <c r="AC1139" s="49"/>
      <c r="AD1139" s="49"/>
    </row>
    <row r="1140" spans="1:30" ht="13">
      <c r="A1140" s="141"/>
      <c r="B1140" s="141"/>
      <c r="C1140" s="141"/>
      <c r="D1140" s="49"/>
      <c r="E1140" s="49"/>
      <c r="F1140" s="49"/>
      <c r="G1140" s="49"/>
      <c r="H1140" s="49"/>
      <c r="I1140" s="49"/>
      <c r="J1140" s="49"/>
      <c r="K1140" s="49"/>
      <c r="L1140" s="49"/>
      <c r="M1140" s="49"/>
      <c r="N1140" s="49"/>
      <c r="O1140" s="49"/>
      <c r="P1140" s="49"/>
      <c r="Q1140" s="49"/>
      <c r="R1140" s="49"/>
      <c r="S1140" s="49"/>
      <c r="T1140" s="49"/>
      <c r="U1140" s="49"/>
      <c r="V1140" s="49"/>
      <c r="W1140" s="49"/>
      <c r="X1140" s="49"/>
      <c r="Y1140" s="49"/>
      <c r="Z1140" s="49"/>
      <c r="AA1140" s="49"/>
      <c r="AB1140" s="49"/>
      <c r="AC1140" s="49"/>
      <c r="AD1140" s="49"/>
    </row>
    <row r="1141" spans="1:30" ht="13">
      <c r="A1141" s="141"/>
      <c r="B1141" s="141"/>
      <c r="C1141" s="141"/>
      <c r="D1141" s="49"/>
      <c r="E1141" s="49"/>
      <c r="F1141" s="49"/>
      <c r="G1141" s="49"/>
      <c r="H1141" s="49"/>
      <c r="I1141" s="49"/>
      <c r="J1141" s="49"/>
      <c r="K1141" s="49"/>
      <c r="L1141" s="49"/>
      <c r="M1141" s="49"/>
      <c r="N1141" s="49"/>
      <c r="O1141" s="49"/>
      <c r="P1141" s="49"/>
      <c r="Q1141" s="49"/>
      <c r="R1141" s="49"/>
      <c r="S1141" s="49"/>
      <c r="T1141" s="49"/>
      <c r="U1141" s="49"/>
      <c r="V1141" s="49"/>
      <c r="W1141" s="49"/>
      <c r="X1141" s="49"/>
      <c r="Y1141" s="49"/>
      <c r="Z1141" s="49"/>
      <c r="AA1141" s="49"/>
      <c r="AB1141" s="49"/>
      <c r="AC1141" s="49"/>
      <c r="AD1141" s="49"/>
    </row>
    <row r="1142" spans="1:30" ht="13">
      <c r="A1142" s="141"/>
      <c r="B1142" s="141"/>
      <c r="C1142" s="141"/>
      <c r="D1142" s="49"/>
      <c r="E1142" s="49"/>
      <c r="F1142" s="49"/>
      <c r="G1142" s="49"/>
      <c r="H1142" s="49"/>
      <c r="I1142" s="49"/>
      <c r="J1142" s="49"/>
      <c r="K1142" s="49"/>
      <c r="L1142" s="49"/>
      <c r="M1142" s="49"/>
      <c r="N1142" s="49"/>
      <c r="O1142" s="49"/>
      <c r="P1142" s="49"/>
      <c r="Q1142" s="49"/>
      <c r="R1142" s="49"/>
      <c r="S1142" s="49"/>
      <c r="T1142" s="49"/>
      <c r="U1142" s="49"/>
      <c r="V1142" s="49"/>
      <c r="W1142" s="49"/>
      <c r="X1142" s="49"/>
      <c r="Y1142" s="49"/>
      <c r="Z1142" s="49"/>
      <c r="AA1142" s="49"/>
      <c r="AB1142" s="49"/>
      <c r="AC1142" s="49"/>
      <c r="AD1142" s="49"/>
    </row>
    <row r="1143" spans="1:30" ht="13">
      <c r="A1143" s="141"/>
      <c r="B1143" s="141"/>
      <c r="C1143" s="141"/>
      <c r="D1143" s="49"/>
      <c r="E1143" s="49"/>
      <c r="F1143" s="49"/>
      <c r="G1143" s="49"/>
      <c r="H1143" s="49"/>
      <c r="I1143" s="49"/>
      <c r="J1143" s="49"/>
      <c r="K1143" s="49"/>
      <c r="L1143" s="49"/>
      <c r="M1143" s="49"/>
      <c r="N1143" s="49"/>
      <c r="O1143" s="49"/>
      <c r="P1143" s="49"/>
      <c r="Q1143" s="49"/>
      <c r="R1143" s="49"/>
      <c r="S1143" s="49"/>
      <c r="T1143" s="49"/>
      <c r="U1143" s="49"/>
      <c r="V1143" s="49"/>
      <c r="W1143" s="49"/>
      <c r="X1143" s="49"/>
      <c r="Y1143" s="49"/>
      <c r="Z1143" s="49"/>
      <c r="AA1143" s="49"/>
      <c r="AB1143" s="49"/>
      <c r="AC1143" s="49"/>
      <c r="AD1143" s="49"/>
    </row>
    <row r="1144" spans="1:30" ht="13">
      <c r="A1144" s="141"/>
      <c r="B1144" s="141"/>
      <c r="C1144" s="141"/>
      <c r="D1144" s="49"/>
      <c r="E1144" s="49"/>
      <c r="F1144" s="49"/>
      <c r="G1144" s="49"/>
      <c r="H1144" s="49"/>
      <c r="I1144" s="49"/>
      <c r="J1144" s="49"/>
      <c r="K1144" s="49"/>
      <c r="L1144" s="49"/>
      <c r="M1144" s="49"/>
      <c r="N1144" s="49"/>
      <c r="O1144" s="49"/>
      <c r="P1144" s="49"/>
      <c r="Q1144" s="49"/>
      <c r="R1144" s="49"/>
      <c r="S1144" s="49"/>
      <c r="T1144" s="49"/>
      <c r="U1144" s="49"/>
      <c r="V1144" s="49"/>
      <c r="W1144" s="49"/>
      <c r="X1144" s="49"/>
      <c r="Y1144" s="49"/>
      <c r="Z1144" s="49"/>
      <c r="AA1144" s="49"/>
      <c r="AB1144" s="49"/>
      <c r="AC1144" s="49"/>
      <c r="AD1144" s="49"/>
    </row>
    <row r="1145" spans="1:30" ht="13">
      <c r="A1145" s="141"/>
      <c r="B1145" s="141"/>
      <c r="C1145" s="141"/>
      <c r="D1145" s="49"/>
      <c r="E1145" s="49"/>
      <c r="F1145" s="49"/>
      <c r="G1145" s="49"/>
      <c r="H1145" s="49"/>
      <c r="I1145" s="49"/>
      <c r="J1145" s="49"/>
      <c r="K1145" s="49"/>
      <c r="L1145" s="49"/>
      <c r="M1145" s="49"/>
      <c r="N1145" s="49"/>
      <c r="O1145" s="49"/>
      <c r="P1145" s="49"/>
      <c r="Q1145" s="49"/>
      <c r="R1145" s="49"/>
      <c r="S1145" s="49"/>
      <c r="T1145" s="49"/>
      <c r="U1145" s="49"/>
      <c r="V1145" s="49"/>
      <c r="W1145" s="49"/>
      <c r="X1145" s="49"/>
      <c r="Y1145" s="49"/>
      <c r="Z1145" s="49"/>
      <c r="AA1145" s="49"/>
      <c r="AB1145" s="49"/>
      <c r="AC1145" s="49"/>
      <c r="AD1145" s="49"/>
    </row>
    <row r="1146" spans="1:30" ht="13">
      <c r="A1146" s="141"/>
      <c r="B1146" s="141"/>
      <c r="C1146" s="141"/>
      <c r="D1146" s="49"/>
      <c r="E1146" s="49"/>
      <c r="F1146" s="49"/>
      <c r="G1146" s="49"/>
      <c r="H1146" s="49"/>
      <c r="I1146" s="49"/>
      <c r="J1146" s="49"/>
      <c r="K1146" s="49"/>
      <c r="L1146" s="49"/>
      <c r="M1146" s="49"/>
      <c r="N1146" s="49"/>
      <c r="O1146" s="49"/>
      <c r="P1146" s="49"/>
      <c r="Q1146" s="49"/>
      <c r="R1146" s="49"/>
      <c r="S1146" s="49"/>
      <c r="T1146" s="49"/>
      <c r="U1146" s="49"/>
      <c r="V1146" s="49"/>
      <c r="W1146" s="49"/>
      <c r="X1146" s="49"/>
      <c r="Y1146" s="49"/>
      <c r="Z1146" s="49"/>
      <c r="AA1146" s="49"/>
      <c r="AB1146" s="49"/>
      <c r="AC1146" s="49"/>
      <c r="AD1146" s="49"/>
    </row>
    <row r="1147" spans="1:30" ht="13">
      <c r="A1147" s="141"/>
      <c r="B1147" s="141"/>
      <c r="C1147" s="141"/>
      <c r="D1147" s="49"/>
      <c r="E1147" s="49"/>
      <c r="F1147" s="49"/>
      <c r="G1147" s="49"/>
      <c r="H1147" s="49"/>
      <c r="I1147" s="49"/>
      <c r="J1147" s="49"/>
      <c r="K1147" s="49"/>
      <c r="L1147" s="49"/>
      <c r="M1147" s="49"/>
      <c r="N1147" s="49"/>
      <c r="O1147" s="49"/>
      <c r="P1147" s="49"/>
      <c r="Q1147" s="49"/>
      <c r="R1147" s="49"/>
      <c r="S1147" s="49"/>
      <c r="T1147" s="49"/>
      <c r="U1147" s="49"/>
      <c r="V1147" s="49"/>
      <c r="W1147" s="49"/>
      <c r="X1147" s="49"/>
      <c r="Y1147" s="49"/>
      <c r="Z1147" s="49"/>
      <c r="AA1147" s="49"/>
      <c r="AB1147" s="49"/>
      <c r="AC1147" s="49"/>
      <c r="AD1147" s="49"/>
    </row>
    <row r="1148" spans="1:30" ht="13">
      <c r="A1148" s="141"/>
      <c r="B1148" s="141"/>
      <c r="C1148" s="141"/>
      <c r="D1148" s="49"/>
      <c r="E1148" s="49"/>
      <c r="F1148" s="49"/>
      <c r="G1148" s="49"/>
      <c r="H1148" s="49"/>
      <c r="I1148" s="49"/>
      <c r="J1148" s="49"/>
      <c r="K1148" s="49"/>
      <c r="L1148" s="49"/>
      <c r="M1148" s="49"/>
      <c r="N1148" s="49"/>
      <c r="O1148" s="49"/>
      <c r="P1148" s="49"/>
      <c r="Q1148" s="49"/>
      <c r="R1148" s="49"/>
      <c r="S1148" s="49"/>
      <c r="T1148" s="49"/>
      <c r="U1148" s="49"/>
      <c r="V1148" s="49"/>
      <c r="W1148" s="49"/>
      <c r="X1148" s="49"/>
      <c r="Y1148" s="49"/>
      <c r="Z1148" s="49"/>
      <c r="AA1148" s="49"/>
      <c r="AB1148" s="49"/>
      <c r="AC1148" s="49"/>
      <c r="AD1148" s="49"/>
    </row>
    <row r="1149" spans="1:30" ht="13">
      <c r="A1149" s="141"/>
      <c r="B1149" s="141"/>
      <c r="C1149" s="141"/>
      <c r="D1149" s="49"/>
      <c r="E1149" s="49"/>
      <c r="F1149" s="49"/>
      <c r="G1149" s="49"/>
      <c r="H1149" s="49"/>
      <c r="I1149" s="49"/>
      <c r="J1149" s="49"/>
      <c r="K1149" s="49"/>
      <c r="L1149" s="49"/>
      <c r="M1149" s="49"/>
      <c r="N1149" s="49"/>
      <c r="O1149" s="49"/>
      <c r="P1149" s="49"/>
      <c r="Q1149" s="49"/>
      <c r="R1149" s="49"/>
      <c r="S1149" s="49"/>
      <c r="T1149" s="49"/>
      <c r="U1149" s="49"/>
      <c r="V1149" s="49"/>
      <c r="W1149" s="49"/>
      <c r="X1149" s="49"/>
      <c r="Y1149" s="49"/>
      <c r="Z1149" s="49"/>
      <c r="AA1149" s="49"/>
      <c r="AB1149" s="49"/>
      <c r="AC1149" s="49"/>
      <c r="AD1149" s="49"/>
    </row>
    <row r="1150" spans="1:30" ht="13">
      <c r="A1150" s="141"/>
      <c r="B1150" s="141"/>
      <c r="C1150" s="141"/>
      <c r="D1150" s="49"/>
      <c r="E1150" s="49"/>
      <c r="F1150" s="49"/>
      <c r="G1150" s="49"/>
      <c r="H1150" s="49"/>
      <c r="I1150" s="49"/>
      <c r="J1150" s="49"/>
      <c r="K1150" s="49"/>
      <c r="L1150" s="49"/>
      <c r="M1150" s="49"/>
      <c r="N1150" s="49"/>
      <c r="O1150" s="49"/>
      <c r="P1150" s="49"/>
      <c r="Q1150" s="49"/>
      <c r="R1150" s="49"/>
      <c r="S1150" s="49"/>
      <c r="T1150" s="49"/>
      <c r="U1150" s="49"/>
      <c r="V1150" s="49"/>
      <c r="W1150" s="49"/>
      <c r="X1150" s="49"/>
      <c r="Y1150" s="49"/>
      <c r="Z1150" s="49"/>
      <c r="AA1150" s="49"/>
      <c r="AB1150" s="49"/>
      <c r="AC1150" s="49"/>
      <c r="AD1150" s="49"/>
    </row>
    <row r="1151" spans="1:30" ht="13">
      <c r="A1151" s="141"/>
      <c r="B1151" s="141"/>
      <c r="C1151" s="141"/>
      <c r="D1151" s="49"/>
      <c r="E1151" s="49"/>
      <c r="F1151" s="49"/>
      <c r="G1151" s="49"/>
      <c r="H1151" s="49"/>
      <c r="I1151" s="49"/>
      <c r="J1151" s="49"/>
      <c r="K1151" s="49"/>
      <c r="L1151" s="49"/>
      <c r="M1151" s="49"/>
      <c r="N1151" s="49"/>
      <c r="O1151" s="49"/>
      <c r="P1151" s="49"/>
      <c r="Q1151" s="49"/>
      <c r="R1151" s="49"/>
      <c r="S1151" s="49"/>
      <c r="T1151" s="49"/>
      <c r="U1151" s="49"/>
      <c r="V1151" s="49"/>
      <c r="W1151" s="49"/>
      <c r="X1151" s="49"/>
      <c r="Y1151" s="49"/>
      <c r="Z1151" s="49"/>
      <c r="AA1151" s="49"/>
      <c r="AB1151" s="49"/>
      <c r="AC1151" s="49"/>
      <c r="AD1151" s="49"/>
    </row>
    <row r="1152" spans="1:30" ht="13">
      <c r="A1152" s="141"/>
      <c r="B1152" s="141"/>
      <c r="C1152" s="141"/>
      <c r="D1152" s="49"/>
      <c r="E1152" s="49"/>
      <c r="F1152" s="49"/>
      <c r="G1152" s="49"/>
      <c r="H1152" s="49"/>
      <c r="I1152" s="49"/>
      <c r="J1152" s="49"/>
      <c r="K1152" s="49"/>
      <c r="L1152" s="49"/>
      <c r="M1152" s="49"/>
      <c r="N1152" s="49"/>
      <c r="O1152" s="49"/>
      <c r="P1152" s="49"/>
      <c r="Q1152" s="49"/>
      <c r="R1152" s="49"/>
      <c r="S1152" s="49"/>
      <c r="T1152" s="49"/>
      <c r="U1152" s="49"/>
      <c r="V1152" s="49"/>
      <c r="W1152" s="49"/>
      <c r="X1152" s="49"/>
      <c r="Y1152" s="49"/>
      <c r="Z1152" s="49"/>
      <c r="AA1152" s="49"/>
      <c r="AB1152" s="49"/>
      <c r="AC1152" s="49"/>
      <c r="AD1152" s="49"/>
    </row>
    <row r="1153" spans="1:30" ht="13">
      <c r="A1153" s="141"/>
      <c r="B1153" s="141"/>
      <c r="C1153" s="141"/>
      <c r="D1153" s="49"/>
      <c r="E1153" s="49"/>
      <c r="F1153" s="49"/>
      <c r="G1153" s="49"/>
      <c r="H1153" s="49"/>
      <c r="I1153" s="49"/>
      <c r="J1153" s="49"/>
      <c r="K1153" s="49"/>
      <c r="L1153" s="49"/>
      <c r="M1153" s="49"/>
      <c r="N1153" s="49"/>
      <c r="O1153" s="49"/>
      <c r="P1153" s="49"/>
      <c r="Q1153" s="49"/>
      <c r="R1153" s="49"/>
      <c r="S1153" s="49"/>
      <c r="T1153" s="49"/>
      <c r="U1153" s="49"/>
      <c r="V1153" s="49"/>
      <c r="W1153" s="49"/>
      <c r="X1153" s="49"/>
      <c r="Y1153" s="49"/>
      <c r="Z1153" s="49"/>
      <c r="AA1153" s="49"/>
      <c r="AB1153" s="49"/>
      <c r="AC1153" s="49"/>
      <c r="AD1153" s="49"/>
    </row>
    <row r="1154" spans="1:30" ht="13">
      <c r="A1154" s="141"/>
      <c r="B1154" s="141"/>
      <c r="C1154" s="141"/>
      <c r="D1154" s="49"/>
      <c r="E1154" s="49"/>
      <c r="F1154" s="49"/>
      <c r="G1154" s="49"/>
      <c r="H1154" s="49"/>
      <c r="I1154" s="49"/>
      <c r="J1154" s="49"/>
      <c r="K1154" s="49"/>
      <c r="L1154" s="49"/>
      <c r="M1154" s="49"/>
      <c r="N1154" s="49"/>
      <c r="O1154" s="49"/>
      <c r="P1154" s="49"/>
      <c r="Q1154" s="49"/>
      <c r="R1154" s="49"/>
      <c r="S1154" s="49"/>
      <c r="T1154" s="49"/>
      <c r="U1154" s="49"/>
      <c r="V1154" s="49"/>
      <c r="W1154" s="49"/>
      <c r="X1154" s="49"/>
      <c r="Y1154" s="49"/>
      <c r="Z1154" s="49"/>
      <c r="AA1154" s="49"/>
      <c r="AB1154" s="49"/>
      <c r="AC1154" s="49"/>
      <c r="AD1154" s="49"/>
    </row>
    <row r="1155" spans="1:30" ht="13">
      <c r="A1155" s="141"/>
      <c r="B1155" s="141"/>
      <c r="C1155" s="141"/>
      <c r="D1155" s="49"/>
      <c r="E1155" s="49"/>
      <c r="F1155" s="49"/>
      <c r="G1155" s="49"/>
      <c r="H1155" s="49"/>
      <c r="I1155" s="49"/>
      <c r="J1155" s="49"/>
      <c r="K1155" s="49"/>
      <c r="L1155" s="49"/>
      <c r="M1155" s="49"/>
      <c r="N1155" s="49"/>
      <c r="O1155" s="49"/>
      <c r="P1155" s="49"/>
      <c r="Q1155" s="49"/>
      <c r="R1155" s="49"/>
      <c r="S1155" s="49"/>
      <c r="T1155" s="49"/>
      <c r="U1155" s="49"/>
      <c r="V1155" s="49"/>
      <c r="W1155" s="49"/>
      <c r="X1155" s="49"/>
      <c r="Y1155" s="49"/>
      <c r="Z1155" s="49"/>
      <c r="AA1155" s="49"/>
      <c r="AB1155" s="49"/>
      <c r="AC1155" s="49"/>
      <c r="AD1155" s="49"/>
    </row>
    <row r="1156" spans="1:30" ht="13">
      <c r="A1156" s="141"/>
      <c r="B1156" s="141"/>
      <c r="C1156" s="141"/>
      <c r="D1156" s="49"/>
      <c r="E1156" s="49"/>
      <c r="F1156" s="49"/>
      <c r="G1156" s="49"/>
      <c r="H1156" s="49"/>
      <c r="I1156" s="49"/>
      <c r="J1156" s="49"/>
      <c r="K1156" s="49"/>
      <c r="L1156" s="49"/>
      <c r="M1156" s="49"/>
      <c r="N1156" s="49"/>
      <c r="O1156" s="49"/>
      <c r="P1156" s="49"/>
      <c r="Q1156" s="49"/>
      <c r="R1156" s="49"/>
      <c r="S1156" s="49"/>
      <c r="T1156" s="49"/>
      <c r="U1156" s="49"/>
      <c r="V1156" s="49"/>
      <c r="W1156" s="49"/>
      <c r="X1156" s="49"/>
      <c r="Y1156" s="49"/>
      <c r="Z1156" s="49"/>
      <c r="AA1156" s="49"/>
      <c r="AB1156" s="49"/>
      <c r="AC1156" s="49"/>
      <c r="AD1156" s="49"/>
    </row>
    <row r="1157" spans="1:30" ht="13">
      <c r="A1157" s="141"/>
      <c r="B1157" s="141"/>
      <c r="C1157" s="141"/>
      <c r="D1157" s="49"/>
      <c r="E1157" s="49"/>
      <c r="F1157" s="49"/>
      <c r="G1157" s="49"/>
      <c r="H1157" s="49"/>
      <c r="I1157" s="49"/>
      <c r="J1157" s="49"/>
      <c r="K1157" s="49"/>
      <c r="L1157" s="49"/>
      <c r="M1157" s="49"/>
      <c r="N1157" s="49"/>
      <c r="O1157" s="49"/>
      <c r="P1157" s="49"/>
      <c r="Q1157" s="49"/>
      <c r="R1157" s="49"/>
      <c r="S1157" s="49"/>
      <c r="T1157" s="49"/>
      <c r="U1157" s="49"/>
      <c r="V1157" s="49"/>
      <c r="W1157" s="49"/>
      <c r="X1157" s="49"/>
      <c r="Y1157" s="49"/>
      <c r="Z1157" s="49"/>
      <c r="AA1157" s="49"/>
      <c r="AB1157" s="49"/>
      <c r="AC1157" s="49"/>
      <c r="AD1157" s="49"/>
    </row>
    <row r="1158" spans="1:30" ht="13">
      <c r="A1158" s="141"/>
      <c r="B1158" s="141"/>
      <c r="C1158" s="141"/>
      <c r="D1158" s="49"/>
      <c r="E1158" s="49"/>
      <c r="F1158" s="49"/>
      <c r="G1158" s="49"/>
      <c r="H1158" s="49"/>
      <c r="I1158" s="49"/>
      <c r="J1158" s="49"/>
      <c r="K1158" s="49"/>
      <c r="L1158" s="49"/>
      <c r="M1158" s="49"/>
      <c r="N1158" s="49"/>
      <c r="O1158" s="49"/>
      <c r="P1158" s="49"/>
      <c r="Q1158" s="49"/>
      <c r="R1158" s="49"/>
      <c r="S1158" s="49"/>
      <c r="T1158" s="49"/>
      <c r="U1158" s="49"/>
      <c r="V1158" s="49"/>
      <c r="W1158" s="49"/>
      <c r="X1158" s="49"/>
      <c r="Y1158" s="49"/>
      <c r="Z1158" s="49"/>
      <c r="AA1158" s="49"/>
      <c r="AB1158" s="49"/>
      <c r="AC1158" s="49"/>
      <c r="AD1158" s="49"/>
    </row>
    <row r="1159" spans="1:30" ht="13">
      <c r="A1159" s="141"/>
      <c r="B1159" s="141"/>
      <c r="C1159" s="141"/>
      <c r="D1159" s="49"/>
      <c r="E1159" s="49"/>
      <c r="F1159" s="49"/>
      <c r="G1159" s="49"/>
      <c r="H1159" s="49"/>
      <c r="I1159" s="49"/>
      <c r="J1159" s="49"/>
      <c r="K1159" s="49"/>
      <c r="L1159" s="49"/>
      <c r="M1159" s="49"/>
      <c r="N1159" s="49"/>
      <c r="O1159" s="49"/>
      <c r="P1159" s="49"/>
      <c r="Q1159" s="49"/>
      <c r="R1159" s="49"/>
      <c r="S1159" s="49"/>
      <c r="T1159" s="49"/>
      <c r="U1159" s="49"/>
      <c r="V1159" s="49"/>
      <c r="W1159" s="49"/>
      <c r="X1159" s="49"/>
      <c r="Y1159" s="49"/>
      <c r="Z1159" s="49"/>
      <c r="AA1159" s="49"/>
      <c r="AB1159" s="49"/>
      <c r="AC1159" s="49"/>
      <c r="AD1159" s="49"/>
    </row>
    <row r="1160" spans="1:30" ht="13">
      <c r="A1160" s="141"/>
      <c r="B1160" s="141"/>
      <c r="C1160" s="141"/>
      <c r="D1160" s="49"/>
      <c r="E1160" s="49"/>
      <c r="F1160" s="49"/>
      <c r="G1160" s="49"/>
      <c r="H1160" s="49"/>
      <c r="I1160" s="49"/>
      <c r="J1160" s="49"/>
      <c r="K1160" s="49"/>
      <c r="L1160" s="49"/>
      <c r="M1160" s="49"/>
      <c r="N1160" s="49"/>
      <c r="O1160" s="49"/>
      <c r="P1160" s="49"/>
      <c r="Q1160" s="49"/>
      <c r="R1160" s="49"/>
      <c r="S1160" s="49"/>
      <c r="T1160" s="49"/>
      <c r="U1160" s="49"/>
      <c r="V1160" s="49"/>
      <c r="W1160" s="49"/>
      <c r="X1160" s="49"/>
      <c r="Y1160" s="49"/>
      <c r="Z1160" s="49"/>
      <c r="AA1160" s="49"/>
      <c r="AB1160" s="49"/>
      <c r="AC1160" s="49"/>
      <c r="AD1160" s="49"/>
    </row>
    <row r="1161" spans="1:30" ht="13">
      <c r="A1161" s="141"/>
      <c r="B1161" s="141"/>
      <c r="C1161" s="141"/>
      <c r="D1161" s="49"/>
      <c r="E1161" s="49"/>
      <c r="F1161" s="49"/>
      <c r="G1161" s="49"/>
      <c r="H1161" s="49"/>
      <c r="I1161" s="49"/>
      <c r="J1161" s="49"/>
      <c r="K1161" s="49"/>
      <c r="L1161" s="49"/>
      <c r="M1161" s="49"/>
      <c r="N1161" s="49"/>
      <c r="O1161" s="49"/>
      <c r="P1161" s="49"/>
      <c r="Q1161" s="49"/>
      <c r="R1161" s="49"/>
      <c r="S1161" s="49"/>
      <c r="T1161" s="49"/>
      <c r="U1161" s="49"/>
      <c r="V1161" s="49"/>
      <c r="W1161" s="49"/>
      <c r="X1161" s="49"/>
      <c r="Y1161" s="49"/>
      <c r="Z1161" s="49"/>
      <c r="AA1161" s="49"/>
      <c r="AB1161" s="49"/>
      <c r="AC1161" s="49"/>
      <c r="AD1161" s="49"/>
    </row>
    <row r="1162" spans="1:30" ht="13">
      <c r="A1162" s="141"/>
      <c r="B1162" s="141"/>
      <c r="C1162" s="141"/>
      <c r="D1162" s="49"/>
      <c r="E1162" s="49"/>
      <c r="F1162" s="49"/>
      <c r="G1162" s="49"/>
      <c r="H1162" s="49"/>
      <c r="I1162" s="49"/>
      <c r="J1162" s="49"/>
      <c r="K1162" s="49"/>
      <c r="L1162" s="49"/>
      <c r="M1162" s="49"/>
      <c r="N1162" s="49"/>
      <c r="O1162" s="49"/>
      <c r="P1162" s="49"/>
      <c r="Q1162" s="49"/>
      <c r="R1162" s="49"/>
      <c r="S1162" s="49"/>
      <c r="T1162" s="49"/>
      <c r="U1162" s="49"/>
      <c r="V1162" s="49"/>
      <c r="W1162" s="49"/>
      <c r="X1162" s="49"/>
      <c r="Y1162" s="49"/>
      <c r="Z1162" s="49"/>
      <c r="AA1162" s="49"/>
      <c r="AB1162" s="49"/>
      <c r="AC1162" s="49"/>
      <c r="AD1162" s="49"/>
    </row>
    <row r="1163" spans="1:30" ht="13">
      <c r="A1163" s="141"/>
      <c r="B1163" s="141"/>
      <c r="C1163" s="141"/>
      <c r="D1163" s="49"/>
      <c r="E1163" s="49"/>
      <c r="F1163" s="49"/>
      <c r="G1163" s="49"/>
      <c r="H1163" s="49"/>
      <c r="I1163" s="49"/>
      <c r="J1163" s="49"/>
      <c r="K1163" s="49"/>
      <c r="L1163" s="49"/>
      <c r="M1163" s="49"/>
      <c r="N1163" s="49"/>
      <c r="O1163" s="49"/>
      <c r="P1163" s="49"/>
      <c r="Q1163" s="49"/>
      <c r="R1163" s="49"/>
      <c r="S1163" s="49"/>
      <c r="T1163" s="49"/>
      <c r="U1163" s="49"/>
      <c r="V1163" s="49"/>
      <c r="W1163" s="49"/>
      <c r="X1163" s="49"/>
      <c r="Y1163" s="49"/>
      <c r="Z1163" s="49"/>
      <c r="AA1163" s="49"/>
      <c r="AB1163" s="49"/>
      <c r="AC1163" s="49"/>
      <c r="AD1163" s="49"/>
    </row>
    <row r="1164" spans="1:30" ht="13">
      <c r="A1164" s="141"/>
      <c r="B1164" s="141"/>
      <c r="C1164" s="141"/>
      <c r="D1164" s="49"/>
      <c r="E1164" s="49"/>
      <c r="F1164" s="49"/>
      <c r="G1164" s="49"/>
      <c r="H1164" s="49"/>
      <c r="I1164" s="49"/>
      <c r="J1164" s="49"/>
      <c r="K1164" s="49"/>
      <c r="L1164" s="49"/>
      <c r="M1164" s="49"/>
      <c r="N1164" s="49"/>
      <c r="O1164" s="49"/>
      <c r="P1164" s="49"/>
      <c r="Q1164" s="49"/>
      <c r="R1164" s="49"/>
      <c r="S1164" s="49"/>
      <c r="T1164" s="49"/>
      <c r="U1164" s="49"/>
      <c r="V1164" s="49"/>
      <c r="W1164" s="49"/>
      <c r="X1164" s="49"/>
      <c r="Y1164" s="49"/>
      <c r="Z1164" s="49"/>
      <c r="AA1164" s="49"/>
      <c r="AB1164" s="49"/>
      <c r="AC1164" s="49"/>
      <c r="AD1164" s="49"/>
    </row>
    <row r="1165" spans="1:30" ht="13">
      <c r="A1165" s="141"/>
      <c r="B1165" s="141"/>
      <c r="C1165" s="141"/>
      <c r="D1165" s="49"/>
      <c r="E1165" s="49"/>
      <c r="F1165" s="49"/>
      <c r="G1165" s="49"/>
      <c r="H1165" s="49"/>
      <c r="I1165" s="49"/>
      <c r="J1165" s="49"/>
      <c r="K1165" s="49"/>
      <c r="L1165" s="49"/>
      <c r="M1165" s="49"/>
      <c r="N1165" s="49"/>
      <c r="O1165" s="49"/>
      <c r="P1165" s="49"/>
      <c r="Q1165" s="49"/>
      <c r="R1165" s="49"/>
      <c r="S1165" s="49"/>
      <c r="T1165" s="49"/>
      <c r="U1165" s="49"/>
      <c r="V1165" s="49"/>
      <c r="W1165" s="49"/>
      <c r="X1165" s="49"/>
      <c r="Y1165" s="49"/>
      <c r="Z1165" s="49"/>
      <c r="AA1165" s="49"/>
      <c r="AB1165" s="49"/>
      <c r="AC1165" s="49"/>
      <c r="AD1165" s="49"/>
    </row>
    <row r="1166" spans="1:30" ht="13">
      <c r="A1166" s="141"/>
      <c r="B1166" s="141"/>
      <c r="C1166" s="141"/>
      <c r="D1166" s="49"/>
      <c r="E1166" s="49"/>
      <c r="F1166" s="49"/>
      <c r="G1166" s="49"/>
      <c r="H1166" s="49"/>
      <c r="I1166" s="49"/>
      <c r="J1166" s="49"/>
      <c r="K1166" s="49"/>
      <c r="L1166" s="49"/>
      <c r="M1166" s="49"/>
      <c r="N1166" s="49"/>
      <c r="O1166" s="49"/>
      <c r="P1166" s="49"/>
      <c r="Q1166" s="49"/>
      <c r="R1166" s="49"/>
      <c r="S1166" s="49"/>
      <c r="T1166" s="49"/>
      <c r="U1166" s="49"/>
      <c r="V1166" s="49"/>
      <c r="W1166" s="49"/>
      <c r="X1166" s="49"/>
      <c r="Y1166" s="49"/>
      <c r="Z1166" s="49"/>
      <c r="AA1166" s="49"/>
      <c r="AB1166" s="49"/>
      <c r="AC1166" s="49"/>
      <c r="AD1166" s="49"/>
    </row>
    <row r="1167" spans="1:30" ht="13">
      <c r="A1167" s="141"/>
      <c r="B1167" s="141"/>
      <c r="C1167" s="141"/>
      <c r="D1167" s="49"/>
      <c r="E1167" s="49"/>
      <c r="F1167" s="49"/>
      <c r="G1167" s="49"/>
      <c r="H1167" s="49"/>
      <c r="I1167" s="49"/>
      <c r="J1167" s="49"/>
      <c r="K1167" s="49"/>
      <c r="L1167" s="49"/>
      <c r="M1167" s="49"/>
      <c r="N1167" s="49"/>
      <c r="O1167" s="49"/>
      <c r="P1167" s="49"/>
      <c r="Q1167" s="49"/>
      <c r="R1167" s="49"/>
      <c r="S1167" s="49"/>
      <c r="T1167" s="49"/>
      <c r="U1167" s="49"/>
      <c r="V1167" s="49"/>
      <c r="W1167" s="49"/>
      <c r="X1167" s="49"/>
      <c r="Y1167" s="49"/>
      <c r="Z1167" s="49"/>
      <c r="AA1167" s="49"/>
      <c r="AB1167" s="49"/>
      <c r="AC1167" s="49"/>
      <c r="AD1167" s="49"/>
    </row>
    <row r="1168" spans="1:30" ht="13">
      <c r="A1168" s="141"/>
      <c r="B1168" s="141"/>
      <c r="C1168" s="141"/>
      <c r="D1168" s="49"/>
      <c r="E1168" s="49"/>
      <c r="F1168" s="49"/>
      <c r="G1168" s="49"/>
      <c r="H1168" s="49"/>
      <c r="I1168" s="49"/>
      <c r="J1168" s="49"/>
      <c r="K1168" s="49"/>
      <c r="L1168" s="49"/>
      <c r="M1168" s="49"/>
      <c r="N1168" s="49"/>
      <c r="O1168" s="49"/>
      <c r="P1168" s="49"/>
      <c r="Q1168" s="49"/>
      <c r="R1168" s="49"/>
      <c r="S1168" s="49"/>
      <c r="T1168" s="49"/>
      <c r="U1168" s="49"/>
      <c r="V1168" s="49"/>
      <c r="W1168" s="49"/>
      <c r="X1168" s="49"/>
      <c r="Y1168" s="49"/>
      <c r="Z1168" s="49"/>
      <c r="AA1168" s="49"/>
      <c r="AB1168" s="49"/>
      <c r="AC1168" s="49"/>
      <c r="AD1168" s="49"/>
    </row>
    <row r="1169" spans="1:30" ht="13">
      <c r="A1169" s="141"/>
      <c r="B1169" s="141"/>
      <c r="C1169" s="141"/>
      <c r="D1169" s="49"/>
      <c r="E1169" s="49"/>
      <c r="F1169" s="49"/>
      <c r="G1169" s="49"/>
      <c r="H1169" s="49"/>
      <c r="I1169" s="49"/>
      <c r="J1169" s="49"/>
      <c r="K1169" s="49"/>
      <c r="L1169" s="49"/>
      <c r="M1169" s="49"/>
      <c r="N1169" s="49"/>
      <c r="O1169" s="49"/>
      <c r="P1169" s="49"/>
      <c r="Q1169" s="49"/>
      <c r="R1169" s="49"/>
      <c r="S1169" s="49"/>
      <c r="T1169" s="49"/>
      <c r="U1169" s="49"/>
      <c r="V1169" s="49"/>
      <c r="W1169" s="49"/>
      <c r="X1169" s="49"/>
      <c r="Y1169" s="49"/>
      <c r="Z1169" s="49"/>
      <c r="AA1169" s="49"/>
      <c r="AB1169" s="49"/>
      <c r="AC1169" s="49"/>
      <c r="AD1169" s="49"/>
    </row>
    <row r="1170" spans="1:30" ht="13">
      <c r="A1170" s="141"/>
      <c r="B1170" s="141"/>
      <c r="C1170" s="141"/>
      <c r="D1170" s="49"/>
      <c r="E1170" s="49"/>
      <c r="F1170" s="49"/>
      <c r="G1170" s="49"/>
      <c r="H1170" s="49"/>
      <c r="I1170" s="49"/>
      <c r="J1170" s="49"/>
      <c r="K1170" s="49"/>
      <c r="L1170" s="49"/>
      <c r="M1170" s="49"/>
      <c r="N1170" s="49"/>
      <c r="O1170" s="49"/>
      <c r="P1170" s="49"/>
      <c r="Q1170" s="49"/>
      <c r="R1170" s="49"/>
      <c r="S1170" s="49"/>
      <c r="T1170" s="49"/>
      <c r="U1170" s="49"/>
      <c r="V1170" s="49"/>
      <c r="W1170" s="49"/>
      <c r="X1170" s="49"/>
      <c r="Y1170" s="49"/>
      <c r="Z1170" s="49"/>
      <c r="AA1170" s="49"/>
      <c r="AB1170" s="49"/>
      <c r="AC1170" s="49"/>
      <c r="AD1170" s="49"/>
    </row>
    <row r="1171" spans="1:30" ht="13">
      <c r="A1171" s="141"/>
      <c r="B1171" s="141"/>
      <c r="C1171" s="141"/>
      <c r="D1171" s="49"/>
      <c r="E1171" s="49"/>
      <c r="F1171" s="49"/>
      <c r="G1171" s="49"/>
      <c r="H1171" s="49"/>
      <c r="I1171" s="49"/>
      <c r="J1171" s="49"/>
      <c r="K1171" s="49"/>
      <c r="L1171" s="49"/>
      <c r="M1171" s="49"/>
      <c r="N1171" s="49"/>
      <c r="O1171" s="49"/>
      <c r="P1171" s="49"/>
      <c r="Q1171" s="49"/>
      <c r="R1171" s="49"/>
      <c r="S1171" s="49"/>
      <c r="T1171" s="49"/>
      <c r="U1171" s="49"/>
      <c r="V1171" s="49"/>
      <c r="W1171" s="49"/>
      <c r="X1171" s="49"/>
      <c r="Y1171" s="49"/>
      <c r="Z1171" s="49"/>
      <c r="AA1171" s="49"/>
      <c r="AB1171" s="49"/>
      <c r="AC1171" s="49"/>
      <c r="AD1171" s="49"/>
    </row>
    <row r="1172" spans="1:30" ht="13">
      <c r="A1172" s="141"/>
      <c r="B1172" s="141"/>
      <c r="C1172" s="141"/>
      <c r="D1172" s="49"/>
      <c r="E1172" s="49"/>
      <c r="F1172" s="49"/>
      <c r="G1172" s="49"/>
      <c r="H1172" s="49"/>
      <c r="I1172" s="49"/>
      <c r="J1172" s="49"/>
      <c r="K1172" s="49"/>
      <c r="L1172" s="49"/>
      <c r="M1172" s="49"/>
      <c r="N1172" s="49"/>
      <c r="O1172" s="49"/>
      <c r="P1172" s="49"/>
      <c r="Q1172" s="49"/>
      <c r="R1172" s="49"/>
      <c r="S1172" s="49"/>
      <c r="T1172" s="49"/>
      <c r="U1172" s="49"/>
      <c r="V1172" s="49"/>
      <c r="W1172" s="49"/>
      <c r="X1172" s="49"/>
      <c r="Y1172" s="49"/>
      <c r="Z1172" s="49"/>
      <c r="AA1172" s="49"/>
      <c r="AB1172" s="49"/>
      <c r="AC1172" s="49"/>
      <c r="AD1172" s="49"/>
    </row>
    <row r="1173" spans="1:30" ht="13">
      <c r="A1173" s="141"/>
      <c r="B1173" s="141"/>
      <c r="C1173" s="141"/>
      <c r="D1173" s="49"/>
      <c r="E1173" s="49"/>
      <c r="F1173" s="49"/>
      <c r="G1173" s="49"/>
      <c r="H1173" s="49"/>
      <c r="I1173" s="49"/>
      <c r="J1173" s="49"/>
      <c r="K1173" s="49"/>
      <c r="L1173" s="49"/>
      <c r="M1173" s="49"/>
      <c r="N1173" s="49"/>
      <c r="O1173" s="49"/>
      <c r="P1173" s="49"/>
      <c r="Q1173" s="49"/>
      <c r="R1173" s="49"/>
      <c r="S1173" s="49"/>
      <c r="T1173" s="49"/>
      <c r="U1173" s="49"/>
      <c r="V1173" s="49"/>
      <c r="W1173" s="49"/>
      <c r="X1173" s="49"/>
      <c r="Y1173" s="49"/>
      <c r="Z1173" s="49"/>
      <c r="AA1173" s="49"/>
      <c r="AB1173" s="49"/>
      <c r="AC1173" s="49"/>
      <c r="AD1173" s="49"/>
    </row>
    <row r="1174" spans="1:30" ht="13">
      <c r="A1174" s="141"/>
      <c r="B1174" s="141"/>
      <c r="C1174" s="141"/>
      <c r="D1174" s="49"/>
      <c r="E1174" s="49"/>
      <c r="F1174" s="49"/>
      <c r="G1174" s="49"/>
      <c r="H1174" s="49"/>
      <c r="I1174" s="49"/>
      <c r="J1174" s="49"/>
      <c r="K1174" s="49"/>
      <c r="L1174" s="49"/>
      <c r="M1174" s="49"/>
      <c r="N1174" s="49"/>
      <c r="O1174" s="49"/>
      <c r="P1174" s="49"/>
      <c r="Q1174" s="49"/>
      <c r="R1174" s="49"/>
      <c r="S1174" s="49"/>
      <c r="T1174" s="49"/>
      <c r="U1174" s="49"/>
      <c r="V1174" s="49"/>
      <c r="W1174" s="49"/>
      <c r="X1174" s="49"/>
      <c r="Y1174" s="49"/>
      <c r="Z1174" s="49"/>
      <c r="AA1174" s="49"/>
      <c r="AB1174" s="49"/>
      <c r="AC1174" s="49"/>
      <c r="AD1174" s="49"/>
    </row>
    <row r="1175" spans="1:30" ht="13">
      <c r="A1175" s="141"/>
      <c r="B1175" s="141"/>
      <c r="C1175" s="141"/>
      <c r="D1175" s="49"/>
      <c r="E1175" s="49"/>
      <c r="F1175" s="49"/>
      <c r="G1175" s="49"/>
      <c r="H1175" s="49"/>
      <c r="I1175" s="49"/>
      <c r="J1175" s="49"/>
      <c r="K1175" s="49"/>
      <c r="L1175" s="49"/>
      <c r="M1175" s="49"/>
      <c r="N1175" s="49"/>
      <c r="O1175" s="49"/>
      <c r="P1175" s="49"/>
      <c r="Q1175" s="49"/>
      <c r="R1175" s="49"/>
      <c r="S1175" s="49"/>
      <c r="T1175" s="49"/>
      <c r="U1175" s="49"/>
      <c r="V1175" s="49"/>
      <c r="W1175" s="49"/>
      <c r="X1175" s="49"/>
      <c r="Y1175" s="49"/>
      <c r="Z1175" s="49"/>
      <c r="AA1175" s="49"/>
      <c r="AB1175" s="49"/>
      <c r="AC1175" s="49"/>
      <c r="AD1175" s="49"/>
    </row>
    <row r="1176" spans="1:30" ht="13">
      <c r="A1176" s="141"/>
      <c r="B1176" s="141"/>
      <c r="C1176" s="141"/>
      <c r="D1176" s="49"/>
      <c r="E1176" s="49"/>
      <c r="F1176" s="49"/>
      <c r="G1176" s="49"/>
      <c r="H1176" s="49"/>
      <c r="I1176" s="49"/>
      <c r="J1176" s="49"/>
      <c r="K1176" s="49"/>
      <c r="L1176" s="49"/>
      <c r="M1176" s="49"/>
      <c r="N1176" s="49"/>
      <c r="O1176" s="49"/>
      <c r="P1176" s="49"/>
      <c r="Q1176" s="49"/>
      <c r="R1176" s="49"/>
      <c r="S1176" s="49"/>
      <c r="T1176" s="49"/>
      <c r="U1176" s="49"/>
      <c r="V1176" s="49"/>
      <c r="W1176" s="49"/>
      <c r="X1176" s="49"/>
      <c r="Y1176" s="49"/>
      <c r="Z1176" s="49"/>
      <c r="AA1176" s="49"/>
      <c r="AB1176" s="49"/>
      <c r="AC1176" s="49"/>
      <c r="AD1176" s="49"/>
    </row>
    <row r="1177" spans="1:30" ht="13">
      <c r="A1177" s="141"/>
      <c r="B1177" s="141"/>
      <c r="C1177" s="141"/>
      <c r="D1177" s="49"/>
      <c r="E1177" s="49"/>
      <c r="F1177" s="49"/>
      <c r="G1177" s="49"/>
      <c r="H1177" s="49"/>
      <c r="I1177" s="49"/>
      <c r="J1177" s="49"/>
      <c r="K1177" s="49"/>
      <c r="L1177" s="49"/>
      <c r="M1177" s="49"/>
      <c r="N1177" s="49"/>
      <c r="O1177" s="49"/>
      <c r="P1177" s="49"/>
      <c r="Q1177" s="49"/>
      <c r="R1177" s="49"/>
      <c r="S1177" s="49"/>
      <c r="T1177" s="49"/>
      <c r="U1177" s="49"/>
      <c r="V1177" s="49"/>
      <c r="W1177" s="49"/>
      <c r="X1177" s="49"/>
      <c r="Y1177" s="49"/>
      <c r="Z1177" s="49"/>
      <c r="AA1177" s="49"/>
      <c r="AB1177" s="49"/>
      <c r="AC1177" s="49"/>
      <c r="AD1177" s="49"/>
    </row>
    <row r="1178" spans="1:30" ht="13">
      <c r="A1178" s="141"/>
      <c r="B1178" s="141"/>
      <c r="C1178" s="141"/>
      <c r="D1178" s="49"/>
      <c r="E1178" s="49"/>
      <c r="F1178" s="49"/>
      <c r="G1178" s="49"/>
      <c r="H1178" s="49"/>
      <c r="I1178" s="49"/>
      <c r="J1178" s="49"/>
      <c r="K1178" s="49"/>
      <c r="L1178" s="49"/>
      <c r="M1178" s="49"/>
      <c r="N1178" s="49"/>
      <c r="O1178" s="49"/>
      <c r="P1178" s="49"/>
      <c r="Q1178" s="49"/>
      <c r="R1178" s="49"/>
      <c r="S1178" s="49"/>
      <c r="T1178" s="49"/>
      <c r="U1178" s="49"/>
      <c r="V1178" s="49"/>
      <c r="W1178" s="49"/>
      <c r="X1178" s="49"/>
      <c r="Y1178" s="49"/>
      <c r="Z1178" s="49"/>
      <c r="AA1178" s="49"/>
      <c r="AB1178" s="49"/>
      <c r="AC1178" s="49"/>
      <c r="AD1178" s="49"/>
    </row>
    <row r="1179" spans="1:30" ht="13">
      <c r="A1179" s="141"/>
      <c r="B1179" s="141"/>
      <c r="C1179" s="141"/>
      <c r="D1179" s="49"/>
      <c r="E1179" s="49"/>
      <c r="F1179" s="49"/>
      <c r="G1179" s="49"/>
      <c r="H1179" s="49"/>
      <c r="I1179" s="49"/>
      <c r="J1179" s="49"/>
      <c r="K1179" s="49"/>
      <c r="L1179" s="49"/>
      <c r="M1179" s="49"/>
      <c r="N1179" s="49"/>
      <c r="O1179" s="49"/>
      <c r="P1179" s="49"/>
      <c r="Q1179" s="49"/>
      <c r="R1179" s="49"/>
      <c r="S1179" s="49"/>
      <c r="T1179" s="49"/>
      <c r="U1179" s="49"/>
      <c r="V1179" s="49"/>
      <c r="W1179" s="49"/>
      <c r="X1179" s="49"/>
      <c r="Y1179" s="49"/>
      <c r="Z1179" s="49"/>
      <c r="AA1179" s="49"/>
      <c r="AB1179" s="49"/>
      <c r="AC1179" s="49"/>
      <c r="AD1179" s="49"/>
    </row>
    <row r="1180" spans="1:30" ht="13">
      <c r="A1180" s="141"/>
      <c r="B1180" s="141"/>
      <c r="C1180" s="141"/>
      <c r="D1180" s="49"/>
      <c r="E1180" s="49"/>
      <c r="F1180" s="49"/>
      <c r="G1180" s="49"/>
      <c r="H1180" s="49"/>
      <c r="I1180" s="49"/>
      <c r="J1180" s="49"/>
      <c r="K1180" s="49"/>
      <c r="L1180" s="49"/>
      <c r="M1180" s="49"/>
      <c r="N1180" s="49"/>
      <c r="O1180" s="49"/>
      <c r="P1180" s="49"/>
      <c r="Q1180" s="49"/>
      <c r="R1180" s="49"/>
      <c r="S1180" s="49"/>
      <c r="T1180" s="49"/>
      <c r="U1180" s="49"/>
      <c r="V1180" s="49"/>
      <c r="W1180" s="49"/>
      <c r="X1180" s="49"/>
      <c r="Y1180" s="49"/>
      <c r="Z1180" s="49"/>
      <c r="AA1180" s="49"/>
      <c r="AB1180" s="49"/>
      <c r="AC1180" s="49"/>
      <c r="AD1180" s="49"/>
    </row>
    <row r="1181" spans="1:30" ht="13">
      <c r="A1181" s="141"/>
      <c r="B1181" s="141"/>
      <c r="C1181" s="141"/>
      <c r="D1181" s="49"/>
      <c r="E1181" s="49"/>
      <c r="F1181" s="49"/>
      <c r="G1181" s="49"/>
      <c r="H1181" s="49"/>
      <c r="I1181" s="49"/>
      <c r="J1181" s="49"/>
      <c r="K1181" s="49"/>
      <c r="L1181" s="49"/>
      <c r="M1181" s="49"/>
      <c r="N1181" s="49"/>
      <c r="O1181" s="49"/>
      <c r="P1181" s="49"/>
      <c r="Q1181" s="49"/>
      <c r="R1181" s="49"/>
      <c r="S1181" s="49"/>
      <c r="T1181" s="49"/>
      <c r="U1181" s="49"/>
      <c r="V1181" s="49"/>
      <c r="W1181" s="49"/>
      <c r="X1181" s="49"/>
      <c r="Y1181" s="49"/>
      <c r="Z1181" s="49"/>
      <c r="AA1181" s="49"/>
      <c r="AB1181" s="49"/>
      <c r="AC1181" s="49"/>
      <c r="AD1181" s="49"/>
    </row>
    <row r="1182" spans="1:30" ht="13">
      <c r="A1182" s="141"/>
      <c r="B1182" s="141"/>
      <c r="C1182" s="141"/>
      <c r="D1182" s="49"/>
      <c r="E1182" s="49"/>
      <c r="F1182" s="49"/>
      <c r="G1182" s="49"/>
      <c r="H1182" s="49"/>
      <c r="I1182" s="49"/>
      <c r="J1182" s="49"/>
      <c r="K1182" s="49"/>
      <c r="L1182" s="49"/>
      <c r="M1182" s="49"/>
      <c r="N1182" s="49"/>
      <c r="O1182" s="49"/>
      <c r="P1182" s="49"/>
      <c r="Q1182" s="49"/>
      <c r="R1182" s="49"/>
      <c r="S1182" s="49"/>
      <c r="T1182" s="49"/>
      <c r="U1182" s="49"/>
      <c r="V1182" s="49"/>
      <c r="W1182" s="49"/>
      <c r="X1182" s="49"/>
      <c r="Y1182" s="49"/>
      <c r="Z1182" s="49"/>
      <c r="AA1182" s="49"/>
      <c r="AB1182" s="49"/>
      <c r="AC1182" s="49"/>
      <c r="AD1182" s="49"/>
    </row>
    <row r="1183" spans="1:30" ht="13">
      <c r="A1183" s="141"/>
      <c r="B1183" s="141"/>
      <c r="C1183" s="141"/>
      <c r="D1183" s="49"/>
      <c r="E1183" s="49"/>
      <c r="F1183" s="49"/>
      <c r="G1183" s="49"/>
      <c r="H1183" s="49"/>
      <c r="I1183" s="49"/>
      <c r="J1183" s="49"/>
      <c r="K1183" s="49"/>
      <c r="L1183" s="49"/>
      <c r="M1183" s="49"/>
      <c r="N1183" s="49"/>
      <c r="O1183" s="49"/>
      <c r="P1183" s="49"/>
      <c r="Q1183" s="49"/>
      <c r="R1183" s="49"/>
      <c r="S1183" s="49"/>
      <c r="T1183" s="49"/>
      <c r="U1183" s="49"/>
      <c r="V1183" s="49"/>
      <c r="W1183" s="49"/>
      <c r="X1183" s="49"/>
      <c r="Y1183" s="49"/>
      <c r="Z1183" s="49"/>
      <c r="AA1183" s="49"/>
      <c r="AB1183" s="49"/>
      <c r="AC1183" s="49"/>
      <c r="AD1183" s="49"/>
    </row>
    <row r="1184" spans="1:30" ht="13">
      <c r="A1184" s="141"/>
      <c r="B1184" s="141"/>
      <c r="C1184" s="141"/>
      <c r="D1184" s="49"/>
      <c r="E1184" s="49"/>
      <c r="F1184" s="49"/>
      <c r="G1184" s="49"/>
      <c r="H1184" s="49"/>
      <c r="I1184" s="49"/>
      <c r="J1184" s="49"/>
      <c r="K1184" s="49"/>
      <c r="L1184" s="49"/>
      <c r="M1184" s="49"/>
      <c r="N1184" s="49"/>
      <c r="O1184" s="49"/>
      <c r="P1184" s="49"/>
      <c r="Q1184" s="49"/>
      <c r="R1184" s="49"/>
      <c r="S1184" s="49"/>
      <c r="T1184" s="49"/>
      <c r="U1184" s="49"/>
      <c r="V1184" s="49"/>
      <c r="W1184" s="49"/>
      <c r="X1184" s="49"/>
      <c r="Y1184" s="49"/>
      <c r="Z1184" s="49"/>
      <c r="AA1184" s="49"/>
      <c r="AB1184" s="49"/>
      <c r="AC1184" s="49"/>
      <c r="AD1184" s="49"/>
    </row>
    <row r="1185" spans="1:30" ht="13">
      <c r="A1185" s="141"/>
      <c r="B1185" s="141"/>
      <c r="C1185" s="141"/>
      <c r="D1185" s="49"/>
      <c r="E1185" s="49"/>
      <c r="F1185" s="49"/>
      <c r="G1185" s="49"/>
      <c r="H1185" s="49"/>
      <c r="I1185" s="49"/>
      <c r="J1185" s="49"/>
      <c r="K1185" s="49"/>
      <c r="L1185" s="49"/>
      <c r="M1185" s="49"/>
      <c r="N1185" s="49"/>
      <c r="O1185" s="49"/>
      <c r="P1185" s="49"/>
      <c r="Q1185" s="49"/>
      <c r="R1185" s="49"/>
      <c r="S1185" s="49"/>
      <c r="T1185" s="49"/>
      <c r="U1185" s="49"/>
      <c r="V1185" s="49"/>
      <c r="W1185" s="49"/>
      <c r="X1185" s="49"/>
      <c r="Y1185" s="49"/>
      <c r="Z1185" s="49"/>
      <c r="AA1185" s="49"/>
      <c r="AB1185" s="49"/>
      <c r="AC1185" s="49"/>
      <c r="AD1185" s="49"/>
    </row>
    <row r="1186" spans="1:30" ht="13">
      <c r="A1186" s="141"/>
      <c r="B1186" s="141"/>
      <c r="C1186" s="141"/>
      <c r="D1186" s="49"/>
      <c r="E1186" s="49"/>
      <c r="F1186" s="49"/>
      <c r="G1186" s="49"/>
      <c r="H1186" s="49"/>
      <c r="I1186" s="49"/>
      <c r="J1186" s="49"/>
      <c r="K1186" s="49"/>
      <c r="L1186" s="49"/>
      <c r="M1186" s="49"/>
      <c r="N1186" s="49"/>
      <c r="O1186" s="49"/>
      <c r="P1186" s="49"/>
      <c r="Q1186" s="49"/>
      <c r="R1186" s="49"/>
      <c r="S1186" s="49"/>
      <c r="T1186" s="49"/>
      <c r="U1186" s="49"/>
      <c r="V1186" s="49"/>
      <c r="W1186" s="49"/>
      <c r="X1186" s="49"/>
      <c r="Y1186" s="49"/>
      <c r="Z1186" s="49"/>
      <c r="AA1186" s="49"/>
      <c r="AB1186" s="49"/>
      <c r="AC1186" s="49"/>
      <c r="AD1186" s="49"/>
    </row>
    <row r="1187" spans="1:30" ht="13">
      <c r="A1187" s="141"/>
      <c r="B1187" s="141"/>
      <c r="C1187" s="141"/>
      <c r="D1187" s="49"/>
      <c r="E1187" s="49"/>
      <c r="F1187" s="49"/>
      <c r="G1187" s="49"/>
      <c r="H1187" s="49"/>
      <c r="I1187" s="49"/>
      <c r="J1187" s="49"/>
      <c r="K1187" s="49"/>
      <c r="L1187" s="49"/>
      <c r="M1187" s="49"/>
      <c r="N1187" s="49"/>
      <c r="O1187" s="49"/>
      <c r="P1187" s="49"/>
      <c r="Q1187" s="49"/>
      <c r="R1187" s="49"/>
      <c r="S1187" s="49"/>
      <c r="T1187" s="49"/>
      <c r="U1187" s="49"/>
      <c r="V1187" s="49"/>
      <c r="W1187" s="49"/>
      <c r="X1187" s="49"/>
      <c r="Y1187" s="49"/>
      <c r="Z1187" s="49"/>
      <c r="AA1187" s="49"/>
      <c r="AB1187" s="49"/>
      <c r="AC1187" s="49"/>
      <c r="AD1187" s="49"/>
    </row>
    <row r="1188" spans="1:30" ht="13">
      <c r="A1188" s="141"/>
      <c r="B1188" s="141"/>
      <c r="C1188" s="141"/>
      <c r="D1188" s="49"/>
      <c r="E1188" s="49"/>
      <c r="F1188" s="49"/>
      <c r="G1188" s="49"/>
      <c r="H1188" s="49"/>
      <c r="I1188" s="49"/>
      <c r="J1188" s="49"/>
      <c r="K1188" s="49"/>
      <c r="L1188" s="49"/>
      <c r="M1188" s="49"/>
      <c r="N1188" s="49"/>
      <c r="O1188" s="49"/>
      <c r="P1188" s="49"/>
      <c r="Q1188" s="49"/>
      <c r="R1188" s="49"/>
      <c r="S1188" s="49"/>
      <c r="T1188" s="49"/>
      <c r="U1188" s="49"/>
      <c r="V1188" s="49"/>
      <c r="W1188" s="49"/>
      <c r="X1188" s="49"/>
      <c r="Y1188" s="49"/>
      <c r="Z1188" s="49"/>
      <c r="AA1188" s="49"/>
      <c r="AB1188" s="49"/>
      <c r="AC1188" s="49"/>
      <c r="AD1188" s="49"/>
    </row>
    <row r="1189" spans="1:30" ht="13">
      <c r="A1189" s="141"/>
      <c r="B1189" s="141"/>
      <c r="C1189" s="141"/>
      <c r="D1189" s="49"/>
      <c r="E1189" s="49"/>
      <c r="F1189" s="49"/>
      <c r="G1189" s="49"/>
      <c r="H1189" s="49"/>
      <c r="I1189" s="49"/>
      <c r="J1189" s="49"/>
      <c r="K1189" s="49"/>
      <c r="L1189" s="49"/>
      <c r="M1189" s="49"/>
      <c r="N1189" s="49"/>
      <c r="O1189" s="49"/>
      <c r="P1189" s="49"/>
      <c r="Q1189" s="49"/>
      <c r="R1189" s="49"/>
      <c r="S1189" s="49"/>
      <c r="T1189" s="49"/>
      <c r="U1189" s="49"/>
      <c r="V1189" s="49"/>
      <c r="W1189" s="49"/>
      <c r="X1189" s="49"/>
      <c r="Y1189" s="49"/>
      <c r="Z1189" s="49"/>
      <c r="AA1189" s="49"/>
      <c r="AB1189" s="49"/>
      <c r="AC1189" s="49"/>
      <c r="AD1189" s="49"/>
    </row>
    <row r="1190" spans="1:30" ht="13">
      <c r="A1190" s="141"/>
      <c r="B1190" s="141"/>
      <c r="C1190" s="141"/>
      <c r="D1190" s="49"/>
      <c r="E1190" s="49"/>
      <c r="F1190" s="49"/>
      <c r="G1190" s="49"/>
      <c r="H1190" s="49"/>
      <c r="I1190" s="49"/>
      <c r="J1190" s="49"/>
      <c r="K1190" s="49"/>
      <c r="L1190" s="49"/>
      <c r="M1190" s="49"/>
      <c r="N1190" s="49"/>
      <c r="O1190" s="49"/>
      <c r="P1190" s="49"/>
      <c r="Q1190" s="49"/>
      <c r="R1190" s="49"/>
      <c r="S1190" s="49"/>
      <c r="T1190" s="49"/>
      <c r="U1190" s="49"/>
      <c r="V1190" s="49"/>
      <c r="W1190" s="49"/>
      <c r="X1190" s="49"/>
      <c r="Y1190" s="49"/>
      <c r="Z1190" s="49"/>
      <c r="AA1190" s="49"/>
      <c r="AB1190" s="49"/>
      <c r="AC1190" s="49"/>
      <c r="AD1190" s="49"/>
    </row>
    <row r="1191" spans="1:30" ht="13">
      <c r="A1191" s="141"/>
      <c r="B1191" s="141"/>
      <c r="C1191" s="141"/>
      <c r="D1191" s="49"/>
      <c r="E1191" s="49"/>
      <c r="F1191" s="49"/>
      <c r="G1191" s="49"/>
      <c r="H1191" s="49"/>
      <c r="I1191" s="49"/>
      <c r="J1191" s="49"/>
      <c r="K1191" s="49"/>
      <c r="L1191" s="49"/>
      <c r="M1191" s="49"/>
      <c r="N1191" s="49"/>
      <c r="O1191" s="49"/>
      <c r="P1191" s="49"/>
      <c r="Q1191" s="49"/>
      <c r="R1191" s="49"/>
      <c r="S1191" s="49"/>
      <c r="T1191" s="49"/>
      <c r="U1191" s="49"/>
      <c r="V1191" s="49"/>
      <c r="W1191" s="49"/>
      <c r="X1191" s="49"/>
      <c r="Y1191" s="49"/>
      <c r="Z1191" s="49"/>
      <c r="AA1191" s="49"/>
      <c r="AB1191" s="49"/>
      <c r="AC1191" s="49"/>
      <c r="AD1191" s="49"/>
    </row>
    <row r="1192" spans="1:30" ht="13">
      <c r="A1192" s="141"/>
      <c r="B1192" s="141"/>
      <c r="C1192" s="141"/>
      <c r="D1192" s="49"/>
      <c r="E1192" s="49"/>
      <c r="F1192" s="49"/>
      <c r="G1192" s="49"/>
      <c r="H1192" s="49"/>
      <c r="I1192" s="49"/>
      <c r="J1192" s="49"/>
      <c r="K1192" s="49"/>
      <c r="L1192" s="49"/>
      <c r="M1192" s="49"/>
      <c r="N1192" s="49"/>
      <c r="O1192" s="49"/>
      <c r="P1192" s="49"/>
      <c r="Q1192" s="49"/>
      <c r="R1192" s="49"/>
      <c r="S1192" s="49"/>
      <c r="T1192" s="49"/>
      <c r="U1192" s="49"/>
      <c r="V1192" s="49"/>
      <c r="W1192" s="49"/>
      <c r="X1192" s="49"/>
      <c r="Y1192" s="49"/>
      <c r="Z1192" s="49"/>
      <c r="AA1192" s="49"/>
      <c r="AB1192" s="49"/>
      <c r="AC1192" s="49"/>
      <c r="AD1192" s="49"/>
    </row>
    <row r="1193" spans="1:30" ht="13">
      <c r="A1193" s="141"/>
      <c r="B1193" s="141"/>
      <c r="C1193" s="141"/>
      <c r="D1193" s="49"/>
      <c r="E1193" s="49"/>
      <c r="F1193" s="49"/>
      <c r="G1193" s="49"/>
      <c r="H1193" s="49"/>
      <c r="I1193" s="49"/>
      <c r="J1193" s="49"/>
      <c r="K1193" s="49"/>
      <c r="L1193" s="49"/>
      <c r="M1193" s="49"/>
      <c r="N1193" s="49"/>
      <c r="O1193" s="49"/>
      <c r="P1193" s="49"/>
      <c r="Q1193" s="49"/>
      <c r="R1193" s="49"/>
      <c r="S1193" s="49"/>
      <c r="T1193" s="49"/>
      <c r="U1193" s="49"/>
      <c r="V1193" s="49"/>
      <c r="W1193" s="49"/>
      <c r="X1193" s="49"/>
      <c r="Y1193" s="49"/>
      <c r="Z1193" s="49"/>
      <c r="AA1193" s="49"/>
      <c r="AB1193" s="49"/>
      <c r="AC1193" s="49"/>
      <c r="AD1193" s="49"/>
    </row>
    <row r="1194" spans="1:30" ht="13">
      <c r="A1194" s="141"/>
      <c r="B1194" s="141"/>
      <c r="C1194" s="141"/>
      <c r="D1194" s="49"/>
      <c r="E1194" s="49"/>
      <c r="F1194" s="49"/>
      <c r="G1194" s="49"/>
      <c r="H1194" s="49"/>
      <c r="I1194" s="49"/>
      <c r="J1194" s="49"/>
      <c r="K1194" s="49"/>
      <c r="L1194" s="49"/>
      <c r="M1194" s="49"/>
      <c r="N1194" s="49"/>
      <c r="O1194" s="49"/>
      <c r="P1194" s="49"/>
      <c r="Q1194" s="49"/>
      <c r="R1194" s="49"/>
      <c r="S1194" s="49"/>
      <c r="T1194" s="49"/>
      <c r="U1194" s="49"/>
      <c r="V1194" s="49"/>
      <c r="W1194" s="49"/>
      <c r="X1194" s="49"/>
      <c r="Y1194" s="49"/>
      <c r="Z1194" s="49"/>
      <c r="AA1194" s="49"/>
      <c r="AB1194" s="49"/>
      <c r="AC1194" s="49"/>
      <c r="AD1194" s="49"/>
    </row>
    <row r="1195" spans="1:30" ht="13">
      <c r="A1195" s="141"/>
      <c r="B1195" s="141"/>
      <c r="C1195" s="141"/>
      <c r="D1195" s="49"/>
      <c r="E1195" s="49"/>
      <c r="F1195" s="49"/>
      <c r="G1195" s="49"/>
      <c r="H1195" s="49"/>
      <c r="I1195" s="49"/>
      <c r="J1195" s="49"/>
      <c r="K1195" s="49"/>
      <c r="L1195" s="49"/>
      <c r="M1195" s="49"/>
      <c r="N1195" s="49"/>
      <c r="O1195" s="49"/>
      <c r="P1195" s="49"/>
      <c r="Q1195" s="49"/>
      <c r="R1195" s="49"/>
      <c r="S1195" s="49"/>
      <c r="T1195" s="49"/>
      <c r="U1195" s="49"/>
      <c r="V1195" s="49"/>
      <c r="W1195" s="49"/>
      <c r="X1195" s="49"/>
      <c r="Y1195" s="49"/>
      <c r="Z1195" s="49"/>
      <c r="AA1195" s="49"/>
      <c r="AB1195" s="49"/>
      <c r="AC1195" s="49"/>
      <c r="AD1195" s="49"/>
    </row>
    <row r="1196" spans="1:30" ht="13">
      <c r="A1196" s="141"/>
      <c r="B1196" s="141"/>
      <c r="C1196" s="141"/>
      <c r="D1196" s="49"/>
      <c r="E1196" s="49"/>
      <c r="F1196" s="49"/>
      <c r="G1196" s="49"/>
      <c r="H1196" s="49"/>
      <c r="I1196" s="49"/>
      <c r="J1196" s="49"/>
      <c r="K1196" s="49"/>
      <c r="L1196" s="49"/>
      <c r="M1196" s="49"/>
      <c r="N1196" s="49"/>
      <c r="O1196" s="49"/>
      <c r="P1196" s="49"/>
      <c r="Q1196" s="49"/>
      <c r="R1196" s="49"/>
      <c r="S1196" s="49"/>
      <c r="T1196" s="49"/>
      <c r="U1196" s="49"/>
      <c r="V1196" s="49"/>
      <c r="W1196" s="49"/>
      <c r="X1196" s="49"/>
      <c r="Y1196" s="49"/>
      <c r="Z1196" s="49"/>
      <c r="AA1196" s="49"/>
      <c r="AB1196" s="49"/>
      <c r="AC1196" s="49"/>
      <c r="AD1196" s="49"/>
    </row>
    <row r="1197" spans="1:30" ht="13">
      <c r="A1197" s="141"/>
      <c r="B1197" s="141"/>
      <c r="C1197" s="141"/>
      <c r="D1197" s="49"/>
      <c r="E1197" s="49"/>
      <c r="F1197" s="49"/>
      <c r="G1197" s="49"/>
      <c r="H1197" s="49"/>
      <c r="I1197" s="49"/>
      <c r="J1197" s="49"/>
      <c r="K1197" s="49"/>
      <c r="L1197" s="49"/>
      <c r="M1197" s="49"/>
      <c r="N1197" s="49"/>
      <c r="O1197" s="49"/>
      <c r="P1197" s="49"/>
      <c r="Q1197" s="49"/>
      <c r="R1197" s="49"/>
      <c r="S1197" s="49"/>
      <c r="T1197" s="49"/>
      <c r="U1197" s="49"/>
      <c r="V1197" s="49"/>
      <c r="W1197" s="49"/>
      <c r="X1197" s="49"/>
      <c r="Y1197" s="49"/>
      <c r="Z1197" s="49"/>
      <c r="AA1197" s="49"/>
      <c r="AB1197" s="49"/>
      <c r="AC1197" s="49"/>
      <c r="AD1197" s="49"/>
    </row>
    <row r="1198" spans="1:30" ht="13">
      <c r="A1198" s="141"/>
      <c r="B1198" s="141"/>
      <c r="C1198" s="141"/>
      <c r="D1198" s="49"/>
      <c r="E1198" s="49"/>
      <c r="F1198" s="49"/>
      <c r="G1198" s="49"/>
      <c r="H1198" s="49"/>
      <c r="I1198" s="49"/>
      <c r="J1198" s="49"/>
      <c r="K1198" s="49"/>
      <c r="L1198" s="49"/>
      <c r="M1198" s="49"/>
      <c r="N1198" s="49"/>
      <c r="O1198" s="49"/>
      <c r="P1198" s="49"/>
      <c r="Q1198" s="49"/>
      <c r="R1198" s="49"/>
      <c r="S1198" s="49"/>
      <c r="T1198" s="49"/>
      <c r="U1198" s="49"/>
      <c r="V1198" s="49"/>
      <c r="W1198" s="49"/>
      <c r="X1198" s="49"/>
      <c r="Y1198" s="49"/>
      <c r="Z1198" s="49"/>
      <c r="AA1198" s="49"/>
      <c r="AB1198" s="49"/>
      <c r="AC1198" s="49"/>
      <c r="AD1198" s="49"/>
    </row>
    <row r="1199" spans="1:30" ht="13">
      <c r="A1199" s="141"/>
      <c r="B1199" s="141"/>
      <c r="C1199" s="141"/>
      <c r="D1199" s="49"/>
      <c r="E1199" s="49"/>
      <c r="F1199" s="49"/>
      <c r="G1199" s="49"/>
      <c r="H1199" s="49"/>
      <c r="I1199" s="49"/>
      <c r="J1199" s="49"/>
      <c r="K1199" s="49"/>
      <c r="L1199" s="49"/>
      <c r="M1199" s="49"/>
      <c r="N1199" s="49"/>
      <c r="O1199" s="49"/>
      <c r="P1199" s="49"/>
      <c r="Q1199" s="49"/>
      <c r="R1199" s="49"/>
      <c r="S1199" s="49"/>
      <c r="T1199" s="49"/>
      <c r="U1199" s="49"/>
      <c r="V1199" s="49"/>
      <c r="W1199" s="49"/>
      <c r="X1199" s="49"/>
      <c r="Y1199" s="49"/>
      <c r="Z1199" s="49"/>
      <c r="AA1199" s="49"/>
      <c r="AB1199" s="49"/>
      <c r="AC1199" s="49"/>
      <c r="AD1199" s="49"/>
    </row>
    <row r="1200" spans="1:30" ht="13">
      <c r="A1200" s="141"/>
      <c r="B1200" s="141"/>
      <c r="C1200" s="141"/>
      <c r="D1200" s="49"/>
      <c r="E1200" s="49"/>
      <c r="F1200" s="49"/>
      <c r="G1200" s="49"/>
      <c r="H1200" s="49"/>
      <c r="I1200" s="49"/>
      <c r="J1200" s="49"/>
      <c r="K1200" s="49"/>
      <c r="L1200" s="49"/>
      <c r="M1200" s="49"/>
      <c r="N1200" s="49"/>
      <c r="O1200" s="49"/>
      <c r="P1200" s="49"/>
      <c r="Q1200" s="49"/>
      <c r="R1200" s="49"/>
      <c r="S1200" s="49"/>
      <c r="T1200" s="49"/>
      <c r="U1200" s="49"/>
      <c r="V1200" s="49"/>
      <c r="W1200" s="49"/>
      <c r="X1200" s="49"/>
      <c r="Y1200" s="49"/>
      <c r="Z1200" s="49"/>
      <c r="AA1200" s="49"/>
      <c r="AB1200" s="49"/>
      <c r="AC1200" s="49"/>
      <c r="AD1200" s="49"/>
    </row>
    <row r="1201" spans="1:30" ht="13">
      <c r="A1201" s="141"/>
      <c r="B1201" s="141"/>
      <c r="C1201" s="141"/>
      <c r="D1201" s="49"/>
      <c r="E1201" s="49"/>
      <c r="F1201" s="49"/>
      <c r="G1201" s="49"/>
      <c r="H1201" s="49"/>
      <c r="I1201" s="49"/>
      <c r="J1201" s="49"/>
      <c r="K1201" s="49"/>
      <c r="L1201" s="49"/>
      <c r="M1201" s="49"/>
      <c r="N1201" s="49"/>
      <c r="O1201" s="49"/>
      <c r="P1201" s="49"/>
      <c r="Q1201" s="49"/>
      <c r="R1201" s="49"/>
      <c r="S1201" s="49"/>
      <c r="T1201" s="49"/>
      <c r="U1201" s="49"/>
      <c r="V1201" s="49"/>
      <c r="W1201" s="49"/>
      <c r="X1201" s="49"/>
      <c r="Y1201" s="49"/>
      <c r="Z1201" s="49"/>
      <c r="AA1201" s="49"/>
      <c r="AB1201" s="49"/>
      <c r="AC1201" s="49"/>
      <c r="AD1201" s="49"/>
    </row>
    <row r="1202" spans="1:30" ht="13">
      <c r="A1202" s="141"/>
      <c r="B1202" s="141"/>
      <c r="C1202" s="141"/>
      <c r="D1202" s="49"/>
      <c r="E1202" s="49"/>
      <c r="F1202" s="49"/>
      <c r="G1202" s="49"/>
      <c r="H1202" s="49"/>
      <c r="I1202" s="49"/>
      <c r="J1202" s="49"/>
      <c r="K1202" s="49"/>
      <c r="L1202" s="49"/>
      <c r="M1202" s="49"/>
      <c r="N1202" s="49"/>
      <c r="O1202" s="49"/>
      <c r="P1202" s="49"/>
      <c r="Q1202" s="49"/>
      <c r="R1202" s="49"/>
      <c r="S1202" s="49"/>
      <c r="T1202" s="49"/>
      <c r="U1202" s="49"/>
      <c r="V1202" s="49"/>
      <c r="W1202" s="49"/>
      <c r="X1202" s="49"/>
      <c r="Y1202" s="49"/>
      <c r="Z1202" s="49"/>
      <c r="AA1202" s="49"/>
      <c r="AB1202" s="49"/>
      <c r="AC1202" s="49"/>
      <c r="AD1202" s="49"/>
    </row>
    <row r="1203" spans="1:30" ht="13">
      <c r="A1203" s="141"/>
      <c r="B1203" s="141"/>
      <c r="C1203" s="141"/>
      <c r="D1203" s="49"/>
      <c r="E1203" s="49"/>
      <c r="F1203" s="49"/>
      <c r="G1203" s="49"/>
      <c r="H1203" s="49"/>
      <c r="I1203" s="49"/>
      <c r="J1203" s="49"/>
      <c r="K1203" s="49"/>
      <c r="L1203" s="49"/>
      <c r="M1203" s="49"/>
      <c r="N1203" s="49"/>
      <c r="O1203" s="49"/>
      <c r="P1203" s="49"/>
      <c r="Q1203" s="49"/>
      <c r="R1203" s="49"/>
      <c r="S1203" s="49"/>
      <c r="T1203" s="49"/>
      <c r="U1203" s="49"/>
      <c r="V1203" s="49"/>
      <c r="W1203" s="49"/>
      <c r="X1203" s="49"/>
      <c r="Y1203" s="49"/>
      <c r="Z1203" s="49"/>
      <c r="AA1203" s="49"/>
      <c r="AB1203" s="49"/>
      <c r="AC1203" s="49"/>
      <c r="AD1203" s="49"/>
    </row>
    <row r="1204" spans="1:30" ht="13">
      <c r="A1204" s="141"/>
      <c r="B1204" s="141"/>
      <c r="C1204" s="141"/>
      <c r="D1204" s="49"/>
      <c r="E1204" s="49"/>
      <c r="F1204" s="49"/>
      <c r="G1204" s="49"/>
      <c r="H1204" s="49"/>
      <c r="I1204" s="49"/>
      <c r="J1204" s="49"/>
      <c r="K1204" s="49"/>
      <c r="L1204" s="49"/>
      <c r="M1204" s="49"/>
      <c r="N1204" s="49"/>
      <c r="O1204" s="49"/>
      <c r="P1204" s="49"/>
      <c r="Q1204" s="49"/>
      <c r="R1204" s="49"/>
      <c r="S1204" s="49"/>
      <c r="T1204" s="49"/>
      <c r="U1204" s="49"/>
      <c r="V1204" s="49"/>
      <c r="W1204" s="49"/>
      <c r="X1204" s="49"/>
      <c r="Y1204" s="49"/>
      <c r="Z1204" s="49"/>
      <c r="AA1204" s="49"/>
      <c r="AB1204" s="49"/>
      <c r="AC1204" s="49"/>
      <c r="AD1204" s="49"/>
    </row>
    <row r="1205" spans="1:30" ht="13">
      <c r="A1205" s="141"/>
      <c r="B1205" s="141"/>
      <c r="C1205" s="141"/>
      <c r="D1205" s="49"/>
      <c r="E1205" s="49"/>
      <c r="F1205" s="49"/>
      <c r="G1205" s="49"/>
      <c r="H1205" s="49"/>
      <c r="I1205" s="49"/>
      <c r="J1205" s="49"/>
      <c r="K1205" s="49"/>
      <c r="L1205" s="49"/>
      <c r="M1205" s="49"/>
      <c r="N1205" s="49"/>
      <c r="O1205" s="49"/>
      <c r="P1205" s="49"/>
      <c r="Q1205" s="49"/>
      <c r="R1205" s="49"/>
      <c r="S1205" s="49"/>
      <c r="T1205" s="49"/>
      <c r="U1205" s="49"/>
      <c r="V1205" s="49"/>
      <c r="W1205" s="49"/>
      <c r="X1205" s="49"/>
      <c r="Y1205" s="49"/>
      <c r="Z1205" s="49"/>
      <c r="AA1205" s="49"/>
      <c r="AB1205" s="49"/>
      <c r="AC1205" s="49"/>
      <c r="AD1205" s="49"/>
    </row>
    <row r="1206" spans="1:30" ht="13">
      <c r="A1206" s="141"/>
      <c r="B1206" s="141"/>
      <c r="C1206" s="141"/>
      <c r="D1206" s="49"/>
      <c r="E1206" s="49"/>
      <c r="F1206" s="49"/>
      <c r="G1206" s="49"/>
      <c r="H1206" s="49"/>
      <c r="I1206" s="49"/>
      <c r="J1206" s="49"/>
      <c r="K1206" s="49"/>
      <c r="L1206" s="49"/>
      <c r="M1206" s="49"/>
      <c r="N1206" s="49"/>
      <c r="O1206" s="49"/>
      <c r="P1206" s="49"/>
      <c r="Q1206" s="49"/>
      <c r="R1206" s="49"/>
      <c r="S1206" s="49"/>
      <c r="T1206" s="49"/>
      <c r="U1206" s="49"/>
      <c r="V1206" s="49"/>
      <c r="W1206" s="49"/>
      <c r="X1206" s="49"/>
      <c r="Y1206" s="49"/>
      <c r="Z1206" s="49"/>
      <c r="AA1206" s="49"/>
      <c r="AB1206" s="49"/>
      <c r="AC1206" s="49"/>
      <c r="AD1206" s="49"/>
    </row>
    <row r="1207" spans="1:30" ht="13">
      <c r="A1207" s="141"/>
      <c r="B1207" s="141"/>
      <c r="C1207" s="141"/>
      <c r="D1207" s="49"/>
      <c r="E1207" s="49"/>
      <c r="F1207" s="49"/>
      <c r="G1207" s="49"/>
      <c r="H1207" s="49"/>
      <c r="I1207" s="49"/>
      <c r="J1207" s="49"/>
      <c r="K1207" s="49"/>
      <c r="L1207" s="49"/>
      <c r="M1207" s="49"/>
      <c r="N1207" s="49"/>
      <c r="O1207" s="49"/>
      <c r="P1207" s="49"/>
      <c r="Q1207" s="49"/>
      <c r="R1207" s="49"/>
      <c r="S1207" s="49"/>
      <c r="T1207" s="49"/>
      <c r="U1207" s="49"/>
      <c r="V1207" s="49"/>
      <c r="W1207" s="49"/>
      <c r="X1207" s="49"/>
      <c r="Y1207" s="49"/>
      <c r="Z1207" s="49"/>
      <c r="AA1207" s="49"/>
      <c r="AB1207" s="49"/>
      <c r="AC1207" s="49"/>
      <c r="AD1207" s="49"/>
    </row>
    <row r="1208" spans="1:30" ht="13">
      <c r="A1208" s="141"/>
      <c r="B1208" s="141"/>
      <c r="C1208" s="141"/>
      <c r="D1208" s="49"/>
      <c r="E1208" s="49"/>
      <c r="F1208" s="49"/>
      <c r="G1208" s="49"/>
      <c r="H1208" s="49"/>
      <c r="I1208" s="49"/>
      <c r="J1208" s="49"/>
      <c r="K1208" s="49"/>
      <c r="L1208" s="49"/>
      <c r="M1208" s="49"/>
      <c r="N1208" s="49"/>
      <c r="O1208" s="49"/>
      <c r="P1208" s="49"/>
      <c r="Q1208" s="49"/>
      <c r="R1208" s="49"/>
      <c r="S1208" s="49"/>
      <c r="T1208" s="49"/>
      <c r="U1208" s="49"/>
      <c r="V1208" s="49"/>
      <c r="W1208" s="49"/>
      <c r="X1208" s="49"/>
      <c r="Y1208" s="49"/>
      <c r="Z1208" s="49"/>
      <c r="AA1208" s="49"/>
      <c r="AB1208" s="49"/>
      <c r="AC1208" s="49"/>
      <c r="AD1208" s="49"/>
    </row>
    <row r="1209" spans="1:30" ht="13">
      <c r="A1209" s="141"/>
      <c r="B1209" s="141"/>
      <c r="C1209" s="141"/>
      <c r="D1209" s="49"/>
      <c r="E1209" s="49"/>
      <c r="F1209" s="49"/>
      <c r="G1209" s="49"/>
      <c r="H1209" s="49"/>
      <c r="I1209" s="49"/>
      <c r="J1209" s="49"/>
      <c r="K1209" s="49"/>
      <c r="L1209" s="49"/>
      <c r="M1209" s="49"/>
      <c r="N1209" s="49"/>
      <c r="O1209" s="49"/>
      <c r="P1209" s="49"/>
      <c r="Q1209" s="49"/>
      <c r="R1209" s="49"/>
      <c r="S1209" s="49"/>
      <c r="T1209" s="49"/>
      <c r="U1209" s="49"/>
      <c r="V1209" s="49"/>
      <c r="W1209" s="49"/>
      <c r="X1209" s="49"/>
      <c r="Y1209" s="49"/>
      <c r="Z1209" s="49"/>
      <c r="AA1209" s="49"/>
      <c r="AB1209" s="49"/>
      <c r="AC1209" s="49"/>
      <c r="AD1209" s="49"/>
    </row>
    <row r="1210" spans="1:30" ht="13">
      <c r="A1210" s="141"/>
      <c r="B1210" s="141"/>
      <c r="C1210" s="141"/>
      <c r="D1210" s="49"/>
      <c r="E1210" s="49"/>
      <c r="F1210" s="49"/>
      <c r="G1210" s="49"/>
      <c r="H1210" s="49"/>
      <c r="I1210" s="49"/>
      <c r="J1210" s="49"/>
      <c r="K1210" s="49"/>
      <c r="L1210" s="49"/>
      <c r="M1210" s="49"/>
      <c r="N1210" s="49"/>
      <c r="O1210" s="49"/>
      <c r="P1210" s="49"/>
      <c r="Q1210" s="49"/>
      <c r="R1210" s="49"/>
      <c r="S1210" s="49"/>
      <c r="T1210" s="49"/>
      <c r="U1210" s="49"/>
      <c r="V1210" s="49"/>
      <c r="W1210" s="49"/>
      <c r="X1210" s="49"/>
      <c r="Y1210" s="49"/>
      <c r="Z1210" s="49"/>
      <c r="AA1210" s="49"/>
      <c r="AB1210" s="49"/>
      <c r="AC1210" s="49"/>
      <c r="AD1210" s="49"/>
    </row>
    <row r="1211" spans="1:30" ht="13">
      <c r="A1211" s="141"/>
      <c r="B1211" s="141"/>
      <c r="C1211" s="141"/>
      <c r="D1211" s="49"/>
      <c r="E1211" s="49"/>
      <c r="F1211" s="49"/>
      <c r="G1211" s="49"/>
      <c r="H1211" s="49"/>
      <c r="I1211" s="49"/>
      <c r="J1211" s="49"/>
      <c r="K1211" s="49"/>
      <c r="L1211" s="49"/>
      <c r="M1211" s="49"/>
      <c r="N1211" s="49"/>
      <c r="O1211" s="49"/>
      <c r="P1211" s="49"/>
      <c r="Q1211" s="49"/>
      <c r="R1211" s="49"/>
      <c r="S1211" s="49"/>
      <c r="T1211" s="49"/>
      <c r="U1211" s="49"/>
      <c r="V1211" s="49"/>
      <c r="W1211" s="49"/>
      <c r="X1211" s="49"/>
      <c r="Y1211" s="49"/>
      <c r="Z1211" s="49"/>
      <c r="AA1211" s="49"/>
      <c r="AB1211" s="49"/>
      <c r="AC1211" s="49"/>
      <c r="AD1211" s="49"/>
    </row>
    <row r="1212" spans="1:30" ht="13">
      <c r="A1212" s="141"/>
      <c r="B1212" s="141"/>
      <c r="C1212" s="141"/>
      <c r="D1212" s="49"/>
      <c r="E1212" s="49"/>
      <c r="F1212" s="49"/>
      <c r="G1212" s="49"/>
      <c r="H1212" s="49"/>
      <c r="I1212" s="49"/>
      <c r="J1212" s="49"/>
      <c r="K1212" s="49"/>
      <c r="L1212" s="49"/>
      <c r="M1212" s="49"/>
      <c r="N1212" s="49"/>
      <c r="O1212" s="49"/>
      <c r="P1212" s="49"/>
      <c r="Q1212" s="49"/>
      <c r="R1212" s="49"/>
      <c r="S1212" s="49"/>
      <c r="T1212" s="49"/>
      <c r="U1212" s="49"/>
      <c r="V1212" s="49"/>
      <c r="W1212" s="49"/>
      <c r="X1212" s="49"/>
      <c r="Y1212" s="49"/>
      <c r="Z1212" s="49"/>
      <c r="AA1212" s="49"/>
      <c r="AB1212" s="49"/>
      <c r="AC1212" s="49"/>
      <c r="AD1212" s="49"/>
    </row>
    <row r="1213" spans="1:30" ht="13">
      <c r="A1213" s="141"/>
      <c r="B1213" s="141"/>
      <c r="C1213" s="141"/>
      <c r="D1213" s="49"/>
      <c r="E1213" s="49"/>
      <c r="F1213" s="49"/>
      <c r="G1213" s="49"/>
      <c r="H1213" s="49"/>
      <c r="I1213" s="49"/>
      <c r="J1213" s="49"/>
      <c r="K1213" s="49"/>
      <c r="L1213" s="49"/>
      <c r="M1213" s="49"/>
      <c r="N1213" s="49"/>
      <c r="O1213" s="49"/>
      <c r="P1213" s="49"/>
      <c r="Q1213" s="49"/>
      <c r="R1213" s="49"/>
      <c r="S1213" s="49"/>
      <c r="T1213" s="49"/>
      <c r="U1213" s="49"/>
      <c r="V1213" s="49"/>
      <c r="W1213" s="49"/>
      <c r="X1213" s="49"/>
      <c r="Y1213" s="49"/>
      <c r="Z1213" s="49"/>
      <c r="AA1213" s="49"/>
      <c r="AB1213" s="49"/>
      <c r="AC1213" s="49"/>
      <c r="AD1213" s="49"/>
    </row>
    <row r="1214" spans="1:30" ht="13">
      <c r="A1214" s="141"/>
      <c r="B1214" s="141"/>
      <c r="C1214" s="141"/>
      <c r="D1214" s="49"/>
      <c r="E1214" s="49"/>
      <c r="F1214" s="49"/>
      <c r="G1214" s="49"/>
      <c r="H1214" s="49"/>
      <c r="I1214" s="49"/>
      <c r="J1214" s="49"/>
      <c r="K1214" s="49"/>
      <c r="L1214" s="49"/>
      <c r="M1214" s="49"/>
      <c r="N1214" s="49"/>
      <c r="O1214" s="49"/>
      <c r="P1214" s="49"/>
      <c r="Q1214" s="49"/>
      <c r="R1214" s="49"/>
      <c r="S1214" s="49"/>
      <c r="T1214" s="49"/>
      <c r="U1214" s="49"/>
      <c r="V1214" s="49"/>
      <c r="W1214" s="49"/>
      <c r="X1214" s="49"/>
      <c r="Y1214" s="49"/>
      <c r="Z1214" s="49"/>
      <c r="AA1214" s="49"/>
      <c r="AB1214" s="49"/>
      <c r="AC1214" s="49"/>
      <c r="AD1214" s="49"/>
    </row>
    <row r="1215" spans="1:30" ht="13">
      <c r="A1215" s="141"/>
      <c r="B1215" s="141"/>
      <c r="C1215" s="141"/>
      <c r="D1215" s="49"/>
      <c r="E1215" s="49"/>
      <c r="F1215" s="49"/>
      <c r="G1215" s="49"/>
      <c r="H1215" s="49"/>
      <c r="I1215" s="49"/>
      <c r="J1215" s="49"/>
      <c r="K1215" s="49"/>
      <c r="L1215" s="49"/>
      <c r="M1215" s="49"/>
      <c r="N1215" s="49"/>
      <c r="O1215" s="49"/>
      <c r="P1215" s="49"/>
      <c r="Q1215" s="49"/>
      <c r="R1215" s="49"/>
      <c r="S1215" s="49"/>
      <c r="T1215" s="49"/>
      <c r="U1215" s="49"/>
      <c r="V1215" s="49"/>
      <c r="W1215" s="49"/>
      <c r="X1215" s="49"/>
      <c r="Y1215" s="49"/>
      <c r="Z1215" s="49"/>
      <c r="AA1215" s="49"/>
      <c r="AB1215" s="49"/>
      <c r="AC1215" s="49"/>
      <c r="AD1215" s="49"/>
    </row>
    <row r="1216" spans="1:30" ht="13">
      <c r="A1216" s="141"/>
      <c r="B1216" s="141"/>
      <c r="C1216" s="141"/>
      <c r="D1216" s="49"/>
      <c r="E1216" s="49"/>
      <c r="F1216" s="49"/>
      <c r="G1216" s="49"/>
      <c r="H1216" s="49"/>
      <c r="I1216" s="49"/>
      <c r="J1216" s="49"/>
      <c r="K1216" s="49"/>
      <c r="L1216" s="49"/>
      <c r="M1216" s="49"/>
      <c r="N1216" s="49"/>
      <c r="O1216" s="49"/>
      <c r="P1216" s="49"/>
      <c r="Q1216" s="49"/>
      <c r="R1216" s="49"/>
      <c r="S1216" s="49"/>
      <c r="T1216" s="49"/>
      <c r="U1216" s="49"/>
      <c r="V1216" s="49"/>
      <c r="W1216" s="49"/>
      <c r="X1216" s="49"/>
      <c r="Y1216" s="49"/>
      <c r="Z1216" s="49"/>
      <c r="AA1216" s="49"/>
      <c r="AB1216" s="49"/>
      <c r="AC1216" s="49"/>
      <c r="AD1216" s="49"/>
    </row>
    <row r="1217" spans="1:30" ht="13">
      <c r="A1217" s="141"/>
      <c r="B1217" s="141"/>
      <c r="C1217" s="141"/>
      <c r="D1217" s="49"/>
      <c r="E1217" s="49"/>
      <c r="F1217" s="49"/>
      <c r="G1217" s="49"/>
      <c r="H1217" s="49"/>
      <c r="I1217" s="49"/>
      <c r="J1217" s="49"/>
      <c r="K1217" s="49"/>
      <c r="L1217" s="49"/>
      <c r="M1217" s="49"/>
      <c r="N1217" s="49"/>
      <c r="O1217" s="49"/>
      <c r="P1217" s="49"/>
      <c r="Q1217" s="49"/>
      <c r="R1217" s="49"/>
      <c r="S1217" s="49"/>
      <c r="T1217" s="49"/>
      <c r="U1217" s="49"/>
      <c r="V1217" s="49"/>
      <c r="W1217" s="49"/>
      <c r="X1217" s="49"/>
      <c r="Y1217" s="49"/>
      <c r="Z1217" s="49"/>
      <c r="AA1217" s="49"/>
      <c r="AB1217" s="49"/>
      <c r="AC1217" s="49"/>
      <c r="AD1217" s="49"/>
    </row>
    <row r="1218" spans="1:30" ht="13">
      <c r="A1218" s="141"/>
      <c r="B1218" s="141"/>
      <c r="C1218" s="141"/>
      <c r="D1218" s="49"/>
      <c r="E1218" s="49"/>
      <c r="F1218" s="49"/>
      <c r="G1218" s="49"/>
      <c r="H1218" s="49"/>
      <c r="I1218" s="49"/>
      <c r="J1218" s="49"/>
      <c r="K1218" s="49"/>
      <c r="L1218" s="49"/>
      <c r="M1218" s="49"/>
      <c r="N1218" s="49"/>
      <c r="O1218" s="49"/>
      <c r="P1218" s="49"/>
      <c r="Q1218" s="49"/>
      <c r="R1218" s="49"/>
      <c r="S1218" s="49"/>
      <c r="T1218" s="49"/>
      <c r="U1218" s="49"/>
      <c r="V1218" s="49"/>
      <c r="W1218" s="49"/>
      <c r="X1218" s="49"/>
      <c r="Y1218" s="49"/>
      <c r="Z1218" s="49"/>
      <c r="AA1218" s="49"/>
      <c r="AB1218" s="49"/>
      <c r="AC1218" s="49"/>
      <c r="AD1218" s="49"/>
    </row>
    <row r="1219" spans="1:30" ht="13">
      <c r="A1219" s="141"/>
      <c r="B1219" s="141"/>
      <c r="C1219" s="141"/>
      <c r="D1219" s="49"/>
      <c r="E1219" s="49"/>
      <c r="F1219" s="49"/>
      <c r="G1219" s="49"/>
      <c r="H1219" s="49"/>
      <c r="I1219" s="49"/>
      <c r="J1219" s="49"/>
      <c r="K1219" s="49"/>
      <c r="L1219" s="49"/>
      <c r="M1219" s="49"/>
      <c r="N1219" s="49"/>
      <c r="O1219" s="49"/>
      <c r="P1219" s="49"/>
      <c r="Q1219" s="49"/>
      <c r="R1219" s="49"/>
      <c r="S1219" s="49"/>
      <c r="T1219" s="49"/>
      <c r="U1219" s="49"/>
      <c r="V1219" s="49"/>
      <c r="W1219" s="49"/>
      <c r="X1219" s="49"/>
      <c r="Y1219" s="49"/>
      <c r="Z1219" s="49"/>
      <c r="AA1219" s="49"/>
      <c r="AB1219" s="49"/>
      <c r="AC1219" s="49"/>
      <c r="AD1219" s="49"/>
    </row>
    <row r="1220" spans="1:30" ht="13">
      <c r="A1220" s="141"/>
      <c r="B1220" s="141"/>
      <c r="C1220" s="141"/>
      <c r="D1220" s="49"/>
      <c r="E1220" s="49"/>
      <c r="F1220" s="49"/>
      <c r="G1220" s="49"/>
      <c r="H1220" s="49"/>
      <c r="I1220" s="49"/>
      <c r="J1220" s="49"/>
      <c r="K1220" s="49"/>
      <c r="L1220" s="49"/>
      <c r="M1220" s="49"/>
      <c r="N1220" s="49"/>
      <c r="O1220" s="49"/>
      <c r="P1220" s="49"/>
      <c r="Q1220" s="49"/>
      <c r="R1220" s="49"/>
      <c r="S1220" s="49"/>
      <c r="T1220" s="49"/>
      <c r="U1220" s="49"/>
      <c r="V1220" s="49"/>
      <c r="W1220" s="49"/>
      <c r="X1220" s="49"/>
      <c r="Y1220" s="49"/>
      <c r="Z1220" s="49"/>
      <c r="AA1220" s="49"/>
      <c r="AB1220" s="49"/>
      <c r="AC1220" s="49"/>
      <c r="AD1220" s="49"/>
    </row>
    <row r="1221" spans="1:30" ht="13">
      <c r="A1221" s="141"/>
      <c r="B1221" s="141"/>
      <c r="C1221" s="141"/>
      <c r="D1221" s="49"/>
      <c r="E1221" s="49"/>
      <c r="F1221" s="49"/>
      <c r="G1221" s="49"/>
      <c r="H1221" s="49"/>
      <c r="I1221" s="49"/>
      <c r="J1221" s="49"/>
      <c r="K1221" s="49"/>
      <c r="L1221" s="49"/>
      <c r="M1221" s="49"/>
      <c r="N1221" s="49"/>
      <c r="O1221" s="49"/>
      <c r="P1221" s="49"/>
      <c r="Q1221" s="49"/>
      <c r="R1221" s="49"/>
      <c r="S1221" s="49"/>
      <c r="T1221" s="49"/>
      <c r="U1221" s="49"/>
      <c r="V1221" s="49"/>
      <c r="W1221" s="49"/>
      <c r="X1221" s="49"/>
      <c r="Y1221" s="49"/>
      <c r="Z1221" s="49"/>
      <c r="AA1221" s="49"/>
      <c r="AB1221" s="49"/>
      <c r="AC1221" s="49"/>
      <c r="AD1221" s="49"/>
    </row>
    <row r="1222" spans="1:30" ht="13">
      <c r="A1222" s="141"/>
      <c r="B1222" s="141"/>
      <c r="C1222" s="141"/>
      <c r="D1222" s="49"/>
      <c r="E1222" s="49"/>
      <c r="F1222" s="49"/>
      <c r="G1222" s="49"/>
      <c r="H1222" s="49"/>
      <c r="I1222" s="49"/>
      <c r="J1222" s="49"/>
      <c r="K1222" s="49"/>
      <c r="L1222" s="49"/>
      <c r="M1222" s="49"/>
      <c r="N1222" s="49"/>
      <c r="O1222" s="49"/>
      <c r="P1222" s="49"/>
      <c r="Q1222" s="49"/>
      <c r="R1222" s="49"/>
      <c r="S1222" s="49"/>
      <c r="T1222" s="49"/>
      <c r="U1222" s="49"/>
      <c r="V1222" s="49"/>
      <c r="W1222" s="49"/>
      <c r="X1222" s="49"/>
      <c r="Y1222" s="49"/>
      <c r="Z1222" s="49"/>
      <c r="AA1222" s="49"/>
      <c r="AB1222" s="49"/>
      <c r="AC1222" s="49"/>
      <c r="AD1222" s="49"/>
    </row>
    <row r="1223" spans="1:30" ht="13">
      <c r="A1223" s="141"/>
      <c r="B1223" s="141"/>
      <c r="C1223" s="141"/>
      <c r="D1223" s="49"/>
      <c r="E1223" s="49"/>
      <c r="F1223" s="49"/>
      <c r="G1223" s="49"/>
      <c r="H1223" s="49"/>
      <c r="I1223" s="49"/>
      <c r="J1223" s="49"/>
      <c r="K1223" s="49"/>
      <c r="L1223" s="49"/>
      <c r="M1223" s="49"/>
      <c r="N1223" s="49"/>
      <c r="O1223" s="49"/>
      <c r="P1223" s="49"/>
      <c r="Q1223" s="49"/>
      <c r="R1223" s="49"/>
      <c r="S1223" s="49"/>
      <c r="T1223" s="49"/>
      <c r="U1223" s="49"/>
      <c r="V1223" s="49"/>
      <c r="W1223" s="49"/>
      <c r="X1223" s="49"/>
      <c r="Y1223" s="49"/>
      <c r="Z1223" s="49"/>
      <c r="AA1223" s="49"/>
      <c r="AB1223" s="49"/>
      <c r="AC1223" s="49"/>
      <c r="AD1223" s="49"/>
    </row>
    <row r="1224" spans="1:30" ht="13">
      <c r="A1224" s="141"/>
      <c r="B1224" s="141"/>
      <c r="C1224" s="141"/>
      <c r="D1224" s="49"/>
      <c r="E1224" s="49"/>
      <c r="F1224" s="49"/>
      <c r="G1224" s="49"/>
      <c r="H1224" s="49"/>
      <c r="I1224" s="49"/>
      <c r="J1224" s="49"/>
      <c r="K1224" s="49"/>
      <c r="L1224" s="49"/>
      <c r="M1224" s="49"/>
      <c r="N1224" s="49"/>
      <c r="O1224" s="49"/>
      <c r="P1224" s="49"/>
      <c r="Q1224" s="49"/>
      <c r="R1224" s="49"/>
      <c r="S1224" s="49"/>
      <c r="T1224" s="49"/>
      <c r="U1224" s="49"/>
      <c r="V1224" s="49"/>
      <c r="W1224" s="49"/>
      <c r="X1224" s="49"/>
      <c r="Y1224" s="49"/>
      <c r="Z1224" s="49"/>
      <c r="AA1224" s="49"/>
      <c r="AB1224" s="49"/>
      <c r="AC1224" s="49"/>
      <c r="AD1224" s="49"/>
    </row>
    <row r="1225" spans="1:30" ht="13">
      <c r="A1225" s="141"/>
      <c r="B1225" s="141"/>
      <c r="C1225" s="141"/>
      <c r="D1225" s="49"/>
      <c r="E1225" s="49"/>
      <c r="F1225" s="49"/>
      <c r="G1225" s="49"/>
      <c r="H1225" s="49"/>
      <c r="I1225" s="49"/>
      <c r="J1225" s="49"/>
      <c r="K1225" s="49"/>
      <c r="L1225" s="49"/>
      <c r="M1225" s="49"/>
      <c r="N1225" s="49"/>
      <c r="O1225" s="49"/>
      <c r="P1225" s="49"/>
      <c r="Q1225" s="49"/>
      <c r="R1225" s="49"/>
      <c r="S1225" s="49"/>
      <c r="T1225" s="49"/>
      <c r="U1225" s="49"/>
      <c r="V1225" s="49"/>
      <c r="W1225" s="49"/>
      <c r="X1225" s="49"/>
      <c r="Y1225" s="49"/>
      <c r="Z1225" s="49"/>
      <c r="AA1225" s="49"/>
      <c r="AB1225" s="49"/>
      <c r="AC1225" s="49"/>
      <c r="AD1225" s="49"/>
    </row>
    <row r="1226" spans="1:30" ht="13">
      <c r="A1226" s="141"/>
      <c r="B1226" s="141"/>
      <c r="C1226" s="141"/>
      <c r="D1226" s="49"/>
      <c r="E1226" s="49"/>
      <c r="F1226" s="49"/>
      <c r="G1226" s="49"/>
      <c r="H1226" s="49"/>
      <c r="I1226" s="49"/>
      <c r="J1226" s="49"/>
      <c r="K1226" s="49"/>
      <c r="L1226" s="49"/>
      <c r="M1226" s="49"/>
      <c r="N1226" s="49"/>
      <c r="O1226" s="49"/>
      <c r="P1226" s="49"/>
      <c r="Q1226" s="49"/>
      <c r="R1226" s="49"/>
      <c r="S1226" s="49"/>
      <c r="T1226" s="49"/>
      <c r="U1226" s="49"/>
      <c r="V1226" s="49"/>
      <c r="W1226" s="49"/>
      <c r="X1226" s="49"/>
      <c r="Y1226" s="49"/>
      <c r="Z1226" s="49"/>
      <c r="AA1226" s="49"/>
      <c r="AB1226" s="49"/>
      <c r="AC1226" s="49"/>
      <c r="AD1226" s="49"/>
    </row>
    <row r="1227" spans="1:30" ht="13">
      <c r="A1227" s="141"/>
      <c r="B1227" s="141"/>
      <c r="C1227" s="141"/>
      <c r="D1227" s="49"/>
      <c r="E1227" s="49"/>
      <c r="F1227" s="49"/>
      <c r="G1227" s="49"/>
      <c r="H1227" s="49"/>
      <c r="I1227" s="49"/>
      <c r="J1227" s="49"/>
      <c r="K1227" s="49"/>
      <c r="L1227" s="49"/>
      <c r="M1227" s="49"/>
      <c r="N1227" s="49"/>
      <c r="O1227" s="49"/>
      <c r="P1227" s="49"/>
      <c r="Q1227" s="49"/>
      <c r="R1227" s="49"/>
      <c r="S1227" s="49"/>
      <c r="T1227" s="49"/>
      <c r="U1227" s="49"/>
      <c r="V1227" s="49"/>
      <c r="W1227" s="49"/>
      <c r="X1227" s="49"/>
      <c r="Y1227" s="49"/>
      <c r="Z1227" s="49"/>
      <c r="AA1227" s="49"/>
      <c r="AB1227" s="49"/>
      <c r="AC1227" s="49"/>
      <c r="AD1227" s="49"/>
    </row>
    <row r="1228" spans="1:30" ht="13">
      <c r="A1228" s="141"/>
      <c r="B1228" s="141"/>
      <c r="C1228" s="141"/>
      <c r="D1228" s="49"/>
      <c r="E1228" s="49"/>
      <c r="F1228" s="49"/>
      <c r="G1228" s="49"/>
      <c r="H1228" s="49"/>
      <c r="I1228" s="49"/>
      <c r="J1228" s="49"/>
      <c r="K1228" s="49"/>
      <c r="L1228" s="49"/>
      <c r="M1228" s="49"/>
      <c r="N1228" s="49"/>
      <c r="O1228" s="49"/>
      <c r="P1228" s="49"/>
      <c r="Q1228" s="49"/>
      <c r="R1228" s="49"/>
      <c r="S1228" s="49"/>
      <c r="T1228" s="49"/>
      <c r="U1228" s="49"/>
      <c r="V1228" s="49"/>
      <c r="W1228" s="49"/>
      <c r="X1228" s="49"/>
      <c r="Y1228" s="49"/>
      <c r="Z1228" s="49"/>
      <c r="AA1228" s="49"/>
      <c r="AB1228" s="49"/>
      <c r="AC1228" s="49"/>
      <c r="AD1228" s="49"/>
    </row>
    <row r="1229" spans="1:30" ht="13">
      <c r="A1229" s="141"/>
      <c r="B1229" s="141"/>
      <c r="C1229" s="141"/>
      <c r="D1229" s="49"/>
      <c r="E1229" s="49"/>
      <c r="F1229" s="49"/>
      <c r="G1229" s="49"/>
      <c r="H1229" s="49"/>
      <c r="I1229" s="49"/>
      <c r="J1229" s="49"/>
      <c r="K1229" s="49"/>
      <c r="L1229" s="49"/>
      <c r="M1229" s="49"/>
      <c r="N1229" s="49"/>
      <c r="O1229" s="49"/>
      <c r="P1229" s="49"/>
      <c r="Q1229" s="49"/>
      <c r="R1229" s="49"/>
      <c r="S1229" s="49"/>
      <c r="T1229" s="49"/>
      <c r="U1229" s="49"/>
      <c r="V1229" s="49"/>
      <c r="W1229" s="49"/>
      <c r="X1229" s="49"/>
      <c r="Y1229" s="49"/>
      <c r="Z1229" s="49"/>
      <c r="AA1229" s="49"/>
      <c r="AB1229" s="49"/>
      <c r="AC1229" s="49"/>
      <c r="AD1229" s="49"/>
    </row>
    <row r="1230" spans="1:30" ht="13">
      <c r="A1230" s="141"/>
      <c r="B1230" s="141"/>
      <c r="C1230" s="141"/>
      <c r="D1230" s="49"/>
      <c r="E1230" s="49"/>
      <c r="F1230" s="49"/>
      <c r="G1230" s="49"/>
      <c r="H1230" s="49"/>
      <c r="I1230" s="49"/>
      <c r="J1230" s="49"/>
      <c r="K1230" s="49"/>
      <c r="L1230" s="49"/>
      <c r="M1230" s="49"/>
      <c r="N1230" s="49"/>
      <c r="O1230" s="49"/>
      <c r="P1230" s="49"/>
      <c r="Q1230" s="49"/>
      <c r="R1230" s="49"/>
      <c r="S1230" s="49"/>
      <c r="T1230" s="49"/>
      <c r="U1230" s="49"/>
      <c r="V1230" s="49"/>
      <c r="W1230" s="49"/>
      <c r="X1230" s="49"/>
      <c r="Y1230" s="49"/>
      <c r="Z1230" s="49"/>
      <c r="AA1230" s="49"/>
      <c r="AB1230" s="49"/>
      <c r="AC1230" s="49"/>
      <c r="AD1230" s="49"/>
    </row>
    <row r="1231" spans="1:30" ht="13">
      <c r="A1231" s="141"/>
      <c r="B1231" s="141"/>
      <c r="C1231" s="141"/>
      <c r="D1231" s="49"/>
      <c r="E1231" s="49"/>
      <c r="F1231" s="49"/>
      <c r="G1231" s="49"/>
      <c r="H1231" s="49"/>
      <c r="I1231" s="49"/>
      <c r="J1231" s="49"/>
      <c r="K1231" s="49"/>
      <c r="L1231" s="49"/>
      <c r="M1231" s="49"/>
      <c r="N1231" s="49"/>
      <c r="O1231" s="49"/>
      <c r="P1231" s="49"/>
      <c r="Q1231" s="49"/>
      <c r="R1231" s="49"/>
      <c r="S1231" s="49"/>
      <c r="T1231" s="49"/>
      <c r="U1231" s="49"/>
      <c r="V1231" s="49"/>
      <c r="W1231" s="49"/>
      <c r="X1231" s="49"/>
      <c r="Y1231" s="49"/>
      <c r="Z1231" s="49"/>
      <c r="AA1231" s="49"/>
      <c r="AB1231" s="49"/>
      <c r="AC1231" s="49"/>
      <c r="AD1231" s="49"/>
    </row>
    <row r="1232" spans="1:30" ht="13">
      <c r="A1232" s="141"/>
      <c r="B1232" s="141"/>
      <c r="C1232" s="141"/>
      <c r="D1232" s="49"/>
      <c r="E1232" s="49"/>
      <c r="F1232" s="49"/>
      <c r="G1232" s="49"/>
      <c r="H1232" s="49"/>
      <c r="I1232" s="49"/>
      <c r="J1232" s="49"/>
      <c r="K1232" s="49"/>
      <c r="L1232" s="49"/>
      <c r="M1232" s="49"/>
      <c r="N1232" s="49"/>
      <c r="O1232" s="49"/>
      <c r="P1232" s="49"/>
      <c r="Q1232" s="49"/>
      <c r="R1232" s="49"/>
      <c r="S1232" s="49"/>
      <c r="T1232" s="49"/>
      <c r="U1232" s="49"/>
      <c r="V1232" s="49"/>
      <c r="W1232" s="49"/>
      <c r="X1232" s="49"/>
      <c r="Y1232" s="49"/>
      <c r="Z1232" s="49"/>
      <c r="AA1232" s="49"/>
      <c r="AB1232" s="49"/>
      <c r="AC1232" s="49"/>
      <c r="AD1232" s="49"/>
    </row>
    <row r="1233" spans="1:30" ht="13">
      <c r="A1233" s="141"/>
      <c r="B1233" s="141"/>
      <c r="C1233" s="141"/>
      <c r="D1233" s="49"/>
      <c r="E1233" s="49"/>
      <c r="F1233" s="49"/>
      <c r="G1233" s="49"/>
      <c r="H1233" s="49"/>
      <c r="I1233" s="49"/>
      <c r="J1233" s="49"/>
      <c r="K1233" s="49"/>
      <c r="L1233" s="49"/>
      <c r="M1233" s="49"/>
      <c r="N1233" s="49"/>
      <c r="O1233" s="49"/>
      <c r="P1233" s="49"/>
      <c r="Q1233" s="49"/>
      <c r="R1233" s="49"/>
      <c r="S1233" s="49"/>
      <c r="T1233" s="49"/>
      <c r="U1233" s="49"/>
      <c r="V1233" s="49"/>
      <c r="W1233" s="49"/>
      <c r="X1233" s="49"/>
      <c r="Y1233" s="49"/>
      <c r="Z1233" s="49"/>
      <c r="AA1233" s="49"/>
      <c r="AB1233" s="49"/>
      <c r="AC1233" s="49"/>
      <c r="AD1233" s="49"/>
    </row>
    <row r="1234" spans="1:30" ht="13">
      <c r="A1234" s="141"/>
      <c r="B1234" s="141"/>
      <c r="C1234" s="141"/>
      <c r="D1234" s="49"/>
      <c r="E1234" s="49"/>
      <c r="F1234" s="49"/>
      <c r="G1234" s="49"/>
      <c r="H1234" s="49"/>
      <c r="I1234" s="49"/>
      <c r="J1234" s="49"/>
      <c r="K1234" s="49"/>
      <c r="L1234" s="49"/>
      <c r="M1234" s="49"/>
      <c r="N1234" s="49"/>
      <c r="O1234" s="49"/>
      <c r="P1234" s="49"/>
      <c r="Q1234" s="49"/>
      <c r="R1234" s="49"/>
      <c r="S1234" s="49"/>
      <c r="T1234" s="49"/>
      <c r="U1234" s="49"/>
      <c r="V1234" s="49"/>
      <c r="W1234" s="49"/>
      <c r="X1234" s="49"/>
      <c r="Y1234" s="49"/>
      <c r="Z1234" s="49"/>
      <c r="AA1234" s="49"/>
      <c r="AB1234" s="49"/>
      <c r="AC1234" s="49"/>
      <c r="AD1234" s="49"/>
    </row>
    <row r="1235" spans="1:30" ht="13">
      <c r="A1235" s="141"/>
      <c r="B1235" s="141"/>
      <c r="C1235" s="141"/>
      <c r="D1235" s="49"/>
      <c r="E1235" s="49"/>
      <c r="F1235" s="49"/>
      <c r="G1235" s="49"/>
      <c r="H1235" s="49"/>
      <c r="I1235" s="49"/>
      <c r="J1235" s="49"/>
      <c r="K1235" s="49"/>
      <c r="L1235" s="49"/>
      <c r="M1235" s="49"/>
      <c r="N1235" s="49"/>
      <c r="O1235" s="49"/>
      <c r="P1235" s="49"/>
      <c r="Q1235" s="49"/>
      <c r="R1235" s="49"/>
      <c r="S1235" s="49"/>
      <c r="T1235" s="49"/>
      <c r="U1235" s="49"/>
      <c r="V1235" s="49"/>
      <c r="W1235" s="49"/>
      <c r="X1235" s="49"/>
      <c r="Y1235" s="49"/>
      <c r="Z1235" s="49"/>
      <c r="AA1235" s="49"/>
      <c r="AB1235" s="49"/>
      <c r="AC1235" s="49"/>
      <c r="AD1235" s="49"/>
    </row>
    <row r="1236" spans="1:30" ht="13">
      <c r="A1236" s="141"/>
      <c r="B1236" s="141"/>
      <c r="C1236" s="141"/>
      <c r="D1236" s="49"/>
      <c r="E1236" s="49"/>
      <c r="F1236" s="49"/>
      <c r="G1236" s="49"/>
      <c r="H1236" s="49"/>
      <c r="I1236" s="49"/>
      <c r="J1236" s="49"/>
      <c r="K1236" s="49"/>
      <c r="L1236" s="49"/>
      <c r="M1236" s="49"/>
      <c r="N1236" s="49"/>
      <c r="O1236" s="49"/>
      <c r="P1236" s="49"/>
      <c r="Q1236" s="49"/>
      <c r="R1236" s="49"/>
      <c r="S1236" s="49"/>
      <c r="T1236" s="49"/>
      <c r="U1236" s="49"/>
      <c r="V1236" s="49"/>
      <c r="W1236" s="49"/>
      <c r="X1236" s="49"/>
      <c r="Y1236" s="49"/>
      <c r="Z1236" s="49"/>
      <c r="AA1236" s="49"/>
      <c r="AB1236" s="49"/>
      <c r="AC1236" s="49"/>
      <c r="AD1236" s="49"/>
    </row>
    <row r="1237" spans="1:30" ht="13">
      <c r="A1237" s="141"/>
      <c r="B1237" s="141"/>
      <c r="C1237" s="141"/>
      <c r="D1237" s="49"/>
      <c r="E1237" s="49"/>
      <c r="F1237" s="49"/>
      <c r="G1237" s="49"/>
      <c r="H1237" s="49"/>
      <c r="I1237" s="49"/>
      <c r="J1237" s="49"/>
      <c r="K1237" s="49"/>
      <c r="L1237" s="49"/>
      <c r="M1237" s="49"/>
      <c r="N1237" s="49"/>
      <c r="O1237" s="49"/>
      <c r="P1237" s="49"/>
      <c r="Q1237" s="49"/>
      <c r="R1237" s="49"/>
      <c r="S1237" s="49"/>
      <c r="T1237" s="49"/>
      <c r="U1237" s="49"/>
      <c r="V1237" s="49"/>
      <c r="W1237" s="49"/>
      <c r="X1237" s="49"/>
      <c r="Y1237" s="49"/>
      <c r="Z1237" s="49"/>
      <c r="AA1237" s="49"/>
      <c r="AB1237" s="49"/>
      <c r="AC1237" s="49"/>
      <c r="AD1237" s="49"/>
    </row>
    <row r="1238" spans="1:30" ht="13">
      <c r="A1238" s="141"/>
      <c r="B1238" s="141"/>
      <c r="C1238" s="141"/>
      <c r="D1238" s="49"/>
      <c r="E1238" s="49"/>
      <c r="F1238" s="49"/>
      <c r="G1238" s="49"/>
      <c r="H1238" s="49"/>
      <c r="I1238" s="49"/>
      <c r="J1238" s="49"/>
      <c r="K1238" s="49"/>
      <c r="L1238" s="49"/>
      <c r="M1238" s="49"/>
      <c r="N1238" s="49"/>
      <c r="O1238" s="49"/>
      <c r="P1238" s="49"/>
      <c r="Q1238" s="49"/>
      <c r="R1238" s="49"/>
      <c r="S1238" s="49"/>
      <c r="T1238" s="49"/>
      <c r="U1238" s="49"/>
      <c r="V1238" s="49"/>
      <c r="W1238" s="49"/>
      <c r="X1238" s="49"/>
      <c r="Y1238" s="49"/>
      <c r="Z1238" s="49"/>
      <c r="AA1238" s="49"/>
      <c r="AB1238" s="49"/>
      <c r="AC1238" s="49"/>
      <c r="AD1238" s="49"/>
    </row>
    <row r="1239" spans="1:30" ht="13">
      <c r="A1239" s="141"/>
      <c r="B1239" s="141"/>
      <c r="C1239" s="141"/>
      <c r="D1239" s="49"/>
      <c r="E1239" s="49"/>
      <c r="F1239" s="49"/>
      <c r="G1239" s="49"/>
      <c r="H1239" s="49"/>
      <c r="I1239" s="49"/>
      <c r="J1239" s="49"/>
      <c r="K1239" s="49"/>
      <c r="L1239" s="49"/>
      <c r="M1239" s="49"/>
      <c r="N1239" s="49"/>
      <c r="O1239" s="49"/>
      <c r="P1239" s="49"/>
      <c r="Q1239" s="49"/>
      <c r="R1239" s="49"/>
      <c r="S1239" s="49"/>
      <c r="T1239" s="49"/>
      <c r="U1239" s="49"/>
      <c r="V1239" s="49"/>
      <c r="W1239" s="49"/>
      <c r="X1239" s="49"/>
      <c r="Y1239" s="49"/>
      <c r="Z1239" s="49"/>
      <c r="AA1239" s="49"/>
      <c r="AB1239" s="49"/>
      <c r="AC1239" s="49"/>
      <c r="AD1239" s="49"/>
    </row>
    <row r="1240" spans="1:30" ht="13">
      <c r="A1240" s="141"/>
      <c r="B1240" s="141"/>
      <c r="C1240" s="141"/>
      <c r="D1240" s="49"/>
      <c r="E1240" s="49"/>
      <c r="F1240" s="49"/>
      <c r="G1240" s="49"/>
      <c r="H1240" s="49"/>
      <c r="I1240" s="49"/>
      <c r="J1240" s="49"/>
      <c r="K1240" s="49"/>
      <c r="L1240" s="49"/>
      <c r="M1240" s="49"/>
      <c r="N1240" s="49"/>
      <c r="O1240" s="49"/>
      <c r="P1240" s="49"/>
      <c r="Q1240" s="49"/>
      <c r="R1240" s="49"/>
      <c r="S1240" s="49"/>
      <c r="T1240" s="49"/>
      <c r="U1240" s="49"/>
      <c r="V1240" s="49"/>
      <c r="W1240" s="49"/>
      <c r="X1240" s="49"/>
      <c r="Y1240" s="49"/>
      <c r="Z1240" s="49"/>
      <c r="AA1240" s="49"/>
      <c r="AB1240" s="49"/>
      <c r="AC1240" s="49"/>
      <c r="AD1240" s="49"/>
    </row>
    <row r="1241" spans="1:30" ht="13">
      <c r="A1241" s="141"/>
      <c r="B1241" s="141"/>
      <c r="C1241" s="141"/>
      <c r="D1241" s="49"/>
      <c r="E1241" s="49"/>
      <c r="F1241" s="49"/>
      <c r="G1241" s="49"/>
      <c r="H1241" s="49"/>
      <c r="I1241" s="49"/>
      <c r="J1241" s="49"/>
      <c r="K1241" s="49"/>
      <c r="L1241" s="49"/>
      <c r="M1241" s="49"/>
      <c r="N1241" s="49"/>
      <c r="O1241" s="49"/>
      <c r="P1241" s="49"/>
      <c r="Q1241" s="49"/>
      <c r="R1241" s="49"/>
      <c r="S1241" s="49"/>
      <c r="T1241" s="49"/>
      <c r="U1241" s="49"/>
      <c r="V1241" s="49"/>
      <c r="W1241" s="49"/>
      <c r="X1241" s="49"/>
      <c r="Y1241" s="49"/>
      <c r="Z1241" s="49"/>
      <c r="AA1241" s="49"/>
      <c r="AB1241" s="49"/>
      <c r="AC1241" s="49"/>
      <c r="AD1241" s="49"/>
    </row>
    <row r="1242" spans="1:30" ht="13">
      <c r="A1242" s="141"/>
      <c r="B1242" s="141"/>
      <c r="C1242" s="141"/>
      <c r="D1242" s="49"/>
      <c r="E1242" s="49"/>
      <c r="F1242" s="49"/>
      <c r="G1242" s="49"/>
      <c r="H1242" s="49"/>
      <c r="I1242" s="49"/>
      <c r="J1242" s="49"/>
      <c r="K1242" s="49"/>
      <c r="L1242" s="49"/>
      <c r="M1242" s="49"/>
      <c r="N1242" s="49"/>
      <c r="O1242" s="49"/>
      <c r="P1242" s="49"/>
      <c r="Q1242" s="49"/>
      <c r="R1242" s="49"/>
      <c r="S1242" s="49"/>
      <c r="T1242" s="49"/>
      <c r="U1242" s="49"/>
      <c r="V1242" s="49"/>
      <c r="W1242" s="49"/>
      <c r="X1242" s="49"/>
      <c r="Y1242" s="49"/>
      <c r="Z1242" s="49"/>
      <c r="AA1242" s="49"/>
      <c r="AB1242" s="49"/>
      <c r="AC1242" s="49"/>
      <c r="AD1242" s="49"/>
    </row>
    <row r="1243" spans="1:30" ht="13">
      <c r="A1243" s="141"/>
      <c r="B1243" s="141"/>
      <c r="C1243" s="141"/>
      <c r="D1243" s="49"/>
      <c r="E1243" s="49"/>
      <c r="F1243" s="49"/>
      <c r="G1243" s="49"/>
      <c r="H1243" s="49"/>
      <c r="I1243" s="49"/>
      <c r="J1243" s="49"/>
      <c r="K1243" s="49"/>
      <c r="L1243" s="49"/>
      <c r="M1243" s="49"/>
      <c r="N1243" s="49"/>
      <c r="O1243" s="49"/>
      <c r="P1243" s="49"/>
      <c r="Q1243" s="49"/>
      <c r="R1243" s="49"/>
      <c r="S1243" s="49"/>
      <c r="T1243" s="49"/>
      <c r="U1243" s="49"/>
      <c r="V1243" s="49"/>
      <c r="W1243" s="49"/>
      <c r="X1243" s="49"/>
      <c r="Y1243" s="49"/>
      <c r="Z1243" s="49"/>
      <c r="AA1243" s="49"/>
      <c r="AB1243" s="49"/>
      <c r="AC1243" s="49"/>
      <c r="AD1243" s="49"/>
    </row>
    <row r="1244" spans="1:30" ht="13">
      <c r="A1244" s="141"/>
      <c r="B1244" s="141"/>
      <c r="C1244" s="141"/>
      <c r="D1244" s="49"/>
      <c r="E1244" s="49"/>
      <c r="F1244" s="49"/>
      <c r="G1244" s="49"/>
      <c r="H1244" s="49"/>
      <c r="I1244" s="49"/>
      <c r="J1244" s="49"/>
      <c r="K1244" s="49"/>
      <c r="L1244" s="49"/>
      <c r="M1244" s="49"/>
      <c r="N1244" s="49"/>
      <c r="O1244" s="49"/>
      <c r="P1244" s="49"/>
      <c r="Q1244" s="49"/>
      <c r="R1244" s="49"/>
      <c r="S1244" s="49"/>
      <c r="T1244" s="49"/>
      <c r="U1244" s="49"/>
      <c r="V1244" s="49"/>
      <c r="W1244" s="49"/>
      <c r="X1244" s="49"/>
      <c r="Y1244" s="49"/>
      <c r="Z1244" s="49"/>
      <c r="AA1244" s="49"/>
      <c r="AB1244" s="49"/>
      <c r="AC1244" s="49"/>
      <c r="AD1244" s="49"/>
    </row>
    <row r="1245" spans="1:30" ht="13">
      <c r="A1245" s="141"/>
      <c r="B1245" s="141"/>
      <c r="C1245" s="141"/>
      <c r="D1245" s="49"/>
      <c r="E1245" s="49"/>
      <c r="F1245" s="49"/>
      <c r="G1245" s="49"/>
      <c r="H1245" s="49"/>
      <c r="I1245" s="49"/>
      <c r="J1245" s="49"/>
      <c r="K1245" s="49"/>
      <c r="L1245" s="49"/>
      <c r="M1245" s="49"/>
      <c r="N1245" s="49"/>
      <c r="O1245" s="49"/>
      <c r="P1245" s="49"/>
      <c r="Q1245" s="49"/>
      <c r="R1245" s="49"/>
      <c r="S1245" s="49"/>
      <c r="T1245" s="49"/>
      <c r="U1245" s="49"/>
      <c r="V1245" s="49"/>
      <c r="W1245" s="49"/>
      <c r="X1245" s="49"/>
      <c r="Y1245" s="49"/>
      <c r="Z1245" s="49"/>
      <c r="AA1245" s="49"/>
      <c r="AB1245" s="49"/>
      <c r="AC1245" s="49"/>
      <c r="AD1245" s="49"/>
    </row>
    <row r="1246" spans="1:30" ht="13">
      <c r="A1246" s="141"/>
      <c r="B1246" s="141"/>
      <c r="C1246" s="141"/>
      <c r="D1246" s="49"/>
      <c r="E1246" s="49"/>
      <c r="F1246" s="49"/>
      <c r="G1246" s="49"/>
      <c r="H1246" s="49"/>
      <c r="I1246" s="49"/>
      <c r="J1246" s="49"/>
      <c r="K1246" s="49"/>
      <c r="L1246" s="49"/>
      <c r="M1246" s="49"/>
      <c r="N1246" s="49"/>
      <c r="O1246" s="49"/>
      <c r="P1246" s="49"/>
      <c r="Q1246" s="49"/>
      <c r="R1246" s="49"/>
      <c r="S1246" s="49"/>
      <c r="T1246" s="49"/>
      <c r="U1246" s="49"/>
      <c r="V1246" s="49"/>
      <c r="W1246" s="49"/>
      <c r="X1246" s="49"/>
      <c r="Y1246" s="49"/>
      <c r="Z1246" s="49"/>
      <c r="AA1246" s="49"/>
      <c r="AB1246" s="49"/>
      <c r="AC1246" s="49"/>
      <c r="AD1246" s="49"/>
    </row>
    <row r="1247" spans="1:30" ht="13">
      <c r="A1247" s="141"/>
      <c r="B1247" s="141"/>
      <c r="C1247" s="141"/>
      <c r="D1247" s="49"/>
      <c r="E1247" s="49"/>
      <c r="F1247" s="49"/>
      <c r="G1247" s="49"/>
      <c r="H1247" s="49"/>
      <c r="I1247" s="49"/>
      <c r="J1247" s="49"/>
      <c r="K1247" s="49"/>
      <c r="L1247" s="49"/>
      <c r="M1247" s="49"/>
      <c r="N1247" s="49"/>
      <c r="O1247" s="49"/>
      <c r="P1247" s="49"/>
      <c r="Q1247" s="49"/>
      <c r="R1247" s="49"/>
      <c r="S1247" s="49"/>
      <c r="T1247" s="49"/>
      <c r="U1247" s="49"/>
      <c r="V1247" s="49"/>
      <c r="W1247" s="49"/>
      <c r="X1247" s="49"/>
      <c r="Y1247" s="49"/>
      <c r="Z1247" s="49"/>
      <c r="AA1247" s="49"/>
      <c r="AB1247" s="49"/>
      <c r="AC1247" s="49"/>
      <c r="AD1247" s="49"/>
    </row>
    <row r="1248" spans="1:30" ht="13">
      <c r="A1248" s="141"/>
      <c r="B1248" s="141"/>
      <c r="C1248" s="141"/>
      <c r="D1248" s="49"/>
      <c r="E1248" s="49"/>
      <c r="F1248" s="49"/>
      <c r="G1248" s="49"/>
      <c r="H1248" s="49"/>
      <c r="I1248" s="49"/>
      <c r="J1248" s="49"/>
      <c r="K1248" s="49"/>
      <c r="L1248" s="49"/>
      <c r="M1248" s="49"/>
      <c r="N1248" s="49"/>
      <c r="O1248" s="49"/>
      <c r="P1248" s="49"/>
      <c r="Q1248" s="49"/>
      <c r="R1248" s="49"/>
      <c r="S1248" s="49"/>
      <c r="T1248" s="49"/>
      <c r="U1248" s="49"/>
      <c r="V1248" s="49"/>
      <c r="W1248" s="49"/>
      <c r="X1248" s="49"/>
      <c r="Y1248" s="49"/>
      <c r="Z1248" s="49"/>
      <c r="AA1248" s="49"/>
      <c r="AB1248" s="49"/>
      <c r="AC1248" s="49"/>
      <c r="AD1248" s="49"/>
    </row>
    <row r="1249" spans="1:30" ht="13">
      <c r="A1249" s="141"/>
      <c r="B1249" s="141"/>
      <c r="C1249" s="141"/>
      <c r="D1249" s="49"/>
      <c r="E1249" s="49"/>
      <c r="F1249" s="49"/>
      <c r="G1249" s="49"/>
      <c r="H1249" s="49"/>
      <c r="I1249" s="49"/>
      <c r="J1249" s="49"/>
      <c r="K1249" s="49"/>
      <c r="L1249" s="49"/>
      <c r="M1249" s="49"/>
      <c r="N1249" s="49"/>
      <c r="O1249" s="49"/>
      <c r="P1249" s="49"/>
      <c r="Q1249" s="49"/>
      <c r="R1249" s="49"/>
      <c r="S1249" s="49"/>
      <c r="T1249" s="49"/>
      <c r="U1249" s="49"/>
      <c r="V1249" s="49"/>
      <c r="W1249" s="49"/>
      <c r="X1249" s="49"/>
      <c r="Y1249" s="49"/>
      <c r="Z1249" s="49"/>
      <c r="AA1249" s="49"/>
      <c r="AB1249" s="49"/>
      <c r="AC1249" s="49"/>
      <c r="AD1249" s="49"/>
    </row>
    <row r="1250" spans="1:30" ht="13">
      <c r="A1250" s="141"/>
      <c r="B1250" s="141"/>
      <c r="C1250" s="141"/>
      <c r="D1250" s="49"/>
      <c r="E1250" s="49"/>
      <c r="F1250" s="49"/>
      <c r="G1250" s="49"/>
      <c r="H1250" s="49"/>
      <c r="I1250" s="49"/>
      <c r="J1250" s="49"/>
      <c r="K1250" s="49"/>
      <c r="L1250" s="49"/>
      <c r="M1250" s="49"/>
      <c r="N1250" s="49"/>
      <c r="O1250" s="49"/>
      <c r="P1250" s="49"/>
      <c r="Q1250" s="49"/>
      <c r="R1250" s="49"/>
      <c r="S1250" s="49"/>
      <c r="T1250" s="49"/>
      <c r="U1250" s="49"/>
      <c r="V1250" s="49"/>
      <c r="W1250" s="49"/>
      <c r="X1250" s="49"/>
      <c r="Y1250" s="49"/>
      <c r="Z1250" s="49"/>
      <c r="AA1250" s="49"/>
      <c r="AB1250" s="49"/>
      <c r="AC1250" s="49"/>
      <c r="AD1250" s="49"/>
    </row>
    <row r="1251" spans="1:30" ht="13">
      <c r="A1251" s="141"/>
      <c r="B1251" s="141"/>
      <c r="C1251" s="141"/>
      <c r="D1251" s="49"/>
      <c r="E1251" s="49"/>
      <c r="F1251" s="49"/>
      <c r="G1251" s="49"/>
      <c r="H1251" s="49"/>
      <c r="I1251" s="49"/>
      <c r="J1251" s="49"/>
      <c r="K1251" s="49"/>
      <c r="L1251" s="49"/>
      <c r="M1251" s="49"/>
      <c r="N1251" s="49"/>
      <c r="O1251" s="49"/>
      <c r="P1251" s="49"/>
      <c r="Q1251" s="49"/>
      <c r="R1251" s="49"/>
      <c r="S1251" s="49"/>
      <c r="T1251" s="49"/>
      <c r="U1251" s="49"/>
      <c r="V1251" s="49"/>
      <c r="W1251" s="49"/>
      <c r="X1251" s="49"/>
      <c r="Y1251" s="49"/>
      <c r="Z1251" s="49"/>
      <c r="AA1251" s="49"/>
      <c r="AB1251" s="49"/>
      <c r="AC1251" s="49"/>
      <c r="AD1251" s="49"/>
    </row>
    <row r="1252" spans="1:30" ht="13">
      <c r="A1252" s="141"/>
      <c r="B1252" s="141"/>
      <c r="C1252" s="141"/>
      <c r="D1252" s="49"/>
      <c r="E1252" s="49"/>
      <c r="F1252" s="49"/>
      <c r="G1252" s="49"/>
      <c r="H1252" s="49"/>
      <c r="I1252" s="49"/>
      <c r="J1252" s="49"/>
      <c r="K1252" s="49"/>
      <c r="L1252" s="49"/>
      <c r="M1252" s="49"/>
      <c r="N1252" s="49"/>
      <c r="O1252" s="49"/>
      <c r="P1252" s="49"/>
      <c r="Q1252" s="49"/>
      <c r="R1252" s="49"/>
      <c r="S1252" s="49"/>
      <c r="T1252" s="49"/>
      <c r="U1252" s="49"/>
      <c r="V1252" s="49"/>
      <c r="W1252" s="49"/>
      <c r="X1252" s="49"/>
      <c r="Y1252" s="49"/>
      <c r="Z1252" s="49"/>
      <c r="AA1252" s="49"/>
      <c r="AB1252" s="49"/>
      <c r="AC1252" s="49"/>
      <c r="AD1252" s="49"/>
    </row>
    <row r="1253" spans="1:30" ht="13">
      <c r="A1253" s="141"/>
      <c r="B1253" s="141"/>
      <c r="C1253" s="141"/>
      <c r="D1253" s="49"/>
      <c r="E1253" s="49"/>
      <c r="F1253" s="49"/>
      <c r="G1253" s="49"/>
      <c r="H1253" s="49"/>
      <c r="I1253" s="49"/>
      <c r="J1253" s="49"/>
      <c r="K1253" s="49"/>
      <c r="L1253" s="49"/>
      <c r="M1253" s="49"/>
      <c r="N1253" s="49"/>
      <c r="O1253" s="49"/>
      <c r="P1253" s="49"/>
      <c r="Q1253" s="49"/>
      <c r="R1253" s="49"/>
      <c r="S1253" s="49"/>
      <c r="T1253" s="49"/>
      <c r="U1253" s="49"/>
      <c r="V1253" s="49"/>
      <c r="W1253" s="49"/>
      <c r="X1253" s="49"/>
      <c r="Y1253" s="49"/>
      <c r="Z1253" s="49"/>
      <c r="AA1253" s="49"/>
      <c r="AB1253" s="49"/>
      <c r="AC1253" s="49"/>
      <c r="AD1253" s="49"/>
    </row>
    <row r="1254" spans="1:30" ht="13">
      <c r="A1254" s="141"/>
      <c r="B1254" s="141"/>
      <c r="C1254" s="141"/>
      <c r="D1254" s="49"/>
      <c r="E1254" s="49"/>
      <c r="F1254" s="49"/>
      <c r="G1254" s="49"/>
      <c r="H1254" s="49"/>
      <c r="I1254" s="49"/>
      <c r="J1254" s="49"/>
      <c r="K1254" s="49"/>
      <c r="L1254" s="49"/>
      <c r="M1254" s="49"/>
      <c r="N1254" s="49"/>
      <c r="O1254" s="49"/>
      <c r="P1254" s="49"/>
      <c r="Q1254" s="49"/>
      <c r="R1254" s="49"/>
      <c r="S1254" s="49"/>
      <c r="T1254" s="49"/>
      <c r="U1254" s="49"/>
      <c r="V1254" s="49"/>
      <c r="W1254" s="49"/>
      <c r="X1254" s="49"/>
      <c r="Y1254" s="49"/>
      <c r="Z1254" s="49"/>
      <c r="AA1254" s="49"/>
      <c r="AB1254" s="49"/>
      <c r="AC1254" s="49"/>
      <c r="AD1254" s="49"/>
    </row>
    <row r="1255" spans="1:30" ht="13">
      <c r="A1255" s="141"/>
      <c r="B1255" s="141"/>
      <c r="C1255" s="141"/>
      <c r="D1255" s="49"/>
      <c r="E1255" s="49"/>
      <c r="F1255" s="49"/>
      <c r="G1255" s="49"/>
      <c r="H1255" s="49"/>
      <c r="I1255" s="49"/>
      <c r="J1255" s="49"/>
      <c r="K1255" s="49"/>
      <c r="L1255" s="49"/>
      <c r="M1255" s="49"/>
      <c r="N1255" s="49"/>
      <c r="O1255" s="49"/>
      <c r="P1255" s="49"/>
      <c r="Q1255" s="49"/>
      <c r="R1255" s="49"/>
      <c r="S1255" s="49"/>
      <c r="T1255" s="49"/>
      <c r="U1255" s="49"/>
      <c r="V1255" s="49"/>
      <c r="W1255" s="49"/>
      <c r="X1255" s="49"/>
      <c r="Y1255" s="49"/>
      <c r="Z1255" s="49"/>
      <c r="AA1255" s="49"/>
      <c r="AB1255" s="49"/>
      <c r="AC1255" s="49"/>
      <c r="AD1255" s="49"/>
    </row>
    <row r="1256" spans="1:30" ht="13">
      <c r="A1256" s="141"/>
      <c r="B1256" s="141"/>
      <c r="C1256" s="141"/>
      <c r="D1256" s="49"/>
      <c r="E1256" s="49"/>
      <c r="F1256" s="49"/>
      <c r="G1256" s="49"/>
      <c r="H1256" s="49"/>
      <c r="I1256" s="49"/>
      <c r="J1256" s="49"/>
      <c r="K1256" s="49"/>
      <c r="L1256" s="49"/>
      <c r="M1256" s="49"/>
      <c r="N1256" s="49"/>
      <c r="O1256" s="49"/>
      <c r="P1256" s="49"/>
      <c r="Q1256" s="49"/>
      <c r="R1256" s="49"/>
      <c r="S1256" s="49"/>
      <c r="T1256" s="49"/>
      <c r="U1256" s="49"/>
      <c r="V1256" s="49"/>
      <c r="W1256" s="49"/>
      <c r="X1256" s="49"/>
      <c r="Y1256" s="49"/>
      <c r="Z1256" s="49"/>
      <c r="AA1256" s="49"/>
      <c r="AB1256" s="49"/>
      <c r="AC1256" s="49"/>
      <c r="AD1256" s="49"/>
    </row>
    <row r="1257" spans="1:30" ht="13">
      <c r="A1257" s="141"/>
      <c r="B1257" s="141"/>
      <c r="C1257" s="141"/>
      <c r="D1257" s="49"/>
      <c r="E1257" s="49"/>
      <c r="F1257" s="49"/>
      <c r="G1257" s="49"/>
      <c r="H1257" s="49"/>
      <c r="I1257" s="49"/>
      <c r="J1257" s="49"/>
      <c r="K1257" s="49"/>
      <c r="L1257" s="49"/>
      <c r="M1257" s="49"/>
      <c r="N1257" s="49"/>
      <c r="O1257" s="49"/>
      <c r="P1257" s="49"/>
      <c r="Q1257" s="49"/>
      <c r="R1257" s="49"/>
      <c r="S1257" s="49"/>
      <c r="T1257" s="49"/>
      <c r="U1257" s="49"/>
      <c r="V1257" s="49"/>
      <c r="W1257" s="49"/>
      <c r="X1257" s="49"/>
      <c r="Y1257" s="49"/>
      <c r="Z1257" s="49"/>
      <c r="AA1257" s="49"/>
      <c r="AB1257" s="49"/>
      <c r="AC1257" s="49"/>
      <c r="AD1257" s="49"/>
    </row>
    <row r="1258" spans="1:30" ht="13">
      <c r="A1258" s="141"/>
      <c r="B1258" s="141"/>
      <c r="C1258" s="141"/>
      <c r="D1258" s="49"/>
      <c r="E1258" s="49"/>
      <c r="F1258" s="49"/>
      <c r="G1258" s="49"/>
      <c r="H1258" s="49"/>
      <c r="I1258" s="49"/>
      <c r="J1258" s="49"/>
      <c r="K1258" s="49"/>
      <c r="L1258" s="49"/>
      <c r="M1258" s="49"/>
      <c r="N1258" s="49"/>
      <c r="O1258" s="49"/>
      <c r="P1258" s="49"/>
      <c r="Q1258" s="49"/>
      <c r="R1258" s="49"/>
      <c r="S1258" s="49"/>
      <c r="T1258" s="49"/>
      <c r="U1258" s="49"/>
      <c r="V1258" s="49"/>
      <c r="W1258" s="49"/>
      <c r="X1258" s="49"/>
      <c r="Y1258" s="49"/>
      <c r="Z1258" s="49"/>
      <c r="AA1258" s="49"/>
      <c r="AB1258" s="49"/>
      <c r="AC1258" s="49"/>
      <c r="AD1258" s="49"/>
    </row>
    <row r="1259" spans="1:30" ht="13">
      <c r="A1259" s="141"/>
      <c r="B1259" s="141"/>
      <c r="C1259" s="141"/>
      <c r="D1259" s="49"/>
      <c r="E1259" s="49"/>
      <c r="F1259" s="49"/>
      <c r="G1259" s="49"/>
      <c r="H1259" s="49"/>
      <c r="I1259" s="49"/>
      <c r="J1259" s="49"/>
      <c r="K1259" s="49"/>
      <c r="L1259" s="49"/>
      <c r="M1259" s="49"/>
      <c r="N1259" s="49"/>
      <c r="O1259" s="49"/>
      <c r="P1259" s="49"/>
      <c r="Q1259" s="49"/>
      <c r="R1259" s="49"/>
      <c r="S1259" s="49"/>
      <c r="T1259" s="49"/>
      <c r="U1259" s="49"/>
      <c r="V1259" s="49"/>
      <c r="W1259" s="49"/>
      <c r="X1259" s="49"/>
      <c r="Y1259" s="49"/>
      <c r="Z1259" s="49"/>
      <c r="AA1259" s="49"/>
      <c r="AB1259" s="49"/>
      <c r="AC1259" s="49"/>
      <c r="AD1259" s="49"/>
    </row>
    <row r="1260" spans="1:30" ht="13">
      <c r="A1260" s="141"/>
      <c r="B1260" s="141"/>
      <c r="C1260" s="141"/>
      <c r="D1260" s="49"/>
      <c r="E1260" s="49"/>
      <c r="F1260" s="49"/>
      <c r="G1260" s="49"/>
      <c r="H1260" s="49"/>
      <c r="I1260" s="49"/>
      <c r="J1260" s="49"/>
      <c r="K1260" s="49"/>
      <c r="L1260" s="49"/>
      <c r="M1260" s="49"/>
      <c r="N1260" s="49"/>
      <c r="O1260" s="49"/>
      <c r="P1260" s="49"/>
      <c r="Q1260" s="49"/>
      <c r="R1260" s="49"/>
      <c r="S1260" s="49"/>
      <c r="T1260" s="49"/>
      <c r="U1260" s="49"/>
      <c r="V1260" s="49"/>
      <c r="W1260" s="49"/>
      <c r="X1260" s="49"/>
      <c r="Y1260" s="49"/>
      <c r="Z1260" s="49"/>
      <c r="AA1260" s="49"/>
      <c r="AB1260" s="49"/>
      <c r="AC1260" s="49"/>
      <c r="AD1260" s="49"/>
    </row>
    <row r="1261" spans="1:30" ht="13">
      <c r="A1261" s="141"/>
      <c r="B1261" s="141"/>
      <c r="C1261" s="141"/>
      <c r="D1261" s="49"/>
      <c r="E1261" s="49"/>
      <c r="F1261" s="49"/>
      <c r="G1261" s="49"/>
      <c r="H1261" s="49"/>
      <c r="I1261" s="49"/>
      <c r="J1261" s="49"/>
      <c r="K1261" s="49"/>
      <c r="L1261" s="49"/>
      <c r="M1261" s="49"/>
      <c r="N1261" s="49"/>
      <c r="O1261" s="49"/>
      <c r="P1261" s="49"/>
      <c r="Q1261" s="49"/>
      <c r="R1261" s="49"/>
      <c r="S1261" s="49"/>
      <c r="T1261" s="49"/>
      <c r="U1261" s="49"/>
      <c r="V1261" s="49"/>
      <c r="W1261" s="49"/>
      <c r="X1261" s="49"/>
      <c r="Y1261" s="49"/>
      <c r="Z1261" s="49"/>
      <c r="AA1261" s="49"/>
      <c r="AB1261" s="49"/>
      <c r="AC1261" s="49"/>
      <c r="AD1261" s="49"/>
    </row>
    <row r="1262" spans="1:30" ht="13">
      <c r="A1262" s="141"/>
      <c r="B1262" s="141"/>
      <c r="C1262" s="141"/>
      <c r="D1262" s="49"/>
      <c r="E1262" s="49"/>
      <c r="F1262" s="49"/>
      <c r="G1262" s="49"/>
      <c r="H1262" s="49"/>
      <c r="I1262" s="49"/>
      <c r="J1262" s="49"/>
      <c r="K1262" s="49"/>
      <c r="L1262" s="49"/>
      <c r="M1262" s="49"/>
      <c r="N1262" s="49"/>
      <c r="O1262" s="49"/>
      <c r="P1262" s="49"/>
      <c r="Q1262" s="49"/>
      <c r="R1262" s="49"/>
      <c r="S1262" s="49"/>
      <c r="T1262" s="49"/>
      <c r="U1262" s="49"/>
      <c r="V1262" s="49"/>
      <c r="W1262" s="49"/>
      <c r="X1262" s="49"/>
      <c r="Y1262" s="49"/>
      <c r="Z1262" s="49"/>
      <c r="AA1262" s="49"/>
      <c r="AB1262" s="49"/>
      <c r="AC1262" s="49"/>
      <c r="AD1262" s="49"/>
    </row>
    <row r="1263" spans="1:30" ht="13">
      <c r="A1263" s="141"/>
      <c r="B1263" s="141"/>
      <c r="C1263" s="141"/>
      <c r="D1263" s="49"/>
      <c r="E1263" s="49"/>
      <c r="F1263" s="49"/>
      <c r="G1263" s="49"/>
      <c r="H1263" s="49"/>
      <c r="I1263" s="49"/>
      <c r="J1263" s="49"/>
      <c r="K1263" s="49"/>
      <c r="L1263" s="49"/>
      <c r="M1263" s="49"/>
      <c r="N1263" s="49"/>
      <c r="O1263" s="49"/>
      <c r="P1263" s="49"/>
      <c r="Q1263" s="49"/>
      <c r="R1263" s="49"/>
      <c r="S1263" s="49"/>
      <c r="T1263" s="49"/>
      <c r="U1263" s="49"/>
      <c r="V1263" s="49"/>
      <c r="W1263" s="49"/>
      <c r="X1263" s="49"/>
      <c r="Y1263" s="49"/>
      <c r="Z1263" s="49"/>
      <c r="AA1263" s="49"/>
      <c r="AB1263" s="49"/>
      <c r="AC1263" s="49"/>
      <c r="AD1263" s="49"/>
    </row>
    <row r="1264" spans="1:30" ht="13">
      <c r="A1264" s="141"/>
      <c r="B1264" s="141"/>
      <c r="C1264" s="141"/>
      <c r="D1264" s="49"/>
      <c r="E1264" s="49"/>
      <c r="F1264" s="49"/>
      <c r="G1264" s="49"/>
      <c r="H1264" s="49"/>
      <c r="I1264" s="49"/>
      <c r="J1264" s="49"/>
      <c r="K1264" s="49"/>
      <c r="L1264" s="49"/>
      <c r="M1264" s="49"/>
      <c r="N1264" s="49"/>
      <c r="O1264" s="49"/>
      <c r="P1264" s="49"/>
      <c r="Q1264" s="49"/>
      <c r="R1264" s="49"/>
      <c r="S1264" s="49"/>
      <c r="T1264" s="49"/>
      <c r="U1264" s="49"/>
      <c r="V1264" s="49"/>
      <c r="W1264" s="49"/>
      <c r="X1264" s="49"/>
      <c r="Y1264" s="49"/>
      <c r="Z1264" s="49"/>
      <c r="AA1264" s="49"/>
      <c r="AB1264" s="49"/>
      <c r="AC1264" s="49"/>
      <c r="AD1264" s="49"/>
    </row>
    <row r="1265" spans="1:30" ht="13">
      <c r="A1265" s="141"/>
      <c r="B1265" s="141"/>
      <c r="C1265" s="141"/>
      <c r="D1265" s="49"/>
      <c r="E1265" s="49"/>
      <c r="F1265" s="49"/>
      <c r="G1265" s="49"/>
      <c r="H1265" s="49"/>
      <c r="I1265" s="49"/>
      <c r="J1265" s="49"/>
      <c r="K1265" s="49"/>
      <c r="L1265" s="49"/>
      <c r="M1265" s="49"/>
      <c r="N1265" s="49"/>
      <c r="O1265" s="49"/>
      <c r="P1265" s="49"/>
      <c r="Q1265" s="49"/>
      <c r="R1265" s="49"/>
      <c r="S1265" s="49"/>
      <c r="T1265" s="49"/>
      <c r="U1265" s="49"/>
      <c r="V1265" s="49"/>
      <c r="W1265" s="49"/>
      <c r="X1265" s="49"/>
      <c r="Y1265" s="49"/>
      <c r="Z1265" s="49"/>
      <c r="AA1265" s="49"/>
      <c r="AB1265" s="49"/>
      <c r="AC1265" s="49"/>
      <c r="AD1265" s="49"/>
    </row>
    <row r="1266" spans="1:30" ht="13">
      <c r="A1266" s="141"/>
      <c r="B1266" s="141"/>
      <c r="C1266" s="141"/>
      <c r="D1266" s="49"/>
      <c r="E1266" s="49"/>
      <c r="F1266" s="49"/>
      <c r="G1266" s="49"/>
      <c r="H1266" s="49"/>
      <c r="I1266" s="49"/>
      <c r="J1266" s="49"/>
      <c r="K1266" s="49"/>
      <c r="L1266" s="49"/>
      <c r="M1266" s="49"/>
      <c r="N1266" s="49"/>
      <c r="O1266" s="49"/>
      <c r="P1266" s="49"/>
      <c r="Q1266" s="49"/>
      <c r="R1266" s="49"/>
      <c r="S1266" s="49"/>
      <c r="T1266" s="49"/>
      <c r="U1266" s="49"/>
      <c r="V1266" s="49"/>
      <c r="W1266" s="49"/>
      <c r="X1266" s="49"/>
      <c r="Y1266" s="49"/>
      <c r="Z1266" s="49"/>
      <c r="AA1266" s="49"/>
      <c r="AB1266" s="49"/>
      <c r="AC1266" s="49"/>
      <c r="AD1266" s="49"/>
    </row>
    <row r="1267" spans="1:30" ht="13">
      <c r="A1267" s="141"/>
      <c r="B1267" s="141"/>
      <c r="C1267" s="141"/>
      <c r="D1267" s="49"/>
      <c r="E1267" s="49"/>
      <c r="F1267" s="49"/>
      <c r="G1267" s="49"/>
      <c r="H1267" s="49"/>
      <c r="I1267" s="49"/>
      <c r="J1267" s="49"/>
      <c r="K1267" s="49"/>
      <c r="L1267" s="49"/>
      <c r="M1267" s="49"/>
      <c r="N1267" s="49"/>
      <c r="O1267" s="49"/>
      <c r="P1267" s="49"/>
      <c r="Q1267" s="49"/>
      <c r="R1267" s="49"/>
      <c r="S1267" s="49"/>
      <c r="T1267" s="49"/>
      <c r="U1267" s="49"/>
      <c r="V1267" s="49"/>
      <c r="W1267" s="49"/>
      <c r="X1267" s="49"/>
      <c r="Y1267" s="49"/>
      <c r="Z1267" s="49"/>
      <c r="AA1267" s="49"/>
      <c r="AB1267" s="49"/>
      <c r="AC1267" s="49"/>
      <c r="AD1267" s="49"/>
    </row>
    <row r="1268" spans="1:30" ht="13">
      <c r="A1268" s="141"/>
      <c r="B1268" s="141"/>
      <c r="C1268" s="141"/>
      <c r="D1268" s="49"/>
      <c r="E1268" s="49"/>
      <c r="F1268" s="49"/>
      <c r="G1268" s="49"/>
      <c r="H1268" s="49"/>
      <c r="I1268" s="49"/>
      <c r="J1268" s="49"/>
      <c r="K1268" s="49"/>
      <c r="L1268" s="49"/>
      <c r="M1268" s="49"/>
      <c r="N1268" s="49"/>
      <c r="O1268" s="49"/>
      <c r="P1268" s="49"/>
      <c r="Q1268" s="49"/>
      <c r="R1268" s="49"/>
      <c r="S1268" s="49"/>
      <c r="T1268" s="49"/>
      <c r="U1268" s="49"/>
      <c r="V1268" s="49"/>
      <c r="W1268" s="49"/>
      <c r="X1268" s="49"/>
      <c r="Y1268" s="49"/>
      <c r="Z1268" s="49"/>
      <c r="AA1268" s="49"/>
      <c r="AB1268" s="49"/>
      <c r="AC1268" s="49"/>
      <c r="AD1268" s="49"/>
    </row>
    <row r="1269" spans="1:30" ht="13">
      <c r="A1269" s="141"/>
      <c r="B1269" s="141"/>
      <c r="C1269" s="141"/>
      <c r="D1269" s="49"/>
      <c r="E1269" s="49"/>
      <c r="F1269" s="49"/>
      <c r="G1269" s="49"/>
      <c r="H1269" s="49"/>
      <c r="I1269" s="49"/>
      <c r="J1269" s="49"/>
      <c r="K1269" s="49"/>
      <c r="L1269" s="49"/>
      <c r="M1269" s="49"/>
      <c r="N1269" s="49"/>
      <c r="O1269" s="49"/>
      <c r="P1269" s="49"/>
      <c r="Q1269" s="49"/>
      <c r="R1269" s="49"/>
      <c r="S1269" s="49"/>
      <c r="T1269" s="49"/>
      <c r="U1269" s="49"/>
      <c r="V1269" s="49"/>
      <c r="W1269" s="49"/>
      <c r="X1269" s="49"/>
      <c r="Y1269" s="49"/>
      <c r="Z1269" s="49"/>
      <c r="AA1269" s="49"/>
      <c r="AB1269" s="49"/>
      <c r="AC1269" s="49"/>
      <c r="AD1269" s="49"/>
    </row>
    <row r="1270" spans="1:30" ht="13">
      <c r="A1270" s="141"/>
      <c r="B1270" s="141"/>
      <c r="C1270" s="141"/>
      <c r="D1270" s="49"/>
      <c r="E1270" s="49"/>
      <c r="F1270" s="49"/>
      <c r="G1270" s="49"/>
      <c r="H1270" s="49"/>
      <c r="I1270" s="49"/>
      <c r="J1270" s="49"/>
      <c r="K1270" s="49"/>
      <c r="L1270" s="49"/>
      <c r="M1270" s="49"/>
      <c r="N1270" s="49"/>
      <c r="O1270" s="49"/>
      <c r="P1270" s="49"/>
      <c r="Q1270" s="49"/>
      <c r="R1270" s="49"/>
      <c r="S1270" s="49"/>
      <c r="T1270" s="49"/>
      <c r="U1270" s="49"/>
      <c r="V1270" s="49"/>
      <c r="W1270" s="49"/>
      <c r="X1270" s="49"/>
      <c r="Y1270" s="49"/>
      <c r="Z1270" s="49"/>
      <c r="AA1270" s="49"/>
      <c r="AB1270" s="49"/>
      <c r="AC1270" s="49"/>
      <c r="AD1270" s="49"/>
    </row>
    <row r="1271" spans="1:30" ht="13">
      <c r="A1271" s="141"/>
      <c r="B1271" s="141"/>
      <c r="C1271" s="141"/>
      <c r="D1271" s="49"/>
      <c r="E1271" s="49"/>
      <c r="F1271" s="49"/>
      <c r="G1271" s="49"/>
      <c r="H1271" s="49"/>
      <c r="I1271" s="49"/>
      <c r="J1271" s="49"/>
      <c r="K1271" s="49"/>
      <c r="L1271" s="49"/>
      <c r="M1271" s="49"/>
      <c r="N1271" s="49"/>
      <c r="O1271" s="49"/>
      <c r="P1271" s="49"/>
      <c r="Q1271" s="49"/>
      <c r="R1271" s="49"/>
      <c r="S1271" s="49"/>
      <c r="T1271" s="49"/>
      <c r="U1271" s="49"/>
      <c r="V1271" s="49"/>
      <c r="W1271" s="49"/>
      <c r="X1271" s="49"/>
      <c r="Y1271" s="49"/>
      <c r="Z1271" s="49"/>
      <c r="AA1271" s="49"/>
      <c r="AB1271" s="49"/>
      <c r="AC1271" s="49"/>
      <c r="AD1271" s="49"/>
    </row>
    <row r="1272" spans="1:30" ht="13">
      <c r="A1272" s="141"/>
      <c r="B1272" s="141"/>
      <c r="C1272" s="141"/>
      <c r="D1272" s="49"/>
      <c r="E1272" s="49"/>
      <c r="F1272" s="49"/>
      <c r="G1272" s="49"/>
      <c r="H1272" s="49"/>
      <c r="I1272" s="49"/>
      <c r="J1272" s="49"/>
      <c r="K1272" s="49"/>
      <c r="L1272" s="49"/>
      <c r="M1272" s="49"/>
      <c r="N1272" s="49"/>
      <c r="O1272" s="49"/>
      <c r="P1272" s="49"/>
      <c r="Q1272" s="49"/>
      <c r="R1272" s="49"/>
      <c r="S1272" s="49"/>
      <c r="T1272" s="49"/>
      <c r="U1272" s="49"/>
      <c r="V1272" s="49"/>
      <c r="W1272" s="49"/>
      <c r="X1272" s="49"/>
      <c r="Y1272" s="49"/>
      <c r="Z1272" s="49"/>
      <c r="AA1272" s="49"/>
      <c r="AB1272" s="49"/>
      <c r="AC1272" s="49"/>
      <c r="AD1272" s="49"/>
    </row>
    <row r="1273" spans="1:30" ht="13">
      <c r="A1273" s="141"/>
      <c r="B1273" s="141"/>
      <c r="C1273" s="141"/>
      <c r="D1273" s="49"/>
      <c r="E1273" s="49"/>
      <c r="F1273" s="49"/>
      <c r="G1273" s="49"/>
      <c r="H1273" s="49"/>
      <c r="I1273" s="49"/>
      <c r="J1273" s="49"/>
      <c r="K1273" s="49"/>
      <c r="L1273" s="49"/>
      <c r="M1273" s="49"/>
      <c r="N1273" s="49"/>
      <c r="O1273" s="49"/>
      <c r="P1273" s="49"/>
      <c r="Q1273" s="49"/>
      <c r="R1273" s="49"/>
      <c r="S1273" s="49"/>
      <c r="T1273" s="49"/>
      <c r="U1273" s="49"/>
      <c r="V1273" s="49"/>
      <c r="W1273" s="49"/>
      <c r="X1273" s="49"/>
      <c r="Y1273" s="49"/>
      <c r="Z1273" s="49"/>
      <c r="AA1273" s="49"/>
      <c r="AB1273" s="49"/>
      <c r="AC1273" s="49"/>
      <c r="AD1273" s="49"/>
    </row>
    <row r="1274" spans="1:30" ht="13">
      <c r="A1274" s="141"/>
      <c r="B1274" s="141"/>
      <c r="C1274" s="141"/>
      <c r="D1274" s="49"/>
      <c r="E1274" s="49"/>
      <c r="F1274" s="49"/>
      <c r="G1274" s="49"/>
      <c r="H1274" s="49"/>
      <c r="I1274" s="49"/>
      <c r="J1274" s="49"/>
      <c r="K1274" s="49"/>
      <c r="L1274" s="49"/>
      <c r="M1274" s="49"/>
      <c r="N1274" s="49"/>
      <c r="O1274" s="49"/>
      <c r="P1274" s="49"/>
      <c r="Q1274" s="49"/>
      <c r="R1274" s="49"/>
      <c r="S1274" s="49"/>
      <c r="T1274" s="49"/>
      <c r="U1274" s="49"/>
      <c r="V1274" s="49"/>
      <c r="W1274" s="49"/>
      <c r="X1274" s="49"/>
      <c r="Y1274" s="49"/>
      <c r="Z1274" s="49"/>
      <c r="AA1274" s="49"/>
      <c r="AB1274" s="49"/>
      <c r="AC1274" s="49"/>
      <c r="AD1274" s="49"/>
    </row>
    <row r="1275" spans="1:30" ht="13">
      <c r="A1275" s="141"/>
      <c r="B1275" s="141"/>
      <c r="C1275" s="141"/>
      <c r="D1275" s="49"/>
      <c r="E1275" s="49"/>
      <c r="F1275" s="49"/>
      <c r="G1275" s="49"/>
      <c r="H1275" s="49"/>
      <c r="I1275" s="49"/>
      <c r="J1275" s="49"/>
      <c r="K1275" s="49"/>
      <c r="L1275" s="49"/>
      <c r="M1275" s="49"/>
      <c r="N1275" s="49"/>
      <c r="O1275" s="49"/>
      <c r="P1275" s="49"/>
      <c r="Q1275" s="49"/>
      <c r="R1275" s="49"/>
      <c r="S1275" s="49"/>
      <c r="T1275" s="49"/>
      <c r="U1275" s="49"/>
      <c r="V1275" s="49"/>
      <c r="W1275" s="49"/>
      <c r="X1275" s="49"/>
      <c r="Y1275" s="49"/>
      <c r="Z1275" s="49"/>
      <c r="AA1275" s="49"/>
      <c r="AB1275" s="49"/>
      <c r="AC1275" s="49"/>
      <c r="AD1275" s="49"/>
    </row>
    <row r="1276" spans="1:30" ht="13">
      <c r="A1276" s="141"/>
      <c r="B1276" s="141"/>
      <c r="C1276" s="141"/>
      <c r="D1276" s="49"/>
      <c r="E1276" s="49"/>
      <c r="F1276" s="49"/>
      <c r="G1276" s="49"/>
      <c r="H1276" s="49"/>
      <c r="I1276" s="49"/>
      <c r="J1276" s="49"/>
      <c r="K1276" s="49"/>
      <c r="L1276" s="49"/>
      <c r="M1276" s="49"/>
      <c r="N1276" s="49"/>
      <c r="O1276" s="49"/>
      <c r="P1276" s="49"/>
      <c r="Q1276" s="49"/>
      <c r="R1276" s="49"/>
      <c r="S1276" s="49"/>
      <c r="T1276" s="49"/>
      <c r="U1276" s="49"/>
      <c r="V1276" s="49"/>
      <c r="W1276" s="49"/>
      <c r="X1276" s="49"/>
      <c r="Y1276" s="49"/>
      <c r="Z1276" s="49"/>
      <c r="AA1276" s="49"/>
      <c r="AB1276" s="49"/>
      <c r="AC1276" s="49"/>
      <c r="AD1276" s="49"/>
    </row>
    <row r="1277" spans="1:30" ht="13">
      <c r="A1277" s="141"/>
      <c r="B1277" s="141"/>
      <c r="C1277" s="141"/>
      <c r="D1277" s="49"/>
      <c r="E1277" s="49"/>
      <c r="F1277" s="49"/>
      <c r="G1277" s="49"/>
      <c r="H1277" s="49"/>
      <c r="I1277" s="49"/>
      <c r="J1277" s="49"/>
      <c r="K1277" s="49"/>
      <c r="L1277" s="49"/>
      <c r="M1277" s="49"/>
      <c r="N1277" s="49"/>
      <c r="O1277" s="49"/>
      <c r="P1277" s="49"/>
      <c r="Q1277" s="49"/>
      <c r="R1277" s="49"/>
      <c r="S1277" s="49"/>
      <c r="T1277" s="49"/>
      <c r="U1277" s="49"/>
      <c r="V1277" s="49"/>
      <c r="W1277" s="49"/>
      <c r="X1277" s="49"/>
      <c r="Y1277" s="49"/>
      <c r="Z1277" s="49"/>
      <c r="AA1277" s="49"/>
      <c r="AB1277" s="49"/>
      <c r="AC1277" s="49"/>
      <c r="AD1277" s="49"/>
    </row>
    <row r="1278" spans="1:30" ht="13">
      <c r="A1278" s="141"/>
      <c r="B1278" s="141"/>
      <c r="C1278" s="141"/>
      <c r="D1278" s="49"/>
      <c r="E1278" s="49"/>
      <c r="F1278" s="49"/>
      <c r="G1278" s="49"/>
      <c r="H1278" s="49"/>
      <c r="I1278" s="49"/>
      <c r="J1278" s="49"/>
      <c r="K1278" s="49"/>
      <c r="L1278" s="49"/>
      <c r="M1278" s="49"/>
      <c r="N1278" s="49"/>
      <c r="O1278" s="49"/>
      <c r="P1278" s="49"/>
      <c r="Q1278" s="49"/>
      <c r="R1278" s="49"/>
      <c r="S1278" s="49"/>
      <c r="T1278" s="49"/>
      <c r="U1278" s="49"/>
      <c r="V1278" s="49"/>
      <c r="W1278" s="49"/>
      <c r="X1278" s="49"/>
      <c r="Y1278" s="49"/>
      <c r="Z1278" s="49"/>
      <c r="AA1278" s="49"/>
      <c r="AB1278" s="49"/>
      <c r="AC1278" s="49"/>
      <c r="AD1278" s="49"/>
    </row>
    <row r="1279" spans="1:30" ht="13">
      <c r="A1279" s="141"/>
      <c r="B1279" s="141"/>
      <c r="C1279" s="141"/>
      <c r="D1279" s="49"/>
      <c r="E1279" s="49"/>
      <c r="F1279" s="49"/>
      <c r="G1279" s="49"/>
      <c r="H1279" s="49"/>
      <c r="I1279" s="49"/>
      <c r="J1279" s="49"/>
      <c r="K1279" s="49"/>
      <c r="L1279" s="49"/>
      <c r="M1279" s="49"/>
      <c r="N1279" s="49"/>
      <c r="O1279" s="49"/>
      <c r="P1279" s="49"/>
      <c r="Q1279" s="49"/>
      <c r="R1279" s="49"/>
      <c r="S1279" s="49"/>
      <c r="T1279" s="49"/>
      <c r="U1279" s="49"/>
      <c r="V1279" s="49"/>
      <c r="W1279" s="49"/>
      <c r="X1279" s="49"/>
      <c r="Y1279" s="49"/>
      <c r="Z1279" s="49"/>
      <c r="AA1279" s="49"/>
      <c r="AB1279" s="49"/>
      <c r="AC1279" s="49"/>
      <c r="AD1279" s="49"/>
    </row>
    <row r="1280" spans="1:30" ht="13">
      <c r="A1280" s="141"/>
      <c r="B1280" s="141"/>
      <c r="C1280" s="141"/>
      <c r="D1280" s="49"/>
      <c r="E1280" s="49"/>
      <c r="F1280" s="49"/>
      <c r="G1280" s="49"/>
      <c r="H1280" s="49"/>
      <c r="I1280" s="49"/>
      <c r="J1280" s="49"/>
      <c r="K1280" s="49"/>
      <c r="L1280" s="49"/>
      <c r="M1280" s="49"/>
      <c r="N1280" s="49"/>
      <c r="O1280" s="49"/>
      <c r="P1280" s="49"/>
      <c r="Q1280" s="49"/>
      <c r="R1280" s="49"/>
      <c r="S1280" s="49"/>
      <c r="T1280" s="49"/>
      <c r="U1280" s="49"/>
      <c r="V1280" s="49"/>
      <c r="W1280" s="49"/>
      <c r="X1280" s="49"/>
      <c r="Y1280" s="49"/>
      <c r="Z1280" s="49"/>
      <c r="AA1280" s="49"/>
      <c r="AB1280" s="49"/>
      <c r="AC1280" s="49"/>
      <c r="AD1280" s="49"/>
    </row>
    <row r="1281" spans="1:30" ht="13">
      <c r="A1281" s="141"/>
      <c r="B1281" s="141"/>
      <c r="C1281" s="141"/>
      <c r="D1281" s="49"/>
      <c r="E1281" s="49"/>
      <c r="F1281" s="49"/>
      <c r="G1281" s="49"/>
      <c r="H1281" s="49"/>
      <c r="I1281" s="49"/>
      <c r="J1281" s="49"/>
      <c r="K1281" s="49"/>
      <c r="L1281" s="49"/>
      <c r="M1281" s="49"/>
      <c r="N1281" s="49"/>
      <c r="O1281" s="49"/>
      <c r="P1281" s="49"/>
      <c r="Q1281" s="49"/>
      <c r="R1281" s="49"/>
      <c r="S1281" s="49"/>
      <c r="T1281" s="49"/>
      <c r="U1281" s="49"/>
      <c r="V1281" s="49"/>
      <c r="W1281" s="49"/>
      <c r="X1281" s="49"/>
      <c r="Y1281" s="49"/>
      <c r="Z1281" s="49"/>
      <c r="AA1281" s="49"/>
      <c r="AB1281" s="49"/>
      <c r="AC1281" s="49"/>
      <c r="AD1281" s="49"/>
    </row>
    <row r="1282" spans="1:30" ht="13">
      <c r="A1282" s="141"/>
      <c r="B1282" s="141"/>
      <c r="C1282" s="141"/>
      <c r="D1282" s="49"/>
      <c r="E1282" s="49"/>
      <c r="F1282" s="49"/>
      <c r="G1282" s="49"/>
      <c r="H1282" s="49"/>
      <c r="I1282" s="49"/>
      <c r="J1282" s="49"/>
      <c r="K1282" s="49"/>
      <c r="L1282" s="49"/>
      <c r="M1282" s="49"/>
      <c r="N1282" s="49"/>
      <c r="O1282" s="49"/>
      <c r="P1282" s="49"/>
      <c r="Q1282" s="49"/>
      <c r="R1282" s="49"/>
      <c r="S1282" s="49"/>
      <c r="T1282" s="49"/>
      <c r="U1282" s="49"/>
      <c r="V1282" s="49"/>
      <c r="W1282" s="49"/>
      <c r="X1282" s="49"/>
      <c r="Y1282" s="49"/>
      <c r="Z1282" s="49"/>
      <c r="AA1282" s="49"/>
      <c r="AB1282" s="49"/>
      <c r="AC1282" s="49"/>
      <c r="AD1282" s="49"/>
    </row>
    <row r="1283" spans="1:30" ht="13">
      <c r="A1283" s="141"/>
      <c r="B1283" s="141"/>
      <c r="C1283" s="141"/>
      <c r="D1283" s="49"/>
      <c r="E1283" s="49"/>
      <c r="F1283" s="49"/>
      <c r="G1283" s="49"/>
      <c r="H1283" s="49"/>
      <c r="I1283" s="49"/>
      <c r="J1283" s="49"/>
      <c r="K1283" s="49"/>
      <c r="L1283" s="49"/>
      <c r="M1283" s="49"/>
      <c r="N1283" s="49"/>
      <c r="O1283" s="49"/>
      <c r="P1283" s="49"/>
      <c r="Q1283" s="49"/>
      <c r="R1283" s="49"/>
      <c r="S1283" s="49"/>
      <c r="T1283" s="49"/>
      <c r="U1283" s="49"/>
      <c r="V1283" s="49"/>
      <c r="W1283" s="49"/>
      <c r="X1283" s="49"/>
      <c r="Y1283" s="49"/>
      <c r="Z1283" s="49"/>
      <c r="AA1283" s="49"/>
      <c r="AB1283" s="49"/>
      <c r="AC1283" s="49"/>
      <c r="AD1283" s="49"/>
    </row>
    <row r="1284" spans="1:30" ht="13">
      <c r="A1284" s="141"/>
      <c r="B1284" s="141"/>
      <c r="C1284" s="141"/>
      <c r="D1284" s="49"/>
      <c r="E1284" s="49"/>
      <c r="F1284" s="49"/>
      <c r="G1284" s="49"/>
      <c r="H1284" s="49"/>
      <c r="I1284" s="49"/>
      <c r="J1284" s="49"/>
      <c r="K1284" s="49"/>
      <c r="L1284" s="49"/>
      <c r="M1284" s="49"/>
      <c r="N1284" s="49"/>
      <c r="O1284" s="49"/>
      <c r="P1284" s="49"/>
      <c r="Q1284" s="49"/>
      <c r="R1284" s="49"/>
      <c r="S1284" s="49"/>
      <c r="T1284" s="49"/>
      <c r="U1284" s="49"/>
      <c r="V1284" s="49"/>
      <c r="W1284" s="49"/>
      <c r="X1284" s="49"/>
      <c r="Y1284" s="49"/>
      <c r="Z1284" s="49"/>
      <c r="AA1284" s="49"/>
      <c r="AB1284" s="49"/>
      <c r="AC1284" s="49"/>
      <c r="AD1284" s="49"/>
    </row>
    <row r="1285" spans="1:30" ht="13">
      <c r="A1285" s="141"/>
      <c r="B1285" s="141"/>
      <c r="C1285" s="141"/>
      <c r="D1285" s="49"/>
      <c r="E1285" s="49"/>
      <c r="F1285" s="49"/>
      <c r="G1285" s="49"/>
      <c r="H1285" s="49"/>
      <c r="I1285" s="49"/>
      <c r="J1285" s="49"/>
      <c r="K1285" s="49"/>
      <c r="L1285" s="49"/>
      <c r="M1285" s="49"/>
      <c r="N1285" s="49"/>
      <c r="O1285" s="49"/>
      <c r="P1285" s="49"/>
      <c r="Q1285" s="49"/>
      <c r="R1285" s="49"/>
      <c r="S1285" s="49"/>
      <c r="T1285" s="49"/>
      <c r="U1285" s="49"/>
      <c r="V1285" s="49"/>
      <c r="W1285" s="49"/>
      <c r="X1285" s="49"/>
      <c r="Y1285" s="49"/>
      <c r="Z1285" s="49"/>
      <c r="AA1285" s="49"/>
      <c r="AB1285" s="49"/>
      <c r="AC1285" s="49"/>
      <c r="AD1285" s="49"/>
    </row>
    <row r="1286" spans="1:30" ht="13">
      <c r="A1286" s="141"/>
      <c r="B1286" s="141"/>
      <c r="C1286" s="141"/>
      <c r="D1286" s="49"/>
      <c r="E1286" s="49"/>
      <c r="F1286" s="49"/>
      <c r="G1286" s="49"/>
      <c r="H1286" s="49"/>
      <c r="I1286" s="49"/>
      <c r="J1286" s="49"/>
      <c r="K1286" s="49"/>
      <c r="L1286" s="49"/>
      <c r="M1286" s="49"/>
      <c r="N1286" s="49"/>
      <c r="O1286" s="49"/>
      <c r="P1286" s="49"/>
      <c r="Q1286" s="49"/>
      <c r="R1286" s="49"/>
      <c r="S1286" s="49"/>
      <c r="T1286" s="49"/>
      <c r="U1286" s="49"/>
      <c r="V1286" s="49"/>
      <c r="W1286" s="49"/>
      <c r="X1286" s="49"/>
      <c r="Y1286" s="49"/>
      <c r="Z1286" s="49"/>
      <c r="AA1286" s="49"/>
      <c r="AB1286" s="49"/>
      <c r="AC1286" s="49"/>
      <c r="AD1286" s="49"/>
    </row>
    <row r="1287" spans="1:30" ht="13">
      <c r="A1287" s="141"/>
      <c r="B1287" s="141"/>
      <c r="C1287" s="141"/>
      <c r="D1287" s="49"/>
      <c r="E1287" s="49"/>
      <c r="F1287" s="49"/>
      <c r="G1287" s="49"/>
      <c r="H1287" s="49"/>
      <c r="I1287" s="49"/>
      <c r="J1287" s="49"/>
      <c r="K1287" s="49"/>
      <c r="L1287" s="49"/>
      <c r="M1287" s="49"/>
      <c r="N1287" s="49"/>
      <c r="O1287" s="49"/>
      <c r="P1287" s="49"/>
      <c r="Q1287" s="49"/>
      <c r="R1287" s="49"/>
      <c r="S1287" s="49"/>
      <c r="T1287" s="49"/>
      <c r="U1287" s="49"/>
      <c r="V1287" s="49"/>
      <c r="W1287" s="49"/>
      <c r="X1287" s="49"/>
      <c r="Y1287" s="49"/>
      <c r="Z1287" s="49"/>
      <c r="AA1287" s="49"/>
      <c r="AB1287" s="49"/>
      <c r="AC1287" s="49"/>
      <c r="AD1287" s="49"/>
    </row>
    <row r="1288" spans="1:30" ht="13">
      <c r="A1288" s="141"/>
      <c r="B1288" s="141"/>
      <c r="C1288" s="141"/>
      <c r="D1288" s="49"/>
      <c r="E1288" s="49"/>
      <c r="F1288" s="49"/>
      <c r="G1288" s="49"/>
      <c r="H1288" s="49"/>
      <c r="I1288" s="49"/>
      <c r="J1288" s="49"/>
      <c r="K1288" s="49"/>
      <c r="L1288" s="49"/>
      <c r="M1288" s="49"/>
      <c r="N1288" s="49"/>
      <c r="O1288" s="49"/>
      <c r="P1288" s="49"/>
      <c r="Q1288" s="49"/>
      <c r="R1288" s="49"/>
      <c r="S1288" s="49"/>
      <c r="T1288" s="49"/>
      <c r="U1288" s="49"/>
      <c r="V1288" s="49"/>
      <c r="W1288" s="49"/>
      <c r="X1288" s="49"/>
      <c r="Y1288" s="49"/>
      <c r="Z1288" s="49"/>
      <c r="AA1288" s="49"/>
      <c r="AB1288" s="49"/>
      <c r="AC1288" s="49"/>
      <c r="AD1288" s="49"/>
    </row>
    <row r="1289" spans="1:30" ht="13">
      <c r="A1289" s="141"/>
      <c r="B1289" s="141"/>
      <c r="C1289" s="141"/>
      <c r="D1289" s="49"/>
      <c r="E1289" s="49"/>
      <c r="F1289" s="49"/>
      <c r="G1289" s="49"/>
      <c r="H1289" s="49"/>
      <c r="I1289" s="49"/>
      <c r="J1289" s="49"/>
      <c r="K1289" s="49"/>
      <c r="L1289" s="49"/>
      <c r="M1289" s="49"/>
      <c r="N1289" s="49"/>
      <c r="O1289" s="49"/>
      <c r="P1289" s="49"/>
      <c r="Q1289" s="49"/>
      <c r="R1289" s="49"/>
      <c r="S1289" s="49"/>
      <c r="T1289" s="49"/>
      <c r="U1289" s="49"/>
      <c r="V1289" s="49"/>
      <c r="W1289" s="49"/>
      <c r="X1289" s="49"/>
      <c r="Y1289" s="49"/>
      <c r="Z1289" s="49"/>
      <c r="AA1289" s="49"/>
      <c r="AB1289" s="49"/>
      <c r="AC1289" s="49"/>
      <c r="AD1289" s="49"/>
    </row>
    <row r="1290" spans="1:30" ht="13">
      <c r="A1290" s="141"/>
      <c r="B1290" s="141"/>
      <c r="C1290" s="141"/>
      <c r="D1290" s="49"/>
      <c r="E1290" s="49"/>
      <c r="F1290" s="49"/>
      <c r="G1290" s="49"/>
      <c r="H1290" s="49"/>
      <c r="I1290" s="49"/>
      <c r="J1290" s="49"/>
      <c r="K1290" s="49"/>
      <c r="L1290" s="49"/>
      <c r="M1290" s="49"/>
      <c r="N1290" s="49"/>
      <c r="O1290" s="49"/>
      <c r="P1290" s="49"/>
      <c r="Q1290" s="49"/>
      <c r="R1290" s="49"/>
      <c r="S1290" s="49"/>
      <c r="T1290" s="49"/>
      <c r="U1290" s="49"/>
      <c r="V1290" s="49"/>
      <c r="W1290" s="49"/>
      <c r="X1290" s="49"/>
      <c r="Y1290" s="49"/>
      <c r="Z1290" s="49"/>
      <c r="AA1290" s="49"/>
      <c r="AB1290" s="49"/>
      <c r="AC1290" s="49"/>
      <c r="AD1290" s="49"/>
    </row>
    <row r="1291" spans="1:30" ht="13">
      <c r="A1291" s="141"/>
      <c r="B1291" s="141"/>
      <c r="C1291" s="141"/>
      <c r="D1291" s="49"/>
      <c r="E1291" s="49"/>
      <c r="F1291" s="49"/>
      <c r="G1291" s="49"/>
      <c r="H1291" s="49"/>
      <c r="I1291" s="49"/>
      <c r="J1291" s="49"/>
      <c r="K1291" s="49"/>
      <c r="L1291" s="49"/>
      <c r="M1291" s="49"/>
      <c r="N1291" s="49"/>
      <c r="O1291" s="49"/>
      <c r="P1291" s="49"/>
      <c r="Q1291" s="49"/>
      <c r="R1291" s="49"/>
      <c r="S1291" s="49"/>
      <c r="T1291" s="49"/>
      <c r="U1291" s="49"/>
      <c r="V1291" s="49"/>
      <c r="W1291" s="49"/>
      <c r="X1291" s="49"/>
      <c r="Y1291" s="49"/>
      <c r="Z1291" s="49"/>
      <c r="AA1291" s="49"/>
      <c r="AB1291" s="49"/>
      <c r="AC1291" s="49"/>
      <c r="AD1291" s="49"/>
    </row>
    <row r="1292" spans="1:30" ht="13">
      <c r="A1292" s="141"/>
      <c r="B1292" s="141"/>
      <c r="C1292" s="141"/>
      <c r="D1292" s="49"/>
      <c r="E1292" s="49"/>
      <c r="F1292" s="49"/>
      <c r="G1292" s="49"/>
      <c r="H1292" s="49"/>
      <c r="I1292" s="49"/>
      <c r="J1292" s="49"/>
      <c r="K1292" s="49"/>
      <c r="L1292" s="49"/>
      <c r="M1292" s="49"/>
      <c r="N1292" s="49"/>
      <c r="O1292" s="49"/>
      <c r="P1292" s="49"/>
      <c r="Q1292" s="49"/>
      <c r="R1292" s="49"/>
      <c r="S1292" s="49"/>
      <c r="T1292" s="49"/>
      <c r="U1292" s="49"/>
      <c r="V1292" s="49"/>
      <c r="W1292" s="49"/>
      <c r="X1292" s="49"/>
      <c r="Y1292" s="49"/>
      <c r="Z1292" s="49"/>
      <c r="AA1292" s="49"/>
      <c r="AB1292" s="49"/>
      <c r="AC1292" s="49"/>
      <c r="AD1292" s="49"/>
    </row>
    <row r="1293" spans="1:30" ht="13">
      <c r="A1293" s="141"/>
      <c r="B1293" s="141"/>
      <c r="C1293" s="141"/>
      <c r="D1293" s="49"/>
      <c r="E1293" s="49"/>
      <c r="F1293" s="49"/>
      <c r="G1293" s="49"/>
      <c r="H1293" s="49"/>
      <c r="I1293" s="49"/>
      <c r="J1293" s="49"/>
      <c r="K1293" s="49"/>
      <c r="L1293" s="49"/>
      <c r="M1293" s="49"/>
      <c r="N1293" s="49"/>
      <c r="O1293" s="49"/>
      <c r="P1293" s="49"/>
      <c r="Q1293" s="49"/>
      <c r="R1293" s="49"/>
      <c r="S1293" s="49"/>
      <c r="T1293" s="49"/>
      <c r="U1293" s="49"/>
      <c r="V1293" s="49"/>
      <c r="W1293" s="49"/>
      <c r="X1293" s="49"/>
      <c r="Y1293" s="49"/>
      <c r="Z1293" s="49"/>
      <c r="AA1293" s="49"/>
      <c r="AB1293" s="49"/>
      <c r="AC1293" s="49"/>
      <c r="AD1293" s="49"/>
    </row>
    <row r="1294" spans="1:30" ht="13">
      <c r="A1294" s="141"/>
      <c r="B1294" s="141"/>
      <c r="C1294" s="141"/>
      <c r="D1294" s="49"/>
      <c r="E1294" s="49"/>
      <c r="F1294" s="49"/>
      <c r="G1294" s="49"/>
      <c r="H1294" s="49"/>
      <c r="I1294" s="49"/>
      <c r="J1294" s="49"/>
      <c r="K1294" s="49"/>
      <c r="L1294" s="49"/>
      <c r="M1294" s="49"/>
      <c r="N1294" s="49"/>
      <c r="O1294" s="49"/>
      <c r="P1294" s="49"/>
      <c r="Q1294" s="49"/>
      <c r="R1294" s="49"/>
      <c r="S1294" s="49"/>
      <c r="T1294" s="49"/>
      <c r="U1294" s="49"/>
      <c r="V1294" s="49"/>
      <c r="W1294" s="49"/>
      <c r="X1294" s="49"/>
      <c r="Y1294" s="49"/>
      <c r="Z1294" s="49"/>
      <c r="AA1294" s="49"/>
      <c r="AB1294" s="49"/>
      <c r="AC1294" s="49"/>
      <c r="AD1294" s="49"/>
    </row>
    <row r="1295" spans="1:30" ht="13">
      <c r="A1295" s="141"/>
      <c r="B1295" s="141"/>
      <c r="C1295" s="141"/>
      <c r="D1295" s="49"/>
      <c r="E1295" s="49"/>
      <c r="F1295" s="49"/>
      <c r="G1295" s="49"/>
      <c r="H1295" s="49"/>
      <c r="I1295" s="49"/>
      <c r="J1295" s="49"/>
      <c r="K1295" s="49"/>
      <c r="L1295" s="49"/>
      <c r="M1295" s="49"/>
      <c r="N1295" s="49"/>
      <c r="O1295" s="49"/>
      <c r="P1295" s="49"/>
      <c r="Q1295" s="49"/>
      <c r="R1295" s="49"/>
      <c r="S1295" s="49"/>
      <c r="T1295" s="49"/>
      <c r="U1295" s="49"/>
      <c r="V1295" s="49"/>
      <c r="W1295" s="49"/>
      <c r="X1295" s="49"/>
      <c r="Y1295" s="49"/>
      <c r="Z1295" s="49"/>
      <c r="AA1295" s="49"/>
      <c r="AB1295" s="49"/>
      <c r="AC1295" s="49"/>
      <c r="AD1295" s="49"/>
    </row>
    <row r="1296" spans="1:30" ht="13">
      <c r="A1296" s="141"/>
      <c r="B1296" s="141"/>
      <c r="C1296" s="141"/>
      <c r="D1296" s="49"/>
      <c r="E1296" s="49"/>
      <c r="F1296" s="49"/>
      <c r="G1296" s="49"/>
      <c r="H1296" s="49"/>
      <c r="I1296" s="49"/>
      <c r="J1296" s="49"/>
      <c r="K1296" s="49"/>
      <c r="L1296" s="49"/>
      <c r="M1296" s="49"/>
      <c r="N1296" s="49"/>
      <c r="O1296" s="49"/>
      <c r="P1296" s="49"/>
      <c r="Q1296" s="49"/>
      <c r="R1296" s="49"/>
      <c r="S1296" s="49"/>
      <c r="T1296" s="49"/>
      <c r="U1296" s="49"/>
      <c r="V1296" s="49"/>
      <c r="W1296" s="49"/>
      <c r="X1296" s="49"/>
      <c r="Y1296" s="49"/>
      <c r="Z1296" s="49"/>
      <c r="AA1296" s="49"/>
      <c r="AB1296" s="49"/>
      <c r="AC1296" s="49"/>
      <c r="AD1296" s="49"/>
    </row>
    <row r="1297" spans="1:30" ht="13">
      <c r="A1297" s="141"/>
      <c r="B1297" s="141"/>
      <c r="C1297" s="141"/>
      <c r="D1297" s="49"/>
      <c r="E1297" s="49"/>
      <c r="F1297" s="49"/>
      <c r="G1297" s="49"/>
      <c r="H1297" s="49"/>
      <c r="I1297" s="49"/>
      <c r="J1297" s="49"/>
      <c r="K1297" s="49"/>
      <c r="L1297" s="49"/>
      <c r="M1297" s="49"/>
      <c r="N1297" s="49"/>
      <c r="O1297" s="49"/>
      <c r="P1297" s="49"/>
      <c r="Q1297" s="49"/>
      <c r="R1297" s="49"/>
      <c r="S1297" s="49"/>
      <c r="T1297" s="49"/>
      <c r="U1297" s="49"/>
      <c r="V1297" s="49"/>
      <c r="W1297" s="49"/>
      <c r="X1297" s="49"/>
      <c r="Y1297" s="49"/>
      <c r="Z1297" s="49"/>
      <c r="AA1297" s="49"/>
      <c r="AB1297" s="49"/>
      <c r="AC1297" s="49"/>
      <c r="AD1297" s="49"/>
    </row>
    <row r="1298" spans="1:30" ht="13">
      <c r="A1298" s="141"/>
      <c r="B1298" s="141"/>
      <c r="C1298" s="141"/>
      <c r="D1298" s="49"/>
      <c r="E1298" s="49"/>
      <c r="F1298" s="49"/>
      <c r="G1298" s="49"/>
      <c r="H1298" s="49"/>
      <c r="I1298" s="49"/>
      <c r="J1298" s="49"/>
      <c r="K1298" s="49"/>
      <c r="L1298" s="49"/>
      <c r="M1298" s="49"/>
      <c r="N1298" s="49"/>
      <c r="O1298" s="49"/>
      <c r="P1298" s="49"/>
      <c r="Q1298" s="49"/>
      <c r="R1298" s="49"/>
      <c r="S1298" s="49"/>
      <c r="T1298" s="49"/>
      <c r="U1298" s="49"/>
      <c r="V1298" s="49"/>
      <c r="W1298" s="49"/>
      <c r="X1298" s="49"/>
      <c r="Y1298" s="49"/>
      <c r="Z1298" s="49"/>
      <c r="AA1298" s="49"/>
      <c r="AB1298" s="49"/>
      <c r="AC1298" s="49"/>
      <c r="AD1298" s="49"/>
    </row>
    <row r="1299" spans="1:30" ht="13">
      <c r="A1299" s="141"/>
      <c r="B1299" s="141"/>
      <c r="C1299" s="141"/>
      <c r="D1299" s="49"/>
      <c r="E1299" s="49"/>
      <c r="F1299" s="49"/>
      <c r="G1299" s="49"/>
      <c r="H1299" s="49"/>
      <c r="I1299" s="49"/>
      <c r="J1299" s="49"/>
      <c r="K1299" s="49"/>
      <c r="L1299" s="49"/>
      <c r="M1299" s="49"/>
      <c r="N1299" s="49"/>
      <c r="O1299" s="49"/>
      <c r="P1299" s="49"/>
      <c r="Q1299" s="49"/>
      <c r="R1299" s="49"/>
      <c r="S1299" s="49"/>
      <c r="T1299" s="49"/>
      <c r="U1299" s="49"/>
      <c r="V1299" s="49"/>
      <c r="W1299" s="49"/>
      <c r="X1299" s="49"/>
      <c r="Y1299" s="49"/>
      <c r="Z1299" s="49"/>
      <c r="AA1299" s="49"/>
      <c r="AB1299" s="49"/>
      <c r="AC1299" s="49"/>
      <c r="AD1299" s="49"/>
    </row>
    <row r="1300" spans="1:30" ht="13">
      <c r="A1300" s="141"/>
      <c r="B1300" s="141"/>
      <c r="C1300" s="141"/>
      <c r="D1300" s="49"/>
      <c r="E1300" s="49"/>
      <c r="F1300" s="49"/>
      <c r="G1300" s="49"/>
      <c r="H1300" s="49"/>
      <c r="I1300" s="49"/>
      <c r="J1300" s="49"/>
      <c r="K1300" s="49"/>
      <c r="L1300" s="49"/>
      <c r="M1300" s="49"/>
      <c r="N1300" s="49"/>
      <c r="O1300" s="49"/>
      <c r="P1300" s="49"/>
      <c r="Q1300" s="49"/>
      <c r="R1300" s="49"/>
      <c r="S1300" s="49"/>
      <c r="T1300" s="49"/>
      <c r="U1300" s="49"/>
      <c r="V1300" s="49"/>
      <c r="W1300" s="49"/>
      <c r="X1300" s="49"/>
      <c r="Y1300" s="49"/>
      <c r="Z1300" s="49"/>
      <c r="AA1300" s="49"/>
      <c r="AB1300" s="49"/>
      <c r="AC1300" s="49"/>
      <c r="AD1300" s="49"/>
    </row>
    <row r="1301" spans="1:30" ht="13">
      <c r="A1301" s="141"/>
      <c r="B1301" s="141"/>
      <c r="C1301" s="141"/>
      <c r="D1301" s="49"/>
      <c r="E1301" s="49"/>
      <c r="F1301" s="49"/>
      <c r="G1301" s="49"/>
      <c r="H1301" s="49"/>
      <c r="I1301" s="49"/>
      <c r="J1301" s="49"/>
      <c r="K1301" s="49"/>
      <c r="L1301" s="49"/>
      <c r="M1301" s="49"/>
      <c r="N1301" s="49"/>
      <c r="O1301" s="49"/>
      <c r="P1301" s="49"/>
      <c r="Q1301" s="49"/>
      <c r="R1301" s="49"/>
      <c r="S1301" s="49"/>
      <c r="T1301" s="49"/>
      <c r="U1301" s="49"/>
      <c r="V1301" s="49"/>
      <c r="W1301" s="49"/>
      <c r="X1301" s="49"/>
      <c r="Y1301" s="49"/>
      <c r="Z1301" s="49"/>
      <c r="AA1301" s="49"/>
      <c r="AB1301" s="49"/>
      <c r="AC1301" s="49"/>
      <c r="AD1301" s="49"/>
    </row>
    <row r="1302" spans="1:30" ht="13">
      <c r="A1302" s="141"/>
      <c r="B1302" s="141"/>
      <c r="C1302" s="141"/>
      <c r="D1302" s="49"/>
      <c r="E1302" s="49"/>
      <c r="F1302" s="49"/>
      <c r="G1302" s="49"/>
      <c r="H1302" s="49"/>
      <c r="I1302" s="49"/>
      <c r="J1302" s="49"/>
      <c r="K1302" s="49"/>
      <c r="L1302" s="49"/>
      <c r="M1302" s="49"/>
      <c r="N1302" s="49"/>
      <c r="O1302" s="49"/>
      <c r="P1302" s="49"/>
      <c r="Q1302" s="49"/>
      <c r="R1302" s="49"/>
      <c r="S1302" s="49"/>
      <c r="T1302" s="49"/>
      <c r="U1302" s="49"/>
      <c r="V1302" s="49"/>
      <c r="W1302" s="49"/>
      <c r="X1302" s="49"/>
      <c r="Y1302" s="49"/>
      <c r="Z1302" s="49"/>
      <c r="AA1302" s="49"/>
      <c r="AB1302" s="49"/>
      <c r="AC1302" s="49"/>
      <c r="AD1302" s="49"/>
    </row>
    <row r="1303" spans="1:30" ht="13">
      <c r="A1303" s="141"/>
      <c r="B1303" s="141"/>
      <c r="C1303" s="141"/>
      <c r="D1303" s="49"/>
      <c r="E1303" s="49"/>
      <c r="F1303" s="49"/>
      <c r="G1303" s="49"/>
      <c r="H1303" s="49"/>
      <c r="I1303" s="49"/>
      <c r="J1303" s="49"/>
      <c r="K1303" s="49"/>
      <c r="L1303" s="49"/>
      <c r="M1303" s="49"/>
      <c r="N1303" s="49"/>
      <c r="O1303" s="49"/>
      <c r="P1303" s="49"/>
      <c r="Q1303" s="49"/>
      <c r="R1303" s="49"/>
      <c r="S1303" s="49"/>
      <c r="T1303" s="49"/>
      <c r="U1303" s="49"/>
      <c r="V1303" s="49"/>
      <c r="W1303" s="49"/>
      <c r="X1303" s="49"/>
      <c r="Y1303" s="49"/>
      <c r="Z1303" s="49"/>
      <c r="AA1303" s="49"/>
      <c r="AB1303" s="49"/>
      <c r="AC1303" s="49"/>
      <c r="AD1303" s="49"/>
    </row>
    <row r="1304" spans="1:30" ht="13">
      <c r="A1304" s="141"/>
      <c r="B1304" s="141"/>
      <c r="C1304" s="141"/>
      <c r="D1304" s="49"/>
      <c r="E1304" s="49"/>
      <c r="F1304" s="49"/>
      <c r="G1304" s="49"/>
      <c r="H1304" s="49"/>
      <c r="I1304" s="49"/>
      <c r="J1304" s="49"/>
      <c r="K1304" s="49"/>
      <c r="L1304" s="49"/>
      <c r="M1304" s="49"/>
      <c r="N1304" s="49"/>
      <c r="O1304" s="49"/>
      <c r="P1304" s="49"/>
      <c r="Q1304" s="49"/>
      <c r="R1304" s="49"/>
      <c r="S1304" s="49"/>
      <c r="T1304" s="49"/>
      <c r="U1304" s="49"/>
      <c r="V1304" s="49"/>
      <c r="W1304" s="49"/>
      <c r="X1304" s="49"/>
      <c r="Y1304" s="49"/>
      <c r="Z1304" s="49"/>
      <c r="AA1304" s="49"/>
      <c r="AB1304" s="49"/>
      <c r="AC1304" s="49"/>
      <c r="AD1304" s="49"/>
    </row>
    <row r="1305" spans="1:30" ht="13">
      <c r="A1305" s="141"/>
      <c r="B1305" s="141"/>
      <c r="C1305" s="141"/>
      <c r="D1305" s="49"/>
      <c r="E1305" s="49"/>
      <c r="F1305" s="49"/>
      <c r="G1305" s="49"/>
      <c r="H1305" s="49"/>
      <c r="I1305" s="49"/>
      <c r="J1305" s="49"/>
      <c r="K1305" s="49"/>
      <c r="L1305" s="49"/>
      <c r="M1305" s="49"/>
      <c r="N1305" s="49"/>
      <c r="O1305" s="49"/>
      <c r="P1305" s="49"/>
      <c r="Q1305" s="49"/>
      <c r="R1305" s="49"/>
      <c r="S1305" s="49"/>
      <c r="T1305" s="49"/>
      <c r="U1305" s="49"/>
      <c r="V1305" s="49"/>
      <c r="W1305" s="49"/>
      <c r="X1305" s="49"/>
      <c r="Y1305" s="49"/>
      <c r="Z1305" s="49"/>
      <c r="AA1305" s="49"/>
      <c r="AB1305" s="49"/>
      <c r="AC1305" s="49"/>
      <c r="AD1305" s="49"/>
    </row>
    <row r="1306" spans="1:30" ht="13">
      <c r="A1306" s="141"/>
      <c r="B1306" s="141"/>
      <c r="C1306" s="141"/>
      <c r="D1306" s="49"/>
      <c r="E1306" s="49"/>
      <c r="F1306" s="49"/>
      <c r="G1306" s="49"/>
      <c r="H1306" s="49"/>
      <c r="I1306" s="49"/>
      <c r="J1306" s="49"/>
      <c r="K1306" s="49"/>
      <c r="L1306" s="49"/>
      <c r="M1306" s="49"/>
      <c r="N1306" s="49"/>
      <c r="O1306" s="49"/>
      <c r="P1306" s="49"/>
      <c r="Q1306" s="49"/>
      <c r="R1306" s="49"/>
      <c r="S1306" s="49"/>
      <c r="T1306" s="49"/>
      <c r="U1306" s="49"/>
      <c r="V1306" s="49"/>
      <c r="W1306" s="49"/>
      <c r="X1306" s="49"/>
      <c r="Y1306" s="49"/>
      <c r="Z1306" s="49"/>
      <c r="AA1306" s="49"/>
      <c r="AB1306" s="49"/>
      <c r="AC1306" s="49"/>
      <c r="AD1306" s="49"/>
    </row>
    <row r="1307" spans="1:30" ht="13">
      <c r="A1307" s="141"/>
      <c r="B1307" s="141"/>
      <c r="C1307" s="141"/>
      <c r="D1307" s="49"/>
      <c r="E1307" s="49"/>
      <c r="F1307" s="49"/>
      <c r="G1307" s="49"/>
      <c r="H1307" s="49"/>
      <c r="I1307" s="49"/>
      <c r="J1307" s="49"/>
      <c r="K1307" s="49"/>
      <c r="L1307" s="49"/>
      <c r="M1307" s="49"/>
      <c r="N1307" s="49"/>
      <c r="O1307" s="49"/>
      <c r="P1307" s="49"/>
      <c r="Q1307" s="49"/>
      <c r="R1307" s="49"/>
      <c r="S1307" s="49"/>
      <c r="T1307" s="49"/>
      <c r="U1307" s="49"/>
      <c r="V1307" s="49"/>
      <c r="W1307" s="49"/>
      <c r="X1307" s="49"/>
      <c r="Y1307" s="49"/>
      <c r="Z1307" s="49"/>
      <c r="AA1307" s="49"/>
      <c r="AB1307" s="49"/>
      <c r="AC1307" s="49"/>
      <c r="AD1307" s="49"/>
    </row>
    <row r="1308" spans="1:30" ht="13">
      <c r="A1308" s="141"/>
      <c r="B1308" s="141"/>
      <c r="C1308" s="141"/>
      <c r="D1308" s="49"/>
      <c r="E1308" s="49"/>
      <c r="F1308" s="49"/>
      <c r="G1308" s="49"/>
      <c r="H1308" s="49"/>
      <c r="I1308" s="49"/>
      <c r="J1308" s="49"/>
      <c r="K1308" s="49"/>
      <c r="L1308" s="49"/>
      <c r="M1308" s="49"/>
      <c r="N1308" s="49"/>
      <c r="O1308" s="49"/>
      <c r="P1308" s="49"/>
      <c r="Q1308" s="49"/>
      <c r="R1308" s="49"/>
      <c r="S1308" s="49"/>
      <c r="T1308" s="49"/>
      <c r="U1308" s="49"/>
      <c r="V1308" s="49"/>
      <c r="W1308" s="49"/>
      <c r="X1308" s="49"/>
      <c r="Y1308" s="49"/>
      <c r="Z1308" s="49"/>
      <c r="AA1308" s="49"/>
      <c r="AB1308" s="49"/>
      <c r="AC1308" s="49"/>
      <c r="AD1308" s="49"/>
    </row>
    <row r="1309" spans="1:30" ht="13">
      <c r="A1309" s="141"/>
      <c r="B1309" s="141"/>
      <c r="C1309" s="141"/>
      <c r="D1309" s="49"/>
      <c r="E1309" s="49"/>
      <c r="F1309" s="49"/>
      <c r="G1309" s="49"/>
      <c r="H1309" s="49"/>
      <c r="I1309" s="49"/>
      <c r="J1309" s="49"/>
      <c r="K1309" s="49"/>
      <c r="L1309" s="49"/>
      <c r="M1309" s="49"/>
      <c r="N1309" s="49"/>
      <c r="O1309" s="49"/>
      <c r="P1309" s="49"/>
      <c r="Q1309" s="49"/>
      <c r="R1309" s="49"/>
      <c r="S1309" s="49"/>
      <c r="T1309" s="49"/>
      <c r="U1309" s="49"/>
      <c r="V1309" s="49"/>
      <c r="W1309" s="49"/>
      <c r="X1309" s="49"/>
      <c r="Y1309" s="49"/>
      <c r="Z1309" s="49"/>
      <c r="AA1309" s="49"/>
      <c r="AB1309" s="49"/>
      <c r="AC1309" s="49"/>
      <c r="AD1309" s="49"/>
    </row>
    <row r="1310" spans="1:30" ht="13">
      <c r="A1310" s="141"/>
      <c r="B1310" s="141"/>
      <c r="C1310" s="141"/>
      <c r="D1310" s="49"/>
      <c r="E1310" s="49"/>
      <c r="F1310" s="49"/>
      <c r="G1310" s="49"/>
      <c r="H1310" s="49"/>
      <c r="I1310" s="49"/>
      <c r="J1310" s="49"/>
      <c r="K1310" s="49"/>
      <c r="L1310" s="49"/>
      <c r="M1310" s="49"/>
      <c r="N1310" s="49"/>
      <c r="O1310" s="49"/>
      <c r="P1310" s="49"/>
      <c r="Q1310" s="49"/>
      <c r="R1310" s="49"/>
      <c r="S1310" s="49"/>
      <c r="T1310" s="49"/>
      <c r="U1310" s="49"/>
      <c r="V1310" s="49"/>
      <c r="W1310" s="49"/>
      <c r="X1310" s="49"/>
      <c r="Y1310" s="49"/>
      <c r="Z1310" s="49"/>
      <c r="AA1310" s="49"/>
      <c r="AB1310" s="49"/>
      <c r="AC1310" s="49"/>
      <c r="AD1310" s="49"/>
    </row>
    <row r="1311" spans="1:30" ht="13">
      <c r="A1311" s="141"/>
      <c r="B1311" s="141"/>
      <c r="C1311" s="141"/>
      <c r="D1311" s="49"/>
      <c r="E1311" s="49"/>
      <c r="F1311" s="49"/>
      <c r="G1311" s="49"/>
      <c r="H1311" s="49"/>
      <c r="I1311" s="49"/>
      <c r="J1311" s="49"/>
      <c r="K1311" s="49"/>
      <c r="L1311" s="49"/>
      <c r="M1311" s="49"/>
      <c r="N1311" s="49"/>
      <c r="O1311" s="49"/>
      <c r="P1311" s="49"/>
      <c r="Q1311" s="49"/>
      <c r="R1311" s="49"/>
      <c r="S1311" s="49"/>
      <c r="T1311" s="49"/>
      <c r="U1311" s="49"/>
      <c r="V1311" s="49"/>
      <c r="W1311" s="49"/>
      <c r="X1311" s="49"/>
      <c r="Y1311" s="49"/>
      <c r="Z1311" s="49"/>
      <c r="AA1311" s="49"/>
      <c r="AB1311" s="49"/>
      <c r="AC1311" s="49"/>
      <c r="AD1311" s="49"/>
    </row>
  </sheetData>
  <customSheetViews>
    <customSheetView guid="{5D0D3789-3B3F-4C1E-9519-EA1440E6015A}" filter="1" showAutoFilter="1">
      <pageMargins left="0.7" right="0.7" top="0.75" bottom="0.75" header="0.3" footer="0.3"/>
      <autoFilter ref="A1:L123" xr:uid="{00000000-0000-0000-0000-000000000000}"/>
    </customSheetView>
    <customSheetView guid="{B9B40D7A-6EAE-4980-8EA7-1E95F9ED6C6F}" filter="1" showAutoFilter="1">
      <pageMargins left="0.7" right="0.7" top="0.75" bottom="0.75" header="0.3" footer="0.3"/>
      <autoFilter ref="A1:L533" xr:uid="{00000000-0000-0000-0000-000000000000}"/>
    </customSheetView>
  </customSheetViews>
  <conditionalFormatting sqref="I1:I1311">
    <cfRule type="cellIs" dxfId="3" priority="1" operator="between">
      <formula>TODAY() +30</formula>
      <formula>TODAY() -30</formula>
    </cfRule>
  </conditionalFormatting>
  <conditionalFormatting sqref="K1:K1311">
    <cfRule type="cellIs" dxfId="2" priority="2" operator="between">
      <formula>TODAY() +30</formula>
      <formula>TODAY() -30</formula>
    </cfRule>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W1404"/>
  <sheetViews>
    <sheetView workbookViewId="0">
      <pane ySplit="1" topLeftCell="A2" activePane="bottomLeft" state="frozen"/>
      <selection pane="bottomLeft" activeCell="B3" sqref="B3"/>
    </sheetView>
  </sheetViews>
  <sheetFormatPr baseColWidth="10" defaultColWidth="14.5" defaultRowHeight="15.75" customHeight="1"/>
  <cols>
    <col min="1" max="1" width="18" customWidth="1"/>
    <col min="2" max="2" width="22.33203125" customWidth="1"/>
    <col min="3" max="3" width="15.5" customWidth="1"/>
    <col min="4" max="4" width="51.33203125" customWidth="1"/>
    <col min="5" max="5" width="31.33203125" customWidth="1"/>
    <col min="6" max="7" width="21.5" customWidth="1"/>
    <col min="8" max="8" width="18.5" customWidth="1"/>
    <col min="9" max="9" width="35.5" customWidth="1"/>
    <col min="10" max="10" width="20" customWidth="1"/>
    <col min="11" max="11" width="19.6640625" customWidth="1"/>
    <col min="12" max="12" width="18.83203125" customWidth="1"/>
    <col min="13" max="13" width="19.6640625" customWidth="1"/>
    <col min="14" max="14" width="21.5" customWidth="1"/>
    <col min="15" max="15" width="9.1640625" customWidth="1"/>
    <col min="16" max="16" width="18.5" customWidth="1"/>
    <col min="17" max="17" width="15.83203125" customWidth="1"/>
    <col min="18" max="30" width="21.5" customWidth="1"/>
  </cols>
  <sheetData>
    <row r="1" spans="1:49" ht="52.5" customHeight="1">
      <c r="A1" s="144" t="s">
        <v>58</v>
      </c>
      <c r="B1" s="144" t="s">
        <v>372</v>
      </c>
      <c r="C1" s="144" t="s">
        <v>373</v>
      </c>
      <c r="D1" s="144" t="s">
        <v>374</v>
      </c>
      <c r="E1" s="144" t="s">
        <v>375</v>
      </c>
      <c r="F1" s="144" t="s">
        <v>376</v>
      </c>
      <c r="G1" s="144" t="s">
        <v>377</v>
      </c>
      <c r="H1" s="144" t="s">
        <v>378</v>
      </c>
      <c r="I1" s="144" t="s">
        <v>379</v>
      </c>
      <c r="J1" s="144" t="s">
        <v>380</v>
      </c>
      <c r="K1" s="144" t="s">
        <v>381</v>
      </c>
      <c r="L1" s="144" t="s">
        <v>382</v>
      </c>
      <c r="M1" s="144" t="s">
        <v>383</v>
      </c>
      <c r="N1" s="144" t="s">
        <v>384</v>
      </c>
      <c r="O1" s="144" t="s">
        <v>385</v>
      </c>
      <c r="P1" s="144" t="s">
        <v>386</v>
      </c>
      <c r="Q1" s="144" t="s">
        <v>387</v>
      </c>
      <c r="R1" s="144" t="s">
        <v>388</v>
      </c>
      <c r="S1" s="144" t="s">
        <v>389</v>
      </c>
      <c r="T1" s="144" t="s">
        <v>390</v>
      </c>
      <c r="U1" s="144" t="s">
        <v>391</v>
      </c>
      <c r="V1" s="144" t="s">
        <v>392</v>
      </c>
      <c r="W1" s="144" t="s">
        <v>393</v>
      </c>
      <c r="X1" s="144" t="s">
        <v>394</v>
      </c>
      <c r="Y1" s="145"/>
      <c r="Z1" s="145"/>
      <c r="AA1" s="145"/>
      <c r="AB1" s="145"/>
      <c r="AC1" s="145"/>
      <c r="AD1" s="145"/>
      <c r="AE1" s="145"/>
      <c r="AF1" s="145"/>
      <c r="AG1" s="145"/>
      <c r="AH1" s="145"/>
      <c r="AI1" s="145"/>
      <c r="AJ1" s="145"/>
      <c r="AK1" s="145"/>
      <c r="AL1" s="145"/>
      <c r="AM1" s="145"/>
      <c r="AN1" s="145"/>
      <c r="AO1" s="145"/>
      <c r="AP1" s="145"/>
      <c r="AQ1" s="145"/>
      <c r="AR1" s="145"/>
      <c r="AS1" s="145"/>
      <c r="AT1" s="145"/>
      <c r="AU1" s="145"/>
      <c r="AV1" s="145"/>
      <c r="AW1" s="145"/>
    </row>
    <row r="2" spans="1:49" ht="13">
      <c r="A2" s="146">
        <v>43442.517321412037</v>
      </c>
      <c r="B2" s="109" t="s">
        <v>395</v>
      </c>
      <c r="C2" s="109" t="s">
        <v>396</v>
      </c>
      <c r="E2" s="109" t="s">
        <v>397</v>
      </c>
      <c r="F2" s="109" t="s">
        <v>398</v>
      </c>
      <c r="G2" s="109" t="s">
        <v>399</v>
      </c>
      <c r="H2" s="109" t="s">
        <v>63</v>
      </c>
      <c r="I2" s="109" t="s">
        <v>136</v>
      </c>
      <c r="J2" s="109" t="s">
        <v>400</v>
      </c>
      <c r="K2" s="109" t="s">
        <v>251</v>
      </c>
      <c r="L2" s="109" t="s">
        <v>401</v>
      </c>
      <c r="M2" s="109" t="s">
        <v>163</v>
      </c>
      <c r="N2" s="109" t="s">
        <v>402</v>
      </c>
      <c r="O2" s="109" t="s">
        <v>403</v>
      </c>
      <c r="P2" s="109" t="s">
        <v>404</v>
      </c>
      <c r="R2" s="109" t="s">
        <v>405</v>
      </c>
      <c r="S2" s="147"/>
      <c r="T2" s="147"/>
      <c r="U2" s="147"/>
      <c r="V2" s="147"/>
      <c r="W2" s="147"/>
      <c r="X2" s="147"/>
      <c r="Y2" s="118"/>
    </row>
    <row r="3" spans="1:49" ht="13">
      <c r="A3" s="146">
        <v>43444.757240694445</v>
      </c>
      <c r="B3" s="109" t="s">
        <v>406</v>
      </c>
      <c r="C3" s="109" t="s">
        <v>407</v>
      </c>
      <c r="D3" s="109" t="s">
        <v>408</v>
      </c>
      <c r="E3" s="109" t="s">
        <v>409</v>
      </c>
      <c r="F3" s="109" t="s">
        <v>410</v>
      </c>
      <c r="G3" s="109" t="s">
        <v>411</v>
      </c>
      <c r="H3" s="109" t="s">
        <v>63</v>
      </c>
      <c r="I3" s="109" t="s">
        <v>401</v>
      </c>
      <c r="J3" s="109" t="s">
        <v>163</v>
      </c>
      <c r="K3" s="109" t="s">
        <v>400</v>
      </c>
      <c r="L3" s="109" t="s">
        <v>251</v>
      </c>
      <c r="M3" s="109" t="s">
        <v>136</v>
      </c>
      <c r="N3" s="109" t="s">
        <v>412</v>
      </c>
      <c r="O3" s="109" t="s">
        <v>403</v>
      </c>
      <c r="P3" s="109" t="s">
        <v>413</v>
      </c>
      <c r="R3" s="109" t="s">
        <v>405</v>
      </c>
      <c r="S3" s="147"/>
      <c r="T3" s="147"/>
      <c r="U3" s="147"/>
      <c r="V3" s="147"/>
      <c r="W3" s="147"/>
      <c r="X3" s="147"/>
      <c r="Y3" s="118"/>
    </row>
    <row r="4" spans="1:49" ht="13">
      <c r="A4" s="146">
        <v>43446.432197662041</v>
      </c>
      <c r="B4" s="109" t="s">
        <v>414</v>
      </c>
      <c r="C4" s="109" t="s">
        <v>415</v>
      </c>
      <c r="D4" s="109" t="s">
        <v>416</v>
      </c>
      <c r="E4" s="109" t="s">
        <v>417</v>
      </c>
      <c r="F4" s="109" t="s">
        <v>418</v>
      </c>
      <c r="G4" s="109" t="s">
        <v>419</v>
      </c>
      <c r="H4" s="109" t="s">
        <v>202</v>
      </c>
      <c r="I4" s="109" t="s">
        <v>251</v>
      </c>
      <c r="J4" s="109" t="s">
        <v>136</v>
      </c>
      <c r="N4" s="109" t="s">
        <v>130</v>
      </c>
      <c r="O4" s="109" t="s">
        <v>403</v>
      </c>
      <c r="P4" s="109" t="s">
        <v>420</v>
      </c>
      <c r="R4" s="109" t="s">
        <v>405</v>
      </c>
      <c r="S4" s="147"/>
      <c r="T4" s="147"/>
      <c r="U4" s="147"/>
      <c r="V4" s="147"/>
      <c r="W4" s="147"/>
      <c r="X4" s="147"/>
      <c r="Y4" s="118"/>
    </row>
    <row r="5" spans="1:49" ht="13">
      <c r="A5" s="146">
        <v>43446.650793414352</v>
      </c>
      <c r="B5" s="109" t="s">
        <v>421</v>
      </c>
      <c r="C5" s="109" t="s">
        <v>422</v>
      </c>
      <c r="E5" s="109" t="s">
        <v>423</v>
      </c>
      <c r="F5" s="109" t="s">
        <v>398</v>
      </c>
      <c r="G5" s="109" t="s">
        <v>424</v>
      </c>
      <c r="H5" s="109" t="s">
        <v>63</v>
      </c>
      <c r="I5" s="109" t="s">
        <v>400</v>
      </c>
      <c r="J5" s="109" t="s">
        <v>251</v>
      </c>
      <c r="K5" s="109" t="s">
        <v>401</v>
      </c>
      <c r="N5" s="109" t="s">
        <v>425</v>
      </c>
      <c r="O5" s="109" t="s">
        <v>403</v>
      </c>
      <c r="P5" s="109" t="s">
        <v>426</v>
      </c>
      <c r="R5" s="109" t="s">
        <v>405</v>
      </c>
      <c r="S5" s="147"/>
      <c r="T5" s="147"/>
      <c r="U5" s="147"/>
      <c r="V5" s="147"/>
      <c r="W5" s="147"/>
      <c r="X5" s="147"/>
      <c r="Y5" s="118"/>
    </row>
    <row r="6" spans="1:49" ht="13">
      <c r="A6" s="146">
        <v>43446.703586932868</v>
      </c>
      <c r="B6" s="109" t="s">
        <v>427</v>
      </c>
      <c r="C6" s="109" t="s">
        <v>428</v>
      </c>
      <c r="D6" s="109" t="s">
        <v>429</v>
      </c>
      <c r="E6" s="109" t="s">
        <v>430</v>
      </c>
      <c r="F6" s="109" t="s">
        <v>431</v>
      </c>
      <c r="G6" s="109" t="s">
        <v>432</v>
      </c>
      <c r="H6" s="109" t="s">
        <v>202</v>
      </c>
      <c r="I6" s="109" t="s">
        <v>251</v>
      </c>
      <c r="J6" s="109" t="s">
        <v>400</v>
      </c>
      <c r="K6" s="109" t="s">
        <v>401</v>
      </c>
      <c r="L6" s="109" t="s">
        <v>163</v>
      </c>
      <c r="M6" s="109" t="s">
        <v>136</v>
      </c>
      <c r="N6" s="109" t="s">
        <v>433</v>
      </c>
      <c r="O6" s="109" t="s">
        <v>117</v>
      </c>
      <c r="P6" s="109" t="s">
        <v>434</v>
      </c>
      <c r="R6" s="109" t="s">
        <v>405</v>
      </c>
      <c r="S6" s="147"/>
      <c r="T6" s="147"/>
      <c r="U6" s="147"/>
      <c r="V6" s="147"/>
      <c r="W6" s="147"/>
      <c r="X6" s="147"/>
      <c r="Y6" s="118"/>
    </row>
    <row r="7" spans="1:49" ht="13">
      <c r="A7" s="146">
        <v>43447.421107152782</v>
      </c>
      <c r="B7" s="109" t="s">
        <v>435</v>
      </c>
      <c r="C7" s="109" t="s">
        <v>436</v>
      </c>
      <c r="D7" s="109" t="s">
        <v>437</v>
      </c>
      <c r="E7" s="109" t="s">
        <v>438</v>
      </c>
      <c r="F7" s="109" t="s">
        <v>439</v>
      </c>
      <c r="G7" s="109" t="s">
        <v>440</v>
      </c>
      <c r="H7" s="109" t="s">
        <v>63</v>
      </c>
      <c r="I7" s="109" t="s">
        <v>400</v>
      </c>
      <c r="O7" s="109" t="s">
        <v>130</v>
      </c>
      <c r="P7" s="109" t="s">
        <v>441</v>
      </c>
      <c r="R7" s="109" t="s">
        <v>442</v>
      </c>
      <c r="S7" s="147"/>
      <c r="T7" s="147"/>
      <c r="U7" s="147"/>
      <c r="V7" s="147"/>
      <c r="W7" s="147"/>
      <c r="X7" s="147"/>
      <c r="Y7" s="118"/>
    </row>
    <row r="8" spans="1:49" ht="13">
      <c r="A8" s="146">
        <v>43378.480752314812</v>
      </c>
      <c r="B8" s="109" t="s">
        <v>443</v>
      </c>
      <c r="C8" s="109" t="s">
        <v>444</v>
      </c>
      <c r="D8" s="109" t="s">
        <v>445</v>
      </c>
      <c r="E8" s="109" t="s">
        <v>446</v>
      </c>
      <c r="F8" s="109" t="s">
        <v>447</v>
      </c>
      <c r="G8" s="109" t="s">
        <v>448</v>
      </c>
      <c r="H8" s="109" t="s">
        <v>63</v>
      </c>
      <c r="I8" s="109" t="s">
        <v>400</v>
      </c>
      <c r="J8" s="109" t="s">
        <v>401</v>
      </c>
      <c r="K8" s="109" t="s">
        <v>251</v>
      </c>
      <c r="L8" s="109" t="s">
        <v>163</v>
      </c>
      <c r="M8" s="109" t="s">
        <v>136</v>
      </c>
      <c r="N8" s="109" t="s">
        <v>449</v>
      </c>
      <c r="O8" s="109" t="s">
        <v>403</v>
      </c>
      <c r="P8" s="109" t="s">
        <v>450</v>
      </c>
      <c r="R8" s="109" t="s">
        <v>451</v>
      </c>
      <c r="S8" s="147"/>
      <c r="T8" s="147"/>
      <c r="U8" s="147"/>
      <c r="V8" s="147"/>
      <c r="W8" s="147"/>
      <c r="X8" s="147"/>
      <c r="Y8" s="118"/>
    </row>
    <row r="9" spans="1:49" ht="13">
      <c r="A9" s="146">
        <v>43447.719394525462</v>
      </c>
      <c r="B9" s="109" t="s">
        <v>452</v>
      </c>
      <c r="C9" s="109" t="s">
        <v>453</v>
      </c>
      <c r="E9" s="109" t="s">
        <v>454</v>
      </c>
      <c r="F9" s="109" t="s">
        <v>431</v>
      </c>
      <c r="G9" s="109" t="s">
        <v>455</v>
      </c>
      <c r="H9" s="109" t="s">
        <v>63</v>
      </c>
      <c r="I9" s="109" t="s">
        <v>163</v>
      </c>
      <c r="J9" s="109" t="s">
        <v>251</v>
      </c>
      <c r="K9" s="109" t="s">
        <v>136</v>
      </c>
      <c r="L9" s="109" t="s">
        <v>401</v>
      </c>
      <c r="M9" s="109" t="s">
        <v>400</v>
      </c>
      <c r="N9" s="109" t="s">
        <v>456</v>
      </c>
      <c r="O9" s="109" t="s">
        <v>130</v>
      </c>
      <c r="R9" s="109" t="s">
        <v>405</v>
      </c>
      <c r="S9" s="147"/>
      <c r="T9" s="147"/>
      <c r="U9" s="147"/>
      <c r="V9" s="147"/>
      <c r="W9" s="147"/>
      <c r="X9" s="147"/>
      <c r="Y9" s="118"/>
    </row>
    <row r="10" spans="1:49" ht="13">
      <c r="A10" s="146">
        <v>43452.621421400458</v>
      </c>
      <c r="B10" s="109" t="s">
        <v>457</v>
      </c>
      <c r="C10" s="109" t="s">
        <v>458</v>
      </c>
      <c r="D10" s="109" t="s">
        <v>459</v>
      </c>
      <c r="E10" s="109" t="s">
        <v>460</v>
      </c>
      <c r="F10" s="109" t="s">
        <v>461</v>
      </c>
      <c r="G10" s="109" t="s">
        <v>462</v>
      </c>
      <c r="H10" s="109" t="s">
        <v>63</v>
      </c>
      <c r="I10" s="109" t="s">
        <v>401</v>
      </c>
      <c r="J10" s="109" t="s">
        <v>163</v>
      </c>
      <c r="K10" s="109" t="s">
        <v>136</v>
      </c>
      <c r="L10" s="109" t="s">
        <v>400</v>
      </c>
      <c r="M10" s="109" t="s">
        <v>251</v>
      </c>
      <c r="N10" s="109" t="s">
        <v>463</v>
      </c>
      <c r="O10" s="109" t="s">
        <v>117</v>
      </c>
      <c r="P10" s="109" t="s">
        <v>464</v>
      </c>
      <c r="R10" s="109" t="s">
        <v>451</v>
      </c>
      <c r="S10" s="147"/>
      <c r="T10" s="147"/>
      <c r="U10" s="147"/>
      <c r="V10" s="147"/>
      <c r="W10" s="147"/>
      <c r="X10" s="147"/>
      <c r="Y10" s="118"/>
    </row>
    <row r="11" spans="1:49" ht="13">
      <c r="A11" s="146">
        <v>43452.62491731481</v>
      </c>
      <c r="B11" s="109" t="s">
        <v>457</v>
      </c>
      <c r="C11" s="109" t="s">
        <v>458</v>
      </c>
      <c r="D11" s="109" t="s">
        <v>459</v>
      </c>
      <c r="E11" s="109" t="s">
        <v>460</v>
      </c>
      <c r="F11" s="109" t="s">
        <v>461</v>
      </c>
      <c r="G11" s="109" t="s">
        <v>462</v>
      </c>
      <c r="H11" s="109" t="s">
        <v>63</v>
      </c>
      <c r="I11" s="109" t="s">
        <v>401</v>
      </c>
      <c r="J11" s="109" t="s">
        <v>163</v>
      </c>
      <c r="K11" s="109" t="s">
        <v>136</v>
      </c>
      <c r="L11" s="109" t="s">
        <v>400</v>
      </c>
      <c r="M11" s="109" t="s">
        <v>251</v>
      </c>
      <c r="N11" s="109" t="s">
        <v>463</v>
      </c>
      <c r="O11" s="109" t="s">
        <v>117</v>
      </c>
      <c r="P11" s="109" t="s">
        <v>464</v>
      </c>
      <c r="R11" s="109" t="s">
        <v>451</v>
      </c>
      <c r="S11" s="147"/>
      <c r="T11" s="147"/>
      <c r="U11" s="147"/>
      <c r="V11" s="147"/>
      <c r="W11" s="147"/>
      <c r="X11" s="147"/>
      <c r="Y11" s="118"/>
    </row>
    <row r="12" spans="1:49" ht="13">
      <c r="A12" s="146">
        <v>43453.176856516206</v>
      </c>
      <c r="B12" s="109" t="s">
        <v>465</v>
      </c>
      <c r="C12" s="109" t="s">
        <v>466</v>
      </c>
      <c r="E12" s="109" t="s">
        <v>467</v>
      </c>
      <c r="F12" s="109" t="s">
        <v>468</v>
      </c>
      <c r="G12" s="109" t="s">
        <v>469</v>
      </c>
      <c r="H12" s="109" t="s">
        <v>202</v>
      </c>
      <c r="I12" s="109" t="s">
        <v>401</v>
      </c>
      <c r="J12" s="109" t="s">
        <v>251</v>
      </c>
      <c r="K12" s="109" t="s">
        <v>163</v>
      </c>
      <c r="L12" s="109" t="s">
        <v>400</v>
      </c>
      <c r="N12" s="109" t="s">
        <v>130</v>
      </c>
      <c r="O12" s="109" t="s">
        <v>403</v>
      </c>
      <c r="R12" s="109" t="s">
        <v>405</v>
      </c>
      <c r="S12" s="147"/>
      <c r="T12" s="147"/>
      <c r="U12" s="147"/>
      <c r="V12" s="147"/>
      <c r="W12" s="147"/>
      <c r="X12" s="147"/>
      <c r="Y12" s="118"/>
    </row>
    <row r="13" spans="1:49" ht="13">
      <c r="A13" s="146">
        <v>43453.554362870374</v>
      </c>
      <c r="B13" s="109" t="s">
        <v>470</v>
      </c>
      <c r="C13" s="109" t="s">
        <v>471</v>
      </c>
      <c r="D13" s="109" t="s">
        <v>472</v>
      </c>
      <c r="E13" s="109" t="s">
        <v>473</v>
      </c>
      <c r="F13" s="109" t="s">
        <v>461</v>
      </c>
      <c r="G13" s="109" t="s">
        <v>474</v>
      </c>
      <c r="H13" s="109" t="s">
        <v>63</v>
      </c>
      <c r="I13" s="109" t="s">
        <v>400</v>
      </c>
      <c r="J13" s="109" t="s">
        <v>251</v>
      </c>
      <c r="N13" s="109" t="s">
        <v>475</v>
      </c>
      <c r="O13" s="109" t="s">
        <v>403</v>
      </c>
      <c r="P13" s="109" t="s">
        <v>101</v>
      </c>
      <c r="R13" s="109" t="s">
        <v>405</v>
      </c>
      <c r="S13" s="147"/>
      <c r="T13" s="147"/>
      <c r="U13" s="147"/>
      <c r="V13" s="147"/>
      <c r="W13" s="147"/>
      <c r="X13" s="147"/>
      <c r="Y13" s="118"/>
    </row>
    <row r="14" spans="1:49" ht="13">
      <c r="A14" s="146">
        <v>43404.874363425923</v>
      </c>
      <c r="B14" s="109" t="s">
        <v>476</v>
      </c>
      <c r="C14" s="109" t="s">
        <v>477</v>
      </c>
      <c r="D14" s="109" t="s">
        <v>478</v>
      </c>
      <c r="E14" s="109" t="s">
        <v>479</v>
      </c>
      <c r="F14" s="109" t="s">
        <v>398</v>
      </c>
      <c r="G14" s="109" t="s">
        <v>480</v>
      </c>
      <c r="H14" s="109" t="s">
        <v>63</v>
      </c>
      <c r="I14" s="109" t="s">
        <v>251</v>
      </c>
      <c r="J14" s="109" t="s">
        <v>136</v>
      </c>
      <c r="K14" s="109" t="s">
        <v>401</v>
      </c>
      <c r="L14" s="109" t="s">
        <v>400</v>
      </c>
      <c r="M14" s="109" t="s">
        <v>163</v>
      </c>
      <c r="N14" s="109" t="s">
        <v>481</v>
      </c>
      <c r="O14" s="109" t="s">
        <v>403</v>
      </c>
      <c r="P14" s="109" t="s">
        <v>482</v>
      </c>
      <c r="R14" s="109" t="s">
        <v>451</v>
      </c>
      <c r="S14" s="147"/>
      <c r="T14" s="147"/>
      <c r="U14" s="147"/>
      <c r="V14" s="147"/>
      <c r="W14" s="147"/>
      <c r="X14" s="147"/>
      <c r="Y14" s="118"/>
    </row>
    <row r="15" spans="1:49" ht="13">
      <c r="A15" s="146">
        <v>43454.651333263886</v>
      </c>
      <c r="B15" s="109" t="s">
        <v>483</v>
      </c>
      <c r="C15" s="109" t="s">
        <v>484</v>
      </c>
      <c r="E15" s="109" t="s">
        <v>485</v>
      </c>
      <c r="F15" s="109" t="s">
        <v>398</v>
      </c>
      <c r="G15" s="109" t="s">
        <v>486</v>
      </c>
      <c r="H15" s="109" t="s">
        <v>63</v>
      </c>
      <c r="I15" s="109" t="s">
        <v>401</v>
      </c>
      <c r="J15" s="109" t="s">
        <v>400</v>
      </c>
      <c r="K15" s="86" t="s">
        <v>251</v>
      </c>
      <c r="L15" s="109" t="s">
        <v>163</v>
      </c>
      <c r="M15" s="109" t="s">
        <v>136</v>
      </c>
      <c r="N15" s="109" t="s">
        <v>487</v>
      </c>
      <c r="O15" s="109" t="s">
        <v>117</v>
      </c>
      <c r="P15" s="109" t="s">
        <v>488</v>
      </c>
      <c r="R15" s="109" t="s">
        <v>451</v>
      </c>
      <c r="S15" s="147"/>
      <c r="T15" s="147"/>
      <c r="U15" s="147"/>
      <c r="V15" s="147"/>
      <c r="W15" s="147"/>
      <c r="X15" s="147"/>
      <c r="Y15" s="118"/>
    </row>
    <row r="16" spans="1:49" ht="13">
      <c r="A16" s="146">
        <v>43462.722076828708</v>
      </c>
      <c r="B16" s="109" t="s">
        <v>489</v>
      </c>
      <c r="C16" s="109" t="s">
        <v>490</v>
      </c>
      <c r="D16" s="109" t="s">
        <v>491</v>
      </c>
      <c r="E16" s="109" t="s">
        <v>491</v>
      </c>
      <c r="F16" s="109" t="s">
        <v>492</v>
      </c>
      <c r="G16" s="109" t="s">
        <v>493</v>
      </c>
      <c r="H16" s="109" t="s">
        <v>63</v>
      </c>
      <c r="I16" s="109" t="s">
        <v>400</v>
      </c>
      <c r="J16" s="109" t="s">
        <v>251</v>
      </c>
      <c r="K16" s="109" t="s">
        <v>163</v>
      </c>
      <c r="L16" s="109" t="s">
        <v>401</v>
      </c>
      <c r="M16" s="109" t="s">
        <v>136</v>
      </c>
      <c r="N16" s="109" t="s">
        <v>494</v>
      </c>
      <c r="O16" s="109" t="s">
        <v>403</v>
      </c>
      <c r="P16" s="109" t="s">
        <v>495</v>
      </c>
      <c r="R16" s="109" t="s">
        <v>451</v>
      </c>
      <c r="S16" s="147"/>
      <c r="T16" s="147"/>
      <c r="U16" s="147"/>
      <c r="V16" s="147"/>
      <c r="W16" s="147"/>
      <c r="X16" s="147"/>
      <c r="Y16" s="118"/>
    </row>
    <row r="17" spans="1:26" ht="17.25" customHeight="1">
      <c r="A17" s="146">
        <v>43465.469464884256</v>
      </c>
      <c r="B17" s="109" t="s">
        <v>496</v>
      </c>
      <c r="C17" s="109" t="s">
        <v>497</v>
      </c>
      <c r="D17" s="109" t="s">
        <v>498</v>
      </c>
      <c r="E17" s="109" t="s">
        <v>499</v>
      </c>
      <c r="F17" s="109" t="s">
        <v>500</v>
      </c>
      <c r="G17" s="109" t="s">
        <v>501</v>
      </c>
      <c r="H17" s="109" t="s">
        <v>63</v>
      </c>
      <c r="I17" s="109" t="s">
        <v>401</v>
      </c>
      <c r="J17" s="109" t="s">
        <v>163</v>
      </c>
      <c r="K17" s="109" t="s">
        <v>400</v>
      </c>
      <c r="L17" s="109" t="s">
        <v>251</v>
      </c>
      <c r="M17" s="109" t="s">
        <v>136</v>
      </c>
      <c r="O17" s="109" t="s">
        <v>403</v>
      </c>
      <c r="P17" s="109" t="s">
        <v>502</v>
      </c>
      <c r="R17" s="109" t="s">
        <v>451</v>
      </c>
      <c r="S17" s="147"/>
      <c r="T17" s="147"/>
      <c r="U17" s="147"/>
      <c r="V17" s="147"/>
      <c r="W17" s="147"/>
      <c r="X17" s="147"/>
      <c r="Y17" s="118"/>
    </row>
    <row r="18" spans="1:26" ht="13">
      <c r="A18" s="146">
        <v>43467.289876111114</v>
      </c>
      <c r="B18" s="109" t="s">
        <v>503</v>
      </c>
      <c r="C18" s="109" t="s">
        <v>504</v>
      </c>
      <c r="E18" s="109" t="s">
        <v>505</v>
      </c>
      <c r="F18" s="109" t="s">
        <v>506</v>
      </c>
      <c r="G18" s="109" t="s">
        <v>507</v>
      </c>
      <c r="H18" s="109" t="s">
        <v>63</v>
      </c>
      <c r="I18" s="109" t="s">
        <v>400</v>
      </c>
      <c r="N18" s="109" t="s">
        <v>508</v>
      </c>
      <c r="O18" s="109" t="s">
        <v>117</v>
      </c>
      <c r="R18" s="109" t="s">
        <v>405</v>
      </c>
      <c r="S18" s="147"/>
      <c r="T18" s="147"/>
      <c r="U18" s="147"/>
      <c r="V18" s="147"/>
      <c r="W18" s="147"/>
      <c r="X18" s="147"/>
      <c r="Y18" s="118"/>
    </row>
    <row r="19" spans="1:26" ht="13">
      <c r="A19" s="146">
        <v>43469.322247662036</v>
      </c>
      <c r="B19" s="109" t="s">
        <v>509</v>
      </c>
      <c r="C19" s="109" t="s">
        <v>313</v>
      </c>
      <c r="D19" s="109" t="s">
        <v>510</v>
      </c>
      <c r="E19" s="109" t="s">
        <v>511</v>
      </c>
      <c r="F19" s="109" t="s">
        <v>313</v>
      </c>
      <c r="G19" s="109" t="s">
        <v>313</v>
      </c>
      <c r="H19" s="109" t="s">
        <v>63</v>
      </c>
      <c r="I19" s="109" t="s">
        <v>400</v>
      </c>
      <c r="P19" s="109" t="s">
        <v>143</v>
      </c>
      <c r="Y19" s="118"/>
    </row>
    <row r="20" spans="1:26" ht="13">
      <c r="A20" s="146">
        <v>43469.47069386574</v>
      </c>
      <c r="B20" s="109" t="s">
        <v>512</v>
      </c>
      <c r="C20" s="109" t="s">
        <v>513</v>
      </c>
      <c r="D20" s="109" t="s">
        <v>514</v>
      </c>
      <c r="E20" s="109" t="s">
        <v>515</v>
      </c>
      <c r="F20" s="109" t="s">
        <v>492</v>
      </c>
      <c r="G20" s="109" t="s">
        <v>516</v>
      </c>
      <c r="H20" s="109" t="s">
        <v>202</v>
      </c>
      <c r="I20" s="109" t="s">
        <v>251</v>
      </c>
      <c r="J20" s="109" t="s">
        <v>400</v>
      </c>
      <c r="K20" s="109" t="s">
        <v>401</v>
      </c>
      <c r="N20" s="109" t="s">
        <v>517</v>
      </c>
      <c r="O20" s="109" t="s">
        <v>403</v>
      </c>
      <c r="P20" s="109" t="s">
        <v>518</v>
      </c>
      <c r="R20" s="109" t="s">
        <v>451</v>
      </c>
      <c r="S20" s="147"/>
      <c r="T20" s="147"/>
      <c r="U20" s="147"/>
      <c r="V20" s="147"/>
      <c r="W20" s="147"/>
      <c r="X20" s="147"/>
      <c r="Y20" s="118"/>
    </row>
    <row r="21" spans="1:26" ht="13">
      <c r="A21" s="146">
        <v>43472.425777592594</v>
      </c>
      <c r="B21" s="109" t="s">
        <v>519</v>
      </c>
      <c r="C21" s="109" t="s">
        <v>520</v>
      </c>
      <c r="D21" s="109" t="s">
        <v>521</v>
      </c>
      <c r="E21" s="109" t="s">
        <v>522</v>
      </c>
      <c r="F21" s="109" t="s">
        <v>431</v>
      </c>
      <c r="G21" s="109" t="s">
        <v>523</v>
      </c>
      <c r="H21" s="109" t="s">
        <v>63</v>
      </c>
      <c r="I21" s="109" t="s">
        <v>163</v>
      </c>
      <c r="J21" s="109" t="s">
        <v>251</v>
      </c>
      <c r="K21" s="109" t="s">
        <v>400</v>
      </c>
      <c r="L21" s="109" t="s">
        <v>136</v>
      </c>
      <c r="M21" s="109" t="s">
        <v>401</v>
      </c>
      <c r="N21" s="109" t="s">
        <v>130</v>
      </c>
      <c r="O21" s="109" t="s">
        <v>130</v>
      </c>
      <c r="P21" s="109" t="s">
        <v>524</v>
      </c>
      <c r="R21" s="109" t="s">
        <v>405</v>
      </c>
      <c r="S21" s="147"/>
      <c r="T21" s="147"/>
      <c r="U21" s="147"/>
      <c r="V21" s="147"/>
      <c r="W21" s="147"/>
      <c r="X21" s="147"/>
      <c r="Y21" s="118"/>
    </row>
    <row r="22" spans="1:26" ht="13">
      <c r="A22" s="146">
        <v>43472.537255601856</v>
      </c>
      <c r="B22" s="109" t="s">
        <v>525</v>
      </c>
      <c r="C22" s="109" t="s">
        <v>526</v>
      </c>
      <c r="D22" s="109" t="s">
        <v>527</v>
      </c>
      <c r="E22" s="109" t="s">
        <v>528</v>
      </c>
      <c r="F22" s="109" t="s">
        <v>529</v>
      </c>
      <c r="G22" s="109" t="s">
        <v>530</v>
      </c>
      <c r="H22" s="109" t="s">
        <v>63</v>
      </c>
      <c r="I22" s="109" t="s">
        <v>401</v>
      </c>
      <c r="J22" s="109" t="s">
        <v>400</v>
      </c>
      <c r="K22" s="109" t="s">
        <v>251</v>
      </c>
      <c r="L22" s="109" t="s">
        <v>163</v>
      </c>
      <c r="M22" s="109" t="s">
        <v>136</v>
      </c>
      <c r="N22" s="109" t="s">
        <v>531</v>
      </c>
      <c r="O22" s="109" t="s">
        <v>117</v>
      </c>
      <c r="P22" s="109" t="s">
        <v>532</v>
      </c>
      <c r="R22" s="109" t="s">
        <v>442</v>
      </c>
      <c r="S22" s="147"/>
      <c r="T22" s="147"/>
      <c r="U22" s="147"/>
      <c r="V22" s="147"/>
      <c r="W22" s="147"/>
      <c r="X22" s="147"/>
      <c r="Y22" s="118"/>
    </row>
    <row r="23" spans="1:26" ht="13">
      <c r="A23" s="146">
        <v>43473.390765081014</v>
      </c>
      <c r="B23" s="109" t="s">
        <v>533</v>
      </c>
      <c r="C23" s="109" t="s">
        <v>534</v>
      </c>
      <c r="D23" s="109" t="s">
        <v>535</v>
      </c>
      <c r="E23" s="109" t="s">
        <v>536</v>
      </c>
      <c r="F23" s="109" t="s">
        <v>537</v>
      </c>
      <c r="G23" s="109" t="s">
        <v>538</v>
      </c>
      <c r="H23" s="109" t="s">
        <v>63</v>
      </c>
      <c r="I23" s="109" t="s">
        <v>251</v>
      </c>
      <c r="J23" s="109" t="s">
        <v>400</v>
      </c>
      <c r="K23" s="109" t="s">
        <v>136</v>
      </c>
      <c r="L23" s="109" t="s">
        <v>401</v>
      </c>
      <c r="M23" s="109" t="s">
        <v>163</v>
      </c>
      <c r="O23" s="109" t="s">
        <v>117</v>
      </c>
      <c r="R23" s="109" t="s">
        <v>451</v>
      </c>
      <c r="S23" s="147"/>
      <c r="T23" s="147"/>
      <c r="U23" s="147"/>
      <c r="V23" s="147"/>
      <c r="W23" s="147"/>
      <c r="X23" s="147"/>
      <c r="Y23" s="118"/>
    </row>
    <row r="24" spans="1:26" ht="14">
      <c r="A24" s="146">
        <v>43332.58121527778</v>
      </c>
      <c r="B24" s="109" t="s">
        <v>539</v>
      </c>
      <c r="C24" s="109" t="s">
        <v>540</v>
      </c>
      <c r="D24" s="109" t="s">
        <v>541</v>
      </c>
      <c r="E24" s="109" t="s">
        <v>542</v>
      </c>
      <c r="F24" s="109" t="s">
        <v>543</v>
      </c>
      <c r="G24" s="109" t="s">
        <v>544</v>
      </c>
      <c r="H24" s="109" t="s">
        <v>63</v>
      </c>
      <c r="I24" s="109" t="s">
        <v>400</v>
      </c>
      <c r="J24" s="109" t="s">
        <v>251</v>
      </c>
      <c r="K24" s="109" t="s">
        <v>19</v>
      </c>
      <c r="L24" s="109" t="s">
        <v>136</v>
      </c>
      <c r="M24" s="109" t="s">
        <v>163</v>
      </c>
      <c r="N24" s="109" t="s">
        <v>117</v>
      </c>
      <c r="P24" s="148" t="s">
        <v>544</v>
      </c>
      <c r="Y24" s="145"/>
      <c r="Z24" s="149" t="s">
        <v>545</v>
      </c>
    </row>
    <row r="25" spans="1:26" ht="14">
      <c r="A25" s="146">
        <v>43332.582268518519</v>
      </c>
      <c r="B25" s="109" t="s">
        <v>546</v>
      </c>
      <c r="C25" s="109" t="s">
        <v>547</v>
      </c>
      <c r="D25" s="109" t="s">
        <v>548</v>
      </c>
      <c r="E25" s="109" t="s">
        <v>549</v>
      </c>
      <c r="F25" s="109" t="s">
        <v>431</v>
      </c>
      <c r="G25" s="109" t="s">
        <v>550</v>
      </c>
      <c r="H25" s="109" t="s">
        <v>63</v>
      </c>
      <c r="I25" s="109" t="s">
        <v>400</v>
      </c>
      <c r="J25" s="109" t="s">
        <v>251</v>
      </c>
      <c r="K25" s="109" t="s">
        <v>19</v>
      </c>
      <c r="N25" s="109" t="s">
        <v>117</v>
      </c>
      <c r="P25" s="148" t="s">
        <v>550</v>
      </c>
      <c r="Y25" s="118"/>
    </row>
    <row r="26" spans="1:26" ht="14">
      <c r="A26" s="150">
        <v>43332.58315972222</v>
      </c>
      <c r="B26" s="109" t="s">
        <v>551</v>
      </c>
      <c r="C26" s="109" t="s">
        <v>552</v>
      </c>
      <c r="D26" s="109" t="s">
        <v>437</v>
      </c>
      <c r="E26" s="109" t="s">
        <v>553</v>
      </c>
      <c r="F26" s="109" t="s">
        <v>554</v>
      </c>
      <c r="G26" s="109" t="s">
        <v>555</v>
      </c>
      <c r="H26" s="109" t="s">
        <v>63</v>
      </c>
      <c r="I26" s="109" t="s">
        <v>400</v>
      </c>
      <c r="J26" s="109" t="s">
        <v>251</v>
      </c>
      <c r="K26" s="109" t="s">
        <v>19</v>
      </c>
      <c r="L26" s="109" t="s">
        <v>136</v>
      </c>
      <c r="N26" s="109" t="s">
        <v>117</v>
      </c>
      <c r="P26" s="148" t="s">
        <v>556</v>
      </c>
      <c r="Y26" s="118"/>
    </row>
    <row r="27" spans="1:26" ht="14">
      <c r="A27" s="146">
        <v>43333.586678240739</v>
      </c>
      <c r="B27" s="109" t="s">
        <v>557</v>
      </c>
      <c r="C27" s="109" t="s">
        <v>34</v>
      </c>
      <c r="D27" s="109" t="s">
        <v>558</v>
      </c>
      <c r="E27" s="109" t="s">
        <v>559</v>
      </c>
      <c r="F27" s="109" t="s">
        <v>560</v>
      </c>
      <c r="G27" s="109" t="s">
        <v>561</v>
      </c>
      <c r="H27" s="109" t="s">
        <v>63</v>
      </c>
      <c r="I27" s="109" t="s">
        <v>400</v>
      </c>
      <c r="J27" s="109" t="s">
        <v>251</v>
      </c>
      <c r="K27" s="109" t="s">
        <v>19</v>
      </c>
      <c r="L27" s="109" t="s">
        <v>163</v>
      </c>
      <c r="N27" s="109" t="s">
        <v>117</v>
      </c>
      <c r="P27" s="148" t="s">
        <v>561</v>
      </c>
      <c r="Y27" s="118"/>
    </row>
    <row r="28" spans="1:26" ht="14">
      <c r="A28" s="146">
        <v>43335.587488425925</v>
      </c>
      <c r="B28" s="109" t="s">
        <v>562</v>
      </c>
      <c r="C28" s="109" t="s">
        <v>563</v>
      </c>
      <c r="D28" s="109" t="s">
        <v>564</v>
      </c>
      <c r="E28" s="109" t="s">
        <v>565</v>
      </c>
      <c r="F28" s="109" t="s">
        <v>566</v>
      </c>
      <c r="G28" s="109" t="s">
        <v>567</v>
      </c>
      <c r="H28" s="109" t="s">
        <v>63</v>
      </c>
      <c r="I28" s="109" t="s">
        <v>400</v>
      </c>
      <c r="J28" s="109" t="s">
        <v>251</v>
      </c>
      <c r="K28" s="109" t="s">
        <v>19</v>
      </c>
      <c r="L28" s="109" t="s">
        <v>163</v>
      </c>
      <c r="M28" s="109" t="s">
        <v>136</v>
      </c>
      <c r="N28" s="109" t="s">
        <v>117</v>
      </c>
      <c r="P28" s="148" t="s">
        <v>567</v>
      </c>
      <c r="Y28" s="118"/>
    </row>
    <row r="29" spans="1:26" ht="14">
      <c r="A29" s="146">
        <v>43339.588194444441</v>
      </c>
      <c r="B29" s="109" t="s">
        <v>568</v>
      </c>
      <c r="C29" s="109" t="s">
        <v>540</v>
      </c>
      <c r="D29" s="109" t="s">
        <v>541</v>
      </c>
      <c r="E29" s="109" t="s">
        <v>569</v>
      </c>
      <c r="F29" s="109" t="s">
        <v>570</v>
      </c>
      <c r="G29" s="109" t="s">
        <v>571</v>
      </c>
      <c r="H29" s="109" t="s">
        <v>63</v>
      </c>
      <c r="I29" s="109" t="s">
        <v>400</v>
      </c>
      <c r="J29" s="109" t="s">
        <v>163</v>
      </c>
      <c r="N29" s="109" t="s">
        <v>117</v>
      </c>
      <c r="P29" s="151" t="s">
        <v>571</v>
      </c>
      <c r="Y29" s="118"/>
    </row>
    <row r="30" spans="1:26" ht="14">
      <c r="A30" s="146">
        <v>43343.589641203704</v>
      </c>
      <c r="B30" s="109" t="s">
        <v>572</v>
      </c>
      <c r="C30" s="109" t="s">
        <v>313</v>
      </c>
      <c r="D30" s="109" t="s">
        <v>573</v>
      </c>
      <c r="E30" s="109" t="s">
        <v>574</v>
      </c>
      <c r="F30" s="109" t="s">
        <v>575</v>
      </c>
      <c r="G30" s="109" t="s">
        <v>576</v>
      </c>
      <c r="H30" s="109" t="s">
        <v>63</v>
      </c>
      <c r="I30" s="109" t="s">
        <v>400</v>
      </c>
      <c r="J30" s="109" t="s">
        <v>19</v>
      </c>
      <c r="K30" s="109" t="s">
        <v>163</v>
      </c>
      <c r="L30" s="109" t="s">
        <v>136</v>
      </c>
      <c r="M30" s="109" t="s">
        <v>251</v>
      </c>
      <c r="N30" s="109" t="s">
        <v>130</v>
      </c>
      <c r="P30" s="152" t="s">
        <v>576</v>
      </c>
      <c r="Y30" s="118"/>
    </row>
    <row r="31" spans="1:26" ht="14">
      <c r="A31" s="146">
        <v>43350.590277777781</v>
      </c>
      <c r="B31" s="109" t="s">
        <v>577</v>
      </c>
      <c r="C31" s="109" t="s">
        <v>407</v>
      </c>
      <c r="D31" s="109" t="s">
        <v>578</v>
      </c>
      <c r="E31" s="109" t="s">
        <v>579</v>
      </c>
      <c r="F31" s="109" t="s">
        <v>410</v>
      </c>
      <c r="G31" s="109" t="s">
        <v>580</v>
      </c>
      <c r="H31" s="109" t="s">
        <v>63</v>
      </c>
      <c r="I31" s="109" t="s">
        <v>400</v>
      </c>
      <c r="J31" s="109" t="s">
        <v>163</v>
      </c>
      <c r="K31" s="109" t="s">
        <v>251</v>
      </c>
      <c r="N31" s="109" t="s">
        <v>117</v>
      </c>
      <c r="P31" s="151" t="s">
        <v>580</v>
      </c>
      <c r="Y31" s="118"/>
    </row>
    <row r="32" spans="1:26" ht="14">
      <c r="A32" s="146">
        <v>43354.590879629628</v>
      </c>
      <c r="B32" s="109" t="s">
        <v>581</v>
      </c>
      <c r="C32" s="109" t="s">
        <v>582</v>
      </c>
      <c r="D32" s="109" t="s">
        <v>583</v>
      </c>
      <c r="E32" s="109" t="s">
        <v>584</v>
      </c>
      <c r="F32" s="109" t="s">
        <v>585</v>
      </c>
      <c r="G32" s="109" t="s">
        <v>586</v>
      </c>
      <c r="H32" s="109" t="s">
        <v>63</v>
      </c>
      <c r="I32" s="109" t="s">
        <v>400</v>
      </c>
      <c r="J32" s="109" t="s">
        <v>251</v>
      </c>
      <c r="N32" s="109" t="s">
        <v>117</v>
      </c>
      <c r="P32" s="151" t="s">
        <v>586</v>
      </c>
      <c r="Y32" s="118"/>
    </row>
    <row r="33" spans="1:25" ht="14">
      <c r="A33" s="146">
        <v>43356.591597222221</v>
      </c>
      <c r="B33" s="109" t="s">
        <v>587</v>
      </c>
      <c r="C33" s="109" t="s">
        <v>588</v>
      </c>
      <c r="D33" s="109" t="s">
        <v>589</v>
      </c>
      <c r="E33" s="109" t="s">
        <v>590</v>
      </c>
      <c r="F33" s="109" t="s">
        <v>418</v>
      </c>
      <c r="G33" s="109" t="s">
        <v>591</v>
      </c>
      <c r="H33" s="109" t="s">
        <v>63</v>
      </c>
      <c r="I33" s="109" t="s">
        <v>400</v>
      </c>
      <c r="J33" s="109" t="s">
        <v>251</v>
      </c>
      <c r="K33" s="109" t="s">
        <v>163</v>
      </c>
      <c r="L33" s="109" t="s">
        <v>19</v>
      </c>
      <c r="M33" s="109" t="s">
        <v>136</v>
      </c>
      <c r="N33" s="109" t="s">
        <v>117</v>
      </c>
      <c r="P33" s="148" t="s">
        <v>591</v>
      </c>
      <c r="Y33" s="118"/>
    </row>
    <row r="34" spans="1:25" ht="14">
      <c r="A34" s="146">
        <v>43357.59306712963</v>
      </c>
      <c r="B34" s="109" t="s">
        <v>592</v>
      </c>
      <c r="C34" s="109" t="s">
        <v>593</v>
      </c>
      <c r="D34" s="109" t="s">
        <v>594</v>
      </c>
      <c r="E34" s="109" t="s">
        <v>595</v>
      </c>
      <c r="F34" s="109" t="s">
        <v>596</v>
      </c>
      <c r="G34" s="109" t="s">
        <v>597</v>
      </c>
      <c r="H34" s="109" t="s">
        <v>63</v>
      </c>
      <c r="I34" s="109" t="s">
        <v>400</v>
      </c>
      <c r="J34" s="109" t="s">
        <v>251</v>
      </c>
      <c r="K34" s="109" t="s">
        <v>163</v>
      </c>
      <c r="N34" s="109" t="s">
        <v>130</v>
      </c>
      <c r="P34" s="151" t="s">
        <v>597</v>
      </c>
      <c r="Y34" s="118"/>
    </row>
    <row r="35" spans="1:25" ht="14">
      <c r="A35" s="146">
        <v>43359.593900462962</v>
      </c>
      <c r="B35" s="109" t="s">
        <v>598</v>
      </c>
      <c r="C35" s="109" t="s">
        <v>599</v>
      </c>
      <c r="D35" s="109" t="s">
        <v>600</v>
      </c>
      <c r="E35" s="109" t="s">
        <v>601</v>
      </c>
      <c r="F35" s="109" t="s">
        <v>410</v>
      </c>
      <c r="G35" s="109" t="s">
        <v>602</v>
      </c>
      <c r="H35" s="109" t="s">
        <v>63</v>
      </c>
      <c r="I35" s="109" t="s">
        <v>400</v>
      </c>
      <c r="J35" s="109" t="s">
        <v>19</v>
      </c>
      <c r="K35" s="109" t="s">
        <v>251</v>
      </c>
      <c r="L35" s="109" t="s">
        <v>163</v>
      </c>
      <c r="N35" s="109" t="s">
        <v>117</v>
      </c>
      <c r="P35" s="152" t="s">
        <v>602</v>
      </c>
      <c r="Y35" s="118"/>
    </row>
    <row r="36" spans="1:25" ht="13">
      <c r="A36" s="146">
        <v>43363.59516203704</v>
      </c>
      <c r="B36" s="109" t="s">
        <v>603</v>
      </c>
      <c r="C36" s="109" t="s">
        <v>604</v>
      </c>
      <c r="D36" s="109" t="s">
        <v>605</v>
      </c>
      <c r="E36" s="109" t="s">
        <v>606</v>
      </c>
      <c r="F36" s="109" t="s">
        <v>607</v>
      </c>
      <c r="G36" s="109" t="s">
        <v>130</v>
      </c>
      <c r="H36" s="109" t="s">
        <v>63</v>
      </c>
      <c r="I36" s="109" t="s">
        <v>400</v>
      </c>
      <c r="J36" s="109" t="s">
        <v>136</v>
      </c>
      <c r="K36" s="109" t="s">
        <v>163</v>
      </c>
      <c r="L36" s="109" t="s">
        <v>19</v>
      </c>
      <c r="M36" s="109" t="s">
        <v>251</v>
      </c>
      <c r="N36" s="109" t="s">
        <v>130</v>
      </c>
      <c r="O36" s="109" t="s">
        <v>117</v>
      </c>
      <c r="P36" s="109" t="s">
        <v>130</v>
      </c>
      <c r="Y36" s="118"/>
    </row>
    <row r="37" spans="1:25" ht="14">
      <c r="A37" s="146">
        <v>43473.596080810181</v>
      </c>
      <c r="B37" s="109" t="s">
        <v>443</v>
      </c>
      <c r="C37" s="109" t="s">
        <v>609</v>
      </c>
      <c r="D37" s="109" t="s">
        <v>445</v>
      </c>
      <c r="E37" s="109" t="s">
        <v>446</v>
      </c>
      <c r="F37" s="109" t="s">
        <v>610</v>
      </c>
      <c r="G37" s="109" t="s">
        <v>611</v>
      </c>
      <c r="H37" s="109" t="s">
        <v>63</v>
      </c>
      <c r="I37" s="109" t="s">
        <v>400</v>
      </c>
      <c r="J37" s="109" t="s">
        <v>136</v>
      </c>
      <c r="K37" s="109" t="s">
        <v>251</v>
      </c>
      <c r="L37" s="109" t="s">
        <v>19</v>
      </c>
      <c r="M37" s="109" t="s">
        <v>163</v>
      </c>
      <c r="N37" s="109" t="s">
        <v>117</v>
      </c>
      <c r="P37" s="151" t="s">
        <v>611</v>
      </c>
      <c r="Y37" s="118"/>
    </row>
    <row r="38" spans="1:25" ht="13">
      <c r="A38" s="146">
        <v>43384.597141203703</v>
      </c>
      <c r="B38" s="109" t="s">
        <v>612</v>
      </c>
      <c r="C38" s="109" t="s">
        <v>613</v>
      </c>
      <c r="D38" s="109" t="s">
        <v>614</v>
      </c>
      <c r="E38" s="109" t="s">
        <v>615</v>
      </c>
      <c r="F38" s="109" t="s">
        <v>431</v>
      </c>
      <c r="G38" s="109" t="s">
        <v>130</v>
      </c>
      <c r="H38" s="109" t="s">
        <v>63</v>
      </c>
      <c r="I38" s="109" t="s">
        <v>400</v>
      </c>
      <c r="N38" s="109" t="s">
        <v>117</v>
      </c>
      <c r="P38" s="109" t="s">
        <v>130</v>
      </c>
      <c r="Y38" s="118"/>
    </row>
    <row r="39" spans="1:25" ht="17.25" customHeight="1">
      <c r="A39" s="146">
        <v>43401.598483796297</v>
      </c>
      <c r="B39" s="109" t="s">
        <v>616</v>
      </c>
      <c r="C39" s="109" t="s">
        <v>617</v>
      </c>
      <c r="D39" s="109" t="s">
        <v>618</v>
      </c>
      <c r="E39" s="109" t="s">
        <v>619</v>
      </c>
      <c r="F39" s="109" t="s">
        <v>620</v>
      </c>
      <c r="G39" s="109" t="s">
        <v>621</v>
      </c>
      <c r="H39" s="109" t="s">
        <v>63</v>
      </c>
      <c r="I39" s="109" t="s">
        <v>400</v>
      </c>
      <c r="J39" s="109" t="s">
        <v>251</v>
      </c>
      <c r="P39" s="151" t="s">
        <v>621</v>
      </c>
      <c r="Y39" s="118"/>
    </row>
    <row r="40" spans="1:25" ht="14">
      <c r="A40" s="146">
        <v>43413.59946759259</v>
      </c>
      <c r="B40" s="109" t="s">
        <v>622</v>
      </c>
      <c r="C40" s="109" t="s">
        <v>623</v>
      </c>
      <c r="D40" s="109" t="s">
        <v>624</v>
      </c>
      <c r="E40" s="109" t="s">
        <v>625</v>
      </c>
      <c r="F40" s="109" t="s">
        <v>431</v>
      </c>
      <c r="G40" s="109" t="s">
        <v>626</v>
      </c>
      <c r="H40" s="109" t="s">
        <v>63</v>
      </c>
      <c r="I40" s="109" t="s">
        <v>400</v>
      </c>
      <c r="J40" s="109" t="s">
        <v>251</v>
      </c>
      <c r="N40" s="109" t="s">
        <v>117</v>
      </c>
      <c r="P40" s="151" t="s">
        <v>626</v>
      </c>
      <c r="Y40" s="118"/>
    </row>
    <row r="41" spans="1:25" ht="14">
      <c r="A41" s="146">
        <v>43434.600613425922</v>
      </c>
      <c r="B41" s="109" t="s">
        <v>627</v>
      </c>
      <c r="C41" s="109" t="s">
        <v>436</v>
      </c>
      <c r="D41" s="109" t="s">
        <v>437</v>
      </c>
      <c r="E41" s="109" t="s">
        <v>628</v>
      </c>
      <c r="F41" s="109" t="s">
        <v>398</v>
      </c>
      <c r="G41" s="109" t="s">
        <v>629</v>
      </c>
      <c r="H41" s="109" t="s">
        <v>63</v>
      </c>
      <c r="I41" s="109" t="s">
        <v>400</v>
      </c>
      <c r="J41" s="109" t="s">
        <v>136</v>
      </c>
      <c r="K41" s="109" t="s">
        <v>163</v>
      </c>
      <c r="L41" s="109" t="s">
        <v>251</v>
      </c>
      <c r="M41" s="109" t="s">
        <v>19</v>
      </c>
      <c r="N41" s="109" t="s">
        <v>130</v>
      </c>
      <c r="P41" s="151" t="s">
        <v>629</v>
      </c>
      <c r="Y41" s="118"/>
    </row>
    <row r="42" spans="1:25" ht="14">
      <c r="A42" s="146">
        <v>43473.601375347222</v>
      </c>
      <c r="B42" s="109" t="s">
        <v>630</v>
      </c>
      <c r="C42" s="109" t="s">
        <v>631</v>
      </c>
      <c r="D42" s="109" t="s">
        <v>632</v>
      </c>
      <c r="E42" s="109" t="s">
        <v>633</v>
      </c>
      <c r="F42" s="109" t="s">
        <v>492</v>
      </c>
      <c r="G42" s="109" t="s">
        <v>634</v>
      </c>
      <c r="H42" s="109" t="s">
        <v>63</v>
      </c>
      <c r="I42" s="109" t="s">
        <v>400</v>
      </c>
      <c r="J42" s="109" t="s">
        <v>19</v>
      </c>
      <c r="N42" s="109" t="s">
        <v>130</v>
      </c>
      <c r="P42" s="151" t="s">
        <v>634</v>
      </c>
      <c r="Y42" s="118"/>
    </row>
    <row r="43" spans="1:25" ht="13">
      <c r="A43" s="146">
        <v>43434.602071759262</v>
      </c>
      <c r="B43" s="109" t="s">
        <v>435</v>
      </c>
      <c r="C43" s="109" t="s">
        <v>436</v>
      </c>
      <c r="E43" s="109" t="s">
        <v>438</v>
      </c>
      <c r="F43" s="109" t="s">
        <v>439</v>
      </c>
      <c r="G43" s="109" t="s">
        <v>635</v>
      </c>
      <c r="H43" s="109" t="s">
        <v>63</v>
      </c>
      <c r="I43" s="109" t="s">
        <v>400</v>
      </c>
      <c r="N43" s="109" t="s">
        <v>117</v>
      </c>
      <c r="P43" s="153" t="s">
        <v>635</v>
      </c>
      <c r="Y43" s="118"/>
    </row>
    <row r="44" spans="1:25" ht="13">
      <c r="A44" s="146">
        <v>43434.603935185187</v>
      </c>
      <c r="B44" s="109" t="s">
        <v>636</v>
      </c>
      <c r="C44" s="109" t="s">
        <v>436</v>
      </c>
      <c r="D44" s="109" t="s">
        <v>437</v>
      </c>
      <c r="E44" s="109" t="s">
        <v>637</v>
      </c>
      <c r="F44" s="109" t="s">
        <v>492</v>
      </c>
      <c r="G44" s="109" t="s">
        <v>638</v>
      </c>
      <c r="H44" s="109" t="s">
        <v>63</v>
      </c>
      <c r="I44" s="109" t="s">
        <v>400</v>
      </c>
      <c r="N44" s="109" t="s">
        <v>117</v>
      </c>
      <c r="P44" s="153" t="s">
        <v>638</v>
      </c>
      <c r="Y44" s="118"/>
    </row>
    <row r="45" spans="1:25" ht="13">
      <c r="A45" s="146">
        <v>43434.604768518519</v>
      </c>
      <c r="B45" s="109" t="s">
        <v>639</v>
      </c>
      <c r="C45" s="109" t="s">
        <v>436</v>
      </c>
      <c r="D45" s="109" t="s">
        <v>437</v>
      </c>
      <c r="E45" s="109" t="s">
        <v>640</v>
      </c>
      <c r="F45" s="109" t="s">
        <v>641</v>
      </c>
      <c r="G45" s="109" t="s">
        <v>642</v>
      </c>
      <c r="H45" s="109" t="s">
        <v>63</v>
      </c>
      <c r="I45" s="109" t="s">
        <v>400</v>
      </c>
      <c r="N45" s="109" t="s">
        <v>117</v>
      </c>
      <c r="P45" s="153" t="s">
        <v>642</v>
      </c>
      <c r="Y45" s="118"/>
    </row>
    <row r="46" spans="1:25" ht="14">
      <c r="A46" s="146">
        <v>43335.605879629627</v>
      </c>
      <c r="B46" s="109" t="s">
        <v>643</v>
      </c>
      <c r="C46" s="109" t="s">
        <v>644</v>
      </c>
      <c r="D46" s="109" t="s">
        <v>645</v>
      </c>
      <c r="E46" s="109" t="s">
        <v>646</v>
      </c>
      <c r="F46" s="109" t="s">
        <v>431</v>
      </c>
      <c r="G46" s="109" t="s">
        <v>647</v>
      </c>
      <c r="H46" s="109" t="s">
        <v>63</v>
      </c>
      <c r="I46" s="109" t="s">
        <v>400</v>
      </c>
      <c r="J46" s="109" t="s">
        <v>163</v>
      </c>
      <c r="K46" s="109" t="s">
        <v>251</v>
      </c>
      <c r="L46" s="109" t="s">
        <v>19</v>
      </c>
      <c r="M46" s="109" t="s">
        <v>136</v>
      </c>
      <c r="N46" s="109" t="s">
        <v>130</v>
      </c>
      <c r="P46" s="148" t="s">
        <v>648</v>
      </c>
      <c r="Y46" s="118"/>
    </row>
    <row r="47" spans="1:25" ht="14">
      <c r="A47" s="146">
        <v>43339.606631944444</v>
      </c>
      <c r="B47" s="109" t="s">
        <v>649</v>
      </c>
      <c r="C47" s="109" t="s">
        <v>650</v>
      </c>
      <c r="D47" s="109" t="s">
        <v>605</v>
      </c>
      <c r="E47" s="109" t="s">
        <v>651</v>
      </c>
      <c r="F47" s="109" t="s">
        <v>431</v>
      </c>
      <c r="G47" s="109" t="s">
        <v>652</v>
      </c>
      <c r="H47" s="109" t="s">
        <v>63</v>
      </c>
      <c r="I47" s="109" t="s">
        <v>163</v>
      </c>
      <c r="N47" s="109" t="s">
        <v>117</v>
      </c>
      <c r="P47" s="148" t="s">
        <v>652</v>
      </c>
      <c r="Y47" s="118"/>
    </row>
    <row r="48" spans="1:25" ht="14">
      <c r="A48" s="146">
        <v>43355.610381944447</v>
      </c>
      <c r="B48" s="109" t="s">
        <v>653</v>
      </c>
      <c r="C48" s="109" t="s">
        <v>654</v>
      </c>
      <c r="D48" s="109" t="s">
        <v>655</v>
      </c>
      <c r="E48" s="109" t="s">
        <v>656</v>
      </c>
      <c r="F48" s="109" t="s">
        <v>431</v>
      </c>
      <c r="G48" s="109" t="s">
        <v>657</v>
      </c>
      <c r="H48" s="109" t="s">
        <v>63</v>
      </c>
      <c r="I48" s="109" t="s">
        <v>163</v>
      </c>
      <c r="N48" s="109" t="s">
        <v>117</v>
      </c>
      <c r="P48" s="152" t="s">
        <v>657</v>
      </c>
      <c r="Y48" s="118"/>
    </row>
    <row r="49" spans="1:25" ht="14">
      <c r="A49" s="146">
        <v>43402.611435185187</v>
      </c>
      <c r="B49" s="109" t="s">
        <v>658</v>
      </c>
      <c r="C49" s="109" t="s">
        <v>659</v>
      </c>
      <c r="D49" s="109" t="s">
        <v>660</v>
      </c>
      <c r="E49" s="109" t="s">
        <v>661</v>
      </c>
      <c r="F49" s="109" t="s">
        <v>431</v>
      </c>
      <c r="G49" s="109" t="s">
        <v>662</v>
      </c>
      <c r="H49" s="109" t="s">
        <v>63</v>
      </c>
      <c r="I49" s="109" t="s">
        <v>163</v>
      </c>
      <c r="N49" s="109" t="s">
        <v>117</v>
      </c>
      <c r="P49" s="151" t="s">
        <v>663</v>
      </c>
      <c r="Y49" s="118"/>
    </row>
    <row r="50" spans="1:25" ht="13">
      <c r="A50" s="146">
        <v>43417.612164351849</v>
      </c>
      <c r="B50" s="109" t="s">
        <v>664</v>
      </c>
      <c r="C50" s="109" t="s">
        <v>665</v>
      </c>
      <c r="D50" s="109" t="s">
        <v>666</v>
      </c>
      <c r="E50" s="109" t="s">
        <v>667</v>
      </c>
      <c r="F50" s="109" t="s">
        <v>398</v>
      </c>
      <c r="G50" s="109" t="s">
        <v>668</v>
      </c>
      <c r="H50" s="109" t="s">
        <v>63</v>
      </c>
      <c r="I50" s="109" t="s">
        <v>163</v>
      </c>
      <c r="N50" s="109" t="s">
        <v>117</v>
      </c>
      <c r="P50" s="153" t="s">
        <v>668</v>
      </c>
      <c r="Y50" s="118"/>
    </row>
    <row r="51" spans="1:25" ht="14">
      <c r="A51" s="146">
        <v>43438.613125000003</v>
      </c>
      <c r="B51" s="109" t="s">
        <v>669</v>
      </c>
      <c r="C51" s="109" t="s">
        <v>670</v>
      </c>
      <c r="D51" s="109" t="s">
        <v>671</v>
      </c>
      <c r="E51" s="109" t="s">
        <v>672</v>
      </c>
      <c r="F51" s="109" t="s">
        <v>673</v>
      </c>
      <c r="G51" s="109" t="s">
        <v>674</v>
      </c>
      <c r="H51" s="109" t="s">
        <v>63</v>
      </c>
      <c r="I51" s="109" t="s">
        <v>163</v>
      </c>
      <c r="N51" s="109" t="s">
        <v>130</v>
      </c>
      <c r="P51" s="151" t="s">
        <v>674</v>
      </c>
      <c r="Y51" s="118"/>
    </row>
    <row r="52" spans="1:25" ht="14">
      <c r="A52" s="146">
        <v>43440.613865740743</v>
      </c>
      <c r="B52" s="109" t="s">
        <v>675</v>
      </c>
      <c r="C52" s="109" t="s">
        <v>676</v>
      </c>
      <c r="D52" s="109" t="s">
        <v>677</v>
      </c>
      <c r="E52" s="109" t="s">
        <v>678</v>
      </c>
      <c r="F52" s="109" t="s">
        <v>679</v>
      </c>
      <c r="G52" s="109" t="s">
        <v>680</v>
      </c>
      <c r="H52" s="109" t="s">
        <v>63</v>
      </c>
      <c r="I52" s="109" t="s">
        <v>163</v>
      </c>
      <c r="N52" s="109" t="s">
        <v>117</v>
      </c>
      <c r="P52" s="154" t="s">
        <v>680</v>
      </c>
      <c r="Y52" s="118"/>
    </row>
    <row r="53" spans="1:25" ht="13">
      <c r="A53" s="146">
        <v>43369.796423611115</v>
      </c>
      <c r="B53" s="109" t="s">
        <v>681</v>
      </c>
      <c r="C53" s="109" t="s">
        <v>682</v>
      </c>
      <c r="D53" s="109" t="s">
        <v>683</v>
      </c>
      <c r="E53" s="109" t="s">
        <v>684</v>
      </c>
      <c r="F53" s="109" t="s">
        <v>398</v>
      </c>
      <c r="G53" s="109" t="s">
        <v>685</v>
      </c>
      <c r="H53" s="109" t="s">
        <v>63</v>
      </c>
      <c r="I53" s="109" t="s">
        <v>251</v>
      </c>
      <c r="J53" s="109" t="s">
        <v>400</v>
      </c>
      <c r="K53" s="109" t="s">
        <v>163</v>
      </c>
      <c r="L53" s="109" t="s">
        <v>136</v>
      </c>
      <c r="M53" s="109" t="s">
        <v>401</v>
      </c>
      <c r="N53" s="109" t="s">
        <v>686</v>
      </c>
      <c r="O53" s="109" t="s">
        <v>117</v>
      </c>
      <c r="P53" s="109" t="s">
        <v>687</v>
      </c>
      <c r="R53" s="109" t="s">
        <v>451</v>
      </c>
      <c r="S53" s="147"/>
      <c r="T53" s="147"/>
      <c r="U53" s="147"/>
      <c r="V53" s="147"/>
      <c r="W53" s="147"/>
      <c r="X53" s="147"/>
      <c r="Y53" s="118"/>
    </row>
    <row r="54" spans="1:25" ht="13">
      <c r="A54" s="146">
        <v>43343.398321759261</v>
      </c>
      <c r="B54" s="109" t="s">
        <v>688</v>
      </c>
      <c r="C54" s="109" t="s">
        <v>313</v>
      </c>
      <c r="D54" s="109" t="s">
        <v>445</v>
      </c>
      <c r="E54" s="109" t="s">
        <v>689</v>
      </c>
      <c r="F54" s="109" t="s">
        <v>690</v>
      </c>
      <c r="G54" s="109" t="s">
        <v>313</v>
      </c>
      <c r="H54" s="109" t="s">
        <v>63</v>
      </c>
      <c r="I54" s="109" t="s">
        <v>136</v>
      </c>
      <c r="J54" s="109" t="s">
        <v>401</v>
      </c>
      <c r="K54" s="109" t="s">
        <v>251</v>
      </c>
      <c r="L54" s="109" t="s">
        <v>400</v>
      </c>
      <c r="N54" s="109" t="s">
        <v>691</v>
      </c>
      <c r="O54" s="109" t="s">
        <v>117</v>
      </c>
      <c r="P54" s="109" t="s">
        <v>692</v>
      </c>
      <c r="R54" s="109" t="s">
        <v>405</v>
      </c>
      <c r="S54" s="147"/>
      <c r="T54" s="147"/>
      <c r="U54" s="147"/>
      <c r="V54" s="147"/>
      <c r="W54" s="147"/>
      <c r="X54" s="147"/>
      <c r="Y54" s="118"/>
    </row>
    <row r="55" spans="1:25" ht="13">
      <c r="A55" s="146">
        <v>43365.400613425925</v>
      </c>
      <c r="B55" s="109" t="s">
        <v>693</v>
      </c>
      <c r="C55" s="109" t="s">
        <v>694</v>
      </c>
      <c r="D55" s="109" t="s">
        <v>695</v>
      </c>
      <c r="E55" s="109" t="s">
        <v>696</v>
      </c>
      <c r="F55" s="109" t="s">
        <v>431</v>
      </c>
      <c r="G55" s="109" t="s">
        <v>313</v>
      </c>
      <c r="H55" s="109" t="s">
        <v>63</v>
      </c>
      <c r="I55" s="109" t="s">
        <v>136</v>
      </c>
      <c r="J55" s="109" t="s">
        <v>251</v>
      </c>
      <c r="K55" s="109" t="s">
        <v>401</v>
      </c>
      <c r="L55" s="109" t="s">
        <v>400</v>
      </c>
      <c r="M55" s="109" t="s">
        <v>163</v>
      </c>
      <c r="N55" s="109" t="s">
        <v>691</v>
      </c>
      <c r="O55" s="109" t="s">
        <v>117</v>
      </c>
      <c r="P55" s="109" t="s">
        <v>697</v>
      </c>
      <c r="R55" s="109" t="s">
        <v>451</v>
      </c>
      <c r="S55" s="147"/>
      <c r="T55" s="147"/>
      <c r="U55" s="147"/>
      <c r="V55" s="147"/>
      <c r="W55" s="147"/>
      <c r="X55" s="147"/>
      <c r="Y55" s="118"/>
    </row>
    <row r="56" spans="1:25" ht="13">
      <c r="A56" s="146">
        <v>43368.40216435185</v>
      </c>
      <c r="B56" s="109" t="s">
        <v>698</v>
      </c>
      <c r="C56" s="109" t="s">
        <v>699</v>
      </c>
      <c r="D56" s="109" t="s">
        <v>655</v>
      </c>
      <c r="E56" s="109" t="s">
        <v>700</v>
      </c>
      <c r="F56" s="109" t="s">
        <v>701</v>
      </c>
      <c r="G56" s="109" t="s">
        <v>313</v>
      </c>
      <c r="H56" s="109" t="s">
        <v>63</v>
      </c>
      <c r="I56" s="109" t="s">
        <v>136</v>
      </c>
      <c r="J56" s="109" t="s">
        <v>401</v>
      </c>
      <c r="K56" s="109" t="s">
        <v>251</v>
      </c>
      <c r="L56" s="109" t="s">
        <v>400</v>
      </c>
      <c r="M56" s="109" t="s">
        <v>163</v>
      </c>
      <c r="N56" s="109" t="s">
        <v>691</v>
      </c>
      <c r="O56" s="109" t="s">
        <v>117</v>
      </c>
      <c r="P56" s="109" t="s">
        <v>702</v>
      </c>
      <c r="R56" s="109" t="s">
        <v>451</v>
      </c>
      <c r="S56" s="147"/>
      <c r="T56" s="147"/>
      <c r="U56" s="147"/>
      <c r="V56" s="147"/>
      <c r="W56" s="147"/>
      <c r="X56" s="147"/>
      <c r="Y56" s="118"/>
    </row>
    <row r="57" spans="1:25" ht="13">
      <c r="A57" s="146">
        <v>43370.40420138889</v>
      </c>
      <c r="B57" s="109" t="s">
        <v>703</v>
      </c>
      <c r="C57" s="109" t="s">
        <v>704</v>
      </c>
      <c r="D57" s="109" t="s">
        <v>705</v>
      </c>
      <c r="E57" s="109" t="s">
        <v>706</v>
      </c>
      <c r="F57" s="109" t="s">
        <v>596</v>
      </c>
      <c r="G57" s="109" t="s">
        <v>313</v>
      </c>
      <c r="H57" s="109" t="s">
        <v>63</v>
      </c>
      <c r="I57" s="109" t="s">
        <v>136</v>
      </c>
      <c r="J57" s="109" t="s">
        <v>163</v>
      </c>
      <c r="K57" s="109" t="s">
        <v>401</v>
      </c>
      <c r="N57" s="109" t="s">
        <v>691</v>
      </c>
      <c r="O57" s="109" t="s">
        <v>403</v>
      </c>
      <c r="P57" s="109" t="s">
        <v>707</v>
      </c>
      <c r="R57" s="109" t="s">
        <v>451</v>
      </c>
      <c r="S57" s="147"/>
      <c r="T57" s="147"/>
      <c r="U57" s="147"/>
      <c r="V57" s="147"/>
      <c r="W57" s="147"/>
      <c r="X57" s="147"/>
      <c r="Y57" s="118"/>
    </row>
    <row r="58" spans="1:25" ht="13">
      <c r="A58" s="146">
        <v>43382.413773148146</v>
      </c>
      <c r="B58" s="109" t="s">
        <v>708</v>
      </c>
      <c r="C58" s="109" t="s">
        <v>709</v>
      </c>
      <c r="D58" s="109" t="s">
        <v>710</v>
      </c>
      <c r="E58" s="109" t="s">
        <v>711</v>
      </c>
      <c r="F58" s="109" t="s">
        <v>492</v>
      </c>
      <c r="G58" s="109" t="s">
        <v>313</v>
      </c>
      <c r="H58" s="109" t="s">
        <v>63</v>
      </c>
      <c r="I58" s="109" t="s">
        <v>136</v>
      </c>
      <c r="J58" s="109" t="s">
        <v>401</v>
      </c>
      <c r="K58" s="109" t="s">
        <v>400</v>
      </c>
      <c r="N58" s="109" t="s">
        <v>691</v>
      </c>
      <c r="O58" s="109" t="s">
        <v>403</v>
      </c>
      <c r="P58" s="109" t="s">
        <v>712</v>
      </c>
      <c r="R58" s="109" t="s">
        <v>442</v>
      </c>
      <c r="S58" s="147"/>
      <c r="T58" s="147"/>
      <c r="U58" s="147"/>
      <c r="V58" s="147"/>
      <c r="W58" s="147"/>
      <c r="X58" s="147"/>
      <c r="Y58" s="118"/>
    </row>
    <row r="59" spans="1:25" ht="13">
      <c r="A59" s="146">
        <v>43395.41673611111</v>
      </c>
      <c r="B59" s="109" t="s">
        <v>713</v>
      </c>
      <c r="C59" s="109" t="s">
        <v>714</v>
      </c>
      <c r="D59" s="109" t="s">
        <v>715</v>
      </c>
      <c r="E59" s="109" t="s">
        <v>716</v>
      </c>
      <c r="F59" s="109" t="s">
        <v>418</v>
      </c>
      <c r="G59" s="109" t="s">
        <v>313</v>
      </c>
      <c r="H59" s="109" t="s">
        <v>63</v>
      </c>
      <c r="I59" s="109" t="s">
        <v>136</v>
      </c>
      <c r="J59" s="109" t="s">
        <v>251</v>
      </c>
      <c r="K59" s="109" t="s">
        <v>401</v>
      </c>
      <c r="L59" s="109" t="s">
        <v>400</v>
      </c>
      <c r="N59" s="109" t="s">
        <v>717</v>
      </c>
      <c r="O59" s="109" t="s">
        <v>403</v>
      </c>
      <c r="P59" s="109" t="s">
        <v>718</v>
      </c>
      <c r="R59" s="109" t="s">
        <v>405</v>
      </c>
      <c r="S59" s="147"/>
      <c r="T59" s="147"/>
      <c r="U59" s="147"/>
      <c r="V59" s="147"/>
      <c r="W59" s="147"/>
      <c r="X59" s="147"/>
      <c r="Y59" s="118"/>
    </row>
    <row r="60" spans="1:25" ht="13">
      <c r="A60" s="146">
        <v>43398.418842592589</v>
      </c>
      <c r="B60" s="109" t="s">
        <v>719</v>
      </c>
      <c r="C60" s="109" t="s">
        <v>720</v>
      </c>
      <c r="D60" s="109" t="s">
        <v>578</v>
      </c>
      <c r="E60" s="109" t="s">
        <v>721</v>
      </c>
      <c r="F60" s="109" t="s">
        <v>418</v>
      </c>
      <c r="G60" s="109" t="s">
        <v>313</v>
      </c>
      <c r="H60" s="109" t="s">
        <v>63</v>
      </c>
      <c r="I60" s="109" t="s">
        <v>136</v>
      </c>
      <c r="J60" s="109" t="s">
        <v>163</v>
      </c>
      <c r="K60" s="109" t="s">
        <v>400</v>
      </c>
      <c r="L60" s="109" t="s">
        <v>251</v>
      </c>
      <c r="M60" s="109" t="s">
        <v>401</v>
      </c>
      <c r="N60" s="109" t="s">
        <v>691</v>
      </c>
      <c r="O60" s="109" t="s">
        <v>403</v>
      </c>
      <c r="P60" s="109" t="s">
        <v>722</v>
      </c>
      <c r="R60" s="109" t="s">
        <v>405</v>
      </c>
      <c r="S60" s="147"/>
      <c r="T60" s="147"/>
      <c r="U60" s="147"/>
      <c r="V60" s="147"/>
      <c r="W60" s="147"/>
      <c r="X60" s="147"/>
      <c r="Y60" s="118"/>
    </row>
    <row r="61" spans="1:25" ht="13">
      <c r="A61" s="146">
        <v>43414.42046296296</v>
      </c>
      <c r="B61" s="109" t="s">
        <v>723</v>
      </c>
      <c r="C61" s="109" t="s">
        <v>724</v>
      </c>
      <c r="D61" s="109" t="s">
        <v>725</v>
      </c>
      <c r="E61" s="109" t="s">
        <v>726</v>
      </c>
      <c r="F61" s="109" t="s">
        <v>492</v>
      </c>
      <c r="G61" s="109" t="s">
        <v>313</v>
      </c>
      <c r="H61" s="109" t="s">
        <v>63</v>
      </c>
      <c r="I61" s="109" t="s">
        <v>136</v>
      </c>
      <c r="J61" s="109" t="s">
        <v>251</v>
      </c>
      <c r="K61" s="109" t="s">
        <v>401</v>
      </c>
      <c r="L61" s="109" t="s">
        <v>400</v>
      </c>
      <c r="M61" s="109" t="s">
        <v>163</v>
      </c>
      <c r="N61" s="109" t="s">
        <v>691</v>
      </c>
      <c r="O61" s="109" t="s">
        <v>403</v>
      </c>
      <c r="P61" s="109" t="s">
        <v>727</v>
      </c>
      <c r="R61" s="109" t="s">
        <v>405</v>
      </c>
      <c r="S61" s="147"/>
      <c r="T61" s="147"/>
      <c r="U61" s="147"/>
      <c r="V61" s="147"/>
      <c r="W61" s="147"/>
      <c r="X61" s="147"/>
      <c r="Y61" s="118"/>
    </row>
    <row r="62" spans="1:25" ht="13">
      <c r="A62" s="146">
        <v>43422.421620370369</v>
      </c>
      <c r="B62" s="109" t="s">
        <v>728</v>
      </c>
      <c r="C62" s="109" t="s">
        <v>729</v>
      </c>
      <c r="D62" s="109" t="s">
        <v>578</v>
      </c>
      <c r="E62" s="109" t="s">
        <v>730</v>
      </c>
      <c r="F62" s="109" t="s">
        <v>492</v>
      </c>
      <c r="G62" s="109" t="s">
        <v>313</v>
      </c>
      <c r="H62" s="109" t="s">
        <v>63</v>
      </c>
      <c r="I62" s="109" t="s">
        <v>136</v>
      </c>
      <c r="J62" s="109" t="s">
        <v>251</v>
      </c>
      <c r="K62" s="109" t="s">
        <v>400</v>
      </c>
      <c r="L62" s="109" t="s">
        <v>163</v>
      </c>
      <c r="N62" s="109" t="s">
        <v>130</v>
      </c>
      <c r="O62" s="109" t="s">
        <v>403</v>
      </c>
      <c r="P62" s="109" t="s">
        <v>731</v>
      </c>
      <c r="R62" s="109" t="s">
        <v>451</v>
      </c>
      <c r="S62" s="147"/>
      <c r="T62" s="147"/>
      <c r="U62" s="147"/>
      <c r="V62" s="147"/>
      <c r="W62" s="147"/>
      <c r="X62" s="147"/>
      <c r="Y62" s="118"/>
    </row>
    <row r="63" spans="1:25" ht="13">
      <c r="A63" s="146">
        <v>43357.428553240738</v>
      </c>
      <c r="B63" s="109" t="s">
        <v>732</v>
      </c>
      <c r="C63" s="109" t="s">
        <v>733</v>
      </c>
      <c r="D63" s="109" t="s">
        <v>578</v>
      </c>
      <c r="E63" s="109" t="s">
        <v>734</v>
      </c>
      <c r="F63" s="109" t="s">
        <v>431</v>
      </c>
      <c r="G63" s="109" t="s">
        <v>267</v>
      </c>
      <c r="H63" s="109" t="s">
        <v>63</v>
      </c>
      <c r="I63" s="109" t="s">
        <v>251</v>
      </c>
      <c r="J63" s="109" t="s">
        <v>400</v>
      </c>
      <c r="K63" s="109" t="s">
        <v>401</v>
      </c>
      <c r="L63" s="109" t="s">
        <v>163</v>
      </c>
      <c r="M63" s="109" t="s">
        <v>136</v>
      </c>
      <c r="N63" s="109" t="s">
        <v>691</v>
      </c>
      <c r="O63" s="109" t="s">
        <v>130</v>
      </c>
      <c r="P63" s="109" t="s">
        <v>735</v>
      </c>
      <c r="R63" s="109" t="s">
        <v>405</v>
      </c>
      <c r="S63" s="147"/>
      <c r="T63" s="147"/>
      <c r="U63" s="147"/>
      <c r="V63" s="147"/>
      <c r="W63" s="147"/>
      <c r="X63" s="147"/>
      <c r="Y63" s="118"/>
    </row>
    <row r="64" spans="1:25" ht="13">
      <c r="A64" s="146">
        <v>43332.43167824074</v>
      </c>
      <c r="B64" s="109" t="s">
        <v>736</v>
      </c>
      <c r="C64" s="109" t="s">
        <v>665</v>
      </c>
      <c r="D64" s="109" t="s">
        <v>737</v>
      </c>
      <c r="E64" s="109" t="s">
        <v>738</v>
      </c>
      <c r="F64" s="109" t="s">
        <v>431</v>
      </c>
      <c r="G64" s="109" t="s">
        <v>267</v>
      </c>
      <c r="H64" s="109" t="s">
        <v>63</v>
      </c>
      <c r="I64" s="109" t="s">
        <v>251</v>
      </c>
      <c r="J64" s="109" t="s">
        <v>400</v>
      </c>
      <c r="K64" s="109" t="s">
        <v>401</v>
      </c>
      <c r="L64" s="109" t="s">
        <v>163</v>
      </c>
      <c r="M64" s="109" t="s">
        <v>136</v>
      </c>
      <c r="N64" s="109" t="s">
        <v>691</v>
      </c>
      <c r="O64" s="109" t="s">
        <v>117</v>
      </c>
      <c r="P64" s="109" t="s">
        <v>739</v>
      </c>
      <c r="R64" s="109" t="s">
        <v>451</v>
      </c>
      <c r="S64" s="147"/>
      <c r="T64" s="147"/>
      <c r="U64" s="147"/>
      <c r="V64" s="147"/>
      <c r="W64" s="147"/>
      <c r="X64" s="147"/>
      <c r="Y64" s="118"/>
    </row>
    <row r="65" spans="1:25" ht="13">
      <c r="A65" s="146">
        <v>43334.433587962965</v>
      </c>
      <c r="B65" s="109" t="s">
        <v>740</v>
      </c>
      <c r="C65" s="109" t="s">
        <v>741</v>
      </c>
      <c r="D65" s="109" t="s">
        <v>742</v>
      </c>
      <c r="E65" s="109" t="s">
        <v>743</v>
      </c>
      <c r="F65" s="109" t="s">
        <v>398</v>
      </c>
      <c r="G65" s="109" t="s">
        <v>267</v>
      </c>
      <c r="H65" s="109" t="s">
        <v>63</v>
      </c>
      <c r="I65" s="109" t="s">
        <v>251</v>
      </c>
      <c r="J65" s="109" t="s">
        <v>400</v>
      </c>
      <c r="K65" s="109" t="s">
        <v>401</v>
      </c>
      <c r="L65" s="109" t="s">
        <v>163</v>
      </c>
      <c r="M65" s="109" t="s">
        <v>136</v>
      </c>
      <c r="N65" s="109" t="s">
        <v>691</v>
      </c>
      <c r="O65" s="109" t="s">
        <v>130</v>
      </c>
      <c r="P65" s="109" t="s">
        <v>744</v>
      </c>
      <c r="R65" s="109" t="s">
        <v>405</v>
      </c>
      <c r="S65" s="147"/>
      <c r="T65" s="147"/>
      <c r="U65" s="147"/>
      <c r="V65" s="147"/>
      <c r="W65" s="147"/>
      <c r="X65" s="147"/>
      <c r="Y65" s="118"/>
    </row>
    <row r="66" spans="1:25" ht="13">
      <c r="A66" s="146">
        <v>43336.435833333337</v>
      </c>
      <c r="B66" s="109" t="s">
        <v>745</v>
      </c>
      <c r="C66" s="109" t="s">
        <v>746</v>
      </c>
      <c r="D66" s="109" t="s">
        <v>705</v>
      </c>
      <c r="E66" s="109" t="s">
        <v>747</v>
      </c>
      <c r="F66" s="109" t="s">
        <v>431</v>
      </c>
      <c r="G66" s="109" t="s">
        <v>267</v>
      </c>
      <c r="H66" s="109" t="s">
        <v>63</v>
      </c>
      <c r="I66" s="109" t="s">
        <v>251</v>
      </c>
      <c r="J66" s="109" t="s">
        <v>401</v>
      </c>
      <c r="K66" s="109" t="s">
        <v>163</v>
      </c>
      <c r="L66" s="109" t="s">
        <v>400</v>
      </c>
      <c r="M66" s="109" t="s">
        <v>136</v>
      </c>
      <c r="N66" s="109" t="s">
        <v>691</v>
      </c>
      <c r="O66" s="109" t="s">
        <v>403</v>
      </c>
      <c r="P66" s="109" t="s">
        <v>748</v>
      </c>
      <c r="R66" s="109" t="s">
        <v>405</v>
      </c>
      <c r="S66" s="147"/>
      <c r="T66" s="147"/>
      <c r="U66" s="147"/>
      <c r="V66" s="147"/>
      <c r="W66" s="147"/>
      <c r="X66" s="147"/>
      <c r="Y66" s="118"/>
    </row>
    <row r="67" spans="1:25" ht="13">
      <c r="A67" s="146">
        <v>43340.438923611109</v>
      </c>
      <c r="B67" s="109" t="s">
        <v>749</v>
      </c>
      <c r="C67" s="109" t="s">
        <v>750</v>
      </c>
      <c r="D67" s="109" t="s">
        <v>589</v>
      </c>
      <c r="E67" s="109" t="s">
        <v>751</v>
      </c>
      <c r="F67" s="109" t="s">
        <v>431</v>
      </c>
      <c r="G67" s="109" t="s">
        <v>267</v>
      </c>
      <c r="H67" s="109" t="s">
        <v>63</v>
      </c>
      <c r="I67" s="109" t="s">
        <v>251</v>
      </c>
      <c r="J67" s="109" t="s">
        <v>400</v>
      </c>
      <c r="K67" s="109" t="s">
        <v>401</v>
      </c>
      <c r="L67" s="109" t="s">
        <v>163</v>
      </c>
      <c r="M67" s="109" t="s">
        <v>136</v>
      </c>
      <c r="N67" s="109" t="s">
        <v>691</v>
      </c>
      <c r="O67" s="109" t="s">
        <v>403</v>
      </c>
      <c r="P67" s="109" t="s">
        <v>752</v>
      </c>
      <c r="R67" s="109" t="s">
        <v>451</v>
      </c>
      <c r="S67" s="147"/>
      <c r="T67" s="147"/>
      <c r="U67" s="147"/>
      <c r="V67" s="147"/>
      <c r="W67" s="147"/>
      <c r="X67" s="147"/>
      <c r="Y67" s="118"/>
    </row>
    <row r="68" spans="1:25" ht="13">
      <c r="A68" s="146">
        <v>43340.441666666666</v>
      </c>
      <c r="B68" s="109" t="s">
        <v>753</v>
      </c>
      <c r="C68" s="109" t="s">
        <v>754</v>
      </c>
      <c r="D68" s="109" t="s">
        <v>755</v>
      </c>
      <c r="E68" s="109" t="s">
        <v>756</v>
      </c>
      <c r="F68" s="109" t="s">
        <v>431</v>
      </c>
      <c r="G68" s="109" t="s">
        <v>267</v>
      </c>
      <c r="H68" s="109" t="s">
        <v>63</v>
      </c>
      <c r="I68" s="109" t="s">
        <v>400</v>
      </c>
      <c r="J68" s="109" t="s">
        <v>251</v>
      </c>
      <c r="K68" s="109" t="s">
        <v>401</v>
      </c>
      <c r="L68" s="109" t="s">
        <v>163</v>
      </c>
      <c r="M68" s="109" t="s">
        <v>136</v>
      </c>
      <c r="N68" s="109" t="s">
        <v>691</v>
      </c>
      <c r="P68" s="109" t="s">
        <v>757</v>
      </c>
      <c r="R68" s="109" t="s">
        <v>451</v>
      </c>
      <c r="S68" s="147"/>
      <c r="T68" s="147"/>
      <c r="U68" s="147"/>
      <c r="V68" s="147"/>
      <c r="W68" s="147"/>
      <c r="X68" s="147"/>
      <c r="Y68" s="118"/>
    </row>
    <row r="69" spans="1:25" ht="13">
      <c r="A69" s="146">
        <v>43349.443171296298</v>
      </c>
      <c r="B69" s="109" t="s">
        <v>758</v>
      </c>
      <c r="C69" s="109" t="s">
        <v>759</v>
      </c>
      <c r="D69" s="109" t="s">
        <v>589</v>
      </c>
      <c r="E69" s="109" t="s">
        <v>760</v>
      </c>
      <c r="F69" s="109" t="s">
        <v>418</v>
      </c>
      <c r="G69" s="109" t="s">
        <v>267</v>
      </c>
      <c r="H69" s="109" t="s">
        <v>63</v>
      </c>
      <c r="I69" s="109" t="s">
        <v>251</v>
      </c>
      <c r="J69" s="109" t="s">
        <v>400</v>
      </c>
      <c r="K69" s="109" t="s">
        <v>163</v>
      </c>
      <c r="L69" s="109" t="s">
        <v>136</v>
      </c>
      <c r="M69" s="109" t="s">
        <v>401</v>
      </c>
      <c r="N69" s="109" t="s">
        <v>691</v>
      </c>
      <c r="O69" s="109" t="s">
        <v>117</v>
      </c>
      <c r="P69" s="109" t="s">
        <v>761</v>
      </c>
      <c r="R69" s="109" t="s">
        <v>405</v>
      </c>
      <c r="S69" s="147"/>
      <c r="T69" s="147"/>
      <c r="U69" s="147"/>
      <c r="V69" s="147"/>
      <c r="W69" s="147"/>
      <c r="X69" s="147"/>
      <c r="Y69" s="118"/>
    </row>
    <row r="70" spans="1:25" ht="13">
      <c r="A70" s="146">
        <v>43362.444837962961</v>
      </c>
      <c r="B70" s="109" t="s">
        <v>762</v>
      </c>
      <c r="C70" s="109" t="s">
        <v>763</v>
      </c>
      <c r="D70" s="109" t="s">
        <v>578</v>
      </c>
      <c r="E70" s="109" t="s">
        <v>764</v>
      </c>
      <c r="F70" s="109" t="s">
        <v>431</v>
      </c>
      <c r="G70" s="109" t="s">
        <v>267</v>
      </c>
      <c r="H70" s="109" t="s">
        <v>63</v>
      </c>
      <c r="I70" s="109" t="s">
        <v>251</v>
      </c>
      <c r="J70" s="109" t="s">
        <v>400</v>
      </c>
      <c r="K70" s="109" t="s">
        <v>163</v>
      </c>
      <c r="L70" s="109" t="s">
        <v>401</v>
      </c>
      <c r="M70" s="109" t="s">
        <v>136</v>
      </c>
      <c r="N70" s="109" t="s">
        <v>691</v>
      </c>
      <c r="O70" s="109" t="s">
        <v>117</v>
      </c>
      <c r="P70" s="109" t="s">
        <v>765</v>
      </c>
      <c r="R70" s="109" t="s">
        <v>451</v>
      </c>
      <c r="S70" s="147"/>
      <c r="T70" s="147"/>
      <c r="U70" s="147"/>
      <c r="V70" s="147"/>
      <c r="W70" s="147"/>
      <c r="X70" s="147"/>
      <c r="Y70" s="118"/>
    </row>
    <row r="71" spans="1:25" ht="13">
      <c r="A71" s="146">
        <v>43364.446145833332</v>
      </c>
      <c r="B71" s="109" t="s">
        <v>766</v>
      </c>
      <c r="C71" s="109" t="s">
        <v>313</v>
      </c>
      <c r="D71" s="109" t="s">
        <v>767</v>
      </c>
      <c r="E71" s="109" t="s">
        <v>768</v>
      </c>
      <c r="F71" s="109" t="s">
        <v>418</v>
      </c>
      <c r="G71" s="109" t="s">
        <v>267</v>
      </c>
      <c r="H71" s="109" t="s">
        <v>63</v>
      </c>
      <c r="I71" s="109" t="s">
        <v>251</v>
      </c>
      <c r="J71" s="109" t="s">
        <v>400</v>
      </c>
      <c r="K71" s="109" t="s">
        <v>163</v>
      </c>
      <c r="L71" s="109" t="s">
        <v>401</v>
      </c>
      <c r="M71" s="109" t="s">
        <v>136</v>
      </c>
      <c r="N71" s="109" t="s">
        <v>691</v>
      </c>
      <c r="O71" s="109" t="s">
        <v>117</v>
      </c>
      <c r="P71" s="109" t="s">
        <v>769</v>
      </c>
      <c r="R71" s="109" t="s">
        <v>451</v>
      </c>
      <c r="S71" s="147"/>
      <c r="T71" s="147"/>
      <c r="U71" s="147"/>
      <c r="V71" s="147"/>
      <c r="W71" s="147"/>
      <c r="X71" s="147"/>
      <c r="Y71" s="118"/>
    </row>
    <row r="72" spans="1:25" ht="13">
      <c r="A72" s="146">
        <v>43369.448344907411</v>
      </c>
      <c r="B72" s="109" t="s">
        <v>770</v>
      </c>
      <c r="C72" s="109" t="s">
        <v>682</v>
      </c>
      <c r="D72" s="109" t="s">
        <v>771</v>
      </c>
      <c r="E72" s="109" t="s">
        <v>684</v>
      </c>
      <c r="F72" s="109" t="s">
        <v>398</v>
      </c>
      <c r="G72" s="109" t="s">
        <v>267</v>
      </c>
      <c r="H72" s="109" t="s">
        <v>63</v>
      </c>
      <c r="I72" s="109" t="s">
        <v>251</v>
      </c>
      <c r="J72" s="109" t="s">
        <v>400</v>
      </c>
      <c r="K72" s="109" t="s">
        <v>163</v>
      </c>
      <c r="L72" s="109" t="s">
        <v>401</v>
      </c>
      <c r="M72" s="109" t="s">
        <v>136</v>
      </c>
      <c r="N72" s="109" t="s">
        <v>691</v>
      </c>
      <c r="O72" s="109" t="s">
        <v>117</v>
      </c>
      <c r="P72" s="109" t="s">
        <v>772</v>
      </c>
      <c r="R72" s="109" t="s">
        <v>451</v>
      </c>
      <c r="S72" s="147"/>
      <c r="T72" s="147"/>
      <c r="U72" s="147"/>
      <c r="V72" s="147"/>
      <c r="W72" s="147"/>
      <c r="X72" s="147"/>
      <c r="Y72" s="118"/>
    </row>
    <row r="73" spans="1:25" ht="13">
      <c r="A73" s="146">
        <v>43369.449189814812</v>
      </c>
      <c r="B73" s="109" t="s">
        <v>770</v>
      </c>
      <c r="C73" s="109" t="s">
        <v>682</v>
      </c>
      <c r="D73" s="109" t="s">
        <v>771</v>
      </c>
      <c r="E73" s="109" t="s">
        <v>684</v>
      </c>
      <c r="F73" s="109" t="s">
        <v>398</v>
      </c>
      <c r="G73" s="109" t="s">
        <v>267</v>
      </c>
      <c r="H73" s="109" t="s">
        <v>63</v>
      </c>
      <c r="I73" s="109" t="s">
        <v>251</v>
      </c>
      <c r="J73" s="109" t="s">
        <v>400</v>
      </c>
      <c r="K73" s="109" t="s">
        <v>163</v>
      </c>
      <c r="L73" s="109" t="s">
        <v>401</v>
      </c>
      <c r="M73" s="109" t="s">
        <v>136</v>
      </c>
      <c r="N73" s="109" t="s">
        <v>691</v>
      </c>
      <c r="O73" s="109" t="s">
        <v>117</v>
      </c>
      <c r="P73" s="109" t="s">
        <v>772</v>
      </c>
      <c r="R73" s="109" t="s">
        <v>451</v>
      </c>
      <c r="S73" s="147"/>
      <c r="T73" s="147"/>
      <c r="U73" s="147"/>
      <c r="V73" s="147"/>
      <c r="W73" s="147"/>
      <c r="X73" s="147"/>
      <c r="Y73" s="118"/>
    </row>
    <row r="74" spans="1:25" ht="13">
      <c r="A74" s="146">
        <v>43389.452337962961</v>
      </c>
      <c r="B74" s="109" t="s">
        <v>773</v>
      </c>
      <c r="C74" s="109" t="s">
        <v>774</v>
      </c>
      <c r="D74" s="109" t="s">
        <v>437</v>
      </c>
      <c r="E74" s="109" t="s">
        <v>775</v>
      </c>
      <c r="F74" s="109" t="s">
        <v>398</v>
      </c>
      <c r="G74" s="109" t="s">
        <v>267</v>
      </c>
      <c r="H74" s="109" t="s">
        <v>63</v>
      </c>
      <c r="I74" s="109" t="s">
        <v>251</v>
      </c>
      <c r="J74" s="109" t="s">
        <v>400</v>
      </c>
      <c r="K74" s="109" t="s">
        <v>401</v>
      </c>
      <c r="L74" s="109" t="s">
        <v>163</v>
      </c>
      <c r="M74" s="109" t="s">
        <v>136</v>
      </c>
      <c r="N74" s="109" t="s">
        <v>691</v>
      </c>
      <c r="O74" s="109" t="s">
        <v>117</v>
      </c>
      <c r="P74" s="109" t="s">
        <v>776</v>
      </c>
      <c r="R74" s="109" t="s">
        <v>405</v>
      </c>
      <c r="S74" s="147"/>
      <c r="T74" s="147"/>
      <c r="U74" s="147"/>
      <c r="V74" s="147"/>
      <c r="W74" s="147"/>
      <c r="X74" s="147"/>
      <c r="Y74" s="118"/>
    </row>
    <row r="75" spans="1:25" ht="13">
      <c r="A75" s="146">
        <v>43373.450949074075</v>
      </c>
      <c r="B75" s="109" t="s">
        <v>777</v>
      </c>
      <c r="C75" s="109" t="s">
        <v>778</v>
      </c>
      <c r="D75" s="109" t="s">
        <v>671</v>
      </c>
      <c r="E75" s="109" t="s">
        <v>779</v>
      </c>
      <c r="F75" s="109" t="s">
        <v>418</v>
      </c>
      <c r="G75" s="109" t="s">
        <v>267</v>
      </c>
      <c r="H75" s="109" t="s">
        <v>63</v>
      </c>
      <c r="I75" s="109" t="s">
        <v>251</v>
      </c>
      <c r="N75" s="109" t="s">
        <v>691</v>
      </c>
      <c r="O75" s="109" t="s">
        <v>130</v>
      </c>
      <c r="P75" s="109" t="s">
        <v>780</v>
      </c>
      <c r="R75" s="109" t="s">
        <v>442</v>
      </c>
      <c r="S75" s="147"/>
      <c r="T75" s="147"/>
      <c r="U75" s="147"/>
      <c r="V75" s="147"/>
      <c r="W75" s="147"/>
      <c r="X75" s="147"/>
      <c r="Y75" s="118"/>
    </row>
    <row r="76" spans="1:25" ht="13">
      <c r="A76" s="146">
        <v>43395.455196759256</v>
      </c>
      <c r="B76" s="109" t="s">
        <v>781</v>
      </c>
      <c r="C76" s="109" t="s">
        <v>782</v>
      </c>
      <c r="D76" s="109" t="s">
        <v>767</v>
      </c>
      <c r="E76" s="109" t="s">
        <v>783</v>
      </c>
      <c r="F76" s="109" t="s">
        <v>701</v>
      </c>
      <c r="G76" s="109" t="s">
        <v>267</v>
      </c>
      <c r="H76" s="109" t="s">
        <v>63</v>
      </c>
      <c r="I76" s="109" t="s">
        <v>251</v>
      </c>
      <c r="J76" s="109" t="s">
        <v>136</v>
      </c>
      <c r="K76" s="109" t="s">
        <v>400</v>
      </c>
      <c r="L76" s="109" t="s">
        <v>401</v>
      </c>
      <c r="M76" s="109" t="s">
        <v>163</v>
      </c>
      <c r="N76" s="109" t="s">
        <v>691</v>
      </c>
      <c r="O76" s="109" t="s">
        <v>117</v>
      </c>
      <c r="P76" s="109" t="s">
        <v>784</v>
      </c>
      <c r="R76" s="109" t="s">
        <v>451</v>
      </c>
      <c r="S76" s="147"/>
      <c r="T76" s="147"/>
      <c r="U76" s="147"/>
      <c r="V76" s="147"/>
      <c r="W76" s="147"/>
      <c r="X76" s="147"/>
      <c r="Y76" s="118"/>
    </row>
    <row r="77" spans="1:25" ht="13">
      <c r="A77" s="146">
        <v>43398.459340277775</v>
      </c>
      <c r="B77" s="109" t="s">
        <v>785</v>
      </c>
      <c r="C77" s="109" t="s">
        <v>786</v>
      </c>
      <c r="D77" s="109" t="s">
        <v>742</v>
      </c>
      <c r="E77" s="109" t="s">
        <v>787</v>
      </c>
      <c r="F77" s="109" t="s">
        <v>492</v>
      </c>
      <c r="G77" s="109" t="s">
        <v>267</v>
      </c>
      <c r="H77" s="109" t="s">
        <v>63</v>
      </c>
      <c r="I77" s="109" t="s">
        <v>251</v>
      </c>
      <c r="J77" s="109" t="s">
        <v>400</v>
      </c>
      <c r="K77" s="109" t="s">
        <v>401</v>
      </c>
      <c r="L77" s="109" t="s">
        <v>163</v>
      </c>
      <c r="M77" s="109" t="s">
        <v>136</v>
      </c>
      <c r="N77" s="109" t="s">
        <v>691</v>
      </c>
      <c r="O77" s="109" t="s">
        <v>403</v>
      </c>
      <c r="P77" s="109" t="s">
        <v>788</v>
      </c>
      <c r="R77" s="109" t="s">
        <v>405</v>
      </c>
      <c r="S77" s="147"/>
      <c r="T77" s="147"/>
      <c r="U77" s="147"/>
      <c r="V77" s="147"/>
      <c r="W77" s="147"/>
      <c r="X77" s="147"/>
      <c r="Y77" s="118"/>
    </row>
    <row r="78" spans="1:25" ht="13">
      <c r="A78" s="146">
        <v>43409.460914351854</v>
      </c>
      <c r="B78" s="109" t="s">
        <v>789</v>
      </c>
      <c r="C78" s="109" t="s">
        <v>790</v>
      </c>
      <c r="D78" s="109" t="s">
        <v>791</v>
      </c>
      <c r="E78" s="109" t="s">
        <v>792</v>
      </c>
      <c r="F78" s="109" t="s">
        <v>461</v>
      </c>
      <c r="G78" s="109" t="s">
        <v>267</v>
      </c>
      <c r="H78" s="109" t="s">
        <v>63</v>
      </c>
      <c r="I78" s="109" t="s">
        <v>251</v>
      </c>
      <c r="J78" s="109" t="s">
        <v>401</v>
      </c>
      <c r="K78" s="109" t="s">
        <v>400</v>
      </c>
      <c r="L78" s="109" t="s">
        <v>163</v>
      </c>
      <c r="M78" s="109" t="s">
        <v>136</v>
      </c>
      <c r="N78" s="109" t="s">
        <v>130</v>
      </c>
      <c r="O78" s="109" t="s">
        <v>117</v>
      </c>
      <c r="P78" s="109" t="s">
        <v>793</v>
      </c>
      <c r="R78" s="109" t="s">
        <v>451</v>
      </c>
      <c r="S78" s="147"/>
      <c r="T78" s="147"/>
      <c r="U78" s="147"/>
      <c r="V78" s="147"/>
      <c r="W78" s="147"/>
      <c r="X78" s="147"/>
      <c r="Y78" s="118"/>
    </row>
    <row r="79" spans="1:25" ht="13">
      <c r="A79" s="146">
        <v>43413.462141203701</v>
      </c>
      <c r="B79" s="109" t="s">
        <v>794</v>
      </c>
      <c r="C79" s="109" t="s">
        <v>267</v>
      </c>
      <c r="D79" s="109" t="s">
        <v>795</v>
      </c>
      <c r="E79" s="109" t="s">
        <v>796</v>
      </c>
      <c r="F79" s="109" t="s">
        <v>447</v>
      </c>
      <c r="G79" s="109" t="s">
        <v>267</v>
      </c>
      <c r="H79" s="109" t="s">
        <v>63</v>
      </c>
      <c r="I79" s="109" t="s">
        <v>251</v>
      </c>
      <c r="J79" s="109" t="s">
        <v>400</v>
      </c>
      <c r="K79" s="109" t="s">
        <v>401</v>
      </c>
      <c r="L79" s="109" t="s">
        <v>163</v>
      </c>
      <c r="M79" s="109" t="s">
        <v>136</v>
      </c>
      <c r="N79" s="109" t="s">
        <v>691</v>
      </c>
      <c r="O79" s="109" t="s">
        <v>403</v>
      </c>
      <c r="P79" s="109" t="s">
        <v>797</v>
      </c>
      <c r="R79" s="109" t="s">
        <v>451</v>
      </c>
      <c r="S79" s="147"/>
      <c r="T79" s="147"/>
      <c r="U79" s="147"/>
      <c r="V79" s="147"/>
      <c r="W79" s="147"/>
      <c r="X79" s="147"/>
      <c r="Y79" s="118"/>
    </row>
    <row r="80" spans="1:25" ht="15">
      <c r="A80" s="146">
        <v>43413.463356481479</v>
      </c>
      <c r="B80" s="109" t="s">
        <v>798</v>
      </c>
      <c r="C80" s="109" t="s">
        <v>799</v>
      </c>
      <c r="D80" s="109" t="s">
        <v>800</v>
      </c>
      <c r="E80" s="155" t="s">
        <v>801</v>
      </c>
      <c r="F80" s="109" t="s">
        <v>492</v>
      </c>
      <c r="G80" s="109" t="s">
        <v>267</v>
      </c>
      <c r="H80" s="109" t="s">
        <v>63</v>
      </c>
      <c r="I80" s="109" t="s">
        <v>251</v>
      </c>
      <c r="J80" s="109" t="s">
        <v>136</v>
      </c>
      <c r="K80" s="109" t="s">
        <v>163</v>
      </c>
      <c r="L80" s="109" t="s">
        <v>400</v>
      </c>
      <c r="M80" s="109" t="s">
        <v>401</v>
      </c>
      <c r="N80" s="109" t="s">
        <v>691</v>
      </c>
      <c r="P80" s="109" t="s">
        <v>802</v>
      </c>
      <c r="R80" s="109" t="s">
        <v>405</v>
      </c>
      <c r="S80" s="147"/>
      <c r="T80" s="147"/>
      <c r="U80" s="147"/>
      <c r="V80" s="147"/>
      <c r="W80" s="147"/>
      <c r="X80" s="147"/>
      <c r="Y80" s="118"/>
    </row>
    <row r="81" spans="1:25" ht="112">
      <c r="A81" s="146">
        <v>43416.464456018519</v>
      </c>
      <c r="B81" s="109" t="s">
        <v>803</v>
      </c>
      <c r="C81" s="109" t="s">
        <v>484</v>
      </c>
      <c r="D81" s="109" t="s">
        <v>804</v>
      </c>
      <c r="E81" s="109"/>
      <c r="F81" s="109" t="s">
        <v>492</v>
      </c>
      <c r="G81" s="109" t="s">
        <v>267</v>
      </c>
      <c r="H81" s="109" t="s">
        <v>63</v>
      </c>
      <c r="I81" s="109" t="s">
        <v>251</v>
      </c>
      <c r="J81" s="109" t="s">
        <v>401</v>
      </c>
      <c r="K81" s="109" t="s">
        <v>400</v>
      </c>
      <c r="L81" s="109" t="s">
        <v>163</v>
      </c>
      <c r="M81" s="109" t="s">
        <v>136</v>
      </c>
      <c r="N81" s="109" t="s">
        <v>691</v>
      </c>
      <c r="O81" s="109" t="s">
        <v>403</v>
      </c>
      <c r="P81" s="109" t="s">
        <v>805</v>
      </c>
      <c r="R81" s="109" t="s">
        <v>451</v>
      </c>
      <c r="S81" s="147"/>
      <c r="T81" s="147"/>
      <c r="U81" s="147"/>
      <c r="V81" s="147"/>
      <c r="W81" s="147"/>
      <c r="X81" s="147"/>
      <c r="Y81" s="144" t="s">
        <v>806</v>
      </c>
    </row>
    <row r="82" spans="1:25" ht="13">
      <c r="A82" s="146">
        <v>43418.465555555558</v>
      </c>
      <c r="B82" s="109" t="s">
        <v>807</v>
      </c>
      <c r="C82" s="109" t="s">
        <v>808</v>
      </c>
      <c r="D82" s="109" t="s">
        <v>809</v>
      </c>
      <c r="E82" s="109" t="s">
        <v>810</v>
      </c>
      <c r="F82" s="109" t="s">
        <v>492</v>
      </c>
      <c r="G82" s="109" t="s">
        <v>267</v>
      </c>
      <c r="H82" s="109" t="s">
        <v>63</v>
      </c>
      <c r="I82" s="109" t="s">
        <v>251</v>
      </c>
      <c r="J82" s="109" t="s">
        <v>400</v>
      </c>
      <c r="K82" s="109" t="s">
        <v>401</v>
      </c>
      <c r="L82" s="109" t="s">
        <v>163</v>
      </c>
      <c r="M82" s="109" t="s">
        <v>136</v>
      </c>
      <c r="N82" s="109" t="s">
        <v>691</v>
      </c>
      <c r="O82" s="109" t="s">
        <v>130</v>
      </c>
      <c r="P82" s="109" t="s">
        <v>811</v>
      </c>
      <c r="R82" s="109" t="s">
        <v>451</v>
      </c>
      <c r="S82" s="147"/>
      <c r="T82" s="147"/>
      <c r="U82" s="147"/>
      <c r="V82" s="147"/>
      <c r="W82" s="147"/>
      <c r="X82" s="147"/>
      <c r="Y82" s="118"/>
    </row>
    <row r="83" spans="1:25" ht="13">
      <c r="A83" s="146">
        <v>43418.467453703706</v>
      </c>
      <c r="B83" s="109" t="s">
        <v>812</v>
      </c>
      <c r="C83" s="109" t="s">
        <v>704</v>
      </c>
      <c r="D83" s="109" t="s">
        <v>804</v>
      </c>
      <c r="E83" s="109" t="s">
        <v>813</v>
      </c>
      <c r="F83" s="109" t="s">
        <v>398</v>
      </c>
      <c r="G83" s="109" t="s">
        <v>267</v>
      </c>
      <c r="H83" s="109" t="s">
        <v>63</v>
      </c>
      <c r="I83" s="109" t="s">
        <v>163</v>
      </c>
      <c r="J83" s="109" t="s">
        <v>251</v>
      </c>
      <c r="K83" s="109" t="s">
        <v>401</v>
      </c>
      <c r="L83" s="109" t="s">
        <v>400</v>
      </c>
      <c r="M83" s="109" t="s">
        <v>136</v>
      </c>
      <c r="N83" s="109" t="s">
        <v>691</v>
      </c>
      <c r="O83" s="109" t="s">
        <v>130</v>
      </c>
      <c r="P83" s="109" t="s">
        <v>814</v>
      </c>
      <c r="R83" s="109" t="s">
        <v>451</v>
      </c>
      <c r="S83" s="147"/>
      <c r="T83" s="147"/>
      <c r="U83" s="147"/>
      <c r="V83" s="147"/>
      <c r="W83" s="147"/>
      <c r="X83" s="147"/>
      <c r="Y83" s="118"/>
    </row>
    <row r="84" spans="1:25" ht="13">
      <c r="A84" s="146">
        <v>43483.52609407407</v>
      </c>
      <c r="B84" s="109" t="s">
        <v>815</v>
      </c>
      <c r="C84" s="109" t="s">
        <v>816</v>
      </c>
      <c r="D84" s="109" t="s">
        <v>817</v>
      </c>
      <c r="E84" s="109" t="s">
        <v>818</v>
      </c>
      <c r="F84" s="109" t="s">
        <v>431</v>
      </c>
      <c r="G84" s="109" t="s">
        <v>819</v>
      </c>
      <c r="H84" s="109" t="s">
        <v>63</v>
      </c>
      <c r="I84" s="109" t="s">
        <v>251</v>
      </c>
      <c r="J84" s="109" t="s">
        <v>820</v>
      </c>
      <c r="O84" s="109" t="s">
        <v>403</v>
      </c>
      <c r="P84" s="109" t="s">
        <v>821</v>
      </c>
      <c r="R84" s="109" t="s">
        <v>405</v>
      </c>
      <c r="S84" s="147"/>
      <c r="T84" s="147"/>
      <c r="U84" s="147"/>
      <c r="V84" s="147"/>
      <c r="W84" s="147"/>
      <c r="X84" s="147"/>
      <c r="Y84" s="118"/>
    </row>
    <row r="85" spans="1:25" ht="13">
      <c r="A85" s="146">
        <v>43342.526261574072</v>
      </c>
      <c r="B85" s="109" t="s">
        <v>822</v>
      </c>
      <c r="C85" s="109" t="s">
        <v>823</v>
      </c>
      <c r="D85" s="109" t="s">
        <v>437</v>
      </c>
      <c r="E85" s="109" t="s">
        <v>824</v>
      </c>
      <c r="F85" s="109" t="s">
        <v>701</v>
      </c>
      <c r="G85" s="109" t="s">
        <v>313</v>
      </c>
      <c r="H85" s="109" t="s">
        <v>202</v>
      </c>
      <c r="I85" s="109" t="s">
        <v>401</v>
      </c>
      <c r="J85" s="109" t="s">
        <v>400</v>
      </c>
      <c r="K85" s="109" t="s">
        <v>251</v>
      </c>
      <c r="L85" s="109" t="s">
        <v>136</v>
      </c>
      <c r="N85" s="109" t="s">
        <v>691</v>
      </c>
      <c r="O85" s="109" t="s">
        <v>403</v>
      </c>
      <c r="P85" s="109" t="s">
        <v>825</v>
      </c>
      <c r="R85" s="109" t="s">
        <v>405</v>
      </c>
      <c r="S85" s="147"/>
      <c r="T85" s="147"/>
      <c r="U85" s="147"/>
      <c r="V85" s="147"/>
      <c r="W85" s="147"/>
      <c r="X85" s="147"/>
      <c r="Y85" s="118"/>
    </row>
    <row r="86" spans="1:25" ht="13">
      <c r="A86" s="146">
        <v>43339.52752314815</v>
      </c>
      <c r="B86" s="109" t="s">
        <v>826</v>
      </c>
      <c r="C86" s="109" t="s">
        <v>313</v>
      </c>
      <c r="D86" s="109" t="s">
        <v>705</v>
      </c>
      <c r="E86" s="109" t="s">
        <v>827</v>
      </c>
      <c r="F86" s="109" t="s">
        <v>398</v>
      </c>
      <c r="G86" s="109" t="s">
        <v>313</v>
      </c>
      <c r="H86" s="109" t="s">
        <v>202</v>
      </c>
      <c r="I86" s="109" t="s">
        <v>401</v>
      </c>
      <c r="J86" s="109" t="s">
        <v>400</v>
      </c>
      <c r="K86" s="109" t="s">
        <v>251</v>
      </c>
      <c r="L86" s="109" t="s">
        <v>136</v>
      </c>
      <c r="N86" s="109" t="s">
        <v>691</v>
      </c>
      <c r="O86" s="109" t="s">
        <v>403</v>
      </c>
      <c r="P86" s="109" t="s">
        <v>130</v>
      </c>
      <c r="R86" s="109" t="s">
        <v>405</v>
      </c>
      <c r="S86" s="147"/>
      <c r="T86" s="147"/>
      <c r="U86" s="147"/>
      <c r="V86" s="147"/>
      <c r="W86" s="147"/>
      <c r="X86" s="147"/>
      <c r="Y86" s="118"/>
    </row>
    <row r="87" spans="1:25" ht="13">
      <c r="A87" s="146">
        <v>43332.528564814813</v>
      </c>
      <c r="B87" s="109" t="s">
        <v>828</v>
      </c>
      <c r="C87" s="109" t="s">
        <v>829</v>
      </c>
      <c r="D87" s="109" t="s">
        <v>655</v>
      </c>
      <c r="E87" s="109" t="s">
        <v>830</v>
      </c>
      <c r="F87" s="109" t="s">
        <v>431</v>
      </c>
      <c r="G87" s="109" t="s">
        <v>313</v>
      </c>
      <c r="H87" s="109" t="s">
        <v>202</v>
      </c>
      <c r="I87" s="109" t="s">
        <v>251</v>
      </c>
      <c r="J87" s="109" t="s">
        <v>136</v>
      </c>
      <c r="N87" s="109" t="s">
        <v>117</v>
      </c>
      <c r="O87" s="109" t="s">
        <v>403</v>
      </c>
      <c r="P87" s="109" t="s">
        <v>831</v>
      </c>
      <c r="R87" s="109" t="s">
        <v>405</v>
      </c>
      <c r="S87" s="147"/>
      <c r="T87" s="147"/>
      <c r="U87" s="147"/>
      <c r="V87" s="147"/>
      <c r="W87" s="147"/>
      <c r="X87" s="147"/>
      <c r="Y87" s="118"/>
    </row>
    <row r="88" spans="1:25" ht="13">
      <c r="A88" s="146">
        <v>43332.529780092591</v>
      </c>
      <c r="B88" s="109" t="s">
        <v>832</v>
      </c>
      <c r="C88" s="109" t="s">
        <v>313</v>
      </c>
      <c r="D88" s="109" t="s">
        <v>742</v>
      </c>
      <c r="E88" s="109" t="s">
        <v>833</v>
      </c>
      <c r="F88" s="109" t="s">
        <v>431</v>
      </c>
      <c r="G88" s="109" t="s">
        <v>313</v>
      </c>
      <c r="H88" s="109" t="s">
        <v>202</v>
      </c>
      <c r="I88" s="109" t="s">
        <v>400</v>
      </c>
      <c r="J88" s="109" t="s">
        <v>251</v>
      </c>
      <c r="N88" s="109" t="s">
        <v>117</v>
      </c>
      <c r="O88" s="109" t="s">
        <v>403</v>
      </c>
      <c r="P88" s="109" t="s">
        <v>834</v>
      </c>
      <c r="R88" s="109" t="s">
        <v>405</v>
      </c>
      <c r="S88" s="147"/>
      <c r="T88" s="147"/>
      <c r="U88" s="147"/>
      <c r="V88" s="147"/>
      <c r="W88" s="147"/>
      <c r="X88" s="147"/>
      <c r="Y88" s="118"/>
    </row>
    <row r="89" spans="1:25" ht="13">
      <c r="A89" s="146">
        <v>43332.531087962961</v>
      </c>
      <c r="B89" s="109" t="s">
        <v>835</v>
      </c>
      <c r="C89" s="109" t="s">
        <v>836</v>
      </c>
      <c r="D89" s="109" t="s">
        <v>837</v>
      </c>
      <c r="E89" s="109" t="s">
        <v>838</v>
      </c>
      <c r="F89" s="109" t="s">
        <v>492</v>
      </c>
      <c r="G89" s="109" t="s">
        <v>313</v>
      </c>
      <c r="H89" s="109" t="s">
        <v>202</v>
      </c>
      <c r="I89" s="109" t="s">
        <v>401</v>
      </c>
      <c r="J89" s="109" t="s">
        <v>400</v>
      </c>
      <c r="K89" s="109" t="s">
        <v>251</v>
      </c>
      <c r="N89" s="109" t="s">
        <v>117</v>
      </c>
      <c r="O89" s="109" t="s">
        <v>403</v>
      </c>
      <c r="P89" s="109" t="s">
        <v>313</v>
      </c>
      <c r="R89" s="109" t="s">
        <v>405</v>
      </c>
      <c r="S89" s="147"/>
      <c r="T89" s="147"/>
      <c r="U89" s="147"/>
      <c r="V89" s="147"/>
      <c r="W89" s="147"/>
      <c r="X89" s="147"/>
      <c r="Y89" s="118"/>
    </row>
    <row r="90" spans="1:25" ht="13">
      <c r="A90" s="146">
        <v>43332.532847222225</v>
      </c>
      <c r="B90" s="109" t="s">
        <v>839</v>
      </c>
      <c r="C90" s="109" t="s">
        <v>840</v>
      </c>
      <c r="D90" s="109" t="s">
        <v>841</v>
      </c>
      <c r="E90" s="109" t="s">
        <v>842</v>
      </c>
      <c r="F90" s="109" t="s">
        <v>843</v>
      </c>
      <c r="G90" s="109" t="s">
        <v>313</v>
      </c>
      <c r="H90" s="109" t="s">
        <v>202</v>
      </c>
      <c r="I90" s="109" t="s">
        <v>401</v>
      </c>
      <c r="J90" s="109" t="s">
        <v>400</v>
      </c>
      <c r="K90" s="109" t="s">
        <v>251</v>
      </c>
      <c r="N90" s="109" t="s">
        <v>117</v>
      </c>
      <c r="O90" s="109" t="s">
        <v>403</v>
      </c>
      <c r="P90" s="109" t="s">
        <v>844</v>
      </c>
      <c r="R90" s="109" t="s">
        <v>405</v>
      </c>
      <c r="S90" s="147"/>
      <c r="T90" s="147"/>
      <c r="U90" s="147"/>
      <c r="V90" s="147"/>
      <c r="W90" s="147"/>
      <c r="X90" s="147"/>
      <c r="Y90" s="118"/>
    </row>
    <row r="91" spans="1:25" ht="13">
      <c r="A91" s="146">
        <v>43483.533421493055</v>
      </c>
      <c r="B91" s="109" t="s">
        <v>845</v>
      </c>
      <c r="C91" s="109" t="s">
        <v>846</v>
      </c>
      <c r="E91" s="109" t="s">
        <v>847</v>
      </c>
      <c r="F91" s="109" t="s">
        <v>418</v>
      </c>
      <c r="G91" s="109" t="s">
        <v>848</v>
      </c>
      <c r="H91" s="109" t="s">
        <v>63</v>
      </c>
      <c r="I91" s="109" t="s">
        <v>163</v>
      </c>
      <c r="K91" s="109" t="s">
        <v>400</v>
      </c>
      <c r="L91" s="109" t="s">
        <v>136</v>
      </c>
      <c r="M91" s="109" t="s">
        <v>251</v>
      </c>
      <c r="N91" s="109" t="s">
        <v>849</v>
      </c>
      <c r="O91" s="109" t="s">
        <v>403</v>
      </c>
      <c r="P91" s="109" t="s">
        <v>850</v>
      </c>
      <c r="R91" s="109" t="s">
        <v>451</v>
      </c>
      <c r="S91" s="147"/>
      <c r="T91" s="147"/>
      <c r="U91" s="147"/>
      <c r="V91" s="147"/>
      <c r="W91" s="147"/>
      <c r="X91" s="147"/>
      <c r="Y91" s="118"/>
    </row>
    <row r="92" spans="1:25" ht="13">
      <c r="A92" s="146">
        <v>43366.535925925928</v>
      </c>
      <c r="B92" s="109" t="s">
        <v>851</v>
      </c>
      <c r="C92" s="109" t="s">
        <v>313</v>
      </c>
      <c r="D92" s="109" t="s">
        <v>852</v>
      </c>
      <c r="E92" s="109" t="s">
        <v>853</v>
      </c>
      <c r="F92" s="109" t="s">
        <v>610</v>
      </c>
      <c r="G92" s="109" t="s">
        <v>313</v>
      </c>
      <c r="H92" s="109" t="s">
        <v>202</v>
      </c>
      <c r="I92" s="109" t="s">
        <v>251</v>
      </c>
      <c r="N92" s="109" t="s">
        <v>117</v>
      </c>
      <c r="O92" s="109" t="s">
        <v>403</v>
      </c>
      <c r="P92" s="109" t="s">
        <v>313</v>
      </c>
      <c r="R92" s="109" t="s">
        <v>405</v>
      </c>
      <c r="S92" s="147"/>
      <c r="T92" s="147"/>
      <c r="U92" s="147"/>
      <c r="V92" s="147"/>
      <c r="W92" s="147"/>
      <c r="X92" s="147"/>
      <c r="Y92" s="118"/>
    </row>
    <row r="93" spans="1:25" ht="13">
      <c r="A93" s="146">
        <v>43371.539386574077</v>
      </c>
      <c r="B93" s="109" t="s">
        <v>854</v>
      </c>
      <c r="C93" s="109" t="s">
        <v>855</v>
      </c>
      <c r="D93" s="109" t="s">
        <v>856</v>
      </c>
      <c r="E93" s="109" t="s">
        <v>857</v>
      </c>
      <c r="F93" s="109" t="s">
        <v>701</v>
      </c>
      <c r="G93" s="109" t="s">
        <v>313</v>
      </c>
      <c r="H93" s="109" t="s">
        <v>202</v>
      </c>
      <c r="N93" s="109" t="s">
        <v>130</v>
      </c>
      <c r="O93" s="109" t="s">
        <v>403</v>
      </c>
      <c r="P93" s="109" t="s">
        <v>313</v>
      </c>
      <c r="R93" s="109" t="s">
        <v>405</v>
      </c>
      <c r="S93" s="147"/>
      <c r="T93" s="147"/>
      <c r="U93" s="147"/>
      <c r="V93" s="147"/>
      <c r="W93" s="147"/>
      <c r="X93" s="147"/>
      <c r="Y93" s="118"/>
    </row>
    <row r="94" spans="1:25" ht="13">
      <c r="A94" s="146">
        <v>43372.549050925925</v>
      </c>
      <c r="B94" s="109" t="s">
        <v>851</v>
      </c>
      <c r="C94" s="109" t="s">
        <v>313</v>
      </c>
      <c r="D94" s="109" t="s">
        <v>852</v>
      </c>
      <c r="E94" s="109" t="s">
        <v>858</v>
      </c>
      <c r="F94" s="109" t="s">
        <v>610</v>
      </c>
      <c r="G94" s="109" t="s">
        <v>313</v>
      </c>
      <c r="H94" s="109" t="s">
        <v>202</v>
      </c>
      <c r="N94" s="109" t="s">
        <v>117</v>
      </c>
      <c r="O94" s="109" t="s">
        <v>403</v>
      </c>
      <c r="P94" s="109" t="s">
        <v>313</v>
      </c>
      <c r="R94" s="109" t="s">
        <v>405</v>
      </c>
      <c r="S94" s="147"/>
      <c r="T94" s="147"/>
      <c r="U94" s="147"/>
      <c r="V94" s="147"/>
      <c r="W94" s="147"/>
      <c r="X94" s="147"/>
      <c r="Y94" s="118"/>
    </row>
    <row r="95" spans="1:25" ht="13">
      <c r="A95" s="146">
        <v>43389.550335648149</v>
      </c>
      <c r="B95" s="109" t="s">
        <v>859</v>
      </c>
      <c r="C95" s="109" t="s">
        <v>860</v>
      </c>
      <c r="D95" s="109" t="s">
        <v>600</v>
      </c>
      <c r="E95" s="109" t="s">
        <v>861</v>
      </c>
      <c r="F95" s="109" t="s">
        <v>461</v>
      </c>
      <c r="G95" s="109" t="s">
        <v>313</v>
      </c>
      <c r="H95" s="109" t="s">
        <v>202</v>
      </c>
      <c r="N95" s="109" t="s">
        <v>130</v>
      </c>
      <c r="O95" s="109" t="s">
        <v>403</v>
      </c>
      <c r="P95" s="109" t="s">
        <v>862</v>
      </c>
      <c r="R95" s="109" t="s">
        <v>405</v>
      </c>
      <c r="S95" s="147"/>
      <c r="T95" s="147"/>
      <c r="U95" s="147"/>
      <c r="V95" s="147"/>
      <c r="W95" s="147"/>
      <c r="X95" s="147"/>
      <c r="Y95" s="118"/>
    </row>
    <row r="96" spans="1:25" ht="13">
      <c r="A96" s="146">
        <v>43402.551099537035</v>
      </c>
      <c r="B96" s="109" t="s">
        <v>863</v>
      </c>
      <c r="C96" s="109" t="s">
        <v>659</v>
      </c>
      <c r="D96" s="109" t="s">
        <v>660</v>
      </c>
      <c r="E96" s="109" t="s">
        <v>864</v>
      </c>
      <c r="F96" s="109" t="s">
        <v>529</v>
      </c>
      <c r="G96" s="109" t="s">
        <v>313</v>
      </c>
      <c r="H96" s="109" t="s">
        <v>202</v>
      </c>
      <c r="N96" s="109" t="s">
        <v>117</v>
      </c>
      <c r="O96" s="109" t="s">
        <v>403</v>
      </c>
      <c r="P96" s="109" t="s">
        <v>865</v>
      </c>
      <c r="R96" s="109" t="s">
        <v>405</v>
      </c>
      <c r="S96" s="147"/>
      <c r="T96" s="147"/>
      <c r="U96" s="147"/>
      <c r="V96" s="147"/>
      <c r="W96" s="147"/>
      <c r="X96" s="147"/>
      <c r="Y96" s="118"/>
    </row>
    <row r="97" spans="1:25" ht="13">
      <c r="A97" s="146">
        <v>43426.551932870374</v>
      </c>
      <c r="B97" s="109" t="s">
        <v>866</v>
      </c>
      <c r="C97" s="109" t="s">
        <v>867</v>
      </c>
      <c r="D97" s="109" t="s">
        <v>671</v>
      </c>
      <c r="E97" s="109" t="s">
        <v>868</v>
      </c>
      <c r="F97" s="109" t="s">
        <v>398</v>
      </c>
      <c r="G97" s="109" t="s">
        <v>313</v>
      </c>
      <c r="H97" s="109" t="s">
        <v>63</v>
      </c>
      <c r="N97" s="109" t="s">
        <v>117</v>
      </c>
      <c r="O97" s="109" t="s">
        <v>403</v>
      </c>
      <c r="P97" s="109" t="s">
        <v>869</v>
      </c>
      <c r="R97" s="109" t="s">
        <v>405</v>
      </c>
      <c r="S97" s="147"/>
      <c r="T97" s="147"/>
      <c r="U97" s="147"/>
      <c r="V97" s="147"/>
      <c r="W97" s="147"/>
      <c r="X97" s="147"/>
      <c r="Y97" s="118"/>
    </row>
    <row r="98" spans="1:25" ht="13">
      <c r="A98" s="146">
        <v>43427.552870370368</v>
      </c>
      <c r="B98" s="109" t="s">
        <v>870</v>
      </c>
      <c r="C98" s="109" t="s">
        <v>871</v>
      </c>
      <c r="D98" s="109" t="s">
        <v>872</v>
      </c>
      <c r="E98" s="109" t="s">
        <v>873</v>
      </c>
      <c r="F98" s="109" t="s">
        <v>431</v>
      </c>
      <c r="G98" s="109" t="s">
        <v>313</v>
      </c>
      <c r="H98" s="109" t="s">
        <v>202</v>
      </c>
      <c r="N98" s="109" t="s">
        <v>130</v>
      </c>
      <c r="O98" s="109" t="s">
        <v>403</v>
      </c>
      <c r="P98" s="109" t="s">
        <v>874</v>
      </c>
      <c r="R98" s="109" t="s">
        <v>405</v>
      </c>
      <c r="S98" s="147"/>
      <c r="T98" s="147"/>
      <c r="U98" s="147"/>
      <c r="V98" s="147"/>
      <c r="W98" s="147"/>
      <c r="X98" s="147"/>
      <c r="Y98" s="118"/>
    </row>
    <row r="99" spans="1:25" ht="13">
      <c r="A99" s="146">
        <v>43434.553807870368</v>
      </c>
      <c r="B99" s="109" t="s">
        <v>630</v>
      </c>
      <c r="C99" s="109" t="s">
        <v>631</v>
      </c>
      <c r="D99" s="109" t="s">
        <v>632</v>
      </c>
      <c r="E99" s="109" t="s">
        <v>633</v>
      </c>
      <c r="F99" s="109" t="s">
        <v>492</v>
      </c>
      <c r="G99" s="109" t="s">
        <v>313</v>
      </c>
      <c r="H99" s="109" t="s">
        <v>63</v>
      </c>
      <c r="I99" s="109" t="s">
        <v>400</v>
      </c>
      <c r="N99" s="109" t="s">
        <v>130</v>
      </c>
      <c r="O99" s="109" t="s">
        <v>403</v>
      </c>
      <c r="P99" s="109" t="s">
        <v>634</v>
      </c>
      <c r="R99" s="109" t="s">
        <v>405</v>
      </c>
      <c r="S99" s="147"/>
      <c r="T99" s="147"/>
      <c r="U99" s="147"/>
      <c r="V99" s="147"/>
      <c r="W99" s="147"/>
      <c r="X99" s="147"/>
      <c r="Y99" s="118"/>
    </row>
    <row r="100" spans="1:25" ht="13">
      <c r="A100" s="146">
        <v>43483.55459590278</v>
      </c>
      <c r="B100" s="109" t="s">
        <v>636</v>
      </c>
      <c r="C100" s="109" t="s">
        <v>436</v>
      </c>
      <c r="D100" s="109" t="s">
        <v>437</v>
      </c>
      <c r="E100" s="109" t="s">
        <v>637</v>
      </c>
      <c r="F100" s="109" t="s">
        <v>492</v>
      </c>
      <c r="G100" s="109" t="s">
        <v>313</v>
      </c>
      <c r="H100" s="109" t="s">
        <v>63</v>
      </c>
      <c r="I100" s="109" t="s">
        <v>400</v>
      </c>
      <c r="N100" s="109" t="s">
        <v>117</v>
      </c>
      <c r="O100" s="109" t="s">
        <v>403</v>
      </c>
      <c r="P100" s="109" t="s">
        <v>638</v>
      </c>
      <c r="R100" s="109" t="s">
        <v>405</v>
      </c>
      <c r="S100" s="147"/>
      <c r="T100" s="147"/>
      <c r="U100" s="147"/>
      <c r="V100" s="147"/>
      <c r="W100" s="147"/>
      <c r="X100" s="147"/>
      <c r="Y100" s="118"/>
    </row>
    <row r="101" spans="1:25" ht="13">
      <c r="A101" s="146">
        <v>43434.555347222224</v>
      </c>
      <c r="B101" s="109" t="s">
        <v>639</v>
      </c>
      <c r="C101" s="109" t="s">
        <v>436</v>
      </c>
      <c r="D101" s="109" t="s">
        <v>437</v>
      </c>
      <c r="E101" s="109" t="s">
        <v>640</v>
      </c>
      <c r="F101" s="109" t="s">
        <v>641</v>
      </c>
      <c r="G101" s="109" t="s">
        <v>313</v>
      </c>
      <c r="H101" s="109" t="s">
        <v>63</v>
      </c>
      <c r="I101" s="109" t="s">
        <v>400</v>
      </c>
      <c r="N101" s="109" t="s">
        <v>117</v>
      </c>
      <c r="O101" s="109" t="s">
        <v>403</v>
      </c>
      <c r="P101" s="109" t="s">
        <v>642</v>
      </c>
      <c r="R101" s="109" t="s">
        <v>405</v>
      </c>
      <c r="S101" s="147"/>
      <c r="T101" s="147"/>
      <c r="U101" s="147"/>
      <c r="V101" s="147"/>
      <c r="W101" s="147"/>
      <c r="X101" s="147"/>
      <c r="Y101" s="118"/>
    </row>
    <row r="102" spans="1:25" ht="13">
      <c r="A102" s="146">
        <v>43485.696154965277</v>
      </c>
      <c r="B102" s="109" t="s">
        <v>875</v>
      </c>
      <c r="C102" s="109" t="s">
        <v>876</v>
      </c>
      <c r="E102" s="109" t="s">
        <v>877</v>
      </c>
      <c r="F102" s="109" t="s">
        <v>461</v>
      </c>
      <c r="G102" s="109" t="s">
        <v>878</v>
      </c>
      <c r="H102" s="109" t="s">
        <v>63</v>
      </c>
      <c r="I102" s="109" t="s">
        <v>136</v>
      </c>
      <c r="J102" s="109" t="s">
        <v>251</v>
      </c>
      <c r="K102" s="109" t="s">
        <v>401</v>
      </c>
      <c r="L102" s="109" t="s">
        <v>400</v>
      </c>
      <c r="M102" s="109" t="s">
        <v>163</v>
      </c>
      <c r="O102" s="109" t="s">
        <v>403</v>
      </c>
      <c r="P102" s="109" t="s">
        <v>879</v>
      </c>
      <c r="R102" s="109" t="s">
        <v>451</v>
      </c>
      <c r="S102" s="147"/>
      <c r="T102" s="147"/>
      <c r="U102" s="147"/>
      <c r="V102" s="147"/>
      <c r="W102" s="147"/>
      <c r="X102" s="147"/>
      <c r="Y102" s="118"/>
    </row>
    <row r="103" spans="1:25" ht="13">
      <c r="A103" s="146">
        <v>43416.374363425923</v>
      </c>
      <c r="B103" s="109" t="s">
        <v>880</v>
      </c>
      <c r="C103" s="109" t="s">
        <v>881</v>
      </c>
      <c r="D103" s="109" t="s">
        <v>882</v>
      </c>
      <c r="E103" s="109" t="s">
        <v>883</v>
      </c>
      <c r="F103" s="109" t="s">
        <v>492</v>
      </c>
      <c r="G103" s="109" t="s">
        <v>19</v>
      </c>
      <c r="H103" s="109" t="s">
        <v>63</v>
      </c>
      <c r="I103" s="109" t="s">
        <v>401</v>
      </c>
      <c r="J103" s="109" t="s">
        <v>163</v>
      </c>
      <c r="K103" s="109" t="s">
        <v>400</v>
      </c>
      <c r="L103" s="109" t="s">
        <v>251</v>
      </c>
      <c r="M103" s="109" t="s">
        <v>136</v>
      </c>
      <c r="N103" s="109" t="s">
        <v>117</v>
      </c>
      <c r="O103" s="109" t="s">
        <v>130</v>
      </c>
      <c r="P103" s="109" t="s">
        <v>884</v>
      </c>
      <c r="R103" s="109" t="s">
        <v>405</v>
      </c>
      <c r="S103" s="147"/>
      <c r="T103" s="147"/>
      <c r="U103" s="147"/>
      <c r="V103" s="147"/>
      <c r="W103" s="147"/>
      <c r="X103" s="147"/>
      <c r="Y103" s="118"/>
    </row>
    <row r="104" spans="1:25" ht="13">
      <c r="A104" s="146">
        <v>43347.379548611112</v>
      </c>
      <c r="B104" s="109" t="s">
        <v>885</v>
      </c>
      <c r="C104" s="109" t="s">
        <v>886</v>
      </c>
      <c r="D104" s="109" t="s">
        <v>705</v>
      </c>
      <c r="E104" s="109" t="s">
        <v>887</v>
      </c>
      <c r="F104" s="109" t="s">
        <v>410</v>
      </c>
      <c r="G104" s="109" t="s">
        <v>313</v>
      </c>
      <c r="H104" s="109" t="s">
        <v>63</v>
      </c>
      <c r="I104" s="109" t="s">
        <v>401</v>
      </c>
      <c r="J104" s="109" t="s">
        <v>400</v>
      </c>
      <c r="K104" s="109" t="s">
        <v>136</v>
      </c>
      <c r="L104" s="109" t="s">
        <v>251</v>
      </c>
      <c r="M104" s="109" t="s">
        <v>163</v>
      </c>
      <c r="N104" s="109" t="s">
        <v>130</v>
      </c>
      <c r="O104" s="109" t="s">
        <v>117</v>
      </c>
      <c r="P104" s="109" t="s">
        <v>20</v>
      </c>
      <c r="R104" s="109" t="s">
        <v>442</v>
      </c>
      <c r="S104" s="147"/>
      <c r="T104" s="147"/>
      <c r="U104" s="147"/>
      <c r="V104" s="147"/>
      <c r="W104" s="147"/>
      <c r="X104" s="147"/>
      <c r="Y104" s="118"/>
    </row>
    <row r="105" spans="1:25" ht="13">
      <c r="A105" s="146">
        <v>43378.381261574075</v>
      </c>
      <c r="B105" s="109" t="s">
        <v>888</v>
      </c>
      <c r="C105" s="109" t="s">
        <v>313</v>
      </c>
      <c r="E105" s="109" t="s">
        <v>889</v>
      </c>
      <c r="F105" s="109" t="s">
        <v>890</v>
      </c>
      <c r="G105" s="109" t="s">
        <v>313</v>
      </c>
      <c r="H105" s="109" t="s">
        <v>63</v>
      </c>
      <c r="I105" s="109" t="s">
        <v>401</v>
      </c>
      <c r="J105" s="109" t="s">
        <v>136</v>
      </c>
      <c r="K105" s="109" t="s">
        <v>400</v>
      </c>
      <c r="L105" s="109" t="s">
        <v>251</v>
      </c>
      <c r="M105" s="109" t="s">
        <v>163</v>
      </c>
      <c r="N105" s="109" t="s">
        <v>117</v>
      </c>
      <c r="O105" s="109" t="s">
        <v>117</v>
      </c>
      <c r="P105" s="109" t="s">
        <v>891</v>
      </c>
      <c r="R105" s="109" t="s">
        <v>451</v>
      </c>
      <c r="S105" s="147"/>
      <c r="T105" s="147"/>
      <c r="U105" s="147"/>
      <c r="V105" s="147"/>
      <c r="W105" s="147"/>
      <c r="X105" s="147"/>
      <c r="Y105" s="118"/>
    </row>
    <row r="106" spans="1:25" ht="13">
      <c r="A106" s="146">
        <v>43415.383449074077</v>
      </c>
      <c r="B106" s="109" t="s">
        <v>892</v>
      </c>
      <c r="C106" s="109" t="s">
        <v>893</v>
      </c>
      <c r="D106" s="109" t="s">
        <v>894</v>
      </c>
      <c r="E106" s="109" t="s">
        <v>895</v>
      </c>
      <c r="F106" s="109" t="s">
        <v>529</v>
      </c>
      <c r="G106" s="109" t="s">
        <v>313</v>
      </c>
      <c r="H106" s="109" t="s">
        <v>63</v>
      </c>
      <c r="I106" s="109" t="s">
        <v>401</v>
      </c>
      <c r="J106" s="109" t="s">
        <v>400</v>
      </c>
      <c r="K106" s="109" t="s">
        <v>251</v>
      </c>
      <c r="L106" s="109" t="s">
        <v>163</v>
      </c>
      <c r="M106" s="109" t="s">
        <v>136</v>
      </c>
      <c r="N106" s="109" t="s">
        <v>130</v>
      </c>
      <c r="O106" s="109" t="s">
        <v>403</v>
      </c>
      <c r="P106" s="109" t="s">
        <v>896</v>
      </c>
      <c r="R106" s="109" t="s">
        <v>405</v>
      </c>
      <c r="S106" s="147"/>
      <c r="T106" s="147"/>
      <c r="U106" s="147"/>
      <c r="V106" s="147"/>
      <c r="W106" s="147"/>
      <c r="X106" s="147"/>
      <c r="Y106" s="118"/>
    </row>
    <row r="107" spans="1:25" ht="13">
      <c r="A107" s="146">
        <v>43416.385127314818</v>
      </c>
      <c r="B107" s="109" t="s">
        <v>897</v>
      </c>
      <c r="C107" s="109" t="s">
        <v>898</v>
      </c>
      <c r="D107" s="109" t="s">
        <v>725</v>
      </c>
      <c r="E107" s="109" t="s">
        <v>899</v>
      </c>
      <c r="F107" s="109" t="s">
        <v>492</v>
      </c>
      <c r="G107" s="109" t="s">
        <v>313</v>
      </c>
      <c r="H107" s="109" t="s">
        <v>63</v>
      </c>
      <c r="I107" s="109" t="s">
        <v>401</v>
      </c>
      <c r="J107" s="109" t="s">
        <v>251</v>
      </c>
      <c r="K107" s="109" t="s">
        <v>400</v>
      </c>
      <c r="L107" s="109" t="s">
        <v>136</v>
      </c>
      <c r="M107" s="109" t="s">
        <v>163</v>
      </c>
      <c r="N107" s="109" t="s">
        <v>117</v>
      </c>
      <c r="O107" s="109" t="s">
        <v>403</v>
      </c>
      <c r="P107" s="109" t="s">
        <v>900</v>
      </c>
      <c r="R107" s="109" t="s">
        <v>405</v>
      </c>
      <c r="S107" s="147"/>
      <c r="T107" s="147"/>
      <c r="U107" s="147"/>
      <c r="V107" s="147"/>
      <c r="W107" s="147"/>
      <c r="X107" s="147"/>
      <c r="Y107" s="118"/>
    </row>
    <row r="108" spans="1:25" ht="13">
      <c r="A108" s="146">
        <v>43418.386828703704</v>
      </c>
      <c r="B108" s="109" t="s">
        <v>901</v>
      </c>
      <c r="C108" s="109" t="s">
        <v>902</v>
      </c>
      <c r="D108" s="109" t="s">
        <v>903</v>
      </c>
      <c r="E108" s="109" t="s">
        <v>904</v>
      </c>
      <c r="F108" s="109" t="s">
        <v>492</v>
      </c>
      <c r="G108" s="109" t="s">
        <v>313</v>
      </c>
      <c r="H108" s="109" t="s">
        <v>63</v>
      </c>
      <c r="I108" s="109" t="s">
        <v>401</v>
      </c>
      <c r="J108" s="109" t="s">
        <v>400</v>
      </c>
      <c r="K108" s="109" t="s">
        <v>251</v>
      </c>
      <c r="L108" s="109" t="s">
        <v>163</v>
      </c>
      <c r="M108" s="109" t="s">
        <v>136</v>
      </c>
      <c r="N108" s="109" t="s">
        <v>130</v>
      </c>
      <c r="O108" s="109" t="s">
        <v>403</v>
      </c>
      <c r="P108" s="109" t="s">
        <v>905</v>
      </c>
      <c r="R108" s="109" t="s">
        <v>405</v>
      </c>
      <c r="S108" s="147"/>
      <c r="T108" s="147"/>
      <c r="U108" s="147"/>
      <c r="V108" s="147"/>
      <c r="W108" s="147"/>
      <c r="X108" s="147"/>
      <c r="Y108" s="118"/>
    </row>
    <row r="109" spans="1:25" ht="13">
      <c r="A109" s="146">
        <v>43419.394525462965</v>
      </c>
      <c r="B109" s="109" t="s">
        <v>906</v>
      </c>
      <c r="C109" s="109" t="s">
        <v>907</v>
      </c>
      <c r="D109" s="109" t="s">
        <v>841</v>
      </c>
      <c r="E109" s="109" t="s">
        <v>908</v>
      </c>
      <c r="F109" s="109" t="s">
        <v>461</v>
      </c>
      <c r="G109" s="109" t="s">
        <v>313</v>
      </c>
      <c r="H109" s="109" t="s">
        <v>63</v>
      </c>
      <c r="I109" s="109" t="s">
        <v>401</v>
      </c>
      <c r="J109" s="109" t="s">
        <v>136</v>
      </c>
      <c r="K109" s="109" t="s">
        <v>400</v>
      </c>
      <c r="L109" s="109" t="s">
        <v>251</v>
      </c>
      <c r="N109" s="109" t="s">
        <v>117</v>
      </c>
      <c r="O109" s="109" t="s">
        <v>403</v>
      </c>
      <c r="P109" s="109" t="s">
        <v>313</v>
      </c>
      <c r="Y109" s="118"/>
    </row>
    <row r="110" spans="1:25" ht="13">
      <c r="A110" s="146">
        <v>43430.400046296294</v>
      </c>
      <c r="B110" s="109" t="s">
        <v>909</v>
      </c>
      <c r="C110" s="109" t="s">
        <v>313</v>
      </c>
      <c r="D110" s="109" t="s">
        <v>771</v>
      </c>
      <c r="E110" s="109" t="s">
        <v>910</v>
      </c>
      <c r="F110" s="109" t="s">
        <v>492</v>
      </c>
      <c r="G110" s="109" t="s">
        <v>313</v>
      </c>
      <c r="H110" s="109" t="s">
        <v>63</v>
      </c>
      <c r="I110" s="109" t="s">
        <v>136</v>
      </c>
      <c r="J110" s="109" t="s">
        <v>251</v>
      </c>
      <c r="K110" s="109" t="s">
        <v>401</v>
      </c>
      <c r="L110" s="109" t="s">
        <v>163</v>
      </c>
      <c r="M110" s="109" t="s">
        <v>400</v>
      </c>
      <c r="N110" s="109" t="s">
        <v>117</v>
      </c>
      <c r="O110" s="109" t="s">
        <v>117</v>
      </c>
      <c r="P110" s="109" t="s">
        <v>313</v>
      </c>
      <c r="R110" s="109" t="s">
        <v>451</v>
      </c>
      <c r="S110" s="147"/>
      <c r="T110" s="147"/>
      <c r="U110" s="147"/>
      <c r="V110" s="147"/>
      <c r="W110" s="147"/>
      <c r="X110" s="147"/>
      <c r="Y110" s="118"/>
    </row>
    <row r="111" spans="1:25" ht="13">
      <c r="A111" s="146">
        <v>43437.401909722219</v>
      </c>
      <c r="B111" s="109" t="s">
        <v>911</v>
      </c>
      <c r="C111" s="109" t="s">
        <v>912</v>
      </c>
      <c r="D111" s="109" t="s">
        <v>913</v>
      </c>
      <c r="E111" s="109" t="s">
        <v>914</v>
      </c>
      <c r="F111" s="109" t="s">
        <v>492</v>
      </c>
      <c r="G111" s="109" t="s">
        <v>313</v>
      </c>
      <c r="H111" s="109" t="s">
        <v>63</v>
      </c>
      <c r="I111" s="109" t="s">
        <v>401</v>
      </c>
      <c r="J111" s="109" t="s">
        <v>400</v>
      </c>
      <c r="K111" s="109" t="s">
        <v>251</v>
      </c>
      <c r="L111" s="109" t="s">
        <v>163</v>
      </c>
      <c r="M111" s="109" t="s">
        <v>136</v>
      </c>
      <c r="N111" s="109" t="s">
        <v>117</v>
      </c>
      <c r="O111" s="109" t="s">
        <v>130</v>
      </c>
      <c r="P111" s="109" t="s">
        <v>313</v>
      </c>
      <c r="R111" s="109" t="s">
        <v>405</v>
      </c>
      <c r="S111" s="147"/>
      <c r="T111" s="147"/>
      <c r="U111" s="147"/>
      <c r="V111" s="147"/>
      <c r="W111" s="147"/>
      <c r="X111" s="147"/>
      <c r="Y111" s="118"/>
    </row>
    <row r="112" spans="1:25" ht="13">
      <c r="A112" s="146">
        <v>43439.406574074077</v>
      </c>
      <c r="B112" s="109" t="s">
        <v>915</v>
      </c>
      <c r="C112" s="109" t="s">
        <v>313</v>
      </c>
      <c r="D112" s="109" t="s">
        <v>916</v>
      </c>
      <c r="E112" s="109" t="s">
        <v>917</v>
      </c>
      <c r="F112" s="109" t="s">
        <v>418</v>
      </c>
      <c r="G112" s="109" t="s">
        <v>313</v>
      </c>
      <c r="H112" s="109" t="s">
        <v>63</v>
      </c>
      <c r="I112" s="109" t="s">
        <v>401</v>
      </c>
      <c r="J112" s="109" t="s">
        <v>400</v>
      </c>
      <c r="K112" s="109" t="s">
        <v>251</v>
      </c>
      <c r="L112" s="109" t="s">
        <v>163</v>
      </c>
      <c r="M112" s="109" t="s">
        <v>136</v>
      </c>
      <c r="N112" s="109" t="s">
        <v>117</v>
      </c>
      <c r="O112" s="109" t="s">
        <v>130</v>
      </c>
      <c r="P112" s="109" t="s">
        <v>918</v>
      </c>
      <c r="R112" s="109" t="s">
        <v>405</v>
      </c>
      <c r="S112" s="147"/>
      <c r="T112" s="147"/>
      <c r="U112" s="147"/>
      <c r="V112" s="147"/>
      <c r="W112" s="147"/>
      <c r="X112" s="147"/>
      <c r="Y112" s="118"/>
    </row>
    <row r="113" spans="1:25" ht="13">
      <c r="A113" s="146">
        <v>43488.215718159721</v>
      </c>
      <c r="B113" s="109" t="s">
        <v>919</v>
      </c>
      <c r="C113" s="109" t="s">
        <v>920</v>
      </c>
      <c r="D113" s="109" t="s">
        <v>921</v>
      </c>
      <c r="E113" s="109" t="s">
        <v>922</v>
      </c>
      <c r="F113" s="109" t="s">
        <v>529</v>
      </c>
      <c r="G113" s="109" t="s">
        <v>923</v>
      </c>
      <c r="H113" s="109" t="s">
        <v>202</v>
      </c>
      <c r="I113" s="109" t="s">
        <v>400</v>
      </c>
      <c r="J113" s="109" t="s">
        <v>251</v>
      </c>
      <c r="K113" s="109" t="s">
        <v>401</v>
      </c>
      <c r="L113" s="109" t="s">
        <v>163</v>
      </c>
      <c r="M113" s="109" t="s">
        <v>136</v>
      </c>
      <c r="N113" s="109" t="s">
        <v>924</v>
      </c>
      <c r="O113" s="109" t="s">
        <v>117</v>
      </c>
      <c r="P113" s="109" t="s">
        <v>925</v>
      </c>
      <c r="R113" s="109" t="s">
        <v>405</v>
      </c>
      <c r="S113" s="147"/>
      <c r="T113" s="147"/>
      <c r="U113" s="147"/>
      <c r="V113" s="147"/>
      <c r="W113" s="147"/>
      <c r="X113" s="147"/>
      <c r="Y113" s="118"/>
    </row>
    <row r="114" spans="1:25" ht="13">
      <c r="A114" s="146">
        <v>43489.186652662036</v>
      </c>
      <c r="B114" s="109" t="s">
        <v>926</v>
      </c>
      <c r="C114" s="109" t="s">
        <v>927</v>
      </c>
      <c r="D114" s="109" t="s">
        <v>928</v>
      </c>
      <c r="E114" s="109" t="s">
        <v>929</v>
      </c>
      <c r="F114" s="109" t="s">
        <v>701</v>
      </c>
      <c r="G114" s="109" t="s">
        <v>930</v>
      </c>
      <c r="H114" s="109" t="s">
        <v>63</v>
      </c>
      <c r="I114" s="109" t="s">
        <v>136</v>
      </c>
      <c r="J114" s="109" t="s">
        <v>401</v>
      </c>
      <c r="K114" s="109" t="s">
        <v>251</v>
      </c>
      <c r="N114" s="109" t="s">
        <v>931</v>
      </c>
      <c r="O114" s="109" t="s">
        <v>403</v>
      </c>
      <c r="P114" s="109" t="s">
        <v>932</v>
      </c>
      <c r="R114" s="109" t="s">
        <v>405</v>
      </c>
      <c r="S114" s="109" t="s">
        <v>933</v>
      </c>
      <c r="T114" s="109" t="s">
        <v>934</v>
      </c>
      <c r="U114" s="147"/>
      <c r="V114" s="147"/>
      <c r="W114" s="147"/>
      <c r="X114" s="147"/>
      <c r="Y114" s="118"/>
    </row>
    <row r="115" spans="1:25" ht="13">
      <c r="A115" s="146">
        <v>43489.310416782406</v>
      </c>
      <c r="B115" s="109" t="s">
        <v>935</v>
      </c>
      <c r="C115" s="109" t="s">
        <v>936</v>
      </c>
      <c r="D115" s="109" t="s">
        <v>937</v>
      </c>
      <c r="E115" s="109" t="s">
        <v>938</v>
      </c>
      <c r="F115" s="109" t="s">
        <v>939</v>
      </c>
      <c r="G115" s="109" t="s">
        <v>940</v>
      </c>
      <c r="H115" s="109" t="s">
        <v>63</v>
      </c>
      <c r="I115" s="109" t="s">
        <v>136</v>
      </c>
      <c r="J115" s="109" t="s">
        <v>400</v>
      </c>
      <c r="N115" s="109" t="s">
        <v>130</v>
      </c>
      <c r="O115" s="109" t="s">
        <v>130</v>
      </c>
      <c r="P115" s="109" t="s">
        <v>941</v>
      </c>
      <c r="R115" s="109" t="s">
        <v>405</v>
      </c>
      <c r="S115" s="109" t="s">
        <v>942</v>
      </c>
      <c r="T115" s="109" t="s">
        <v>943</v>
      </c>
      <c r="U115" s="147"/>
      <c r="V115" s="147"/>
      <c r="W115" s="147"/>
      <c r="X115" s="147"/>
      <c r="Y115" s="118"/>
    </row>
    <row r="116" spans="1:25" ht="13">
      <c r="A116" s="146">
        <v>43354.42292824074</v>
      </c>
      <c r="B116" s="109" t="s">
        <v>944</v>
      </c>
      <c r="C116" s="109" t="s">
        <v>313</v>
      </c>
      <c r="D116" s="109" t="s">
        <v>945</v>
      </c>
      <c r="E116" s="109" t="s">
        <v>946</v>
      </c>
      <c r="F116" s="109" t="s">
        <v>947</v>
      </c>
      <c r="G116" s="109" t="s">
        <v>313</v>
      </c>
      <c r="H116" s="109" t="s">
        <v>63</v>
      </c>
      <c r="I116" s="109" t="s">
        <v>136</v>
      </c>
      <c r="J116" s="109" t="s">
        <v>163</v>
      </c>
      <c r="K116" s="109" t="s">
        <v>251</v>
      </c>
      <c r="L116" s="109" t="s">
        <v>400</v>
      </c>
      <c r="N116" s="109" t="s">
        <v>717</v>
      </c>
      <c r="O116" s="109" t="s">
        <v>403</v>
      </c>
      <c r="P116" s="109" t="s">
        <v>948</v>
      </c>
      <c r="R116" s="109" t="s">
        <v>451</v>
      </c>
      <c r="Y116" s="118"/>
    </row>
    <row r="117" spans="1:25" ht="13">
      <c r="A117" s="146">
        <v>43423.42459490741</v>
      </c>
      <c r="B117" s="109" t="s">
        <v>949</v>
      </c>
      <c r="C117" s="109" t="s">
        <v>950</v>
      </c>
      <c r="D117" s="109" t="s">
        <v>671</v>
      </c>
      <c r="E117" s="109" t="s">
        <v>951</v>
      </c>
      <c r="F117" s="109" t="s">
        <v>398</v>
      </c>
      <c r="G117" s="109" t="s">
        <v>313</v>
      </c>
      <c r="H117" s="109" t="s">
        <v>63</v>
      </c>
      <c r="I117" s="109" t="s">
        <v>136</v>
      </c>
      <c r="J117" s="109" t="s">
        <v>251</v>
      </c>
      <c r="K117" s="109" t="s">
        <v>401</v>
      </c>
      <c r="L117" s="109" t="s">
        <v>400</v>
      </c>
      <c r="N117" s="109" t="s">
        <v>117</v>
      </c>
      <c r="O117" s="109" t="s">
        <v>117</v>
      </c>
      <c r="P117" s="109" t="s">
        <v>952</v>
      </c>
      <c r="R117" s="109" t="s">
        <v>405</v>
      </c>
      <c r="Y117" s="118"/>
    </row>
    <row r="118" spans="1:25" ht="13">
      <c r="A118" s="146">
        <v>43439.427199074074</v>
      </c>
      <c r="B118" s="109" t="s">
        <v>953</v>
      </c>
      <c r="C118" s="109" t="s">
        <v>954</v>
      </c>
      <c r="D118" s="109" t="s">
        <v>445</v>
      </c>
      <c r="E118" s="109" t="s">
        <v>955</v>
      </c>
      <c r="F118" s="109" t="s">
        <v>956</v>
      </c>
      <c r="G118" s="109" t="s">
        <v>313</v>
      </c>
      <c r="H118" s="109" t="s">
        <v>63</v>
      </c>
      <c r="I118" s="109" t="s">
        <v>136</v>
      </c>
      <c r="J118" s="109" t="s">
        <v>251</v>
      </c>
      <c r="K118" s="109" t="s">
        <v>400</v>
      </c>
      <c r="L118" s="109" t="s">
        <v>401</v>
      </c>
      <c r="M118" s="109" t="s">
        <v>163</v>
      </c>
      <c r="N118" s="109" t="s">
        <v>117</v>
      </c>
      <c r="O118" s="109" t="s">
        <v>403</v>
      </c>
      <c r="P118" s="109" t="s">
        <v>869</v>
      </c>
      <c r="R118" s="109" t="s">
        <v>405</v>
      </c>
      <c r="Y118" s="118"/>
    </row>
    <row r="119" spans="1:25" ht="13">
      <c r="A119" s="146">
        <v>43494.456474085644</v>
      </c>
      <c r="B119" s="109" t="s">
        <v>957</v>
      </c>
      <c r="C119" s="109" t="s">
        <v>958</v>
      </c>
      <c r="D119" s="109" t="s">
        <v>959</v>
      </c>
      <c r="E119" s="109" t="s">
        <v>960</v>
      </c>
      <c r="F119" s="109" t="s">
        <v>410</v>
      </c>
      <c r="G119" s="109" t="s">
        <v>961</v>
      </c>
      <c r="H119" s="109" t="s">
        <v>63</v>
      </c>
      <c r="I119" s="109" t="s">
        <v>401</v>
      </c>
      <c r="J119" s="109" t="s">
        <v>400</v>
      </c>
      <c r="O119" s="109" t="s">
        <v>403</v>
      </c>
      <c r="P119" s="109" t="s">
        <v>123</v>
      </c>
      <c r="R119" s="109" t="s">
        <v>405</v>
      </c>
      <c r="S119" s="109" t="s">
        <v>962</v>
      </c>
      <c r="Y119" s="118"/>
    </row>
    <row r="120" spans="1:25" ht="13">
      <c r="A120" s="146">
        <v>43496.573591817127</v>
      </c>
      <c r="B120" s="109" t="s">
        <v>963</v>
      </c>
      <c r="C120" s="109" t="s">
        <v>964</v>
      </c>
      <c r="D120" s="109" t="s">
        <v>965</v>
      </c>
      <c r="E120" s="109" t="s">
        <v>966</v>
      </c>
      <c r="F120" s="109" t="s">
        <v>431</v>
      </c>
      <c r="G120" s="109" t="s">
        <v>967</v>
      </c>
      <c r="H120" s="109" t="s">
        <v>63</v>
      </c>
      <c r="I120" s="109" t="s">
        <v>400</v>
      </c>
      <c r="J120" s="109" t="s">
        <v>251</v>
      </c>
      <c r="K120" s="109" t="s">
        <v>136</v>
      </c>
      <c r="L120" s="109" t="s">
        <v>401</v>
      </c>
      <c r="N120" s="109" t="s">
        <v>968</v>
      </c>
      <c r="O120" s="109" t="s">
        <v>403</v>
      </c>
      <c r="P120" s="109" t="s">
        <v>969</v>
      </c>
      <c r="R120" s="109" t="s">
        <v>451</v>
      </c>
      <c r="S120" s="109" t="s">
        <v>970</v>
      </c>
      <c r="T120" s="109" t="s">
        <v>971</v>
      </c>
      <c r="U120" s="147"/>
      <c r="V120" s="147"/>
      <c r="W120" s="147"/>
      <c r="X120" s="147"/>
      <c r="Y120" s="118"/>
    </row>
    <row r="121" spans="1:25" ht="13">
      <c r="A121" s="146">
        <v>43431.472766203704</v>
      </c>
      <c r="B121" s="109" t="s">
        <v>972</v>
      </c>
      <c r="C121" s="109" t="s">
        <v>313</v>
      </c>
      <c r="D121" s="109" t="s">
        <v>804</v>
      </c>
      <c r="E121" s="109" t="s">
        <v>973</v>
      </c>
      <c r="F121" s="109" t="s">
        <v>974</v>
      </c>
      <c r="G121" s="109" t="s">
        <v>313</v>
      </c>
      <c r="H121" s="109" t="s">
        <v>63</v>
      </c>
      <c r="I121" s="109" t="s">
        <v>136</v>
      </c>
      <c r="J121" s="109" t="s">
        <v>400</v>
      </c>
      <c r="K121" s="109" t="s">
        <v>251</v>
      </c>
      <c r="L121" s="109" t="s">
        <v>401</v>
      </c>
      <c r="M121" s="109" t="s">
        <v>163</v>
      </c>
      <c r="N121" s="109" t="s">
        <v>130</v>
      </c>
      <c r="O121" s="109" t="s">
        <v>117</v>
      </c>
      <c r="P121" s="109" t="s">
        <v>975</v>
      </c>
      <c r="R121" s="109" t="s">
        <v>451</v>
      </c>
      <c r="S121" s="109" t="s">
        <v>313</v>
      </c>
      <c r="T121" s="109" t="s">
        <v>313</v>
      </c>
      <c r="U121" s="147"/>
      <c r="V121" s="147"/>
      <c r="W121" s="147"/>
      <c r="X121" s="147"/>
      <c r="Y121" s="118"/>
    </row>
    <row r="122" spans="1:25" ht="13">
      <c r="A122" s="146">
        <v>43498.507257013887</v>
      </c>
      <c r="B122" s="109" t="s">
        <v>976</v>
      </c>
      <c r="C122" s="109" t="s">
        <v>977</v>
      </c>
      <c r="D122" s="109" t="s">
        <v>978</v>
      </c>
      <c r="E122" s="109" t="s">
        <v>979</v>
      </c>
      <c r="F122" s="109" t="s">
        <v>980</v>
      </c>
      <c r="G122" s="109" t="s">
        <v>981</v>
      </c>
      <c r="H122" s="109" t="s">
        <v>63</v>
      </c>
      <c r="I122" s="109" t="s">
        <v>401</v>
      </c>
      <c r="J122" s="109" t="s">
        <v>163</v>
      </c>
      <c r="K122" s="109" t="s">
        <v>136</v>
      </c>
      <c r="L122" s="109" t="s">
        <v>400</v>
      </c>
      <c r="M122" s="109" t="s">
        <v>251</v>
      </c>
      <c r="N122" s="109" t="s">
        <v>463</v>
      </c>
      <c r="O122" s="109" t="s">
        <v>117</v>
      </c>
      <c r="R122" s="109" t="s">
        <v>451</v>
      </c>
      <c r="S122" s="109" t="s">
        <v>982</v>
      </c>
      <c r="T122" s="109" t="s">
        <v>983</v>
      </c>
      <c r="U122" s="147"/>
      <c r="V122" s="147"/>
      <c r="W122" s="147"/>
      <c r="X122" s="147"/>
      <c r="Y122" s="118"/>
    </row>
    <row r="123" spans="1:25" ht="13">
      <c r="A123" s="146">
        <v>43504.644372696755</v>
      </c>
      <c r="B123" s="109" t="s">
        <v>984</v>
      </c>
      <c r="C123" s="109" t="s">
        <v>985</v>
      </c>
      <c r="D123" s="109" t="s">
        <v>986</v>
      </c>
      <c r="E123" s="109" t="s">
        <v>987</v>
      </c>
      <c r="F123" s="109" t="s">
        <v>461</v>
      </c>
      <c r="G123" s="109" t="s">
        <v>988</v>
      </c>
      <c r="H123" s="109" t="s">
        <v>63</v>
      </c>
      <c r="I123" s="109" t="s">
        <v>136</v>
      </c>
      <c r="J123" s="109" t="s">
        <v>251</v>
      </c>
      <c r="K123" s="109" t="s">
        <v>400</v>
      </c>
      <c r="L123" s="109" t="s">
        <v>401</v>
      </c>
      <c r="M123" s="109" t="s">
        <v>163</v>
      </c>
      <c r="N123" s="109" t="s">
        <v>989</v>
      </c>
      <c r="O123" s="109" t="s">
        <v>130</v>
      </c>
      <c r="R123" s="109" t="s">
        <v>405</v>
      </c>
      <c r="S123" s="109" t="s">
        <v>990</v>
      </c>
      <c r="T123" s="109" t="s">
        <v>991</v>
      </c>
      <c r="U123" s="147"/>
      <c r="V123" s="147"/>
      <c r="W123" s="147"/>
      <c r="X123" s="147"/>
      <c r="Y123" s="118"/>
    </row>
    <row r="124" spans="1:25" ht="13">
      <c r="A124" s="146">
        <v>43510.15695694444</v>
      </c>
      <c r="B124" s="109" t="s">
        <v>992</v>
      </c>
      <c r="C124" s="109" t="s">
        <v>993</v>
      </c>
      <c r="D124" s="109" t="s">
        <v>994</v>
      </c>
      <c r="E124" s="109" t="s">
        <v>995</v>
      </c>
      <c r="F124" s="109" t="s">
        <v>461</v>
      </c>
      <c r="G124" s="109" t="s">
        <v>996</v>
      </c>
      <c r="H124" s="109" t="s">
        <v>63</v>
      </c>
      <c r="I124" s="109" t="s">
        <v>400</v>
      </c>
      <c r="J124" s="109" t="s">
        <v>251</v>
      </c>
      <c r="K124" s="109" t="s">
        <v>401</v>
      </c>
      <c r="N124" s="109" t="s">
        <v>997</v>
      </c>
      <c r="O124" s="109" t="s">
        <v>403</v>
      </c>
      <c r="P124" s="109" t="s">
        <v>998</v>
      </c>
      <c r="R124" s="109" t="s">
        <v>451</v>
      </c>
      <c r="S124" s="109" t="s">
        <v>999</v>
      </c>
      <c r="T124" s="109" t="s">
        <v>1000</v>
      </c>
      <c r="U124" s="147"/>
      <c r="V124" s="147"/>
      <c r="W124" s="147"/>
      <c r="X124" s="147"/>
      <c r="Y124" s="118"/>
    </row>
    <row r="125" spans="1:25" ht="13">
      <c r="A125" s="146">
        <v>43510.64592836806</v>
      </c>
      <c r="B125" s="109" t="s">
        <v>1001</v>
      </c>
      <c r="C125" s="109" t="s">
        <v>1002</v>
      </c>
      <c r="D125" s="109" t="s">
        <v>1003</v>
      </c>
      <c r="E125" s="109" t="s">
        <v>1004</v>
      </c>
      <c r="F125" s="109" t="s">
        <v>431</v>
      </c>
      <c r="G125" s="109" t="s">
        <v>1005</v>
      </c>
      <c r="H125" s="109" t="s">
        <v>63</v>
      </c>
      <c r="I125" s="109" t="s">
        <v>163</v>
      </c>
      <c r="J125" s="109" t="s">
        <v>136</v>
      </c>
      <c r="K125" s="109" t="s">
        <v>400</v>
      </c>
      <c r="L125" s="109" t="s">
        <v>251</v>
      </c>
      <c r="N125" s="109" t="s">
        <v>1006</v>
      </c>
      <c r="O125" s="109" t="s">
        <v>117</v>
      </c>
      <c r="P125" s="109" t="s">
        <v>1007</v>
      </c>
      <c r="R125" s="109" t="s">
        <v>451</v>
      </c>
      <c r="S125" s="109" t="s">
        <v>1008</v>
      </c>
      <c r="T125" s="109" t="s">
        <v>1009</v>
      </c>
      <c r="U125" s="147"/>
      <c r="V125" s="147"/>
      <c r="W125" s="147"/>
      <c r="X125" s="147"/>
      <c r="Y125" s="118"/>
    </row>
    <row r="126" spans="1:25" ht="13">
      <c r="A126" s="146">
        <v>43511.51492671296</v>
      </c>
      <c r="B126" s="109" t="s">
        <v>1010</v>
      </c>
      <c r="C126" s="109" t="s">
        <v>1011</v>
      </c>
      <c r="D126" s="109" t="s">
        <v>1012</v>
      </c>
      <c r="E126" s="109" t="s">
        <v>1013</v>
      </c>
      <c r="F126" s="109" t="s">
        <v>529</v>
      </c>
      <c r="G126" s="109" t="s">
        <v>1014</v>
      </c>
      <c r="H126" s="109" t="s">
        <v>63</v>
      </c>
      <c r="I126" s="109" t="s">
        <v>251</v>
      </c>
      <c r="J126" s="109" t="s">
        <v>400</v>
      </c>
      <c r="K126" s="109" t="s">
        <v>401</v>
      </c>
      <c r="L126" s="109" t="s">
        <v>136</v>
      </c>
      <c r="M126" s="109" t="s">
        <v>163</v>
      </c>
      <c r="O126" s="109" t="s">
        <v>403</v>
      </c>
      <c r="R126" s="109" t="s">
        <v>405</v>
      </c>
      <c r="S126" s="109" t="s">
        <v>1015</v>
      </c>
      <c r="T126" s="109" t="s">
        <v>1016</v>
      </c>
      <c r="U126" s="147"/>
      <c r="V126" s="147"/>
      <c r="W126" s="147"/>
      <c r="X126" s="147"/>
      <c r="Y126" s="118"/>
    </row>
    <row r="127" spans="1:25" ht="12.75" customHeight="1">
      <c r="A127" s="146">
        <v>43515.325830590278</v>
      </c>
      <c r="B127" s="109" t="s">
        <v>1017</v>
      </c>
      <c r="C127" s="109" t="s">
        <v>1018</v>
      </c>
      <c r="D127" s="109" t="s">
        <v>1019</v>
      </c>
      <c r="E127" s="109" t="s">
        <v>1020</v>
      </c>
      <c r="F127" s="109" t="s">
        <v>1021</v>
      </c>
      <c r="G127" s="109" t="s">
        <v>1022</v>
      </c>
      <c r="H127" s="109" t="s">
        <v>63</v>
      </c>
      <c r="I127" s="109" t="s">
        <v>136</v>
      </c>
      <c r="N127" s="109" t="s">
        <v>1023</v>
      </c>
      <c r="O127" s="109" t="s">
        <v>117</v>
      </c>
      <c r="P127" s="109" t="s">
        <v>1024</v>
      </c>
      <c r="R127" s="109" t="s">
        <v>451</v>
      </c>
      <c r="S127" s="109" t="s">
        <v>1025</v>
      </c>
      <c r="T127" s="109" t="s">
        <v>1026</v>
      </c>
      <c r="U127" s="109" t="s">
        <v>1027</v>
      </c>
      <c r="V127" s="109" t="s">
        <v>1028</v>
      </c>
      <c r="Y127" s="118"/>
    </row>
    <row r="128" spans="1:25" ht="13">
      <c r="A128" s="146">
        <v>43524.498312164353</v>
      </c>
      <c r="B128" s="109" t="s">
        <v>1029</v>
      </c>
      <c r="C128" s="109" t="s">
        <v>1030</v>
      </c>
      <c r="D128" s="109" t="s">
        <v>1031</v>
      </c>
      <c r="E128" s="109" t="s">
        <v>1032</v>
      </c>
      <c r="F128" s="109" t="s">
        <v>431</v>
      </c>
      <c r="G128" s="109" t="s">
        <v>1022</v>
      </c>
      <c r="H128" s="109" t="s">
        <v>63</v>
      </c>
      <c r="I128" s="109" t="s">
        <v>400</v>
      </c>
      <c r="J128" s="109" t="s">
        <v>163</v>
      </c>
      <c r="K128" s="109" t="s">
        <v>251</v>
      </c>
      <c r="L128" s="109" t="s">
        <v>136</v>
      </c>
      <c r="M128" s="109" t="s">
        <v>401</v>
      </c>
      <c r="N128" s="109" t="s">
        <v>130</v>
      </c>
      <c r="O128" s="109" t="s">
        <v>117</v>
      </c>
      <c r="P128" s="109" t="s">
        <v>1033</v>
      </c>
      <c r="R128" s="109" t="s">
        <v>451</v>
      </c>
      <c r="S128" s="109" t="s">
        <v>1034</v>
      </c>
      <c r="T128" s="109" t="s">
        <v>1035</v>
      </c>
      <c r="U128" s="109" t="s">
        <v>1036</v>
      </c>
      <c r="V128" s="109" t="s">
        <v>1028</v>
      </c>
      <c r="W128" s="109" t="s">
        <v>1037</v>
      </c>
      <c r="X128" s="147"/>
      <c r="Y128" s="118"/>
    </row>
    <row r="129" spans="1:49" ht="13">
      <c r="A129" s="146">
        <v>43525.503887395833</v>
      </c>
      <c r="B129" s="109" t="s">
        <v>1038</v>
      </c>
      <c r="C129" s="109" t="s">
        <v>1039</v>
      </c>
      <c r="D129" s="109" t="s">
        <v>1040</v>
      </c>
      <c r="E129" s="109" t="s">
        <v>1041</v>
      </c>
      <c r="F129" s="109" t="s">
        <v>461</v>
      </c>
      <c r="G129" s="109" t="s">
        <v>1022</v>
      </c>
      <c r="H129" s="109" t="s">
        <v>63</v>
      </c>
      <c r="I129" s="109" t="s">
        <v>251</v>
      </c>
      <c r="J129" s="109" t="s">
        <v>400</v>
      </c>
      <c r="K129" s="109" t="s">
        <v>163</v>
      </c>
      <c r="N129" s="109" t="s">
        <v>1042</v>
      </c>
      <c r="O129" s="109" t="s">
        <v>117</v>
      </c>
      <c r="R129" s="109" t="s">
        <v>451</v>
      </c>
      <c r="S129" s="109" t="s">
        <v>1044</v>
      </c>
      <c r="T129" s="109" t="s">
        <v>1045</v>
      </c>
      <c r="U129" s="109" t="s">
        <v>1027</v>
      </c>
      <c r="V129" s="109" t="s">
        <v>1028</v>
      </c>
      <c r="Y129" s="118"/>
    </row>
    <row r="130" spans="1:49" ht="17.25" customHeight="1">
      <c r="A130" s="146">
        <v>43530.323665868054</v>
      </c>
      <c r="B130" s="109" t="s">
        <v>1046</v>
      </c>
      <c r="C130" s="109" t="s">
        <v>650</v>
      </c>
      <c r="D130" s="109" t="s">
        <v>1047</v>
      </c>
      <c r="E130" s="109" t="s">
        <v>1048</v>
      </c>
      <c r="F130" s="109" t="s">
        <v>418</v>
      </c>
      <c r="G130" s="109" t="s">
        <v>1049</v>
      </c>
      <c r="H130" s="109" t="s">
        <v>63</v>
      </c>
      <c r="I130" s="109" t="s">
        <v>400</v>
      </c>
      <c r="J130" s="109" t="s">
        <v>251</v>
      </c>
      <c r="K130" s="109" t="s">
        <v>163</v>
      </c>
      <c r="L130" s="109" t="s">
        <v>401</v>
      </c>
      <c r="M130" s="109" t="s">
        <v>136</v>
      </c>
      <c r="N130" s="109" t="s">
        <v>1050</v>
      </c>
      <c r="O130" s="109" t="s">
        <v>117</v>
      </c>
      <c r="P130" s="109" t="s">
        <v>130</v>
      </c>
      <c r="R130" s="109" t="s">
        <v>451</v>
      </c>
      <c r="S130" s="109" t="s">
        <v>1051</v>
      </c>
      <c r="T130" s="109" t="s">
        <v>1052</v>
      </c>
      <c r="U130" s="109" t="s">
        <v>1053</v>
      </c>
      <c r="V130" s="109" t="s">
        <v>1028</v>
      </c>
      <c r="W130" s="109" t="s">
        <v>1054</v>
      </c>
      <c r="X130" s="147"/>
      <c r="Y130" s="118"/>
    </row>
    <row r="131" spans="1:49" ht="13">
      <c r="A131" s="146">
        <v>43531.578077222221</v>
      </c>
      <c r="B131" s="109" t="s">
        <v>1055</v>
      </c>
      <c r="C131" s="109" t="s">
        <v>1056</v>
      </c>
      <c r="E131" s="109" t="s">
        <v>1057</v>
      </c>
      <c r="F131" s="109" t="s">
        <v>431</v>
      </c>
      <c r="G131" s="109" t="s">
        <v>1058</v>
      </c>
      <c r="H131" s="109" t="s">
        <v>202</v>
      </c>
      <c r="O131" s="109" t="s">
        <v>117</v>
      </c>
      <c r="P131" s="109" t="s">
        <v>1059</v>
      </c>
      <c r="R131" s="109" t="s">
        <v>405</v>
      </c>
      <c r="S131" s="109" t="s">
        <v>1060</v>
      </c>
      <c r="T131" s="109" t="s">
        <v>1061</v>
      </c>
      <c r="U131" s="109" t="s">
        <v>1062</v>
      </c>
      <c r="V131" s="109" t="s">
        <v>1028</v>
      </c>
      <c r="W131" s="109" t="s">
        <v>1063</v>
      </c>
      <c r="X131" s="147"/>
      <c r="Y131" s="118"/>
    </row>
    <row r="132" spans="1:49" ht="13">
      <c r="A132" s="146">
        <v>43531.608363842592</v>
      </c>
      <c r="B132" s="109" t="s">
        <v>1064</v>
      </c>
      <c r="C132" s="109" t="s">
        <v>1065</v>
      </c>
      <c r="D132" s="109" t="s">
        <v>1066</v>
      </c>
      <c r="E132" s="109" t="s">
        <v>1067</v>
      </c>
      <c r="F132" s="109" t="s">
        <v>1068</v>
      </c>
      <c r="G132" s="109" t="s">
        <v>1069</v>
      </c>
      <c r="H132" s="109" t="s">
        <v>63</v>
      </c>
      <c r="I132" s="109" t="s">
        <v>400</v>
      </c>
      <c r="J132" s="86" t="s">
        <v>163</v>
      </c>
      <c r="K132" s="109" t="s">
        <v>251</v>
      </c>
      <c r="O132" s="109" t="s">
        <v>403</v>
      </c>
      <c r="R132" s="109" t="s">
        <v>405</v>
      </c>
      <c r="S132" s="109" t="s">
        <v>1070</v>
      </c>
      <c r="T132" s="109" t="s">
        <v>1071</v>
      </c>
      <c r="U132" s="109" t="s">
        <v>1062</v>
      </c>
      <c r="V132" s="109" t="s">
        <v>1072</v>
      </c>
      <c r="Y132" s="118"/>
    </row>
    <row r="133" spans="1:49" ht="15" customHeight="1">
      <c r="A133" s="146">
        <v>43531.617576516204</v>
      </c>
      <c r="B133" s="109" t="s">
        <v>1073</v>
      </c>
      <c r="C133" s="109" t="s">
        <v>1074</v>
      </c>
      <c r="D133" s="109" t="s">
        <v>1075</v>
      </c>
      <c r="E133" s="109" t="s">
        <v>1076</v>
      </c>
      <c r="F133" s="109" t="s">
        <v>431</v>
      </c>
      <c r="G133" s="109" t="s">
        <v>1077</v>
      </c>
      <c r="H133" s="109" t="s">
        <v>63</v>
      </c>
      <c r="I133" s="109" t="s">
        <v>401</v>
      </c>
      <c r="J133" s="109" t="s">
        <v>400</v>
      </c>
      <c r="K133" s="109" t="s">
        <v>251</v>
      </c>
      <c r="L133" s="109" t="s">
        <v>163</v>
      </c>
      <c r="M133" s="109" t="s">
        <v>136</v>
      </c>
      <c r="N133" s="109" t="s">
        <v>1078</v>
      </c>
      <c r="O133" s="109" t="s">
        <v>117</v>
      </c>
      <c r="P133" s="109" t="s">
        <v>1079</v>
      </c>
      <c r="R133" s="109" t="s">
        <v>451</v>
      </c>
      <c r="S133" s="109" t="s">
        <v>1080</v>
      </c>
      <c r="U133" s="109" t="s">
        <v>1036</v>
      </c>
      <c r="V133" s="109" t="s">
        <v>1028</v>
      </c>
      <c r="W133" s="109" t="s">
        <v>1081</v>
      </c>
      <c r="X133" s="147"/>
      <c r="Y133" s="118"/>
    </row>
    <row r="134" spans="1:49" ht="17.25" customHeight="1">
      <c r="A134" s="146">
        <v>43535.006761145836</v>
      </c>
      <c r="B134" s="109" t="s">
        <v>1082</v>
      </c>
      <c r="C134" s="109" t="s">
        <v>1083</v>
      </c>
      <c r="D134" s="109" t="s">
        <v>1084</v>
      </c>
      <c r="E134" s="109" t="s">
        <v>1085</v>
      </c>
      <c r="F134" s="109" t="s">
        <v>461</v>
      </c>
      <c r="G134" s="109" t="s">
        <v>1086</v>
      </c>
      <c r="H134" s="109" t="s">
        <v>63</v>
      </c>
      <c r="I134" s="109" t="s">
        <v>163</v>
      </c>
      <c r="J134" s="109" t="s">
        <v>401</v>
      </c>
      <c r="K134" s="109" t="s">
        <v>400</v>
      </c>
      <c r="L134" s="109" t="s">
        <v>136</v>
      </c>
      <c r="M134" s="109" t="s">
        <v>251</v>
      </c>
      <c r="N134" s="109" t="s">
        <v>1087</v>
      </c>
      <c r="O134" s="109" t="s">
        <v>117</v>
      </c>
      <c r="P134" s="109" t="s">
        <v>1088</v>
      </c>
      <c r="R134" s="109" t="s">
        <v>405</v>
      </c>
      <c r="S134" s="109" t="s">
        <v>1089</v>
      </c>
      <c r="T134" s="109" t="s">
        <v>1090</v>
      </c>
      <c r="U134" s="109" t="s">
        <v>1027</v>
      </c>
      <c r="V134" s="109" t="s">
        <v>1091</v>
      </c>
      <c r="W134" s="109" t="s">
        <v>34</v>
      </c>
      <c r="X134" s="147"/>
      <c r="Y134" s="118"/>
    </row>
    <row r="135" spans="1:49" ht="13">
      <c r="A135" s="146">
        <v>43537.387839074072</v>
      </c>
      <c r="B135" s="109" t="s">
        <v>1092</v>
      </c>
      <c r="C135" s="109" t="s">
        <v>453</v>
      </c>
      <c r="D135" s="109" t="s">
        <v>1093</v>
      </c>
      <c r="E135" s="109" t="s">
        <v>1094</v>
      </c>
      <c r="F135" s="109" t="s">
        <v>1068</v>
      </c>
      <c r="G135" s="109" t="s">
        <v>1022</v>
      </c>
      <c r="H135" s="109" t="s">
        <v>202</v>
      </c>
      <c r="O135" s="109" t="s">
        <v>403</v>
      </c>
      <c r="R135" s="109" t="s">
        <v>451</v>
      </c>
      <c r="S135" s="109" t="s">
        <v>1095</v>
      </c>
      <c r="T135" s="109" t="s">
        <v>1096</v>
      </c>
      <c r="U135" s="109" t="s">
        <v>1097</v>
      </c>
      <c r="V135" s="109" t="s">
        <v>1028</v>
      </c>
      <c r="Y135" s="118"/>
    </row>
    <row r="136" spans="1:49" ht="13">
      <c r="A136" s="146">
        <v>43542.637853333334</v>
      </c>
      <c r="B136" s="109" t="s">
        <v>1098</v>
      </c>
      <c r="C136" s="109" t="s">
        <v>714</v>
      </c>
      <c r="D136" s="109" t="s">
        <v>1099</v>
      </c>
      <c r="E136" s="109" t="s">
        <v>1100</v>
      </c>
      <c r="F136" s="109" t="s">
        <v>492</v>
      </c>
      <c r="G136" s="109" t="s">
        <v>1101</v>
      </c>
      <c r="H136" s="109" t="s">
        <v>63</v>
      </c>
      <c r="I136" s="109" t="s">
        <v>400</v>
      </c>
      <c r="J136" s="109" t="s">
        <v>251</v>
      </c>
      <c r="N136" s="109" t="s">
        <v>1102</v>
      </c>
      <c r="O136" s="109" t="s">
        <v>403</v>
      </c>
      <c r="P136" s="109" t="s">
        <v>123</v>
      </c>
      <c r="R136" s="109" t="s">
        <v>405</v>
      </c>
      <c r="S136" s="109" t="s">
        <v>1103</v>
      </c>
      <c r="T136" s="109" t="s">
        <v>123</v>
      </c>
      <c r="U136" s="109" t="s">
        <v>1036</v>
      </c>
      <c r="V136" s="109" t="s">
        <v>1091</v>
      </c>
      <c r="W136" s="109" t="s">
        <v>1104</v>
      </c>
      <c r="X136" s="147"/>
      <c r="Y136" s="118"/>
    </row>
    <row r="137" spans="1:49" ht="13">
      <c r="A137" s="146">
        <v>43543.440514027781</v>
      </c>
      <c r="B137" s="109" t="s">
        <v>1105</v>
      </c>
      <c r="C137" s="109" t="s">
        <v>750</v>
      </c>
      <c r="E137" s="109" t="s">
        <v>1106</v>
      </c>
      <c r="F137" s="109" t="s">
        <v>431</v>
      </c>
      <c r="G137" s="109" t="s">
        <v>1022</v>
      </c>
      <c r="H137" s="109" t="s">
        <v>63</v>
      </c>
      <c r="I137" s="109" t="s">
        <v>251</v>
      </c>
      <c r="J137" s="109" t="s">
        <v>400</v>
      </c>
      <c r="K137" s="109" t="s">
        <v>401</v>
      </c>
      <c r="L137" s="109" t="s">
        <v>163</v>
      </c>
      <c r="M137" s="109" t="s">
        <v>136</v>
      </c>
      <c r="N137" s="109" t="s">
        <v>1107</v>
      </c>
      <c r="O137" s="109" t="s">
        <v>117</v>
      </c>
      <c r="P137" s="109" t="s">
        <v>1108</v>
      </c>
      <c r="R137" s="109" t="s">
        <v>451</v>
      </c>
      <c r="S137" s="109" t="s">
        <v>1109</v>
      </c>
      <c r="T137" s="109" t="s">
        <v>1110</v>
      </c>
      <c r="U137" s="109" t="s">
        <v>1027</v>
      </c>
      <c r="V137" s="109" t="s">
        <v>1028</v>
      </c>
      <c r="W137" s="109" t="s">
        <v>1081</v>
      </c>
      <c r="X137" s="147"/>
      <c r="Y137" s="118"/>
    </row>
    <row r="138" spans="1:49" ht="13">
      <c r="A138" s="146">
        <v>43549.514589780098</v>
      </c>
      <c r="B138" s="109" t="s">
        <v>1111</v>
      </c>
      <c r="C138" s="109" t="s">
        <v>1112</v>
      </c>
      <c r="D138" s="109" t="s">
        <v>1113</v>
      </c>
      <c r="E138" s="109" t="s">
        <v>1114</v>
      </c>
      <c r="F138" s="109" t="s">
        <v>431</v>
      </c>
      <c r="G138" s="109" t="s">
        <v>1077</v>
      </c>
      <c r="H138" s="109" t="s">
        <v>202</v>
      </c>
      <c r="O138" s="109" t="s">
        <v>130</v>
      </c>
      <c r="P138" s="109" t="s">
        <v>1115</v>
      </c>
      <c r="R138" s="109" t="s">
        <v>405</v>
      </c>
      <c r="S138" s="109" t="s">
        <v>1116</v>
      </c>
      <c r="T138" s="109" t="s">
        <v>1117</v>
      </c>
      <c r="U138" s="109" t="s">
        <v>1062</v>
      </c>
      <c r="V138" s="109" t="s">
        <v>1028</v>
      </c>
      <c r="W138" s="109" t="s">
        <v>1081</v>
      </c>
      <c r="X138" s="147"/>
      <c r="Y138" s="118"/>
    </row>
    <row r="139" spans="1:49" ht="13">
      <c r="A139" s="146">
        <v>43549.530461273149</v>
      </c>
      <c r="B139" s="109" t="s">
        <v>1118</v>
      </c>
      <c r="C139" s="109" t="s">
        <v>1119</v>
      </c>
      <c r="D139" s="109" t="s">
        <v>1120</v>
      </c>
      <c r="E139" s="109" t="s">
        <v>1121</v>
      </c>
      <c r="F139" s="109" t="s">
        <v>431</v>
      </c>
      <c r="G139" s="109" t="s">
        <v>1058</v>
      </c>
      <c r="H139" s="109" t="s">
        <v>63</v>
      </c>
      <c r="I139" s="109" t="s">
        <v>251</v>
      </c>
      <c r="J139" s="109" t="s">
        <v>163</v>
      </c>
      <c r="N139" s="109" t="s">
        <v>1122</v>
      </c>
      <c r="O139" s="109" t="s">
        <v>403</v>
      </c>
      <c r="P139" s="109" t="s">
        <v>1123</v>
      </c>
      <c r="R139" s="109" t="s">
        <v>451</v>
      </c>
      <c r="S139" s="109" t="s">
        <v>1124</v>
      </c>
      <c r="T139" s="109" t="s">
        <v>1125</v>
      </c>
      <c r="U139" s="109" t="s">
        <v>1027</v>
      </c>
      <c r="V139" s="109" t="s">
        <v>1028</v>
      </c>
      <c r="W139" s="109" t="s">
        <v>1081</v>
      </c>
      <c r="X139" s="147"/>
      <c r="Y139" s="118"/>
    </row>
    <row r="140" spans="1:49" ht="13">
      <c r="A140" s="146">
        <v>43549.670943090277</v>
      </c>
      <c r="B140" s="109" t="s">
        <v>1126</v>
      </c>
      <c r="C140" s="109" t="s">
        <v>1127</v>
      </c>
      <c r="D140" s="109" t="s">
        <v>1128</v>
      </c>
      <c r="E140" s="109" t="s">
        <v>1129</v>
      </c>
      <c r="F140" s="109" t="s">
        <v>431</v>
      </c>
      <c r="G140" s="109" t="s">
        <v>1101</v>
      </c>
      <c r="H140" s="109" t="s">
        <v>63</v>
      </c>
      <c r="I140" s="109" t="s">
        <v>251</v>
      </c>
      <c r="J140" s="109" t="s">
        <v>136</v>
      </c>
      <c r="K140" s="109" t="s">
        <v>163</v>
      </c>
      <c r="L140" s="109" t="s">
        <v>401</v>
      </c>
      <c r="M140" s="109" t="s">
        <v>400</v>
      </c>
      <c r="N140" s="109" t="s">
        <v>1130</v>
      </c>
      <c r="O140" s="109" t="s">
        <v>117</v>
      </c>
      <c r="R140" s="109" t="s">
        <v>451</v>
      </c>
      <c r="S140" s="109" t="s">
        <v>1131</v>
      </c>
      <c r="T140" s="109" t="s">
        <v>1132</v>
      </c>
      <c r="U140" s="109" t="s">
        <v>1133</v>
      </c>
      <c r="V140" s="109" t="s">
        <v>1028</v>
      </c>
      <c r="W140" s="109" t="s">
        <v>1134</v>
      </c>
      <c r="X140" s="147"/>
      <c r="Y140" s="118"/>
    </row>
    <row r="141" spans="1:49" ht="13">
      <c r="A141" s="146">
        <v>43550.177335462962</v>
      </c>
      <c r="B141" s="109" t="s">
        <v>1135</v>
      </c>
      <c r="C141" s="109" t="s">
        <v>1136</v>
      </c>
      <c r="D141" s="109" t="s">
        <v>1137</v>
      </c>
      <c r="E141" s="109" t="s">
        <v>1138</v>
      </c>
      <c r="F141" s="109" t="s">
        <v>431</v>
      </c>
      <c r="G141" s="109" t="s">
        <v>1077</v>
      </c>
      <c r="H141" s="109" t="s">
        <v>63</v>
      </c>
      <c r="I141" s="109" t="s">
        <v>136</v>
      </c>
      <c r="J141" s="109" t="s">
        <v>400</v>
      </c>
      <c r="K141" s="109" t="s">
        <v>401</v>
      </c>
      <c r="L141" s="109" t="s">
        <v>251</v>
      </c>
      <c r="M141" s="109" t="s">
        <v>163</v>
      </c>
      <c r="N141" s="109" t="s">
        <v>1139</v>
      </c>
      <c r="O141" s="109" t="s">
        <v>403</v>
      </c>
      <c r="R141" s="109" t="s">
        <v>451</v>
      </c>
      <c r="S141" s="109" t="s">
        <v>1140</v>
      </c>
      <c r="T141" s="109" t="s">
        <v>1141</v>
      </c>
      <c r="U141" s="109" t="s">
        <v>1027</v>
      </c>
      <c r="V141" s="109" t="s">
        <v>1028</v>
      </c>
      <c r="W141" s="109" t="s">
        <v>1142</v>
      </c>
      <c r="X141" s="147"/>
      <c r="Y141" s="118"/>
    </row>
    <row r="142" spans="1:49" ht="13">
      <c r="A142" s="146">
        <v>43551.42424122685</v>
      </c>
      <c r="B142" s="109" t="s">
        <v>1143</v>
      </c>
      <c r="C142" s="109" t="s">
        <v>1144</v>
      </c>
      <c r="D142" s="109" t="s">
        <v>1145</v>
      </c>
      <c r="E142" s="109" t="s">
        <v>1146</v>
      </c>
      <c r="F142" s="109" t="s">
        <v>418</v>
      </c>
      <c r="G142" s="109" t="s">
        <v>1147</v>
      </c>
      <c r="H142" s="109" t="s">
        <v>202</v>
      </c>
      <c r="I142" s="109" t="s">
        <v>401</v>
      </c>
      <c r="O142" s="109" t="s">
        <v>403</v>
      </c>
      <c r="R142" s="109" t="s">
        <v>405</v>
      </c>
      <c r="S142" s="109" t="s">
        <v>1148</v>
      </c>
      <c r="T142" s="109" t="s">
        <v>1149</v>
      </c>
      <c r="U142" s="109" t="s">
        <v>1062</v>
      </c>
      <c r="V142" s="109" t="s">
        <v>1150</v>
      </c>
      <c r="Y142" s="118"/>
    </row>
    <row r="143" spans="1:49" ht="13">
      <c r="A143" s="146">
        <v>43556.967941516203</v>
      </c>
      <c r="B143" s="109" t="s">
        <v>1151</v>
      </c>
      <c r="C143" s="109" t="s">
        <v>1152</v>
      </c>
      <c r="D143" s="109" t="s">
        <v>1153</v>
      </c>
      <c r="E143" s="109" t="s">
        <v>1154</v>
      </c>
      <c r="F143" s="109" t="s">
        <v>410</v>
      </c>
      <c r="G143" s="109" t="s">
        <v>1086</v>
      </c>
      <c r="H143" s="109" t="s">
        <v>202</v>
      </c>
      <c r="I143" s="109" t="s">
        <v>251</v>
      </c>
      <c r="J143" s="109" t="s">
        <v>400</v>
      </c>
      <c r="K143" s="109" t="s">
        <v>401</v>
      </c>
      <c r="L143" s="109" t="s">
        <v>163</v>
      </c>
      <c r="M143" s="109" t="s">
        <v>136</v>
      </c>
      <c r="N143" s="109" t="s">
        <v>1155</v>
      </c>
      <c r="O143" s="109" t="s">
        <v>130</v>
      </c>
      <c r="P143" s="109" t="s">
        <v>1156</v>
      </c>
      <c r="R143" s="109" t="s">
        <v>451</v>
      </c>
      <c r="S143" s="109" t="s">
        <v>1157</v>
      </c>
      <c r="T143" s="109" t="s">
        <v>1158</v>
      </c>
      <c r="U143" s="109" t="s">
        <v>1097</v>
      </c>
      <c r="V143" s="109" t="s">
        <v>1159</v>
      </c>
      <c r="Y143" s="118"/>
    </row>
    <row r="144" spans="1:49" ht="15" customHeight="1">
      <c r="A144" s="159">
        <v>43558.13699107639</v>
      </c>
      <c r="B144" s="160" t="s">
        <v>1160</v>
      </c>
      <c r="C144" s="160" t="s">
        <v>1161</v>
      </c>
      <c r="D144" s="160" t="s">
        <v>1162</v>
      </c>
      <c r="E144" s="160" t="s">
        <v>1163</v>
      </c>
      <c r="F144" s="160" t="s">
        <v>1164</v>
      </c>
      <c r="G144" s="160" t="s">
        <v>1165</v>
      </c>
      <c r="H144" s="160" t="s">
        <v>63</v>
      </c>
      <c r="I144" s="160" t="s">
        <v>251</v>
      </c>
      <c r="J144" s="160" t="s">
        <v>400</v>
      </c>
      <c r="K144" s="161"/>
      <c r="L144" s="161"/>
      <c r="M144" s="161"/>
      <c r="N144" s="160" t="s">
        <v>1166</v>
      </c>
      <c r="O144" s="160" t="s">
        <v>117</v>
      </c>
      <c r="P144" s="160" t="s">
        <v>1167</v>
      </c>
      <c r="Q144" s="161"/>
      <c r="R144" s="160" t="s">
        <v>405</v>
      </c>
      <c r="S144" s="160" t="s">
        <v>1168</v>
      </c>
      <c r="T144" s="160" t="s">
        <v>488</v>
      </c>
      <c r="U144" s="160" t="s">
        <v>1027</v>
      </c>
      <c r="V144" s="160" t="s">
        <v>1028</v>
      </c>
      <c r="W144" s="161"/>
      <c r="X144" s="161"/>
      <c r="Y144" s="162"/>
      <c r="Z144" s="161"/>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c r="AW144" s="161"/>
    </row>
    <row r="145" spans="1:25" ht="13">
      <c r="A145" s="146">
        <v>43558.605901724542</v>
      </c>
      <c r="B145" s="109" t="s">
        <v>1169</v>
      </c>
      <c r="C145" s="109" t="s">
        <v>1170</v>
      </c>
      <c r="D145" s="109" t="s">
        <v>1171</v>
      </c>
      <c r="E145" s="109" t="s">
        <v>1172</v>
      </c>
      <c r="F145" s="109" t="s">
        <v>701</v>
      </c>
      <c r="G145" s="109" t="s">
        <v>1173</v>
      </c>
      <c r="H145" s="109" t="s">
        <v>63</v>
      </c>
      <c r="I145" s="109" t="s">
        <v>251</v>
      </c>
      <c r="N145" s="109" t="s">
        <v>1174</v>
      </c>
      <c r="O145" s="109" t="s">
        <v>403</v>
      </c>
      <c r="P145" s="109" t="s">
        <v>1175</v>
      </c>
      <c r="R145" s="109" t="s">
        <v>451</v>
      </c>
      <c r="S145" s="109" t="s">
        <v>1176</v>
      </c>
      <c r="T145" s="109" t="s">
        <v>1177</v>
      </c>
      <c r="U145" s="109" t="s">
        <v>1178</v>
      </c>
      <c r="V145" s="109" t="s">
        <v>1179</v>
      </c>
      <c r="Y145" s="118"/>
    </row>
    <row r="146" spans="1:25" ht="13">
      <c r="A146" s="146">
        <v>43558.62698700231</v>
      </c>
      <c r="B146" s="109" t="s">
        <v>1180</v>
      </c>
      <c r="C146" s="109" t="s">
        <v>1181</v>
      </c>
      <c r="D146" s="109" t="s">
        <v>1182</v>
      </c>
      <c r="E146" s="109" t="s">
        <v>1183</v>
      </c>
      <c r="F146" s="109" t="s">
        <v>431</v>
      </c>
      <c r="G146" s="109" t="s">
        <v>1101</v>
      </c>
      <c r="H146" s="109" t="s">
        <v>63</v>
      </c>
      <c r="I146" s="109" t="s">
        <v>251</v>
      </c>
      <c r="J146" s="109" t="s">
        <v>401</v>
      </c>
      <c r="K146" s="109" t="s">
        <v>400</v>
      </c>
      <c r="N146" s="109" t="s">
        <v>1184</v>
      </c>
      <c r="O146" s="109" t="s">
        <v>403</v>
      </c>
      <c r="P146" s="109" t="s">
        <v>1185</v>
      </c>
      <c r="R146" s="109" t="s">
        <v>405</v>
      </c>
      <c r="S146" s="109" t="s">
        <v>1186</v>
      </c>
      <c r="T146" s="109" t="s">
        <v>1187</v>
      </c>
      <c r="U146" s="109" t="s">
        <v>1062</v>
      </c>
      <c r="V146" s="109" t="s">
        <v>1028</v>
      </c>
      <c r="W146" s="109" t="s">
        <v>1081</v>
      </c>
      <c r="X146" s="147"/>
      <c r="Y146" s="118"/>
    </row>
    <row r="147" spans="1:25" ht="13">
      <c r="A147" s="146">
        <v>43558.975779976856</v>
      </c>
      <c r="B147" s="109" t="s">
        <v>1188</v>
      </c>
      <c r="C147" s="109" t="s">
        <v>1189</v>
      </c>
      <c r="D147" s="109" t="s">
        <v>1190</v>
      </c>
      <c r="E147" s="109" t="s">
        <v>1191</v>
      </c>
      <c r="F147" s="109" t="s">
        <v>529</v>
      </c>
      <c r="G147" s="109" t="s">
        <v>1192</v>
      </c>
      <c r="H147" s="109" t="s">
        <v>63</v>
      </c>
      <c r="I147" s="109" t="s">
        <v>400</v>
      </c>
      <c r="J147" s="109" t="s">
        <v>251</v>
      </c>
      <c r="K147" s="109" t="s">
        <v>401</v>
      </c>
      <c r="L147" s="109" t="s">
        <v>163</v>
      </c>
      <c r="M147" s="109" t="s">
        <v>136</v>
      </c>
      <c r="N147" s="109" t="s">
        <v>1193</v>
      </c>
      <c r="O147" s="109" t="s">
        <v>117</v>
      </c>
      <c r="P147" s="109" t="s">
        <v>1194</v>
      </c>
      <c r="R147" s="109" t="s">
        <v>451</v>
      </c>
      <c r="S147" s="109" t="s">
        <v>1195</v>
      </c>
      <c r="T147" s="109" t="s">
        <v>1196</v>
      </c>
      <c r="U147" s="109" t="s">
        <v>1036</v>
      </c>
      <c r="V147" s="109" t="s">
        <v>1150</v>
      </c>
      <c r="W147" s="109" t="s">
        <v>1081</v>
      </c>
      <c r="X147" s="147"/>
      <c r="Y147" s="118"/>
    </row>
    <row r="148" spans="1:25" ht="13">
      <c r="A148" s="146">
        <v>43559.45062822917</v>
      </c>
      <c r="B148" s="109" t="s">
        <v>1197</v>
      </c>
      <c r="C148" s="109" t="s">
        <v>1198</v>
      </c>
      <c r="D148" s="109" t="s">
        <v>1199</v>
      </c>
      <c r="E148" s="109" t="s">
        <v>1200</v>
      </c>
      <c r="F148" s="109" t="s">
        <v>529</v>
      </c>
      <c r="G148" s="109" t="s">
        <v>1201</v>
      </c>
      <c r="H148" s="109" t="s">
        <v>63</v>
      </c>
      <c r="I148" s="109" t="s">
        <v>251</v>
      </c>
      <c r="J148" s="109" t="s">
        <v>400</v>
      </c>
      <c r="N148" s="109" t="s">
        <v>1202</v>
      </c>
      <c r="O148" s="109" t="s">
        <v>130</v>
      </c>
      <c r="P148" s="109" t="s">
        <v>1203</v>
      </c>
      <c r="R148" s="109" t="s">
        <v>405</v>
      </c>
      <c r="S148" s="109" t="s">
        <v>1204</v>
      </c>
      <c r="T148" s="109" t="s">
        <v>1205</v>
      </c>
      <c r="U148" s="109" t="s">
        <v>1027</v>
      </c>
      <c r="V148" s="109" t="s">
        <v>1150</v>
      </c>
      <c r="W148" s="109" t="s">
        <v>1206</v>
      </c>
      <c r="X148" s="147"/>
      <c r="Y148" s="118"/>
    </row>
    <row r="149" spans="1:25" ht="13">
      <c r="A149" s="146">
        <v>43559.490003969906</v>
      </c>
      <c r="B149" s="109" t="s">
        <v>1207</v>
      </c>
      <c r="C149" s="109" t="s">
        <v>631</v>
      </c>
      <c r="D149" s="109" t="s">
        <v>1208</v>
      </c>
      <c r="E149" s="109" t="s">
        <v>1209</v>
      </c>
      <c r="F149" s="109" t="s">
        <v>461</v>
      </c>
      <c r="G149" s="109" t="s">
        <v>1210</v>
      </c>
      <c r="H149" s="109" t="s">
        <v>63</v>
      </c>
      <c r="I149" s="109" t="s">
        <v>251</v>
      </c>
      <c r="J149" s="109" t="s">
        <v>400</v>
      </c>
      <c r="K149" s="109" t="s">
        <v>401</v>
      </c>
      <c r="L149" s="109" t="s">
        <v>163</v>
      </c>
      <c r="N149" s="109" t="s">
        <v>1211</v>
      </c>
      <c r="O149" s="109" t="s">
        <v>403</v>
      </c>
      <c r="P149" s="109" t="s">
        <v>1212</v>
      </c>
      <c r="R149" s="109" t="s">
        <v>405</v>
      </c>
      <c r="S149" s="109" t="s">
        <v>1213</v>
      </c>
      <c r="T149" s="109" t="s">
        <v>1214</v>
      </c>
      <c r="U149" s="109" t="s">
        <v>1036</v>
      </c>
      <c r="V149" s="109" t="s">
        <v>1150</v>
      </c>
      <c r="W149" s="109" t="s">
        <v>1215</v>
      </c>
      <c r="X149" s="147"/>
      <c r="Y149" s="118"/>
    </row>
    <row r="150" spans="1:25" ht="84">
      <c r="A150" s="146">
        <v>43560.447733368055</v>
      </c>
      <c r="B150" s="109" t="s">
        <v>1216</v>
      </c>
      <c r="C150" s="109" t="s">
        <v>1217</v>
      </c>
      <c r="D150" s="109" t="s">
        <v>1218</v>
      </c>
      <c r="F150" s="109" t="s">
        <v>431</v>
      </c>
      <c r="G150" s="109" t="s">
        <v>1219</v>
      </c>
      <c r="H150" s="109" t="s">
        <v>63</v>
      </c>
      <c r="I150" s="109" t="s">
        <v>401</v>
      </c>
      <c r="J150" s="109" t="s">
        <v>400</v>
      </c>
      <c r="K150" s="109" t="s">
        <v>251</v>
      </c>
      <c r="N150" s="109" t="s">
        <v>1220</v>
      </c>
      <c r="O150" s="109" t="s">
        <v>403</v>
      </c>
      <c r="P150" s="109" t="s">
        <v>1221</v>
      </c>
      <c r="R150" s="109" t="s">
        <v>405</v>
      </c>
      <c r="S150" s="109" t="s">
        <v>1222</v>
      </c>
      <c r="T150" s="109" t="s">
        <v>1223</v>
      </c>
      <c r="U150" s="109" t="s">
        <v>1027</v>
      </c>
      <c r="V150" s="109" t="s">
        <v>1028</v>
      </c>
      <c r="W150" s="109" t="s">
        <v>1081</v>
      </c>
      <c r="X150" s="147"/>
      <c r="Y150" s="144" t="s">
        <v>1224</v>
      </c>
    </row>
    <row r="151" spans="1:25" ht="13">
      <c r="A151" s="146">
        <v>43560.451810648148</v>
      </c>
      <c r="B151" s="109" t="s">
        <v>1225</v>
      </c>
      <c r="C151" s="109" t="s">
        <v>1226</v>
      </c>
      <c r="E151" s="109" t="s">
        <v>1227</v>
      </c>
      <c r="F151" s="109" t="s">
        <v>431</v>
      </c>
      <c r="G151" s="109" t="s">
        <v>1192</v>
      </c>
      <c r="H151" s="109" t="s">
        <v>63</v>
      </c>
      <c r="I151" s="109" t="s">
        <v>251</v>
      </c>
      <c r="J151" s="109" t="s">
        <v>400</v>
      </c>
      <c r="K151" s="109" t="s">
        <v>401</v>
      </c>
      <c r="N151" s="109" t="s">
        <v>1228</v>
      </c>
      <c r="O151" s="109" t="s">
        <v>403</v>
      </c>
      <c r="P151" s="109" t="s">
        <v>1230</v>
      </c>
      <c r="R151" s="109" t="s">
        <v>405</v>
      </c>
      <c r="S151" s="109" t="s">
        <v>1231</v>
      </c>
      <c r="T151" s="109" t="s">
        <v>1232</v>
      </c>
      <c r="U151" s="109" t="s">
        <v>1036</v>
      </c>
      <c r="V151" s="109" t="s">
        <v>1028</v>
      </c>
      <c r="W151" s="109" t="s">
        <v>1233</v>
      </c>
      <c r="X151" s="147"/>
      <c r="Y151" s="118"/>
    </row>
    <row r="152" spans="1:25" ht="13">
      <c r="A152" s="146">
        <v>43560.453126979162</v>
      </c>
      <c r="B152" s="109" t="s">
        <v>1234</v>
      </c>
      <c r="C152" s="109" t="s">
        <v>1235</v>
      </c>
      <c r="E152" s="109" t="s">
        <v>1236</v>
      </c>
      <c r="F152" s="109" t="s">
        <v>431</v>
      </c>
      <c r="G152" s="109" t="s">
        <v>1237</v>
      </c>
      <c r="H152" s="109" t="s">
        <v>63</v>
      </c>
      <c r="I152" s="109" t="s">
        <v>400</v>
      </c>
      <c r="J152" s="109" t="s">
        <v>251</v>
      </c>
      <c r="K152" s="109" t="s">
        <v>401</v>
      </c>
      <c r="L152" s="109" t="s">
        <v>136</v>
      </c>
      <c r="N152" s="109" t="s">
        <v>1238</v>
      </c>
      <c r="O152" s="109" t="s">
        <v>403</v>
      </c>
      <c r="R152" s="109" t="s">
        <v>451</v>
      </c>
      <c r="S152" s="109" t="s">
        <v>1239</v>
      </c>
      <c r="T152" s="109" t="s">
        <v>1240</v>
      </c>
      <c r="U152" s="109" t="s">
        <v>1027</v>
      </c>
      <c r="V152" s="109" t="s">
        <v>1028</v>
      </c>
      <c r="Y152" s="118"/>
    </row>
    <row r="153" spans="1:25" ht="13">
      <c r="A153" s="146">
        <v>43560.476459664351</v>
      </c>
      <c r="B153" s="109" t="s">
        <v>1241</v>
      </c>
      <c r="C153" s="109" t="s">
        <v>1242</v>
      </c>
      <c r="D153" s="109" t="s">
        <v>1243</v>
      </c>
      <c r="E153" s="109" t="s">
        <v>1244</v>
      </c>
      <c r="F153" s="109" t="s">
        <v>529</v>
      </c>
      <c r="G153" s="109" t="s">
        <v>1219</v>
      </c>
      <c r="H153" s="109" t="s">
        <v>63</v>
      </c>
      <c r="I153" s="109" t="s">
        <v>400</v>
      </c>
      <c r="J153" s="109" t="s">
        <v>401</v>
      </c>
      <c r="N153" s="109" t="s">
        <v>1245</v>
      </c>
      <c r="O153" s="109" t="s">
        <v>130</v>
      </c>
      <c r="P153" s="109" t="s">
        <v>1246</v>
      </c>
      <c r="R153" s="109" t="s">
        <v>405</v>
      </c>
      <c r="S153" s="109" t="s">
        <v>1247</v>
      </c>
      <c r="T153" s="109" t="s">
        <v>1248</v>
      </c>
      <c r="U153" s="109" t="s">
        <v>1062</v>
      </c>
      <c r="V153" s="109" t="s">
        <v>1249</v>
      </c>
      <c r="W153" s="109" t="s">
        <v>1081</v>
      </c>
      <c r="X153" s="147"/>
      <c r="Y153" s="118"/>
    </row>
    <row r="154" spans="1:25" ht="13">
      <c r="A154" s="146">
        <v>43560.507335983799</v>
      </c>
      <c r="B154" s="109" t="s">
        <v>1250</v>
      </c>
      <c r="C154" s="109" t="s">
        <v>1251</v>
      </c>
      <c r="E154" s="109" t="s">
        <v>1252</v>
      </c>
      <c r="F154" s="109" t="s">
        <v>1021</v>
      </c>
      <c r="G154" s="109" t="s">
        <v>1022</v>
      </c>
      <c r="H154" s="109" t="s">
        <v>63</v>
      </c>
      <c r="I154" s="109" t="s">
        <v>251</v>
      </c>
      <c r="J154" s="109" t="s">
        <v>400</v>
      </c>
      <c r="K154" s="109" t="s">
        <v>163</v>
      </c>
      <c r="N154" s="109" t="s">
        <v>1253</v>
      </c>
      <c r="O154" s="109" t="s">
        <v>403</v>
      </c>
      <c r="P154" s="109" t="s">
        <v>1254</v>
      </c>
      <c r="R154" s="109" t="s">
        <v>451</v>
      </c>
      <c r="S154" s="109" t="s">
        <v>1255</v>
      </c>
      <c r="T154" s="109" t="s">
        <v>1256</v>
      </c>
      <c r="U154" s="109" t="s">
        <v>1027</v>
      </c>
      <c r="V154" s="109" t="s">
        <v>1091</v>
      </c>
      <c r="W154" s="109" t="s">
        <v>1257</v>
      </c>
      <c r="X154" s="147"/>
      <c r="Y154" s="118"/>
    </row>
    <row r="155" spans="1:25" ht="13">
      <c r="A155" s="146">
        <v>43560.650320497683</v>
      </c>
      <c r="B155" s="109" t="s">
        <v>1258</v>
      </c>
      <c r="C155" s="109" t="s">
        <v>1259</v>
      </c>
      <c r="E155" s="109" t="s">
        <v>1260</v>
      </c>
      <c r="F155" s="109" t="s">
        <v>447</v>
      </c>
      <c r="G155" s="109" t="s">
        <v>1261</v>
      </c>
      <c r="H155" s="109" t="s">
        <v>63</v>
      </c>
      <c r="I155" s="109" t="s">
        <v>251</v>
      </c>
      <c r="N155" s="109" t="s">
        <v>1262</v>
      </c>
      <c r="O155" s="109" t="s">
        <v>130</v>
      </c>
      <c r="P155" s="109" t="s">
        <v>1263</v>
      </c>
      <c r="R155" s="109" t="s">
        <v>405</v>
      </c>
      <c r="S155" s="109" t="s">
        <v>1264</v>
      </c>
      <c r="T155" s="109" t="s">
        <v>1265</v>
      </c>
      <c r="U155" s="109" t="s">
        <v>1133</v>
      </c>
      <c r="V155" s="109" t="s">
        <v>1028</v>
      </c>
      <c r="Y155" s="118"/>
    </row>
    <row r="156" spans="1:25" ht="13">
      <c r="A156" s="146">
        <v>43560.80082045139</v>
      </c>
      <c r="B156" s="109" t="s">
        <v>1266</v>
      </c>
      <c r="C156" s="109" t="s">
        <v>1267</v>
      </c>
      <c r="D156" s="109" t="s">
        <v>1268</v>
      </c>
      <c r="E156" s="109" t="s">
        <v>1269</v>
      </c>
      <c r="F156" s="109" t="s">
        <v>701</v>
      </c>
      <c r="G156" s="109" t="s">
        <v>1219</v>
      </c>
      <c r="H156" s="109" t="s">
        <v>63</v>
      </c>
      <c r="I156" s="109" t="s">
        <v>400</v>
      </c>
      <c r="J156" s="109" t="s">
        <v>251</v>
      </c>
      <c r="K156" s="109" t="s">
        <v>136</v>
      </c>
      <c r="L156" s="109" t="s">
        <v>163</v>
      </c>
      <c r="M156" s="109" t="s">
        <v>401</v>
      </c>
      <c r="O156" s="109" t="s">
        <v>403</v>
      </c>
      <c r="R156" s="109" t="s">
        <v>405</v>
      </c>
      <c r="S156" s="109" t="s">
        <v>1270</v>
      </c>
      <c r="U156" s="109" t="s">
        <v>1036</v>
      </c>
      <c r="V156" s="109" t="s">
        <v>1028</v>
      </c>
      <c r="Y156" s="118"/>
    </row>
    <row r="157" spans="1:25" ht="13">
      <c r="A157" s="146">
        <v>43560.842058738424</v>
      </c>
      <c r="B157" s="109" t="s">
        <v>1271</v>
      </c>
      <c r="C157" s="109" t="s">
        <v>1272</v>
      </c>
      <c r="D157" s="109" t="s">
        <v>1273</v>
      </c>
      <c r="E157" s="109" t="s">
        <v>1274</v>
      </c>
      <c r="F157" s="109" t="s">
        <v>492</v>
      </c>
      <c r="G157" s="109" t="s">
        <v>1077</v>
      </c>
      <c r="H157" s="109" t="s">
        <v>202</v>
      </c>
      <c r="I157" s="109" t="s">
        <v>136</v>
      </c>
      <c r="N157" s="109" t="s">
        <v>1275</v>
      </c>
      <c r="O157" s="109" t="s">
        <v>130</v>
      </c>
      <c r="P157" s="109" t="s">
        <v>1276</v>
      </c>
      <c r="R157" s="109" t="s">
        <v>442</v>
      </c>
      <c r="S157" s="109" t="s">
        <v>1277</v>
      </c>
      <c r="T157" s="109" t="s">
        <v>1278</v>
      </c>
      <c r="U157" s="109" t="s">
        <v>1097</v>
      </c>
      <c r="V157" s="109" t="s">
        <v>1091</v>
      </c>
      <c r="W157" s="109" t="s">
        <v>1104</v>
      </c>
      <c r="X157" s="147"/>
      <c r="Y157" s="118"/>
    </row>
    <row r="158" spans="1:25" ht="13">
      <c r="A158" s="146">
        <v>43560.988255763892</v>
      </c>
      <c r="B158" s="109" t="s">
        <v>1279</v>
      </c>
      <c r="C158" s="109" t="s">
        <v>1280</v>
      </c>
      <c r="D158" s="109" t="s">
        <v>1281</v>
      </c>
      <c r="E158" s="109" t="s">
        <v>1282</v>
      </c>
      <c r="F158" s="109" t="s">
        <v>529</v>
      </c>
      <c r="G158" s="109" t="s">
        <v>1022</v>
      </c>
      <c r="H158" s="109" t="s">
        <v>63</v>
      </c>
      <c r="I158" s="109" t="s">
        <v>400</v>
      </c>
      <c r="J158" s="86" t="s">
        <v>251</v>
      </c>
      <c r="K158" s="109" t="s">
        <v>401</v>
      </c>
      <c r="N158" s="109" t="s">
        <v>1283</v>
      </c>
      <c r="O158" s="109" t="s">
        <v>403</v>
      </c>
      <c r="P158" s="109" t="s">
        <v>1284</v>
      </c>
      <c r="R158" s="109" t="s">
        <v>451</v>
      </c>
      <c r="S158" s="109" t="s">
        <v>1285</v>
      </c>
      <c r="T158" s="109" t="s">
        <v>1286</v>
      </c>
      <c r="U158" s="109" t="s">
        <v>1036</v>
      </c>
      <c r="V158" s="109" t="s">
        <v>1150</v>
      </c>
      <c r="Y158" s="118"/>
    </row>
    <row r="159" spans="1:25" ht="13">
      <c r="A159" s="146">
        <v>43562.748761192124</v>
      </c>
      <c r="B159" s="109" t="s">
        <v>1287</v>
      </c>
      <c r="C159" s="109" t="s">
        <v>1288</v>
      </c>
      <c r="D159" s="109" t="s">
        <v>1289</v>
      </c>
      <c r="E159" s="109" t="s">
        <v>1290</v>
      </c>
      <c r="F159" s="109" t="s">
        <v>461</v>
      </c>
      <c r="G159" s="109" t="s">
        <v>1049</v>
      </c>
      <c r="H159" s="109" t="s">
        <v>202</v>
      </c>
      <c r="I159" s="109" t="s">
        <v>401</v>
      </c>
      <c r="O159" s="109" t="s">
        <v>117</v>
      </c>
      <c r="P159" s="109" t="s">
        <v>1291</v>
      </c>
      <c r="R159" s="109" t="s">
        <v>451</v>
      </c>
      <c r="U159" s="109" t="s">
        <v>1292</v>
      </c>
      <c r="V159" s="109" t="s">
        <v>1293</v>
      </c>
      <c r="W159" s="109" t="s">
        <v>1081</v>
      </c>
      <c r="X159" s="147"/>
      <c r="Y159" s="118"/>
    </row>
    <row r="160" spans="1:25" ht="13">
      <c r="A160" s="146">
        <v>43563.398272280094</v>
      </c>
      <c r="B160" s="109" t="s">
        <v>1294</v>
      </c>
      <c r="C160" s="109" t="s">
        <v>1295</v>
      </c>
      <c r="D160" s="109" t="s">
        <v>1296</v>
      </c>
      <c r="E160" s="109" t="s">
        <v>1297</v>
      </c>
      <c r="F160" s="109" t="s">
        <v>492</v>
      </c>
      <c r="G160" s="109" t="s">
        <v>1219</v>
      </c>
      <c r="H160" s="109" t="s">
        <v>63</v>
      </c>
      <c r="I160" s="109" t="s">
        <v>401</v>
      </c>
      <c r="J160" s="109" t="s">
        <v>400</v>
      </c>
      <c r="K160" s="109" t="s">
        <v>136</v>
      </c>
      <c r="N160" s="109" t="s">
        <v>267</v>
      </c>
      <c r="O160" s="109" t="s">
        <v>403</v>
      </c>
      <c r="P160" s="109" t="s">
        <v>1298</v>
      </c>
      <c r="R160" s="109" t="s">
        <v>451</v>
      </c>
      <c r="S160" s="109" t="s">
        <v>1299</v>
      </c>
      <c r="T160" s="109" t="s">
        <v>1300</v>
      </c>
      <c r="U160" s="109" t="s">
        <v>1097</v>
      </c>
      <c r="V160" s="109" t="s">
        <v>1301</v>
      </c>
      <c r="W160" s="109" t="s">
        <v>1104</v>
      </c>
      <c r="X160" s="147"/>
      <c r="Y160" s="118"/>
    </row>
    <row r="161" spans="1:25" ht="13">
      <c r="A161" s="146">
        <v>43563.560402824078</v>
      </c>
      <c r="B161" s="109" t="s">
        <v>1302</v>
      </c>
      <c r="C161" s="109" t="s">
        <v>665</v>
      </c>
      <c r="D161" s="109" t="s">
        <v>1303</v>
      </c>
      <c r="E161" s="109" t="s">
        <v>1304</v>
      </c>
      <c r="F161" s="109" t="s">
        <v>1068</v>
      </c>
      <c r="G161" s="109" t="s">
        <v>1210</v>
      </c>
      <c r="H161" s="109" t="s">
        <v>63</v>
      </c>
      <c r="I161" s="109" t="s">
        <v>251</v>
      </c>
      <c r="J161" s="109" t="s">
        <v>400</v>
      </c>
      <c r="K161" s="109" t="s">
        <v>401</v>
      </c>
      <c r="N161" s="109" t="s">
        <v>1305</v>
      </c>
      <c r="O161" s="109" t="s">
        <v>130</v>
      </c>
      <c r="P161" s="109" t="s">
        <v>1306</v>
      </c>
      <c r="R161" s="109" t="s">
        <v>451</v>
      </c>
      <c r="S161" s="109" t="s">
        <v>1307</v>
      </c>
      <c r="T161" s="109" t="s">
        <v>1308</v>
      </c>
      <c r="U161" s="109" t="s">
        <v>1133</v>
      </c>
      <c r="V161" s="109" t="s">
        <v>1028</v>
      </c>
      <c r="Y161" s="118"/>
    </row>
    <row r="162" spans="1:25" ht="13">
      <c r="A162" s="146">
        <v>43563.618470231479</v>
      </c>
      <c r="B162" s="109" t="s">
        <v>1309</v>
      </c>
      <c r="C162" s="109" t="s">
        <v>1310</v>
      </c>
      <c r="E162" s="109" t="s">
        <v>1311</v>
      </c>
      <c r="F162" s="109" t="s">
        <v>447</v>
      </c>
      <c r="G162" s="109" t="s">
        <v>1049</v>
      </c>
      <c r="H162" s="109" t="s">
        <v>63</v>
      </c>
      <c r="I162" s="109" t="s">
        <v>163</v>
      </c>
      <c r="J162" s="109" t="s">
        <v>401</v>
      </c>
      <c r="K162" s="109" t="s">
        <v>251</v>
      </c>
      <c r="O162" s="109" t="s">
        <v>130</v>
      </c>
      <c r="P162" s="109" t="s">
        <v>1312</v>
      </c>
      <c r="R162" s="109" t="s">
        <v>405</v>
      </c>
      <c r="S162" s="109" t="s">
        <v>1313</v>
      </c>
      <c r="T162" s="109" t="s">
        <v>1314</v>
      </c>
      <c r="U162" s="109" t="s">
        <v>1133</v>
      </c>
      <c r="V162" s="109" t="s">
        <v>1028</v>
      </c>
      <c r="Y162" s="118"/>
    </row>
    <row r="163" spans="1:25" ht="13">
      <c r="A163" s="146">
        <v>43564.417590173616</v>
      </c>
      <c r="B163" s="109" t="s">
        <v>1315</v>
      </c>
      <c r="C163" s="109" t="s">
        <v>1316</v>
      </c>
      <c r="D163" s="109" t="s">
        <v>1317</v>
      </c>
      <c r="E163" s="109" t="s">
        <v>1318</v>
      </c>
      <c r="F163" s="109" t="s">
        <v>492</v>
      </c>
      <c r="G163" s="109" t="s">
        <v>1210</v>
      </c>
      <c r="H163" s="109" t="s">
        <v>63</v>
      </c>
      <c r="I163" s="109" t="s">
        <v>251</v>
      </c>
      <c r="J163" s="109" t="s">
        <v>400</v>
      </c>
      <c r="K163" s="109" t="s">
        <v>401</v>
      </c>
      <c r="L163" s="109" t="s">
        <v>163</v>
      </c>
      <c r="M163" s="109" t="s">
        <v>136</v>
      </c>
      <c r="N163" s="109" t="s">
        <v>1319</v>
      </c>
      <c r="O163" s="109" t="s">
        <v>130</v>
      </c>
      <c r="P163" s="109" t="s">
        <v>1320</v>
      </c>
      <c r="R163" s="109" t="s">
        <v>405</v>
      </c>
      <c r="S163" s="109" t="s">
        <v>1321</v>
      </c>
      <c r="T163" s="109" t="s">
        <v>1322</v>
      </c>
      <c r="U163" s="109" t="s">
        <v>1027</v>
      </c>
      <c r="V163" s="109" t="s">
        <v>1091</v>
      </c>
      <c r="W163" s="109" t="s">
        <v>1104</v>
      </c>
      <c r="X163" s="147"/>
      <c r="Y163" s="118"/>
    </row>
    <row r="164" spans="1:25" ht="13">
      <c r="A164" s="146">
        <v>43564.419600335648</v>
      </c>
      <c r="B164" s="109" t="s">
        <v>1323</v>
      </c>
      <c r="C164" s="109" t="s">
        <v>1324</v>
      </c>
      <c r="E164" s="109" t="s">
        <v>1325</v>
      </c>
      <c r="F164" s="109" t="s">
        <v>447</v>
      </c>
      <c r="G164" s="109" t="s">
        <v>1326</v>
      </c>
      <c r="H164" s="109" t="s">
        <v>202</v>
      </c>
      <c r="I164" s="109" t="s">
        <v>400</v>
      </c>
      <c r="J164" s="109" t="s">
        <v>251</v>
      </c>
      <c r="K164" s="109" t="s">
        <v>163</v>
      </c>
      <c r="L164" s="109" t="s">
        <v>136</v>
      </c>
      <c r="M164" s="109" t="s">
        <v>401</v>
      </c>
      <c r="N164" s="109" t="s">
        <v>1327</v>
      </c>
      <c r="O164" s="109" t="s">
        <v>130</v>
      </c>
      <c r="U164" s="109" t="s">
        <v>1097</v>
      </c>
      <c r="V164" s="109" t="s">
        <v>1028</v>
      </c>
      <c r="Y164" s="118"/>
    </row>
    <row r="165" spans="1:25" ht="13">
      <c r="A165" s="146">
        <v>43564.493346400464</v>
      </c>
      <c r="B165" s="109" t="s">
        <v>1328</v>
      </c>
      <c r="C165" s="109" t="s">
        <v>599</v>
      </c>
      <c r="D165" s="109" t="s">
        <v>1329</v>
      </c>
      <c r="E165" s="109" t="s">
        <v>1330</v>
      </c>
      <c r="F165" s="109" t="s">
        <v>492</v>
      </c>
      <c r="G165" s="109" t="s">
        <v>1331</v>
      </c>
      <c r="H165" s="109" t="s">
        <v>63</v>
      </c>
      <c r="I165" s="109" t="s">
        <v>400</v>
      </c>
      <c r="J165" s="109" t="s">
        <v>251</v>
      </c>
      <c r="K165" s="109" t="s">
        <v>401</v>
      </c>
      <c r="N165" s="109" t="s">
        <v>1332</v>
      </c>
      <c r="O165" s="109" t="s">
        <v>403</v>
      </c>
      <c r="P165" s="109" t="s">
        <v>1333</v>
      </c>
      <c r="R165" s="109" t="s">
        <v>405</v>
      </c>
      <c r="S165" s="109" t="s">
        <v>1334</v>
      </c>
      <c r="T165" s="109" t="s">
        <v>1335</v>
      </c>
      <c r="U165" s="109" t="s">
        <v>1036</v>
      </c>
      <c r="V165" s="109" t="s">
        <v>1091</v>
      </c>
      <c r="W165" s="109" t="s">
        <v>1104</v>
      </c>
      <c r="X165" s="147"/>
      <c r="Y165" s="118"/>
    </row>
    <row r="166" spans="1:25" ht="13">
      <c r="A166" s="146">
        <v>43564.694213055554</v>
      </c>
      <c r="B166" s="109" t="s">
        <v>1336</v>
      </c>
      <c r="C166" s="109" t="s">
        <v>547</v>
      </c>
      <c r="D166" s="109" t="s">
        <v>1337</v>
      </c>
      <c r="E166" s="109" t="s">
        <v>1338</v>
      </c>
      <c r="F166" s="109" t="s">
        <v>431</v>
      </c>
      <c r="G166" s="109" t="s">
        <v>1219</v>
      </c>
      <c r="H166" s="109" t="s">
        <v>63</v>
      </c>
      <c r="I166" s="109" t="s">
        <v>400</v>
      </c>
      <c r="J166" s="109" t="s">
        <v>251</v>
      </c>
      <c r="K166" s="109" t="s">
        <v>163</v>
      </c>
      <c r="L166" s="109" t="s">
        <v>401</v>
      </c>
      <c r="M166" s="109" t="s">
        <v>136</v>
      </c>
      <c r="N166" s="109" t="s">
        <v>1339</v>
      </c>
      <c r="O166" s="109" t="s">
        <v>117</v>
      </c>
      <c r="P166" s="109" t="s">
        <v>1340</v>
      </c>
      <c r="R166" s="109" t="s">
        <v>405</v>
      </c>
      <c r="S166" s="109" t="s">
        <v>1341</v>
      </c>
      <c r="T166" s="109" t="s">
        <v>1342</v>
      </c>
      <c r="U166" s="109" t="s">
        <v>1133</v>
      </c>
      <c r="V166" s="109" t="s">
        <v>1028</v>
      </c>
      <c r="W166" s="109" t="s">
        <v>1081</v>
      </c>
      <c r="X166" s="147"/>
      <c r="Y166" s="118"/>
    </row>
    <row r="167" spans="1:25" ht="13">
      <c r="A167" s="146">
        <v>43564.71066725695</v>
      </c>
      <c r="B167" s="109" t="s">
        <v>1343</v>
      </c>
      <c r="C167" s="109" t="s">
        <v>1344</v>
      </c>
      <c r="D167" s="109" t="s">
        <v>1345</v>
      </c>
      <c r="E167" s="109" t="s">
        <v>1346</v>
      </c>
      <c r="F167" s="109" t="s">
        <v>492</v>
      </c>
      <c r="G167" s="109" t="s">
        <v>1101</v>
      </c>
      <c r="H167" s="109" t="s">
        <v>63</v>
      </c>
      <c r="I167" s="109" t="s">
        <v>400</v>
      </c>
      <c r="J167" s="109" t="s">
        <v>251</v>
      </c>
      <c r="K167" s="109" t="s">
        <v>401</v>
      </c>
      <c r="L167" s="109" t="s">
        <v>163</v>
      </c>
      <c r="M167" s="109" t="s">
        <v>136</v>
      </c>
      <c r="O167" s="109" t="s">
        <v>130</v>
      </c>
      <c r="P167" s="109" t="s">
        <v>123</v>
      </c>
      <c r="R167" s="109" t="s">
        <v>405</v>
      </c>
      <c r="S167" s="109" t="s">
        <v>1347</v>
      </c>
      <c r="T167" s="109" t="s">
        <v>104</v>
      </c>
      <c r="U167" s="109" t="s">
        <v>1053</v>
      </c>
      <c r="V167" s="109" t="s">
        <v>1028</v>
      </c>
      <c r="W167" s="109" t="s">
        <v>1104</v>
      </c>
      <c r="X167" s="147"/>
      <c r="Y167" s="118"/>
    </row>
    <row r="168" spans="1:25" ht="13">
      <c r="A168" s="146">
        <v>43564.760435601856</v>
      </c>
      <c r="B168" s="109" t="s">
        <v>1348</v>
      </c>
      <c r="C168" s="109" t="s">
        <v>1349</v>
      </c>
      <c r="D168" s="109" t="s">
        <v>1350</v>
      </c>
      <c r="E168" s="109" t="s">
        <v>1351</v>
      </c>
      <c r="F168" s="109" t="s">
        <v>492</v>
      </c>
      <c r="G168" s="109" t="s">
        <v>1352</v>
      </c>
      <c r="H168" s="109" t="s">
        <v>202</v>
      </c>
      <c r="I168" s="109" t="s">
        <v>401</v>
      </c>
      <c r="J168" s="109" t="s">
        <v>400</v>
      </c>
      <c r="K168" s="109" t="s">
        <v>251</v>
      </c>
      <c r="L168" s="109" t="s">
        <v>136</v>
      </c>
      <c r="M168" s="109" t="s">
        <v>163</v>
      </c>
      <c r="N168" s="109" t="s">
        <v>1353</v>
      </c>
      <c r="O168" s="109" t="s">
        <v>117</v>
      </c>
      <c r="P168" s="109" t="s">
        <v>1203</v>
      </c>
      <c r="R168" s="109" t="s">
        <v>451</v>
      </c>
      <c r="T168" s="109" t="s">
        <v>1354</v>
      </c>
      <c r="U168" s="109" t="s">
        <v>1027</v>
      </c>
      <c r="V168" s="109" t="s">
        <v>1091</v>
      </c>
      <c r="W168" s="109" t="s">
        <v>1104</v>
      </c>
      <c r="X168" s="147"/>
      <c r="Y168" s="118"/>
    </row>
    <row r="169" spans="1:25" ht="13">
      <c r="A169" s="146">
        <v>43565.619957071758</v>
      </c>
      <c r="B169" s="109" t="s">
        <v>1355</v>
      </c>
      <c r="C169" s="109" t="s">
        <v>1356</v>
      </c>
      <c r="D169" s="109" t="s">
        <v>1357</v>
      </c>
      <c r="E169" s="109" t="s">
        <v>1358</v>
      </c>
      <c r="F169" s="109" t="s">
        <v>701</v>
      </c>
      <c r="G169" s="109" t="s">
        <v>1210</v>
      </c>
      <c r="H169" s="109" t="s">
        <v>202</v>
      </c>
      <c r="I169" s="109" t="s">
        <v>163</v>
      </c>
      <c r="J169" s="109" t="s">
        <v>251</v>
      </c>
      <c r="K169" s="109" t="s">
        <v>401</v>
      </c>
      <c r="O169" s="109" t="s">
        <v>403</v>
      </c>
      <c r="P169" s="109" t="s">
        <v>1359</v>
      </c>
      <c r="R169" s="109" t="s">
        <v>442</v>
      </c>
      <c r="S169" s="109" t="s">
        <v>1360</v>
      </c>
      <c r="T169" s="109" t="s">
        <v>1203</v>
      </c>
      <c r="U169" s="109" t="s">
        <v>1053</v>
      </c>
      <c r="V169" s="109" t="s">
        <v>1293</v>
      </c>
      <c r="Y169" s="118"/>
    </row>
    <row r="170" spans="1:25" ht="13">
      <c r="A170" s="146">
        <v>43566.039650381943</v>
      </c>
      <c r="B170" s="109" t="s">
        <v>1361</v>
      </c>
      <c r="C170" s="109" t="s">
        <v>1362</v>
      </c>
      <c r="E170" s="109" t="s">
        <v>1363</v>
      </c>
      <c r="F170" s="109" t="s">
        <v>1068</v>
      </c>
      <c r="G170" s="109" t="s">
        <v>1364</v>
      </c>
      <c r="H170" s="109" t="s">
        <v>63</v>
      </c>
      <c r="I170" s="109" t="s">
        <v>251</v>
      </c>
      <c r="J170" s="109" t="s">
        <v>163</v>
      </c>
      <c r="K170" s="109" t="s">
        <v>400</v>
      </c>
      <c r="L170" s="109" t="s">
        <v>401</v>
      </c>
      <c r="M170" s="109" t="s">
        <v>136</v>
      </c>
      <c r="N170" s="109" t="s">
        <v>1365</v>
      </c>
      <c r="O170" s="109" t="s">
        <v>403</v>
      </c>
      <c r="P170" s="109" t="s">
        <v>1366</v>
      </c>
      <c r="R170" s="109" t="s">
        <v>451</v>
      </c>
      <c r="S170" s="109" t="s">
        <v>1367</v>
      </c>
      <c r="T170" s="109" t="s">
        <v>1366</v>
      </c>
      <c r="U170" s="109" t="s">
        <v>1062</v>
      </c>
      <c r="V170" s="109" t="s">
        <v>1091</v>
      </c>
      <c r="W170" s="109" t="s">
        <v>1104</v>
      </c>
      <c r="X170" s="147"/>
      <c r="Y170" s="118"/>
    </row>
    <row r="171" spans="1:25" ht="13">
      <c r="A171" s="146">
        <v>43566.525071446755</v>
      </c>
      <c r="B171" s="109" t="s">
        <v>1368</v>
      </c>
      <c r="C171" s="109" t="s">
        <v>1369</v>
      </c>
      <c r="E171" s="109" t="s">
        <v>1370</v>
      </c>
      <c r="F171" s="109" t="s">
        <v>418</v>
      </c>
      <c r="G171" s="109" t="s">
        <v>1371</v>
      </c>
      <c r="H171" s="109" t="s">
        <v>63</v>
      </c>
      <c r="I171" s="109" t="s">
        <v>251</v>
      </c>
      <c r="J171" s="109" t="s">
        <v>400</v>
      </c>
      <c r="K171" s="109" t="s">
        <v>401</v>
      </c>
      <c r="L171" s="109" t="s">
        <v>163</v>
      </c>
      <c r="M171" s="109" t="s">
        <v>136</v>
      </c>
      <c r="N171" s="109" t="s">
        <v>1372</v>
      </c>
      <c r="O171" s="109" t="s">
        <v>403</v>
      </c>
      <c r="P171" s="109" t="s">
        <v>1373</v>
      </c>
      <c r="R171" s="109" t="s">
        <v>451</v>
      </c>
      <c r="U171" s="109" t="s">
        <v>1062</v>
      </c>
      <c r="V171" s="109" t="s">
        <v>1028</v>
      </c>
      <c r="Y171" s="118"/>
    </row>
    <row r="172" spans="1:25" ht="13">
      <c r="A172" s="146">
        <v>43566.667404039355</v>
      </c>
      <c r="B172" s="109" t="s">
        <v>1374</v>
      </c>
      <c r="C172" s="109" t="s">
        <v>1375</v>
      </c>
      <c r="D172" s="109" t="s">
        <v>1376</v>
      </c>
      <c r="E172" s="109" t="s">
        <v>1377</v>
      </c>
      <c r="F172" s="109" t="s">
        <v>431</v>
      </c>
      <c r="G172" s="109" t="s">
        <v>1210</v>
      </c>
      <c r="H172" s="109" t="s">
        <v>63</v>
      </c>
      <c r="I172" s="109" t="s">
        <v>400</v>
      </c>
      <c r="J172" s="109" t="s">
        <v>136</v>
      </c>
      <c r="K172" s="109" t="s">
        <v>401</v>
      </c>
      <c r="L172" s="109" t="s">
        <v>251</v>
      </c>
      <c r="M172" s="109" t="s">
        <v>163</v>
      </c>
      <c r="N172" s="109" t="s">
        <v>1378</v>
      </c>
      <c r="O172" s="109" t="s">
        <v>117</v>
      </c>
      <c r="R172" s="109" t="s">
        <v>405</v>
      </c>
      <c r="S172" s="109" t="s">
        <v>1379</v>
      </c>
      <c r="T172" s="109" t="s">
        <v>1380</v>
      </c>
      <c r="U172" s="109" t="s">
        <v>1027</v>
      </c>
      <c r="V172" s="109" t="s">
        <v>1028</v>
      </c>
      <c r="W172" s="109" t="s">
        <v>1381</v>
      </c>
      <c r="X172" s="147"/>
      <c r="Y172" s="118"/>
    </row>
    <row r="173" spans="1:25" ht="13">
      <c r="A173" s="146">
        <v>43566.962538495369</v>
      </c>
      <c r="B173" s="109" t="s">
        <v>1382</v>
      </c>
      <c r="C173" s="109" t="s">
        <v>1383</v>
      </c>
      <c r="D173" s="109" t="s">
        <v>1384</v>
      </c>
      <c r="E173" s="109" t="s">
        <v>1385</v>
      </c>
      <c r="F173" s="109" t="s">
        <v>418</v>
      </c>
      <c r="G173" s="109" t="s">
        <v>1219</v>
      </c>
      <c r="H173" s="109" t="s">
        <v>63</v>
      </c>
      <c r="I173" s="109" t="s">
        <v>400</v>
      </c>
      <c r="J173" s="86" t="s">
        <v>251</v>
      </c>
      <c r="K173" s="86" t="s">
        <v>163</v>
      </c>
      <c r="N173" s="109" t="s">
        <v>1386</v>
      </c>
      <c r="O173" s="109" t="s">
        <v>403</v>
      </c>
      <c r="P173" s="109" t="s">
        <v>1387</v>
      </c>
      <c r="R173" s="109" t="s">
        <v>405</v>
      </c>
      <c r="S173" s="109" t="s">
        <v>1388</v>
      </c>
      <c r="U173" s="109" t="s">
        <v>1036</v>
      </c>
      <c r="V173" s="109" t="s">
        <v>1028</v>
      </c>
      <c r="W173" s="109" t="s">
        <v>1389</v>
      </c>
      <c r="X173" s="147"/>
      <c r="Y173" s="118"/>
    </row>
    <row r="174" spans="1:25" ht="13">
      <c r="A174" s="146">
        <v>43567.678186712961</v>
      </c>
      <c r="B174" s="109" t="s">
        <v>1390</v>
      </c>
      <c r="C174" s="109" t="s">
        <v>1391</v>
      </c>
      <c r="D174" s="109" t="s">
        <v>1392</v>
      </c>
      <c r="E174" s="109" t="s">
        <v>1393</v>
      </c>
      <c r="F174" s="109" t="s">
        <v>492</v>
      </c>
      <c r="G174" s="109" t="s">
        <v>1219</v>
      </c>
      <c r="H174" s="109" t="s">
        <v>63</v>
      </c>
      <c r="I174" s="109" t="s">
        <v>251</v>
      </c>
      <c r="J174" s="109" t="s">
        <v>400</v>
      </c>
      <c r="N174" s="109" t="s">
        <v>1394</v>
      </c>
      <c r="O174" s="109" t="s">
        <v>130</v>
      </c>
      <c r="P174" s="109" t="s">
        <v>1395</v>
      </c>
      <c r="R174" s="109" t="s">
        <v>405</v>
      </c>
      <c r="T174" s="109" t="s">
        <v>1396</v>
      </c>
      <c r="U174" s="109" t="s">
        <v>1027</v>
      </c>
      <c r="V174" s="109" t="s">
        <v>1091</v>
      </c>
      <c r="W174" s="109" t="s">
        <v>1104</v>
      </c>
      <c r="X174" s="147"/>
      <c r="Y174" s="118"/>
    </row>
    <row r="175" spans="1:25" ht="13">
      <c r="A175" s="146">
        <v>43567.926450092593</v>
      </c>
      <c r="B175" s="109" t="s">
        <v>758</v>
      </c>
      <c r="C175" s="109" t="s">
        <v>1397</v>
      </c>
      <c r="D175" s="109" t="s">
        <v>1398</v>
      </c>
      <c r="E175" s="109" t="s">
        <v>760</v>
      </c>
      <c r="F175" s="109" t="s">
        <v>461</v>
      </c>
      <c r="G175" s="109" t="s">
        <v>1399</v>
      </c>
      <c r="H175" s="109" t="s">
        <v>63</v>
      </c>
      <c r="I175" s="109" t="s">
        <v>251</v>
      </c>
      <c r="J175" s="109" t="s">
        <v>400</v>
      </c>
      <c r="K175" s="109" t="s">
        <v>401</v>
      </c>
      <c r="L175" s="109" t="s">
        <v>163</v>
      </c>
      <c r="N175" s="109" t="s">
        <v>1400</v>
      </c>
      <c r="O175" s="109" t="s">
        <v>117</v>
      </c>
      <c r="P175" s="109" t="s">
        <v>1401</v>
      </c>
      <c r="R175" s="109" t="s">
        <v>405</v>
      </c>
      <c r="S175" s="109" t="s">
        <v>1402</v>
      </c>
      <c r="T175" s="109" t="s">
        <v>1403</v>
      </c>
      <c r="U175" s="109" t="s">
        <v>1097</v>
      </c>
      <c r="V175" s="109" t="s">
        <v>1028</v>
      </c>
      <c r="W175" s="109" t="s">
        <v>1404</v>
      </c>
      <c r="X175" s="147"/>
      <c r="Y175" s="118"/>
    </row>
    <row r="176" spans="1:25" ht="13">
      <c r="A176" s="146">
        <v>43568.82464288194</v>
      </c>
      <c r="B176" s="109" t="s">
        <v>1405</v>
      </c>
      <c r="C176" s="109" t="s">
        <v>1406</v>
      </c>
      <c r="D176" s="109" t="s">
        <v>1407</v>
      </c>
      <c r="E176" s="109" t="s">
        <v>1408</v>
      </c>
      <c r="F176" s="109" t="s">
        <v>1409</v>
      </c>
      <c r="G176" s="109" t="s">
        <v>1410</v>
      </c>
      <c r="H176" s="109" t="s">
        <v>63</v>
      </c>
      <c r="I176" s="109" t="s">
        <v>401</v>
      </c>
      <c r="J176" s="109" t="s">
        <v>400</v>
      </c>
      <c r="K176" s="109" t="s">
        <v>251</v>
      </c>
      <c r="L176" s="109" t="s">
        <v>163</v>
      </c>
      <c r="M176" s="109" t="s">
        <v>136</v>
      </c>
      <c r="O176" s="109" t="s">
        <v>403</v>
      </c>
      <c r="R176" s="109" t="s">
        <v>405</v>
      </c>
      <c r="S176" s="109" t="s">
        <v>1411</v>
      </c>
      <c r="T176" s="109" t="s">
        <v>1412</v>
      </c>
      <c r="U176" s="109" t="s">
        <v>1097</v>
      </c>
      <c r="V176" s="109" t="s">
        <v>1413</v>
      </c>
      <c r="Y176" s="118"/>
    </row>
    <row r="177" spans="1:49" ht="13">
      <c r="A177" s="146">
        <v>43570.893279675925</v>
      </c>
      <c r="B177" s="109" t="s">
        <v>1414</v>
      </c>
      <c r="C177" s="109" t="s">
        <v>1415</v>
      </c>
      <c r="D177" s="109" t="s">
        <v>1416</v>
      </c>
      <c r="E177" s="109" t="s">
        <v>1417</v>
      </c>
      <c r="F177" s="109" t="s">
        <v>431</v>
      </c>
      <c r="G177" s="109" t="s">
        <v>1022</v>
      </c>
      <c r="H177" s="109" t="s">
        <v>202</v>
      </c>
      <c r="O177" s="109" t="s">
        <v>403</v>
      </c>
      <c r="P177" s="109" t="s">
        <v>1418</v>
      </c>
      <c r="R177" s="109" t="s">
        <v>405</v>
      </c>
      <c r="S177" s="109" t="s">
        <v>1419</v>
      </c>
      <c r="T177" s="109" t="s">
        <v>1420</v>
      </c>
      <c r="U177" s="109" t="s">
        <v>1097</v>
      </c>
      <c r="V177" s="109" t="s">
        <v>1028</v>
      </c>
      <c r="Y177" s="118"/>
    </row>
    <row r="178" spans="1:49" ht="13">
      <c r="A178" s="146">
        <v>43571.977917592594</v>
      </c>
      <c r="B178" s="109" t="s">
        <v>1421</v>
      </c>
      <c r="C178" s="109" t="s">
        <v>881</v>
      </c>
      <c r="D178" s="109" t="s">
        <v>1422</v>
      </c>
      <c r="E178" s="109" t="s">
        <v>1423</v>
      </c>
      <c r="F178" s="109" t="s">
        <v>1068</v>
      </c>
      <c r="G178" s="109" t="s">
        <v>1424</v>
      </c>
      <c r="H178" s="109" t="s">
        <v>63</v>
      </c>
      <c r="I178" s="109" t="s">
        <v>400</v>
      </c>
      <c r="J178" s="109" t="s">
        <v>163</v>
      </c>
      <c r="N178" s="109" t="s">
        <v>1425</v>
      </c>
      <c r="O178" s="109" t="s">
        <v>130</v>
      </c>
      <c r="P178" s="109" t="s">
        <v>197</v>
      </c>
      <c r="R178" s="109" t="s">
        <v>405</v>
      </c>
      <c r="S178" s="109" t="s">
        <v>1426</v>
      </c>
      <c r="T178" s="109" t="s">
        <v>1427</v>
      </c>
      <c r="U178" s="109" t="s">
        <v>1062</v>
      </c>
      <c r="V178" s="109" t="s">
        <v>1028</v>
      </c>
      <c r="Y178" s="118"/>
    </row>
    <row r="179" spans="1:49" ht="13">
      <c r="A179" s="146">
        <v>43577.6068059838</v>
      </c>
      <c r="B179" s="109" t="s">
        <v>1428</v>
      </c>
      <c r="C179" s="109" t="s">
        <v>682</v>
      </c>
      <c r="E179" s="109" t="s">
        <v>1429</v>
      </c>
      <c r="F179" s="109" t="s">
        <v>1430</v>
      </c>
      <c r="G179" s="109" t="s">
        <v>1210</v>
      </c>
      <c r="H179" s="109" t="s">
        <v>63</v>
      </c>
      <c r="I179" s="109" t="s">
        <v>251</v>
      </c>
      <c r="N179" s="109" t="s">
        <v>1431</v>
      </c>
      <c r="O179" s="109" t="s">
        <v>403</v>
      </c>
      <c r="P179" s="109" t="s">
        <v>1432</v>
      </c>
      <c r="R179" s="109" t="s">
        <v>451</v>
      </c>
      <c r="S179" s="109" t="s">
        <v>1433</v>
      </c>
      <c r="T179" s="109" t="s">
        <v>1434</v>
      </c>
      <c r="U179" s="109" t="s">
        <v>1133</v>
      </c>
      <c r="V179" s="109" t="s">
        <v>1293</v>
      </c>
      <c r="Y179" s="118"/>
    </row>
    <row r="180" spans="1:49" ht="13">
      <c r="A180" s="146">
        <v>43577.874384432871</v>
      </c>
      <c r="B180" s="109" t="s">
        <v>1435</v>
      </c>
      <c r="C180" s="109" t="s">
        <v>1436</v>
      </c>
      <c r="D180" s="109" t="s">
        <v>1437</v>
      </c>
      <c r="E180" s="109" t="s">
        <v>1438</v>
      </c>
      <c r="F180" s="109" t="s">
        <v>431</v>
      </c>
      <c r="G180" s="109" t="s">
        <v>1439</v>
      </c>
      <c r="H180" s="109" t="s">
        <v>202</v>
      </c>
      <c r="I180" s="109" t="s">
        <v>163</v>
      </c>
      <c r="J180" s="109" t="s">
        <v>251</v>
      </c>
      <c r="N180" s="109" t="s">
        <v>1440</v>
      </c>
      <c r="O180" s="109" t="s">
        <v>130</v>
      </c>
      <c r="P180" s="109" t="s">
        <v>1441</v>
      </c>
      <c r="R180" s="109" t="s">
        <v>405</v>
      </c>
      <c r="S180" s="109" t="s">
        <v>1442</v>
      </c>
      <c r="U180" s="109" t="s">
        <v>1097</v>
      </c>
      <c r="V180" s="109" t="s">
        <v>1028</v>
      </c>
      <c r="W180" s="109" t="s">
        <v>1443</v>
      </c>
      <c r="X180" s="147"/>
      <c r="Y180" s="118"/>
    </row>
    <row r="181" spans="1:49" ht="13">
      <c r="A181" s="146">
        <v>43578.689141759256</v>
      </c>
      <c r="B181" s="109" t="s">
        <v>1444</v>
      </c>
      <c r="C181" s="109" t="s">
        <v>1445</v>
      </c>
      <c r="D181" s="109" t="s">
        <v>1446</v>
      </c>
      <c r="E181" s="109" t="s">
        <v>1447</v>
      </c>
      <c r="F181" s="109" t="s">
        <v>431</v>
      </c>
      <c r="G181" s="109" t="s">
        <v>1101</v>
      </c>
      <c r="H181" s="109" t="s">
        <v>63</v>
      </c>
      <c r="I181" s="109" t="s">
        <v>136</v>
      </c>
      <c r="J181" s="109" t="s">
        <v>251</v>
      </c>
      <c r="K181" s="109" t="s">
        <v>401</v>
      </c>
      <c r="L181" s="109" t="s">
        <v>400</v>
      </c>
      <c r="M181" s="109" t="s">
        <v>163</v>
      </c>
      <c r="O181" s="109" t="s">
        <v>403</v>
      </c>
      <c r="P181" s="109" t="s">
        <v>1448</v>
      </c>
      <c r="R181" s="109" t="s">
        <v>405</v>
      </c>
      <c r="S181" s="109" t="s">
        <v>1449</v>
      </c>
      <c r="T181" s="109" t="s">
        <v>1450</v>
      </c>
      <c r="U181" s="109" t="s">
        <v>1027</v>
      </c>
      <c r="V181" s="109" t="s">
        <v>1451</v>
      </c>
      <c r="W181" s="109" t="s">
        <v>1081</v>
      </c>
      <c r="X181" s="147"/>
      <c r="Y181" s="118"/>
    </row>
    <row r="182" spans="1:49" ht="13">
      <c r="A182" s="146">
        <v>43581.01534331018</v>
      </c>
      <c r="B182" s="109" t="s">
        <v>1452</v>
      </c>
      <c r="C182" s="109" t="s">
        <v>1453</v>
      </c>
      <c r="D182" s="109" t="s">
        <v>1454</v>
      </c>
      <c r="E182" s="109" t="s">
        <v>1455</v>
      </c>
      <c r="F182" s="109" t="s">
        <v>1456</v>
      </c>
      <c r="G182" s="109" t="s">
        <v>1049</v>
      </c>
      <c r="H182" s="109" t="s">
        <v>63</v>
      </c>
      <c r="I182" s="109" t="s">
        <v>400</v>
      </c>
      <c r="J182" s="109" t="s">
        <v>251</v>
      </c>
      <c r="K182" s="109" t="s">
        <v>136</v>
      </c>
      <c r="L182" s="109" t="s">
        <v>401</v>
      </c>
      <c r="M182" s="109" t="s">
        <v>163</v>
      </c>
      <c r="N182" s="109" t="s">
        <v>1457</v>
      </c>
      <c r="O182" s="109" t="s">
        <v>403</v>
      </c>
      <c r="P182" s="109" t="s">
        <v>1458</v>
      </c>
      <c r="R182" s="109" t="s">
        <v>451</v>
      </c>
      <c r="S182" s="109" t="s">
        <v>1459</v>
      </c>
      <c r="T182" s="109" t="s">
        <v>1460</v>
      </c>
      <c r="U182" s="109" t="s">
        <v>1097</v>
      </c>
      <c r="V182" s="109" t="s">
        <v>1028</v>
      </c>
      <c r="Y182" s="118"/>
    </row>
    <row r="183" spans="1:49" ht="13">
      <c r="A183" s="146">
        <v>43581.592380995367</v>
      </c>
      <c r="B183" s="109" t="s">
        <v>1461</v>
      </c>
      <c r="C183" s="109" t="s">
        <v>1462</v>
      </c>
      <c r="D183" s="109" t="s">
        <v>1463</v>
      </c>
      <c r="E183" s="109" t="s">
        <v>1464</v>
      </c>
      <c r="F183" s="109" t="s">
        <v>431</v>
      </c>
      <c r="G183" s="109" t="s">
        <v>1465</v>
      </c>
      <c r="H183" s="109" t="s">
        <v>63</v>
      </c>
      <c r="I183" s="109" t="s">
        <v>251</v>
      </c>
      <c r="N183" s="109" t="s">
        <v>1466</v>
      </c>
      <c r="O183" s="109" t="s">
        <v>130</v>
      </c>
      <c r="P183" s="109" t="s">
        <v>1467</v>
      </c>
      <c r="R183" s="109" t="s">
        <v>442</v>
      </c>
      <c r="S183" s="109" t="s">
        <v>1468</v>
      </c>
      <c r="T183" s="109" t="s">
        <v>314</v>
      </c>
      <c r="U183" s="109" t="s">
        <v>1053</v>
      </c>
      <c r="V183" s="109" t="s">
        <v>1028</v>
      </c>
      <c r="W183" s="109" t="s">
        <v>1469</v>
      </c>
      <c r="X183" s="147"/>
      <c r="Y183" s="118"/>
    </row>
    <row r="184" spans="1:49" ht="13">
      <c r="A184" s="146">
        <v>43584.797477719912</v>
      </c>
      <c r="B184" s="109" t="s">
        <v>1470</v>
      </c>
      <c r="C184" s="109" t="s">
        <v>1471</v>
      </c>
      <c r="E184" s="109" t="s">
        <v>1472</v>
      </c>
      <c r="F184" s="109" t="s">
        <v>701</v>
      </c>
      <c r="G184" s="109" t="s">
        <v>1022</v>
      </c>
      <c r="H184" s="109" t="s">
        <v>202</v>
      </c>
      <c r="O184" s="109" t="s">
        <v>403</v>
      </c>
      <c r="U184" s="109" t="s">
        <v>1097</v>
      </c>
      <c r="V184" s="109" t="s">
        <v>1293</v>
      </c>
      <c r="Y184" s="118"/>
    </row>
    <row r="185" spans="1:49" ht="13">
      <c r="A185" s="146">
        <v>43585.633760694443</v>
      </c>
      <c r="B185" s="109" t="s">
        <v>1473</v>
      </c>
      <c r="C185" s="109" t="s">
        <v>1189</v>
      </c>
      <c r="E185" s="109" t="s">
        <v>1191</v>
      </c>
      <c r="F185" s="109" t="s">
        <v>529</v>
      </c>
      <c r="G185" s="109" t="s">
        <v>1219</v>
      </c>
      <c r="H185" s="109" t="s">
        <v>63</v>
      </c>
      <c r="I185" s="109" t="s">
        <v>401</v>
      </c>
      <c r="J185" s="109" t="s">
        <v>400</v>
      </c>
      <c r="K185" s="109" t="s">
        <v>251</v>
      </c>
      <c r="L185" s="109" t="s">
        <v>163</v>
      </c>
      <c r="M185" s="109" t="s">
        <v>136</v>
      </c>
      <c r="O185" s="109" t="s">
        <v>117</v>
      </c>
      <c r="P185" s="109" t="s">
        <v>1474</v>
      </c>
      <c r="R185" s="109" t="s">
        <v>451</v>
      </c>
      <c r="U185" s="109" t="s">
        <v>1036</v>
      </c>
      <c r="V185" s="109" t="s">
        <v>1150</v>
      </c>
      <c r="W185" s="109" t="s">
        <v>1081</v>
      </c>
      <c r="X185" s="147"/>
      <c r="Y185" s="118"/>
    </row>
    <row r="186" spans="1:49" ht="13">
      <c r="A186" s="146">
        <v>43586.59645730324</v>
      </c>
      <c r="B186" s="109" t="s">
        <v>1475</v>
      </c>
      <c r="C186" s="109" t="s">
        <v>846</v>
      </c>
      <c r="D186" s="109" t="s">
        <v>1476</v>
      </c>
      <c r="E186" s="109" t="s">
        <v>1477</v>
      </c>
      <c r="F186" s="109" t="s">
        <v>418</v>
      </c>
      <c r="G186" s="109" t="s">
        <v>1022</v>
      </c>
      <c r="H186" s="109" t="s">
        <v>63</v>
      </c>
      <c r="I186" s="109" t="s">
        <v>251</v>
      </c>
      <c r="J186" s="109" t="s">
        <v>400</v>
      </c>
      <c r="N186" s="109" t="s">
        <v>1478</v>
      </c>
      <c r="O186" s="109" t="s">
        <v>403</v>
      </c>
      <c r="P186" s="109" t="s">
        <v>1479</v>
      </c>
      <c r="R186" s="109" t="s">
        <v>405</v>
      </c>
      <c r="S186" s="109" t="s">
        <v>1480</v>
      </c>
      <c r="T186" s="109" t="s">
        <v>1481</v>
      </c>
      <c r="U186" s="109" t="s">
        <v>1097</v>
      </c>
      <c r="V186" s="109" t="s">
        <v>1028</v>
      </c>
      <c r="Y186" s="118"/>
    </row>
    <row r="187" spans="1:49" ht="13">
      <c r="A187" s="146">
        <v>43587.167243738426</v>
      </c>
      <c r="B187" s="109" t="s">
        <v>1482</v>
      </c>
      <c r="C187" s="109" t="s">
        <v>1483</v>
      </c>
      <c r="D187" s="109" t="s">
        <v>1484</v>
      </c>
      <c r="E187" s="109" t="s">
        <v>1485</v>
      </c>
      <c r="F187" s="109" t="s">
        <v>431</v>
      </c>
      <c r="G187" s="109" t="s">
        <v>1465</v>
      </c>
      <c r="H187" s="109" t="s">
        <v>63</v>
      </c>
      <c r="I187" s="109" t="s">
        <v>251</v>
      </c>
      <c r="J187" s="109" t="s">
        <v>400</v>
      </c>
      <c r="K187" s="109" t="s">
        <v>401</v>
      </c>
      <c r="L187" s="109" t="s">
        <v>163</v>
      </c>
      <c r="M187" s="109" t="s">
        <v>136</v>
      </c>
      <c r="N187" s="109" t="s">
        <v>1486</v>
      </c>
      <c r="O187" s="109" t="s">
        <v>117</v>
      </c>
      <c r="P187" s="109" t="s">
        <v>1487</v>
      </c>
      <c r="R187" s="109" t="s">
        <v>442</v>
      </c>
      <c r="S187" s="109" t="s">
        <v>1488</v>
      </c>
      <c r="T187" s="109" t="s">
        <v>1489</v>
      </c>
      <c r="U187" s="109" t="s">
        <v>1490</v>
      </c>
      <c r="V187" s="109" t="s">
        <v>1293</v>
      </c>
      <c r="Y187" s="118"/>
    </row>
    <row r="188" spans="1:49" ht="13">
      <c r="A188" s="146">
        <v>43588.538737627314</v>
      </c>
      <c r="B188" s="109" t="s">
        <v>1491</v>
      </c>
      <c r="C188" s="109" t="s">
        <v>1492</v>
      </c>
      <c r="E188" s="109" t="s">
        <v>1493</v>
      </c>
      <c r="F188" s="109" t="s">
        <v>701</v>
      </c>
      <c r="G188" s="109" t="s">
        <v>1494</v>
      </c>
      <c r="H188" s="109" t="s">
        <v>63</v>
      </c>
      <c r="I188" s="109" t="s">
        <v>136</v>
      </c>
      <c r="J188" s="109" t="s">
        <v>163</v>
      </c>
      <c r="K188" s="109" t="s">
        <v>400</v>
      </c>
      <c r="L188" s="109" t="s">
        <v>251</v>
      </c>
      <c r="M188" s="109" t="s">
        <v>401</v>
      </c>
      <c r="O188" s="109" t="s">
        <v>117</v>
      </c>
      <c r="P188" s="109" t="s">
        <v>305</v>
      </c>
      <c r="R188" s="109" t="s">
        <v>451</v>
      </c>
      <c r="S188" s="109" t="s">
        <v>1495</v>
      </c>
      <c r="T188" s="109" t="s">
        <v>1496</v>
      </c>
      <c r="U188" s="109" t="s">
        <v>1097</v>
      </c>
      <c r="V188" s="109" t="s">
        <v>1293</v>
      </c>
      <c r="Y188" s="118"/>
    </row>
    <row r="189" spans="1:49" ht="13">
      <c r="A189" s="146">
        <v>43591.442441805557</v>
      </c>
      <c r="B189" s="109" t="s">
        <v>1497</v>
      </c>
      <c r="C189" s="109" t="s">
        <v>1498</v>
      </c>
      <c r="E189" s="109" t="s">
        <v>1499</v>
      </c>
      <c r="F189" s="109" t="s">
        <v>431</v>
      </c>
      <c r="G189" s="109" t="s">
        <v>1022</v>
      </c>
      <c r="H189" s="109" t="s">
        <v>202</v>
      </c>
      <c r="I189" s="109" t="s">
        <v>251</v>
      </c>
      <c r="J189" s="109" t="s">
        <v>401</v>
      </c>
      <c r="K189" s="109" t="s">
        <v>400</v>
      </c>
      <c r="L189" s="109" t="s">
        <v>163</v>
      </c>
      <c r="M189" s="109" t="s">
        <v>136</v>
      </c>
      <c r="O189" s="109" t="s">
        <v>403</v>
      </c>
      <c r="R189" s="109" t="s">
        <v>451</v>
      </c>
      <c r="U189" s="109" t="s">
        <v>1097</v>
      </c>
      <c r="V189" s="109" t="s">
        <v>1091</v>
      </c>
      <c r="Y189" s="118"/>
    </row>
    <row r="190" spans="1:49" ht="13">
      <c r="A190" s="146">
        <v>43591.690803784717</v>
      </c>
      <c r="B190" s="109" t="s">
        <v>1500</v>
      </c>
      <c r="C190" s="109" t="s">
        <v>1501</v>
      </c>
      <c r="D190" s="109" t="s">
        <v>1502</v>
      </c>
      <c r="E190" s="109" t="s">
        <v>1503</v>
      </c>
      <c r="F190" s="109" t="s">
        <v>701</v>
      </c>
      <c r="G190" s="109" t="s">
        <v>1504</v>
      </c>
      <c r="H190" s="109" t="s">
        <v>202</v>
      </c>
      <c r="I190" s="109" t="s">
        <v>400</v>
      </c>
      <c r="J190" s="109" t="s">
        <v>251</v>
      </c>
      <c r="K190" s="109" t="s">
        <v>401</v>
      </c>
      <c r="L190" s="109" t="s">
        <v>163</v>
      </c>
      <c r="M190" s="109" t="s">
        <v>136</v>
      </c>
      <c r="O190" s="109" t="s">
        <v>403</v>
      </c>
      <c r="P190" s="109" t="s">
        <v>53</v>
      </c>
      <c r="R190" s="109" t="s">
        <v>405</v>
      </c>
      <c r="S190" s="109" t="s">
        <v>1505</v>
      </c>
      <c r="T190" s="109" t="s">
        <v>1506</v>
      </c>
      <c r="U190" s="109" t="s">
        <v>1027</v>
      </c>
      <c r="V190" s="109" t="s">
        <v>1293</v>
      </c>
      <c r="Y190" s="118"/>
    </row>
    <row r="191" spans="1:49" ht="13">
      <c r="A191" s="146">
        <v>43592.739961354164</v>
      </c>
      <c r="B191" s="109" t="s">
        <v>1507</v>
      </c>
      <c r="C191" s="109" t="s">
        <v>1508</v>
      </c>
      <c r="D191" s="109" t="s">
        <v>1509</v>
      </c>
      <c r="E191" s="109" t="s">
        <v>1510</v>
      </c>
      <c r="F191" s="109" t="s">
        <v>418</v>
      </c>
      <c r="G191" s="109" t="s">
        <v>1511</v>
      </c>
      <c r="H191" s="109" t="s">
        <v>63</v>
      </c>
      <c r="I191" s="109" t="s">
        <v>400</v>
      </c>
      <c r="J191" s="109" t="s">
        <v>251</v>
      </c>
      <c r="K191" s="109" t="s">
        <v>136</v>
      </c>
      <c r="L191" s="109" t="s">
        <v>401</v>
      </c>
      <c r="M191" s="109" t="s">
        <v>163</v>
      </c>
      <c r="N191" s="109" t="s">
        <v>130</v>
      </c>
      <c r="O191" s="109" t="s">
        <v>403</v>
      </c>
      <c r="P191" s="109" t="s">
        <v>1512</v>
      </c>
      <c r="R191" s="109" t="s">
        <v>451</v>
      </c>
      <c r="S191" s="109" t="s">
        <v>1513</v>
      </c>
      <c r="T191" s="109" t="s">
        <v>1514</v>
      </c>
      <c r="U191" s="109" t="s">
        <v>1062</v>
      </c>
      <c r="V191" s="109" t="s">
        <v>1028</v>
      </c>
      <c r="W191" s="109" t="s">
        <v>1515</v>
      </c>
      <c r="X191" s="147"/>
      <c r="Y191" s="118"/>
    </row>
    <row r="192" spans="1:49" ht="13">
      <c r="A192" s="159">
        <v>43592.887549965279</v>
      </c>
      <c r="B192" s="160" t="s">
        <v>1516</v>
      </c>
      <c r="C192" s="160" t="s">
        <v>1517</v>
      </c>
      <c r="D192" s="160" t="s">
        <v>1518</v>
      </c>
      <c r="E192" s="160" t="s">
        <v>1519</v>
      </c>
      <c r="F192" s="160" t="s">
        <v>529</v>
      </c>
      <c r="G192" s="160" t="s">
        <v>1022</v>
      </c>
      <c r="H192" s="160" t="s">
        <v>63</v>
      </c>
      <c r="I192" s="160" t="s">
        <v>400</v>
      </c>
      <c r="J192" s="160" t="s">
        <v>251</v>
      </c>
      <c r="K192" s="161"/>
      <c r="L192" s="161"/>
      <c r="M192" s="161"/>
      <c r="N192" s="160" t="s">
        <v>1520</v>
      </c>
      <c r="O192" s="160" t="s">
        <v>130</v>
      </c>
      <c r="P192" s="160" t="s">
        <v>1521</v>
      </c>
      <c r="Q192" s="161"/>
      <c r="R192" s="160" t="s">
        <v>405</v>
      </c>
      <c r="S192" s="160" t="s">
        <v>1522</v>
      </c>
      <c r="T192" s="160" t="s">
        <v>1523</v>
      </c>
      <c r="U192" s="160" t="s">
        <v>1062</v>
      </c>
      <c r="V192" s="160" t="s">
        <v>1150</v>
      </c>
      <c r="W192" s="160" t="s">
        <v>1524</v>
      </c>
      <c r="X192" s="163"/>
      <c r="Y192" s="162"/>
      <c r="Z192" s="161"/>
      <c r="AA192" s="161"/>
      <c r="AB192" s="161"/>
      <c r="AC192" s="161"/>
      <c r="AD192" s="161"/>
      <c r="AE192" s="161"/>
      <c r="AF192" s="161"/>
      <c r="AG192" s="161"/>
      <c r="AH192" s="161"/>
      <c r="AI192" s="161"/>
      <c r="AJ192" s="161"/>
      <c r="AK192" s="161"/>
      <c r="AL192" s="161"/>
      <c r="AM192" s="161"/>
      <c r="AN192" s="161"/>
      <c r="AO192" s="161"/>
      <c r="AP192" s="161"/>
      <c r="AQ192" s="161"/>
      <c r="AR192" s="161"/>
      <c r="AS192" s="161"/>
      <c r="AT192" s="161"/>
      <c r="AU192" s="161"/>
      <c r="AV192" s="161"/>
      <c r="AW192" s="161"/>
    </row>
    <row r="193" spans="1:25" ht="13">
      <c r="A193" s="146">
        <v>43593.204109722225</v>
      </c>
      <c r="B193" s="109" t="s">
        <v>1525</v>
      </c>
      <c r="C193" s="109" t="s">
        <v>1526</v>
      </c>
      <c r="D193" s="109" t="s">
        <v>1527</v>
      </c>
      <c r="E193" s="109" t="s">
        <v>1528</v>
      </c>
      <c r="F193" s="109" t="s">
        <v>431</v>
      </c>
      <c r="G193" s="109" t="s">
        <v>1022</v>
      </c>
      <c r="H193" s="109" t="s">
        <v>202</v>
      </c>
      <c r="I193" s="109" t="s">
        <v>251</v>
      </c>
      <c r="J193" s="109" t="s">
        <v>400</v>
      </c>
      <c r="N193" s="109" t="s">
        <v>1529</v>
      </c>
      <c r="O193" s="109" t="s">
        <v>403</v>
      </c>
      <c r="P193" s="109" t="s">
        <v>1530</v>
      </c>
      <c r="R193" s="109" t="s">
        <v>405</v>
      </c>
      <c r="S193" s="109" t="s">
        <v>1531</v>
      </c>
      <c r="T193" s="109" t="s">
        <v>1532</v>
      </c>
      <c r="U193" s="109" t="s">
        <v>1062</v>
      </c>
      <c r="V193" s="109" t="s">
        <v>1091</v>
      </c>
      <c r="Y193" s="118"/>
    </row>
    <row r="194" spans="1:25" ht="13">
      <c r="A194" s="146">
        <v>43593.566494722225</v>
      </c>
      <c r="B194" s="109" t="s">
        <v>1533</v>
      </c>
      <c r="C194" s="109" t="s">
        <v>313</v>
      </c>
      <c r="E194" s="109" t="s">
        <v>1534</v>
      </c>
      <c r="F194" s="109" t="s">
        <v>313</v>
      </c>
      <c r="G194" s="109" t="s">
        <v>313</v>
      </c>
      <c r="H194" s="109" t="s">
        <v>63</v>
      </c>
      <c r="I194" s="109" t="s">
        <v>136</v>
      </c>
      <c r="U194" s="109" t="s">
        <v>313</v>
      </c>
      <c r="V194" s="109" t="s">
        <v>313</v>
      </c>
      <c r="Y194" s="118"/>
    </row>
    <row r="195" spans="1:25" ht="13">
      <c r="A195" s="146">
        <v>43593.736186539347</v>
      </c>
      <c r="B195" s="109" t="s">
        <v>1535</v>
      </c>
      <c r="C195" s="109" t="s">
        <v>1536</v>
      </c>
      <c r="D195" s="109" t="s">
        <v>1537</v>
      </c>
      <c r="E195" s="109" t="s">
        <v>1538</v>
      </c>
      <c r="F195" s="109" t="s">
        <v>418</v>
      </c>
      <c r="G195" s="109" t="s">
        <v>1022</v>
      </c>
      <c r="H195" s="109" t="s">
        <v>63</v>
      </c>
      <c r="I195" s="109" t="s">
        <v>400</v>
      </c>
      <c r="J195" s="109" t="s">
        <v>251</v>
      </c>
      <c r="K195" s="109" t="s">
        <v>163</v>
      </c>
      <c r="L195" s="109" t="s">
        <v>401</v>
      </c>
      <c r="M195" s="109" t="s">
        <v>136</v>
      </c>
      <c r="N195" s="109" t="s">
        <v>463</v>
      </c>
      <c r="O195" s="109" t="s">
        <v>403</v>
      </c>
      <c r="R195" s="109" t="s">
        <v>451</v>
      </c>
      <c r="S195" s="109" t="s">
        <v>1539</v>
      </c>
      <c r="U195" s="109" t="s">
        <v>1097</v>
      </c>
      <c r="V195" s="109" t="s">
        <v>1028</v>
      </c>
      <c r="Y195" s="118"/>
    </row>
    <row r="196" spans="1:25" ht="13">
      <c r="A196" s="146">
        <v>43595.374458460647</v>
      </c>
      <c r="B196" s="109" t="s">
        <v>1540</v>
      </c>
      <c r="C196" s="109" t="s">
        <v>1541</v>
      </c>
      <c r="D196" s="109" t="s">
        <v>1542</v>
      </c>
      <c r="E196" s="109" t="s">
        <v>1543</v>
      </c>
      <c r="F196" s="109" t="s">
        <v>418</v>
      </c>
      <c r="G196" s="109" t="s">
        <v>1544</v>
      </c>
      <c r="H196" s="109" t="s">
        <v>202</v>
      </c>
      <c r="I196" s="109" t="s">
        <v>401</v>
      </c>
      <c r="J196" s="109" t="s">
        <v>400</v>
      </c>
      <c r="K196" s="109" t="s">
        <v>251</v>
      </c>
      <c r="L196" s="109" t="s">
        <v>136</v>
      </c>
      <c r="M196" s="109" t="s">
        <v>163</v>
      </c>
      <c r="N196" s="109" t="s">
        <v>1545</v>
      </c>
      <c r="O196" s="109" t="s">
        <v>403</v>
      </c>
      <c r="P196" s="109" t="s">
        <v>1546</v>
      </c>
      <c r="R196" s="109" t="s">
        <v>451</v>
      </c>
      <c r="S196" s="109" t="s">
        <v>1547</v>
      </c>
      <c r="T196" s="109" t="s">
        <v>1548</v>
      </c>
      <c r="U196" s="109" t="s">
        <v>1036</v>
      </c>
      <c r="V196" s="109" t="s">
        <v>1028</v>
      </c>
      <c r="Y196" s="118"/>
    </row>
    <row r="197" spans="1:25" ht="13">
      <c r="A197" s="146">
        <v>43596.240464884264</v>
      </c>
      <c r="B197" s="109" t="s">
        <v>1549</v>
      </c>
      <c r="C197" s="109" t="s">
        <v>1550</v>
      </c>
      <c r="E197" s="109" t="s">
        <v>1551</v>
      </c>
      <c r="F197" s="109" t="s">
        <v>701</v>
      </c>
      <c r="G197" s="109" t="s">
        <v>1022</v>
      </c>
      <c r="H197" s="109" t="s">
        <v>63</v>
      </c>
      <c r="I197" s="109" t="s">
        <v>251</v>
      </c>
      <c r="J197" s="109" t="s">
        <v>400</v>
      </c>
      <c r="K197" s="109" t="s">
        <v>401</v>
      </c>
      <c r="L197" s="109" t="s">
        <v>163</v>
      </c>
      <c r="M197" s="109" t="s">
        <v>136</v>
      </c>
      <c r="N197" s="109" t="s">
        <v>1552</v>
      </c>
      <c r="O197" s="109" t="s">
        <v>403</v>
      </c>
      <c r="P197" s="109" t="s">
        <v>1553</v>
      </c>
      <c r="R197" s="109" t="s">
        <v>451</v>
      </c>
      <c r="S197" s="109" t="s">
        <v>1554</v>
      </c>
      <c r="U197" s="109" t="s">
        <v>1097</v>
      </c>
      <c r="V197" s="109" t="s">
        <v>1150</v>
      </c>
      <c r="Y197" s="118"/>
    </row>
    <row r="198" spans="1:25" ht="42">
      <c r="A198" s="146">
        <v>43390.565046296295</v>
      </c>
      <c r="B198" s="109" t="s">
        <v>1555</v>
      </c>
      <c r="C198" s="109" t="s">
        <v>1375</v>
      </c>
      <c r="D198" s="109" t="s">
        <v>1556</v>
      </c>
      <c r="E198" s="109" t="s">
        <v>1557</v>
      </c>
      <c r="F198" s="109" t="s">
        <v>418</v>
      </c>
      <c r="G198" s="109" t="s">
        <v>1558</v>
      </c>
      <c r="H198" s="109" t="s">
        <v>63</v>
      </c>
      <c r="I198" s="109" t="s">
        <v>400</v>
      </c>
      <c r="J198" s="109" t="s">
        <v>251</v>
      </c>
      <c r="N198" s="109" t="s">
        <v>130</v>
      </c>
      <c r="O198" s="109" t="s">
        <v>403</v>
      </c>
      <c r="P198" s="109" t="s">
        <v>1559</v>
      </c>
      <c r="R198" s="109" t="s">
        <v>405</v>
      </c>
      <c r="U198" s="109" t="s">
        <v>1560</v>
      </c>
      <c r="V198" s="109" t="s">
        <v>1561</v>
      </c>
      <c r="Y198" s="144" t="s">
        <v>1562</v>
      </c>
    </row>
    <row r="199" spans="1:25" ht="13">
      <c r="A199" s="146">
        <v>43601.325485277775</v>
      </c>
      <c r="B199" s="109" t="s">
        <v>1563</v>
      </c>
      <c r="C199" s="109" t="s">
        <v>881</v>
      </c>
      <c r="E199" s="109" t="s">
        <v>1564</v>
      </c>
      <c r="F199" s="109" t="s">
        <v>1068</v>
      </c>
      <c r="G199" s="109" t="s">
        <v>1058</v>
      </c>
      <c r="H199" s="109" t="s">
        <v>63</v>
      </c>
      <c r="I199" s="109" t="s">
        <v>163</v>
      </c>
      <c r="J199" s="109" t="s">
        <v>400</v>
      </c>
      <c r="P199" s="109" t="s">
        <v>1565</v>
      </c>
      <c r="R199" s="109" t="s">
        <v>451</v>
      </c>
      <c r="U199" s="109" t="s">
        <v>1062</v>
      </c>
      <c r="V199" s="109" t="s">
        <v>1028</v>
      </c>
      <c r="Y199" s="118"/>
    </row>
    <row r="200" spans="1:25" ht="13">
      <c r="A200" s="146">
        <v>43601.536158171293</v>
      </c>
      <c r="B200" s="109" t="s">
        <v>627</v>
      </c>
      <c r="C200" s="109" t="s">
        <v>436</v>
      </c>
      <c r="D200" s="109" t="s">
        <v>1566</v>
      </c>
      <c r="E200" s="109" t="s">
        <v>628</v>
      </c>
      <c r="F200" s="109" t="s">
        <v>447</v>
      </c>
      <c r="G200" s="109" t="s">
        <v>1567</v>
      </c>
      <c r="H200" s="109" t="s">
        <v>63</v>
      </c>
      <c r="I200" s="109" t="s">
        <v>251</v>
      </c>
      <c r="J200" s="109" t="s">
        <v>136</v>
      </c>
      <c r="K200" s="109" t="s">
        <v>401</v>
      </c>
      <c r="N200" s="109" t="s">
        <v>1568</v>
      </c>
      <c r="O200" s="109" t="s">
        <v>117</v>
      </c>
      <c r="P200" s="109" t="s">
        <v>1569</v>
      </c>
      <c r="R200" s="109" t="s">
        <v>451</v>
      </c>
      <c r="S200" s="109" t="s">
        <v>1570</v>
      </c>
      <c r="T200" s="109" t="s">
        <v>1571</v>
      </c>
      <c r="U200" s="109" t="s">
        <v>1062</v>
      </c>
      <c r="V200" s="109" t="s">
        <v>1293</v>
      </c>
      <c r="Y200" s="118"/>
    </row>
    <row r="201" spans="1:25" ht="13">
      <c r="A201" s="146">
        <v>43602.702408564815</v>
      </c>
      <c r="B201" s="109" t="s">
        <v>1572</v>
      </c>
      <c r="C201" s="109" t="s">
        <v>1573</v>
      </c>
      <c r="D201" s="109" t="s">
        <v>1574</v>
      </c>
      <c r="E201" s="109" t="s">
        <v>1575</v>
      </c>
      <c r="F201" s="109" t="s">
        <v>431</v>
      </c>
      <c r="G201" s="109" t="s">
        <v>1576</v>
      </c>
      <c r="H201" s="109" t="s">
        <v>63</v>
      </c>
      <c r="I201" s="109" t="s">
        <v>251</v>
      </c>
      <c r="J201" s="109" t="s">
        <v>400</v>
      </c>
      <c r="K201" s="109" t="s">
        <v>401</v>
      </c>
      <c r="L201" s="109" t="s">
        <v>163</v>
      </c>
      <c r="M201" s="109" t="s">
        <v>136</v>
      </c>
      <c r="N201" s="109" t="s">
        <v>1577</v>
      </c>
      <c r="O201" s="109" t="s">
        <v>117</v>
      </c>
      <c r="P201" s="109" t="s">
        <v>1578</v>
      </c>
      <c r="R201" s="109" t="s">
        <v>451</v>
      </c>
      <c r="S201" s="109" t="s">
        <v>1579</v>
      </c>
      <c r="T201" s="109" t="s">
        <v>1580</v>
      </c>
      <c r="U201" s="109" t="s">
        <v>1292</v>
      </c>
      <c r="V201" s="109" t="s">
        <v>1249</v>
      </c>
      <c r="W201" s="109" t="s">
        <v>130</v>
      </c>
      <c r="X201" s="147"/>
      <c r="Y201" s="118"/>
    </row>
    <row r="202" spans="1:25" ht="13">
      <c r="A202" s="146">
        <v>43605.503110057871</v>
      </c>
      <c r="B202" s="109" t="s">
        <v>1581</v>
      </c>
      <c r="C202" s="109" t="s">
        <v>1582</v>
      </c>
      <c r="D202" s="109" t="s">
        <v>1583</v>
      </c>
      <c r="E202" s="109" t="s">
        <v>1584</v>
      </c>
      <c r="F202" s="109" t="s">
        <v>1585</v>
      </c>
      <c r="G202" s="109" t="s">
        <v>1077</v>
      </c>
      <c r="H202" s="109" t="s">
        <v>63</v>
      </c>
      <c r="I202" s="109" t="s">
        <v>401</v>
      </c>
      <c r="J202" s="109" t="s">
        <v>251</v>
      </c>
      <c r="K202" s="109" t="s">
        <v>400</v>
      </c>
      <c r="L202" s="109" t="s">
        <v>163</v>
      </c>
      <c r="M202" s="109" t="s">
        <v>136</v>
      </c>
      <c r="O202" s="109" t="s">
        <v>130</v>
      </c>
      <c r="P202" s="109" t="s">
        <v>1586</v>
      </c>
      <c r="R202" s="109" t="s">
        <v>405</v>
      </c>
      <c r="S202" s="109" t="s">
        <v>1587</v>
      </c>
      <c r="T202" s="109" t="s">
        <v>1588</v>
      </c>
      <c r="U202" s="109" t="s">
        <v>1062</v>
      </c>
      <c r="V202" s="109" t="s">
        <v>1028</v>
      </c>
      <c r="W202" s="109" t="s">
        <v>1589</v>
      </c>
      <c r="X202" s="147"/>
      <c r="Y202" s="118"/>
    </row>
    <row r="203" spans="1:25" ht="13">
      <c r="A203" s="146">
        <v>43605.743656238425</v>
      </c>
      <c r="B203" s="109" t="s">
        <v>1590</v>
      </c>
      <c r="C203" s="109" t="s">
        <v>1591</v>
      </c>
      <c r="D203" s="109" t="s">
        <v>1592</v>
      </c>
      <c r="E203" s="109" t="s">
        <v>1593</v>
      </c>
      <c r="F203" s="109" t="s">
        <v>492</v>
      </c>
      <c r="G203" s="109" t="s">
        <v>1049</v>
      </c>
      <c r="H203" s="109" t="s">
        <v>202</v>
      </c>
      <c r="I203" s="109" t="s">
        <v>251</v>
      </c>
      <c r="J203" s="109" t="s">
        <v>400</v>
      </c>
      <c r="K203" s="109" t="s">
        <v>163</v>
      </c>
      <c r="L203" s="109" t="s">
        <v>401</v>
      </c>
      <c r="M203" s="109" t="s">
        <v>136</v>
      </c>
      <c r="N203" s="109" t="s">
        <v>1594</v>
      </c>
      <c r="O203" s="109" t="s">
        <v>117</v>
      </c>
      <c r="S203" s="109" t="s">
        <v>1595</v>
      </c>
      <c r="T203" s="109" t="s">
        <v>1596</v>
      </c>
      <c r="U203" s="109" t="s">
        <v>1036</v>
      </c>
      <c r="V203" s="109" t="s">
        <v>1091</v>
      </c>
      <c r="Y203" s="118"/>
    </row>
    <row r="204" spans="1:25" ht="13">
      <c r="A204" s="146">
        <v>43606.400399282407</v>
      </c>
      <c r="B204" s="109" t="s">
        <v>1597</v>
      </c>
      <c r="C204" s="109" t="s">
        <v>774</v>
      </c>
      <c r="E204" s="109" t="s">
        <v>775</v>
      </c>
      <c r="F204" s="109" t="s">
        <v>1021</v>
      </c>
      <c r="G204" s="109" t="s">
        <v>1101</v>
      </c>
      <c r="H204" s="109" t="s">
        <v>63</v>
      </c>
      <c r="I204" s="109" t="s">
        <v>400</v>
      </c>
      <c r="N204" s="109" t="s">
        <v>1598</v>
      </c>
      <c r="O204" s="109" t="s">
        <v>117</v>
      </c>
      <c r="P204" s="109" t="s">
        <v>197</v>
      </c>
      <c r="R204" s="109" t="s">
        <v>405</v>
      </c>
      <c r="S204" s="109" t="s">
        <v>1599</v>
      </c>
      <c r="T204" s="109" t="s">
        <v>197</v>
      </c>
      <c r="U204" s="109" t="s">
        <v>1133</v>
      </c>
      <c r="V204" s="109" t="s">
        <v>1091</v>
      </c>
      <c r="Y204" s="118"/>
    </row>
    <row r="205" spans="1:25" ht="13">
      <c r="A205" s="146">
        <v>43607.548738634257</v>
      </c>
      <c r="B205" s="109" t="s">
        <v>1600</v>
      </c>
      <c r="C205" s="109" t="s">
        <v>1601</v>
      </c>
      <c r="D205" s="109" t="s">
        <v>1602</v>
      </c>
      <c r="E205" s="109" t="s">
        <v>1603</v>
      </c>
      <c r="F205" s="109" t="s">
        <v>418</v>
      </c>
      <c r="G205" s="109" t="s">
        <v>1604</v>
      </c>
      <c r="H205" s="109" t="s">
        <v>63</v>
      </c>
      <c r="I205" s="109" t="s">
        <v>251</v>
      </c>
      <c r="J205" s="109" t="s">
        <v>400</v>
      </c>
      <c r="N205" s="109" t="s">
        <v>1605</v>
      </c>
      <c r="O205" s="109" t="s">
        <v>403</v>
      </c>
      <c r="P205" s="109" t="s">
        <v>1606</v>
      </c>
      <c r="R205" s="109" t="s">
        <v>405</v>
      </c>
      <c r="S205" s="109" t="s">
        <v>1607</v>
      </c>
      <c r="T205" s="109" t="s">
        <v>1608</v>
      </c>
      <c r="U205" s="109" t="s">
        <v>1133</v>
      </c>
      <c r="V205" s="109" t="s">
        <v>1028</v>
      </c>
      <c r="Y205" s="118"/>
    </row>
    <row r="206" spans="1:25" ht="13">
      <c r="A206" s="146">
        <v>43609.955753240742</v>
      </c>
      <c r="B206" s="109" t="s">
        <v>592</v>
      </c>
      <c r="C206" s="109" t="s">
        <v>593</v>
      </c>
      <c r="D206" s="109" t="s">
        <v>1609</v>
      </c>
      <c r="E206" s="109" t="s">
        <v>595</v>
      </c>
      <c r="F206" s="109" t="s">
        <v>461</v>
      </c>
      <c r="G206" s="109" t="s">
        <v>1610</v>
      </c>
      <c r="H206" s="109" t="s">
        <v>63</v>
      </c>
      <c r="I206" s="109" t="s">
        <v>251</v>
      </c>
      <c r="J206" s="109" t="s">
        <v>400</v>
      </c>
      <c r="N206" s="109" t="s">
        <v>1611</v>
      </c>
      <c r="O206" s="109" t="s">
        <v>117</v>
      </c>
      <c r="P206" s="109" t="s">
        <v>1612</v>
      </c>
      <c r="R206" s="109" t="s">
        <v>442</v>
      </c>
      <c r="S206" s="109" t="s">
        <v>1613</v>
      </c>
      <c r="T206" s="109" t="s">
        <v>1614</v>
      </c>
      <c r="U206" s="109" t="s">
        <v>1027</v>
      </c>
      <c r="V206" s="109" t="s">
        <v>1028</v>
      </c>
      <c r="Y206" s="118"/>
    </row>
    <row r="207" spans="1:25" ht="13">
      <c r="A207" s="146">
        <v>43610.740048368054</v>
      </c>
      <c r="B207" s="109" t="s">
        <v>1615</v>
      </c>
      <c r="C207" s="109" t="s">
        <v>1616</v>
      </c>
      <c r="D207" s="109" t="s">
        <v>1617</v>
      </c>
      <c r="E207" s="109" t="s">
        <v>1618</v>
      </c>
      <c r="F207" s="109" t="s">
        <v>461</v>
      </c>
      <c r="G207" s="109" t="s">
        <v>1022</v>
      </c>
      <c r="H207" s="109" t="s">
        <v>63</v>
      </c>
      <c r="I207" s="109" t="s">
        <v>251</v>
      </c>
      <c r="J207" s="109" t="s">
        <v>400</v>
      </c>
      <c r="K207" s="109" t="s">
        <v>136</v>
      </c>
      <c r="L207" s="109" t="s">
        <v>401</v>
      </c>
      <c r="M207" s="109" t="s">
        <v>163</v>
      </c>
      <c r="O207" s="109" t="s">
        <v>117</v>
      </c>
      <c r="R207" s="109" t="s">
        <v>451</v>
      </c>
      <c r="S207" s="109" t="s">
        <v>1619</v>
      </c>
      <c r="T207" s="109" t="s">
        <v>1620</v>
      </c>
      <c r="U207" s="109" t="s">
        <v>1097</v>
      </c>
      <c r="V207" s="109" t="s">
        <v>1091</v>
      </c>
      <c r="Y207" s="118"/>
    </row>
    <row r="208" spans="1:25" ht="13">
      <c r="A208" s="146">
        <v>43612.744829560186</v>
      </c>
      <c r="B208" s="109" t="s">
        <v>1621</v>
      </c>
      <c r="C208" s="109" t="s">
        <v>1622</v>
      </c>
      <c r="E208" s="109" t="s">
        <v>1623</v>
      </c>
      <c r="F208" s="109" t="s">
        <v>418</v>
      </c>
      <c r="G208" s="109" t="s">
        <v>1022</v>
      </c>
      <c r="H208" s="109" t="s">
        <v>63</v>
      </c>
      <c r="I208" s="109" t="s">
        <v>400</v>
      </c>
      <c r="J208" s="109" t="s">
        <v>251</v>
      </c>
      <c r="K208" s="109" t="s">
        <v>163</v>
      </c>
      <c r="O208" s="109" t="s">
        <v>117</v>
      </c>
      <c r="R208" s="109" t="s">
        <v>451</v>
      </c>
      <c r="S208" s="109" t="s">
        <v>1624</v>
      </c>
      <c r="T208" s="109" t="s">
        <v>1625</v>
      </c>
      <c r="U208" s="109" t="s">
        <v>1097</v>
      </c>
      <c r="V208" s="109" t="s">
        <v>1028</v>
      </c>
      <c r="Y208" s="118"/>
    </row>
    <row r="209" spans="1:25" ht="13">
      <c r="A209" s="146">
        <v>43614.609762442131</v>
      </c>
      <c r="B209" s="109" t="s">
        <v>1626</v>
      </c>
      <c r="C209" s="109" t="s">
        <v>1054</v>
      </c>
      <c r="D209" s="109" t="s">
        <v>1627</v>
      </c>
      <c r="E209" s="109" t="s">
        <v>1628</v>
      </c>
      <c r="F209" s="109" t="s">
        <v>701</v>
      </c>
      <c r="G209" s="109" t="s">
        <v>1629</v>
      </c>
      <c r="H209" s="109" t="s">
        <v>202</v>
      </c>
      <c r="I209" s="109" t="s">
        <v>400</v>
      </c>
      <c r="J209" s="109" t="s">
        <v>251</v>
      </c>
      <c r="K209" s="109" t="s">
        <v>136</v>
      </c>
      <c r="N209" s="109" t="s">
        <v>1630</v>
      </c>
      <c r="O209" s="109" t="s">
        <v>130</v>
      </c>
      <c r="P209" s="109" t="s">
        <v>1631</v>
      </c>
      <c r="R209" s="109" t="s">
        <v>405</v>
      </c>
      <c r="S209" s="109" t="s">
        <v>1632</v>
      </c>
      <c r="T209" s="109" t="s">
        <v>1630</v>
      </c>
      <c r="U209" s="109" t="s">
        <v>1097</v>
      </c>
      <c r="V209" s="109" t="s">
        <v>1091</v>
      </c>
      <c r="Y209" s="118"/>
    </row>
    <row r="210" spans="1:25" ht="13">
      <c r="A210" s="146">
        <v>43615.060754282407</v>
      </c>
      <c r="B210" s="109" t="s">
        <v>1633</v>
      </c>
      <c r="C210" s="109" t="s">
        <v>704</v>
      </c>
      <c r="D210" s="109" t="s">
        <v>1634</v>
      </c>
      <c r="E210" s="109" t="s">
        <v>1635</v>
      </c>
      <c r="F210" s="109" t="s">
        <v>1636</v>
      </c>
      <c r="G210" s="109" t="s">
        <v>1637</v>
      </c>
      <c r="H210" s="109" t="s">
        <v>63</v>
      </c>
      <c r="I210" s="109" t="s">
        <v>251</v>
      </c>
      <c r="J210" s="109" t="s">
        <v>400</v>
      </c>
      <c r="K210" s="109" t="s">
        <v>401</v>
      </c>
      <c r="L210" s="109" t="s">
        <v>136</v>
      </c>
      <c r="M210" s="109" t="s">
        <v>163</v>
      </c>
      <c r="N210" s="109" t="s">
        <v>1638</v>
      </c>
      <c r="O210" s="109" t="s">
        <v>403</v>
      </c>
      <c r="R210" s="109" t="s">
        <v>405</v>
      </c>
      <c r="S210" s="109" t="s">
        <v>1639</v>
      </c>
      <c r="T210" s="109" t="s">
        <v>1640</v>
      </c>
      <c r="U210" s="109" t="s">
        <v>1097</v>
      </c>
      <c r="V210" s="109" t="s">
        <v>1091</v>
      </c>
      <c r="Y210" s="118"/>
    </row>
    <row r="211" spans="1:25" ht="13">
      <c r="A211" s="146">
        <v>43615.399297673612</v>
      </c>
      <c r="B211" s="109" t="s">
        <v>1641</v>
      </c>
      <c r="C211" s="109" t="s">
        <v>1642</v>
      </c>
      <c r="D211" s="109" t="s">
        <v>1643</v>
      </c>
      <c r="E211" s="109" t="s">
        <v>1644</v>
      </c>
      <c r="F211" s="109" t="s">
        <v>701</v>
      </c>
      <c r="G211" s="109" t="s">
        <v>1645</v>
      </c>
      <c r="H211" s="109" t="s">
        <v>63</v>
      </c>
      <c r="I211" s="109" t="s">
        <v>251</v>
      </c>
      <c r="J211" s="109" t="s">
        <v>136</v>
      </c>
      <c r="K211" s="109" t="s">
        <v>400</v>
      </c>
      <c r="L211" s="109" t="s">
        <v>401</v>
      </c>
      <c r="M211" s="109" t="s">
        <v>163</v>
      </c>
      <c r="N211" s="109" t="s">
        <v>1646</v>
      </c>
      <c r="O211" s="109" t="s">
        <v>117</v>
      </c>
      <c r="P211" s="109" t="s">
        <v>1647</v>
      </c>
      <c r="R211" s="109" t="s">
        <v>451</v>
      </c>
      <c r="S211" s="109" t="s">
        <v>1648</v>
      </c>
      <c r="T211" s="109" t="s">
        <v>1649</v>
      </c>
      <c r="U211" s="109" t="s">
        <v>1027</v>
      </c>
      <c r="V211" s="109" t="s">
        <v>1293</v>
      </c>
      <c r="W211" s="109" t="s">
        <v>1650</v>
      </c>
      <c r="X211" s="147"/>
      <c r="Y211" s="118"/>
    </row>
    <row r="212" spans="1:25" ht="13">
      <c r="A212" s="146">
        <v>43615.570708692132</v>
      </c>
      <c r="B212" s="109" t="s">
        <v>1651</v>
      </c>
      <c r="C212" s="109" t="s">
        <v>1652</v>
      </c>
      <c r="D212" s="109" t="s">
        <v>1653</v>
      </c>
      <c r="E212" s="109" t="s">
        <v>1654</v>
      </c>
      <c r="F212" s="109" t="s">
        <v>461</v>
      </c>
      <c r="G212" s="109" t="s">
        <v>1165</v>
      </c>
      <c r="H212" s="109" t="s">
        <v>63</v>
      </c>
      <c r="I212" s="109" t="s">
        <v>400</v>
      </c>
      <c r="J212" s="109" t="s">
        <v>401</v>
      </c>
      <c r="K212" s="86" t="s">
        <v>251</v>
      </c>
      <c r="N212" s="109" t="s">
        <v>1655</v>
      </c>
      <c r="O212" s="109" t="s">
        <v>403</v>
      </c>
      <c r="P212" s="109" t="s">
        <v>1656</v>
      </c>
      <c r="R212" s="109" t="s">
        <v>405</v>
      </c>
      <c r="S212" s="109" t="s">
        <v>1657</v>
      </c>
      <c r="T212" s="109" t="s">
        <v>1658</v>
      </c>
      <c r="U212" s="109" t="s">
        <v>1027</v>
      </c>
      <c r="V212" s="109" t="s">
        <v>1028</v>
      </c>
      <c r="Y212" s="118"/>
    </row>
    <row r="213" spans="1:25" ht="13">
      <c r="A213" s="146">
        <v>43615.977712569445</v>
      </c>
      <c r="B213" s="109" t="s">
        <v>1659</v>
      </c>
      <c r="C213" s="109" t="s">
        <v>1660</v>
      </c>
      <c r="D213" s="109" t="s">
        <v>1661</v>
      </c>
      <c r="E213" s="109" t="s">
        <v>1662</v>
      </c>
      <c r="F213" s="109" t="s">
        <v>1663</v>
      </c>
      <c r="G213" s="109" t="s">
        <v>1664</v>
      </c>
      <c r="H213" s="109" t="s">
        <v>63</v>
      </c>
      <c r="I213" s="109" t="s">
        <v>401</v>
      </c>
      <c r="J213" s="109" t="s">
        <v>251</v>
      </c>
      <c r="K213" s="109" t="s">
        <v>400</v>
      </c>
      <c r="L213" s="109" t="s">
        <v>163</v>
      </c>
      <c r="M213" s="109" t="s">
        <v>136</v>
      </c>
      <c r="O213" s="109" t="s">
        <v>117</v>
      </c>
      <c r="P213" s="109" t="s">
        <v>1665</v>
      </c>
      <c r="R213" s="109" t="s">
        <v>451</v>
      </c>
      <c r="S213" s="109" t="s">
        <v>1666</v>
      </c>
      <c r="T213" s="109" t="s">
        <v>1630</v>
      </c>
      <c r="U213" s="109" t="s">
        <v>1667</v>
      </c>
      <c r="V213" s="109" t="s">
        <v>1668</v>
      </c>
      <c r="W213" s="109" t="s">
        <v>1669</v>
      </c>
      <c r="X213" s="147"/>
      <c r="Y213" s="118"/>
    </row>
    <row r="214" spans="1:25" ht="13">
      <c r="A214" s="146">
        <v>43619.481825162038</v>
      </c>
      <c r="B214" s="109" t="s">
        <v>1670</v>
      </c>
      <c r="C214" s="109" t="s">
        <v>1671</v>
      </c>
      <c r="E214" s="109" t="s">
        <v>1672</v>
      </c>
      <c r="F214" s="109" t="s">
        <v>1068</v>
      </c>
      <c r="G214" s="109" t="s">
        <v>1101</v>
      </c>
      <c r="H214" s="109" t="s">
        <v>63</v>
      </c>
      <c r="I214" s="109" t="s">
        <v>163</v>
      </c>
      <c r="J214" s="109" t="s">
        <v>400</v>
      </c>
      <c r="K214" s="109" t="s">
        <v>251</v>
      </c>
      <c r="N214" s="109" t="s">
        <v>1673</v>
      </c>
      <c r="O214" s="109" t="s">
        <v>403</v>
      </c>
      <c r="P214" s="109" t="s">
        <v>1674</v>
      </c>
      <c r="R214" s="109" t="s">
        <v>451</v>
      </c>
      <c r="S214" s="109" t="s">
        <v>1675</v>
      </c>
      <c r="T214" s="109" t="s">
        <v>1676</v>
      </c>
      <c r="U214" s="109" t="s">
        <v>1062</v>
      </c>
      <c r="V214" s="109" t="s">
        <v>1028</v>
      </c>
      <c r="X214" s="109" t="s">
        <v>1677</v>
      </c>
      <c r="Y214" s="118"/>
    </row>
    <row r="215" spans="1:25" ht="13">
      <c r="A215" s="146">
        <v>43620.78905363426</v>
      </c>
      <c r="B215" s="109" t="s">
        <v>1678</v>
      </c>
      <c r="C215" s="109" t="s">
        <v>1679</v>
      </c>
      <c r="E215" s="109" t="s">
        <v>1680</v>
      </c>
      <c r="F215" s="109" t="s">
        <v>492</v>
      </c>
      <c r="G215" s="109" t="s">
        <v>1681</v>
      </c>
      <c r="H215" s="109" t="s">
        <v>63</v>
      </c>
      <c r="I215" s="109" t="s">
        <v>251</v>
      </c>
      <c r="J215" s="109" t="s">
        <v>19</v>
      </c>
      <c r="N215" s="109" t="s">
        <v>1682</v>
      </c>
      <c r="O215" s="109" t="s">
        <v>403</v>
      </c>
      <c r="P215" s="109" t="s">
        <v>1683</v>
      </c>
      <c r="R215" s="109" t="s">
        <v>405</v>
      </c>
      <c r="S215" s="109" t="s">
        <v>1684</v>
      </c>
      <c r="T215" s="109" t="s">
        <v>1685</v>
      </c>
      <c r="U215" s="109" t="s">
        <v>1062</v>
      </c>
      <c r="V215" s="109" t="s">
        <v>1091</v>
      </c>
      <c r="W215" s="109" t="s">
        <v>1686</v>
      </c>
      <c r="X215" s="109" t="s">
        <v>1687</v>
      </c>
      <c r="Y215" s="118"/>
    </row>
    <row r="216" spans="1:25" ht="13">
      <c r="A216" s="146">
        <v>43621.341686874999</v>
      </c>
      <c r="B216" s="109" t="s">
        <v>1688</v>
      </c>
      <c r="C216" s="109" t="s">
        <v>1689</v>
      </c>
      <c r="D216" s="109" t="s">
        <v>1690</v>
      </c>
      <c r="E216" s="109" t="s">
        <v>1691</v>
      </c>
      <c r="F216" s="109" t="s">
        <v>1068</v>
      </c>
      <c r="G216" s="109" t="s">
        <v>1022</v>
      </c>
      <c r="H216" s="109" t="s">
        <v>63</v>
      </c>
      <c r="I216" s="109" t="s">
        <v>251</v>
      </c>
      <c r="J216" s="109" t="s">
        <v>136</v>
      </c>
      <c r="K216" s="109" t="s">
        <v>401</v>
      </c>
      <c r="L216" s="109" t="s">
        <v>400</v>
      </c>
      <c r="M216" s="109" t="s">
        <v>163</v>
      </c>
      <c r="N216" s="109" t="s">
        <v>1692</v>
      </c>
      <c r="O216" s="109" t="s">
        <v>117</v>
      </c>
      <c r="P216" s="109" t="s">
        <v>1693</v>
      </c>
      <c r="R216" s="109" t="s">
        <v>451</v>
      </c>
      <c r="S216" s="109" t="s">
        <v>1694</v>
      </c>
      <c r="T216" s="109" t="s">
        <v>1695</v>
      </c>
      <c r="U216" s="109" t="s">
        <v>1097</v>
      </c>
      <c r="V216" s="109" t="s">
        <v>1028</v>
      </c>
      <c r="X216" s="109" t="s">
        <v>1696</v>
      </c>
      <c r="Y216" s="118"/>
    </row>
    <row r="217" spans="1:25" ht="13">
      <c r="A217" s="146">
        <v>43621.379894560188</v>
      </c>
      <c r="B217" s="109" t="s">
        <v>1697</v>
      </c>
      <c r="C217" s="109" t="s">
        <v>1698</v>
      </c>
      <c r="E217" s="109" t="s">
        <v>1699</v>
      </c>
      <c r="F217" s="109" t="s">
        <v>701</v>
      </c>
      <c r="G217" s="109" t="s">
        <v>1101</v>
      </c>
      <c r="H217" s="109" t="s">
        <v>202</v>
      </c>
      <c r="O217" s="109" t="s">
        <v>130</v>
      </c>
      <c r="S217" s="109" t="s">
        <v>1700</v>
      </c>
      <c r="T217" s="109" t="s">
        <v>1701</v>
      </c>
      <c r="U217" s="109" t="s">
        <v>1097</v>
      </c>
      <c r="V217" s="109" t="s">
        <v>1293</v>
      </c>
      <c r="X217" s="109" t="s">
        <v>1677</v>
      </c>
      <c r="Y217" s="118"/>
    </row>
    <row r="218" spans="1:25" ht="13">
      <c r="A218" s="146">
        <v>43622.554816874996</v>
      </c>
      <c r="B218" s="109" t="s">
        <v>1702</v>
      </c>
      <c r="C218" s="109" t="s">
        <v>1703</v>
      </c>
      <c r="D218" s="109" t="s">
        <v>1704</v>
      </c>
      <c r="E218" s="109" t="s">
        <v>1705</v>
      </c>
      <c r="F218" s="109" t="s">
        <v>461</v>
      </c>
      <c r="G218" s="109" t="s">
        <v>1101</v>
      </c>
      <c r="H218" s="109" t="s">
        <v>63</v>
      </c>
      <c r="I218" s="109" t="s">
        <v>400</v>
      </c>
      <c r="J218" s="109" t="s">
        <v>251</v>
      </c>
      <c r="K218" s="109" t="s">
        <v>401</v>
      </c>
      <c r="L218" s="109" t="s">
        <v>163</v>
      </c>
      <c r="M218" s="109" t="s">
        <v>136</v>
      </c>
      <c r="N218" s="109" t="s">
        <v>1706</v>
      </c>
      <c r="O218" s="109" t="s">
        <v>130</v>
      </c>
      <c r="P218" s="109" t="s">
        <v>1707</v>
      </c>
      <c r="R218" s="109" t="s">
        <v>451</v>
      </c>
      <c r="S218" s="109" t="s">
        <v>1708</v>
      </c>
      <c r="T218" s="109" t="s">
        <v>1709</v>
      </c>
      <c r="U218" s="109" t="s">
        <v>1036</v>
      </c>
      <c r="V218" s="109" t="s">
        <v>1028</v>
      </c>
      <c r="X218" s="109" t="s">
        <v>1710</v>
      </c>
      <c r="Y218" s="118"/>
    </row>
    <row r="219" spans="1:25" ht="13">
      <c r="A219" s="146">
        <v>43623.290492546294</v>
      </c>
      <c r="B219" s="109" t="s">
        <v>1711</v>
      </c>
      <c r="C219" s="109" t="s">
        <v>1712</v>
      </c>
      <c r="D219" s="109" t="s">
        <v>1713</v>
      </c>
      <c r="E219" s="109" t="s">
        <v>1714</v>
      </c>
      <c r="F219" s="109" t="s">
        <v>431</v>
      </c>
      <c r="G219" s="109" t="s">
        <v>1049</v>
      </c>
      <c r="H219" s="109" t="s">
        <v>63</v>
      </c>
      <c r="I219" s="109" t="s">
        <v>251</v>
      </c>
      <c r="J219" s="109" t="s">
        <v>401</v>
      </c>
      <c r="K219" s="109" t="s">
        <v>163</v>
      </c>
      <c r="L219" s="109" t="s">
        <v>400</v>
      </c>
      <c r="M219" s="109" t="s">
        <v>136</v>
      </c>
      <c r="N219" s="109" t="s">
        <v>1715</v>
      </c>
      <c r="O219" s="109" t="s">
        <v>117</v>
      </c>
      <c r="P219" s="109" t="s">
        <v>1716</v>
      </c>
      <c r="R219" s="109" t="s">
        <v>405</v>
      </c>
      <c r="S219" s="109" t="s">
        <v>1717</v>
      </c>
      <c r="T219" s="109" t="s">
        <v>1718</v>
      </c>
      <c r="U219" s="109" t="s">
        <v>1027</v>
      </c>
      <c r="V219" s="109" t="s">
        <v>1091</v>
      </c>
      <c r="X219" s="109" t="s">
        <v>1719</v>
      </c>
      <c r="Y219" s="118"/>
    </row>
    <row r="220" spans="1:25" ht="13">
      <c r="A220" s="146">
        <v>43625.512180648147</v>
      </c>
      <c r="B220" s="109" t="s">
        <v>1720</v>
      </c>
      <c r="C220" s="109" t="s">
        <v>1721</v>
      </c>
      <c r="D220" s="109" t="s">
        <v>1722</v>
      </c>
      <c r="E220" s="109" t="s">
        <v>1723</v>
      </c>
      <c r="F220" s="109" t="s">
        <v>529</v>
      </c>
      <c r="G220" s="109" t="s">
        <v>1724</v>
      </c>
      <c r="H220" s="109" t="s">
        <v>202</v>
      </c>
      <c r="I220" s="109" t="s">
        <v>400</v>
      </c>
      <c r="J220" s="109" t="s">
        <v>251</v>
      </c>
      <c r="K220" s="109" t="s">
        <v>163</v>
      </c>
      <c r="L220" s="109" t="s">
        <v>401</v>
      </c>
      <c r="M220" s="109" t="s">
        <v>136</v>
      </c>
      <c r="N220" s="109" t="s">
        <v>1725</v>
      </c>
      <c r="O220" s="109" t="s">
        <v>403</v>
      </c>
      <c r="P220" s="109" t="s">
        <v>1726</v>
      </c>
      <c r="R220" s="109" t="s">
        <v>405</v>
      </c>
      <c r="S220" s="109" t="s">
        <v>1727</v>
      </c>
      <c r="T220" s="109" t="s">
        <v>1728</v>
      </c>
      <c r="U220" s="109" t="s">
        <v>1729</v>
      </c>
      <c r="V220" s="109" t="s">
        <v>1150</v>
      </c>
      <c r="W220" s="109" t="s">
        <v>1730</v>
      </c>
      <c r="X220" s="109" t="s">
        <v>1731</v>
      </c>
      <c r="Y220" s="118"/>
    </row>
    <row r="221" spans="1:25" ht="13">
      <c r="A221" s="146">
        <v>43625.566468472221</v>
      </c>
      <c r="B221" s="109" t="s">
        <v>1732</v>
      </c>
      <c r="C221" s="109" t="s">
        <v>1733</v>
      </c>
      <c r="E221" s="109" t="s">
        <v>1734</v>
      </c>
      <c r="F221" s="109" t="s">
        <v>431</v>
      </c>
      <c r="G221" s="109" t="s">
        <v>1022</v>
      </c>
      <c r="H221" s="109" t="s">
        <v>63</v>
      </c>
      <c r="I221" s="109" t="s">
        <v>251</v>
      </c>
      <c r="J221" s="109" t="s">
        <v>400</v>
      </c>
      <c r="K221" s="109" t="s">
        <v>163</v>
      </c>
      <c r="L221" s="109" t="s">
        <v>401</v>
      </c>
      <c r="M221" s="109" t="s">
        <v>136</v>
      </c>
      <c r="O221" s="109" t="s">
        <v>130</v>
      </c>
      <c r="P221" s="109" t="s">
        <v>311</v>
      </c>
      <c r="R221" s="109" t="s">
        <v>451</v>
      </c>
      <c r="S221" s="109" t="s">
        <v>1735</v>
      </c>
      <c r="T221" s="109" t="s">
        <v>1736</v>
      </c>
      <c r="U221" s="109" t="s">
        <v>1133</v>
      </c>
      <c r="V221" s="109" t="s">
        <v>1737</v>
      </c>
      <c r="X221" s="109" t="s">
        <v>1738</v>
      </c>
      <c r="Y221" s="118"/>
    </row>
    <row r="222" spans="1:25" ht="13">
      <c r="A222" s="146">
        <v>43625.729740972223</v>
      </c>
      <c r="B222" s="109" t="s">
        <v>1739</v>
      </c>
      <c r="C222" s="109" t="s">
        <v>1740</v>
      </c>
      <c r="D222" s="109" t="s">
        <v>1741</v>
      </c>
      <c r="E222" s="109" t="s">
        <v>1742</v>
      </c>
      <c r="F222" s="109" t="s">
        <v>461</v>
      </c>
      <c r="G222" s="109" t="s">
        <v>1101</v>
      </c>
      <c r="H222" s="109" t="s">
        <v>63</v>
      </c>
      <c r="I222" s="109" t="s">
        <v>401</v>
      </c>
      <c r="J222" s="109" t="s">
        <v>251</v>
      </c>
      <c r="N222" s="109" t="s">
        <v>1743</v>
      </c>
      <c r="O222" s="109" t="s">
        <v>403</v>
      </c>
      <c r="P222" s="109" t="s">
        <v>1744</v>
      </c>
      <c r="R222" s="109" t="s">
        <v>405</v>
      </c>
      <c r="S222" s="109" t="s">
        <v>1745</v>
      </c>
      <c r="T222" s="109" t="s">
        <v>1746</v>
      </c>
      <c r="U222" s="109" t="s">
        <v>1133</v>
      </c>
      <c r="V222" s="109" t="s">
        <v>1028</v>
      </c>
      <c r="X222" s="109" t="s">
        <v>1748</v>
      </c>
      <c r="Y222" s="118"/>
    </row>
    <row r="223" spans="1:25" ht="13">
      <c r="A223" s="146">
        <v>43626.467278009259</v>
      </c>
      <c r="B223" s="109" t="s">
        <v>1749</v>
      </c>
      <c r="C223" s="109" t="s">
        <v>1750</v>
      </c>
      <c r="D223" s="109" t="s">
        <v>1751</v>
      </c>
      <c r="E223" s="109" t="s">
        <v>1752</v>
      </c>
      <c r="F223" s="109" t="s">
        <v>461</v>
      </c>
      <c r="G223" s="109" t="s">
        <v>1101</v>
      </c>
      <c r="H223" s="109" t="s">
        <v>63</v>
      </c>
      <c r="I223" s="109" t="s">
        <v>251</v>
      </c>
      <c r="N223" s="109" t="s">
        <v>1753</v>
      </c>
      <c r="O223" s="109" t="s">
        <v>403</v>
      </c>
      <c r="P223" s="109" t="s">
        <v>1754</v>
      </c>
      <c r="R223" s="109" t="s">
        <v>442</v>
      </c>
      <c r="S223" s="109" t="s">
        <v>1755</v>
      </c>
      <c r="T223" s="109" t="s">
        <v>1756</v>
      </c>
      <c r="U223" s="109" t="s">
        <v>1027</v>
      </c>
      <c r="V223" s="109" t="s">
        <v>1293</v>
      </c>
      <c r="X223" s="109" t="s">
        <v>1757</v>
      </c>
      <c r="Y223" s="118"/>
    </row>
    <row r="224" spans="1:25" ht="13">
      <c r="A224" s="146">
        <v>43626.624125162038</v>
      </c>
      <c r="B224" s="109" t="s">
        <v>1758</v>
      </c>
      <c r="C224" s="109" t="s">
        <v>1759</v>
      </c>
      <c r="D224" s="109" t="s">
        <v>1760</v>
      </c>
      <c r="E224" s="109" t="s">
        <v>1761</v>
      </c>
      <c r="F224" s="109" t="s">
        <v>1762</v>
      </c>
      <c r="G224" s="109" t="s">
        <v>1664</v>
      </c>
      <c r="H224" s="109" t="s">
        <v>202</v>
      </c>
      <c r="I224" s="109" t="s">
        <v>251</v>
      </c>
      <c r="J224" s="109" t="s">
        <v>401</v>
      </c>
      <c r="N224" s="109" t="s">
        <v>1763</v>
      </c>
      <c r="O224" s="109" t="s">
        <v>403</v>
      </c>
      <c r="P224" s="109" t="s">
        <v>1156</v>
      </c>
      <c r="R224" s="109" t="s">
        <v>405</v>
      </c>
      <c r="S224" s="109" t="s">
        <v>1764</v>
      </c>
      <c r="T224" s="109" t="s">
        <v>1765</v>
      </c>
      <c r="U224" s="109" t="s">
        <v>1766</v>
      </c>
      <c r="V224" s="109" t="s">
        <v>1091</v>
      </c>
      <c r="Y224" s="118"/>
    </row>
    <row r="225" spans="1:25" ht="13">
      <c r="A225" s="146">
        <v>43626.944183229163</v>
      </c>
      <c r="B225" s="109" t="s">
        <v>1767</v>
      </c>
      <c r="C225" s="109" t="s">
        <v>1768</v>
      </c>
      <c r="D225" s="109" t="s">
        <v>1769</v>
      </c>
      <c r="E225" s="109" t="s">
        <v>1770</v>
      </c>
      <c r="F225" s="109" t="s">
        <v>461</v>
      </c>
      <c r="G225" s="109" t="s">
        <v>1101</v>
      </c>
      <c r="H225" s="109" t="s">
        <v>202</v>
      </c>
      <c r="I225" s="109" t="s">
        <v>251</v>
      </c>
      <c r="J225" s="109" t="s">
        <v>400</v>
      </c>
      <c r="K225" s="109" t="s">
        <v>163</v>
      </c>
      <c r="L225" s="109" t="s">
        <v>136</v>
      </c>
      <c r="M225" s="109" t="s">
        <v>401</v>
      </c>
      <c r="N225" s="109" t="s">
        <v>1771</v>
      </c>
      <c r="O225" s="109" t="s">
        <v>117</v>
      </c>
      <c r="P225" s="109" t="s">
        <v>1772</v>
      </c>
      <c r="R225" s="109" t="s">
        <v>451</v>
      </c>
      <c r="S225" s="109" t="s">
        <v>1773</v>
      </c>
      <c r="T225" s="109" t="s">
        <v>1774</v>
      </c>
      <c r="U225" s="109" t="s">
        <v>1062</v>
      </c>
      <c r="V225" s="109" t="s">
        <v>1028</v>
      </c>
      <c r="W225" s="109" t="s">
        <v>1775</v>
      </c>
      <c r="X225" s="109" t="s">
        <v>1776</v>
      </c>
      <c r="Y225" s="118"/>
    </row>
    <row r="226" spans="1:25" ht="13">
      <c r="A226" s="146">
        <v>43627.300794224539</v>
      </c>
      <c r="B226" s="109" t="s">
        <v>1777</v>
      </c>
      <c r="C226" s="109" t="s">
        <v>1778</v>
      </c>
      <c r="D226" s="109" t="s">
        <v>1779</v>
      </c>
      <c r="E226" s="109" t="s">
        <v>1780</v>
      </c>
      <c r="F226" s="109" t="s">
        <v>1068</v>
      </c>
      <c r="G226" s="109" t="s">
        <v>1058</v>
      </c>
      <c r="H226" s="109" t="s">
        <v>63</v>
      </c>
      <c r="I226" s="109" t="s">
        <v>401</v>
      </c>
      <c r="J226" s="109" t="s">
        <v>400</v>
      </c>
      <c r="K226" s="109" t="s">
        <v>251</v>
      </c>
      <c r="L226" s="109" t="s">
        <v>163</v>
      </c>
      <c r="M226" s="109" t="s">
        <v>136</v>
      </c>
      <c r="N226" s="109" t="s">
        <v>1781</v>
      </c>
      <c r="O226" s="109" t="s">
        <v>403</v>
      </c>
      <c r="R226" s="109" t="s">
        <v>451</v>
      </c>
      <c r="S226" s="109" t="s">
        <v>1782</v>
      </c>
      <c r="T226" s="109" t="s">
        <v>1783</v>
      </c>
      <c r="U226" s="109" t="s">
        <v>1027</v>
      </c>
      <c r="V226" s="109" t="s">
        <v>1091</v>
      </c>
      <c r="W226" s="109" t="s">
        <v>1784</v>
      </c>
      <c r="X226" s="109" t="s">
        <v>1719</v>
      </c>
      <c r="Y226" s="118"/>
    </row>
    <row r="227" spans="1:25" ht="13">
      <c r="A227" s="146">
        <v>43627.800871377316</v>
      </c>
      <c r="B227" s="109" t="s">
        <v>1785</v>
      </c>
      <c r="C227" s="109" t="s">
        <v>1786</v>
      </c>
      <c r="D227" s="109" t="s">
        <v>1787</v>
      </c>
      <c r="E227" s="109" t="s">
        <v>1788</v>
      </c>
      <c r="F227" s="109" t="s">
        <v>410</v>
      </c>
      <c r="G227" s="109" t="s">
        <v>1789</v>
      </c>
      <c r="H227" s="109" t="s">
        <v>63</v>
      </c>
      <c r="I227" s="109" t="s">
        <v>251</v>
      </c>
      <c r="J227" s="109" t="s">
        <v>401</v>
      </c>
      <c r="K227" s="109" t="s">
        <v>400</v>
      </c>
      <c r="L227" s="109" t="s">
        <v>136</v>
      </c>
      <c r="N227" s="109" t="s">
        <v>1790</v>
      </c>
      <c r="O227" s="109" t="s">
        <v>403</v>
      </c>
      <c r="P227" s="109" t="s">
        <v>1278</v>
      </c>
      <c r="R227" s="109" t="s">
        <v>405</v>
      </c>
      <c r="S227" s="109" t="s">
        <v>1791</v>
      </c>
      <c r="T227" s="109" t="s">
        <v>1792</v>
      </c>
      <c r="U227" s="109" t="s">
        <v>1027</v>
      </c>
      <c r="V227" s="109" t="s">
        <v>1150</v>
      </c>
      <c r="W227" s="109" t="s">
        <v>130</v>
      </c>
      <c r="X227" s="109" t="s">
        <v>1793</v>
      </c>
      <c r="Y227" s="118"/>
    </row>
    <row r="228" spans="1:25" ht="13">
      <c r="A228" s="146">
        <v>43628.495487175926</v>
      </c>
      <c r="B228" s="109" t="s">
        <v>1794</v>
      </c>
      <c r="C228" s="109" t="s">
        <v>1795</v>
      </c>
      <c r="D228" s="109" t="s">
        <v>1796</v>
      </c>
      <c r="E228" s="109" t="s">
        <v>1797</v>
      </c>
      <c r="F228" s="109" t="s">
        <v>1068</v>
      </c>
      <c r="G228" s="109" t="s">
        <v>1022</v>
      </c>
      <c r="H228" s="109" t="s">
        <v>63</v>
      </c>
      <c r="I228" s="109" t="s">
        <v>136</v>
      </c>
      <c r="J228" s="109" t="s">
        <v>251</v>
      </c>
      <c r="K228" s="109" t="s">
        <v>400</v>
      </c>
      <c r="L228" s="109" t="s">
        <v>163</v>
      </c>
      <c r="N228" s="109" t="s">
        <v>1798</v>
      </c>
      <c r="O228" s="109" t="s">
        <v>130</v>
      </c>
      <c r="P228" s="109" t="s">
        <v>1799</v>
      </c>
      <c r="R228" s="109" t="s">
        <v>405</v>
      </c>
      <c r="S228" s="109" t="s">
        <v>1800</v>
      </c>
      <c r="T228" s="109" t="s">
        <v>1801</v>
      </c>
      <c r="U228" s="109" t="s">
        <v>1802</v>
      </c>
      <c r="V228" s="109" t="s">
        <v>1028</v>
      </c>
      <c r="X228" s="109" t="s">
        <v>1803</v>
      </c>
      <c r="Y228" s="118"/>
    </row>
    <row r="229" spans="1:25" ht="13">
      <c r="A229" s="146">
        <v>43628.626217858793</v>
      </c>
      <c r="B229" s="109" t="s">
        <v>1804</v>
      </c>
      <c r="C229" s="109" t="s">
        <v>1805</v>
      </c>
      <c r="D229" s="109" t="s">
        <v>1806</v>
      </c>
      <c r="E229" s="109" t="s">
        <v>1807</v>
      </c>
      <c r="F229" s="109" t="s">
        <v>701</v>
      </c>
      <c r="G229" s="109" t="s">
        <v>1808</v>
      </c>
      <c r="H229" s="109" t="s">
        <v>63</v>
      </c>
      <c r="I229" s="109" t="s">
        <v>400</v>
      </c>
      <c r="J229" s="109" t="s">
        <v>251</v>
      </c>
      <c r="K229" s="109" t="s">
        <v>163</v>
      </c>
      <c r="L229" s="109" t="s">
        <v>401</v>
      </c>
      <c r="N229" s="109" t="s">
        <v>1809</v>
      </c>
      <c r="O229" s="109" t="s">
        <v>130</v>
      </c>
      <c r="R229" s="109" t="s">
        <v>451</v>
      </c>
      <c r="S229" s="109" t="s">
        <v>1810</v>
      </c>
      <c r="T229" s="109" t="s">
        <v>1811</v>
      </c>
      <c r="U229" s="109" t="s">
        <v>1027</v>
      </c>
      <c r="V229" s="109" t="s">
        <v>1293</v>
      </c>
      <c r="X229" s="109" t="s">
        <v>1812</v>
      </c>
      <c r="Y229" s="118"/>
    </row>
    <row r="230" spans="1:25" ht="70">
      <c r="A230" s="146">
        <v>43632.880822581021</v>
      </c>
      <c r="B230" s="109" t="s">
        <v>1813</v>
      </c>
      <c r="C230" s="109" t="s">
        <v>1814</v>
      </c>
      <c r="D230" s="109" t="s">
        <v>1815</v>
      </c>
      <c r="E230" s="109" t="s">
        <v>1816</v>
      </c>
      <c r="F230" s="109" t="s">
        <v>575</v>
      </c>
      <c r="G230" s="109" t="s">
        <v>1049</v>
      </c>
      <c r="H230" s="109" t="s">
        <v>202</v>
      </c>
      <c r="I230" s="109" t="s">
        <v>136</v>
      </c>
      <c r="J230" s="109" t="s">
        <v>251</v>
      </c>
      <c r="K230" s="109" t="s">
        <v>400</v>
      </c>
      <c r="N230" s="109" t="s">
        <v>1817</v>
      </c>
      <c r="O230" s="109" t="s">
        <v>130</v>
      </c>
      <c r="P230" s="109" t="s">
        <v>1818</v>
      </c>
      <c r="R230" s="109" t="s">
        <v>405</v>
      </c>
      <c r="S230" s="109" t="s">
        <v>1819</v>
      </c>
      <c r="T230" s="109" t="s">
        <v>1820</v>
      </c>
      <c r="U230" s="109" t="s">
        <v>1062</v>
      </c>
      <c r="V230" s="109" t="s">
        <v>1821</v>
      </c>
      <c r="W230" s="109" t="s">
        <v>1822</v>
      </c>
      <c r="X230" s="109" t="s">
        <v>1823</v>
      </c>
      <c r="Y230" s="164" t="s">
        <v>1824</v>
      </c>
    </row>
    <row r="231" spans="1:25" ht="13">
      <c r="A231" s="146">
        <v>43633.67853769676</v>
      </c>
      <c r="B231" s="109" t="s">
        <v>1825</v>
      </c>
      <c r="C231" s="109" t="s">
        <v>1826</v>
      </c>
      <c r="D231" s="109" t="s">
        <v>1827</v>
      </c>
      <c r="E231" s="109" t="s">
        <v>1828</v>
      </c>
      <c r="F231" s="109" t="s">
        <v>418</v>
      </c>
      <c r="G231" s="109" t="s">
        <v>1219</v>
      </c>
      <c r="H231" s="109" t="s">
        <v>63</v>
      </c>
      <c r="I231" s="109" t="s">
        <v>401</v>
      </c>
      <c r="J231" s="109" t="s">
        <v>251</v>
      </c>
      <c r="K231" s="109" t="s">
        <v>400</v>
      </c>
      <c r="L231" s="109" t="s">
        <v>136</v>
      </c>
      <c r="M231" s="109" t="s">
        <v>163</v>
      </c>
      <c r="O231" s="109" t="s">
        <v>117</v>
      </c>
      <c r="R231" s="109" t="s">
        <v>451</v>
      </c>
      <c r="S231" s="109" t="s">
        <v>1829</v>
      </c>
      <c r="T231" s="109" t="s">
        <v>20</v>
      </c>
      <c r="U231" s="109" t="s">
        <v>1036</v>
      </c>
      <c r="V231" s="109" t="s">
        <v>1028</v>
      </c>
      <c r="X231" s="109" t="s">
        <v>1677</v>
      </c>
      <c r="Y231" s="118"/>
    </row>
    <row r="232" spans="1:25" ht="13">
      <c r="A232" s="146">
        <v>43634.573138344902</v>
      </c>
      <c r="B232" s="109" t="s">
        <v>1621</v>
      </c>
      <c r="C232" s="109" t="s">
        <v>1622</v>
      </c>
      <c r="D232" s="109" t="s">
        <v>1830</v>
      </c>
      <c r="E232" s="109" t="s">
        <v>1623</v>
      </c>
      <c r="F232" s="109" t="s">
        <v>418</v>
      </c>
      <c r="G232" s="109" t="s">
        <v>1022</v>
      </c>
      <c r="H232" s="109" t="s">
        <v>63</v>
      </c>
      <c r="I232" s="109" t="s">
        <v>400</v>
      </c>
      <c r="J232" s="109" t="s">
        <v>251</v>
      </c>
      <c r="K232" s="109" t="s">
        <v>401</v>
      </c>
      <c r="L232" s="109" t="s">
        <v>163</v>
      </c>
      <c r="M232" s="109" t="s">
        <v>136</v>
      </c>
      <c r="O232" s="109" t="s">
        <v>117</v>
      </c>
      <c r="R232" s="109" t="s">
        <v>451</v>
      </c>
      <c r="S232" s="109" t="s">
        <v>1831</v>
      </c>
      <c r="T232" s="109" t="s">
        <v>1832</v>
      </c>
      <c r="U232" s="109" t="s">
        <v>1133</v>
      </c>
      <c r="V232" s="109" t="s">
        <v>1028</v>
      </c>
      <c r="X232" s="109" t="s">
        <v>1833</v>
      </c>
      <c r="Y232" s="118"/>
    </row>
    <row r="233" spans="1:25" ht="13">
      <c r="A233" s="146">
        <v>43635.013758981484</v>
      </c>
      <c r="B233" s="109" t="s">
        <v>1834</v>
      </c>
      <c r="C233" s="109" t="s">
        <v>1835</v>
      </c>
      <c r="D233" s="109" t="s">
        <v>1836</v>
      </c>
      <c r="E233" s="109" t="s">
        <v>1837</v>
      </c>
      <c r="F233" s="109" t="s">
        <v>461</v>
      </c>
      <c r="G233" s="109" t="s">
        <v>1022</v>
      </c>
      <c r="H233" s="109" t="s">
        <v>63</v>
      </c>
      <c r="I233" s="109" t="s">
        <v>136</v>
      </c>
      <c r="J233" s="109" t="s">
        <v>251</v>
      </c>
      <c r="K233" s="109" t="s">
        <v>401</v>
      </c>
      <c r="L233" s="109" t="s">
        <v>400</v>
      </c>
      <c r="M233" s="109" t="s">
        <v>163</v>
      </c>
      <c r="N233" s="109" t="s">
        <v>1838</v>
      </c>
      <c r="O233" s="109" t="s">
        <v>117</v>
      </c>
      <c r="P233" s="109" t="s">
        <v>1839</v>
      </c>
      <c r="R233" s="109" t="s">
        <v>451</v>
      </c>
      <c r="S233" s="109" t="s">
        <v>1840</v>
      </c>
      <c r="T233" s="109" t="s">
        <v>130</v>
      </c>
      <c r="U233" s="109" t="s">
        <v>1097</v>
      </c>
      <c r="V233" s="109" t="s">
        <v>1028</v>
      </c>
      <c r="X233" s="109" t="s">
        <v>1841</v>
      </c>
      <c r="Y233" s="118"/>
    </row>
    <row r="234" spans="1:25" ht="13">
      <c r="A234" s="146">
        <v>43635.569246909727</v>
      </c>
      <c r="B234" s="109" t="s">
        <v>1842</v>
      </c>
      <c r="C234" s="109" t="s">
        <v>1843</v>
      </c>
      <c r="D234" s="109" t="s">
        <v>1844</v>
      </c>
      <c r="E234" s="109" t="s">
        <v>1845</v>
      </c>
      <c r="F234" s="109" t="s">
        <v>418</v>
      </c>
      <c r="G234" s="109" t="s">
        <v>1022</v>
      </c>
      <c r="H234" s="109" t="s">
        <v>63</v>
      </c>
      <c r="I234" s="109" t="s">
        <v>251</v>
      </c>
      <c r="J234" s="109" t="s">
        <v>400</v>
      </c>
      <c r="N234" s="109" t="s">
        <v>1846</v>
      </c>
      <c r="O234" s="109" t="s">
        <v>117</v>
      </c>
      <c r="P234" s="109" t="s">
        <v>1847</v>
      </c>
      <c r="R234" s="109" t="s">
        <v>451</v>
      </c>
      <c r="S234" s="109" t="s">
        <v>1848</v>
      </c>
      <c r="T234" s="109" t="s">
        <v>1849</v>
      </c>
      <c r="U234" s="109" t="s">
        <v>1027</v>
      </c>
      <c r="V234" s="109" t="s">
        <v>1293</v>
      </c>
      <c r="X234" s="109" t="s">
        <v>1850</v>
      </c>
      <c r="Y234" s="118"/>
    </row>
    <row r="235" spans="1:25" ht="13">
      <c r="A235" s="146">
        <v>43638.362693622686</v>
      </c>
      <c r="B235" s="109" t="s">
        <v>1851</v>
      </c>
      <c r="C235" s="109" t="s">
        <v>1852</v>
      </c>
      <c r="D235" s="109" t="s">
        <v>1853</v>
      </c>
      <c r="E235" s="109" t="s">
        <v>1854</v>
      </c>
      <c r="F235" s="109" t="s">
        <v>431</v>
      </c>
      <c r="G235" s="109" t="s">
        <v>1049</v>
      </c>
      <c r="H235" s="109" t="s">
        <v>202</v>
      </c>
      <c r="N235" s="109" t="s">
        <v>1855</v>
      </c>
      <c r="O235" s="109" t="s">
        <v>130</v>
      </c>
      <c r="P235" s="109" t="s">
        <v>1856</v>
      </c>
      <c r="R235" s="109" t="s">
        <v>451</v>
      </c>
      <c r="S235" s="109" t="s">
        <v>1857</v>
      </c>
      <c r="T235" s="109" t="s">
        <v>1532</v>
      </c>
      <c r="U235" s="109" t="s">
        <v>1858</v>
      </c>
      <c r="V235" s="109" t="s">
        <v>1091</v>
      </c>
      <c r="X235" s="109" t="s">
        <v>1859</v>
      </c>
      <c r="Y235" s="118"/>
    </row>
    <row r="236" spans="1:25" ht="13">
      <c r="A236" s="146">
        <v>43640.126610057865</v>
      </c>
      <c r="B236" s="109" t="s">
        <v>1860</v>
      </c>
      <c r="C236" s="109" t="s">
        <v>1861</v>
      </c>
      <c r="D236" s="109" t="s">
        <v>1862</v>
      </c>
      <c r="E236" s="109" t="s">
        <v>1863</v>
      </c>
      <c r="F236" s="109" t="s">
        <v>1864</v>
      </c>
      <c r="G236" s="109" t="s">
        <v>1022</v>
      </c>
      <c r="H236" s="109" t="s">
        <v>202</v>
      </c>
      <c r="I236" s="109" t="s">
        <v>400</v>
      </c>
      <c r="J236" s="109" t="s">
        <v>163</v>
      </c>
      <c r="K236" s="109" t="s">
        <v>251</v>
      </c>
      <c r="L236" s="109" t="s">
        <v>401</v>
      </c>
      <c r="M236" s="109" t="s">
        <v>136</v>
      </c>
      <c r="N236" s="109" t="s">
        <v>1865</v>
      </c>
      <c r="O236" s="109" t="s">
        <v>403</v>
      </c>
      <c r="P236" s="109" t="s">
        <v>1866</v>
      </c>
      <c r="R236" s="109" t="s">
        <v>405</v>
      </c>
      <c r="S236" s="109" t="s">
        <v>1867</v>
      </c>
      <c r="T236" s="109" t="s">
        <v>1868</v>
      </c>
      <c r="U236" s="109" t="s">
        <v>1027</v>
      </c>
      <c r="V236" s="109" t="s">
        <v>1869</v>
      </c>
      <c r="W236" s="109" t="s">
        <v>1870</v>
      </c>
      <c r="X236" s="109" t="s">
        <v>1871</v>
      </c>
      <c r="Y236" s="118"/>
    </row>
    <row r="237" spans="1:25" ht="13">
      <c r="A237" s="146">
        <v>43643.494895821757</v>
      </c>
      <c r="B237" s="109" t="s">
        <v>1872</v>
      </c>
      <c r="C237" s="109" t="s">
        <v>1873</v>
      </c>
      <c r="D237" s="109" t="s">
        <v>1874</v>
      </c>
      <c r="E237" s="109" t="s">
        <v>1875</v>
      </c>
      <c r="F237" s="109" t="s">
        <v>1409</v>
      </c>
      <c r="G237" s="109" t="s">
        <v>1022</v>
      </c>
      <c r="H237" s="109" t="s">
        <v>63</v>
      </c>
      <c r="I237" s="109" t="s">
        <v>400</v>
      </c>
      <c r="J237" s="109" t="s">
        <v>251</v>
      </c>
      <c r="K237" s="109" t="s">
        <v>401</v>
      </c>
      <c r="L237" s="109" t="s">
        <v>163</v>
      </c>
      <c r="M237" s="109" t="s">
        <v>136</v>
      </c>
      <c r="N237" s="109" t="s">
        <v>1876</v>
      </c>
      <c r="O237" s="109" t="s">
        <v>403</v>
      </c>
      <c r="P237" s="109" t="s">
        <v>1877</v>
      </c>
      <c r="R237" s="109" t="s">
        <v>405</v>
      </c>
      <c r="S237" s="109" t="s">
        <v>1878</v>
      </c>
      <c r="T237" s="109" t="s">
        <v>1879</v>
      </c>
      <c r="U237" s="109" t="s">
        <v>1292</v>
      </c>
      <c r="V237" s="109" t="s">
        <v>1293</v>
      </c>
      <c r="X237" s="109" t="s">
        <v>1833</v>
      </c>
      <c r="Y237" s="118"/>
    </row>
    <row r="238" spans="1:25" ht="112">
      <c r="A238" s="146">
        <v>43648.499800069447</v>
      </c>
      <c r="B238" s="109" t="s">
        <v>1880</v>
      </c>
      <c r="C238" s="109" t="s">
        <v>34</v>
      </c>
      <c r="D238" s="109" t="s">
        <v>1881</v>
      </c>
      <c r="E238" s="109" t="s">
        <v>1882</v>
      </c>
      <c r="F238" s="109" t="s">
        <v>1883</v>
      </c>
      <c r="G238" s="109" t="s">
        <v>1884</v>
      </c>
      <c r="H238" s="109" t="s">
        <v>202</v>
      </c>
      <c r="I238" s="109" t="s">
        <v>400</v>
      </c>
      <c r="J238" s="109" t="s">
        <v>251</v>
      </c>
      <c r="K238" s="109" t="s">
        <v>401</v>
      </c>
      <c r="L238" s="109" t="s">
        <v>163</v>
      </c>
      <c r="M238" s="109" t="s">
        <v>136</v>
      </c>
      <c r="N238" s="109" t="s">
        <v>1885</v>
      </c>
      <c r="O238" s="109" t="s">
        <v>117</v>
      </c>
      <c r="P238" s="109" t="s">
        <v>117</v>
      </c>
      <c r="R238" s="109" t="s">
        <v>451</v>
      </c>
      <c r="S238" s="109" t="s">
        <v>1886</v>
      </c>
      <c r="T238" s="109" t="s">
        <v>1887</v>
      </c>
      <c r="U238" s="109" t="s">
        <v>1292</v>
      </c>
      <c r="V238" s="109" t="s">
        <v>1293</v>
      </c>
      <c r="W238" s="109" t="s">
        <v>313</v>
      </c>
      <c r="X238" s="109" t="s">
        <v>1888</v>
      </c>
      <c r="Y238" s="164" t="s">
        <v>1889</v>
      </c>
    </row>
    <row r="239" spans="1:25" ht="13">
      <c r="A239" s="146">
        <v>43648.644603090273</v>
      </c>
      <c r="B239" s="109" t="s">
        <v>1890</v>
      </c>
      <c r="C239" s="109" t="s">
        <v>1891</v>
      </c>
      <c r="D239" s="109" t="s">
        <v>1892</v>
      </c>
      <c r="E239" s="109" t="s">
        <v>1893</v>
      </c>
      <c r="F239" s="109" t="s">
        <v>1894</v>
      </c>
      <c r="G239" s="109" t="s">
        <v>1049</v>
      </c>
      <c r="H239" s="109" t="s">
        <v>63</v>
      </c>
      <c r="I239" s="109" t="s">
        <v>136</v>
      </c>
      <c r="J239" s="109" t="s">
        <v>401</v>
      </c>
      <c r="N239" s="109" t="s">
        <v>1895</v>
      </c>
      <c r="O239" s="109" t="s">
        <v>403</v>
      </c>
      <c r="R239" s="109" t="s">
        <v>405</v>
      </c>
      <c r="S239" s="109" t="s">
        <v>1896</v>
      </c>
      <c r="T239" s="109" t="s">
        <v>1897</v>
      </c>
      <c r="U239" s="109" t="s">
        <v>1027</v>
      </c>
      <c r="V239" s="109" t="s">
        <v>1028</v>
      </c>
      <c r="X239" s="109" t="s">
        <v>1677</v>
      </c>
      <c r="Y239" s="118"/>
    </row>
    <row r="240" spans="1:25" ht="13">
      <c r="A240" s="146">
        <v>43651.292480902775</v>
      </c>
      <c r="B240" s="109" t="s">
        <v>1898</v>
      </c>
      <c r="C240" s="109" t="s">
        <v>823</v>
      </c>
      <c r="E240" s="109" t="s">
        <v>1899</v>
      </c>
      <c r="F240" s="109" t="s">
        <v>701</v>
      </c>
      <c r="G240" s="109" t="s">
        <v>1900</v>
      </c>
      <c r="H240" s="109" t="s">
        <v>63</v>
      </c>
      <c r="I240" s="109" t="s">
        <v>401</v>
      </c>
      <c r="J240" s="109" t="s">
        <v>251</v>
      </c>
      <c r="K240" s="109" t="s">
        <v>400</v>
      </c>
      <c r="L240" s="109" t="s">
        <v>163</v>
      </c>
      <c r="M240" s="109" t="s">
        <v>136</v>
      </c>
      <c r="O240" s="109" t="s">
        <v>403</v>
      </c>
      <c r="P240" s="109" t="s">
        <v>1901</v>
      </c>
      <c r="R240" s="109" t="s">
        <v>405</v>
      </c>
      <c r="S240" s="109" t="s">
        <v>1902</v>
      </c>
      <c r="T240" s="109" t="s">
        <v>1903</v>
      </c>
      <c r="U240" s="109" t="s">
        <v>1904</v>
      </c>
      <c r="V240" s="109" t="s">
        <v>1293</v>
      </c>
      <c r="X240" s="109" t="s">
        <v>1905</v>
      </c>
      <c r="Y240" s="118"/>
    </row>
    <row r="241" spans="1:25" ht="13">
      <c r="A241" s="146">
        <v>43651.618374479163</v>
      </c>
      <c r="B241" s="109" t="s">
        <v>1906</v>
      </c>
      <c r="C241" s="109" t="s">
        <v>1907</v>
      </c>
      <c r="D241" s="109" t="s">
        <v>1908</v>
      </c>
      <c r="E241" s="109" t="s">
        <v>1909</v>
      </c>
      <c r="F241" s="109" t="s">
        <v>461</v>
      </c>
      <c r="G241" s="109" t="s">
        <v>1610</v>
      </c>
      <c r="H241" s="109" t="s">
        <v>63</v>
      </c>
      <c r="I241" s="109" t="s">
        <v>251</v>
      </c>
      <c r="J241" s="109" t="s">
        <v>163</v>
      </c>
      <c r="K241" s="109" t="s">
        <v>401</v>
      </c>
      <c r="L241" s="109" t="s">
        <v>400</v>
      </c>
      <c r="M241" s="109" t="s">
        <v>136</v>
      </c>
      <c r="N241" s="109" t="s">
        <v>1911</v>
      </c>
      <c r="O241" s="109" t="s">
        <v>403</v>
      </c>
      <c r="P241" s="109" t="s">
        <v>1912</v>
      </c>
      <c r="R241" s="109" t="s">
        <v>451</v>
      </c>
      <c r="S241" s="109" t="s">
        <v>1913</v>
      </c>
      <c r="T241" s="109" t="s">
        <v>1914</v>
      </c>
      <c r="U241" s="109" t="s">
        <v>1062</v>
      </c>
      <c r="V241" s="109" t="s">
        <v>1028</v>
      </c>
      <c r="X241" s="109" t="s">
        <v>1915</v>
      </c>
      <c r="Y241" s="118"/>
    </row>
    <row r="242" spans="1:25" ht="13">
      <c r="A242" s="146">
        <v>43653.190009479164</v>
      </c>
      <c r="B242" s="109" t="s">
        <v>1916</v>
      </c>
      <c r="C242" s="109" t="s">
        <v>1917</v>
      </c>
      <c r="D242" s="109" t="s">
        <v>1918</v>
      </c>
      <c r="E242" s="109" t="s">
        <v>1919</v>
      </c>
      <c r="F242" s="109" t="s">
        <v>701</v>
      </c>
      <c r="G242" s="109" t="s">
        <v>1920</v>
      </c>
      <c r="H242" s="109" t="s">
        <v>202</v>
      </c>
      <c r="O242" s="109" t="s">
        <v>117</v>
      </c>
      <c r="R242" s="109" t="s">
        <v>451</v>
      </c>
      <c r="S242" s="109" t="s">
        <v>1921</v>
      </c>
      <c r="T242" s="109" t="s">
        <v>1922</v>
      </c>
      <c r="U242" s="109" t="s">
        <v>1133</v>
      </c>
      <c r="V242" s="109" t="s">
        <v>1293</v>
      </c>
      <c r="X242" s="109" t="s">
        <v>1833</v>
      </c>
      <c r="Y242" s="118"/>
    </row>
    <row r="243" spans="1:25" ht="13">
      <c r="A243" s="146">
        <v>43654.534963287035</v>
      </c>
      <c r="B243" s="109" t="s">
        <v>1923</v>
      </c>
      <c r="C243" s="109" t="s">
        <v>1924</v>
      </c>
      <c r="D243" s="109" t="s">
        <v>1925</v>
      </c>
      <c r="E243" s="109" t="s">
        <v>1926</v>
      </c>
      <c r="F243" s="109" t="s">
        <v>529</v>
      </c>
      <c r="G243" s="109" t="s">
        <v>1077</v>
      </c>
      <c r="H243" s="109" t="s">
        <v>63</v>
      </c>
      <c r="I243" s="109" t="s">
        <v>401</v>
      </c>
      <c r="J243" s="109" t="s">
        <v>251</v>
      </c>
      <c r="K243" s="109" t="s">
        <v>400</v>
      </c>
      <c r="L243" s="109" t="s">
        <v>136</v>
      </c>
      <c r="M243" s="109" t="s">
        <v>163</v>
      </c>
      <c r="N243" s="109" t="s">
        <v>1927</v>
      </c>
      <c r="O243" s="109" t="s">
        <v>403</v>
      </c>
      <c r="R243" s="109" t="s">
        <v>405</v>
      </c>
      <c r="S243" s="109" t="s">
        <v>1928</v>
      </c>
      <c r="T243" s="109" t="s">
        <v>1929</v>
      </c>
      <c r="U243" s="109" t="s">
        <v>1036</v>
      </c>
      <c r="V243" s="109" t="s">
        <v>1930</v>
      </c>
      <c r="W243" s="109" t="s">
        <v>1931</v>
      </c>
      <c r="X243" s="109" t="s">
        <v>1932</v>
      </c>
      <c r="Y243" s="118"/>
    </row>
    <row r="244" spans="1:25" ht="13">
      <c r="A244" s="146">
        <v>43655.430178726849</v>
      </c>
      <c r="B244" s="109" t="s">
        <v>1933</v>
      </c>
      <c r="C244" s="109" t="s">
        <v>1934</v>
      </c>
      <c r="E244" s="109" t="s">
        <v>1935</v>
      </c>
      <c r="F244" s="109" t="s">
        <v>1936</v>
      </c>
      <c r="G244" s="109" t="s">
        <v>1077</v>
      </c>
      <c r="H244" s="109" t="s">
        <v>63</v>
      </c>
      <c r="I244" s="109" t="s">
        <v>251</v>
      </c>
      <c r="J244" s="109" t="s">
        <v>401</v>
      </c>
      <c r="K244" s="109" t="s">
        <v>400</v>
      </c>
      <c r="L244" s="109" t="s">
        <v>136</v>
      </c>
      <c r="M244" s="109" t="s">
        <v>163</v>
      </c>
      <c r="N244" s="109" t="s">
        <v>1937</v>
      </c>
      <c r="O244" s="109" t="s">
        <v>403</v>
      </c>
      <c r="P244" s="109" t="s">
        <v>1938</v>
      </c>
      <c r="R244" s="109" t="s">
        <v>451</v>
      </c>
      <c r="S244" s="109" t="s">
        <v>1939</v>
      </c>
      <c r="T244" s="109" t="s">
        <v>1940</v>
      </c>
      <c r="U244" s="109" t="s">
        <v>1027</v>
      </c>
      <c r="V244" s="109" t="s">
        <v>1091</v>
      </c>
      <c r="X244" s="109" t="s">
        <v>1833</v>
      </c>
      <c r="Y244" s="118"/>
    </row>
    <row r="245" spans="1:25" ht="13">
      <c r="A245" s="146">
        <v>43661.550887303238</v>
      </c>
      <c r="B245" s="109" t="s">
        <v>1941</v>
      </c>
      <c r="C245" s="109" t="s">
        <v>1942</v>
      </c>
      <c r="E245" s="109" t="s">
        <v>1943</v>
      </c>
      <c r="F245" s="109" t="s">
        <v>447</v>
      </c>
      <c r="G245" s="109" t="s">
        <v>1439</v>
      </c>
      <c r="H245" s="109" t="s">
        <v>63</v>
      </c>
      <c r="I245" s="109" t="s">
        <v>400</v>
      </c>
      <c r="U245" s="109" t="s">
        <v>1036</v>
      </c>
      <c r="V245" s="109" t="s">
        <v>1293</v>
      </c>
      <c r="X245" s="109" t="s">
        <v>1677</v>
      </c>
    </row>
    <row r="246" spans="1:25" ht="13">
      <c r="A246" s="146">
        <v>43662.489374930556</v>
      </c>
      <c r="B246" s="109" t="s">
        <v>1944</v>
      </c>
      <c r="C246" s="109" t="s">
        <v>1945</v>
      </c>
      <c r="E246" s="109" t="s">
        <v>1946</v>
      </c>
      <c r="F246" s="109" t="s">
        <v>1068</v>
      </c>
      <c r="G246" s="109" t="s">
        <v>1049</v>
      </c>
      <c r="H246" s="109" t="s">
        <v>63</v>
      </c>
      <c r="I246" s="109" t="s">
        <v>251</v>
      </c>
      <c r="J246" s="109" t="s">
        <v>401</v>
      </c>
      <c r="K246" s="109" t="s">
        <v>400</v>
      </c>
      <c r="L246" s="109" t="s">
        <v>136</v>
      </c>
      <c r="M246" s="109" t="s">
        <v>163</v>
      </c>
      <c r="N246" s="109" t="s">
        <v>1947</v>
      </c>
      <c r="O246" s="109" t="s">
        <v>130</v>
      </c>
      <c r="P246" s="109" t="s">
        <v>1948</v>
      </c>
      <c r="R246" s="109" t="s">
        <v>451</v>
      </c>
      <c r="S246" s="109" t="s">
        <v>1949</v>
      </c>
      <c r="U246" s="109" t="s">
        <v>1950</v>
      </c>
      <c r="V246" s="109" t="s">
        <v>1028</v>
      </c>
      <c r="X246" s="109" t="s">
        <v>1757</v>
      </c>
    </row>
    <row r="247" spans="1:25" ht="13">
      <c r="A247" s="146">
        <v>43663.568191979168</v>
      </c>
      <c r="B247" s="109" t="s">
        <v>1951</v>
      </c>
      <c r="C247" s="109" t="s">
        <v>1952</v>
      </c>
      <c r="D247" s="109" t="s">
        <v>1953</v>
      </c>
      <c r="E247" s="109" t="s">
        <v>1954</v>
      </c>
      <c r="F247" s="109" t="s">
        <v>418</v>
      </c>
      <c r="G247" s="109" t="s">
        <v>1955</v>
      </c>
      <c r="H247" s="109" t="s">
        <v>63</v>
      </c>
      <c r="I247" s="109" t="s">
        <v>400</v>
      </c>
      <c r="J247" s="109" t="s">
        <v>251</v>
      </c>
      <c r="N247" s="109" t="s">
        <v>1054</v>
      </c>
      <c r="O247" s="109" t="s">
        <v>130</v>
      </c>
      <c r="P247" s="109" t="s">
        <v>1956</v>
      </c>
      <c r="R247" s="109" t="s">
        <v>405</v>
      </c>
      <c r="S247" s="109" t="s">
        <v>1957</v>
      </c>
      <c r="T247" s="109" t="s">
        <v>1958</v>
      </c>
      <c r="U247" s="109" t="s">
        <v>1027</v>
      </c>
      <c r="V247" s="109" t="s">
        <v>1150</v>
      </c>
      <c r="X247" s="109" t="s">
        <v>1833</v>
      </c>
    </row>
    <row r="248" spans="1:25" ht="13">
      <c r="A248" s="146">
        <v>43663.986115659718</v>
      </c>
      <c r="B248" s="109" t="s">
        <v>1959</v>
      </c>
      <c r="C248" s="109" t="s">
        <v>1960</v>
      </c>
      <c r="D248" s="109" t="s">
        <v>1961</v>
      </c>
      <c r="E248" s="109" t="s">
        <v>1962</v>
      </c>
      <c r="F248" s="109" t="s">
        <v>492</v>
      </c>
      <c r="G248" s="109" t="s">
        <v>1049</v>
      </c>
      <c r="H248" s="109" t="s">
        <v>63</v>
      </c>
      <c r="I248" s="109" t="s">
        <v>401</v>
      </c>
      <c r="J248" s="109" t="s">
        <v>400</v>
      </c>
      <c r="K248" s="109" t="s">
        <v>251</v>
      </c>
      <c r="N248" s="109" t="s">
        <v>1963</v>
      </c>
      <c r="O248" s="109" t="s">
        <v>130</v>
      </c>
      <c r="P248" s="109" t="s">
        <v>1964</v>
      </c>
      <c r="R248" s="109" t="s">
        <v>405</v>
      </c>
      <c r="S248" s="109" t="s">
        <v>1965</v>
      </c>
      <c r="T248" s="109" t="s">
        <v>1966</v>
      </c>
      <c r="U248" s="109" t="s">
        <v>1097</v>
      </c>
      <c r="V248" s="109" t="s">
        <v>1091</v>
      </c>
      <c r="W248" s="109" t="s">
        <v>1104</v>
      </c>
      <c r="X248" s="109" t="s">
        <v>1677</v>
      </c>
    </row>
    <row r="249" spans="1:25" ht="13">
      <c r="A249" s="146">
        <v>43665.506235138891</v>
      </c>
      <c r="B249" s="109" t="s">
        <v>1967</v>
      </c>
      <c r="C249" s="109" t="s">
        <v>1968</v>
      </c>
      <c r="E249" s="109" t="s">
        <v>1969</v>
      </c>
      <c r="F249" s="109" t="s">
        <v>418</v>
      </c>
      <c r="G249" s="109" t="s">
        <v>1022</v>
      </c>
      <c r="H249" s="109" t="s">
        <v>63</v>
      </c>
      <c r="I249" s="109" t="s">
        <v>251</v>
      </c>
      <c r="J249" s="109" t="s">
        <v>400</v>
      </c>
      <c r="K249" s="109" t="s">
        <v>136</v>
      </c>
      <c r="L249" s="109" t="s">
        <v>401</v>
      </c>
      <c r="M249" s="109" t="s">
        <v>163</v>
      </c>
      <c r="O249" s="109" t="s">
        <v>403</v>
      </c>
      <c r="P249" s="109" t="s">
        <v>117</v>
      </c>
      <c r="R249" s="109" t="s">
        <v>451</v>
      </c>
      <c r="S249" s="109" t="s">
        <v>1970</v>
      </c>
      <c r="T249" s="109" t="s">
        <v>1971</v>
      </c>
      <c r="U249" s="109" t="s">
        <v>1062</v>
      </c>
      <c r="V249" s="109" t="s">
        <v>1028</v>
      </c>
      <c r="X249" s="109" t="s">
        <v>1972</v>
      </c>
    </row>
    <row r="250" spans="1:25" ht="13">
      <c r="A250" s="146">
        <v>43668.945003587964</v>
      </c>
      <c r="B250" s="109" t="s">
        <v>1973</v>
      </c>
      <c r="C250" s="109" t="s">
        <v>840</v>
      </c>
      <c r="D250" s="109" t="s">
        <v>1974</v>
      </c>
      <c r="E250" s="109" t="s">
        <v>1975</v>
      </c>
      <c r="F250" s="109" t="s">
        <v>492</v>
      </c>
      <c r="G250" s="109" t="s">
        <v>1101</v>
      </c>
      <c r="H250" s="109" t="s">
        <v>63</v>
      </c>
      <c r="I250" s="109" t="s">
        <v>401</v>
      </c>
      <c r="J250" s="109" t="s">
        <v>400</v>
      </c>
      <c r="K250" s="109" t="s">
        <v>251</v>
      </c>
      <c r="N250" s="109" t="s">
        <v>1976</v>
      </c>
      <c r="O250" s="109" t="s">
        <v>130</v>
      </c>
      <c r="P250" s="109" t="s">
        <v>1977</v>
      </c>
      <c r="R250" s="109" t="s">
        <v>405</v>
      </c>
      <c r="S250" s="109" t="s">
        <v>1978</v>
      </c>
      <c r="U250" s="109" t="s">
        <v>1036</v>
      </c>
      <c r="V250" s="109" t="s">
        <v>1028</v>
      </c>
      <c r="W250" s="109" t="s">
        <v>1979</v>
      </c>
      <c r="X250" s="109" t="s">
        <v>1980</v>
      </c>
    </row>
    <row r="251" spans="1:25" ht="13">
      <c r="A251" s="146">
        <v>43671.887762453705</v>
      </c>
      <c r="B251" s="109" t="s">
        <v>1981</v>
      </c>
      <c r="C251" s="109" t="s">
        <v>1453</v>
      </c>
      <c r="D251" s="109" t="s">
        <v>1982</v>
      </c>
      <c r="E251" s="109" t="s">
        <v>1983</v>
      </c>
      <c r="F251" s="109" t="s">
        <v>492</v>
      </c>
      <c r="G251" s="109" t="s">
        <v>1101</v>
      </c>
      <c r="H251" s="109" t="s">
        <v>63</v>
      </c>
      <c r="I251" s="109" t="s">
        <v>251</v>
      </c>
      <c r="J251" s="109" t="s">
        <v>400</v>
      </c>
      <c r="K251" s="109" t="s">
        <v>401</v>
      </c>
      <c r="L251" s="109" t="s">
        <v>163</v>
      </c>
      <c r="M251" s="109" t="s">
        <v>136</v>
      </c>
      <c r="N251" s="109" t="s">
        <v>1984</v>
      </c>
      <c r="O251" s="109" t="s">
        <v>403</v>
      </c>
      <c r="R251" s="109" t="s">
        <v>451</v>
      </c>
      <c r="S251" s="109" t="s">
        <v>1985</v>
      </c>
      <c r="U251" s="109" t="s">
        <v>1097</v>
      </c>
      <c r="V251" s="109" t="s">
        <v>1091</v>
      </c>
      <c r="W251" s="109" t="s">
        <v>1104</v>
      </c>
      <c r="X251" s="109" t="s">
        <v>1687</v>
      </c>
    </row>
    <row r="252" spans="1:25" ht="13">
      <c r="A252" s="146">
        <v>43672.247576226851</v>
      </c>
      <c r="B252" s="109" t="s">
        <v>1986</v>
      </c>
      <c r="C252" s="109" t="s">
        <v>1987</v>
      </c>
      <c r="D252" s="109" t="s">
        <v>1988</v>
      </c>
      <c r="E252" s="109" t="s">
        <v>1989</v>
      </c>
      <c r="F252" s="109" t="s">
        <v>431</v>
      </c>
      <c r="G252" s="109" t="s">
        <v>1022</v>
      </c>
      <c r="H252" s="109" t="s">
        <v>202</v>
      </c>
      <c r="I252" s="109" t="s">
        <v>251</v>
      </c>
      <c r="J252" s="109" t="s">
        <v>401</v>
      </c>
      <c r="K252" s="109" t="s">
        <v>163</v>
      </c>
      <c r="N252" s="109" t="s">
        <v>1990</v>
      </c>
      <c r="O252" s="109" t="s">
        <v>403</v>
      </c>
      <c r="P252" s="109" t="s">
        <v>1991</v>
      </c>
      <c r="R252" s="109" t="s">
        <v>451</v>
      </c>
      <c r="S252" s="109" t="s">
        <v>1992</v>
      </c>
      <c r="T252" s="109" t="s">
        <v>1991</v>
      </c>
      <c r="U252" s="109" t="s">
        <v>1062</v>
      </c>
      <c r="V252" s="109" t="s">
        <v>1028</v>
      </c>
      <c r="W252" s="109" t="s">
        <v>1993</v>
      </c>
      <c r="X252" s="109" t="s">
        <v>1994</v>
      </c>
    </row>
    <row r="253" spans="1:25" ht="13">
      <c r="A253" s="146">
        <v>43673.078783564815</v>
      </c>
      <c r="B253" s="109" t="s">
        <v>1995</v>
      </c>
      <c r="C253" s="109" t="s">
        <v>1996</v>
      </c>
      <c r="E253" s="109" t="s">
        <v>1997</v>
      </c>
      <c r="F253" s="109" t="s">
        <v>461</v>
      </c>
      <c r="G253" s="109" t="s">
        <v>1637</v>
      </c>
      <c r="H253" s="109" t="s">
        <v>63</v>
      </c>
      <c r="I253" s="109" t="s">
        <v>401</v>
      </c>
      <c r="J253" s="109" t="s">
        <v>251</v>
      </c>
      <c r="K253" s="109" t="s">
        <v>400</v>
      </c>
      <c r="O253" s="109" t="s">
        <v>403</v>
      </c>
      <c r="P253" s="109" t="s">
        <v>1998</v>
      </c>
      <c r="R253" s="109" t="s">
        <v>405</v>
      </c>
      <c r="U253" s="109" t="s">
        <v>1027</v>
      </c>
      <c r="V253" s="109" t="s">
        <v>1150</v>
      </c>
      <c r="X253" s="109" t="s">
        <v>1999</v>
      </c>
    </row>
    <row r="254" spans="1:25" ht="13">
      <c r="A254" s="146">
        <v>43674.421659247688</v>
      </c>
      <c r="B254" s="109" t="s">
        <v>2000</v>
      </c>
      <c r="C254" s="109" t="s">
        <v>2001</v>
      </c>
      <c r="D254" s="109" t="s">
        <v>2002</v>
      </c>
      <c r="E254" s="109" t="s">
        <v>2003</v>
      </c>
      <c r="F254" s="109" t="s">
        <v>418</v>
      </c>
      <c r="G254" s="109" t="s">
        <v>1219</v>
      </c>
      <c r="H254" s="109" t="s">
        <v>63</v>
      </c>
      <c r="I254" s="109" t="s">
        <v>401</v>
      </c>
      <c r="J254" s="109" t="s">
        <v>136</v>
      </c>
      <c r="K254" s="109" t="s">
        <v>400</v>
      </c>
      <c r="L254" s="109" t="s">
        <v>251</v>
      </c>
      <c r="M254" s="109" t="s">
        <v>163</v>
      </c>
      <c r="N254" s="109" t="s">
        <v>2004</v>
      </c>
      <c r="O254" s="109" t="s">
        <v>117</v>
      </c>
      <c r="P254" s="109" t="s">
        <v>2005</v>
      </c>
      <c r="R254" s="109" t="s">
        <v>405</v>
      </c>
      <c r="S254" s="109" t="s">
        <v>2006</v>
      </c>
      <c r="T254" s="109" t="s">
        <v>2007</v>
      </c>
      <c r="U254" s="109" t="s">
        <v>1027</v>
      </c>
      <c r="V254" s="109" t="s">
        <v>1028</v>
      </c>
      <c r="W254" s="109" t="s">
        <v>2008</v>
      </c>
      <c r="X254" s="109" t="s">
        <v>1833</v>
      </c>
    </row>
    <row r="255" spans="1:25" ht="13">
      <c r="A255" s="146">
        <v>43674.681251400463</v>
      </c>
      <c r="B255" s="109" t="s">
        <v>2009</v>
      </c>
      <c r="C255" s="109" t="s">
        <v>2010</v>
      </c>
      <c r="E255" s="109" t="s">
        <v>2011</v>
      </c>
      <c r="F255" s="109" t="s">
        <v>2012</v>
      </c>
      <c r="G255" s="109" t="s">
        <v>1101</v>
      </c>
      <c r="H255" s="109" t="s">
        <v>63</v>
      </c>
      <c r="I255" s="109" t="s">
        <v>251</v>
      </c>
      <c r="O255" s="109" t="s">
        <v>117</v>
      </c>
      <c r="P255" s="109" t="s">
        <v>34</v>
      </c>
      <c r="R255" s="109" t="s">
        <v>451</v>
      </c>
      <c r="S255" s="109" t="s">
        <v>2013</v>
      </c>
      <c r="T255" s="109" t="s">
        <v>34</v>
      </c>
      <c r="U255" s="109" t="s">
        <v>1097</v>
      </c>
      <c r="V255" s="109" t="s">
        <v>1293</v>
      </c>
      <c r="X255" s="109" t="s">
        <v>1833</v>
      </c>
    </row>
    <row r="256" spans="1:25" ht="18" customHeight="1">
      <c r="A256" s="146">
        <v>43675.643870902779</v>
      </c>
      <c r="B256" s="109" t="s">
        <v>2014</v>
      </c>
      <c r="C256" s="109" t="s">
        <v>2015</v>
      </c>
      <c r="D256" s="109" t="s">
        <v>2016</v>
      </c>
      <c r="E256" s="109" t="s">
        <v>2017</v>
      </c>
      <c r="F256" s="109" t="s">
        <v>431</v>
      </c>
      <c r="G256" s="109" t="s">
        <v>1101</v>
      </c>
      <c r="H256" s="109" t="s">
        <v>63</v>
      </c>
      <c r="I256" s="109" t="s">
        <v>136</v>
      </c>
      <c r="J256" s="109" t="s">
        <v>2018</v>
      </c>
      <c r="K256" s="109" t="s">
        <v>400</v>
      </c>
      <c r="L256" s="109" t="s">
        <v>401</v>
      </c>
      <c r="N256" s="109" t="s">
        <v>2019</v>
      </c>
      <c r="O256" s="109" t="s">
        <v>130</v>
      </c>
      <c r="P256" s="109" t="s">
        <v>2020</v>
      </c>
      <c r="R256" s="109" t="s">
        <v>405</v>
      </c>
      <c r="S256" s="109" t="s">
        <v>2021</v>
      </c>
      <c r="T256" s="109" t="s">
        <v>463</v>
      </c>
      <c r="U256" s="109" t="s">
        <v>1036</v>
      </c>
      <c r="V256" s="109" t="s">
        <v>1028</v>
      </c>
      <c r="W256" s="109" t="s">
        <v>2022</v>
      </c>
      <c r="X256" s="109" t="s">
        <v>1833</v>
      </c>
    </row>
    <row r="257" spans="1:24" ht="13">
      <c r="A257" s="146">
        <v>43677.461992488425</v>
      </c>
      <c r="B257" s="109" t="s">
        <v>2023</v>
      </c>
      <c r="C257" s="109" t="s">
        <v>2024</v>
      </c>
      <c r="D257" s="109" t="s">
        <v>2025</v>
      </c>
      <c r="E257" s="109" t="s">
        <v>2026</v>
      </c>
      <c r="F257" s="109" t="s">
        <v>701</v>
      </c>
      <c r="G257" s="109" t="s">
        <v>1465</v>
      </c>
      <c r="H257" s="109" t="s">
        <v>113</v>
      </c>
      <c r="I257" s="109" t="s">
        <v>400</v>
      </c>
      <c r="J257" s="109" t="s">
        <v>251</v>
      </c>
      <c r="K257" s="109" t="s">
        <v>401</v>
      </c>
      <c r="L257" s="109" t="s">
        <v>163</v>
      </c>
      <c r="M257" s="109" t="s">
        <v>136</v>
      </c>
      <c r="N257" s="109" t="s">
        <v>34</v>
      </c>
      <c r="O257" s="109" t="s">
        <v>117</v>
      </c>
      <c r="P257" s="109" t="s">
        <v>2027</v>
      </c>
      <c r="R257" s="109" t="s">
        <v>451</v>
      </c>
      <c r="S257" s="109" t="s">
        <v>2028</v>
      </c>
      <c r="T257" s="109" t="s">
        <v>309</v>
      </c>
      <c r="U257" s="109" t="s">
        <v>1036</v>
      </c>
      <c r="V257" s="109" t="s">
        <v>1091</v>
      </c>
      <c r="X257" s="109" t="s">
        <v>1710</v>
      </c>
    </row>
    <row r="258" spans="1:24" ht="13">
      <c r="A258" s="146">
        <v>43678.412040613424</v>
      </c>
      <c r="B258" s="109" t="s">
        <v>2029</v>
      </c>
      <c r="C258" s="109" t="s">
        <v>1170</v>
      </c>
      <c r="D258" s="109" t="s">
        <v>2030</v>
      </c>
      <c r="E258" s="109" t="s">
        <v>2031</v>
      </c>
      <c r="F258" s="109" t="s">
        <v>701</v>
      </c>
      <c r="G258" s="109" t="s">
        <v>1504</v>
      </c>
      <c r="H258" s="109" t="s">
        <v>113</v>
      </c>
      <c r="I258" s="109" t="s">
        <v>136</v>
      </c>
      <c r="J258" s="109" t="s">
        <v>163</v>
      </c>
      <c r="K258" s="109" t="s">
        <v>251</v>
      </c>
      <c r="L258" s="109" t="s">
        <v>400</v>
      </c>
      <c r="M258" s="109" t="s">
        <v>401</v>
      </c>
      <c r="N258" s="109" t="s">
        <v>130</v>
      </c>
      <c r="O258" s="109" t="s">
        <v>403</v>
      </c>
      <c r="P258" s="109" t="s">
        <v>2032</v>
      </c>
      <c r="R258" s="109" t="s">
        <v>451</v>
      </c>
      <c r="S258" s="109" t="s">
        <v>2033</v>
      </c>
      <c r="T258" s="109" t="s">
        <v>2034</v>
      </c>
      <c r="U258" s="109" t="s">
        <v>1062</v>
      </c>
      <c r="V258" s="109" t="s">
        <v>1091</v>
      </c>
      <c r="X258" s="109" t="s">
        <v>1687</v>
      </c>
    </row>
    <row r="259" spans="1:24" ht="13">
      <c r="A259" s="146">
        <v>43679.089313784723</v>
      </c>
      <c r="B259" s="109" t="s">
        <v>2035</v>
      </c>
      <c r="C259" s="109" t="s">
        <v>2036</v>
      </c>
      <c r="D259" s="109" t="s">
        <v>2037</v>
      </c>
      <c r="E259" s="109" t="s">
        <v>2038</v>
      </c>
      <c r="F259" s="109" t="s">
        <v>461</v>
      </c>
      <c r="G259" s="109" t="s">
        <v>1022</v>
      </c>
      <c r="H259" s="109" t="s">
        <v>113</v>
      </c>
      <c r="I259" s="109" t="s">
        <v>136</v>
      </c>
      <c r="J259" s="109" t="s">
        <v>251</v>
      </c>
      <c r="K259" s="109" t="s">
        <v>400</v>
      </c>
      <c r="L259" s="109" t="s">
        <v>401</v>
      </c>
      <c r="M259" s="109" t="s">
        <v>163</v>
      </c>
      <c r="O259" s="109" t="s">
        <v>403</v>
      </c>
      <c r="P259" s="109" t="s">
        <v>2039</v>
      </c>
      <c r="R259" s="109" t="s">
        <v>451</v>
      </c>
      <c r="S259" s="109" t="s">
        <v>2040</v>
      </c>
      <c r="T259" s="109" t="s">
        <v>2041</v>
      </c>
      <c r="U259" s="109" t="s">
        <v>1027</v>
      </c>
      <c r="V259" s="109" t="s">
        <v>1293</v>
      </c>
    </row>
    <row r="260" spans="1:24" ht="13">
      <c r="A260" s="146">
        <v>43679.897445162038</v>
      </c>
      <c r="B260" s="109" t="s">
        <v>2042</v>
      </c>
      <c r="C260" s="109" t="s">
        <v>2043</v>
      </c>
      <c r="D260" s="109" t="s">
        <v>2044</v>
      </c>
      <c r="E260" s="109" t="s">
        <v>2045</v>
      </c>
      <c r="F260" s="109" t="s">
        <v>461</v>
      </c>
      <c r="G260" s="109" t="s">
        <v>1465</v>
      </c>
      <c r="H260" s="109" t="s">
        <v>113</v>
      </c>
      <c r="N260" s="109" t="s">
        <v>2046</v>
      </c>
      <c r="P260" s="109" t="s">
        <v>2047</v>
      </c>
      <c r="R260" s="109" t="s">
        <v>451</v>
      </c>
      <c r="S260" s="109" t="s">
        <v>2048</v>
      </c>
      <c r="T260" s="109" t="s">
        <v>2047</v>
      </c>
      <c r="U260" s="109" t="s">
        <v>1027</v>
      </c>
      <c r="V260" s="109" t="s">
        <v>1028</v>
      </c>
      <c r="X260" s="109" t="s">
        <v>2049</v>
      </c>
    </row>
    <row r="261" spans="1:24" ht="13">
      <c r="A261" s="146">
        <v>43680.050454421296</v>
      </c>
      <c r="B261" s="109" t="s">
        <v>2050</v>
      </c>
      <c r="C261" s="109" t="s">
        <v>2051</v>
      </c>
      <c r="E261" s="109" t="s">
        <v>2052</v>
      </c>
      <c r="F261" s="109" t="s">
        <v>2053</v>
      </c>
      <c r="G261" s="109" t="s">
        <v>2054</v>
      </c>
      <c r="H261" s="109" t="s">
        <v>202</v>
      </c>
      <c r="I261" s="109" t="s">
        <v>163</v>
      </c>
      <c r="J261" s="109" t="s">
        <v>251</v>
      </c>
      <c r="K261" s="109" t="s">
        <v>400</v>
      </c>
      <c r="L261" s="109" t="s">
        <v>136</v>
      </c>
      <c r="O261" s="109" t="s">
        <v>403</v>
      </c>
      <c r="R261" s="109" t="s">
        <v>405</v>
      </c>
      <c r="U261" s="109" t="s">
        <v>1036</v>
      </c>
      <c r="V261" s="109" t="s">
        <v>1091</v>
      </c>
      <c r="X261" s="109" t="s">
        <v>2055</v>
      </c>
    </row>
    <row r="262" spans="1:24" ht="13">
      <c r="A262" s="146">
        <v>43684.398782951394</v>
      </c>
      <c r="B262" s="109" t="s">
        <v>2056</v>
      </c>
      <c r="C262" s="109" t="s">
        <v>2057</v>
      </c>
      <c r="D262" s="109" t="s">
        <v>2058</v>
      </c>
      <c r="E262" s="109" t="s">
        <v>2059</v>
      </c>
      <c r="F262" s="109" t="s">
        <v>1068</v>
      </c>
      <c r="G262" s="109" t="s">
        <v>2060</v>
      </c>
      <c r="H262" s="109" t="s">
        <v>63</v>
      </c>
      <c r="I262" s="109" t="s">
        <v>251</v>
      </c>
      <c r="J262" s="109" t="s">
        <v>400</v>
      </c>
      <c r="K262" s="109" t="s">
        <v>401</v>
      </c>
      <c r="L262" s="109" t="s">
        <v>136</v>
      </c>
      <c r="M262" s="109" t="s">
        <v>163</v>
      </c>
      <c r="N262" s="109" t="s">
        <v>2061</v>
      </c>
      <c r="O262" s="109" t="s">
        <v>403</v>
      </c>
      <c r="P262" s="109" t="s">
        <v>2062</v>
      </c>
      <c r="R262" s="109" t="s">
        <v>405</v>
      </c>
      <c r="S262" s="109" t="s">
        <v>2063</v>
      </c>
      <c r="T262" s="109" t="s">
        <v>2064</v>
      </c>
      <c r="U262" s="109" t="s">
        <v>1027</v>
      </c>
      <c r="V262" s="109" t="s">
        <v>1028</v>
      </c>
      <c r="X262" s="109" t="s">
        <v>2065</v>
      </c>
    </row>
    <row r="263" spans="1:24" ht="13">
      <c r="A263" s="146">
        <v>43684.4028878588</v>
      </c>
      <c r="B263" s="109" t="s">
        <v>2066</v>
      </c>
      <c r="C263" s="109" t="s">
        <v>907</v>
      </c>
      <c r="D263" s="109" t="s">
        <v>2067</v>
      </c>
      <c r="E263" s="109" t="s">
        <v>2068</v>
      </c>
      <c r="F263" s="109" t="s">
        <v>492</v>
      </c>
      <c r="G263" s="109" t="s">
        <v>1101</v>
      </c>
      <c r="H263" s="109" t="s">
        <v>63</v>
      </c>
      <c r="I263" s="109" t="s">
        <v>251</v>
      </c>
      <c r="N263" s="109" t="s">
        <v>130</v>
      </c>
      <c r="O263" s="109" t="s">
        <v>403</v>
      </c>
      <c r="P263" s="109" t="s">
        <v>305</v>
      </c>
      <c r="R263" s="109" t="s">
        <v>442</v>
      </c>
      <c r="S263" s="109" t="s">
        <v>2069</v>
      </c>
      <c r="T263" s="109" t="s">
        <v>2070</v>
      </c>
      <c r="U263" s="109" t="s">
        <v>1766</v>
      </c>
      <c r="V263" s="109" t="s">
        <v>1091</v>
      </c>
      <c r="W263" s="109" t="s">
        <v>2071</v>
      </c>
      <c r="X263" s="109" t="s">
        <v>1833</v>
      </c>
    </row>
    <row r="264" spans="1:24" ht="13">
      <c r="A264" s="146">
        <v>43684.686877083332</v>
      </c>
      <c r="B264" s="109" t="s">
        <v>2072</v>
      </c>
      <c r="C264" s="109" t="s">
        <v>2073</v>
      </c>
      <c r="E264" s="109" t="s">
        <v>2074</v>
      </c>
      <c r="F264" s="109" t="s">
        <v>1068</v>
      </c>
      <c r="G264" s="109" t="s">
        <v>1219</v>
      </c>
      <c r="H264" s="109" t="s">
        <v>63</v>
      </c>
      <c r="I264" s="109" t="s">
        <v>251</v>
      </c>
      <c r="J264" s="109" t="s">
        <v>136</v>
      </c>
      <c r="K264" s="109" t="s">
        <v>400</v>
      </c>
      <c r="L264" s="109" t="s">
        <v>163</v>
      </c>
      <c r="M264" s="109" t="s">
        <v>401</v>
      </c>
      <c r="N264" s="109" t="s">
        <v>2075</v>
      </c>
      <c r="O264" s="109" t="s">
        <v>117</v>
      </c>
      <c r="P264" s="109" t="s">
        <v>2076</v>
      </c>
      <c r="R264" s="109" t="s">
        <v>451</v>
      </c>
      <c r="S264" s="109" t="s">
        <v>2077</v>
      </c>
      <c r="T264" s="109" t="s">
        <v>2078</v>
      </c>
      <c r="U264" s="109" t="s">
        <v>1027</v>
      </c>
      <c r="V264" s="109" t="s">
        <v>1028</v>
      </c>
      <c r="X264" s="109" t="s">
        <v>1757</v>
      </c>
    </row>
    <row r="265" spans="1:24" ht="13">
      <c r="A265" s="146">
        <v>43685.46748900463</v>
      </c>
      <c r="B265" s="109" t="s">
        <v>2079</v>
      </c>
      <c r="C265" s="109" t="s">
        <v>2080</v>
      </c>
      <c r="D265" s="109" t="s">
        <v>2081</v>
      </c>
      <c r="E265" s="109" t="s">
        <v>2082</v>
      </c>
      <c r="F265" s="109" t="s">
        <v>2083</v>
      </c>
      <c r="G265" s="109" t="s">
        <v>2084</v>
      </c>
      <c r="H265" s="109" t="s">
        <v>63</v>
      </c>
      <c r="I265" s="109" t="s">
        <v>400</v>
      </c>
      <c r="J265" s="109" t="s">
        <v>401</v>
      </c>
      <c r="K265" s="109" t="s">
        <v>251</v>
      </c>
      <c r="L265" s="109" t="s">
        <v>163</v>
      </c>
      <c r="M265" s="109" t="s">
        <v>136</v>
      </c>
      <c r="N265" s="109" t="s">
        <v>130</v>
      </c>
      <c r="O265" s="109" t="s">
        <v>117</v>
      </c>
      <c r="P265" s="109" t="s">
        <v>117</v>
      </c>
      <c r="R265" s="109" t="s">
        <v>451</v>
      </c>
      <c r="U265" s="109" t="s">
        <v>1036</v>
      </c>
      <c r="V265" s="109" t="s">
        <v>1028</v>
      </c>
      <c r="X265" s="109" t="s">
        <v>2085</v>
      </c>
    </row>
    <row r="266" spans="1:24" ht="13">
      <c r="A266" s="146">
        <v>43689.406852083332</v>
      </c>
      <c r="B266" s="109" t="s">
        <v>2086</v>
      </c>
      <c r="C266" s="109" t="s">
        <v>2087</v>
      </c>
      <c r="D266" s="109" t="s">
        <v>2088</v>
      </c>
      <c r="E266" s="109" t="s">
        <v>2089</v>
      </c>
      <c r="F266" s="109" t="s">
        <v>418</v>
      </c>
      <c r="G266" s="109" t="s">
        <v>1077</v>
      </c>
      <c r="H266" s="109" t="s">
        <v>63</v>
      </c>
      <c r="I266" s="109" t="s">
        <v>400</v>
      </c>
      <c r="J266" s="109" t="s">
        <v>163</v>
      </c>
      <c r="K266" s="109" t="s">
        <v>401</v>
      </c>
      <c r="L266" s="109" t="s">
        <v>136</v>
      </c>
      <c r="M266" s="109" t="s">
        <v>251</v>
      </c>
      <c r="O266" s="109" t="s">
        <v>117</v>
      </c>
      <c r="R266" s="109" t="s">
        <v>451</v>
      </c>
      <c r="S266" s="109" t="s">
        <v>2090</v>
      </c>
      <c r="T266" s="109" t="s">
        <v>2091</v>
      </c>
      <c r="U266" s="109" t="s">
        <v>1097</v>
      </c>
      <c r="V266" s="109" t="s">
        <v>1028</v>
      </c>
      <c r="W266" s="109" t="s">
        <v>34</v>
      </c>
      <c r="X266" s="109" t="s">
        <v>2092</v>
      </c>
    </row>
    <row r="267" spans="1:24" ht="13">
      <c r="A267" s="146">
        <v>43690.258437881945</v>
      </c>
      <c r="B267" s="109" t="s">
        <v>2093</v>
      </c>
      <c r="C267" s="109" t="s">
        <v>2094</v>
      </c>
      <c r="E267" s="109" t="s">
        <v>2095</v>
      </c>
      <c r="F267" s="109" t="s">
        <v>1068</v>
      </c>
      <c r="G267" s="109" t="s">
        <v>1465</v>
      </c>
      <c r="H267" s="109" t="s">
        <v>63</v>
      </c>
      <c r="I267" s="109" t="s">
        <v>251</v>
      </c>
      <c r="J267" s="109" t="s">
        <v>400</v>
      </c>
      <c r="K267" s="109" t="s">
        <v>401</v>
      </c>
      <c r="L267" s="109" t="s">
        <v>136</v>
      </c>
      <c r="M267" s="109" t="s">
        <v>163</v>
      </c>
      <c r="O267" s="109" t="s">
        <v>130</v>
      </c>
      <c r="R267" s="109" t="s">
        <v>451</v>
      </c>
      <c r="S267" s="109" t="s">
        <v>2096</v>
      </c>
      <c r="T267" s="109" t="s">
        <v>2097</v>
      </c>
      <c r="U267" s="109" t="s">
        <v>1133</v>
      </c>
      <c r="V267" s="109" t="s">
        <v>1028</v>
      </c>
      <c r="X267" s="109" t="s">
        <v>2098</v>
      </c>
    </row>
    <row r="268" spans="1:24" ht="13">
      <c r="A268" s="146">
        <v>43691.592043738427</v>
      </c>
      <c r="B268" s="109" t="s">
        <v>2099</v>
      </c>
      <c r="C268" s="109" t="s">
        <v>2100</v>
      </c>
      <c r="D268" s="109" t="s">
        <v>2101</v>
      </c>
      <c r="E268" s="109" t="s">
        <v>2102</v>
      </c>
      <c r="F268" s="109" t="s">
        <v>529</v>
      </c>
      <c r="G268" s="109" t="s">
        <v>1022</v>
      </c>
      <c r="H268" s="109" t="s">
        <v>63</v>
      </c>
      <c r="I268" s="109" t="s">
        <v>400</v>
      </c>
      <c r="J268" s="109" t="s">
        <v>251</v>
      </c>
      <c r="K268" s="109" t="s">
        <v>401</v>
      </c>
      <c r="L268" s="109" t="s">
        <v>136</v>
      </c>
      <c r="M268" s="109" t="s">
        <v>163</v>
      </c>
      <c r="N268" s="109" t="s">
        <v>2103</v>
      </c>
      <c r="O268" s="109" t="s">
        <v>117</v>
      </c>
      <c r="P268" s="109" t="s">
        <v>1665</v>
      </c>
      <c r="R268" s="109" t="s">
        <v>451</v>
      </c>
      <c r="S268" s="109" t="s">
        <v>2104</v>
      </c>
      <c r="T268" s="109" t="s">
        <v>1665</v>
      </c>
      <c r="U268" s="109" t="s">
        <v>1027</v>
      </c>
      <c r="V268" s="109" t="s">
        <v>2105</v>
      </c>
      <c r="X268" s="109" t="s">
        <v>2106</v>
      </c>
    </row>
    <row r="269" spans="1:24" ht="13">
      <c r="A269" s="146">
        <v>43691.699543414346</v>
      </c>
      <c r="B269" s="109" t="s">
        <v>2107</v>
      </c>
      <c r="C269" s="109" t="s">
        <v>2108</v>
      </c>
      <c r="E269" s="109" t="s">
        <v>2109</v>
      </c>
      <c r="F269" s="109" t="s">
        <v>1068</v>
      </c>
      <c r="G269" s="109" t="s">
        <v>1101</v>
      </c>
      <c r="H269" s="109" t="s">
        <v>63</v>
      </c>
      <c r="I269" s="109" t="s">
        <v>401</v>
      </c>
      <c r="N269" s="109" t="s">
        <v>2110</v>
      </c>
      <c r="O269" s="109" t="s">
        <v>130</v>
      </c>
      <c r="R269" s="109" t="s">
        <v>442</v>
      </c>
      <c r="S269" s="109" t="s">
        <v>2111</v>
      </c>
      <c r="T269" s="109" t="s">
        <v>2112</v>
      </c>
      <c r="U269" s="109" t="s">
        <v>1027</v>
      </c>
      <c r="V269" s="109" t="s">
        <v>2113</v>
      </c>
      <c r="W269" s="109" t="s">
        <v>2114</v>
      </c>
      <c r="X269" s="109" t="s">
        <v>1888</v>
      </c>
    </row>
    <row r="270" spans="1:24" ht="13">
      <c r="A270" s="146">
        <v>43691.855816747688</v>
      </c>
      <c r="B270" s="109" t="s">
        <v>2115</v>
      </c>
      <c r="C270" s="109" t="s">
        <v>2116</v>
      </c>
      <c r="D270" s="109" t="s">
        <v>2117</v>
      </c>
      <c r="E270" s="109" t="s">
        <v>2118</v>
      </c>
      <c r="F270" s="109" t="s">
        <v>461</v>
      </c>
      <c r="G270" s="109" t="s">
        <v>1101</v>
      </c>
      <c r="H270" s="109" t="s">
        <v>63</v>
      </c>
      <c r="I270" s="109" t="s">
        <v>251</v>
      </c>
      <c r="J270" s="109" t="s">
        <v>163</v>
      </c>
      <c r="K270" s="109" t="s">
        <v>400</v>
      </c>
      <c r="L270" s="109" t="s">
        <v>401</v>
      </c>
      <c r="M270" s="109" t="s">
        <v>136</v>
      </c>
      <c r="N270" s="109" t="s">
        <v>130</v>
      </c>
      <c r="O270" s="109" t="s">
        <v>117</v>
      </c>
      <c r="P270" s="109" t="s">
        <v>117</v>
      </c>
      <c r="R270" s="109" t="s">
        <v>451</v>
      </c>
      <c r="S270" s="109" t="s">
        <v>2119</v>
      </c>
      <c r="T270" s="109" t="s">
        <v>2120</v>
      </c>
      <c r="U270" s="109" t="s">
        <v>1097</v>
      </c>
      <c r="V270" s="109" t="s">
        <v>1028</v>
      </c>
      <c r="W270" s="109" t="s">
        <v>34</v>
      </c>
      <c r="X270" s="109" t="s">
        <v>1687</v>
      </c>
    </row>
    <row r="271" spans="1:24" ht="13">
      <c r="A271" s="146">
        <v>43692.43983260417</v>
      </c>
      <c r="B271" s="109" t="s">
        <v>2121</v>
      </c>
      <c r="C271" s="109" t="s">
        <v>2122</v>
      </c>
      <c r="D271" s="109" t="s">
        <v>2123</v>
      </c>
      <c r="E271" s="109" t="s">
        <v>2124</v>
      </c>
      <c r="F271" s="109" t="s">
        <v>1021</v>
      </c>
      <c r="G271" s="109" t="s">
        <v>1637</v>
      </c>
      <c r="H271" s="109" t="s">
        <v>63</v>
      </c>
      <c r="I271" s="109" t="s">
        <v>251</v>
      </c>
      <c r="J271" s="109" t="s">
        <v>163</v>
      </c>
      <c r="K271" s="109" t="s">
        <v>401</v>
      </c>
      <c r="L271" s="109" t="s">
        <v>400</v>
      </c>
      <c r="M271" s="109" t="s">
        <v>136</v>
      </c>
      <c r="N271" s="109" t="s">
        <v>2125</v>
      </c>
      <c r="O271" s="109" t="s">
        <v>117</v>
      </c>
      <c r="P271" s="109" t="s">
        <v>2126</v>
      </c>
      <c r="R271" s="109" t="s">
        <v>451</v>
      </c>
      <c r="S271" s="109" t="s">
        <v>2127</v>
      </c>
      <c r="T271" s="109" t="s">
        <v>2128</v>
      </c>
      <c r="U271" s="109" t="s">
        <v>1027</v>
      </c>
      <c r="V271" s="109" t="s">
        <v>1091</v>
      </c>
      <c r="X271" s="109" t="s">
        <v>2129</v>
      </c>
    </row>
    <row r="272" spans="1:24" ht="13">
      <c r="A272" s="146">
        <v>43692.757643530094</v>
      </c>
      <c r="B272" s="109" t="s">
        <v>2130</v>
      </c>
      <c r="C272" s="109" t="s">
        <v>2131</v>
      </c>
      <c r="E272" s="109" t="s">
        <v>2132</v>
      </c>
      <c r="F272" s="109" t="s">
        <v>1068</v>
      </c>
      <c r="G272" s="109" t="s">
        <v>1101</v>
      </c>
      <c r="H272" s="109" t="s">
        <v>63</v>
      </c>
      <c r="I272" s="109" t="s">
        <v>400</v>
      </c>
      <c r="N272" s="109" t="s">
        <v>2133</v>
      </c>
      <c r="O272" s="109" t="s">
        <v>403</v>
      </c>
      <c r="P272" s="109" t="s">
        <v>2134</v>
      </c>
      <c r="R272" s="109" t="s">
        <v>442</v>
      </c>
      <c r="S272" s="109" t="s">
        <v>2135</v>
      </c>
      <c r="T272" s="109" t="s">
        <v>2136</v>
      </c>
      <c r="U272" s="109" t="s">
        <v>1036</v>
      </c>
      <c r="V272" s="109" t="s">
        <v>1028</v>
      </c>
      <c r="X272" s="109" t="s">
        <v>2137</v>
      </c>
    </row>
    <row r="273" spans="1:24" ht="13">
      <c r="A273" s="146">
        <v>43692.808139918983</v>
      </c>
      <c r="B273" s="109" t="s">
        <v>2138</v>
      </c>
      <c r="C273" s="109" t="s">
        <v>2139</v>
      </c>
      <c r="E273" s="109" t="s">
        <v>2140</v>
      </c>
      <c r="F273" s="109" t="s">
        <v>461</v>
      </c>
      <c r="G273" s="109" t="s">
        <v>1101</v>
      </c>
      <c r="H273" s="109" t="s">
        <v>63</v>
      </c>
      <c r="I273" s="109" t="s">
        <v>251</v>
      </c>
      <c r="J273" s="109" t="s">
        <v>163</v>
      </c>
      <c r="K273" s="109" t="s">
        <v>400</v>
      </c>
      <c r="L273" s="109" t="s">
        <v>401</v>
      </c>
      <c r="M273" s="109" t="s">
        <v>136</v>
      </c>
      <c r="O273" s="109" t="s">
        <v>117</v>
      </c>
      <c r="R273" s="109" t="s">
        <v>451</v>
      </c>
      <c r="U273" s="109" t="s">
        <v>1097</v>
      </c>
      <c r="V273" s="109" t="s">
        <v>1028</v>
      </c>
      <c r="W273" s="109" t="s">
        <v>2141</v>
      </c>
      <c r="X273" s="109" t="s">
        <v>1710</v>
      </c>
    </row>
    <row r="274" spans="1:24" ht="13">
      <c r="A274" s="146">
        <v>43692.940380613421</v>
      </c>
      <c r="B274" s="109" t="s">
        <v>2142</v>
      </c>
      <c r="C274" s="109" t="s">
        <v>2143</v>
      </c>
      <c r="E274" s="109" t="s">
        <v>2144</v>
      </c>
      <c r="F274" s="109" t="s">
        <v>431</v>
      </c>
      <c r="G274" s="109" t="s">
        <v>1101</v>
      </c>
      <c r="H274" s="109" t="s">
        <v>63</v>
      </c>
      <c r="I274" s="109" t="s">
        <v>136</v>
      </c>
      <c r="J274" s="109" t="s">
        <v>251</v>
      </c>
      <c r="K274" s="109" t="s">
        <v>400</v>
      </c>
      <c r="L274" s="109" t="s">
        <v>163</v>
      </c>
      <c r="M274" s="109" t="s">
        <v>401</v>
      </c>
      <c r="N274" s="109" t="s">
        <v>130</v>
      </c>
      <c r="O274" s="109" t="s">
        <v>403</v>
      </c>
      <c r="P274" s="109" t="s">
        <v>2145</v>
      </c>
      <c r="R274" s="109" t="s">
        <v>451</v>
      </c>
      <c r="U274" s="109" t="s">
        <v>1097</v>
      </c>
      <c r="V274" s="109" t="s">
        <v>1028</v>
      </c>
      <c r="W274" s="109" t="s">
        <v>2146</v>
      </c>
    </row>
    <row r="275" spans="1:24" ht="13">
      <c r="A275" s="146">
        <v>43693.343014768514</v>
      </c>
      <c r="B275" s="109" t="s">
        <v>2142</v>
      </c>
      <c r="C275" s="109" t="s">
        <v>2143</v>
      </c>
      <c r="E275" s="109" t="s">
        <v>2144</v>
      </c>
      <c r="F275" s="109" t="s">
        <v>431</v>
      </c>
      <c r="G275" s="109" t="s">
        <v>1101</v>
      </c>
      <c r="H275" s="109" t="s">
        <v>63</v>
      </c>
      <c r="I275" s="109" t="s">
        <v>136</v>
      </c>
      <c r="J275" s="109" t="s">
        <v>251</v>
      </c>
      <c r="K275" s="109" t="s">
        <v>400</v>
      </c>
      <c r="L275" s="109" t="s">
        <v>163</v>
      </c>
      <c r="M275" s="109" t="s">
        <v>401</v>
      </c>
      <c r="N275" s="109" t="s">
        <v>130</v>
      </c>
      <c r="O275" s="109" t="s">
        <v>403</v>
      </c>
      <c r="P275" s="109" t="s">
        <v>2145</v>
      </c>
      <c r="R275" s="109" t="s">
        <v>451</v>
      </c>
      <c r="U275" s="109" t="s">
        <v>1097</v>
      </c>
      <c r="V275" s="109" t="s">
        <v>1028</v>
      </c>
      <c r="W275" s="109" t="s">
        <v>2146</v>
      </c>
    </row>
    <row r="276" spans="1:24" ht="13">
      <c r="A276" s="146">
        <v>43693.391088738426</v>
      </c>
      <c r="B276" s="109" t="s">
        <v>2147</v>
      </c>
      <c r="C276" s="109" t="s">
        <v>2131</v>
      </c>
      <c r="D276" s="109" t="s">
        <v>2148</v>
      </c>
      <c r="E276" s="109" t="s">
        <v>2149</v>
      </c>
      <c r="F276" s="109" t="s">
        <v>1068</v>
      </c>
      <c r="G276" s="109" t="s">
        <v>1101</v>
      </c>
      <c r="H276" s="109" t="s">
        <v>63</v>
      </c>
      <c r="I276" s="109" t="s">
        <v>400</v>
      </c>
      <c r="N276" s="109" t="s">
        <v>2150</v>
      </c>
      <c r="O276" s="109" t="s">
        <v>130</v>
      </c>
      <c r="P276" s="109" t="s">
        <v>2151</v>
      </c>
      <c r="R276" s="109" t="s">
        <v>405</v>
      </c>
      <c r="S276" s="109" t="s">
        <v>2152</v>
      </c>
      <c r="T276" s="109" t="s">
        <v>2153</v>
      </c>
      <c r="U276" s="109" t="s">
        <v>1027</v>
      </c>
      <c r="V276" s="109" t="s">
        <v>1028</v>
      </c>
      <c r="W276" s="109" t="s">
        <v>34</v>
      </c>
      <c r="X276" s="109" t="s">
        <v>1677</v>
      </c>
    </row>
    <row r="277" spans="1:24" ht="13">
      <c r="A277" s="146">
        <v>43693.457710972223</v>
      </c>
      <c r="B277" s="109" t="s">
        <v>2154</v>
      </c>
      <c r="C277" s="109" t="s">
        <v>2155</v>
      </c>
      <c r="D277" s="109" t="s">
        <v>2156</v>
      </c>
      <c r="E277" s="109" t="s">
        <v>2157</v>
      </c>
      <c r="F277" s="109" t="s">
        <v>492</v>
      </c>
      <c r="G277" s="109" t="s">
        <v>1101</v>
      </c>
      <c r="H277" s="109" t="s">
        <v>63</v>
      </c>
      <c r="I277" s="109" t="s">
        <v>251</v>
      </c>
      <c r="J277" s="109" t="s">
        <v>400</v>
      </c>
      <c r="K277" s="109" t="s">
        <v>163</v>
      </c>
      <c r="N277" s="109" t="s">
        <v>2158</v>
      </c>
      <c r="O277" s="109" t="s">
        <v>403</v>
      </c>
      <c r="P277" s="109" t="s">
        <v>2159</v>
      </c>
      <c r="R277" s="109" t="s">
        <v>451</v>
      </c>
      <c r="S277" s="109" t="s">
        <v>2160</v>
      </c>
      <c r="T277" s="109" t="s">
        <v>2161</v>
      </c>
      <c r="U277" s="109" t="s">
        <v>1036</v>
      </c>
      <c r="V277" s="109" t="s">
        <v>1091</v>
      </c>
      <c r="W277" s="109" t="s">
        <v>1104</v>
      </c>
      <c r="X277" s="109" t="s">
        <v>1757</v>
      </c>
    </row>
    <row r="278" spans="1:24" ht="13">
      <c r="A278" s="146">
        <v>43693.474992002317</v>
      </c>
      <c r="B278" s="109" t="s">
        <v>2162</v>
      </c>
      <c r="C278" s="109" t="s">
        <v>2163</v>
      </c>
      <c r="E278" s="109" t="s">
        <v>2164</v>
      </c>
      <c r="F278" s="109" t="s">
        <v>431</v>
      </c>
      <c r="G278" s="109" t="s">
        <v>1101</v>
      </c>
      <c r="H278" s="109" t="s">
        <v>63</v>
      </c>
      <c r="I278" s="109" t="s">
        <v>163</v>
      </c>
      <c r="N278" s="109" t="s">
        <v>2165</v>
      </c>
      <c r="O278" s="109" t="s">
        <v>403</v>
      </c>
      <c r="P278" s="109" t="s">
        <v>2166</v>
      </c>
      <c r="R278" s="109" t="s">
        <v>451</v>
      </c>
      <c r="S278" s="109" t="s">
        <v>2167</v>
      </c>
      <c r="T278" s="109" t="s">
        <v>2168</v>
      </c>
      <c r="U278" s="109" t="s">
        <v>1766</v>
      </c>
      <c r="V278" s="109" t="s">
        <v>1028</v>
      </c>
      <c r="W278" s="109" t="s">
        <v>2169</v>
      </c>
      <c r="X278" s="109" t="s">
        <v>2170</v>
      </c>
    </row>
    <row r="279" spans="1:24" ht="13">
      <c r="A279" s="146">
        <v>43693.476667754629</v>
      </c>
      <c r="B279" s="109" t="s">
        <v>2142</v>
      </c>
      <c r="C279" s="109" t="s">
        <v>2171</v>
      </c>
      <c r="E279" s="109" t="s">
        <v>2144</v>
      </c>
      <c r="F279" s="109" t="s">
        <v>431</v>
      </c>
      <c r="G279" s="109" t="s">
        <v>1022</v>
      </c>
      <c r="H279" s="109" t="s">
        <v>63</v>
      </c>
      <c r="I279" s="109" t="s">
        <v>136</v>
      </c>
      <c r="J279" s="109" t="s">
        <v>251</v>
      </c>
      <c r="K279" s="109" t="s">
        <v>400</v>
      </c>
      <c r="L279" s="109" t="s">
        <v>163</v>
      </c>
      <c r="M279" s="109" t="s">
        <v>401</v>
      </c>
      <c r="N279" s="109" t="s">
        <v>2172</v>
      </c>
      <c r="O279" s="109" t="s">
        <v>117</v>
      </c>
      <c r="R279" s="109" t="s">
        <v>451</v>
      </c>
      <c r="U279" s="109" t="s">
        <v>1062</v>
      </c>
      <c r="V279" s="109" t="s">
        <v>1028</v>
      </c>
      <c r="W279" s="109" t="s">
        <v>2173</v>
      </c>
    </row>
    <row r="280" spans="1:24" ht="13">
      <c r="A280" s="146">
        <v>43693.871890752314</v>
      </c>
      <c r="B280" s="109" t="s">
        <v>2174</v>
      </c>
      <c r="C280" s="109" t="s">
        <v>1259</v>
      </c>
      <c r="D280" s="109" t="s">
        <v>2175</v>
      </c>
      <c r="E280" s="109" t="s">
        <v>2176</v>
      </c>
      <c r="F280" s="109" t="s">
        <v>418</v>
      </c>
      <c r="G280" s="109" t="s">
        <v>1101</v>
      </c>
      <c r="H280" s="109" t="s">
        <v>63</v>
      </c>
      <c r="I280" s="109" t="s">
        <v>251</v>
      </c>
      <c r="J280" s="109" t="s">
        <v>136</v>
      </c>
      <c r="K280" s="109" t="s">
        <v>401</v>
      </c>
      <c r="L280" s="109" t="s">
        <v>163</v>
      </c>
      <c r="M280" s="109" t="s">
        <v>400</v>
      </c>
      <c r="N280" s="109" t="s">
        <v>2177</v>
      </c>
      <c r="O280" s="109" t="s">
        <v>403</v>
      </c>
      <c r="P280" s="109" t="s">
        <v>2178</v>
      </c>
      <c r="R280" s="109" t="s">
        <v>405</v>
      </c>
      <c r="S280" s="109" t="s">
        <v>2179</v>
      </c>
      <c r="T280" s="109" t="s">
        <v>2180</v>
      </c>
      <c r="U280" s="109" t="s">
        <v>1036</v>
      </c>
      <c r="V280" s="109" t="s">
        <v>2181</v>
      </c>
      <c r="W280" s="109" t="s">
        <v>2182</v>
      </c>
      <c r="X280" s="109" t="s">
        <v>2183</v>
      </c>
    </row>
    <row r="281" spans="1:24" ht="13">
      <c r="A281" s="146">
        <v>43695.721074687499</v>
      </c>
      <c r="B281" s="109" t="s">
        <v>2184</v>
      </c>
      <c r="C281" s="109" t="s">
        <v>2185</v>
      </c>
      <c r="D281" s="109" t="s">
        <v>2186</v>
      </c>
      <c r="E281" s="109" t="s">
        <v>2187</v>
      </c>
      <c r="F281" s="109" t="s">
        <v>461</v>
      </c>
      <c r="G281" s="109" t="s">
        <v>1101</v>
      </c>
      <c r="H281" s="109" t="s">
        <v>63</v>
      </c>
      <c r="I281" s="109" t="s">
        <v>251</v>
      </c>
      <c r="J281" s="109" t="s">
        <v>400</v>
      </c>
      <c r="K281" s="109" t="s">
        <v>401</v>
      </c>
      <c r="L281" s="109" t="s">
        <v>163</v>
      </c>
      <c r="M281" s="109" t="s">
        <v>136</v>
      </c>
      <c r="N281" s="109" t="s">
        <v>2188</v>
      </c>
      <c r="O281" s="109" t="s">
        <v>403</v>
      </c>
      <c r="P281" s="109" t="s">
        <v>2189</v>
      </c>
      <c r="R281" s="109" t="s">
        <v>451</v>
      </c>
      <c r="S281" s="109" t="s">
        <v>2190</v>
      </c>
      <c r="T281" s="109" t="s">
        <v>2191</v>
      </c>
      <c r="U281" s="109" t="s">
        <v>2192</v>
      </c>
      <c r="V281" s="109" t="s">
        <v>1028</v>
      </c>
      <c r="X281" s="109" t="s">
        <v>2193</v>
      </c>
    </row>
    <row r="282" spans="1:24" ht="13">
      <c r="A282" s="146">
        <v>43696.338617442132</v>
      </c>
      <c r="B282" s="109" t="s">
        <v>2194</v>
      </c>
      <c r="C282" s="109" t="s">
        <v>2195</v>
      </c>
      <c r="D282" s="109" t="s">
        <v>2196</v>
      </c>
      <c r="E282" s="109" t="s">
        <v>2197</v>
      </c>
      <c r="F282" s="109" t="s">
        <v>418</v>
      </c>
      <c r="G282" s="109" t="s">
        <v>1101</v>
      </c>
      <c r="H282" s="109" t="s">
        <v>63</v>
      </c>
      <c r="I282" s="109" t="s">
        <v>401</v>
      </c>
      <c r="N282" s="109" t="s">
        <v>2198</v>
      </c>
      <c r="O282" s="109" t="s">
        <v>403</v>
      </c>
      <c r="P282" s="109" t="s">
        <v>2199</v>
      </c>
      <c r="R282" s="109" t="s">
        <v>405</v>
      </c>
      <c r="S282" s="109" t="s">
        <v>2200</v>
      </c>
      <c r="T282" s="109" t="s">
        <v>2201</v>
      </c>
      <c r="U282" s="109" t="s">
        <v>1062</v>
      </c>
      <c r="V282" s="109" t="s">
        <v>1249</v>
      </c>
      <c r="W282" s="109" t="s">
        <v>2202</v>
      </c>
      <c r="X282" s="109" t="s">
        <v>1677</v>
      </c>
    </row>
    <row r="283" spans="1:24" ht="13">
      <c r="A283" s="146">
        <v>43699.158155023149</v>
      </c>
      <c r="B283" s="109" t="s">
        <v>2203</v>
      </c>
      <c r="C283" s="109" t="s">
        <v>2204</v>
      </c>
      <c r="D283" s="109" t="s">
        <v>2205</v>
      </c>
      <c r="E283" s="109" t="s">
        <v>2206</v>
      </c>
      <c r="F283" s="109" t="s">
        <v>1068</v>
      </c>
      <c r="G283" s="109" t="s">
        <v>1049</v>
      </c>
      <c r="H283" s="109" t="s">
        <v>63</v>
      </c>
      <c r="I283" s="109" t="s">
        <v>401</v>
      </c>
      <c r="J283" s="109" t="s">
        <v>251</v>
      </c>
      <c r="K283" s="109" t="s">
        <v>400</v>
      </c>
      <c r="L283" s="109" t="s">
        <v>163</v>
      </c>
      <c r="M283" s="109" t="s">
        <v>136</v>
      </c>
      <c r="N283" s="109" t="s">
        <v>2207</v>
      </c>
      <c r="O283" s="109" t="s">
        <v>117</v>
      </c>
      <c r="R283" s="109" t="s">
        <v>451</v>
      </c>
      <c r="S283" s="109" t="s">
        <v>2208</v>
      </c>
      <c r="T283" s="109" t="s">
        <v>2209</v>
      </c>
      <c r="U283" s="109" t="s">
        <v>1097</v>
      </c>
      <c r="V283" s="109" t="s">
        <v>1091</v>
      </c>
      <c r="W283" s="109" t="s">
        <v>130</v>
      </c>
      <c r="X283" s="109" t="s">
        <v>1841</v>
      </c>
    </row>
    <row r="284" spans="1:24" ht="13">
      <c r="A284" s="146">
        <v>43699.469278483797</v>
      </c>
      <c r="B284" s="109" t="s">
        <v>2210</v>
      </c>
      <c r="C284" s="109" t="s">
        <v>2211</v>
      </c>
      <c r="D284" s="109" t="s">
        <v>2212</v>
      </c>
      <c r="E284" s="109" t="s">
        <v>2213</v>
      </c>
      <c r="F284" s="109" t="s">
        <v>1068</v>
      </c>
      <c r="G284" s="109" t="s">
        <v>1022</v>
      </c>
      <c r="H284" s="109" t="s">
        <v>63</v>
      </c>
      <c r="I284" s="109" t="s">
        <v>251</v>
      </c>
      <c r="J284" s="109" t="s">
        <v>400</v>
      </c>
      <c r="K284" s="109" t="s">
        <v>401</v>
      </c>
      <c r="N284" s="109" t="s">
        <v>2214</v>
      </c>
      <c r="O284" s="109" t="s">
        <v>403</v>
      </c>
      <c r="P284" s="109" t="s">
        <v>2215</v>
      </c>
      <c r="R284" s="109" t="s">
        <v>451</v>
      </c>
      <c r="S284" s="109" t="s">
        <v>2216</v>
      </c>
      <c r="T284" s="109" t="s">
        <v>2217</v>
      </c>
      <c r="U284" s="109" t="s">
        <v>1097</v>
      </c>
      <c r="V284" s="109" t="s">
        <v>1028</v>
      </c>
      <c r="X284" s="109" t="s">
        <v>2218</v>
      </c>
    </row>
    <row r="285" spans="1:24" ht="13">
      <c r="A285" s="146">
        <v>43701.879798530092</v>
      </c>
      <c r="B285" s="109" t="s">
        <v>2219</v>
      </c>
      <c r="C285" s="109" t="s">
        <v>2220</v>
      </c>
      <c r="D285" s="109" t="s">
        <v>2221</v>
      </c>
      <c r="E285" s="109" t="s">
        <v>2222</v>
      </c>
      <c r="F285" s="109" t="s">
        <v>431</v>
      </c>
      <c r="G285" s="109" t="s">
        <v>1219</v>
      </c>
      <c r="H285" s="109" t="s">
        <v>63</v>
      </c>
      <c r="I285" s="109" t="s">
        <v>251</v>
      </c>
      <c r="J285" s="109" t="s">
        <v>400</v>
      </c>
      <c r="N285" s="109" t="s">
        <v>2223</v>
      </c>
      <c r="O285" s="109" t="s">
        <v>403</v>
      </c>
      <c r="P285" s="109" t="s">
        <v>2224</v>
      </c>
      <c r="R285" s="109" t="s">
        <v>405</v>
      </c>
      <c r="S285" s="109" t="s">
        <v>2225</v>
      </c>
      <c r="T285" s="109" t="s">
        <v>2226</v>
      </c>
      <c r="U285" s="109" t="s">
        <v>1133</v>
      </c>
      <c r="V285" s="109" t="s">
        <v>1028</v>
      </c>
      <c r="W285" s="109" t="s">
        <v>1081</v>
      </c>
      <c r="X285" s="109" t="s">
        <v>1677</v>
      </c>
    </row>
    <row r="286" spans="1:24" ht="13">
      <c r="A286" s="146">
        <v>43703.249142488421</v>
      </c>
      <c r="B286" s="109" t="s">
        <v>2227</v>
      </c>
      <c r="C286" s="109" t="s">
        <v>2228</v>
      </c>
      <c r="E286" s="109" t="s">
        <v>2229</v>
      </c>
      <c r="F286" s="109" t="s">
        <v>447</v>
      </c>
      <c r="G286" s="109" t="s">
        <v>1465</v>
      </c>
      <c r="H286" s="109" t="s">
        <v>63</v>
      </c>
      <c r="I286" s="109" t="s">
        <v>400</v>
      </c>
      <c r="N286" s="109" t="s">
        <v>2230</v>
      </c>
      <c r="O286" s="109" t="s">
        <v>117</v>
      </c>
      <c r="R286" s="109" t="s">
        <v>405</v>
      </c>
      <c r="U286" s="109" t="s">
        <v>1036</v>
      </c>
      <c r="V286" s="109" t="s">
        <v>1028</v>
      </c>
      <c r="X286" s="109" t="s">
        <v>2231</v>
      </c>
    </row>
    <row r="287" spans="1:24" ht="13">
      <c r="A287" s="146">
        <v>43703.628079803239</v>
      </c>
      <c r="B287" s="109" t="s">
        <v>2232</v>
      </c>
      <c r="C287" s="109" t="s">
        <v>2233</v>
      </c>
      <c r="D287" s="109" t="s">
        <v>2234</v>
      </c>
      <c r="E287" s="109" t="s">
        <v>2235</v>
      </c>
      <c r="F287" s="109" t="s">
        <v>1409</v>
      </c>
      <c r="G287" s="109" t="s">
        <v>1058</v>
      </c>
      <c r="H287" s="109" t="s">
        <v>63</v>
      </c>
      <c r="I287" s="109" t="s">
        <v>400</v>
      </c>
      <c r="P287" s="109" t="s">
        <v>2236</v>
      </c>
      <c r="R287" s="109" t="s">
        <v>451</v>
      </c>
      <c r="S287" s="109" t="s">
        <v>2237</v>
      </c>
      <c r="T287" s="109" t="s">
        <v>2238</v>
      </c>
      <c r="U287" s="109" t="s">
        <v>1027</v>
      </c>
      <c r="V287" s="109" t="s">
        <v>2239</v>
      </c>
      <c r="X287" s="109" t="s">
        <v>2240</v>
      </c>
    </row>
    <row r="288" spans="1:24" ht="13">
      <c r="A288" s="146">
        <v>43705.809249166668</v>
      </c>
      <c r="B288" s="109" t="s">
        <v>2241</v>
      </c>
      <c r="C288" s="109" t="s">
        <v>2242</v>
      </c>
      <c r="D288" s="109" t="s">
        <v>2243</v>
      </c>
      <c r="E288" s="109" t="s">
        <v>2244</v>
      </c>
      <c r="F288" s="109" t="s">
        <v>461</v>
      </c>
      <c r="G288" s="109" t="s">
        <v>1022</v>
      </c>
      <c r="H288" s="109" t="s">
        <v>63</v>
      </c>
      <c r="I288" s="109" t="s">
        <v>251</v>
      </c>
      <c r="J288" s="109" t="s">
        <v>401</v>
      </c>
      <c r="K288" s="109" t="s">
        <v>400</v>
      </c>
      <c r="L288" s="109" t="s">
        <v>163</v>
      </c>
      <c r="M288" s="109" t="s">
        <v>136</v>
      </c>
      <c r="N288" s="109" t="s">
        <v>2245</v>
      </c>
      <c r="O288" s="109" t="s">
        <v>403</v>
      </c>
      <c r="R288" s="109" t="s">
        <v>405</v>
      </c>
      <c r="S288" s="109" t="s">
        <v>2246</v>
      </c>
      <c r="U288" s="109" t="s">
        <v>1097</v>
      </c>
      <c r="V288" s="109" t="s">
        <v>1150</v>
      </c>
      <c r="X288" s="109" t="s">
        <v>1757</v>
      </c>
    </row>
    <row r="289" spans="1:24" ht="13">
      <c r="A289" s="146">
        <v>43707.296979108796</v>
      </c>
      <c r="B289" s="109" t="s">
        <v>2247</v>
      </c>
      <c r="C289" s="109" t="s">
        <v>2248</v>
      </c>
      <c r="D289" s="109" t="s">
        <v>2249</v>
      </c>
      <c r="E289" s="109" t="s">
        <v>2250</v>
      </c>
      <c r="F289" s="109" t="s">
        <v>529</v>
      </c>
      <c r="G289" s="109" t="s">
        <v>1504</v>
      </c>
      <c r="H289" s="109" t="s">
        <v>63</v>
      </c>
      <c r="I289" s="109" t="s">
        <v>400</v>
      </c>
      <c r="J289" s="109" t="s">
        <v>251</v>
      </c>
      <c r="O289" s="109" t="s">
        <v>403</v>
      </c>
      <c r="P289" s="109" t="s">
        <v>20</v>
      </c>
      <c r="R289" s="109" t="s">
        <v>405</v>
      </c>
      <c r="S289" s="109" t="s">
        <v>2251</v>
      </c>
      <c r="T289" s="109" t="s">
        <v>2252</v>
      </c>
      <c r="U289" s="109" t="s">
        <v>1097</v>
      </c>
      <c r="V289" s="109" t="s">
        <v>1150</v>
      </c>
      <c r="X289" s="109" t="s">
        <v>2253</v>
      </c>
    </row>
    <row r="290" spans="1:24" ht="13">
      <c r="A290" s="146">
        <v>43707.808572685186</v>
      </c>
      <c r="B290" s="109" t="s">
        <v>2254</v>
      </c>
      <c r="C290" s="109" t="s">
        <v>2255</v>
      </c>
      <c r="D290" s="109" t="s">
        <v>2256</v>
      </c>
      <c r="E290" s="109" t="s">
        <v>2257</v>
      </c>
      <c r="F290" s="109" t="s">
        <v>1409</v>
      </c>
      <c r="G290" s="109" t="s">
        <v>1884</v>
      </c>
      <c r="H290" s="109" t="s">
        <v>63</v>
      </c>
      <c r="I290" s="109" t="s">
        <v>136</v>
      </c>
      <c r="J290" s="109" t="s">
        <v>163</v>
      </c>
      <c r="K290" s="109" t="s">
        <v>400</v>
      </c>
      <c r="L290" s="109" t="s">
        <v>401</v>
      </c>
      <c r="M290" s="109" t="s">
        <v>251</v>
      </c>
      <c r="O290" s="109" t="s">
        <v>130</v>
      </c>
      <c r="P290" s="109" t="s">
        <v>2258</v>
      </c>
      <c r="R290" s="109" t="s">
        <v>405</v>
      </c>
      <c r="S290" s="109" t="s">
        <v>2259</v>
      </c>
      <c r="T290" s="109" t="s">
        <v>2260</v>
      </c>
      <c r="U290" s="109" t="s">
        <v>1036</v>
      </c>
      <c r="V290" s="109" t="s">
        <v>1821</v>
      </c>
      <c r="X290" s="109" t="s">
        <v>1823</v>
      </c>
    </row>
    <row r="291" spans="1:24" ht="13">
      <c r="A291" s="146">
        <v>43711.08206508102</v>
      </c>
      <c r="B291" s="109" t="s">
        <v>2261</v>
      </c>
      <c r="C291" s="109" t="s">
        <v>860</v>
      </c>
      <c r="D291" s="109" t="s">
        <v>2262</v>
      </c>
      <c r="E291" s="109" t="s">
        <v>2263</v>
      </c>
      <c r="F291" s="109" t="s">
        <v>418</v>
      </c>
      <c r="G291" s="109" t="s">
        <v>1101</v>
      </c>
      <c r="H291" s="109" t="s">
        <v>63</v>
      </c>
      <c r="I291" s="109" t="s">
        <v>251</v>
      </c>
      <c r="J291" s="109" t="s">
        <v>136</v>
      </c>
      <c r="K291" s="109" t="s">
        <v>400</v>
      </c>
      <c r="L291" s="109" t="s">
        <v>163</v>
      </c>
      <c r="M291" s="109" t="s">
        <v>401</v>
      </c>
      <c r="N291" s="109" t="s">
        <v>2264</v>
      </c>
      <c r="O291" s="109" t="s">
        <v>403</v>
      </c>
      <c r="P291" s="109" t="s">
        <v>2265</v>
      </c>
      <c r="R291" s="109" t="s">
        <v>451</v>
      </c>
      <c r="S291" s="109" t="s">
        <v>2266</v>
      </c>
      <c r="T291" s="109" t="s">
        <v>2267</v>
      </c>
      <c r="U291" s="109" t="s">
        <v>1097</v>
      </c>
      <c r="V291" s="109" t="s">
        <v>1028</v>
      </c>
      <c r="W291" s="109" t="s">
        <v>717</v>
      </c>
      <c r="X291" s="109" t="s">
        <v>2268</v>
      </c>
    </row>
    <row r="292" spans="1:24" ht="13">
      <c r="A292" s="146">
        <v>43711.38992238426</v>
      </c>
      <c r="B292" s="109" t="s">
        <v>470</v>
      </c>
      <c r="C292" s="109" t="s">
        <v>471</v>
      </c>
      <c r="D292" s="109" t="s">
        <v>472</v>
      </c>
      <c r="E292" s="109" t="s">
        <v>473</v>
      </c>
      <c r="F292" s="109" t="s">
        <v>461</v>
      </c>
      <c r="G292" s="109" t="s">
        <v>474</v>
      </c>
      <c r="H292" s="109" t="s">
        <v>63</v>
      </c>
      <c r="I292" s="109" t="s">
        <v>251</v>
      </c>
      <c r="U292" s="109" t="s">
        <v>2269</v>
      </c>
      <c r="V292" s="109" t="s">
        <v>2269</v>
      </c>
    </row>
    <row r="293" spans="1:24" ht="13">
      <c r="A293" s="146">
        <v>43711.408003530094</v>
      </c>
      <c r="B293" s="109" t="s">
        <v>664</v>
      </c>
      <c r="C293" s="109" t="s">
        <v>665</v>
      </c>
      <c r="D293" s="109" t="s">
        <v>666</v>
      </c>
      <c r="E293" s="109" t="s">
        <v>667</v>
      </c>
      <c r="F293" s="109" t="s">
        <v>1068</v>
      </c>
      <c r="G293" s="109" t="s">
        <v>2269</v>
      </c>
      <c r="H293" s="109" t="s">
        <v>63</v>
      </c>
      <c r="I293" s="109" t="s">
        <v>400</v>
      </c>
      <c r="U293" s="109" t="s">
        <v>2269</v>
      </c>
      <c r="V293" s="109" t="s">
        <v>2269</v>
      </c>
    </row>
    <row r="294" spans="1:24" ht="13">
      <c r="A294" s="146">
        <v>43711.409085381943</v>
      </c>
      <c r="B294" s="109" t="s">
        <v>664</v>
      </c>
      <c r="C294" s="109" t="s">
        <v>665</v>
      </c>
      <c r="D294" s="109" t="s">
        <v>666</v>
      </c>
      <c r="E294" s="109" t="s">
        <v>667</v>
      </c>
      <c r="F294" s="109" t="s">
        <v>1068</v>
      </c>
      <c r="G294" s="109" t="s">
        <v>2269</v>
      </c>
      <c r="H294" s="109" t="s">
        <v>63</v>
      </c>
      <c r="I294" s="109" t="s">
        <v>251</v>
      </c>
      <c r="U294" s="109" t="s">
        <v>2269</v>
      </c>
      <c r="V294" s="109" t="s">
        <v>2269</v>
      </c>
    </row>
    <row r="295" spans="1:24" ht="13">
      <c r="A295" s="146">
        <v>43711.414084988428</v>
      </c>
      <c r="B295" s="109" t="s">
        <v>675</v>
      </c>
      <c r="C295" s="109" t="s">
        <v>676</v>
      </c>
      <c r="D295" s="109" t="s">
        <v>677</v>
      </c>
      <c r="E295" s="109" t="s">
        <v>678</v>
      </c>
      <c r="F295" s="109" t="s">
        <v>431</v>
      </c>
      <c r="G295" s="109" t="s">
        <v>2270</v>
      </c>
      <c r="H295" s="109" t="s">
        <v>63</v>
      </c>
      <c r="I295" s="109" t="s">
        <v>251</v>
      </c>
      <c r="U295" s="109" t="s">
        <v>2270</v>
      </c>
      <c r="V295" s="109" t="s">
        <v>2270</v>
      </c>
    </row>
    <row r="296" spans="1:24" ht="13">
      <c r="A296" s="146">
        <v>43711.416964699078</v>
      </c>
      <c r="B296" s="109" t="s">
        <v>2271</v>
      </c>
      <c r="C296" s="109" t="s">
        <v>754</v>
      </c>
      <c r="D296" s="109" t="s">
        <v>755</v>
      </c>
      <c r="E296" s="109" t="s">
        <v>756</v>
      </c>
      <c r="F296" s="109" t="s">
        <v>431</v>
      </c>
      <c r="G296" s="109" t="s">
        <v>2269</v>
      </c>
      <c r="H296" s="109" t="s">
        <v>63</v>
      </c>
      <c r="I296" s="109" t="s">
        <v>251</v>
      </c>
      <c r="U296" s="109" t="s">
        <v>2269</v>
      </c>
      <c r="V296" s="109" t="s">
        <v>2269</v>
      </c>
    </row>
    <row r="297" spans="1:24" ht="13">
      <c r="A297" s="146">
        <v>43711.422284594912</v>
      </c>
      <c r="B297" s="109" t="s">
        <v>909</v>
      </c>
      <c r="C297" s="109" t="s">
        <v>313</v>
      </c>
      <c r="D297" s="109" t="s">
        <v>771</v>
      </c>
      <c r="E297" s="109" t="s">
        <v>910</v>
      </c>
      <c r="F297" s="109" t="s">
        <v>492</v>
      </c>
      <c r="G297" s="109" t="s">
        <v>2270</v>
      </c>
      <c r="H297" s="109" t="s">
        <v>63</v>
      </c>
      <c r="I297" s="109" t="s">
        <v>251</v>
      </c>
      <c r="U297" s="109" t="s">
        <v>2270</v>
      </c>
      <c r="V297" s="109" t="s">
        <v>2270</v>
      </c>
    </row>
    <row r="298" spans="1:24" ht="13">
      <c r="A298" s="146">
        <v>43712.77477491898</v>
      </c>
      <c r="B298" s="109" t="s">
        <v>2272</v>
      </c>
      <c r="C298" s="109" t="s">
        <v>682</v>
      </c>
      <c r="E298" s="109" t="s">
        <v>2273</v>
      </c>
      <c r="F298" s="109" t="s">
        <v>1068</v>
      </c>
      <c r="G298" s="109" t="s">
        <v>1049</v>
      </c>
      <c r="H298" s="109" t="s">
        <v>63</v>
      </c>
      <c r="N298" s="109" t="s">
        <v>2274</v>
      </c>
      <c r="O298" s="109" t="s">
        <v>403</v>
      </c>
      <c r="P298" s="109" t="s">
        <v>2275</v>
      </c>
      <c r="R298" s="109" t="s">
        <v>442</v>
      </c>
      <c r="T298" s="109" t="s">
        <v>2276</v>
      </c>
      <c r="U298" s="109" t="s">
        <v>1062</v>
      </c>
      <c r="V298" s="109" t="s">
        <v>1028</v>
      </c>
      <c r="X298" s="109" t="s">
        <v>1687</v>
      </c>
    </row>
    <row r="299" spans="1:24" ht="13">
      <c r="A299" s="146">
        <v>43713.48872883102</v>
      </c>
      <c r="B299" s="109" t="s">
        <v>2277</v>
      </c>
      <c r="C299" s="109" t="s">
        <v>2278</v>
      </c>
      <c r="E299" s="109" t="s">
        <v>2279</v>
      </c>
      <c r="F299" s="109" t="s">
        <v>492</v>
      </c>
      <c r="G299" s="109" t="s">
        <v>1439</v>
      </c>
      <c r="H299" s="109" t="s">
        <v>63</v>
      </c>
      <c r="I299" s="109" t="s">
        <v>251</v>
      </c>
      <c r="J299" s="109" t="s">
        <v>401</v>
      </c>
      <c r="K299" s="109" t="s">
        <v>400</v>
      </c>
      <c r="N299" s="109" t="s">
        <v>2280</v>
      </c>
      <c r="O299" s="109" t="s">
        <v>403</v>
      </c>
      <c r="P299" s="109" t="s">
        <v>2281</v>
      </c>
      <c r="R299" s="109" t="s">
        <v>405</v>
      </c>
      <c r="S299" s="109" t="s">
        <v>2282</v>
      </c>
      <c r="T299" s="109" t="s">
        <v>2283</v>
      </c>
      <c r="U299" s="109" t="s">
        <v>1062</v>
      </c>
      <c r="V299" s="109" t="s">
        <v>1091</v>
      </c>
      <c r="W299" s="109" t="s">
        <v>1104</v>
      </c>
      <c r="X299" s="109" t="s">
        <v>1833</v>
      </c>
    </row>
    <row r="300" spans="1:24" ht="13">
      <c r="A300" s="146">
        <v>43714.554245486113</v>
      </c>
      <c r="B300" s="109" t="s">
        <v>2284</v>
      </c>
      <c r="C300" s="109" t="s">
        <v>2285</v>
      </c>
      <c r="D300" s="109" t="s">
        <v>2286</v>
      </c>
      <c r="E300" s="109" t="s">
        <v>2287</v>
      </c>
      <c r="F300" s="109" t="s">
        <v>1409</v>
      </c>
      <c r="G300" s="109" t="s">
        <v>2288</v>
      </c>
      <c r="H300" s="109" t="s">
        <v>63</v>
      </c>
      <c r="I300" s="109" t="s">
        <v>136</v>
      </c>
      <c r="J300" s="109" t="s">
        <v>400</v>
      </c>
      <c r="K300" s="109" t="s">
        <v>401</v>
      </c>
      <c r="L300" s="109" t="s">
        <v>163</v>
      </c>
      <c r="M300" s="109" t="s">
        <v>251</v>
      </c>
      <c r="N300" s="109" t="s">
        <v>2289</v>
      </c>
      <c r="O300" s="109" t="s">
        <v>117</v>
      </c>
      <c r="P300" s="109" t="s">
        <v>2290</v>
      </c>
      <c r="R300" s="109" t="s">
        <v>451</v>
      </c>
      <c r="S300" s="109" t="s">
        <v>2291</v>
      </c>
      <c r="T300" s="109" t="s">
        <v>2292</v>
      </c>
      <c r="U300" s="109" t="s">
        <v>1027</v>
      </c>
      <c r="V300" s="109" t="s">
        <v>1821</v>
      </c>
      <c r="X300" s="109" t="s">
        <v>1823</v>
      </c>
    </row>
    <row r="301" spans="1:24" ht="13">
      <c r="A301" s="146">
        <v>43714.701527233796</v>
      </c>
      <c r="B301" s="109" t="s">
        <v>2293</v>
      </c>
      <c r="C301" s="109" t="s">
        <v>2294</v>
      </c>
      <c r="D301" s="109" t="s">
        <v>2295</v>
      </c>
      <c r="E301" s="109" t="s">
        <v>2296</v>
      </c>
      <c r="F301" s="109" t="s">
        <v>461</v>
      </c>
      <c r="G301" s="109" t="s">
        <v>1101</v>
      </c>
      <c r="H301" s="109" t="s">
        <v>202</v>
      </c>
      <c r="N301" s="109" t="s">
        <v>2297</v>
      </c>
      <c r="O301" s="109" t="s">
        <v>403</v>
      </c>
      <c r="P301" s="109" t="s">
        <v>130</v>
      </c>
      <c r="R301" s="109" t="s">
        <v>405</v>
      </c>
      <c r="S301" s="109" t="s">
        <v>2298</v>
      </c>
      <c r="T301" s="109" t="s">
        <v>2299</v>
      </c>
      <c r="U301" s="109" t="s">
        <v>2300</v>
      </c>
      <c r="V301" s="109" t="s">
        <v>1028</v>
      </c>
      <c r="X301" s="109" t="s">
        <v>2301</v>
      </c>
    </row>
    <row r="302" spans="1:24" ht="13">
      <c r="A302" s="146">
        <v>43716.695717106486</v>
      </c>
      <c r="B302" s="109" t="s">
        <v>2302</v>
      </c>
      <c r="C302" s="109" t="s">
        <v>2303</v>
      </c>
      <c r="D302" s="109" t="s">
        <v>2304</v>
      </c>
      <c r="E302" s="109" t="s">
        <v>2305</v>
      </c>
      <c r="F302" s="109" t="s">
        <v>1409</v>
      </c>
      <c r="G302" s="109" t="s">
        <v>1884</v>
      </c>
      <c r="H302" s="109" t="s">
        <v>63</v>
      </c>
      <c r="I302" s="109" t="s">
        <v>136</v>
      </c>
      <c r="J302" s="109" t="s">
        <v>400</v>
      </c>
      <c r="K302" s="109" t="s">
        <v>251</v>
      </c>
      <c r="L302" s="109" t="s">
        <v>401</v>
      </c>
      <c r="M302" s="109" t="s">
        <v>163</v>
      </c>
      <c r="N302" s="109" t="s">
        <v>2306</v>
      </c>
      <c r="O302" s="109" t="s">
        <v>403</v>
      </c>
      <c r="P302" s="109" t="s">
        <v>2307</v>
      </c>
      <c r="R302" s="109" t="s">
        <v>405</v>
      </c>
      <c r="S302" s="109" t="s">
        <v>2308</v>
      </c>
      <c r="T302" s="109" t="s">
        <v>2309</v>
      </c>
      <c r="U302" s="109" t="s">
        <v>1097</v>
      </c>
      <c r="V302" s="109" t="s">
        <v>1821</v>
      </c>
      <c r="X302" s="109" t="s">
        <v>1823</v>
      </c>
    </row>
    <row r="303" spans="1:24" ht="13">
      <c r="A303" s="146">
        <v>43717.721726226853</v>
      </c>
      <c r="B303" s="109" t="s">
        <v>2310</v>
      </c>
      <c r="C303" s="109" t="s">
        <v>2311</v>
      </c>
      <c r="D303" s="109" t="s">
        <v>2312</v>
      </c>
      <c r="E303" s="109" t="s">
        <v>2313</v>
      </c>
      <c r="F303" s="109" t="s">
        <v>418</v>
      </c>
      <c r="G303" s="109" t="s">
        <v>2084</v>
      </c>
      <c r="H303" s="109" t="s">
        <v>63</v>
      </c>
      <c r="I303" s="109" t="s">
        <v>400</v>
      </c>
      <c r="J303" s="109" t="s">
        <v>251</v>
      </c>
      <c r="K303" s="109" t="s">
        <v>136</v>
      </c>
      <c r="L303" s="109" t="s">
        <v>163</v>
      </c>
      <c r="M303" s="109" t="s">
        <v>401</v>
      </c>
      <c r="O303" s="109" t="s">
        <v>117</v>
      </c>
      <c r="P303" s="109" t="s">
        <v>2314</v>
      </c>
      <c r="R303" s="109" t="s">
        <v>451</v>
      </c>
      <c r="S303" s="109" t="s">
        <v>2315</v>
      </c>
      <c r="T303" s="109" t="s">
        <v>2316</v>
      </c>
      <c r="U303" s="109" t="s">
        <v>1097</v>
      </c>
      <c r="V303" s="109" t="s">
        <v>1028</v>
      </c>
      <c r="X303" s="109" t="s">
        <v>1833</v>
      </c>
    </row>
    <row r="304" spans="1:24" ht="13">
      <c r="A304" s="146">
        <v>43717.77896462963</v>
      </c>
      <c r="B304" s="109" t="s">
        <v>2317</v>
      </c>
      <c r="C304" s="109" t="s">
        <v>2318</v>
      </c>
      <c r="E304" s="109" t="s">
        <v>2319</v>
      </c>
      <c r="F304" s="109" t="s">
        <v>701</v>
      </c>
      <c r="G304" s="109" t="s">
        <v>1101</v>
      </c>
      <c r="H304" s="109" t="s">
        <v>63</v>
      </c>
      <c r="I304" s="109" t="s">
        <v>251</v>
      </c>
      <c r="J304" s="109" t="s">
        <v>400</v>
      </c>
      <c r="K304" s="109" t="s">
        <v>136</v>
      </c>
      <c r="L304" s="109" t="s">
        <v>163</v>
      </c>
      <c r="M304" s="109" t="s">
        <v>401</v>
      </c>
      <c r="O304" s="109" t="s">
        <v>130</v>
      </c>
      <c r="P304" s="109" t="s">
        <v>1156</v>
      </c>
      <c r="R304" s="109" t="s">
        <v>451</v>
      </c>
      <c r="S304" s="109" t="s">
        <v>2320</v>
      </c>
      <c r="T304" s="109" t="s">
        <v>2321</v>
      </c>
      <c r="U304" s="109" t="s">
        <v>1292</v>
      </c>
      <c r="V304" s="109" t="s">
        <v>1091</v>
      </c>
      <c r="X304" s="109" t="s">
        <v>2322</v>
      </c>
    </row>
    <row r="305" spans="1:24" ht="13">
      <c r="A305" s="146">
        <v>43718.61678217593</v>
      </c>
      <c r="B305" s="109" t="s">
        <v>2323</v>
      </c>
      <c r="C305" s="109" t="s">
        <v>2324</v>
      </c>
      <c r="D305" s="109" t="s">
        <v>2325</v>
      </c>
      <c r="E305" s="109" t="s">
        <v>2326</v>
      </c>
      <c r="F305" s="109" t="s">
        <v>701</v>
      </c>
      <c r="G305" s="109" t="s">
        <v>2327</v>
      </c>
      <c r="H305" s="109" t="s">
        <v>63</v>
      </c>
      <c r="I305" s="109" t="s">
        <v>401</v>
      </c>
      <c r="J305" s="109" t="s">
        <v>163</v>
      </c>
      <c r="K305" s="109" t="s">
        <v>136</v>
      </c>
      <c r="L305" s="109" t="s">
        <v>251</v>
      </c>
      <c r="M305" s="109" t="s">
        <v>400</v>
      </c>
      <c r="N305" s="109" t="s">
        <v>130</v>
      </c>
      <c r="O305" s="109" t="s">
        <v>117</v>
      </c>
      <c r="R305" s="109" t="s">
        <v>451</v>
      </c>
      <c r="S305" s="109" t="s">
        <v>2328</v>
      </c>
      <c r="T305" s="109" t="s">
        <v>2329</v>
      </c>
      <c r="U305" s="109" t="s">
        <v>1950</v>
      </c>
      <c r="V305" s="109" t="s">
        <v>1293</v>
      </c>
      <c r="X305" s="109" t="s">
        <v>1677</v>
      </c>
    </row>
    <row r="306" spans="1:24" ht="13">
      <c r="A306" s="146">
        <v>43720.902269849539</v>
      </c>
      <c r="B306" s="109" t="s">
        <v>2330</v>
      </c>
      <c r="C306" s="109" t="s">
        <v>2331</v>
      </c>
      <c r="D306" s="109" t="s">
        <v>2332</v>
      </c>
      <c r="E306" s="109" t="s">
        <v>2333</v>
      </c>
      <c r="F306" s="109" t="s">
        <v>418</v>
      </c>
      <c r="G306" s="109" t="s">
        <v>1101</v>
      </c>
      <c r="H306" s="109" t="s">
        <v>63</v>
      </c>
      <c r="I306" s="109" t="s">
        <v>251</v>
      </c>
      <c r="J306" s="109" t="s">
        <v>163</v>
      </c>
      <c r="K306" s="109" t="s">
        <v>400</v>
      </c>
      <c r="L306" s="109" t="s">
        <v>401</v>
      </c>
      <c r="N306" s="109" t="s">
        <v>2334</v>
      </c>
      <c r="O306" s="109" t="s">
        <v>403</v>
      </c>
      <c r="P306" s="109" t="s">
        <v>2335</v>
      </c>
      <c r="R306" s="109" t="s">
        <v>405</v>
      </c>
      <c r="S306" s="109" t="s">
        <v>2336</v>
      </c>
      <c r="T306" s="109" t="s">
        <v>2337</v>
      </c>
      <c r="U306" s="109" t="s">
        <v>1292</v>
      </c>
      <c r="V306" s="109" t="s">
        <v>1150</v>
      </c>
      <c r="W306" s="109" t="s">
        <v>2338</v>
      </c>
      <c r="X306" s="109" t="s">
        <v>2339</v>
      </c>
    </row>
    <row r="307" spans="1:24" ht="13">
      <c r="A307" s="146">
        <v>43721.408467650464</v>
      </c>
      <c r="B307" s="109" t="s">
        <v>2340</v>
      </c>
      <c r="C307" s="109" t="s">
        <v>453</v>
      </c>
      <c r="D307" s="109" t="s">
        <v>2341</v>
      </c>
      <c r="E307" s="109" t="s">
        <v>2342</v>
      </c>
      <c r="F307" s="109" t="s">
        <v>2343</v>
      </c>
      <c r="G307" s="109" t="s">
        <v>1022</v>
      </c>
      <c r="H307" s="109" t="s">
        <v>63</v>
      </c>
      <c r="I307" s="109" t="s">
        <v>251</v>
      </c>
      <c r="J307" s="109" t="s">
        <v>400</v>
      </c>
      <c r="N307" s="109" t="s">
        <v>2344</v>
      </c>
      <c r="O307" s="109" t="s">
        <v>403</v>
      </c>
      <c r="R307" s="109" t="s">
        <v>405</v>
      </c>
      <c r="S307" s="109" t="s">
        <v>2345</v>
      </c>
      <c r="T307" s="109" t="s">
        <v>2346</v>
      </c>
      <c r="U307" s="109" t="s">
        <v>1062</v>
      </c>
      <c r="V307" s="109" t="s">
        <v>1028</v>
      </c>
      <c r="W307" s="109" t="s">
        <v>2347</v>
      </c>
      <c r="X307" s="109" t="s">
        <v>2348</v>
      </c>
    </row>
    <row r="308" spans="1:24" ht="13">
      <c r="A308" s="146">
        <v>43721.662204236112</v>
      </c>
      <c r="B308" s="109" t="s">
        <v>2349</v>
      </c>
      <c r="C308" s="109" t="s">
        <v>682</v>
      </c>
      <c r="D308" s="109" t="s">
        <v>2350</v>
      </c>
      <c r="E308" s="109" t="s">
        <v>2351</v>
      </c>
      <c r="F308" s="109" t="s">
        <v>1068</v>
      </c>
      <c r="G308" s="109" t="s">
        <v>1101</v>
      </c>
      <c r="H308" s="109" t="s">
        <v>63</v>
      </c>
      <c r="I308" s="109" t="s">
        <v>251</v>
      </c>
      <c r="N308" s="109" t="s">
        <v>2352</v>
      </c>
      <c r="O308" s="109" t="s">
        <v>130</v>
      </c>
      <c r="P308" s="109" t="s">
        <v>175</v>
      </c>
      <c r="R308" s="109" t="s">
        <v>442</v>
      </c>
      <c r="S308" s="109" t="s">
        <v>2353</v>
      </c>
      <c r="T308" s="109" t="s">
        <v>175</v>
      </c>
      <c r="U308" s="109" t="s">
        <v>1766</v>
      </c>
      <c r="V308" s="109" t="s">
        <v>1028</v>
      </c>
      <c r="X308" s="109" t="s">
        <v>1687</v>
      </c>
    </row>
    <row r="309" spans="1:24" ht="13">
      <c r="A309" s="146">
        <v>43724.55539652778</v>
      </c>
      <c r="B309" s="109" t="s">
        <v>2354</v>
      </c>
      <c r="C309" s="109" t="s">
        <v>2355</v>
      </c>
      <c r="D309" s="109" t="s">
        <v>2356</v>
      </c>
      <c r="E309" s="109" t="s">
        <v>2357</v>
      </c>
      <c r="F309" s="109" t="s">
        <v>2358</v>
      </c>
      <c r="G309" s="109" t="s">
        <v>1022</v>
      </c>
      <c r="H309" s="109" t="s">
        <v>63</v>
      </c>
      <c r="I309" s="109" t="s">
        <v>163</v>
      </c>
      <c r="J309" s="109" t="s">
        <v>251</v>
      </c>
      <c r="K309" s="109" t="s">
        <v>400</v>
      </c>
      <c r="L309" s="109" t="s">
        <v>401</v>
      </c>
      <c r="M309" s="109" t="s">
        <v>136</v>
      </c>
      <c r="N309" s="109" t="s">
        <v>2359</v>
      </c>
      <c r="O309" s="109" t="s">
        <v>117</v>
      </c>
      <c r="P309" s="109" t="s">
        <v>2360</v>
      </c>
      <c r="R309" s="109" t="s">
        <v>451</v>
      </c>
      <c r="S309" s="109" t="s">
        <v>2361</v>
      </c>
      <c r="T309" s="109" t="s">
        <v>717</v>
      </c>
      <c r="U309" s="109" t="s">
        <v>1133</v>
      </c>
      <c r="V309" s="109" t="s">
        <v>1028</v>
      </c>
      <c r="W309" s="109" t="s">
        <v>2362</v>
      </c>
      <c r="X309" s="109" t="s">
        <v>2363</v>
      </c>
    </row>
    <row r="310" spans="1:24" ht="13">
      <c r="A310" s="146">
        <v>43724.684086863424</v>
      </c>
      <c r="B310" s="109" t="s">
        <v>2364</v>
      </c>
      <c r="C310" s="109" t="s">
        <v>2365</v>
      </c>
      <c r="D310" s="109" t="s">
        <v>2366</v>
      </c>
      <c r="E310" s="109" t="s">
        <v>2367</v>
      </c>
      <c r="F310" s="109" t="s">
        <v>1409</v>
      </c>
      <c r="G310" s="109" t="s">
        <v>2368</v>
      </c>
      <c r="H310" s="109" t="s">
        <v>63</v>
      </c>
      <c r="I310" s="109" t="s">
        <v>251</v>
      </c>
      <c r="J310" s="109" t="s">
        <v>163</v>
      </c>
      <c r="K310" s="109" t="s">
        <v>401</v>
      </c>
      <c r="L310" s="109" t="s">
        <v>400</v>
      </c>
      <c r="M310" s="109" t="s">
        <v>136</v>
      </c>
      <c r="O310" s="109" t="s">
        <v>117</v>
      </c>
      <c r="P310" s="109" t="s">
        <v>691</v>
      </c>
      <c r="R310" s="109" t="s">
        <v>451</v>
      </c>
      <c r="S310" s="109" t="s">
        <v>2369</v>
      </c>
      <c r="T310" s="109" t="s">
        <v>2370</v>
      </c>
      <c r="U310" s="109" t="s">
        <v>1036</v>
      </c>
      <c r="V310" s="109" t="s">
        <v>1293</v>
      </c>
      <c r="X310" s="109" t="s">
        <v>2348</v>
      </c>
    </row>
    <row r="311" spans="1:24" ht="13">
      <c r="A311" s="146">
        <v>43725.594300775461</v>
      </c>
      <c r="B311" s="109" t="s">
        <v>2371</v>
      </c>
      <c r="C311" s="109" t="s">
        <v>2372</v>
      </c>
      <c r="D311" s="109" t="s">
        <v>2373</v>
      </c>
      <c r="E311" s="109" t="s">
        <v>2374</v>
      </c>
      <c r="F311" s="109" t="s">
        <v>2375</v>
      </c>
      <c r="G311" s="109" t="s">
        <v>2376</v>
      </c>
      <c r="H311" s="109" t="s">
        <v>202</v>
      </c>
      <c r="I311" s="109" t="s">
        <v>400</v>
      </c>
      <c r="J311" s="109" t="s">
        <v>251</v>
      </c>
      <c r="K311" s="109" t="s">
        <v>136</v>
      </c>
      <c r="L311" s="109" t="s">
        <v>163</v>
      </c>
      <c r="M311" s="109" t="s">
        <v>401</v>
      </c>
      <c r="O311" s="109" t="s">
        <v>117</v>
      </c>
      <c r="S311" s="109" t="s">
        <v>2377</v>
      </c>
      <c r="U311" s="109" t="s">
        <v>1097</v>
      </c>
      <c r="V311" s="109" t="s">
        <v>1091</v>
      </c>
      <c r="X311" s="109" t="s">
        <v>1833</v>
      </c>
    </row>
    <row r="312" spans="1:24" ht="13">
      <c r="A312" s="146">
        <v>43727.825285231476</v>
      </c>
      <c r="B312" s="109" t="s">
        <v>2378</v>
      </c>
      <c r="C312" s="109" t="s">
        <v>2379</v>
      </c>
      <c r="D312" s="109" t="s">
        <v>2380</v>
      </c>
      <c r="E312" s="109" t="s">
        <v>2381</v>
      </c>
      <c r="F312" s="109" t="s">
        <v>1762</v>
      </c>
      <c r="G312" s="109" t="s">
        <v>2382</v>
      </c>
      <c r="H312" s="109" t="s">
        <v>63</v>
      </c>
      <c r="I312" s="109" t="s">
        <v>401</v>
      </c>
      <c r="J312" s="109" t="s">
        <v>400</v>
      </c>
      <c r="K312" s="109" t="s">
        <v>251</v>
      </c>
      <c r="L312" s="109" t="s">
        <v>163</v>
      </c>
      <c r="M312" s="109" t="s">
        <v>136</v>
      </c>
      <c r="N312" s="109" t="s">
        <v>130</v>
      </c>
      <c r="O312" s="109" t="s">
        <v>117</v>
      </c>
      <c r="P312" s="109" t="s">
        <v>2383</v>
      </c>
      <c r="R312" s="109" t="s">
        <v>451</v>
      </c>
      <c r="S312" s="109" t="s">
        <v>2384</v>
      </c>
      <c r="T312" s="109" t="s">
        <v>2385</v>
      </c>
      <c r="U312" s="109" t="s">
        <v>1292</v>
      </c>
      <c r="V312" s="109" t="s">
        <v>1293</v>
      </c>
      <c r="W312" s="109" t="s">
        <v>34</v>
      </c>
      <c r="X312" s="109" t="s">
        <v>1677</v>
      </c>
    </row>
    <row r="313" spans="1:24" ht="13">
      <c r="A313" s="146">
        <v>43727.949473321758</v>
      </c>
      <c r="B313" s="109" t="s">
        <v>2386</v>
      </c>
      <c r="C313" s="109" t="s">
        <v>2387</v>
      </c>
      <c r="E313" s="109" t="s">
        <v>2388</v>
      </c>
      <c r="F313" s="109" t="s">
        <v>418</v>
      </c>
      <c r="G313" s="109" t="s">
        <v>2389</v>
      </c>
      <c r="H313" s="109" t="s">
        <v>63</v>
      </c>
      <c r="I313" s="109" t="s">
        <v>400</v>
      </c>
      <c r="J313" s="109" t="s">
        <v>251</v>
      </c>
      <c r="K313" s="109" t="s">
        <v>401</v>
      </c>
      <c r="L313" s="109" t="s">
        <v>163</v>
      </c>
      <c r="M313" s="109" t="s">
        <v>136</v>
      </c>
      <c r="O313" s="109" t="s">
        <v>130</v>
      </c>
      <c r="R313" s="109" t="s">
        <v>442</v>
      </c>
      <c r="S313" s="109" t="s">
        <v>2390</v>
      </c>
      <c r="T313" s="109" t="s">
        <v>2391</v>
      </c>
      <c r="U313" s="109" t="s">
        <v>1097</v>
      </c>
      <c r="V313" s="109" t="s">
        <v>1028</v>
      </c>
      <c r="W313" s="109" t="s">
        <v>2392</v>
      </c>
      <c r="X313" s="109" t="s">
        <v>1677</v>
      </c>
    </row>
    <row r="314" spans="1:24" ht="13">
      <c r="A314" s="146">
        <v>43731.702472511577</v>
      </c>
      <c r="B314" s="109" t="s">
        <v>2393</v>
      </c>
      <c r="C314" s="109" t="s">
        <v>2394</v>
      </c>
      <c r="D314" s="109" t="s">
        <v>2395</v>
      </c>
      <c r="E314" s="109" t="s">
        <v>2396</v>
      </c>
      <c r="F314" s="109" t="s">
        <v>2397</v>
      </c>
      <c r="G314" s="109" t="s">
        <v>2398</v>
      </c>
      <c r="H314" s="109" t="s">
        <v>63</v>
      </c>
      <c r="I314" s="109" t="s">
        <v>400</v>
      </c>
      <c r="J314" s="109" t="s">
        <v>401</v>
      </c>
      <c r="O314" s="109" t="s">
        <v>130</v>
      </c>
      <c r="P314" s="109" t="s">
        <v>2399</v>
      </c>
      <c r="R314" s="109" t="s">
        <v>451</v>
      </c>
      <c r="S314" s="109" t="s">
        <v>2400</v>
      </c>
      <c r="T314" s="109" t="s">
        <v>2401</v>
      </c>
      <c r="U314" s="109" t="s">
        <v>1097</v>
      </c>
      <c r="V314" s="109" t="s">
        <v>1293</v>
      </c>
      <c r="X314" s="109" t="s">
        <v>2402</v>
      </c>
    </row>
    <row r="315" spans="1:24" ht="13">
      <c r="A315" s="146">
        <v>43733.739980405095</v>
      </c>
      <c r="B315" s="109" t="s">
        <v>2403</v>
      </c>
      <c r="C315" s="109" t="s">
        <v>2404</v>
      </c>
      <c r="D315" s="109" t="s">
        <v>2405</v>
      </c>
      <c r="E315" s="109" t="s">
        <v>2406</v>
      </c>
      <c r="F315" s="109" t="s">
        <v>461</v>
      </c>
      <c r="G315" s="109" t="s">
        <v>2407</v>
      </c>
      <c r="H315" s="109" t="s">
        <v>63</v>
      </c>
      <c r="I315" s="109" t="s">
        <v>251</v>
      </c>
      <c r="J315" s="109" t="s">
        <v>400</v>
      </c>
      <c r="K315" s="109" t="s">
        <v>136</v>
      </c>
      <c r="L315" s="109" t="s">
        <v>401</v>
      </c>
      <c r="M315" s="109" t="s">
        <v>163</v>
      </c>
      <c r="N315" s="109" t="s">
        <v>2408</v>
      </c>
      <c r="O315" s="109" t="s">
        <v>403</v>
      </c>
      <c r="P315" s="109" t="s">
        <v>2409</v>
      </c>
      <c r="R315" s="109" t="s">
        <v>451</v>
      </c>
      <c r="S315" s="109" t="s">
        <v>2410</v>
      </c>
      <c r="T315" s="109" t="s">
        <v>2411</v>
      </c>
      <c r="U315" s="109" t="s">
        <v>1036</v>
      </c>
      <c r="V315" s="109" t="s">
        <v>1028</v>
      </c>
      <c r="X315" s="109" t="s">
        <v>2412</v>
      </c>
    </row>
    <row r="316" spans="1:24" ht="13">
      <c r="A316" s="146">
        <v>43734.34401487268</v>
      </c>
      <c r="B316" s="109" t="s">
        <v>2413</v>
      </c>
      <c r="C316" s="109" t="s">
        <v>2414</v>
      </c>
      <c r="D316" s="109" t="s">
        <v>2415</v>
      </c>
      <c r="E316" s="109" t="s">
        <v>2416</v>
      </c>
      <c r="F316" s="109" t="s">
        <v>1021</v>
      </c>
      <c r="G316" s="109" t="s">
        <v>2376</v>
      </c>
      <c r="H316" s="109" t="s">
        <v>63</v>
      </c>
      <c r="I316" s="109" t="s">
        <v>251</v>
      </c>
      <c r="J316" s="109" t="s">
        <v>400</v>
      </c>
      <c r="K316" s="109" t="s">
        <v>401</v>
      </c>
      <c r="L316" s="109" t="s">
        <v>163</v>
      </c>
      <c r="M316" s="109" t="s">
        <v>136</v>
      </c>
      <c r="O316" s="109" t="s">
        <v>130</v>
      </c>
      <c r="P316" s="109" t="s">
        <v>2417</v>
      </c>
      <c r="R316" s="109" t="s">
        <v>442</v>
      </c>
      <c r="T316" s="109" t="s">
        <v>2418</v>
      </c>
      <c r="U316" s="109" t="s">
        <v>1133</v>
      </c>
      <c r="V316" s="109" t="s">
        <v>1028</v>
      </c>
      <c r="X316" s="109" t="s">
        <v>2419</v>
      </c>
    </row>
    <row r="317" spans="1:24" ht="13">
      <c r="A317" s="146">
        <v>43734.386442905088</v>
      </c>
      <c r="B317" s="109" t="s">
        <v>2420</v>
      </c>
      <c r="C317" s="109" t="s">
        <v>714</v>
      </c>
      <c r="E317" s="109" t="s">
        <v>2421</v>
      </c>
      <c r="F317" s="109" t="s">
        <v>461</v>
      </c>
      <c r="G317" s="109" t="s">
        <v>1101</v>
      </c>
      <c r="H317" s="109" t="s">
        <v>202</v>
      </c>
      <c r="I317" s="109" t="s">
        <v>251</v>
      </c>
      <c r="J317" s="109" t="s">
        <v>401</v>
      </c>
      <c r="K317" s="109" t="s">
        <v>400</v>
      </c>
      <c r="L317" s="109" t="s">
        <v>163</v>
      </c>
      <c r="M317" s="109" t="s">
        <v>136</v>
      </c>
      <c r="O317" s="109" t="s">
        <v>130</v>
      </c>
      <c r="P317" s="109" t="s">
        <v>2422</v>
      </c>
      <c r="R317" s="109" t="s">
        <v>442</v>
      </c>
      <c r="S317" s="109" t="s">
        <v>2423</v>
      </c>
      <c r="T317" s="109" t="s">
        <v>2424</v>
      </c>
      <c r="U317" s="109" t="s">
        <v>1062</v>
      </c>
      <c r="V317" s="109" t="s">
        <v>1293</v>
      </c>
      <c r="X317" s="109" t="s">
        <v>1757</v>
      </c>
    </row>
    <row r="318" spans="1:24" ht="13">
      <c r="A318" s="146">
        <v>43735.7369703125</v>
      </c>
      <c r="B318" s="109" t="s">
        <v>2425</v>
      </c>
      <c r="C318" s="109" t="s">
        <v>2426</v>
      </c>
      <c r="D318" s="109" t="s">
        <v>2427</v>
      </c>
      <c r="E318" s="109" t="s">
        <v>2428</v>
      </c>
      <c r="F318" s="109" t="s">
        <v>1021</v>
      </c>
      <c r="G318" s="109" t="s">
        <v>2429</v>
      </c>
      <c r="H318" s="109" t="s">
        <v>63</v>
      </c>
      <c r="I318" s="109" t="s">
        <v>136</v>
      </c>
      <c r="J318" s="109" t="s">
        <v>251</v>
      </c>
      <c r="K318" s="109" t="s">
        <v>401</v>
      </c>
      <c r="L318" s="109" t="s">
        <v>400</v>
      </c>
      <c r="M318" s="109" t="s">
        <v>163</v>
      </c>
      <c r="N318" s="109" t="s">
        <v>2430</v>
      </c>
      <c r="O318" s="109" t="s">
        <v>403</v>
      </c>
      <c r="P318" s="109" t="s">
        <v>2431</v>
      </c>
      <c r="R318" s="109" t="s">
        <v>451</v>
      </c>
      <c r="S318" s="109" t="s">
        <v>2432</v>
      </c>
      <c r="T318" s="109" t="s">
        <v>2433</v>
      </c>
      <c r="U318" s="109" t="s">
        <v>1027</v>
      </c>
      <c r="V318" s="109" t="s">
        <v>1028</v>
      </c>
      <c r="X318" s="109" t="s">
        <v>2412</v>
      </c>
    </row>
    <row r="319" spans="1:24" ht="13">
      <c r="A319" s="146">
        <v>43736.418810243056</v>
      </c>
      <c r="B319" s="109" t="s">
        <v>2434</v>
      </c>
      <c r="C319" s="109" t="s">
        <v>2435</v>
      </c>
      <c r="D319" s="109" t="s">
        <v>2436</v>
      </c>
      <c r="E319" s="109" t="s">
        <v>2437</v>
      </c>
      <c r="F319" s="109" t="s">
        <v>431</v>
      </c>
      <c r="G319" s="109" t="s">
        <v>2438</v>
      </c>
      <c r="H319" s="109" t="s">
        <v>63</v>
      </c>
      <c r="I319" s="109" t="s">
        <v>251</v>
      </c>
      <c r="J319" s="109" t="s">
        <v>163</v>
      </c>
      <c r="K319" s="109" t="s">
        <v>400</v>
      </c>
      <c r="L319" s="109" t="s">
        <v>401</v>
      </c>
      <c r="M319" s="109" t="s">
        <v>136</v>
      </c>
      <c r="N319" s="109" t="s">
        <v>2439</v>
      </c>
      <c r="O319" s="109" t="s">
        <v>117</v>
      </c>
      <c r="P319" s="109" t="s">
        <v>2440</v>
      </c>
      <c r="R319" s="109" t="s">
        <v>451</v>
      </c>
      <c r="S319" s="109" t="s">
        <v>2441</v>
      </c>
      <c r="T319" s="109" t="s">
        <v>2442</v>
      </c>
      <c r="U319" s="109" t="s">
        <v>1062</v>
      </c>
      <c r="V319" s="109" t="s">
        <v>1028</v>
      </c>
      <c r="X319" s="109" t="s">
        <v>2443</v>
      </c>
    </row>
    <row r="320" spans="1:24" ht="13">
      <c r="A320" s="146">
        <v>43739.038227233796</v>
      </c>
      <c r="B320" s="109" t="s">
        <v>2444</v>
      </c>
      <c r="C320" s="109" t="s">
        <v>2445</v>
      </c>
      <c r="D320" s="109" t="s">
        <v>2446</v>
      </c>
      <c r="E320" s="109" t="s">
        <v>2447</v>
      </c>
      <c r="F320" s="109" t="s">
        <v>701</v>
      </c>
      <c r="G320" s="109" t="s">
        <v>1022</v>
      </c>
      <c r="H320" s="109" t="s">
        <v>63</v>
      </c>
      <c r="I320" s="109" t="s">
        <v>251</v>
      </c>
      <c r="J320" s="109" t="s">
        <v>400</v>
      </c>
      <c r="K320" s="109" t="s">
        <v>163</v>
      </c>
      <c r="O320" s="109" t="s">
        <v>130</v>
      </c>
      <c r="P320" s="109" t="s">
        <v>2448</v>
      </c>
      <c r="R320" s="109" t="s">
        <v>451</v>
      </c>
      <c r="S320" s="109" t="s">
        <v>2449</v>
      </c>
      <c r="U320" s="109" t="s">
        <v>1097</v>
      </c>
      <c r="V320" s="109" t="s">
        <v>1091</v>
      </c>
      <c r="X320" s="109" t="s">
        <v>2450</v>
      </c>
    </row>
    <row r="321" spans="1:24" ht="13">
      <c r="A321" s="146">
        <v>43739.38035712963</v>
      </c>
      <c r="B321" s="109" t="s">
        <v>1688</v>
      </c>
      <c r="C321" s="109" t="s">
        <v>2451</v>
      </c>
      <c r="D321" s="109" t="s">
        <v>2452</v>
      </c>
      <c r="E321" s="109" t="s">
        <v>1691</v>
      </c>
      <c r="F321" s="109" t="s">
        <v>431</v>
      </c>
      <c r="G321" s="109" t="s">
        <v>1022</v>
      </c>
      <c r="H321" s="109" t="s">
        <v>202</v>
      </c>
      <c r="I321" s="109" t="s">
        <v>136</v>
      </c>
      <c r="J321" s="109" t="s">
        <v>251</v>
      </c>
      <c r="K321" s="109" t="s">
        <v>401</v>
      </c>
      <c r="L321" s="109" t="s">
        <v>400</v>
      </c>
      <c r="M321" s="109" t="s">
        <v>163</v>
      </c>
      <c r="N321" s="109" t="s">
        <v>2453</v>
      </c>
      <c r="O321" s="109" t="s">
        <v>403</v>
      </c>
      <c r="P321" s="109" t="s">
        <v>2454</v>
      </c>
      <c r="R321" s="109" t="s">
        <v>451</v>
      </c>
      <c r="S321" s="109" t="s">
        <v>2455</v>
      </c>
      <c r="T321" s="109" t="s">
        <v>2456</v>
      </c>
      <c r="U321" s="109" t="s">
        <v>1027</v>
      </c>
      <c r="V321" s="109" t="s">
        <v>1028</v>
      </c>
      <c r="X321" s="109" t="s">
        <v>2457</v>
      </c>
    </row>
    <row r="322" spans="1:24" ht="13">
      <c r="A322" s="146">
        <v>43739.463473854164</v>
      </c>
      <c r="B322" s="109" t="s">
        <v>2458</v>
      </c>
      <c r="C322" s="109" t="s">
        <v>2404</v>
      </c>
      <c r="E322" s="109" t="s">
        <v>2459</v>
      </c>
      <c r="F322" s="109" t="s">
        <v>461</v>
      </c>
      <c r="G322" s="109" t="s">
        <v>1049</v>
      </c>
      <c r="H322" s="109" t="s">
        <v>202</v>
      </c>
      <c r="O322" s="109" t="s">
        <v>403</v>
      </c>
      <c r="P322" s="109" t="s">
        <v>2460</v>
      </c>
      <c r="R322" s="109" t="s">
        <v>405</v>
      </c>
      <c r="S322" s="109" t="s">
        <v>2461</v>
      </c>
      <c r="T322" s="109" t="s">
        <v>2411</v>
      </c>
      <c r="U322" s="109" t="s">
        <v>1036</v>
      </c>
      <c r="V322" s="109" t="s">
        <v>1028</v>
      </c>
      <c r="X322" s="109" t="s">
        <v>2462</v>
      </c>
    </row>
    <row r="323" spans="1:24" ht="13">
      <c r="A323" s="146">
        <v>43742.05410947917</v>
      </c>
      <c r="B323" s="109" t="s">
        <v>2463</v>
      </c>
      <c r="C323" s="109" t="s">
        <v>2464</v>
      </c>
      <c r="D323" s="109" t="s">
        <v>2465</v>
      </c>
      <c r="E323" s="109" t="s">
        <v>2466</v>
      </c>
      <c r="F323" s="109" t="s">
        <v>1762</v>
      </c>
      <c r="G323" s="109" t="s">
        <v>2467</v>
      </c>
      <c r="H323" s="109" t="s">
        <v>202</v>
      </c>
      <c r="I323" s="109" t="s">
        <v>400</v>
      </c>
      <c r="J323" s="109" t="s">
        <v>401</v>
      </c>
      <c r="K323" s="109" t="s">
        <v>251</v>
      </c>
      <c r="O323" s="109" t="s">
        <v>403</v>
      </c>
      <c r="R323" s="109" t="s">
        <v>405</v>
      </c>
      <c r="S323" s="109" t="s">
        <v>2468</v>
      </c>
      <c r="T323" s="109" t="s">
        <v>2469</v>
      </c>
      <c r="U323" s="109" t="s">
        <v>1062</v>
      </c>
      <c r="V323" s="109" t="s">
        <v>1091</v>
      </c>
      <c r="X323" s="109" t="s">
        <v>2412</v>
      </c>
    </row>
    <row r="324" spans="1:24" ht="13">
      <c r="A324" s="146">
        <v>43742.668853506941</v>
      </c>
      <c r="B324" s="109" t="s">
        <v>2470</v>
      </c>
      <c r="C324" s="109" t="s">
        <v>2471</v>
      </c>
      <c r="D324" s="109" t="s">
        <v>2472</v>
      </c>
      <c r="E324" s="109" t="s">
        <v>2473</v>
      </c>
      <c r="F324" s="109" t="s">
        <v>492</v>
      </c>
      <c r="G324" s="109" t="s">
        <v>2474</v>
      </c>
      <c r="H324" s="109" t="s">
        <v>63</v>
      </c>
      <c r="I324" s="109" t="s">
        <v>251</v>
      </c>
      <c r="J324" s="109" t="s">
        <v>401</v>
      </c>
      <c r="K324" s="109" t="s">
        <v>400</v>
      </c>
      <c r="L324" s="109" t="s">
        <v>136</v>
      </c>
      <c r="M324" s="109" t="s">
        <v>163</v>
      </c>
      <c r="N324" s="109" t="s">
        <v>2475</v>
      </c>
      <c r="O324" s="109" t="s">
        <v>130</v>
      </c>
      <c r="P324" s="109" t="s">
        <v>2265</v>
      </c>
      <c r="S324" s="109" t="s">
        <v>2476</v>
      </c>
      <c r="U324" s="109" t="s">
        <v>1062</v>
      </c>
      <c r="V324" s="109" t="s">
        <v>1091</v>
      </c>
      <c r="W324" s="109" t="s">
        <v>2477</v>
      </c>
      <c r="X324" s="109" t="s">
        <v>2478</v>
      </c>
    </row>
    <row r="325" spans="1:24" ht="13">
      <c r="A325" s="146">
        <v>43744.754777407405</v>
      </c>
      <c r="B325" s="109" t="s">
        <v>2479</v>
      </c>
      <c r="C325" s="109" t="s">
        <v>407</v>
      </c>
      <c r="D325" s="109" t="s">
        <v>2480</v>
      </c>
      <c r="E325" s="109" t="s">
        <v>2481</v>
      </c>
      <c r="F325" s="109" t="s">
        <v>2482</v>
      </c>
      <c r="G325" s="109" t="s">
        <v>2483</v>
      </c>
      <c r="H325" s="109" t="s">
        <v>202</v>
      </c>
      <c r="I325" s="109" t="s">
        <v>251</v>
      </c>
      <c r="J325" s="109" t="s">
        <v>400</v>
      </c>
      <c r="K325" s="109" t="s">
        <v>401</v>
      </c>
      <c r="N325" s="109" t="s">
        <v>2484</v>
      </c>
      <c r="O325" s="109" t="s">
        <v>403</v>
      </c>
      <c r="P325" s="109" t="s">
        <v>2485</v>
      </c>
      <c r="R325" s="109" t="s">
        <v>442</v>
      </c>
      <c r="S325" s="109" t="s">
        <v>2486</v>
      </c>
      <c r="T325" s="109" t="s">
        <v>2487</v>
      </c>
      <c r="U325" s="109" t="s">
        <v>1027</v>
      </c>
      <c r="V325" s="109" t="s">
        <v>1249</v>
      </c>
      <c r="W325" s="109" t="s">
        <v>2488</v>
      </c>
      <c r="X325" s="109" t="s">
        <v>2489</v>
      </c>
    </row>
    <row r="326" spans="1:24" ht="13">
      <c r="A326" s="146">
        <v>43745.651729861114</v>
      </c>
      <c r="B326" s="109" t="s">
        <v>2490</v>
      </c>
      <c r="C326" s="109" t="s">
        <v>2491</v>
      </c>
      <c r="D326" s="109" t="s">
        <v>2492</v>
      </c>
      <c r="E326" s="109" t="s">
        <v>2493</v>
      </c>
      <c r="F326" s="109" t="s">
        <v>431</v>
      </c>
      <c r="G326" s="109" t="s">
        <v>1219</v>
      </c>
      <c r="H326" s="109" t="s">
        <v>63</v>
      </c>
      <c r="I326" s="109" t="s">
        <v>251</v>
      </c>
      <c r="J326" s="109" t="s">
        <v>400</v>
      </c>
      <c r="K326" s="109" t="s">
        <v>163</v>
      </c>
      <c r="L326" s="109" t="s">
        <v>401</v>
      </c>
      <c r="O326" s="109" t="s">
        <v>403</v>
      </c>
      <c r="R326" s="109" t="s">
        <v>405</v>
      </c>
      <c r="S326" s="109" t="s">
        <v>2494</v>
      </c>
      <c r="T326" s="109" t="s">
        <v>2495</v>
      </c>
      <c r="U326" s="109" t="s">
        <v>1062</v>
      </c>
      <c r="V326" s="109" t="s">
        <v>1028</v>
      </c>
      <c r="W326" s="109" t="s">
        <v>2496</v>
      </c>
      <c r="X326" s="109" t="s">
        <v>1757</v>
      </c>
    </row>
    <row r="327" spans="1:24" ht="13">
      <c r="A327" s="146">
        <v>43746.863824826389</v>
      </c>
      <c r="B327" s="109" t="s">
        <v>2497</v>
      </c>
      <c r="C327" s="109" t="s">
        <v>2498</v>
      </c>
      <c r="D327" s="109" t="s">
        <v>2499</v>
      </c>
      <c r="E327" s="109" t="s">
        <v>2500</v>
      </c>
      <c r="F327" s="109" t="s">
        <v>418</v>
      </c>
      <c r="G327" s="109" t="s">
        <v>2084</v>
      </c>
      <c r="H327" s="109" t="s">
        <v>63</v>
      </c>
      <c r="I327" s="109" t="s">
        <v>251</v>
      </c>
      <c r="J327" s="109" t="s">
        <v>400</v>
      </c>
      <c r="K327" s="109" t="s">
        <v>163</v>
      </c>
      <c r="L327" s="109" t="s">
        <v>401</v>
      </c>
      <c r="N327" s="109" t="s">
        <v>2501</v>
      </c>
      <c r="O327" s="109" t="s">
        <v>403</v>
      </c>
      <c r="P327" s="109" t="s">
        <v>2502</v>
      </c>
      <c r="R327" s="109" t="s">
        <v>451</v>
      </c>
      <c r="S327" s="109" t="s">
        <v>2503</v>
      </c>
      <c r="T327" s="109" t="s">
        <v>717</v>
      </c>
      <c r="U327" s="109" t="s">
        <v>1062</v>
      </c>
      <c r="V327" s="109" t="s">
        <v>1091</v>
      </c>
      <c r="X327" s="109" t="s">
        <v>2504</v>
      </c>
    </row>
    <row r="328" spans="1:24" ht="13">
      <c r="A328" s="146">
        <v>43747.542241053241</v>
      </c>
      <c r="B328" s="109" t="s">
        <v>2505</v>
      </c>
      <c r="C328" s="109" t="s">
        <v>2506</v>
      </c>
      <c r="D328" s="109" t="s">
        <v>2507</v>
      </c>
      <c r="E328" s="109" t="s">
        <v>2508</v>
      </c>
      <c r="F328" s="109" t="s">
        <v>701</v>
      </c>
      <c r="G328" s="109" t="s">
        <v>2509</v>
      </c>
      <c r="H328" s="109" t="s">
        <v>63</v>
      </c>
      <c r="I328" s="109" t="s">
        <v>400</v>
      </c>
      <c r="J328" s="109" t="s">
        <v>251</v>
      </c>
      <c r="K328" s="109" t="s">
        <v>163</v>
      </c>
      <c r="L328" s="109" t="s">
        <v>401</v>
      </c>
      <c r="M328" s="109" t="s">
        <v>136</v>
      </c>
      <c r="N328" s="109" t="s">
        <v>2510</v>
      </c>
      <c r="O328" s="109" t="s">
        <v>403</v>
      </c>
      <c r="P328" s="109" t="s">
        <v>2511</v>
      </c>
      <c r="R328" s="109" t="s">
        <v>405</v>
      </c>
      <c r="S328" s="109" t="s">
        <v>2512</v>
      </c>
      <c r="T328" s="109" t="s">
        <v>2513</v>
      </c>
      <c r="U328" s="109" t="s">
        <v>1766</v>
      </c>
      <c r="V328" s="109" t="s">
        <v>1293</v>
      </c>
      <c r="X328" s="109" t="s">
        <v>1833</v>
      </c>
    </row>
    <row r="329" spans="1:24" ht="13">
      <c r="A329" s="146">
        <v>43749.681813414354</v>
      </c>
      <c r="B329" s="109" t="s">
        <v>2514</v>
      </c>
      <c r="C329" s="109" t="s">
        <v>2515</v>
      </c>
      <c r="D329" s="109" t="s">
        <v>2516</v>
      </c>
      <c r="E329" s="109" t="s">
        <v>2517</v>
      </c>
      <c r="F329" s="109" t="s">
        <v>492</v>
      </c>
      <c r="G329" s="109" t="s">
        <v>2518</v>
      </c>
      <c r="H329" s="109" t="s">
        <v>63</v>
      </c>
      <c r="I329" s="109" t="s">
        <v>251</v>
      </c>
      <c r="J329" s="109" t="s">
        <v>401</v>
      </c>
      <c r="K329" s="109" t="s">
        <v>400</v>
      </c>
      <c r="N329" s="109" t="s">
        <v>2519</v>
      </c>
      <c r="O329" s="109" t="s">
        <v>130</v>
      </c>
      <c r="R329" s="109" t="s">
        <v>405</v>
      </c>
      <c r="S329" s="109" t="s">
        <v>2520</v>
      </c>
      <c r="T329" s="109" t="s">
        <v>2521</v>
      </c>
      <c r="U329" s="109" t="s">
        <v>2522</v>
      </c>
      <c r="V329" s="109" t="s">
        <v>1091</v>
      </c>
      <c r="W329" s="109" t="s">
        <v>2523</v>
      </c>
      <c r="X329" s="109" t="s">
        <v>2524</v>
      </c>
    </row>
    <row r="330" spans="1:24" ht="13">
      <c r="A330" s="146">
        <v>43753.641005324069</v>
      </c>
      <c r="B330" s="109" t="s">
        <v>2525</v>
      </c>
      <c r="C330" s="109" t="s">
        <v>2526</v>
      </c>
      <c r="D330" s="109" t="s">
        <v>2527</v>
      </c>
      <c r="E330" s="109" t="s">
        <v>2528</v>
      </c>
      <c r="F330" s="109" t="s">
        <v>431</v>
      </c>
      <c r="G330" s="109" t="s">
        <v>1077</v>
      </c>
      <c r="H330" s="109" t="s">
        <v>63</v>
      </c>
      <c r="I330" s="109" t="s">
        <v>136</v>
      </c>
      <c r="J330" s="109" t="s">
        <v>401</v>
      </c>
      <c r="K330" s="109" t="s">
        <v>400</v>
      </c>
      <c r="L330" s="109" t="s">
        <v>163</v>
      </c>
      <c r="M330" s="109" t="s">
        <v>251</v>
      </c>
      <c r="N330" s="109" t="s">
        <v>2529</v>
      </c>
      <c r="O330" s="109" t="s">
        <v>403</v>
      </c>
      <c r="P330" s="109" t="s">
        <v>2530</v>
      </c>
      <c r="R330" s="109" t="s">
        <v>405</v>
      </c>
      <c r="S330" s="109" t="s">
        <v>2531</v>
      </c>
      <c r="T330" s="109" t="s">
        <v>2532</v>
      </c>
      <c r="U330" s="109" t="s">
        <v>1027</v>
      </c>
      <c r="V330" s="109" t="s">
        <v>1028</v>
      </c>
      <c r="W330" s="109" t="s">
        <v>2533</v>
      </c>
    </row>
    <row r="331" spans="1:24" ht="13">
      <c r="A331" s="146">
        <v>43755.537383634262</v>
      </c>
      <c r="B331" s="109" t="s">
        <v>2534</v>
      </c>
      <c r="C331" s="109" t="s">
        <v>2535</v>
      </c>
      <c r="D331" s="109" t="s">
        <v>2536</v>
      </c>
      <c r="E331" s="109" t="s">
        <v>2537</v>
      </c>
      <c r="F331" s="109" t="s">
        <v>1068</v>
      </c>
      <c r="G331" s="109" t="s">
        <v>2538</v>
      </c>
      <c r="H331" s="109" t="s">
        <v>63</v>
      </c>
      <c r="I331" s="109" t="s">
        <v>251</v>
      </c>
      <c r="J331" s="109" t="s">
        <v>400</v>
      </c>
      <c r="K331" s="109" t="s">
        <v>401</v>
      </c>
      <c r="L331" s="109" t="s">
        <v>136</v>
      </c>
      <c r="M331" s="109" t="s">
        <v>163</v>
      </c>
      <c r="N331" s="109" t="s">
        <v>2539</v>
      </c>
      <c r="O331" s="109" t="s">
        <v>403</v>
      </c>
      <c r="R331" s="109" t="s">
        <v>451</v>
      </c>
      <c r="S331" s="109" t="s">
        <v>2540</v>
      </c>
      <c r="T331" s="109" t="s">
        <v>2153</v>
      </c>
      <c r="U331" s="109" t="s">
        <v>1027</v>
      </c>
      <c r="V331" s="109" t="s">
        <v>1028</v>
      </c>
      <c r="X331" s="109" t="s">
        <v>2541</v>
      </c>
    </row>
    <row r="332" spans="1:24" ht="13">
      <c r="A332" s="146">
        <v>43755.589829583332</v>
      </c>
      <c r="B332" s="109" t="s">
        <v>2542</v>
      </c>
      <c r="C332" s="109" t="s">
        <v>2543</v>
      </c>
      <c r="E332" s="109" t="s">
        <v>2544</v>
      </c>
      <c r="F332" s="109" t="s">
        <v>1068</v>
      </c>
      <c r="G332" s="109" t="s">
        <v>2545</v>
      </c>
      <c r="H332" s="109" t="s">
        <v>202</v>
      </c>
      <c r="I332" s="109" t="s">
        <v>251</v>
      </c>
      <c r="J332" s="109" t="s">
        <v>400</v>
      </c>
      <c r="K332" s="109" t="s">
        <v>401</v>
      </c>
      <c r="L332" s="109" t="s">
        <v>136</v>
      </c>
      <c r="M332" s="109" t="s">
        <v>163</v>
      </c>
      <c r="N332" s="109" t="s">
        <v>2546</v>
      </c>
      <c r="O332" s="109" t="s">
        <v>117</v>
      </c>
      <c r="R332" s="109" t="s">
        <v>405</v>
      </c>
      <c r="S332" s="109" t="s">
        <v>2547</v>
      </c>
      <c r="T332" s="109" t="s">
        <v>2548</v>
      </c>
      <c r="U332" s="109" t="s">
        <v>1027</v>
      </c>
      <c r="V332" s="109" t="s">
        <v>1091</v>
      </c>
      <c r="X332" s="109" t="s">
        <v>2240</v>
      </c>
    </row>
    <row r="333" spans="1:24" ht="13">
      <c r="A333" s="146">
        <v>43755.774785335649</v>
      </c>
      <c r="B333" s="109" t="s">
        <v>2549</v>
      </c>
      <c r="C333" s="109" t="s">
        <v>2550</v>
      </c>
      <c r="E333" s="109" t="s">
        <v>2551</v>
      </c>
      <c r="F333" s="109" t="s">
        <v>1762</v>
      </c>
      <c r="G333" s="109" t="s">
        <v>2545</v>
      </c>
      <c r="H333" s="109" t="s">
        <v>63</v>
      </c>
      <c r="I333" s="109" t="s">
        <v>136</v>
      </c>
      <c r="J333" s="109" t="s">
        <v>400</v>
      </c>
      <c r="K333" s="109" t="s">
        <v>401</v>
      </c>
      <c r="L333" s="109" t="s">
        <v>163</v>
      </c>
      <c r="M333" s="109" t="s">
        <v>251</v>
      </c>
      <c r="N333" s="109" t="s">
        <v>2552</v>
      </c>
      <c r="O333" s="109" t="s">
        <v>403</v>
      </c>
      <c r="R333" s="109" t="s">
        <v>405</v>
      </c>
      <c r="U333" s="109" t="s">
        <v>1027</v>
      </c>
      <c r="V333" s="109" t="s">
        <v>1028</v>
      </c>
      <c r="X333" s="109" t="s">
        <v>1710</v>
      </c>
    </row>
    <row r="334" spans="1:24" ht="13">
      <c r="A334" s="146">
        <v>43756.680471608794</v>
      </c>
      <c r="B334" s="109" t="s">
        <v>2553</v>
      </c>
      <c r="C334" s="109" t="s">
        <v>2554</v>
      </c>
      <c r="E334" s="109" t="s">
        <v>2555</v>
      </c>
      <c r="F334" s="109" t="s">
        <v>418</v>
      </c>
      <c r="G334" s="109" t="s">
        <v>2556</v>
      </c>
      <c r="H334" s="109" t="s">
        <v>202</v>
      </c>
      <c r="I334" s="109" t="s">
        <v>400</v>
      </c>
      <c r="J334" s="109" t="s">
        <v>251</v>
      </c>
      <c r="K334" s="109" t="s">
        <v>401</v>
      </c>
      <c r="N334" s="109" t="s">
        <v>2557</v>
      </c>
      <c r="O334" s="109" t="s">
        <v>117</v>
      </c>
      <c r="R334" s="109" t="s">
        <v>442</v>
      </c>
      <c r="U334" s="109" t="s">
        <v>1027</v>
      </c>
      <c r="V334" s="109" t="s">
        <v>1091</v>
      </c>
    </row>
    <row r="335" spans="1:24" ht="13">
      <c r="A335" s="146">
        <v>43758.702828981477</v>
      </c>
      <c r="B335" s="109" t="s">
        <v>2558</v>
      </c>
      <c r="C335" s="109" t="s">
        <v>2559</v>
      </c>
      <c r="D335" s="109" t="s">
        <v>2560</v>
      </c>
      <c r="E335" s="109" t="s">
        <v>2561</v>
      </c>
      <c r="F335" s="109" t="s">
        <v>461</v>
      </c>
      <c r="G335" s="109" t="s">
        <v>1022</v>
      </c>
      <c r="H335" s="109" t="s">
        <v>63</v>
      </c>
      <c r="I335" s="109" t="s">
        <v>400</v>
      </c>
      <c r="J335" s="109" t="s">
        <v>251</v>
      </c>
      <c r="K335" s="109" t="s">
        <v>401</v>
      </c>
      <c r="L335" s="109" t="s">
        <v>136</v>
      </c>
      <c r="M335" s="109" t="s">
        <v>163</v>
      </c>
      <c r="N335" s="109" t="s">
        <v>2562</v>
      </c>
      <c r="O335" s="109" t="s">
        <v>403</v>
      </c>
      <c r="P335" s="109" t="s">
        <v>2563</v>
      </c>
      <c r="R335" s="109" t="s">
        <v>451</v>
      </c>
      <c r="S335" s="109" t="s">
        <v>2564</v>
      </c>
      <c r="T335" s="109" t="s">
        <v>242</v>
      </c>
      <c r="U335" s="109" t="s">
        <v>1292</v>
      </c>
      <c r="V335" s="109" t="s">
        <v>1028</v>
      </c>
      <c r="X335" s="109" t="s">
        <v>2565</v>
      </c>
    </row>
    <row r="336" spans="1:24" ht="13">
      <c r="A336" s="146">
        <v>43759.361843414357</v>
      </c>
      <c r="B336" s="109" t="s">
        <v>2566</v>
      </c>
      <c r="C336" s="109" t="s">
        <v>2567</v>
      </c>
      <c r="D336" s="109" t="s">
        <v>2568</v>
      </c>
      <c r="E336" s="109" t="s">
        <v>2569</v>
      </c>
      <c r="F336" s="109" t="s">
        <v>1021</v>
      </c>
      <c r="G336" s="109" t="s">
        <v>1022</v>
      </c>
      <c r="H336" s="109" t="s">
        <v>63</v>
      </c>
      <c r="I336" s="109" t="s">
        <v>136</v>
      </c>
      <c r="J336" s="109" t="s">
        <v>401</v>
      </c>
      <c r="K336" s="109" t="s">
        <v>163</v>
      </c>
      <c r="L336" s="109" t="s">
        <v>251</v>
      </c>
      <c r="M336" s="109" t="s">
        <v>400</v>
      </c>
      <c r="N336" s="109" t="s">
        <v>2570</v>
      </c>
      <c r="O336" s="109" t="s">
        <v>117</v>
      </c>
      <c r="P336" s="109" t="s">
        <v>2571</v>
      </c>
      <c r="R336" s="109" t="s">
        <v>451</v>
      </c>
      <c r="S336" s="109" t="s">
        <v>2572</v>
      </c>
      <c r="T336" s="109" t="s">
        <v>2573</v>
      </c>
      <c r="U336" s="109" t="s">
        <v>1027</v>
      </c>
      <c r="V336" s="109" t="s">
        <v>1028</v>
      </c>
    </row>
    <row r="337" spans="1:24" ht="13">
      <c r="A337" s="146">
        <v>43760.48148934028</v>
      </c>
      <c r="B337" s="109" t="s">
        <v>2574</v>
      </c>
      <c r="C337" s="109" t="s">
        <v>2394</v>
      </c>
      <c r="D337" s="109" t="s">
        <v>2575</v>
      </c>
      <c r="E337" s="109" t="s">
        <v>2576</v>
      </c>
      <c r="F337" s="109" t="s">
        <v>492</v>
      </c>
      <c r="G337" s="109" t="s">
        <v>1049</v>
      </c>
      <c r="H337" s="109" t="s">
        <v>63</v>
      </c>
      <c r="I337" s="109" t="s">
        <v>251</v>
      </c>
      <c r="J337" s="109" t="s">
        <v>400</v>
      </c>
      <c r="K337" s="109" t="s">
        <v>401</v>
      </c>
      <c r="L337" s="109" t="s">
        <v>163</v>
      </c>
      <c r="M337" s="109" t="s">
        <v>136</v>
      </c>
      <c r="N337" s="109" t="s">
        <v>2577</v>
      </c>
      <c r="O337" s="109" t="s">
        <v>403</v>
      </c>
      <c r="P337" s="109" t="s">
        <v>2578</v>
      </c>
      <c r="R337" s="109" t="s">
        <v>405</v>
      </c>
      <c r="S337" s="109" t="s">
        <v>2579</v>
      </c>
      <c r="T337" s="109" t="s">
        <v>2580</v>
      </c>
      <c r="U337" s="109" t="s">
        <v>1062</v>
      </c>
      <c r="V337" s="109" t="s">
        <v>1028</v>
      </c>
      <c r="W337" s="109" t="s">
        <v>2581</v>
      </c>
      <c r="X337" s="109" t="s">
        <v>1677</v>
      </c>
    </row>
    <row r="338" spans="1:24" ht="13">
      <c r="A338" s="146">
        <v>43761.400691550924</v>
      </c>
      <c r="B338" s="109" t="s">
        <v>2582</v>
      </c>
      <c r="C338" s="109" t="s">
        <v>1259</v>
      </c>
      <c r="D338" s="109" t="s">
        <v>2583</v>
      </c>
      <c r="E338" s="109" t="s">
        <v>2584</v>
      </c>
      <c r="F338" s="109" t="s">
        <v>2585</v>
      </c>
      <c r="G338" s="109" t="s">
        <v>1058</v>
      </c>
      <c r="H338" s="109" t="s">
        <v>63</v>
      </c>
      <c r="I338" s="109" t="s">
        <v>400</v>
      </c>
      <c r="J338" s="109" t="s">
        <v>251</v>
      </c>
      <c r="K338" s="109" t="s">
        <v>136</v>
      </c>
      <c r="N338" s="109" t="s">
        <v>2586</v>
      </c>
      <c r="O338" s="109" t="s">
        <v>403</v>
      </c>
      <c r="P338" s="109" t="s">
        <v>2587</v>
      </c>
      <c r="R338" s="109" t="s">
        <v>451</v>
      </c>
      <c r="S338" s="109" t="s">
        <v>2588</v>
      </c>
      <c r="T338" s="109" t="s">
        <v>2589</v>
      </c>
      <c r="U338" s="109" t="s">
        <v>1027</v>
      </c>
      <c r="V338" s="109" t="s">
        <v>1028</v>
      </c>
      <c r="X338" s="109" t="s">
        <v>1687</v>
      </c>
    </row>
    <row r="339" spans="1:24" ht="13">
      <c r="A339" s="146">
        <v>43761.512264895835</v>
      </c>
      <c r="B339" s="109" t="s">
        <v>2590</v>
      </c>
      <c r="C339" s="109" t="s">
        <v>2591</v>
      </c>
      <c r="D339" s="109" t="s">
        <v>2592</v>
      </c>
      <c r="E339" s="109" t="s">
        <v>2593</v>
      </c>
      <c r="F339" s="109" t="s">
        <v>492</v>
      </c>
      <c r="G339" s="109" t="s">
        <v>2084</v>
      </c>
      <c r="H339" s="109" t="s">
        <v>63</v>
      </c>
      <c r="I339" s="109" t="s">
        <v>251</v>
      </c>
      <c r="J339" s="109" t="s">
        <v>401</v>
      </c>
      <c r="K339" s="109" t="s">
        <v>136</v>
      </c>
      <c r="L339" s="109" t="s">
        <v>163</v>
      </c>
      <c r="M339" s="109" t="s">
        <v>400</v>
      </c>
      <c r="N339" s="109" t="s">
        <v>2594</v>
      </c>
      <c r="O339" s="109" t="s">
        <v>117</v>
      </c>
      <c r="S339" s="109" t="s">
        <v>2595</v>
      </c>
      <c r="T339" s="109" t="s">
        <v>2596</v>
      </c>
      <c r="U339" s="109" t="s">
        <v>2597</v>
      </c>
      <c r="V339" s="109" t="s">
        <v>1091</v>
      </c>
      <c r="X339" s="109" t="s">
        <v>2598</v>
      </c>
    </row>
    <row r="340" spans="1:24" ht="13">
      <c r="A340" s="146">
        <v>43762.716255833337</v>
      </c>
      <c r="B340" s="109" t="s">
        <v>2599</v>
      </c>
      <c r="C340" s="109" t="s">
        <v>2600</v>
      </c>
      <c r="D340" s="109" t="s">
        <v>2601</v>
      </c>
      <c r="E340" s="109" t="s">
        <v>2602</v>
      </c>
      <c r="F340" s="109" t="s">
        <v>461</v>
      </c>
      <c r="G340" s="109" t="s">
        <v>1101</v>
      </c>
      <c r="H340" s="109" t="s">
        <v>63</v>
      </c>
      <c r="I340" s="109" t="s">
        <v>251</v>
      </c>
      <c r="J340" s="109" t="s">
        <v>400</v>
      </c>
      <c r="K340" s="109" t="s">
        <v>401</v>
      </c>
      <c r="L340" s="109" t="s">
        <v>163</v>
      </c>
      <c r="M340" s="109" t="s">
        <v>136</v>
      </c>
      <c r="N340" s="109" t="s">
        <v>2603</v>
      </c>
      <c r="O340" s="109" t="s">
        <v>117</v>
      </c>
      <c r="P340" s="109" t="s">
        <v>2604</v>
      </c>
      <c r="R340" s="109" t="s">
        <v>442</v>
      </c>
      <c r="S340" s="109" t="s">
        <v>2605</v>
      </c>
      <c r="T340" s="109" t="s">
        <v>2606</v>
      </c>
      <c r="U340" s="109" t="s">
        <v>1766</v>
      </c>
      <c r="V340" s="109" t="s">
        <v>1028</v>
      </c>
      <c r="X340" s="109" t="s">
        <v>1677</v>
      </c>
    </row>
    <row r="341" spans="1:24" ht="13">
      <c r="A341" s="146">
        <v>43765.72616362269</v>
      </c>
      <c r="B341" s="109" t="s">
        <v>2607</v>
      </c>
      <c r="C341" s="109" t="s">
        <v>2608</v>
      </c>
      <c r="E341" s="109" t="s">
        <v>2609</v>
      </c>
      <c r="F341" s="109" t="s">
        <v>431</v>
      </c>
      <c r="G341" s="109" t="s">
        <v>1610</v>
      </c>
      <c r="H341" s="109" t="s">
        <v>63</v>
      </c>
      <c r="I341" s="109" t="s">
        <v>400</v>
      </c>
      <c r="J341" s="109" t="s">
        <v>251</v>
      </c>
      <c r="K341" s="109" t="s">
        <v>163</v>
      </c>
      <c r="L341" s="109" t="s">
        <v>401</v>
      </c>
      <c r="M341" s="109" t="s">
        <v>136</v>
      </c>
      <c r="N341" s="109" t="s">
        <v>2610</v>
      </c>
      <c r="O341" s="109" t="s">
        <v>117</v>
      </c>
      <c r="P341" s="109" t="s">
        <v>2611</v>
      </c>
      <c r="R341" s="109" t="s">
        <v>405</v>
      </c>
      <c r="S341" s="109" t="s">
        <v>2612</v>
      </c>
      <c r="T341" s="109" t="s">
        <v>2613</v>
      </c>
      <c r="U341" s="109" t="s">
        <v>1036</v>
      </c>
      <c r="V341" s="109" t="s">
        <v>1028</v>
      </c>
      <c r="W341" s="109" t="s">
        <v>1081</v>
      </c>
    </row>
    <row r="342" spans="1:24" ht="13">
      <c r="A342" s="146">
        <v>43766.531923831019</v>
      </c>
      <c r="B342" s="109" t="s">
        <v>2614</v>
      </c>
      <c r="C342" s="109" t="s">
        <v>2615</v>
      </c>
      <c r="E342" s="109" t="s">
        <v>2616</v>
      </c>
      <c r="F342" s="109" t="s">
        <v>418</v>
      </c>
      <c r="G342" s="109" t="s">
        <v>1049</v>
      </c>
      <c r="H342" s="109" t="s">
        <v>202</v>
      </c>
      <c r="I342" s="109" t="s">
        <v>2617</v>
      </c>
      <c r="J342" s="109" t="s">
        <v>401</v>
      </c>
      <c r="K342" s="109" t="s">
        <v>163</v>
      </c>
      <c r="L342" s="109" t="s">
        <v>136</v>
      </c>
      <c r="O342" s="109" t="s">
        <v>130</v>
      </c>
      <c r="R342" s="109" t="s">
        <v>442</v>
      </c>
      <c r="T342" s="109" t="s">
        <v>2618</v>
      </c>
      <c r="U342" s="109" t="s">
        <v>1766</v>
      </c>
      <c r="V342" s="109" t="s">
        <v>1249</v>
      </c>
      <c r="X342" s="109" t="s">
        <v>2619</v>
      </c>
    </row>
    <row r="343" spans="1:24" ht="13">
      <c r="A343" s="146">
        <v>43767.202232766205</v>
      </c>
      <c r="B343" s="109" t="s">
        <v>2620</v>
      </c>
      <c r="C343" s="109" t="s">
        <v>2621</v>
      </c>
      <c r="D343" s="109" t="s">
        <v>2622</v>
      </c>
      <c r="E343" s="109" t="s">
        <v>2623</v>
      </c>
      <c r="F343" s="109" t="s">
        <v>418</v>
      </c>
      <c r="G343" s="109" t="s">
        <v>1465</v>
      </c>
      <c r="H343" s="109" t="s">
        <v>202</v>
      </c>
      <c r="I343" s="109" t="s">
        <v>251</v>
      </c>
      <c r="J343" s="109" t="s">
        <v>163</v>
      </c>
      <c r="K343" s="109" t="s">
        <v>400</v>
      </c>
      <c r="N343" s="109" t="s">
        <v>2624</v>
      </c>
      <c r="O343" s="109" t="s">
        <v>403</v>
      </c>
      <c r="R343" s="109" t="s">
        <v>451</v>
      </c>
      <c r="S343" s="109" t="s">
        <v>2625</v>
      </c>
      <c r="T343" s="109" t="s">
        <v>2626</v>
      </c>
      <c r="U343" s="109" t="s">
        <v>1027</v>
      </c>
      <c r="V343" s="109" t="s">
        <v>1028</v>
      </c>
      <c r="X343" s="109" t="s">
        <v>2627</v>
      </c>
    </row>
    <row r="344" spans="1:24" ht="13">
      <c r="A344" s="146">
        <v>43767.624537407406</v>
      </c>
      <c r="B344" s="109" t="s">
        <v>2628</v>
      </c>
      <c r="C344" s="109" t="s">
        <v>2629</v>
      </c>
      <c r="D344" s="109" t="s">
        <v>2630</v>
      </c>
      <c r="E344" s="109" t="s">
        <v>2631</v>
      </c>
      <c r="F344" s="109" t="s">
        <v>461</v>
      </c>
      <c r="G344" s="109" t="s">
        <v>2632</v>
      </c>
      <c r="H344" s="109" t="s">
        <v>63</v>
      </c>
      <c r="I344" s="109" t="s">
        <v>400</v>
      </c>
      <c r="J344" s="109" t="s">
        <v>401</v>
      </c>
      <c r="N344" s="109" t="s">
        <v>2633</v>
      </c>
      <c r="O344" s="109" t="s">
        <v>130</v>
      </c>
      <c r="P344" s="109" t="s">
        <v>2634</v>
      </c>
      <c r="R344" s="109" t="s">
        <v>451</v>
      </c>
      <c r="S344" s="109" t="s">
        <v>2635</v>
      </c>
      <c r="T344" s="109" t="s">
        <v>2636</v>
      </c>
      <c r="U344" s="109" t="s">
        <v>1027</v>
      </c>
      <c r="V344" s="109" t="s">
        <v>1028</v>
      </c>
      <c r="X344" s="109" t="s">
        <v>1888</v>
      </c>
    </row>
    <row r="345" spans="1:24" ht="13">
      <c r="A345" s="146">
        <v>43769.539062453703</v>
      </c>
      <c r="B345" s="109" t="s">
        <v>1825</v>
      </c>
      <c r="C345" s="109" t="s">
        <v>1826</v>
      </c>
      <c r="D345" s="109" t="s">
        <v>2637</v>
      </c>
      <c r="E345" s="109" t="s">
        <v>1828</v>
      </c>
      <c r="F345" s="109" t="s">
        <v>418</v>
      </c>
      <c r="G345" s="109" t="s">
        <v>1219</v>
      </c>
      <c r="H345" s="109" t="s">
        <v>63</v>
      </c>
      <c r="I345" s="109" t="s">
        <v>251</v>
      </c>
      <c r="O345" s="109" t="s">
        <v>117</v>
      </c>
      <c r="R345" s="109" t="s">
        <v>451</v>
      </c>
      <c r="S345" s="109" t="s">
        <v>1829</v>
      </c>
      <c r="T345" s="109" t="s">
        <v>20</v>
      </c>
      <c r="U345" s="109" t="s">
        <v>1036</v>
      </c>
      <c r="V345" s="109" t="s">
        <v>1028</v>
      </c>
      <c r="X345" s="109" t="s">
        <v>1677</v>
      </c>
    </row>
    <row r="346" spans="1:24" ht="13">
      <c r="A346" s="146">
        <v>43769.889063877315</v>
      </c>
      <c r="B346" s="109" t="s">
        <v>2638</v>
      </c>
      <c r="C346" s="109" t="s">
        <v>2639</v>
      </c>
      <c r="E346" s="109" t="s">
        <v>2640</v>
      </c>
      <c r="F346" s="109" t="s">
        <v>529</v>
      </c>
      <c r="G346" s="109" t="s">
        <v>1101</v>
      </c>
      <c r="H346" s="109" t="s">
        <v>202</v>
      </c>
      <c r="O346" s="109" t="s">
        <v>130</v>
      </c>
      <c r="P346" s="109" t="s">
        <v>2641</v>
      </c>
      <c r="R346" s="109" t="s">
        <v>442</v>
      </c>
      <c r="S346" s="109" t="s">
        <v>2642</v>
      </c>
      <c r="T346" s="109" t="s">
        <v>2643</v>
      </c>
      <c r="U346" s="109" t="s">
        <v>1097</v>
      </c>
      <c r="V346" s="109" t="s">
        <v>1028</v>
      </c>
      <c r="X346" s="109" t="s">
        <v>2644</v>
      </c>
    </row>
    <row r="347" spans="1:24" ht="13">
      <c r="A347" s="146">
        <v>43772.945721909724</v>
      </c>
      <c r="B347" s="109" t="s">
        <v>2645</v>
      </c>
      <c r="C347" s="109" t="s">
        <v>2646</v>
      </c>
      <c r="E347" s="109" t="s">
        <v>2647</v>
      </c>
      <c r="F347" s="109" t="s">
        <v>431</v>
      </c>
      <c r="G347" s="109" t="s">
        <v>1049</v>
      </c>
      <c r="H347" s="109" t="s">
        <v>202</v>
      </c>
      <c r="I347" s="109" t="s">
        <v>251</v>
      </c>
      <c r="J347" s="109" t="s">
        <v>400</v>
      </c>
      <c r="K347" s="109" t="s">
        <v>136</v>
      </c>
      <c r="L347" s="109" t="s">
        <v>163</v>
      </c>
      <c r="M347" s="109" t="s">
        <v>401</v>
      </c>
      <c r="O347" s="109" t="s">
        <v>117</v>
      </c>
      <c r="R347" s="109" t="s">
        <v>451</v>
      </c>
      <c r="U347" s="109" t="s">
        <v>1027</v>
      </c>
      <c r="V347" s="109" t="s">
        <v>1091</v>
      </c>
      <c r="X347" s="109" t="s">
        <v>2648</v>
      </c>
    </row>
    <row r="348" spans="1:24" ht="13">
      <c r="A348" s="146">
        <v>43773.585563553243</v>
      </c>
      <c r="B348" s="109" t="s">
        <v>2649</v>
      </c>
      <c r="C348" s="109" t="s">
        <v>34</v>
      </c>
      <c r="D348" s="109" t="s">
        <v>2650</v>
      </c>
      <c r="E348" s="109" t="s">
        <v>2651</v>
      </c>
      <c r="F348" s="109" t="s">
        <v>431</v>
      </c>
      <c r="G348" s="109" t="s">
        <v>1049</v>
      </c>
      <c r="H348" s="109" t="s">
        <v>202</v>
      </c>
      <c r="I348" s="109" t="s">
        <v>401</v>
      </c>
      <c r="J348" s="109" t="s">
        <v>400</v>
      </c>
      <c r="K348" s="109" t="s">
        <v>251</v>
      </c>
      <c r="L348" s="109" t="s">
        <v>136</v>
      </c>
      <c r="M348" s="109" t="s">
        <v>163</v>
      </c>
      <c r="N348" s="109" t="s">
        <v>2652</v>
      </c>
      <c r="O348" s="109" t="s">
        <v>403</v>
      </c>
      <c r="P348" s="109" t="s">
        <v>2653</v>
      </c>
      <c r="R348" s="109" t="s">
        <v>405</v>
      </c>
      <c r="S348" s="109" t="s">
        <v>2654</v>
      </c>
      <c r="T348" s="109" t="s">
        <v>2655</v>
      </c>
      <c r="U348" s="109" t="s">
        <v>1133</v>
      </c>
      <c r="V348" s="109" t="s">
        <v>1028</v>
      </c>
      <c r="X348" s="109" t="s">
        <v>2656</v>
      </c>
    </row>
    <row r="349" spans="1:24" ht="13">
      <c r="A349" s="146">
        <v>43773.596221053245</v>
      </c>
      <c r="B349" s="109" t="s">
        <v>2657</v>
      </c>
      <c r="C349" s="109" t="s">
        <v>2658</v>
      </c>
      <c r="E349" s="109" t="s">
        <v>2659</v>
      </c>
      <c r="F349" s="109" t="s">
        <v>461</v>
      </c>
      <c r="G349" s="109" t="s">
        <v>1049</v>
      </c>
      <c r="H349" s="109" t="s">
        <v>63</v>
      </c>
      <c r="I349" s="109" t="s">
        <v>136</v>
      </c>
      <c r="J349" s="109" t="s">
        <v>251</v>
      </c>
      <c r="K349" s="109" t="s">
        <v>401</v>
      </c>
      <c r="O349" s="109" t="s">
        <v>403</v>
      </c>
      <c r="P349" s="109" t="s">
        <v>879</v>
      </c>
      <c r="R349" s="109" t="s">
        <v>405</v>
      </c>
      <c r="S349" s="109" t="s">
        <v>2660</v>
      </c>
      <c r="T349" s="109" t="s">
        <v>2661</v>
      </c>
      <c r="U349" s="109" t="s">
        <v>1036</v>
      </c>
      <c r="V349" s="109" t="s">
        <v>1091</v>
      </c>
      <c r="X349" s="109" t="s">
        <v>1687</v>
      </c>
    </row>
    <row r="350" spans="1:24" ht="13">
      <c r="A350" s="146">
        <v>43775.928431423614</v>
      </c>
      <c r="B350" s="109" t="s">
        <v>2662</v>
      </c>
      <c r="C350" s="109" t="s">
        <v>2663</v>
      </c>
      <c r="D350" s="109" t="s">
        <v>2664</v>
      </c>
      <c r="E350" s="109" t="s">
        <v>2665</v>
      </c>
      <c r="F350" s="109" t="s">
        <v>2666</v>
      </c>
      <c r="G350" s="109" t="s">
        <v>2667</v>
      </c>
      <c r="H350" s="109" t="s">
        <v>63</v>
      </c>
      <c r="I350" s="109" t="s">
        <v>163</v>
      </c>
      <c r="J350" s="109" t="s">
        <v>401</v>
      </c>
      <c r="K350" s="109" t="s">
        <v>400</v>
      </c>
      <c r="L350" s="109" t="s">
        <v>251</v>
      </c>
      <c r="M350" s="109" t="s">
        <v>136</v>
      </c>
      <c r="N350" s="109" t="s">
        <v>2668</v>
      </c>
      <c r="O350" s="109" t="s">
        <v>403</v>
      </c>
      <c r="S350" s="109" t="s">
        <v>2669</v>
      </c>
      <c r="T350" s="109" t="s">
        <v>2670</v>
      </c>
      <c r="U350" s="109" t="s">
        <v>1062</v>
      </c>
      <c r="V350" s="109" t="s">
        <v>1028</v>
      </c>
      <c r="X350" s="109" t="s">
        <v>2671</v>
      </c>
    </row>
    <row r="351" spans="1:24" ht="13">
      <c r="A351" s="146">
        <v>43776.037574699076</v>
      </c>
      <c r="B351" s="109" t="s">
        <v>2672</v>
      </c>
      <c r="C351" s="109" t="s">
        <v>2673</v>
      </c>
      <c r="E351" s="109" t="s">
        <v>2674</v>
      </c>
      <c r="F351" s="109" t="s">
        <v>701</v>
      </c>
      <c r="G351" s="109" t="s">
        <v>2675</v>
      </c>
      <c r="H351" s="109" t="s">
        <v>202</v>
      </c>
      <c r="O351" s="109" t="s">
        <v>117</v>
      </c>
      <c r="R351" s="109" t="s">
        <v>451</v>
      </c>
      <c r="S351" s="109" t="s">
        <v>2676</v>
      </c>
      <c r="U351" s="109" t="s">
        <v>1027</v>
      </c>
      <c r="V351" s="109" t="s">
        <v>1293</v>
      </c>
      <c r="X351" s="109" t="s">
        <v>2677</v>
      </c>
    </row>
    <row r="352" spans="1:24" ht="13">
      <c r="A352" s="146">
        <v>43776.555087673609</v>
      </c>
      <c r="B352" s="109" t="s">
        <v>2678</v>
      </c>
      <c r="C352" s="109" t="s">
        <v>2679</v>
      </c>
      <c r="D352" s="109" t="s">
        <v>2680</v>
      </c>
      <c r="E352" s="109" t="s">
        <v>2681</v>
      </c>
      <c r="F352" s="109" t="s">
        <v>431</v>
      </c>
      <c r="G352" s="109" t="s">
        <v>2682</v>
      </c>
      <c r="H352" s="109" t="s">
        <v>202</v>
      </c>
      <c r="O352" s="109" t="s">
        <v>403</v>
      </c>
      <c r="P352" s="109" t="s">
        <v>2683</v>
      </c>
      <c r="R352" s="109" t="s">
        <v>405</v>
      </c>
      <c r="S352" s="109" t="s">
        <v>2684</v>
      </c>
      <c r="T352" s="109" t="s">
        <v>2685</v>
      </c>
      <c r="U352" s="109" t="s">
        <v>1062</v>
      </c>
      <c r="V352" s="109" t="s">
        <v>1028</v>
      </c>
      <c r="X352" s="109" t="s">
        <v>2412</v>
      </c>
    </row>
    <row r="353" spans="1:24" ht="13">
      <c r="A353" s="146">
        <v>43777.217109780089</v>
      </c>
      <c r="B353" s="109" t="s">
        <v>2686</v>
      </c>
      <c r="C353" s="109" t="s">
        <v>2687</v>
      </c>
      <c r="D353" s="109" t="s">
        <v>2688</v>
      </c>
      <c r="E353" s="109" t="s">
        <v>2689</v>
      </c>
      <c r="F353" s="109" t="s">
        <v>431</v>
      </c>
      <c r="G353" s="109" t="s">
        <v>1049</v>
      </c>
      <c r="H353" s="109" t="s">
        <v>63</v>
      </c>
      <c r="I353" s="109" t="s">
        <v>251</v>
      </c>
      <c r="J353" s="109" t="s">
        <v>400</v>
      </c>
      <c r="K353" s="109" t="s">
        <v>401</v>
      </c>
      <c r="L353" s="109" t="s">
        <v>163</v>
      </c>
      <c r="M353" s="109" t="s">
        <v>136</v>
      </c>
      <c r="N353" s="109" t="s">
        <v>2690</v>
      </c>
      <c r="O353" s="109" t="s">
        <v>403</v>
      </c>
      <c r="P353" s="109" t="s">
        <v>2691</v>
      </c>
      <c r="R353" s="109" t="s">
        <v>442</v>
      </c>
      <c r="S353" s="109" t="s">
        <v>2692</v>
      </c>
      <c r="T353" s="109" t="s">
        <v>2693</v>
      </c>
      <c r="U353" s="109" t="s">
        <v>1036</v>
      </c>
      <c r="V353" s="109" t="s">
        <v>1028</v>
      </c>
      <c r="W353" s="109" t="s">
        <v>2694</v>
      </c>
      <c r="X353" s="109" t="s">
        <v>2695</v>
      </c>
    </row>
    <row r="354" spans="1:24" ht="13">
      <c r="A354" s="146">
        <v>43777.537821550926</v>
      </c>
      <c r="B354" s="109" t="s">
        <v>2696</v>
      </c>
      <c r="C354" s="109" t="s">
        <v>2697</v>
      </c>
      <c r="D354" s="109" t="s">
        <v>2698</v>
      </c>
      <c r="E354" s="109" t="s">
        <v>2699</v>
      </c>
      <c r="F354" s="109" t="s">
        <v>431</v>
      </c>
      <c r="G354" s="109" t="s">
        <v>2700</v>
      </c>
      <c r="H354" s="109" t="s">
        <v>63</v>
      </c>
      <c r="I354" s="109" t="s">
        <v>136</v>
      </c>
      <c r="O354" s="109" t="s">
        <v>130</v>
      </c>
      <c r="P354" s="109" t="s">
        <v>136</v>
      </c>
      <c r="R354" s="109" t="s">
        <v>405</v>
      </c>
      <c r="T354" s="109" t="s">
        <v>2701</v>
      </c>
      <c r="U354" s="109" t="s">
        <v>1036</v>
      </c>
      <c r="V354" s="109" t="s">
        <v>2702</v>
      </c>
      <c r="W354" s="109" t="s">
        <v>1081</v>
      </c>
      <c r="X354" s="109" t="s">
        <v>2703</v>
      </c>
    </row>
    <row r="355" spans="1:24" ht="13">
      <c r="A355" s="146">
        <v>43777.947418946758</v>
      </c>
      <c r="B355" s="109" t="s">
        <v>2704</v>
      </c>
      <c r="C355" s="109" t="s">
        <v>2705</v>
      </c>
      <c r="D355" s="109" t="s">
        <v>2706</v>
      </c>
      <c r="E355" s="109" t="s">
        <v>2707</v>
      </c>
      <c r="F355" s="109" t="s">
        <v>431</v>
      </c>
      <c r="G355" s="109" t="s">
        <v>1637</v>
      </c>
      <c r="H355" s="109" t="s">
        <v>202</v>
      </c>
      <c r="I355" s="109" t="s">
        <v>251</v>
      </c>
      <c r="J355" s="109" t="s">
        <v>400</v>
      </c>
      <c r="K355" s="109" t="s">
        <v>163</v>
      </c>
      <c r="L355" s="109" t="s">
        <v>401</v>
      </c>
      <c r="M355" s="109" t="s">
        <v>136</v>
      </c>
      <c r="N355" s="109" t="s">
        <v>2708</v>
      </c>
      <c r="O355" s="109" t="s">
        <v>403</v>
      </c>
      <c r="P355" s="109" t="s">
        <v>2709</v>
      </c>
      <c r="R355" s="109" t="s">
        <v>405</v>
      </c>
      <c r="S355" s="109" t="s">
        <v>2710</v>
      </c>
      <c r="T355" s="109" t="s">
        <v>2711</v>
      </c>
      <c r="U355" s="109" t="s">
        <v>1036</v>
      </c>
      <c r="V355" s="109" t="s">
        <v>1028</v>
      </c>
      <c r="W355" s="109" t="s">
        <v>2712</v>
      </c>
      <c r="X355" s="109" t="s">
        <v>2713</v>
      </c>
    </row>
    <row r="356" spans="1:24" ht="13">
      <c r="A356" s="146">
        <v>43778.843209189814</v>
      </c>
      <c r="B356" s="109" t="s">
        <v>2714</v>
      </c>
      <c r="C356" s="109" t="s">
        <v>436</v>
      </c>
      <c r="D356" s="109" t="s">
        <v>2715</v>
      </c>
      <c r="E356" s="109" t="s">
        <v>2716</v>
      </c>
      <c r="F356" s="109" t="s">
        <v>492</v>
      </c>
      <c r="G356" s="109" t="s">
        <v>2667</v>
      </c>
      <c r="H356" s="109" t="s">
        <v>63</v>
      </c>
      <c r="I356" s="109" t="s">
        <v>401</v>
      </c>
      <c r="J356" s="109" t="s">
        <v>400</v>
      </c>
      <c r="K356" s="109" t="s">
        <v>136</v>
      </c>
      <c r="L356" s="109" t="s">
        <v>251</v>
      </c>
      <c r="M356" s="109" t="s">
        <v>163</v>
      </c>
      <c r="O356" s="109" t="s">
        <v>130</v>
      </c>
      <c r="P356" s="109" t="s">
        <v>2717</v>
      </c>
      <c r="R356" s="109" t="s">
        <v>405</v>
      </c>
      <c r="S356" s="109" t="s">
        <v>2718</v>
      </c>
      <c r="T356" s="109" t="s">
        <v>2719</v>
      </c>
      <c r="U356" s="109" t="s">
        <v>1027</v>
      </c>
      <c r="V356" s="109" t="s">
        <v>1091</v>
      </c>
      <c r="W356" s="109" t="s">
        <v>1104</v>
      </c>
      <c r="X356" s="109" t="s">
        <v>1677</v>
      </c>
    </row>
    <row r="357" spans="1:24" ht="13">
      <c r="A357" s="146">
        <v>43779.014280324074</v>
      </c>
      <c r="B357" s="109" t="s">
        <v>2720</v>
      </c>
      <c r="C357" s="109" t="s">
        <v>2721</v>
      </c>
      <c r="D357" s="109" t="s">
        <v>2722</v>
      </c>
      <c r="E357" s="109" t="s">
        <v>2723</v>
      </c>
      <c r="F357" s="109" t="s">
        <v>418</v>
      </c>
      <c r="G357" s="109" t="s">
        <v>1610</v>
      </c>
      <c r="H357" s="109" t="s">
        <v>63</v>
      </c>
      <c r="I357" s="109" t="s">
        <v>251</v>
      </c>
      <c r="J357" s="109" t="s">
        <v>400</v>
      </c>
      <c r="K357" s="109" t="s">
        <v>136</v>
      </c>
      <c r="L357" s="109" t="s">
        <v>163</v>
      </c>
      <c r="M357" s="109" t="s">
        <v>401</v>
      </c>
      <c r="O357" s="109" t="s">
        <v>403</v>
      </c>
      <c r="P357" s="109" t="s">
        <v>2724</v>
      </c>
      <c r="R357" s="109" t="s">
        <v>451</v>
      </c>
      <c r="S357" s="109" t="s">
        <v>2725</v>
      </c>
      <c r="T357" s="109" t="s">
        <v>2726</v>
      </c>
      <c r="U357" s="109" t="s">
        <v>1097</v>
      </c>
      <c r="V357" s="109" t="s">
        <v>1028</v>
      </c>
      <c r="X357" s="109" t="s">
        <v>2727</v>
      </c>
    </row>
    <row r="358" spans="1:24" ht="13">
      <c r="A358" s="146">
        <v>43780.197000462962</v>
      </c>
      <c r="B358" s="109" t="s">
        <v>581</v>
      </c>
      <c r="C358" s="109" t="s">
        <v>2728</v>
      </c>
      <c r="D358" s="109" t="s">
        <v>2729</v>
      </c>
      <c r="E358" s="109" t="s">
        <v>584</v>
      </c>
      <c r="F358" s="109" t="s">
        <v>431</v>
      </c>
      <c r="G358" s="109" t="s">
        <v>2730</v>
      </c>
      <c r="H358" s="109" t="s">
        <v>63</v>
      </c>
      <c r="I358" s="109" t="s">
        <v>400</v>
      </c>
      <c r="J358" s="109" t="s">
        <v>251</v>
      </c>
      <c r="K358" s="109" t="s">
        <v>136</v>
      </c>
      <c r="L358" s="109" t="s">
        <v>401</v>
      </c>
      <c r="M358" s="109" t="s">
        <v>163</v>
      </c>
      <c r="N358" s="109" t="s">
        <v>2731</v>
      </c>
      <c r="O358" s="109" t="s">
        <v>117</v>
      </c>
      <c r="R358" s="109" t="s">
        <v>405</v>
      </c>
      <c r="S358" s="109" t="s">
        <v>2732</v>
      </c>
      <c r="T358" s="109" t="s">
        <v>2733</v>
      </c>
      <c r="U358" s="109" t="s">
        <v>1062</v>
      </c>
      <c r="V358" s="109" t="s">
        <v>1028</v>
      </c>
      <c r="W358" s="109" t="s">
        <v>2734</v>
      </c>
      <c r="X358" s="109" t="s">
        <v>2735</v>
      </c>
    </row>
    <row r="359" spans="1:24" ht="13">
      <c r="A359" s="146">
        <v>43780.374673888888</v>
      </c>
      <c r="B359" s="109" t="s">
        <v>2736</v>
      </c>
      <c r="C359" s="109" t="s">
        <v>2737</v>
      </c>
      <c r="E359" s="109" t="s">
        <v>2738</v>
      </c>
      <c r="F359" s="109" t="s">
        <v>2739</v>
      </c>
      <c r="G359" s="109" t="s">
        <v>2740</v>
      </c>
      <c r="H359" s="109" t="s">
        <v>63</v>
      </c>
      <c r="I359" s="109" t="s">
        <v>401</v>
      </c>
      <c r="J359" s="109" t="s">
        <v>251</v>
      </c>
      <c r="K359" s="109" t="s">
        <v>136</v>
      </c>
      <c r="L359" s="109" t="s">
        <v>400</v>
      </c>
      <c r="M359" s="109" t="s">
        <v>163</v>
      </c>
      <c r="N359" s="109" t="s">
        <v>2741</v>
      </c>
      <c r="O359" s="109" t="s">
        <v>117</v>
      </c>
      <c r="R359" s="109" t="s">
        <v>451</v>
      </c>
      <c r="S359" s="109" t="s">
        <v>2742</v>
      </c>
      <c r="U359" s="109" t="s">
        <v>1036</v>
      </c>
      <c r="V359" s="109" t="s">
        <v>1028</v>
      </c>
      <c r="X359" s="109" t="s">
        <v>2743</v>
      </c>
    </row>
    <row r="360" spans="1:24" ht="13">
      <c r="A360" s="146">
        <v>43782.569134212958</v>
      </c>
      <c r="B360" s="109" t="s">
        <v>2744</v>
      </c>
      <c r="C360" s="109" t="s">
        <v>2745</v>
      </c>
      <c r="D360" s="109" t="s">
        <v>2746</v>
      </c>
      <c r="E360" s="109" t="s">
        <v>2747</v>
      </c>
      <c r="F360" s="109" t="s">
        <v>529</v>
      </c>
      <c r="G360" s="109" t="s">
        <v>2748</v>
      </c>
      <c r="H360" s="109" t="s">
        <v>63</v>
      </c>
      <c r="I360" s="109" t="s">
        <v>400</v>
      </c>
      <c r="J360" s="109" t="s">
        <v>251</v>
      </c>
      <c r="K360" s="109" t="s">
        <v>163</v>
      </c>
      <c r="L360" s="109" t="s">
        <v>401</v>
      </c>
      <c r="M360" s="109" t="s">
        <v>136</v>
      </c>
      <c r="N360" s="109" t="s">
        <v>2749</v>
      </c>
      <c r="O360" s="109" t="s">
        <v>117</v>
      </c>
      <c r="P360" s="109" t="s">
        <v>2750</v>
      </c>
      <c r="R360" s="109" t="s">
        <v>451</v>
      </c>
      <c r="S360" s="109" t="s">
        <v>2751</v>
      </c>
      <c r="T360" s="109" t="s">
        <v>2752</v>
      </c>
      <c r="U360" s="109" t="s">
        <v>1062</v>
      </c>
      <c r="V360" s="109" t="s">
        <v>1150</v>
      </c>
      <c r="X360" s="109" t="s">
        <v>1677</v>
      </c>
    </row>
    <row r="361" spans="1:24" ht="13">
      <c r="A361" s="146">
        <v>43789.379284305556</v>
      </c>
      <c r="B361" s="109" t="s">
        <v>2753</v>
      </c>
      <c r="C361" s="109" t="s">
        <v>2754</v>
      </c>
      <c r="D361" s="109" t="s">
        <v>2755</v>
      </c>
      <c r="E361" s="109" t="s">
        <v>2756</v>
      </c>
      <c r="F361" s="109" t="s">
        <v>492</v>
      </c>
      <c r="G361" s="109" t="s">
        <v>2667</v>
      </c>
      <c r="H361" s="109" t="s">
        <v>63</v>
      </c>
      <c r="I361" s="109" t="s">
        <v>251</v>
      </c>
      <c r="J361" s="109" t="s">
        <v>401</v>
      </c>
      <c r="K361" s="109" t="s">
        <v>400</v>
      </c>
      <c r="L361" s="109" t="s">
        <v>163</v>
      </c>
      <c r="M361" s="109" t="s">
        <v>136</v>
      </c>
      <c r="N361" s="109" t="s">
        <v>463</v>
      </c>
      <c r="O361" s="109" t="s">
        <v>117</v>
      </c>
      <c r="P361" s="109" t="s">
        <v>242</v>
      </c>
      <c r="R361" s="109" t="s">
        <v>451</v>
      </c>
      <c r="S361" s="109" t="s">
        <v>2757</v>
      </c>
      <c r="T361" s="109" t="s">
        <v>2758</v>
      </c>
      <c r="U361" s="109" t="s">
        <v>1097</v>
      </c>
      <c r="V361" s="109" t="s">
        <v>1091</v>
      </c>
      <c r="W361" s="109" t="s">
        <v>1104</v>
      </c>
      <c r="X361" s="109" t="s">
        <v>2412</v>
      </c>
    </row>
    <row r="362" spans="1:24" ht="13">
      <c r="A362" s="146">
        <v>43789.561137233795</v>
      </c>
      <c r="B362" s="109" t="s">
        <v>2759</v>
      </c>
      <c r="C362" s="109" t="s">
        <v>1170</v>
      </c>
      <c r="E362" s="109" t="s">
        <v>2760</v>
      </c>
      <c r="F362" s="109" t="s">
        <v>701</v>
      </c>
      <c r="G362" s="109" t="s">
        <v>2761</v>
      </c>
      <c r="H362" s="109" t="s">
        <v>63</v>
      </c>
      <c r="I362" s="109" t="s">
        <v>251</v>
      </c>
      <c r="J362" s="109" t="s">
        <v>400</v>
      </c>
      <c r="K362" s="109" t="s">
        <v>401</v>
      </c>
      <c r="N362" s="109" t="s">
        <v>2762</v>
      </c>
      <c r="O362" s="109" t="s">
        <v>403</v>
      </c>
      <c r="P362" s="109" t="s">
        <v>34</v>
      </c>
      <c r="R362" s="109" t="s">
        <v>451</v>
      </c>
      <c r="S362" s="109" t="s">
        <v>2763</v>
      </c>
      <c r="U362" s="109" t="s">
        <v>1062</v>
      </c>
      <c r="V362" s="109" t="s">
        <v>1091</v>
      </c>
      <c r="X362" s="109" t="s">
        <v>1687</v>
      </c>
    </row>
    <row r="363" spans="1:24" ht="13">
      <c r="A363" s="146">
        <v>43790.710088807871</v>
      </c>
      <c r="B363" s="109" t="s">
        <v>2764</v>
      </c>
      <c r="C363" s="109" t="s">
        <v>2765</v>
      </c>
      <c r="D363" s="109" t="s">
        <v>2766</v>
      </c>
      <c r="E363" s="109" t="s">
        <v>2767</v>
      </c>
      <c r="F363" s="109" t="s">
        <v>701</v>
      </c>
      <c r="G363" s="109" t="s">
        <v>1022</v>
      </c>
      <c r="H363" s="109" t="s">
        <v>63</v>
      </c>
      <c r="I363" s="109" t="s">
        <v>251</v>
      </c>
      <c r="J363" s="109" t="s">
        <v>401</v>
      </c>
      <c r="K363" s="109" t="s">
        <v>400</v>
      </c>
      <c r="L363" s="109" t="s">
        <v>136</v>
      </c>
      <c r="M363" s="109" t="s">
        <v>163</v>
      </c>
      <c r="N363" s="109" t="s">
        <v>2768</v>
      </c>
      <c r="O363" s="109" t="s">
        <v>117</v>
      </c>
      <c r="R363" s="109" t="s">
        <v>451</v>
      </c>
      <c r="S363" s="109" t="s">
        <v>2769</v>
      </c>
      <c r="T363" s="109" t="s">
        <v>2145</v>
      </c>
      <c r="U363" s="109" t="s">
        <v>1097</v>
      </c>
      <c r="V363" s="109" t="s">
        <v>1150</v>
      </c>
    </row>
    <row r="364" spans="1:24" ht="13">
      <c r="A364" s="146">
        <v>43794.31350851852</v>
      </c>
      <c r="B364" s="109" t="s">
        <v>2770</v>
      </c>
      <c r="C364" s="109" t="s">
        <v>2771</v>
      </c>
      <c r="D364" s="109" t="s">
        <v>2772</v>
      </c>
      <c r="E364" s="109" t="s">
        <v>2773</v>
      </c>
      <c r="F364" s="109" t="s">
        <v>461</v>
      </c>
      <c r="G364" s="109" t="s">
        <v>1022</v>
      </c>
      <c r="H364" s="109" t="s">
        <v>63</v>
      </c>
      <c r="I364" s="109" t="s">
        <v>400</v>
      </c>
      <c r="J364" s="109" t="s">
        <v>251</v>
      </c>
      <c r="K364" s="109" t="s">
        <v>401</v>
      </c>
      <c r="L364" s="109" t="s">
        <v>163</v>
      </c>
      <c r="M364" s="109" t="s">
        <v>136</v>
      </c>
      <c r="N364" s="109" t="s">
        <v>2774</v>
      </c>
      <c r="O364" s="109" t="s">
        <v>117</v>
      </c>
      <c r="P364" s="109" t="s">
        <v>2775</v>
      </c>
      <c r="R364" s="109" t="s">
        <v>451</v>
      </c>
      <c r="S364" s="109" t="s">
        <v>2776</v>
      </c>
      <c r="T364" s="109" t="s">
        <v>2777</v>
      </c>
      <c r="U364" s="109" t="s">
        <v>1027</v>
      </c>
      <c r="V364" s="109" t="s">
        <v>1028</v>
      </c>
      <c r="X364" s="109" t="s">
        <v>2778</v>
      </c>
    </row>
    <row r="365" spans="1:24" ht="13">
      <c r="A365" s="146">
        <v>43795.466076805555</v>
      </c>
      <c r="B365" s="109" t="s">
        <v>2779</v>
      </c>
      <c r="C365" s="109" t="s">
        <v>860</v>
      </c>
      <c r="D365" s="109" t="s">
        <v>2780</v>
      </c>
      <c r="E365" s="109" t="s">
        <v>2781</v>
      </c>
      <c r="F365" s="109" t="s">
        <v>461</v>
      </c>
      <c r="G365" s="109" t="s">
        <v>1101</v>
      </c>
      <c r="H365" s="109" t="s">
        <v>63</v>
      </c>
      <c r="I365" s="109" t="s">
        <v>400</v>
      </c>
      <c r="J365" s="109" t="s">
        <v>251</v>
      </c>
      <c r="K365" s="109" t="s">
        <v>401</v>
      </c>
      <c r="L365" s="109" t="s">
        <v>163</v>
      </c>
      <c r="N365" s="109" t="s">
        <v>2782</v>
      </c>
      <c r="O365" s="109" t="s">
        <v>117</v>
      </c>
      <c r="P365" s="109" t="s">
        <v>1203</v>
      </c>
      <c r="R365" s="109" t="s">
        <v>405</v>
      </c>
      <c r="S365" s="109" t="s">
        <v>2783</v>
      </c>
      <c r="T365" s="109" t="s">
        <v>2784</v>
      </c>
      <c r="U365" s="109" t="s">
        <v>1036</v>
      </c>
      <c r="V365" s="109" t="s">
        <v>1028</v>
      </c>
      <c r="X365" s="109" t="s">
        <v>2363</v>
      </c>
    </row>
    <row r="366" spans="1:24" ht="13">
      <c r="A366" s="146">
        <v>43796.31597033565</v>
      </c>
      <c r="B366" s="109" t="s">
        <v>2785</v>
      </c>
      <c r="C366" s="109" t="s">
        <v>1671</v>
      </c>
      <c r="D366" s="109" t="s">
        <v>2786</v>
      </c>
      <c r="E366" s="109" t="s">
        <v>2787</v>
      </c>
      <c r="F366" s="109" t="s">
        <v>2788</v>
      </c>
      <c r="G366" s="109" t="s">
        <v>1664</v>
      </c>
      <c r="H366" s="109" t="s">
        <v>63</v>
      </c>
      <c r="I366" s="109" t="s">
        <v>136</v>
      </c>
      <c r="J366" s="109" t="s">
        <v>400</v>
      </c>
      <c r="K366" s="109" t="s">
        <v>401</v>
      </c>
      <c r="L366" s="109" t="s">
        <v>251</v>
      </c>
      <c r="M366" s="109" t="s">
        <v>163</v>
      </c>
      <c r="N366" s="109" t="s">
        <v>2789</v>
      </c>
      <c r="O366" s="109" t="s">
        <v>403</v>
      </c>
      <c r="P366" s="109" t="s">
        <v>2790</v>
      </c>
      <c r="R366" s="109" t="s">
        <v>451</v>
      </c>
      <c r="S366" s="109" t="s">
        <v>2791</v>
      </c>
      <c r="T366" s="109" t="s">
        <v>2792</v>
      </c>
      <c r="U366" s="109" t="s">
        <v>1097</v>
      </c>
      <c r="V366" s="109" t="s">
        <v>1028</v>
      </c>
      <c r="X366" s="109" t="s">
        <v>1677</v>
      </c>
    </row>
    <row r="367" spans="1:24" ht="13">
      <c r="A367" s="146">
        <v>43796.448630798608</v>
      </c>
      <c r="B367" s="109" t="s">
        <v>2793</v>
      </c>
      <c r="C367" s="109" t="s">
        <v>2794</v>
      </c>
      <c r="E367" s="109" t="s">
        <v>2795</v>
      </c>
      <c r="F367" s="109" t="s">
        <v>431</v>
      </c>
      <c r="G367" s="109" t="s">
        <v>1022</v>
      </c>
      <c r="H367" s="109" t="s">
        <v>63</v>
      </c>
      <c r="I367" s="109" t="s">
        <v>163</v>
      </c>
      <c r="J367" s="109" t="s">
        <v>251</v>
      </c>
      <c r="O367" s="109" t="s">
        <v>403</v>
      </c>
      <c r="R367" s="109" t="s">
        <v>405</v>
      </c>
      <c r="S367" s="109" t="s">
        <v>2796</v>
      </c>
      <c r="U367" s="109" t="s">
        <v>1062</v>
      </c>
      <c r="V367" s="109" t="s">
        <v>1028</v>
      </c>
      <c r="W367" s="109" t="s">
        <v>1081</v>
      </c>
      <c r="X367" s="109" t="s">
        <v>1677</v>
      </c>
    </row>
    <row r="368" spans="1:24" ht="13">
      <c r="A368" s="146">
        <v>43803.378567557869</v>
      </c>
      <c r="B368" s="109" t="s">
        <v>2797</v>
      </c>
      <c r="C368" s="109" t="s">
        <v>2798</v>
      </c>
      <c r="D368" s="109" t="s">
        <v>2799</v>
      </c>
      <c r="E368" s="109" t="s">
        <v>2800</v>
      </c>
      <c r="F368" s="109" t="s">
        <v>2801</v>
      </c>
      <c r="G368" s="109" t="s">
        <v>1610</v>
      </c>
      <c r="H368" s="109" t="s">
        <v>63</v>
      </c>
      <c r="I368" s="109" t="s">
        <v>401</v>
      </c>
      <c r="J368" s="109" t="s">
        <v>251</v>
      </c>
      <c r="K368" s="109" t="s">
        <v>400</v>
      </c>
      <c r="L368" s="109" t="s">
        <v>136</v>
      </c>
      <c r="M368" s="109" t="s">
        <v>163</v>
      </c>
      <c r="N368" s="109" t="s">
        <v>130</v>
      </c>
      <c r="O368" s="109" t="s">
        <v>117</v>
      </c>
      <c r="P368" s="109" t="s">
        <v>2802</v>
      </c>
      <c r="R368" s="109" t="s">
        <v>405</v>
      </c>
      <c r="S368" s="109" t="s">
        <v>2803</v>
      </c>
      <c r="T368" s="109" t="s">
        <v>2804</v>
      </c>
      <c r="U368" s="109" t="s">
        <v>1027</v>
      </c>
      <c r="V368" s="109" t="s">
        <v>2805</v>
      </c>
      <c r="W368" s="109" t="s">
        <v>2806</v>
      </c>
      <c r="X368" s="109" t="s">
        <v>2807</v>
      </c>
    </row>
    <row r="369" spans="1:24" ht="13">
      <c r="A369" s="146">
        <v>43809.806702071757</v>
      </c>
      <c r="B369" s="109" t="s">
        <v>2808</v>
      </c>
      <c r="C369" s="109" t="s">
        <v>665</v>
      </c>
      <c r="E369" s="109" t="s">
        <v>2809</v>
      </c>
      <c r="F369" s="109" t="s">
        <v>418</v>
      </c>
      <c r="G369" s="109" t="s">
        <v>1465</v>
      </c>
      <c r="H369" s="109" t="s">
        <v>202</v>
      </c>
      <c r="I369" s="109" t="s">
        <v>163</v>
      </c>
      <c r="N369" s="109" t="s">
        <v>2810</v>
      </c>
      <c r="O369" s="109" t="s">
        <v>403</v>
      </c>
      <c r="R369" s="109" t="s">
        <v>405</v>
      </c>
      <c r="T369" s="109" t="s">
        <v>2811</v>
      </c>
      <c r="U369" s="109" t="s">
        <v>1292</v>
      </c>
      <c r="V369" s="109" t="s">
        <v>1028</v>
      </c>
      <c r="W369" s="109" t="s">
        <v>2812</v>
      </c>
    </row>
    <row r="370" spans="1:24" ht="13">
      <c r="A370" s="146">
        <v>43810.627899386571</v>
      </c>
      <c r="B370" s="109" t="s">
        <v>2813</v>
      </c>
      <c r="C370" s="109" t="s">
        <v>2814</v>
      </c>
      <c r="D370" s="109" t="s">
        <v>2815</v>
      </c>
      <c r="E370" s="109" t="s">
        <v>2816</v>
      </c>
      <c r="F370" s="109" t="s">
        <v>492</v>
      </c>
      <c r="G370" s="109" t="s">
        <v>1049</v>
      </c>
      <c r="H370" s="109" t="s">
        <v>63</v>
      </c>
      <c r="I370" s="109" t="s">
        <v>400</v>
      </c>
      <c r="N370" s="109" t="s">
        <v>2817</v>
      </c>
      <c r="O370" s="109" t="s">
        <v>403</v>
      </c>
      <c r="P370" s="109" t="s">
        <v>2818</v>
      </c>
      <c r="R370" s="109" t="s">
        <v>405</v>
      </c>
      <c r="S370" s="109" t="s">
        <v>2819</v>
      </c>
      <c r="T370" s="109" t="s">
        <v>2820</v>
      </c>
      <c r="U370" s="109" t="s">
        <v>1036</v>
      </c>
      <c r="V370" s="109" t="s">
        <v>1091</v>
      </c>
      <c r="X370" s="109" t="s">
        <v>1677</v>
      </c>
    </row>
    <row r="371" spans="1:24" ht="13">
      <c r="A371" s="146">
        <v>43811.149950092593</v>
      </c>
      <c r="B371" s="109" t="s">
        <v>2821</v>
      </c>
      <c r="C371" s="109" t="s">
        <v>2822</v>
      </c>
      <c r="E371" s="109" t="s">
        <v>2823</v>
      </c>
      <c r="F371" s="109" t="s">
        <v>418</v>
      </c>
      <c r="G371" s="109" t="s">
        <v>1022</v>
      </c>
      <c r="H371" s="109" t="s">
        <v>63</v>
      </c>
      <c r="I371" s="109" t="s">
        <v>400</v>
      </c>
      <c r="J371" s="109" t="s">
        <v>251</v>
      </c>
      <c r="K371" s="109" t="s">
        <v>163</v>
      </c>
      <c r="L371" s="109" t="s">
        <v>136</v>
      </c>
      <c r="M371" s="109" t="s">
        <v>401</v>
      </c>
      <c r="O371" s="109" t="s">
        <v>403</v>
      </c>
      <c r="R371" s="109" t="s">
        <v>451</v>
      </c>
      <c r="T371" s="109" t="s">
        <v>2824</v>
      </c>
      <c r="U371" s="109" t="s">
        <v>1097</v>
      </c>
      <c r="V371" s="109" t="s">
        <v>1028</v>
      </c>
    </row>
    <row r="372" spans="1:24" ht="13">
      <c r="A372" s="146">
        <v>43811.796518055555</v>
      </c>
      <c r="B372" s="109" t="s">
        <v>2825</v>
      </c>
      <c r="C372" s="109" t="s">
        <v>665</v>
      </c>
      <c r="D372" s="109" t="s">
        <v>2826</v>
      </c>
      <c r="E372" s="109" t="s">
        <v>2827</v>
      </c>
      <c r="F372" s="109" t="s">
        <v>1068</v>
      </c>
      <c r="G372" s="109" t="s">
        <v>2376</v>
      </c>
      <c r="H372" s="109" t="s">
        <v>63</v>
      </c>
      <c r="I372" s="109" t="s">
        <v>163</v>
      </c>
      <c r="J372" s="109" t="s">
        <v>136</v>
      </c>
      <c r="P372" s="109" t="s">
        <v>2828</v>
      </c>
      <c r="R372" s="109" t="s">
        <v>405</v>
      </c>
      <c r="S372" s="109" t="s">
        <v>2829</v>
      </c>
      <c r="T372" s="109" t="s">
        <v>2830</v>
      </c>
      <c r="U372" s="109" t="s">
        <v>1097</v>
      </c>
      <c r="V372" s="109" t="s">
        <v>1091</v>
      </c>
      <c r="X372" s="109" t="s">
        <v>2831</v>
      </c>
    </row>
    <row r="373" spans="1:24" ht="13">
      <c r="A373" s="146">
        <v>43815.797040740741</v>
      </c>
      <c r="B373" s="109" t="s">
        <v>2832</v>
      </c>
      <c r="C373" s="109" t="s">
        <v>2833</v>
      </c>
      <c r="D373" s="109" t="s">
        <v>2834</v>
      </c>
      <c r="E373" s="109" t="s">
        <v>2835</v>
      </c>
      <c r="F373" s="109" t="s">
        <v>2836</v>
      </c>
      <c r="G373" s="109" t="s">
        <v>1049</v>
      </c>
      <c r="H373" s="109" t="s">
        <v>63</v>
      </c>
      <c r="I373" s="109" t="s">
        <v>136</v>
      </c>
      <c r="J373" s="109" t="s">
        <v>401</v>
      </c>
      <c r="K373" s="109" t="s">
        <v>251</v>
      </c>
      <c r="L373" s="109" t="s">
        <v>400</v>
      </c>
      <c r="M373" s="109" t="s">
        <v>163</v>
      </c>
      <c r="N373" s="109" t="s">
        <v>2837</v>
      </c>
      <c r="O373" s="109" t="s">
        <v>117</v>
      </c>
      <c r="R373" s="109" t="s">
        <v>405</v>
      </c>
      <c r="S373" s="109" t="s">
        <v>2838</v>
      </c>
      <c r="T373" s="109" t="s">
        <v>2839</v>
      </c>
      <c r="U373" s="109" t="s">
        <v>1097</v>
      </c>
      <c r="V373" s="109" t="s">
        <v>1293</v>
      </c>
      <c r="X373" s="109" t="s">
        <v>2677</v>
      </c>
    </row>
    <row r="374" spans="1:24" ht="13">
      <c r="A374" s="146">
        <v>43817.620459039354</v>
      </c>
      <c r="B374" s="109" t="s">
        <v>762</v>
      </c>
      <c r="C374" s="109" t="s">
        <v>2526</v>
      </c>
      <c r="D374" s="109" t="s">
        <v>2840</v>
      </c>
      <c r="E374" s="109" t="s">
        <v>2841</v>
      </c>
      <c r="F374" s="109" t="s">
        <v>431</v>
      </c>
      <c r="G374" s="109" t="s">
        <v>1219</v>
      </c>
      <c r="H374" s="109" t="s">
        <v>63</v>
      </c>
      <c r="I374" s="109" t="s">
        <v>400</v>
      </c>
      <c r="J374" s="109" t="s">
        <v>251</v>
      </c>
      <c r="K374" s="109" t="s">
        <v>401</v>
      </c>
      <c r="L374" s="109" t="s">
        <v>163</v>
      </c>
      <c r="M374" s="109" t="s">
        <v>136</v>
      </c>
      <c r="N374" s="109" t="s">
        <v>2842</v>
      </c>
      <c r="O374" s="109" t="s">
        <v>117</v>
      </c>
      <c r="R374" s="109" t="s">
        <v>451</v>
      </c>
      <c r="S374" s="109" t="s">
        <v>2843</v>
      </c>
      <c r="T374" s="109" t="s">
        <v>1685</v>
      </c>
      <c r="U374" s="109" t="s">
        <v>1036</v>
      </c>
      <c r="V374" s="109" t="s">
        <v>1028</v>
      </c>
      <c r="W374" s="109" t="s">
        <v>2844</v>
      </c>
      <c r="X374" s="109" t="s">
        <v>1677</v>
      </c>
    </row>
    <row r="375" spans="1:24" ht="13">
      <c r="A375" s="146">
        <v>43817.633831550927</v>
      </c>
      <c r="B375" s="109" t="s">
        <v>2845</v>
      </c>
      <c r="C375" s="109" t="s">
        <v>714</v>
      </c>
      <c r="D375" s="109" t="s">
        <v>2846</v>
      </c>
      <c r="E375" s="109" t="s">
        <v>2847</v>
      </c>
      <c r="F375" s="109" t="s">
        <v>701</v>
      </c>
      <c r="G375" s="109" t="s">
        <v>2407</v>
      </c>
      <c r="H375" s="109" t="s">
        <v>202</v>
      </c>
      <c r="I375" s="109" t="s">
        <v>251</v>
      </c>
      <c r="J375" s="109" t="s">
        <v>400</v>
      </c>
      <c r="K375" s="109" t="s">
        <v>136</v>
      </c>
      <c r="L375" s="109" t="s">
        <v>401</v>
      </c>
      <c r="M375" s="109" t="s">
        <v>163</v>
      </c>
      <c r="O375" s="109" t="s">
        <v>117</v>
      </c>
      <c r="P375" s="109" t="s">
        <v>2848</v>
      </c>
      <c r="R375" s="109" t="s">
        <v>451</v>
      </c>
      <c r="S375" s="109" t="s">
        <v>2849</v>
      </c>
      <c r="T375" s="109" t="s">
        <v>488</v>
      </c>
      <c r="U375" s="109" t="s">
        <v>1036</v>
      </c>
      <c r="V375" s="109" t="s">
        <v>1028</v>
      </c>
      <c r="X375" s="109" t="s">
        <v>2412</v>
      </c>
    </row>
    <row r="376" spans="1:24" ht="13">
      <c r="A376" s="146">
        <v>43818.519401909725</v>
      </c>
      <c r="B376" s="109" t="s">
        <v>2850</v>
      </c>
      <c r="C376" s="109" t="s">
        <v>2851</v>
      </c>
      <c r="D376" s="109" t="s">
        <v>2852</v>
      </c>
      <c r="E376" s="109" t="s">
        <v>2853</v>
      </c>
      <c r="F376" s="109" t="s">
        <v>492</v>
      </c>
      <c r="G376" s="109" t="s">
        <v>1101</v>
      </c>
      <c r="H376" s="109" t="s">
        <v>63</v>
      </c>
      <c r="I376" s="109" t="s">
        <v>400</v>
      </c>
      <c r="J376" s="109" t="s">
        <v>251</v>
      </c>
      <c r="K376" s="109" t="s">
        <v>401</v>
      </c>
      <c r="L376" s="109" t="s">
        <v>163</v>
      </c>
      <c r="M376" s="109" t="s">
        <v>136</v>
      </c>
      <c r="N376" s="109" t="s">
        <v>2008</v>
      </c>
      <c r="O376" s="109" t="s">
        <v>403</v>
      </c>
      <c r="P376" s="109" t="s">
        <v>2854</v>
      </c>
      <c r="R376" s="109" t="s">
        <v>405</v>
      </c>
      <c r="S376" s="109" t="s">
        <v>2855</v>
      </c>
      <c r="T376" s="109" t="s">
        <v>2856</v>
      </c>
      <c r="U376" s="109" t="s">
        <v>1097</v>
      </c>
      <c r="V376" s="109" t="s">
        <v>1091</v>
      </c>
      <c r="X376" s="109" t="s">
        <v>1677</v>
      </c>
    </row>
    <row r="377" spans="1:24" ht="13">
      <c r="A377" s="146">
        <v>43822.780956111106</v>
      </c>
      <c r="B377" s="109" t="s">
        <v>2857</v>
      </c>
      <c r="C377" s="109" t="s">
        <v>2559</v>
      </c>
      <c r="D377" s="109" t="s">
        <v>2858</v>
      </c>
      <c r="E377" s="109" t="s">
        <v>2859</v>
      </c>
      <c r="F377" s="109" t="s">
        <v>701</v>
      </c>
      <c r="G377" s="109" t="s">
        <v>1101</v>
      </c>
      <c r="H377" s="109" t="s">
        <v>63</v>
      </c>
      <c r="I377" s="109" t="s">
        <v>401</v>
      </c>
      <c r="J377" s="109" t="s">
        <v>400</v>
      </c>
      <c r="K377" s="109" t="s">
        <v>251</v>
      </c>
      <c r="L377" s="109" t="s">
        <v>163</v>
      </c>
      <c r="M377" s="109" t="s">
        <v>136</v>
      </c>
      <c r="N377" s="109" t="s">
        <v>130</v>
      </c>
      <c r="O377" s="109" t="s">
        <v>117</v>
      </c>
      <c r="P377" s="109" t="s">
        <v>2860</v>
      </c>
      <c r="R377" s="109" t="s">
        <v>451</v>
      </c>
      <c r="S377" s="109" t="s">
        <v>2861</v>
      </c>
      <c r="T377" s="109" t="s">
        <v>2862</v>
      </c>
      <c r="U377" s="109" t="s">
        <v>1097</v>
      </c>
      <c r="V377" s="109" t="s">
        <v>1293</v>
      </c>
      <c r="W377" s="109" t="s">
        <v>2863</v>
      </c>
      <c r="X377" s="109" t="s">
        <v>1812</v>
      </c>
    </row>
    <row r="378" spans="1:24" ht="13">
      <c r="A378" s="146">
        <v>43833.441767766199</v>
      </c>
      <c r="B378" s="109" t="s">
        <v>2864</v>
      </c>
      <c r="C378" s="109" t="s">
        <v>2865</v>
      </c>
      <c r="D378" s="109" t="s">
        <v>2866</v>
      </c>
      <c r="E378" s="109" t="s">
        <v>2867</v>
      </c>
      <c r="F378" s="109" t="s">
        <v>431</v>
      </c>
      <c r="G378" s="109" t="s">
        <v>2730</v>
      </c>
      <c r="H378" s="109" t="s">
        <v>63</v>
      </c>
      <c r="I378" s="109" t="s">
        <v>400</v>
      </c>
      <c r="J378" s="109" t="s">
        <v>136</v>
      </c>
      <c r="K378" s="109" t="s">
        <v>251</v>
      </c>
      <c r="L378" s="109" t="s">
        <v>163</v>
      </c>
      <c r="M378" s="109" t="s">
        <v>401</v>
      </c>
      <c r="N378" s="109" t="s">
        <v>2868</v>
      </c>
      <c r="O378" s="109" t="s">
        <v>117</v>
      </c>
      <c r="P378" s="109" t="s">
        <v>2869</v>
      </c>
      <c r="R378" s="109" t="s">
        <v>451</v>
      </c>
      <c r="S378" s="109" t="s">
        <v>2870</v>
      </c>
      <c r="T378" s="109" t="s">
        <v>2871</v>
      </c>
      <c r="U378" s="109" t="s">
        <v>1027</v>
      </c>
      <c r="V378" s="109" t="s">
        <v>1028</v>
      </c>
      <c r="W378" s="109" t="s">
        <v>2872</v>
      </c>
      <c r="X378" s="109" t="s">
        <v>2873</v>
      </c>
    </row>
    <row r="379" spans="1:24" ht="13">
      <c r="A379" s="146">
        <v>43833.711898564812</v>
      </c>
      <c r="B379" s="109" t="s">
        <v>845</v>
      </c>
      <c r="C379" s="109" t="s">
        <v>547</v>
      </c>
      <c r="D379" s="109" t="s">
        <v>547</v>
      </c>
      <c r="E379" s="109" t="s">
        <v>2874</v>
      </c>
      <c r="F379" s="109" t="s">
        <v>418</v>
      </c>
      <c r="G379" s="109" t="s">
        <v>1101</v>
      </c>
      <c r="H379" s="109" t="s">
        <v>63</v>
      </c>
      <c r="I379" s="109" t="s">
        <v>136</v>
      </c>
      <c r="J379" s="109" t="s">
        <v>400</v>
      </c>
      <c r="K379" s="109" t="s">
        <v>401</v>
      </c>
      <c r="L379" s="109" t="s">
        <v>251</v>
      </c>
      <c r="M379" s="109" t="s">
        <v>163</v>
      </c>
      <c r="N379" s="109" t="s">
        <v>2875</v>
      </c>
      <c r="O379" s="109" t="s">
        <v>117</v>
      </c>
      <c r="P379" s="109" t="s">
        <v>2876</v>
      </c>
      <c r="R379" s="109" t="s">
        <v>451</v>
      </c>
      <c r="S379" s="109" t="s">
        <v>2877</v>
      </c>
      <c r="T379" s="109" t="s">
        <v>2878</v>
      </c>
      <c r="U379" s="109" t="s">
        <v>1950</v>
      </c>
      <c r="V379" s="109" t="s">
        <v>1028</v>
      </c>
      <c r="W379" s="109" t="s">
        <v>2879</v>
      </c>
      <c r="X379" s="109" t="s">
        <v>1980</v>
      </c>
    </row>
    <row r="380" spans="1:24" ht="13">
      <c r="A380" s="146">
        <v>43836.649940555551</v>
      </c>
      <c r="B380" s="109" t="s">
        <v>2880</v>
      </c>
      <c r="C380" s="109" t="s">
        <v>1536</v>
      </c>
      <c r="D380" s="109" t="s">
        <v>2881</v>
      </c>
      <c r="E380" s="109" t="s">
        <v>2882</v>
      </c>
      <c r="F380" s="109" t="s">
        <v>431</v>
      </c>
      <c r="G380" s="109" t="s">
        <v>1022</v>
      </c>
      <c r="H380" s="109" t="s">
        <v>63</v>
      </c>
      <c r="I380" s="109" t="s">
        <v>163</v>
      </c>
      <c r="N380" s="109" t="s">
        <v>2883</v>
      </c>
      <c r="O380" s="109" t="s">
        <v>130</v>
      </c>
      <c r="P380" s="109" t="s">
        <v>2884</v>
      </c>
      <c r="R380" s="109" t="s">
        <v>405</v>
      </c>
      <c r="S380" s="109" t="s">
        <v>2885</v>
      </c>
      <c r="U380" s="109" t="s">
        <v>1036</v>
      </c>
      <c r="V380" s="109" t="s">
        <v>1028</v>
      </c>
      <c r="W380" s="109" t="s">
        <v>2886</v>
      </c>
      <c r="X380" s="109" t="s">
        <v>2412</v>
      </c>
    </row>
    <row r="381" spans="1:24" ht="13">
      <c r="A381" s="146">
        <v>43838.049425787038</v>
      </c>
      <c r="B381" s="109" t="s">
        <v>465</v>
      </c>
      <c r="C381" s="109" t="s">
        <v>466</v>
      </c>
      <c r="E381" s="109" t="s">
        <v>467</v>
      </c>
      <c r="F381" s="109" t="s">
        <v>2887</v>
      </c>
      <c r="G381" s="109" t="s">
        <v>1022</v>
      </c>
      <c r="H381" s="109" t="s">
        <v>63</v>
      </c>
      <c r="I381" s="109" t="s">
        <v>400</v>
      </c>
      <c r="J381" s="109" t="s">
        <v>401</v>
      </c>
      <c r="K381" s="109" t="s">
        <v>251</v>
      </c>
      <c r="L381" s="109" t="s">
        <v>163</v>
      </c>
      <c r="N381" s="109" t="s">
        <v>130</v>
      </c>
      <c r="O381" s="109" t="s">
        <v>403</v>
      </c>
      <c r="P381" s="109" t="s">
        <v>2888</v>
      </c>
      <c r="R381" s="109" t="s">
        <v>451</v>
      </c>
      <c r="S381" s="109" t="s">
        <v>2889</v>
      </c>
      <c r="T381" s="109" t="s">
        <v>2890</v>
      </c>
      <c r="U381" s="109" t="s">
        <v>1036</v>
      </c>
      <c r="V381" s="109" t="s">
        <v>1091</v>
      </c>
      <c r="W381" s="109" t="s">
        <v>2891</v>
      </c>
      <c r="X381" s="109" t="s">
        <v>2892</v>
      </c>
    </row>
    <row r="382" spans="1:24" ht="13">
      <c r="A382" s="146">
        <v>43838.591925925924</v>
      </c>
      <c r="B382" s="109" t="s">
        <v>2893</v>
      </c>
      <c r="C382" s="109" t="s">
        <v>2895</v>
      </c>
      <c r="D382" s="109" t="s">
        <v>2897</v>
      </c>
      <c r="E382" s="109" t="s">
        <v>2899</v>
      </c>
      <c r="F382" s="109" t="s">
        <v>461</v>
      </c>
      <c r="G382" s="109" t="s">
        <v>2903</v>
      </c>
      <c r="H382" s="109" t="s">
        <v>63</v>
      </c>
      <c r="I382" s="109" t="s">
        <v>251</v>
      </c>
      <c r="J382" s="109" t="s">
        <v>400</v>
      </c>
      <c r="N382" s="109" t="s">
        <v>2906</v>
      </c>
      <c r="O382" s="109" t="s">
        <v>403</v>
      </c>
      <c r="P382" s="109" t="s">
        <v>2907</v>
      </c>
      <c r="R382" s="109" t="s">
        <v>405</v>
      </c>
      <c r="S382" s="109" t="s">
        <v>2908</v>
      </c>
      <c r="T382" s="109" t="s">
        <v>2909</v>
      </c>
      <c r="U382" s="109" t="s">
        <v>1036</v>
      </c>
      <c r="V382" s="109" t="s">
        <v>1091</v>
      </c>
      <c r="X382" s="109" t="s">
        <v>1677</v>
      </c>
    </row>
    <row r="383" spans="1:24" ht="13">
      <c r="A383" s="146">
        <v>43840.356742951393</v>
      </c>
      <c r="B383" s="109" t="s">
        <v>2910</v>
      </c>
      <c r="C383" s="109" t="s">
        <v>2911</v>
      </c>
      <c r="D383" s="109" t="s">
        <v>2912</v>
      </c>
      <c r="E383" s="109" t="s">
        <v>2913</v>
      </c>
      <c r="F383" s="109" t="s">
        <v>461</v>
      </c>
      <c r="G383" s="109" t="s">
        <v>1101</v>
      </c>
      <c r="H383" s="109" t="s">
        <v>63</v>
      </c>
      <c r="I383" s="109" t="s">
        <v>400</v>
      </c>
      <c r="J383" s="109" t="s">
        <v>401</v>
      </c>
      <c r="K383" s="109" t="s">
        <v>251</v>
      </c>
      <c r="L383" s="109" t="s">
        <v>163</v>
      </c>
      <c r="M383" s="109" t="s">
        <v>136</v>
      </c>
      <c r="O383" s="109" t="s">
        <v>403</v>
      </c>
      <c r="P383" s="109" t="s">
        <v>2915</v>
      </c>
      <c r="R383" s="109" t="s">
        <v>451</v>
      </c>
      <c r="S383" s="109" t="s">
        <v>2916</v>
      </c>
      <c r="T383" s="109" t="s">
        <v>2917</v>
      </c>
      <c r="U383" s="109" t="s">
        <v>1062</v>
      </c>
      <c r="V383" s="109" t="s">
        <v>1091</v>
      </c>
      <c r="W383" s="109" t="s">
        <v>2919</v>
      </c>
      <c r="X383" s="109" t="s">
        <v>1677</v>
      </c>
    </row>
    <row r="384" spans="1:24" ht="13">
      <c r="A384" s="146">
        <v>43842.70257400463</v>
      </c>
      <c r="B384" s="109" t="s">
        <v>2920</v>
      </c>
      <c r="C384" s="109" t="s">
        <v>2921</v>
      </c>
      <c r="E384" s="109" t="s">
        <v>2922</v>
      </c>
      <c r="F384" s="109" t="s">
        <v>701</v>
      </c>
      <c r="G384" s="109" t="s">
        <v>1637</v>
      </c>
      <c r="H384" s="109" t="s">
        <v>202</v>
      </c>
      <c r="O384" s="109" t="s">
        <v>403</v>
      </c>
      <c r="P384" s="109" t="s">
        <v>1312</v>
      </c>
      <c r="R384" s="109" t="s">
        <v>451</v>
      </c>
      <c r="T384" s="109" t="s">
        <v>2924</v>
      </c>
      <c r="U384" s="109" t="s">
        <v>1097</v>
      </c>
      <c r="V384" s="109" t="s">
        <v>1091</v>
      </c>
      <c r="X384" s="109" t="s">
        <v>1687</v>
      </c>
    </row>
    <row r="385" spans="1:24" ht="13">
      <c r="A385" s="146">
        <v>43846.638648900465</v>
      </c>
      <c r="B385" s="109" t="s">
        <v>2926</v>
      </c>
      <c r="C385" s="109" t="s">
        <v>2927</v>
      </c>
      <c r="D385" s="109" t="s">
        <v>2928</v>
      </c>
      <c r="E385" s="109" t="s">
        <v>2929</v>
      </c>
      <c r="F385" s="109" t="s">
        <v>418</v>
      </c>
      <c r="G385" s="109" t="s">
        <v>2376</v>
      </c>
      <c r="H385" s="109" t="s">
        <v>202</v>
      </c>
      <c r="I385" s="109" t="s">
        <v>400</v>
      </c>
      <c r="J385" s="109" t="s">
        <v>251</v>
      </c>
      <c r="K385" s="109" t="s">
        <v>401</v>
      </c>
      <c r="L385" s="109" t="s">
        <v>163</v>
      </c>
      <c r="M385" s="109" t="s">
        <v>136</v>
      </c>
      <c r="N385" s="109" t="s">
        <v>1054</v>
      </c>
      <c r="O385" s="109" t="s">
        <v>117</v>
      </c>
      <c r="P385" s="109" t="s">
        <v>2931</v>
      </c>
      <c r="R385" s="109" t="s">
        <v>442</v>
      </c>
      <c r="S385" s="109" t="s">
        <v>2933</v>
      </c>
      <c r="T385" s="109" t="s">
        <v>2934</v>
      </c>
      <c r="U385" s="109" t="s">
        <v>1062</v>
      </c>
      <c r="V385" s="109" t="s">
        <v>1150</v>
      </c>
      <c r="X385" s="109" t="s">
        <v>1980</v>
      </c>
    </row>
    <row r="386" spans="1:24" ht="13">
      <c r="A386" s="146">
        <v>43846.639890856481</v>
      </c>
      <c r="B386" s="109" t="s">
        <v>1315</v>
      </c>
      <c r="C386" s="109" t="s">
        <v>2936</v>
      </c>
      <c r="D386" s="109" t="s">
        <v>2937</v>
      </c>
      <c r="E386" s="109" t="s">
        <v>1318</v>
      </c>
      <c r="F386" s="109" t="s">
        <v>492</v>
      </c>
      <c r="G386" s="109" t="s">
        <v>1219</v>
      </c>
      <c r="H386" s="109" t="s">
        <v>63</v>
      </c>
      <c r="I386" s="109" t="s">
        <v>400</v>
      </c>
      <c r="J386" s="109" t="s">
        <v>251</v>
      </c>
      <c r="K386" s="109" t="s">
        <v>401</v>
      </c>
      <c r="L386" s="109" t="s">
        <v>163</v>
      </c>
      <c r="M386" s="109" t="s">
        <v>136</v>
      </c>
      <c r="O386" s="109" t="s">
        <v>130</v>
      </c>
      <c r="P386" s="109" t="s">
        <v>310</v>
      </c>
      <c r="R386" s="109" t="s">
        <v>405</v>
      </c>
      <c r="S386" s="109" t="s">
        <v>2939</v>
      </c>
      <c r="T386" s="109" t="s">
        <v>2940</v>
      </c>
      <c r="U386" s="109" t="s">
        <v>1036</v>
      </c>
      <c r="V386" s="109" t="s">
        <v>1091</v>
      </c>
      <c r="X386" s="109" t="s">
        <v>1687</v>
      </c>
    </row>
    <row r="387" spans="1:24" ht="13">
      <c r="A387" s="146">
        <v>43846.65032980324</v>
      </c>
      <c r="B387" s="109" t="s">
        <v>2942</v>
      </c>
      <c r="C387" s="109" t="s">
        <v>2943</v>
      </c>
      <c r="D387" s="109" t="s">
        <v>2944</v>
      </c>
      <c r="E387" s="109" t="s">
        <v>2945</v>
      </c>
      <c r="F387" s="109" t="s">
        <v>492</v>
      </c>
      <c r="G387" s="109" t="s">
        <v>2632</v>
      </c>
      <c r="H387" s="109" t="s">
        <v>63</v>
      </c>
      <c r="I387" s="109" t="s">
        <v>400</v>
      </c>
      <c r="J387" s="109" t="s">
        <v>251</v>
      </c>
      <c r="K387" s="109" t="s">
        <v>136</v>
      </c>
      <c r="L387" s="109" t="s">
        <v>401</v>
      </c>
      <c r="M387" s="109" t="s">
        <v>163</v>
      </c>
      <c r="N387" s="109" t="s">
        <v>2946</v>
      </c>
      <c r="O387" s="109" t="s">
        <v>130</v>
      </c>
      <c r="R387" s="109" t="s">
        <v>451</v>
      </c>
      <c r="S387" s="109" t="s">
        <v>2947</v>
      </c>
      <c r="T387" s="109" t="s">
        <v>2948</v>
      </c>
      <c r="U387" s="109" t="s">
        <v>1062</v>
      </c>
      <c r="V387" s="109" t="s">
        <v>1091</v>
      </c>
      <c r="W387" s="109" t="s">
        <v>1104</v>
      </c>
      <c r="X387" s="109" t="s">
        <v>1888</v>
      </c>
    </row>
    <row r="388" spans="1:24" ht="13">
      <c r="A388" s="146">
        <v>43847.437877812496</v>
      </c>
      <c r="B388" s="109" t="s">
        <v>2770</v>
      </c>
      <c r="C388" s="109" t="s">
        <v>2771</v>
      </c>
      <c r="D388" s="109" t="s">
        <v>2772</v>
      </c>
      <c r="E388" s="109" t="s">
        <v>2773</v>
      </c>
      <c r="F388" s="109" t="s">
        <v>461</v>
      </c>
      <c r="G388" s="109" t="s">
        <v>1022</v>
      </c>
      <c r="H388" s="109" t="s">
        <v>63</v>
      </c>
      <c r="I388" s="109" t="s">
        <v>251</v>
      </c>
      <c r="N388" s="109" t="s">
        <v>2774</v>
      </c>
      <c r="O388" s="109" t="s">
        <v>117</v>
      </c>
      <c r="P388" s="109" t="s">
        <v>2775</v>
      </c>
      <c r="R388" s="109" t="s">
        <v>451</v>
      </c>
      <c r="S388" s="109" t="s">
        <v>2776</v>
      </c>
      <c r="T388" s="109" t="s">
        <v>2777</v>
      </c>
      <c r="U388" s="109" t="s">
        <v>1027</v>
      </c>
      <c r="V388" s="109" t="s">
        <v>1028</v>
      </c>
      <c r="X388" s="109" t="s">
        <v>2778</v>
      </c>
    </row>
    <row r="389" spans="1:24" ht="13">
      <c r="A389" s="146">
        <v>43847.669551747684</v>
      </c>
      <c r="B389" s="109" t="s">
        <v>2950</v>
      </c>
      <c r="C389" s="109" t="s">
        <v>704</v>
      </c>
      <c r="D389" s="109" t="s">
        <v>2951</v>
      </c>
      <c r="E389" s="109" t="s">
        <v>2952</v>
      </c>
      <c r="F389" s="109" t="s">
        <v>1068</v>
      </c>
      <c r="G389" s="109" t="s">
        <v>1101</v>
      </c>
      <c r="H389" s="109" t="s">
        <v>63</v>
      </c>
      <c r="I389" s="109" t="s">
        <v>400</v>
      </c>
      <c r="J389" s="109" t="s">
        <v>251</v>
      </c>
      <c r="N389" s="109" t="s">
        <v>2953</v>
      </c>
      <c r="O389" s="109" t="s">
        <v>130</v>
      </c>
      <c r="P389" s="109" t="s">
        <v>2954</v>
      </c>
      <c r="R389" s="109" t="s">
        <v>405</v>
      </c>
      <c r="S389" s="109" t="s">
        <v>2955</v>
      </c>
      <c r="T389" s="109" t="s">
        <v>2956</v>
      </c>
      <c r="U389" s="109" t="s">
        <v>1053</v>
      </c>
      <c r="V389" s="109" t="s">
        <v>2702</v>
      </c>
      <c r="W389" s="109" t="s">
        <v>717</v>
      </c>
      <c r="X389" s="109" t="s">
        <v>1687</v>
      </c>
    </row>
    <row r="390" spans="1:24" ht="13">
      <c r="A390" s="146">
        <v>43847.821583263889</v>
      </c>
      <c r="B390" s="109" t="s">
        <v>2957</v>
      </c>
      <c r="C390" s="109" t="s">
        <v>704</v>
      </c>
      <c r="E390" s="109" t="s">
        <v>2958</v>
      </c>
      <c r="F390" s="109" t="s">
        <v>1068</v>
      </c>
      <c r="G390" s="109" t="s">
        <v>1049</v>
      </c>
      <c r="H390" s="109" t="s">
        <v>63</v>
      </c>
      <c r="I390" s="109" t="s">
        <v>400</v>
      </c>
      <c r="J390" s="109" t="s">
        <v>251</v>
      </c>
      <c r="N390" s="109" t="s">
        <v>2959</v>
      </c>
      <c r="O390" s="109" t="s">
        <v>403</v>
      </c>
      <c r="P390" s="109" t="s">
        <v>2961</v>
      </c>
      <c r="R390" s="109" t="s">
        <v>405</v>
      </c>
      <c r="S390" s="109" t="s">
        <v>2962</v>
      </c>
      <c r="T390" s="109" t="s">
        <v>2956</v>
      </c>
      <c r="U390" s="109" t="s">
        <v>1133</v>
      </c>
      <c r="V390" s="109" t="s">
        <v>1091</v>
      </c>
      <c r="W390" s="109" t="s">
        <v>1104</v>
      </c>
      <c r="X390" s="109" t="s">
        <v>2301</v>
      </c>
    </row>
    <row r="391" spans="1:24" ht="13">
      <c r="A391" s="146">
        <v>43851.400375983794</v>
      </c>
      <c r="B391" s="109" t="s">
        <v>2964</v>
      </c>
      <c r="C391" s="109" t="s">
        <v>2965</v>
      </c>
      <c r="D391" s="109" t="s">
        <v>2966</v>
      </c>
      <c r="E391" s="109" t="s">
        <v>2967</v>
      </c>
      <c r="F391" s="109" t="s">
        <v>410</v>
      </c>
      <c r="G391" s="109" t="s">
        <v>1101</v>
      </c>
      <c r="H391" s="109" t="s">
        <v>202</v>
      </c>
      <c r="I391" s="109" t="s">
        <v>401</v>
      </c>
      <c r="J391" s="109" t="s">
        <v>136</v>
      </c>
      <c r="K391" s="109" t="s">
        <v>400</v>
      </c>
      <c r="L391" s="109" t="s">
        <v>251</v>
      </c>
      <c r="N391" s="109" t="s">
        <v>2968</v>
      </c>
      <c r="O391" s="109" t="s">
        <v>117</v>
      </c>
      <c r="P391" s="109" t="s">
        <v>2969</v>
      </c>
      <c r="R391" s="109" t="s">
        <v>405</v>
      </c>
      <c r="S391" s="109" t="s">
        <v>2970</v>
      </c>
      <c r="T391" s="109" t="s">
        <v>2971</v>
      </c>
      <c r="U391" s="109" t="s">
        <v>1027</v>
      </c>
      <c r="V391" s="109" t="s">
        <v>1150</v>
      </c>
      <c r="W391" s="109" t="s">
        <v>2972</v>
      </c>
      <c r="X391" s="109" t="s">
        <v>1677</v>
      </c>
    </row>
    <row r="392" spans="1:24" ht="13">
      <c r="A392" s="146">
        <v>43851.415571122685</v>
      </c>
      <c r="B392" s="109" t="s">
        <v>2964</v>
      </c>
      <c r="C392" s="109" t="s">
        <v>2965</v>
      </c>
      <c r="D392" s="109" t="s">
        <v>2966</v>
      </c>
      <c r="E392" s="109" t="s">
        <v>2967</v>
      </c>
      <c r="F392" s="109" t="s">
        <v>410</v>
      </c>
      <c r="G392" s="109" t="s">
        <v>1101</v>
      </c>
      <c r="H392" s="109" t="s">
        <v>202</v>
      </c>
      <c r="I392" s="109" t="s">
        <v>401</v>
      </c>
      <c r="J392" s="109" t="s">
        <v>136</v>
      </c>
      <c r="K392" s="109" t="s">
        <v>400</v>
      </c>
      <c r="L392" s="109" t="s">
        <v>251</v>
      </c>
      <c r="N392" s="109" t="s">
        <v>2968</v>
      </c>
      <c r="O392" s="109" t="s">
        <v>117</v>
      </c>
      <c r="P392" s="109" t="s">
        <v>2969</v>
      </c>
      <c r="R392" s="109" t="s">
        <v>405</v>
      </c>
      <c r="S392" s="109" t="s">
        <v>2970</v>
      </c>
      <c r="T392" s="109" t="s">
        <v>2971</v>
      </c>
      <c r="U392" s="109" t="s">
        <v>1027</v>
      </c>
      <c r="V392" s="109" t="s">
        <v>1150</v>
      </c>
      <c r="W392" s="109" t="s">
        <v>2972</v>
      </c>
      <c r="X392" s="109" t="s">
        <v>1677</v>
      </c>
    </row>
    <row r="393" spans="1:24" ht="13">
      <c r="A393" s="146">
        <v>43851.816404606478</v>
      </c>
      <c r="B393" s="109" t="s">
        <v>2973</v>
      </c>
      <c r="C393" s="109" t="s">
        <v>2974</v>
      </c>
      <c r="D393" s="109" t="s">
        <v>2975</v>
      </c>
      <c r="E393" s="109" t="s">
        <v>2977</v>
      </c>
      <c r="F393" s="109" t="s">
        <v>492</v>
      </c>
      <c r="G393" s="109" t="s">
        <v>1101</v>
      </c>
      <c r="H393" s="109" t="s">
        <v>63</v>
      </c>
      <c r="I393" s="109" t="s">
        <v>251</v>
      </c>
      <c r="J393" s="109" t="s">
        <v>401</v>
      </c>
      <c r="K393" s="109" t="s">
        <v>400</v>
      </c>
      <c r="L393" s="109" t="s">
        <v>163</v>
      </c>
      <c r="N393" s="109" t="s">
        <v>2978</v>
      </c>
      <c r="O393" s="109" t="s">
        <v>403</v>
      </c>
      <c r="P393" s="109" t="s">
        <v>2979</v>
      </c>
      <c r="R393" s="109" t="s">
        <v>442</v>
      </c>
      <c r="S393" s="109" t="s">
        <v>2980</v>
      </c>
      <c r="T393" s="109" t="s">
        <v>2979</v>
      </c>
      <c r="U393" s="109" t="s">
        <v>1766</v>
      </c>
      <c r="V393" s="109" t="s">
        <v>1091</v>
      </c>
      <c r="W393" s="109" t="s">
        <v>1104</v>
      </c>
      <c r="X393" s="109" t="s">
        <v>1888</v>
      </c>
    </row>
    <row r="394" spans="1:24" ht="13">
      <c r="A394" s="146">
        <v>43852.431576759263</v>
      </c>
      <c r="B394" s="109" t="s">
        <v>2981</v>
      </c>
      <c r="C394" s="109" t="s">
        <v>2982</v>
      </c>
      <c r="D394" s="109" t="s">
        <v>2983</v>
      </c>
      <c r="E394" s="109" t="s">
        <v>2984</v>
      </c>
      <c r="F394" s="109" t="s">
        <v>2985</v>
      </c>
      <c r="G394" s="109" t="s">
        <v>2986</v>
      </c>
      <c r="H394" s="109" t="s">
        <v>63</v>
      </c>
      <c r="I394" s="109" t="s">
        <v>400</v>
      </c>
      <c r="J394" s="109" t="s">
        <v>251</v>
      </c>
      <c r="K394" s="109" t="s">
        <v>136</v>
      </c>
      <c r="L394" s="109" t="s">
        <v>163</v>
      </c>
      <c r="M394" s="109" t="s">
        <v>401</v>
      </c>
      <c r="N394" s="109" t="s">
        <v>2987</v>
      </c>
      <c r="O394" s="109" t="s">
        <v>403</v>
      </c>
      <c r="S394" s="109" t="s">
        <v>2988</v>
      </c>
      <c r="T394" s="109" t="s">
        <v>2989</v>
      </c>
      <c r="U394" s="109" t="s">
        <v>1097</v>
      </c>
      <c r="V394" s="109" t="s">
        <v>1028</v>
      </c>
      <c r="X394" s="109" t="s">
        <v>2990</v>
      </c>
    </row>
    <row r="395" spans="1:24" ht="13">
      <c r="A395" s="146">
        <v>43852.752405405088</v>
      </c>
      <c r="B395" s="109" t="s">
        <v>2991</v>
      </c>
      <c r="C395" s="109" t="s">
        <v>2992</v>
      </c>
      <c r="E395" s="109" t="s">
        <v>2993</v>
      </c>
      <c r="F395" s="109" t="s">
        <v>461</v>
      </c>
      <c r="G395" s="109" t="s">
        <v>1022</v>
      </c>
      <c r="H395" s="109" t="s">
        <v>63</v>
      </c>
      <c r="I395" s="109" t="s">
        <v>400</v>
      </c>
      <c r="J395" s="109" t="s">
        <v>251</v>
      </c>
      <c r="N395" s="109" t="s">
        <v>2994</v>
      </c>
      <c r="O395" s="109" t="s">
        <v>117</v>
      </c>
      <c r="R395" s="109" t="s">
        <v>451</v>
      </c>
      <c r="S395" s="109" t="s">
        <v>2995</v>
      </c>
      <c r="U395" s="109" t="s">
        <v>1097</v>
      </c>
      <c r="V395" s="109" t="s">
        <v>1028</v>
      </c>
      <c r="X395" s="109" t="s">
        <v>2996</v>
      </c>
    </row>
    <row r="396" spans="1:24" ht="13">
      <c r="A396" s="146">
        <v>43853.673584606484</v>
      </c>
      <c r="B396" s="109" t="s">
        <v>2997</v>
      </c>
      <c r="C396" s="109" t="s">
        <v>267</v>
      </c>
      <c r="D396" s="109" t="s">
        <v>2998</v>
      </c>
      <c r="E396" s="109" t="s">
        <v>2999</v>
      </c>
      <c r="F396" s="109" t="s">
        <v>3000</v>
      </c>
      <c r="G396" s="109" t="s">
        <v>1101</v>
      </c>
      <c r="H396" s="109" t="s">
        <v>3001</v>
      </c>
      <c r="I396" s="109" t="s">
        <v>400</v>
      </c>
      <c r="J396" s="109" t="s">
        <v>401</v>
      </c>
      <c r="K396" s="109" t="s">
        <v>251</v>
      </c>
      <c r="L396" s="109" t="s">
        <v>136</v>
      </c>
      <c r="M396" s="109" t="s">
        <v>163</v>
      </c>
      <c r="N396" s="109" t="s">
        <v>130</v>
      </c>
      <c r="O396" s="109" t="s">
        <v>403</v>
      </c>
      <c r="P396" s="109" t="s">
        <v>3002</v>
      </c>
      <c r="R396" s="109" t="s">
        <v>451</v>
      </c>
      <c r="S396" s="109" t="s">
        <v>3003</v>
      </c>
      <c r="T396" s="109" t="s">
        <v>3004</v>
      </c>
      <c r="U396" s="109" t="s">
        <v>1062</v>
      </c>
      <c r="V396" s="109" t="s">
        <v>1293</v>
      </c>
      <c r="X396" s="109" t="s">
        <v>1980</v>
      </c>
    </row>
    <row r="397" spans="1:24" ht="13">
      <c r="A397" s="146">
        <v>43855.670799490741</v>
      </c>
      <c r="B397" s="109" t="s">
        <v>3006</v>
      </c>
      <c r="C397" s="109" t="s">
        <v>3007</v>
      </c>
      <c r="D397" s="109" t="s">
        <v>3008</v>
      </c>
      <c r="E397" s="109" t="s">
        <v>3009</v>
      </c>
      <c r="F397" s="109" t="s">
        <v>418</v>
      </c>
      <c r="G397" s="109" t="s">
        <v>1101</v>
      </c>
      <c r="H397" s="109" t="s">
        <v>3001</v>
      </c>
      <c r="I397" s="109" t="s">
        <v>136</v>
      </c>
      <c r="J397" s="109" t="s">
        <v>251</v>
      </c>
      <c r="K397" s="109" t="s">
        <v>163</v>
      </c>
      <c r="L397" s="109" t="s">
        <v>401</v>
      </c>
      <c r="M397" s="109" t="s">
        <v>400</v>
      </c>
      <c r="N397" s="109" t="s">
        <v>3010</v>
      </c>
      <c r="O397" s="109" t="s">
        <v>117</v>
      </c>
      <c r="P397" s="109" t="s">
        <v>3011</v>
      </c>
      <c r="R397" s="109" t="s">
        <v>451</v>
      </c>
      <c r="S397" s="109" t="s">
        <v>3012</v>
      </c>
      <c r="T397" s="109" t="s">
        <v>3014</v>
      </c>
      <c r="U397" s="109" t="s">
        <v>1133</v>
      </c>
      <c r="V397" s="109" t="s">
        <v>3015</v>
      </c>
      <c r="W397" s="109" t="s">
        <v>3016</v>
      </c>
      <c r="X397" s="109" t="s">
        <v>3017</v>
      </c>
    </row>
    <row r="398" spans="1:24" ht="13">
      <c r="A398" s="146">
        <v>43855.81422399306</v>
      </c>
      <c r="B398" s="109" t="s">
        <v>3018</v>
      </c>
      <c r="C398" s="109" t="s">
        <v>613</v>
      </c>
      <c r="D398" s="109" t="s">
        <v>3019</v>
      </c>
      <c r="E398" s="109" t="s">
        <v>3020</v>
      </c>
      <c r="F398" s="109" t="s">
        <v>431</v>
      </c>
      <c r="G398" s="109" t="s">
        <v>3021</v>
      </c>
      <c r="H398" s="109" t="s">
        <v>3022</v>
      </c>
      <c r="I398" s="109" t="s">
        <v>251</v>
      </c>
      <c r="J398" s="109" t="s">
        <v>400</v>
      </c>
      <c r="K398" s="109" t="s">
        <v>401</v>
      </c>
      <c r="L398" s="109" t="s">
        <v>163</v>
      </c>
      <c r="N398" s="109" t="s">
        <v>3024</v>
      </c>
      <c r="O398" s="109" t="s">
        <v>117</v>
      </c>
      <c r="P398" s="109" t="s">
        <v>3025</v>
      </c>
      <c r="R398" s="109" t="s">
        <v>405</v>
      </c>
      <c r="T398" s="109" t="s">
        <v>3026</v>
      </c>
      <c r="U398" s="109" t="s">
        <v>1027</v>
      </c>
      <c r="V398" s="109" t="s">
        <v>1028</v>
      </c>
      <c r="W398" s="109" t="s">
        <v>1081</v>
      </c>
      <c r="X398" s="109" t="s">
        <v>3027</v>
      </c>
    </row>
    <row r="399" spans="1:24" ht="13">
      <c r="A399" s="146">
        <v>43856.767513275467</v>
      </c>
      <c r="B399" s="109" t="s">
        <v>3028</v>
      </c>
      <c r="C399" s="109" t="s">
        <v>1170</v>
      </c>
      <c r="D399" s="109" t="s">
        <v>3029</v>
      </c>
      <c r="E399" s="109" t="s">
        <v>3030</v>
      </c>
      <c r="F399" s="109" t="s">
        <v>701</v>
      </c>
      <c r="G399" s="109" t="s">
        <v>1465</v>
      </c>
      <c r="H399" s="109" t="s">
        <v>3022</v>
      </c>
      <c r="I399" s="109" t="s">
        <v>251</v>
      </c>
      <c r="J399" s="109" t="s">
        <v>401</v>
      </c>
      <c r="K399" s="109" t="s">
        <v>400</v>
      </c>
      <c r="L399" s="109" t="s">
        <v>163</v>
      </c>
      <c r="M399" s="109" t="s">
        <v>136</v>
      </c>
      <c r="O399" s="109" t="s">
        <v>403</v>
      </c>
      <c r="R399" s="109" t="s">
        <v>451</v>
      </c>
      <c r="S399" s="109" t="s">
        <v>3032</v>
      </c>
      <c r="T399" s="109" t="s">
        <v>3033</v>
      </c>
      <c r="U399" s="109" t="s">
        <v>1133</v>
      </c>
      <c r="V399" s="109" t="s">
        <v>1293</v>
      </c>
      <c r="X399" s="109" t="s">
        <v>2677</v>
      </c>
    </row>
    <row r="400" spans="1:24" ht="13">
      <c r="A400" s="146">
        <v>43859.264838287039</v>
      </c>
      <c r="B400" s="109" t="s">
        <v>2317</v>
      </c>
      <c r="C400" s="109" t="s">
        <v>2318</v>
      </c>
      <c r="E400" s="109" t="s">
        <v>2319</v>
      </c>
      <c r="F400" s="109" t="s">
        <v>701</v>
      </c>
      <c r="G400" s="109" t="s">
        <v>1022</v>
      </c>
      <c r="H400" s="109" t="s">
        <v>3001</v>
      </c>
      <c r="I400" s="109" t="s">
        <v>400</v>
      </c>
      <c r="J400" s="109" t="s">
        <v>251</v>
      </c>
      <c r="K400" s="109" t="s">
        <v>136</v>
      </c>
      <c r="L400" s="109" t="s">
        <v>163</v>
      </c>
      <c r="M400" s="109" t="s">
        <v>401</v>
      </c>
      <c r="O400" s="109" t="s">
        <v>403</v>
      </c>
      <c r="P400" s="109" t="s">
        <v>3034</v>
      </c>
      <c r="R400" s="109" t="s">
        <v>451</v>
      </c>
      <c r="S400" s="109" t="s">
        <v>3035</v>
      </c>
      <c r="U400" s="109" t="s">
        <v>1027</v>
      </c>
      <c r="V400" s="109" t="s">
        <v>1091</v>
      </c>
      <c r="X400" s="109" t="s">
        <v>3036</v>
      </c>
    </row>
    <row r="401" spans="1:25" ht="13">
      <c r="A401" s="146">
        <v>43860.451924502311</v>
      </c>
      <c r="B401" s="109" t="s">
        <v>3037</v>
      </c>
      <c r="C401" s="109" t="s">
        <v>2771</v>
      </c>
      <c r="D401" s="109" t="s">
        <v>3038</v>
      </c>
      <c r="E401" s="109" t="s">
        <v>3039</v>
      </c>
      <c r="F401" s="109" t="s">
        <v>418</v>
      </c>
      <c r="G401" s="109" t="s">
        <v>1101</v>
      </c>
      <c r="H401" s="109" t="s">
        <v>3001</v>
      </c>
      <c r="I401" s="109" t="s">
        <v>251</v>
      </c>
      <c r="J401" s="109" t="s">
        <v>400</v>
      </c>
      <c r="K401" s="109" t="s">
        <v>401</v>
      </c>
      <c r="N401" s="109" t="s">
        <v>3041</v>
      </c>
      <c r="O401" s="109" t="s">
        <v>403</v>
      </c>
      <c r="P401" s="109" t="s">
        <v>3042</v>
      </c>
      <c r="R401" s="109" t="s">
        <v>405</v>
      </c>
      <c r="S401" s="109" t="s">
        <v>3043</v>
      </c>
      <c r="T401" s="109" t="s">
        <v>3044</v>
      </c>
      <c r="U401" s="109" t="s">
        <v>1027</v>
      </c>
      <c r="V401" s="109" t="s">
        <v>1028</v>
      </c>
      <c r="X401" s="109" t="s">
        <v>3045</v>
      </c>
    </row>
    <row r="402" spans="1:25" ht="13">
      <c r="A402" s="146">
        <v>43861.467030115746</v>
      </c>
      <c r="B402" s="109" t="s">
        <v>3047</v>
      </c>
      <c r="C402" s="109" t="s">
        <v>3048</v>
      </c>
      <c r="D402" s="109" t="s">
        <v>3049</v>
      </c>
      <c r="E402" s="109" t="s">
        <v>3050</v>
      </c>
      <c r="F402" s="109" t="s">
        <v>1021</v>
      </c>
      <c r="G402" s="109" t="s">
        <v>1465</v>
      </c>
      <c r="H402" s="109" t="s">
        <v>3001</v>
      </c>
      <c r="I402" s="109" t="s">
        <v>251</v>
      </c>
      <c r="J402" s="109" t="s">
        <v>400</v>
      </c>
      <c r="N402" s="109" t="s">
        <v>3052</v>
      </c>
      <c r="O402" s="109" t="s">
        <v>130</v>
      </c>
      <c r="R402" s="109" t="s">
        <v>442</v>
      </c>
      <c r="S402" s="109" t="s">
        <v>3053</v>
      </c>
      <c r="T402" s="109" t="s">
        <v>3054</v>
      </c>
      <c r="U402" s="109" t="s">
        <v>1027</v>
      </c>
      <c r="V402" s="109" t="s">
        <v>1091</v>
      </c>
      <c r="X402" s="109" t="s">
        <v>3056</v>
      </c>
    </row>
    <row r="403" spans="1:25" ht="13">
      <c r="A403" s="146">
        <v>43861.726854016204</v>
      </c>
      <c r="B403" s="109" t="s">
        <v>3057</v>
      </c>
      <c r="C403" s="109" t="s">
        <v>1170</v>
      </c>
      <c r="D403" s="109" t="s">
        <v>3058</v>
      </c>
      <c r="E403" s="109" t="s">
        <v>3059</v>
      </c>
      <c r="F403" s="109" t="s">
        <v>701</v>
      </c>
      <c r="G403" s="109" t="s">
        <v>1022</v>
      </c>
      <c r="H403" s="109" t="s">
        <v>3001</v>
      </c>
      <c r="I403" s="109" t="s">
        <v>400</v>
      </c>
      <c r="J403" s="109" t="s">
        <v>251</v>
      </c>
      <c r="K403" s="109" t="s">
        <v>136</v>
      </c>
      <c r="L403" s="109" t="s">
        <v>163</v>
      </c>
      <c r="M403" s="109" t="s">
        <v>401</v>
      </c>
      <c r="O403" s="109" t="s">
        <v>117</v>
      </c>
      <c r="R403" s="109" t="s">
        <v>451</v>
      </c>
      <c r="S403" s="109" t="s">
        <v>3060</v>
      </c>
      <c r="T403" s="109" t="s">
        <v>717</v>
      </c>
      <c r="U403" s="109" t="s">
        <v>1097</v>
      </c>
      <c r="V403" s="109" t="s">
        <v>1091</v>
      </c>
      <c r="X403" s="109" t="s">
        <v>2301</v>
      </c>
    </row>
    <row r="404" spans="1:25" ht="13">
      <c r="A404" s="146">
        <v>43864.262984016204</v>
      </c>
      <c r="B404" s="109" t="s">
        <v>3062</v>
      </c>
      <c r="C404" s="109" t="s">
        <v>3063</v>
      </c>
      <c r="E404" s="109" t="s">
        <v>3064</v>
      </c>
      <c r="F404" s="109" t="s">
        <v>461</v>
      </c>
      <c r="G404" s="109" t="s">
        <v>1022</v>
      </c>
      <c r="H404" s="109" t="s">
        <v>3022</v>
      </c>
      <c r="I404" s="109" t="s">
        <v>251</v>
      </c>
      <c r="J404" s="109" t="s">
        <v>163</v>
      </c>
      <c r="K404" s="109" t="s">
        <v>400</v>
      </c>
      <c r="N404" s="109" t="s">
        <v>3066</v>
      </c>
      <c r="O404" s="109" t="s">
        <v>117</v>
      </c>
      <c r="P404" s="109" t="s">
        <v>3067</v>
      </c>
      <c r="R404" s="109" t="s">
        <v>451</v>
      </c>
      <c r="T404" s="109" t="s">
        <v>3069</v>
      </c>
      <c r="U404" s="109" t="s">
        <v>1097</v>
      </c>
      <c r="V404" s="109" t="s">
        <v>1150</v>
      </c>
      <c r="X404" s="109" t="s">
        <v>3070</v>
      </c>
    </row>
    <row r="405" spans="1:25" ht="13">
      <c r="Y405" s="118"/>
    </row>
    <row r="406" spans="1:25" ht="13">
      <c r="Y406" s="118"/>
    </row>
    <row r="407" spans="1:25" ht="13">
      <c r="Y407" s="118"/>
    </row>
    <row r="408" spans="1:25" ht="13">
      <c r="Y408" s="118"/>
    </row>
    <row r="409" spans="1:25" ht="13">
      <c r="Y409" s="118"/>
    </row>
    <row r="410" spans="1:25" ht="13">
      <c r="Y410" s="118"/>
    </row>
    <row r="411" spans="1:25" ht="13">
      <c r="Y411" s="118"/>
    </row>
    <row r="412" spans="1:25" ht="13">
      <c r="Y412" s="118"/>
    </row>
    <row r="413" spans="1:25" ht="13">
      <c r="Y413" s="118"/>
    </row>
    <row r="414" spans="1:25" ht="13">
      <c r="Y414" s="118"/>
    </row>
    <row r="415" spans="1:25" ht="13">
      <c r="Y415" s="118"/>
    </row>
    <row r="416" spans="1:25" ht="13">
      <c r="Y416" s="118"/>
    </row>
    <row r="417" spans="25:25" ht="13">
      <c r="Y417" s="118"/>
    </row>
    <row r="418" spans="25:25" ht="13">
      <c r="Y418" s="118"/>
    </row>
    <row r="419" spans="25:25" ht="13">
      <c r="Y419" s="118"/>
    </row>
    <row r="420" spans="25:25" ht="13">
      <c r="Y420" s="118"/>
    </row>
    <row r="421" spans="25:25" ht="13">
      <c r="Y421" s="118"/>
    </row>
    <row r="422" spans="25:25" ht="13">
      <c r="Y422" s="118"/>
    </row>
    <row r="423" spans="25:25" ht="13">
      <c r="Y423" s="118"/>
    </row>
    <row r="424" spans="25:25" ht="13">
      <c r="Y424" s="118"/>
    </row>
    <row r="425" spans="25:25" ht="13">
      <c r="Y425" s="118"/>
    </row>
    <row r="426" spans="25:25" ht="13">
      <c r="Y426" s="118"/>
    </row>
    <row r="427" spans="25:25" ht="13">
      <c r="Y427" s="118"/>
    </row>
    <row r="428" spans="25:25" ht="13">
      <c r="Y428" s="118"/>
    </row>
    <row r="429" spans="25:25" ht="13">
      <c r="Y429" s="118"/>
    </row>
    <row r="430" spans="25:25" ht="13">
      <c r="Y430" s="118"/>
    </row>
    <row r="431" spans="25:25" ht="13">
      <c r="Y431" s="118"/>
    </row>
    <row r="432" spans="25:25" ht="13">
      <c r="Y432" s="118"/>
    </row>
    <row r="433" spans="25:25" ht="13">
      <c r="Y433" s="118"/>
    </row>
    <row r="434" spans="25:25" ht="13">
      <c r="Y434" s="118"/>
    </row>
    <row r="435" spans="25:25" ht="13">
      <c r="Y435" s="118"/>
    </row>
    <row r="436" spans="25:25" ht="13">
      <c r="Y436" s="118"/>
    </row>
    <row r="437" spans="25:25" ht="13">
      <c r="Y437" s="118"/>
    </row>
    <row r="438" spans="25:25" ht="13">
      <c r="Y438" s="118"/>
    </row>
    <row r="439" spans="25:25" ht="13">
      <c r="Y439" s="118"/>
    </row>
    <row r="440" spans="25:25" ht="13">
      <c r="Y440" s="118"/>
    </row>
    <row r="441" spans="25:25" ht="13">
      <c r="Y441" s="118"/>
    </row>
    <row r="442" spans="25:25" ht="13">
      <c r="Y442" s="118"/>
    </row>
    <row r="443" spans="25:25" ht="13">
      <c r="Y443" s="118"/>
    </row>
    <row r="444" spans="25:25" ht="13">
      <c r="Y444" s="118"/>
    </row>
    <row r="445" spans="25:25" ht="13">
      <c r="Y445" s="118"/>
    </row>
    <row r="446" spans="25:25" ht="13">
      <c r="Y446" s="118"/>
    </row>
    <row r="447" spans="25:25" ht="13">
      <c r="Y447" s="118"/>
    </row>
    <row r="448" spans="25:25" ht="13">
      <c r="Y448" s="118"/>
    </row>
    <row r="449" spans="25:25" ht="13">
      <c r="Y449" s="118"/>
    </row>
    <row r="450" spans="25:25" ht="13">
      <c r="Y450" s="118"/>
    </row>
    <row r="451" spans="25:25" ht="13">
      <c r="Y451" s="118"/>
    </row>
    <row r="452" spans="25:25" ht="13">
      <c r="Y452" s="118"/>
    </row>
    <row r="453" spans="25:25" ht="13">
      <c r="Y453" s="118"/>
    </row>
    <row r="454" spans="25:25" ht="13">
      <c r="Y454" s="118"/>
    </row>
    <row r="455" spans="25:25" ht="13">
      <c r="Y455" s="118"/>
    </row>
    <row r="456" spans="25:25" ht="13">
      <c r="Y456" s="118"/>
    </row>
    <row r="457" spans="25:25" ht="13">
      <c r="Y457" s="118"/>
    </row>
    <row r="458" spans="25:25" ht="13">
      <c r="Y458" s="118"/>
    </row>
    <row r="459" spans="25:25" ht="13">
      <c r="Y459" s="118"/>
    </row>
    <row r="460" spans="25:25" ht="13">
      <c r="Y460" s="118"/>
    </row>
    <row r="461" spans="25:25" ht="13">
      <c r="Y461" s="118"/>
    </row>
    <row r="462" spans="25:25" ht="13">
      <c r="Y462" s="118"/>
    </row>
    <row r="463" spans="25:25" ht="13">
      <c r="Y463" s="118"/>
    </row>
    <row r="464" spans="25:25" ht="13">
      <c r="Y464" s="118"/>
    </row>
    <row r="465" spans="25:25" ht="13">
      <c r="Y465" s="118"/>
    </row>
    <row r="466" spans="25:25" ht="13">
      <c r="Y466" s="118"/>
    </row>
    <row r="467" spans="25:25" ht="13">
      <c r="Y467" s="118"/>
    </row>
    <row r="468" spans="25:25" ht="13">
      <c r="Y468" s="118"/>
    </row>
    <row r="469" spans="25:25" ht="13">
      <c r="Y469" s="118"/>
    </row>
    <row r="470" spans="25:25" ht="13">
      <c r="Y470" s="118"/>
    </row>
    <row r="471" spans="25:25" ht="13">
      <c r="Y471" s="118"/>
    </row>
    <row r="472" spans="25:25" ht="13">
      <c r="Y472" s="118"/>
    </row>
    <row r="473" spans="25:25" ht="13">
      <c r="Y473" s="118"/>
    </row>
    <row r="474" spans="25:25" ht="13">
      <c r="Y474" s="118"/>
    </row>
    <row r="475" spans="25:25" ht="13">
      <c r="Y475" s="118"/>
    </row>
    <row r="476" spans="25:25" ht="13">
      <c r="Y476" s="118"/>
    </row>
    <row r="477" spans="25:25" ht="13">
      <c r="Y477" s="118"/>
    </row>
    <row r="478" spans="25:25" ht="13">
      <c r="Y478" s="118"/>
    </row>
    <row r="479" spans="25:25" ht="13">
      <c r="Y479" s="118"/>
    </row>
    <row r="480" spans="25:25" ht="13">
      <c r="Y480" s="118"/>
    </row>
    <row r="481" spans="25:25" ht="13">
      <c r="Y481" s="118"/>
    </row>
    <row r="482" spans="25:25" ht="13">
      <c r="Y482" s="118"/>
    </row>
    <row r="483" spans="25:25" ht="13">
      <c r="Y483" s="118"/>
    </row>
    <row r="484" spans="25:25" ht="13">
      <c r="Y484" s="118"/>
    </row>
    <row r="485" spans="25:25" ht="13">
      <c r="Y485" s="118"/>
    </row>
    <row r="486" spans="25:25" ht="13">
      <c r="Y486" s="118"/>
    </row>
    <row r="487" spans="25:25" ht="13">
      <c r="Y487" s="118"/>
    </row>
    <row r="488" spans="25:25" ht="13">
      <c r="Y488" s="118"/>
    </row>
    <row r="489" spans="25:25" ht="13">
      <c r="Y489" s="118"/>
    </row>
    <row r="490" spans="25:25" ht="13">
      <c r="Y490" s="118"/>
    </row>
    <row r="491" spans="25:25" ht="13">
      <c r="Y491" s="118"/>
    </row>
    <row r="492" spans="25:25" ht="13">
      <c r="Y492" s="118"/>
    </row>
    <row r="493" spans="25:25" ht="13">
      <c r="Y493" s="118"/>
    </row>
    <row r="494" spans="25:25" ht="13">
      <c r="Y494" s="118"/>
    </row>
    <row r="495" spans="25:25" ht="13">
      <c r="Y495" s="118"/>
    </row>
    <row r="496" spans="25:25" ht="13">
      <c r="Y496" s="118"/>
    </row>
    <row r="497" spans="25:25" ht="13">
      <c r="Y497" s="118"/>
    </row>
    <row r="498" spans="25:25" ht="13">
      <c r="Y498" s="118"/>
    </row>
    <row r="499" spans="25:25" ht="13">
      <c r="Y499" s="118"/>
    </row>
    <row r="500" spans="25:25" ht="13">
      <c r="Y500" s="118"/>
    </row>
    <row r="501" spans="25:25" ht="13">
      <c r="Y501" s="118"/>
    </row>
    <row r="502" spans="25:25" ht="13">
      <c r="Y502" s="118"/>
    </row>
    <row r="503" spans="25:25" ht="13">
      <c r="Y503" s="118"/>
    </row>
    <row r="504" spans="25:25" ht="13">
      <c r="Y504" s="118"/>
    </row>
    <row r="505" spans="25:25" ht="13">
      <c r="Y505" s="118"/>
    </row>
    <row r="506" spans="25:25" ht="13">
      <c r="Y506" s="118"/>
    </row>
    <row r="507" spans="25:25" ht="13">
      <c r="Y507" s="118"/>
    </row>
    <row r="508" spans="25:25" ht="13">
      <c r="Y508" s="118"/>
    </row>
    <row r="509" spans="25:25" ht="13">
      <c r="Y509" s="118"/>
    </row>
    <row r="510" spans="25:25" ht="13">
      <c r="Y510" s="118"/>
    </row>
    <row r="511" spans="25:25" ht="13">
      <c r="Y511" s="118"/>
    </row>
    <row r="512" spans="25:25" ht="13">
      <c r="Y512" s="118"/>
    </row>
    <row r="513" spans="25:25" ht="13">
      <c r="Y513" s="118"/>
    </row>
    <row r="514" spans="25:25" ht="13">
      <c r="Y514" s="118"/>
    </row>
    <row r="515" spans="25:25" ht="13">
      <c r="Y515" s="118"/>
    </row>
    <row r="516" spans="25:25" ht="13">
      <c r="Y516" s="118"/>
    </row>
    <row r="517" spans="25:25" ht="13">
      <c r="Y517" s="118"/>
    </row>
    <row r="518" spans="25:25" ht="13">
      <c r="Y518" s="118"/>
    </row>
    <row r="519" spans="25:25" ht="13">
      <c r="Y519" s="118"/>
    </row>
    <row r="520" spans="25:25" ht="13">
      <c r="Y520" s="118"/>
    </row>
    <row r="521" spans="25:25" ht="13">
      <c r="Y521" s="118"/>
    </row>
    <row r="522" spans="25:25" ht="13">
      <c r="Y522" s="118"/>
    </row>
    <row r="523" spans="25:25" ht="13">
      <c r="Y523" s="118"/>
    </row>
    <row r="524" spans="25:25" ht="13">
      <c r="Y524" s="118"/>
    </row>
    <row r="525" spans="25:25" ht="13">
      <c r="Y525" s="118"/>
    </row>
    <row r="526" spans="25:25" ht="13">
      <c r="Y526" s="118"/>
    </row>
    <row r="527" spans="25:25" ht="13">
      <c r="Y527" s="118"/>
    </row>
    <row r="528" spans="25:25" ht="13">
      <c r="Y528" s="118"/>
    </row>
    <row r="529" spans="25:25" ht="13">
      <c r="Y529" s="118"/>
    </row>
    <row r="530" spans="25:25" ht="13">
      <c r="Y530" s="118"/>
    </row>
    <row r="531" spans="25:25" ht="13">
      <c r="Y531" s="118"/>
    </row>
    <row r="532" spans="25:25" ht="13">
      <c r="Y532" s="118"/>
    </row>
    <row r="533" spans="25:25" ht="13">
      <c r="Y533" s="118"/>
    </row>
    <row r="534" spans="25:25" ht="13">
      <c r="Y534" s="118"/>
    </row>
    <row r="535" spans="25:25" ht="13">
      <c r="Y535" s="118"/>
    </row>
    <row r="536" spans="25:25" ht="13">
      <c r="Y536" s="118"/>
    </row>
    <row r="537" spans="25:25" ht="13">
      <c r="Y537" s="118"/>
    </row>
    <row r="538" spans="25:25" ht="13">
      <c r="Y538" s="118"/>
    </row>
    <row r="539" spans="25:25" ht="13">
      <c r="Y539" s="118"/>
    </row>
    <row r="540" spans="25:25" ht="13">
      <c r="Y540" s="118"/>
    </row>
    <row r="541" spans="25:25" ht="13">
      <c r="Y541" s="118"/>
    </row>
    <row r="542" spans="25:25" ht="13">
      <c r="Y542" s="118"/>
    </row>
    <row r="543" spans="25:25" ht="13">
      <c r="Y543" s="118"/>
    </row>
    <row r="544" spans="25:25" ht="13">
      <c r="Y544" s="118"/>
    </row>
    <row r="545" spans="25:25" ht="13">
      <c r="Y545" s="118"/>
    </row>
    <row r="546" spans="25:25" ht="13">
      <c r="Y546" s="118"/>
    </row>
    <row r="547" spans="25:25" ht="13">
      <c r="Y547" s="118"/>
    </row>
    <row r="548" spans="25:25" ht="13">
      <c r="Y548" s="118"/>
    </row>
    <row r="549" spans="25:25" ht="13">
      <c r="Y549" s="118"/>
    </row>
    <row r="550" spans="25:25" ht="13">
      <c r="Y550" s="118"/>
    </row>
    <row r="551" spans="25:25" ht="13">
      <c r="Y551" s="118"/>
    </row>
    <row r="552" spans="25:25" ht="13">
      <c r="Y552" s="118"/>
    </row>
    <row r="553" spans="25:25" ht="13">
      <c r="Y553" s="118"/>
    </row>
    <row r="554" spans="25:25" ht="13">
      <c r="Y554" s="118"/>
    </row>
    <row r="555" spans="25:25" ht="13">
      <c r="Y555" s="118"/>
    </row>
    <row r="556" spans="25:25" ht="13">
      <c r="Y556" s="118"/>
    </row>
    <row r="557" spans="25:25" ht="13">
      <c r="Y557" s="118"/>
    </row>
    <row r="558" spans="25:25" ht="13">
      <c r="Y558" s="118"/>
    </row>
    <row r="559" spans="25:25" ht="13">
      <c r="Y559" s="118"/>
    </row>
    <row r="560" spans="25:25" ht="13">
      <c r="Y560" s="118"/>
    </row>
    <row r="561" spans="25:25" ht="13">
      <c r="Y561" s="118"/>
    </row>
    <row r="562" spans="25:25" ht="13">
      <c r="Y562" s="118"/>
    </row>
    <row r="563" spans="25:25" ht="13">
      <c r="Y563" s="118"/>
    </row>
    <row r="564" spans="25:25" ht="13">
      <c r="Y564" s="118"/>
    </row>
    <row r="565" spans="25:25" ht="13">
      <c r="Y565" s="118"/>
    </row>
    <row r="566" spans="25:25" ht="13">
      <c r="Y566" s="118"/>
    </row>
    <row r="567" spans="25:25" ht="13">
      <c r="Y567" s="118"/>
    </row>
    <row r="568" spans="25:25" ht="13">
      <c r="Y568" s="118"/>
    </row>
    <row r="569" spans="25:25" ht="13">
      <c r="Y569" s="118"/>
    </row>
    <row r="570" spans="25:25" ht="13">
      <c r="Y570" s="118"/>
    </row>
    <row r="571" spans="25:25" ht="13">
      <c r="Y571" s="118"/>
    </row>
    <row r="572" spans="25:25" ht="13">
      <c r="Y572" s="118"/>
    </row>
    <row r="573" spans="25:25" ht="13">
      <c r="Y573" s="118"/>
    </row>
    <row r="574" spans="25:25" ht="13">
      <c r="Y574" s="118"/>
    </row>
    <row r="575" spans="25:25" ht="13">
      <c r="Y575" s="118"/>
    </row>
    <row r="576" spans="25:25" ht="13">
      <c r="Y576" s="118"/>
    </row>
    <row r="577" spans="25:25" ht="13">
      <c r="Y577" s="118"/>
    </row>
    <row r="578" spans="25:25" ht="13">
      <c r="Y578" s="118"/>
    </row>
    <row r="579" spans="25:25" ht="13">
      <c r="Y579" s="118"/>
    </row>
    <row r="580" spans="25:25" ht="13">
      <c r="Y580" s="118"/>
    </row>
    <row r="581" spans="25:25" ht="13">
      <c r="Y581" s="118"/>
    </row>
    <row r="582" spans="25:25" ht="13">
      <c r="Y582" s="118"/>
    </row>
    <row r="583" spans="25:25" ht="13">
      <c r="Y583" s="118"/>
    </row>
    <row r="584" spans="25:25" ht="13">
      <c r="Y584" s="118"/>
    </row>
    <row r="585" spans="25:25" ht="13">
      <c r="Y585" s="118"/>
    </row>
    <row r="586" spans="25:25" ht="13">
      <c r="Y586" s="118"/>
    </row>
    <row r="587" spans="25:25" ht="13">
      <c r="Y587" s="118"/>
    </row>
    <row r="588" spans="25:25" ht="13">
      <c r="Y588" s="118"/>
    </row>
    <row r="589" spans="25:25" ht="13">
      <c r="Y589" s="118"/>
    </row>
    <row r="590" spans="25:25" ht="13">
      <c r="Y590" s="118"/>
    </row>
    <row r="591" spans="25:25" ht="13">
      <c r="Y591" s="118"/>
    </row>
    <row r="592" spans="25:25" ht="13">
      <c r="Y592" s="118"/>
    </row>
    <row r="593" spans="25:25" ht="13">
      <c r="Y593" s="118"/>
    </row>
    <row r="594" spans="25:25" ht="13">
      <c r="Y594" s="118"/>
    </row>
    <row r="595" spans="25:25" ht="13">
      <c r="Y595" s="118"/>
    </row>
    <row r="596" spans="25:25" ht="13">
      <c r="Y596" s="118"/>
    </row>
    <row r="597" spans="25:25" ht="13">
      <c r="Y597" s="118"/>
    </row>
    <row r="598" spans="25:25" ht="13">
      <c r="Y598" s="118"/>
    </row>
    <row r="599" spans="25:25" ht="13">
      <c r="Y599" s="118"/>
    </row>
    <row r="600" spans="25:25" ht="13">
      <c r="Y600" s="118"/>
    </row>
    <row r="601" spans="25:25" ht="13">
      <c r="Y601" s="118"/>
    </row>
    <row r="602" spans="25:25" ht="13">
      <c r="Y602" s="118"/>
    </row>
    <row r="603" spans="25:25" ht="13">
      <c r="Y603" s="118"/>
    </row>
    <row r="604" spans="25:25" ht="13">
      <c r="Y604" s="118"/>
    </row>
    <row r="605" spans="25:25" ht="13">
      <c r="Y605" s="118"/>
    </row>
    <row r="606" spans="25:25" ht="13">
      <c r="Y606" s="118"/>
    </row>
    <row r="607" spans="25:25" ht="13">
      <c r="Y607" s="118"/>
    </row>
    <row r="608" spans="25:25" ht="13">
      <c r="Y608" s="118"/>
    </row>
    <row r="609" spans="25:25" ht="13">
      <c r="Y609" s="118"/>
    </row>
    <row r="610" spans="25:25" ht="13">
      <c r="Y610" s="118"/>
    </row>
    <row r="611" spans="25:25" ht="13">
      <c r="Y611" s="118"/>
    </row>
    <row r="612" spans="25:25" ht="13">
      <c r="Y612" s="118"/>
    </row>
    <row r="613" spans="25:25" ht="13">
      <c r="Y613" s="118"/>
    </row>
    <row r="614" spans="25:25" ht="13">
      <c r="Y614" s="118"/>
    </row>
    <row r="615" spans="25:25" ht="13">
      <c r="Y615" s="118"/>
    </row>
    <row r="616" spans="25:25" ht="13">
      <c r="Y616" s="118"/>
    </row>
    <row r="617" spans="25:25" ht="13">
      <c r="Y617" s="118"/>
    </row>
    <row r="618" spans="25:25" ht="13">
      <c r="Y618" s="118"/>
    </row>
    <row r="619" spans="25:25" ht="13">
      <c r="Y619" s="118"/>
    </row>
    <row r="620" spans="25:25" ht="13">
      <c r="Y620" s="118"/>
    </row>
    <row r="621" spans="25:25" ht="13">
      <c r="Y621" s="118"/>
    </row>
    <row r="622" spans="25:25" ht="13">
      <c r="Y622" s="118"/>
    </row>
    <row r="623" spans="25:25" ht="13">
      <c r="Y623" s="118"/>
    </row>
    <row r="624" spans="25:25" ht="13">
      <c r="Y624" s="118"/>
    </row>
    <row r="625" spans="25:25" ht="13">
      <c r="Y625" s="118"/>
    </row>
    <row r="626" spans="25:25" ht="13">
      <c r="Y626" s="118"/>
    </row>
    <row r="627" spans="25:25" ht="13">
      <c r="Y627" s="118"/>
    </row>
    <row r="628" spans="25:25" ht="13">
      <c r="Y628" s="118"/>
    </row>
    <row r="629" spans="25:25" ht="13">
      <c r="Y629" s="118"/>
    </row>
    <row r="630" spans="25:25" ht="13">
      <c r="Y630" s="118"/>
    </row>
    <row r="631" spans="25:25" ht="13">
      <c r="Y631" s="118"/>
    </row>
    <row r="632" spans="25:25" ht="13">
      <c r="Y632" s="118"/>
    </row>
    <row r="633" spans="25:25" ht="13">
      <c r="Y633" s="118"/>
    </row>
    <row r="634" spans="25:25" ht="13">
      <c r="Y634" s="118"/>
    </row>
    <row r="635" spans="25:25" ht="13">
      <c r="Y635" s="118"/>
    </row>
    <row r="636" spans="25:25" ht="13">
      <c r="Y636" s="118"/>
    </row>
    <row r="637" spans="25:25" ht="13">
      <c r="Y637" s="118"/>
    </row>
    <row r="638" spans="25:25" ht="13">
      <c r="Y638" s="118"/>
    </row>
    <row r="639" spans="25:25" ht="13">
      <c r="Y639" s="118"/>
    </row>
    <row r="640" spans="25:25" ht="13">
      <c r="Y640" s="118"/>
    </row>
    <row r="641" spans="25:25" ht="13">
      <c r="Y641" s="118"/>
    </row>
    <row r="642" spans="25:25" ht="13">
      <c r="Y642" s="118"/>
    </row>
    <row r="643" spans="25:25" ht="13">
      <c r="Y643" s="118"/>
    </row>
    <row r="644" spans="25:25" ht="13">
      <c r="Y644" s="118"/>
    </row>
    <row r="645" spans="25:25" ht="13">
      <c r="Y645" s="118"/>
    </row>
    <row r="646" spans="25:25" ht="13">
      <c r="Y646" s="118"/>
    </row>
    <row r="647" spans="25:25" ht="13">
      <c r="Y647" s="118"/>
    </row>
    <row r="648" spans="25:25" ht="13">
      <c r="Y648" s="118"/>
    </row>
    <row r="649" spans="25:25" ht="13">
      <c r="Y649" s="118"/>
    </row>
    <row r="650" spans="25:25" ht="13">
      <c r="Y650" s="118"/>
    </row>
    <row r="651" spans="25:25" ht="13">
      <c r="Y651" s="118"/>
    </row>
    <row r="652" spans="25:25" ht="13">
      <c r="Y652" s="118"/>
    </row>
    <row r="653" spans="25:25" ht="13">
      <c r="Y653" s="118"/>
    </row>
    <row r="654" spans="25:25" ht="13">
      <c r="Y654" s="118"/>
    </row>
    <row r="655" spans="25:25" ht="13">
      <c r="Y655" s="118"/>
    </row>
    <row r="656" spans="25:25" ht="13">
      <c r="Y656" s="118"/>
    </row>
    <row r="657" spans="25:25" ht="13">
      <c r="Y657" s="118"/>
    </row>
    <row r="658" spans="25:25" ht="13">
      <c r="Y658" s="118"/>
    </row>
    <row r="659" spans="25:25" ht="13">
      <c r="Y659" s="118"/>
    </row>
    <row r="660" spans="25:25" ht="13">
      <c r="Y660" s="118"/>
    </row>
    <row r="661" spans="25:25" ht="13">
      <c r="Y661" s="118"/>
    </row>
    <row r="662" spans="25:25" ht="13">
      <c r="Y662" s="118"/>
    </row>
    <row r="663" spans="25:25" ht="13">
      <c r="Y663" s="118"/>
    </row>
    <row r="664" spans="25:25" ht="13">
      <c r="Y664" s="118"/>
    </row>
    <row r="665" spans="25:25" ht="13">
      <c r="Y665" s="118"/>
    </row>
    <row r="666" spans="25:25" ht="13">
      <c r="Y666" s="118"/>
    </row>
    <row r="667" spans="25:25" ht="13">
      <c r="Y667" s="118"/>
    </row>
    <row r="668" spans="25:25" ht="13">
      <c r="Y668" s="118"/>
    </row>
    <row r="669" spans="25:25" ht="13">
      <c r="Y669" s="118"/>
    </row>
    <row r="670" spans="25:25" ht="13">
      <c r="Y670" s="118"/>
    </row>
    <row r="671" spans="25:25" ht="13">
      <c r="Y671" s="118"/>
    </row>
    <row r="672" spans="25:25" ht="13">
      <c r="Y672" s="118"/>
    </row>
    <row r="673" spans="25:25" ht="13">
      <c r="Y673" s="118"/>
    </row>
    <row r="674" spans="25:25" ht="13">
      <c r="Y674" s="118"/>
    </row>
    <row r="675" spans="25:25" ht="13">
      <c r="Y675" s="118"/>
    </row>
    <row r="676" spans="25:25" ht="13">
      <c r="Y676" s="118"/>
    </row>
    <row r="677" spans="25:25" ht="13">
      <c r="Y677" s="118"/>
    </row>
    <row r="678" spans="25:25" ht="13">
      <c r="Y678" s="118"/>
    </row>
    <row r="679" spans="25:25" ht="13">
      <c r="Y679" s="118"/>
    </row>
    <row r="680" spans="25:25" ht="13">
      <c r="Y680" s="118"/>
    </row>
    <row r="681" spans="25:25" ht="13">
      <c r="Y681" s="118"/>
    </row>
    <row r="682" spans="25:25" ht="13">
      <c r="Y682" s="118"/>
    </row>
    <row r="683" spans="25:25" ht="13">
      <c r="Y683" s="118"/>
    </row>
    <row r="684" spans="25:25" ht="13">
      <c r="Y684" s="118"/>
    </row>
    <row r="685" spans="25:25" ht="13">
      <c r="Y685" s="118"/>
    </row>
    <row r="686" spans="25:25" ht="13">
      <c r="Y686" s="118"/>
    </row>
    <row r="687" spans="25:25" ht="13">
      <c r="Y687" s="118"/>
    </row>
    <row r="688" spans="25:25" ht="13">
      <c r="Y688" s="118"/>
    </row>
    <row r="689" spans="25:25" ht="13">
      <c r="Y689" s="118"/>
    </row>
    <row r="690" spans="25:25" ht="13">
      <c r="Y690" s="118"/>
    </row>
    <row r="691" spans="25:25" ht="13">
      <c r="Y691" s="118"/>
    </row>
    <row r="692" spans="25:25" ht="13">
      <c r="Y692" s="118"/>
    </row>
    <row r="693" spans="25:25" ht="13">
      <c r="Y693" s="118"/>
    </row>
    <row r="694" spans="25:25" ht="13">
      <c r="Y694" s="118"/>
    </row>
    <row r="695" spans="25:25" ht="13">
      <c r="Y695" s="118"/>
    </row>
    <row r="696" spans="25:25" ht="13">
      <c r="Y696" s="118"/>
    </row>
    <row r="697" spans="25:25" ht="13">
      <c r="Y697" s="118"/>
    </row>
    <row r="698" spans="25:25" ht="13">
      <c r="Y698" s="118"/>
    </row>
    <row r="699" spans="25:25" ht="13">
      <c r="Y699" s="118"/>
    </row>
    <row r="700" spans="25:25" ht="13">
      <c r="Y700" s="118"/>
    </row>
    <row r="701" spans="25:25" ht="13">
      <c r="Y701" s="118"/>
    </row>
    <row r="702" spans="25:25" ht="13">
      <c r="Y702" s="118"/>
    </row>
    <row r="703" spans="25:25" ht="13">
      <c r="Y703" s="118"/>
    </row>
    <row r="704" spans="25:25" ht="13">
      <c r="Y704" s="118"/>
    </row>
    <row r="705" spans="25:25" ht="13">
      <c r="Y705" s="118"/>
    </row>
    <row r="706" spans="25:25" ht="13">
      <c r="Y706" s="118"/>
    </row>
    <row r="707" spans="25:25" ht="13">
      <c r="Y707" s="118"/>
    </row>
    <row r="708" spans="25:25" ht="13">
      <c r="Y708" s="118"/>
    </row>
    <row r="709" spans="25:25" ht="13">
      <c r="Y709" s="118"/>
    </row>
    <row r="710" spans="25:25" ht="13">
      <c r="Y710" s="118"/>
    </row>
    <row r="711" spans="25:25" ht="13">
      <c r="Y711" s="118"/>
    </row>
    <row r="712" spans="25:25" ht="13">
      <c r="Y712" s="118"/>
    </row>
    <row r="713" spans="25:25" ht="13">
      <c r="Y713" s="118"/>
    </row>
    <row r="714" spans="25:25" ht="13">
      <c r="Y714" s="118"/>
    </row>
    <row r="715" spans="25:25" ht="13">
      <c r="Y715" s="118"/>
    </row>
    <row r="716" spans="25:25" ht="13">
      <c r="Y716" s="118"/>
    </row>
    <row r="717" spans="25:25" ht="13">
      <c r="Y717" s="118"/>
    </row>
    <row r="718" spans="25:25" ht="13">
      <c r="Y718" s="118"/>
    </row>
    <row r="719" spans="25:25" ht="13">
      <c r="Y719" s="118"/>
    </row>
    <row r="720" spans="25:25" ht="13">
      <c r="Y720" s="118"/>
    </row>
    <row r="721" spans="25:25" ht="13">
      <c r="Y721" s="118"/>
    </row>
    <row r="722" spans="25:25" ht="13">
      <c r="Y722" s="118"/>
    </row>
    <row r="723" spans="25:25" ht="13">
      <c r="Y723" s="118"/>
    </row>
    <row r="724" spans="25:25" ht="13">
      <c r="Y724" s="118"/>
    </row>
    <row r="725" spans="25:25" ht="13">
      <c r="Y725" s="118"/>
    </row>
    <row r="726" spans="25:25" ht="13">
      <c r="Y726" s="118"/>
    </row>
    <row r="727" spans="25:25" ht="13">
      <c r="Y727" s="118"/>
    </row>
    <row r="728" spans="25:25" ht="13">
      <c r="Y728" s="118"/>
    </row>
    <row r="729" spans="25:25" ht="13">
      <c r="Y729" s="118"/>
    </row>
    <row r="730" spans="25:25" ht="13">
      <c r="Y730" s="118"/>
    </row>
    <row r="731" spans="25:25" ht="13">
      <c r="Y731" s="118"/>
    </row>
    <row r="732" spans="25:25" ht="13">
      <c r="Y732" s="118"/>
    </row>
    <row r="733" spans="25:25" ht="13">
      <c r="Y733" s="118"/>
    </row>
    <row r="734" spans="25:25" ht="13">
      <c r="Y734" s="118"/>
    </row>
    <row r="735" spans="25:25" ht="13">
      <c r="Y735" s="118"/>
    </row>
    <row r="736" spans="25:25" ht="13">
      <c r="Y736" s="118"/>
    </row>
    <row r="737" spans="25:25" ht="13">
      <c r="Y737" s="118"/>
    </row>
    <row r="738" spans="25:25" ht="13">
      <c r="Y738" s="118"/>
    </row>
    <row r="739" spans="25:25" ht="13">
      <c r="Y739" s="118"/>
    </row>
    <row r="740" spans="25:25" ht="13">
      <c r="Y740" s="118"/>
    </row>
    <row r="741" spans="25:25" ht="13">
      <c r="Y741" s="118"/>
    </row>
    <row r="742" spans="25:25" ht="13">
      <c r="Y742" s="118"/>
    </row>
    <row r="743" spans="25:25" ht="13">
      <c r="Y743" s="118"/>
    </row>
    <row r="744" spans="25:25" ht="13">
      <c r="Y744" s="118"/>
    </row>
    <row r="745" spans="25:25" ht="13">
      <c r="Y745" s="118"/>
    </row>
    <row r="746" spans="25:25" ht="13">
      <c r="Y746" s="118"/>
    </row>
    <row r="747" spans="25:25" ht="13">
      <c r="Y747" s="118"/>
    </row>
    <row r="748" spans="25:25" ht="13">
      <c r="Y748" s="118"/>
    </row>
    <row r="749" spans="25:25" ht="13">
      <c r="Y749" s="118"/>
    </row>
    <row r="750" spans="25:25" ht="13">
      <c r="Y750" s="118"/>
    </row>
    <row r="751" spans="25:25" ht="13">
      <c r="Y751" s="118"/>
    </row>
    <row r="752" spans="25:25" ht="13">
      <c r="Y752" s="118"/>
    </row>
    <row r="753" spans="25:25" ht="13">
      <c r="Y753" s="118"/>
    </row>
    <row r="754" spans="25:25" ht="13">
      <c r="Y754" s="118"/>
    </row>
    <row r="755" spans="25:25" ht="13">
      <c r="Y755" s="118"/>
    </row>
    <row r="756" spans="25:25" ht="13">
      <c r="Y756" s="118"/>
    </row>
    <row r="757" spans="25:25" ht="13">
      <c r="Y757" s="118"/>
    </row>
    <row r="758" spans="25:25" ht="13">
      <c r="Y758" s="118"/>
    </row>
    <row r="759" spans="25:25" ht="13">
      <c r="Y759" s="118"/>
    </row>
    <row r="760" spans="25:25" ht="13">
      <c r="Y760" s="118"/>
    </row>
    <row r="761" spans="25:25" ht="13">
      <c r="Y761" s="118"/>
    </row>
    <row r="762" spans="25:25" ht="13">
      <c r="Y762" s="118"/>
    </row>
    <row r="763" spans="25:25" ht="13">
      <c r="Y763" s="118"/>
    </row>
    <row r="764" spans="25:25" ht="13">
      <c r="Y764" s="118"/>
    </row>
    <row r="765" spans="25:25" ht="13">
      <c r="Y765" s="118"/>
    </row>
    <row r="766" spans="25:25" ht="13">
      <c r="Y766" s="118"/>
    </row>
    <row r="767" spans="25:25" ht="13">
      <c r="Y767" s="118"/>
    </row>
    <row r="768" spans="25:25" ht="13">
      <c r="Y768" s="118"/>
    </row>
    <row r="769" spans="25:25" ht="13">
      <c r="Y769" s="118"/>
    </row>
    <row r="770" spans="25:25" ht="13">
      <c r="Y770" s="118"/>
    </row>
    <row r="771" spans="25:25" ht="13">
      <c r="Y771" s="118"/>
    </row>
    <row r="772" spans="25:25" ht="13">
      <c r="Y772" s="118"/>
    </row>
    <row r="773" spans="25:25" ht="13">
      <c r="Y773" s="118"/>
    </row>
    <row r="774" spans="25:25" ht="13">
      <c r="Y774" s="118"/>
    </row>
    <row r="775" spans="25:25" ht="13">
      <c r="Y775" s="118"/>
    </row>
    <row r="776" spans="25:25" ht="13">
      <c r="Y776" s="118"/>
    </row>
    <row r="777" spans="25:25" ht="13">
      <c r="Y777" s="118"/>
    </row>
    <row r="778" spans="25:25" ht="13">
      <c r="Y778" s="118"/>
    </row>
    <row r="779" spans="25:25" ht="13">
      <c r="Y779" s="118"/>
    </row>
    <row r="780" spans="25:25" ht="13">
      <c r="Y780" s="118"/>
    </row>
    <row r="781" spans="25:25" ht="13">
      <c r="Y781" s="118"/>
    </row>
    <row r="782" spans="25:25" ht="13">
      <c r="Y782" s="118"/>
    </row>
    <row r="783" spans="25:25" ht="13">
      <c r="Y783" s="118"/>
    </row>
    <row r="784" spans="25:25" ht="13">
      <c r="Y784" s="118"/>
    </row>
    <row r="785" spans="25:25" ht="13">
      <c r="Y785" s="118"/>
    </row>
    <row r="786" spans="25:25" ht="13">
      <c r="Y786" s="118"/>
    </row>
    <row r="787" spans="25:25" ht="13">
      <c r="Y787" s="118"/>
    </row>
    <row r="788" spans="25:25" ht="13">
      <c r="Y788" s="118"/>
    </row>
    <row r="789" spans="25:25" ht="13">
      <c r="Y789" s="118"/>
    </row>
    <row r="790" spans="25:25" ht="13">
      <c r="Y790" s="118"/>
    </row>
    <row r="791" spans="25:25" ht="13">
      <c r="Y791" s="118"/>
    </row>
    <row r="792" spans="25:25" ht="13">
      <c r="Y792" s="118"/>
    </row>
    <row r="793" spans="25:25" ht="13">
      <c r="Y793" s="118"/>
    </row>
    <row r="794" spans="25:25" ht="13">
      <c r="Y794" s="118"/>
    </row>
    <row r="795" spans="25:25" ht="13">
      <c r="Y795" s="118"/>
    </row>
    <row r="796" spans="25:25" ht="13">
      <c r="Y796" s="118"/>
    </row>
    <row r="797" spans="25:25" ht="13">
      <c r="Y797" s="118"/>
    </row>
    <row r="798" spans="25:25" ht="13">
      <c r="Y798" s="118"/>
    </row>
    <row r="799" spans="25:25" ht="13">
      <c r="Y799" s="118"/>
    </row>
    <row r="800" spans="25:25" ht="13">
      <c r="Y800" s="118"/>
    </row>
    <row r="801" spans="25:25" ht="13">
      <c r="Y801" s="118"/>
    </row>
    <row r="802" spans="25:25" ht="13">
      <c r="Y802" s="118"/>
    </row>
    <row r="803" spans="25:25" ht="13">
      <c r="Y803" s="118"/>
    </row>
    <row r="804" spans="25:25" ht="13">
      <c r="Y804" s="118"/>
    </row>
    <row r="805" spans="25:25" ht="13">
      <c r="Y805" s="118"/>
    </row>
    <row r="806" spans="25:25" ht="13">
      <c r="Y806" s="118"/>
    </row>
    <row r="807" spans="25:25" ht="13">
      <c r="Y807" s="118"/>
    </row>
    <row r="808" spans="25:25" ht="13">
      <c r="Y808" s="118"/>
    </row>
    <row r="809" spans="25:25" ht="13">
      <c r="Y809" s="118"/>
    </row>
    <row r="810" spans="25:25" ht="13">
      <c r="Y810" s="118"/>
    </row>
    <row r="811" spans="25:25" ht="13">
      <c r="Y811" s="118"/>
    </row>
    <row r="812" spans="25:25" ht="13">
      <c r="Y812" s="118"/>
    </row>
    <row r="813" spans="25:25" ht="13">
      <c r="Y813" s="118"/>
    </row>
    <row r="814" spans="25:25" ht="13">
      <c r="Y814" s="118"/>
    </row>
    <row r="815" spans="25:25" ht="13">
      <c r="Y815" s="118"/>
    </row>
    <row r="816" spans="25:25" ht="13">
      <c r="Y816" s="118"/>
    </row>
    <row r="817" spans="25:25" ht="13">
      <c r="Y817" s="118"/>
    </row>
    <row r="818" spans="25:25" ht="13">
      <c r="Y818" s="118"/>
    </row>
    <row r="819" spans="25:25" ht="13">
      <c r="Y819" s="118"/>
    </row>
    <row r="820" spans="25:25" ht="13">
      <c r="Y820" s="118"/>
    </row>
    <row r="821" spans="25:25" ht="13">
      <c r="Y821" s="118"/>
    </row>
    <row r="822" spans="25:25" ht="13">
      <c r="Y822" s="118"/>
    </row>
    <row r="823" spans="25:25" ht="13">
      <c r="Y823" s="118"/>
    </row>
    <row r="824" spans="25:25" ht="13">
      <c r="Y824" s="118"/>
    </row>
    <row r="825" spans="25:25" ht="13">
      <c r="Y825" s="118"/>
    </row>
    <row r="826" spans="25:25" ht="13">
      <c r="Y826" s="118"/>
    </row>
    <row r="827" spans="25:25" ht="13">
      <c r="Y827" s="118"/>
    </row>
    <row r="828" spans="25:25" ht="13">
      <c r="Y828" s="118"/>
    </row>
    <row r="829" spans="25:25" ht="13">
      <c r="Y829" s="118"/>
    </row>
    <row r="830" spans="25:25" ht="13">
      <c r="Y830" s="118"/>
    </row>
    <row r="831" spans="25:25" ht="13">
      <c r="Y831" s="118"/>
    </row>
    <row r="832" spans="25:25" ht="13">
      <c r="Y832" s="118"/>
    </row>
    <row r="833" spans="25:25" ht="13">
      <c r="Y833" s="118"/>
    </row>
    <row r="834" spans="25:25" ht="13">
      <c r="Y834" s="118"/>
    </row>
    <row r="835" spans="25:25" ht="13">
      <c r="Y835" s="118"/>
    </row>
    <row r="836" spans="25:25" ht="13">
      <c r="Y836" s="118"/>
    </row>
    <row r="837" spans="25:25" ht="13">
      <c r="Y837" s="118"/>
    </row>
    <row r="838" spans="25:25" ht="13">
      <c r="Y838" s="118"/>
    </row>
    <row r="839" spans="25:25" ht="13">
      <c r="Y839" s="118"/>
    </row>
    <row r="840" spans="25:25" ht="13">
      <c r="Y840" s="118"/>
    </row>
    <row r="841" spans="25:25" ht="13">
      <c r="Y841" s="118"/>
    </row>
    <row r="842" spans="25:25" ht="13">
      <c r="Y842" s="118"/>
    </row>
    <row r="843" spans="25:25" ht="13">
      <c r="Y843" s="118"/>
    </row>
    <row r="844" spans="25:25" ht="13">
      <c r="Y844" s="118"/>
    </row>
    <row r="845" spans="25:25" ht="13">
      <c r="Y845" s="118"/>
    </row>
    <row r="846" spans="25:25" ht="13">
      <c r="Y846" s="118"/>
    </row>
    <row r="847" spans="25:25" ht="13">
      <c r="Y847" s="118"/>
    </row>
    <row r="848" spans="25:25" ht="13">
      <c r="Y848" s="118"/>
    </row>
    <row r="849" spans="25:25" ht="13">
      <c r="Y849" s="118"/>
    </row>
    <row r="850" spans="25:25" ht="13">
      <c r="Y850" s="118"/>
    </row>
    <row r="851" spans="25:25" ht="13">
      <c r="Y851" s="118"/>
    </row>
    <row r="852" spans="25:25" ht="13">
      <c r="Y852" s="118"/>
    </row>
    <row r="853" spans="25:25" ht="13">
      <c r="Y853" s="118"/>
    </row>
    <row r="854" spans="25:25" ht="13">
      <c r="Y854" s="118"/>
    </row>
    <row r="855" spans="25:25" ht="13">
      <c r="Y855" s="118"/>
    </row>
    <row r="856" spans="25:25" ht="13">
      <c r="Y856" s="118"/>
    </row>
    <row r="857" spans="25:25" ht="13">
      <c r="Y857" s="118"/>
    </row>
    <row r="858" spans="25:25" ht="13">
      <c r="Y858" s="118"/>
    </row>
    <row r="859" spans="25:25" ht="13">
      <c r="Y859" s="118"/>
    </row>
    <row r="860" spans="25:25" ht="13">
      <c r="Y860" s="118"/>
    </row>
    <row r="861" spans="25:25" ht="13">
      <c r="Y861" s="118"/>
    </row>
    <row r="862" spans="25:25" ht="13">
      <c r="Y862" s="118"/>
    </row>
    <row r="863" spans="25:25" ht="13">
      <c r="Y863" s="118"/>
    </row>
    <row r="864" spans="25:25" ht="13">
      <c r="Y864" s="118"/>
    </row>
    <row r="865" spans="25:25" ht="13">
      <c r="Y865" s="118"/>
    </row>
    <row r="866" spans="25:25" ht="13">
      <c r="Y866" s="118"/>
    </row>
    <row r="867" spans="25:25" ht="13">
      <c r="Y867" s="118"/>
    </row>
    <row r="868" spans="25:25" ht="13">
      <c r="Y868" s="118"/>
    </row>
    <row r="869" spans="25:25" ht="13">
      <c r="Y869" s="118"/>
    </row>
    <row r="870" spans="25:25" ht="13">
      <c r="Y870" s="118"/>
    </row>
    <row r="871" spans="25:25" ht="13">
      <c r="Y871" s="118"/>
    </row>
    <row r="872" spans="25:25" ht="13">
      <c r="Y872" s="118"/>
    </row>
    <row r="873" spans="25:25" ht="13">
      <c r="Y873" s="118"/>
    </row>
    <row r="874" spans="25:25" ht="13">
      <c r="Y874" s="118"/>
    </row>
    <row r="875" spans="25:25" ht="13">
      <c r="Y875" s="118"/>
    </row>
    <row r="876" spans="25:25" ht="13">
      <c r="Y876" s="118"/>
    </row>
    <row r="877" spans="25:25" ht="13">
      <c r="Y877" s="118"/>
    </row>
    <row r="878" spans="25:25" ht="13">
      <c r="Y878" s="118"/>
    </row>
    <row r="879" spans="25:25" ht="13">
      <c r="Y879" s="118"/>
    </row>
    <row r="880" spans="25:25" ht="13">
      <c r="Y880" s="118"/>
    </row>
    <row r="881" spans="25:25" ht="13">
      <c r="Y881" s="118"/>
    </row>
    <row r="882" spans="25:25" ht="13">
      <c r="Y882" s="118"/>
    </row>
    <row r="883" spans="25:25" ht="13">
      <c r="Y883" s="118"/>
    </row>
    <row r="884" spans="25:25" ht="13">
      <c r="Y884" s="118"/>
    </row>
    <row r="885" spans="25:25" ht="13">
      <c r="Y885" s="118"/>
    </row>
    <row r="886" spans="25:25" ht="13">
      <c r="Y886" s="118"/>
    </row>
    <row r="887" spans="25:25" ht="13">
      <c r="Y887" s="118"/>
    </row>
    <row r="888" spans="25:25" ht="13">
      <c r="Y888" s="118"/>
    </row>
    <row r="889" spans="25:25" ht="13">
      <c r="Y889" s="118"/>
    </row>
    <row r="890" spans="25:25" ht="13">
      <c r="Y890" s="118"/>
    </row>
    <row r="891" spans="25:25" ht="13">
      <c r="Y891" s="118"/>
    </row>
    <row r="892" spans="25:25" ht="13">
      <c r="Y892" s="118"/>
    </row>
    <row r="893" spans="25:25" ht="13">
      <c r="Y893" s="118"/>
    </row>
    <row r="894" spans="25:25" ht="13">
      <c r="Y894" s="118"/>
    </row>
    <row r="895" spans="25:25" ht="13">
      <c r="Y895" s="118"/>
    </row>
    <row r="896" spans="25:25" ht="13">
      <c r="Y896" s="118"/>
    </row>
    <row r="897" spans="25:25" ht="13">
      <c r="Y897" s="118"/>
    </row>
    <row r="898" spans="25:25" ht="13">
      <c r="Y898" s="118"/>
    </row>
    <row r="899" spans="25:25" ht="13">
      <c r="Y899" s="118"/>
    </row>
    <row r="900" spans="25:25" ht="13">
      <c r="Y900" s="118"/>
    </row>
    <row r="901" spans="25:25" ht="13">
      <c r="Y901" s="118"/>
    </row>
    <row r="902" spans="25:25" ht="13">
      <c r="Y902" s="118"/>
    </row>
    <row r="903" spans="25:25" ht="13">
      <c r="Y903" s="118"/>
    </row>
    <row r="904" spans="25:25" ht="13">
      <c r="Y904" s="118"/>
    </row>
    <row r="905" spans="25:25" ht="13">
      <c r="Y905" s="118"/>
    </row>
    <row r="906" spans="25:25" ht="13">
      <c r="Y906" s="118"/>
    </row>
    <row r="907" spans="25:25" ht="13">
      <c r="Y907" s="118"/>
    </row>
    <row r="908" spans="25:25" ht="13">
      <c r="Y908" s="118"/>
    </row>
    <row r="909" spans="25:25" ht="13">
      <c r="Y909" s="118"/>
    </row>
    <row r="910" spans="25:25" ht="13">
      <c r="Y910" s="118"/>
    </row>
    <row r="911" spans="25:25" ht="13">
      <c r="Y911" s="118"/>
    </row>
    <row r="912" spans="25:25" ht="13">
      <c r="Y912" s="118"/>
    </row>
    <row r="913" spans="25:25" ht="13">
      <c r="Y913" s="118"/>
    </row>
    <row r="914" spans="25:25" ht="13">
      <c r="Y914" s="118"/>
    </row>
    <row r="915" spans="25:25" ht="13">
      <c r="Y915" s="118"/>
    </row>
    <row r="916" spans="25:25" ht="13">
      <c r="Y916" s="118"/>
    </row>
    <row r="917" spans="25:25" ht="13">
      <c r="Y917" s="118"/>
    </row>
    <row r="918" spans="25:25" ht="13">
      <c r="Y918" s="118"/>
    </row>
    <row r="919" spans="25:25" ht="13">
      <c r="Y919" s="118"/>
    </row>
    <row r="920" spans="25:25" ht="13">
      <c r="Y920" s="118"/>
    </row>
    <row r="921" spans="25:25" ht="13">
      <c r="Y921" s="118"/>
    </row>
    <row r="922" spans="25:25" ht="13">
      <c r="Y922" s="118"/>
    </row>
    <row r="923" spans="25:25" ht="13">
      <c r="Y923" s="118"/>
    </row>
    <row r="924" spans="25:25" ht="13">
      <c r="Y924" s="118"/>
    </row>
    <row r="925" spans="25:25" ht="13">
      <c r="Y925" s="118"/>
    </row>
    <row r="926" spans="25:25" ht="13">
      <c r="Y926" s="118"/>
    </row>
    <row r="927" spans="25:25" ht="13">
      <c r="Y927" s="118"/>
    </row>
    <row r="928" spans="25:25" ht="13">
      <c r="Y928" s="118"/>
    </row>
    <row r="929" spans="25:25" ht="13">
      <c r="Y929" s="118"/>
    </row>
    <row r="930" spans="25:25" ht="13">
      <c r="Y930" s="118"/>
    </row>
    <row r="931" spans="25:25" ht="13">
      <c r="Y931" s="118"/>
    </row>
    <row r="932" spans="25:25" ht="13">
      <c r="Y932" s="118"/>
    </row>
    <row r="933" spans="25:25" ht="13">
      <c r="Y933" s="118"/>
    </row>
    <row r="934" spans="25:25" ht="13">
      <c r="Y934" s="118"/>
    </row>
    <row r="935" spans="25:25" ht="13">
      <c r="Y935" s="118"/>
    </row>
    <row r="936" spans="25:25" ht="13">
      <c r="Y936" s="118"/>
    </row>
    <row r="937" spans="25:25" ht="13">
      <c r="Y937" s="118"/>
    </row>
    <row r="938" spans="25:25" ht="13">
      <c r="Y938" s="118"/>
    </row>
    <row r="939" spans="25:25" ht="13">
      <c r="Y939" s="118"/>
    </row>
    <row r="940" spans="25:25" ht="13">
      <c r="Y940" s="118"/>
    </row>
    <row r="941" spans="25:25" ht="13">
      <c r="Y941" s="118"/>
    </row>
    <row r="942" spans="25:25" ht="13">
      <c r="Y942" s="118"/>
    </row>
    <row r="943" spans="25:25" ht="13">
      <c r="Y943" s="118"/>
    </row>
    <row r="944" spans="25:25" ht="13">
      <c r="Y944" s="118"/>
    </row>
    <row r="945" spans="25:25" ht="13">
      <c r="Y945" s="118"/>
    </row>
    <row r="946" spans="25:25" ht="13">
      <c r="Y946" s="118"/>
    </row>
    <row r="947" spans="25:25" ht="13">
      <c r="Y947" s="118"/>
    </row>
    <row r="948" spans="25:25" ht="13">
      <c r="Y948" s="118"/>
    </row>
    <row r="949" spans="25:25" ht="13">
      <c r="Y949" s="118"/>
    </row>
    <row r="950" spans="25:25" ht="13">
      <c r="Y950" s="118"/>
    </row>
    <row r="951" spans="25:25" ht="13">
      <c r="Y951" s="118"/>
    </row>
    <row r="952" spans="25:25" ht="13">
      <c r="Y952" s="118"/>
    </row>
    <row r="953" spans="25:25" ht="13">
      <c r="Y953" s="118"/>
    </row>
    <row r="954" spans="25:25" ht="13">
      <c r="Y954" s="118"/>
    </row>
    <row r="955" spans="25:25" ht="13">
      <c r="Y955" s="118"/>
    </row>
    <row r="956" spans="25:25" ht="13">
      <c r="Y956" s="118"/>
    </row>
    <row r="957" spans="25:25" ht="13">
      <c r="Y957" s="118"/>
    </row>
    <row r="958" spans="25:25" ht="13">
      <c r="Y958" s="118"/>
    </row>
    <row r="959" spans="25:25" ht="13">
      <c r="Y959" s="118"/>
    </row>
    <row r="960" spans="25:25" ht="13">
      <c r="Y960" s="118"/>
    </row>
    <row r="961" spans="25:25" ht="13">
      <c r="Y961" s="118"/>
    </row>
    <row r="962" spans="25:25" ht="13">
      <c r="Y962" s="118"/>
    </row>
    <row r="963" spans="25:25" ht="13">
      <c r="Y963" s="118"/>
    </row>
    <row r="964" spans="25:25" ht="13">
      <c r="Y964" s="118"/>
    </row>
    <row r="965" spans="25:25" ht="13">
      <c r="Y965" s="118"/>
    </row>
    <row r="966" spans="25:25" ht="13">
      <c r="Y966" s="118"/>
    </row>
    <row r="967" spans="25:25" ht="13">
      <c r="Y967" s="118"/>
    </row>
    <row r="968" spans="25:25" ht="13">
      <c r="Y968" s="118"/>
    </row>
    <row r="969" spans="25:25" ht="13">
      <c r="Y969" s="118"/>
    </row>
    <row r="970" spans="25:25" ht="13">
      <c r="Y970" s="118"/>
    </row>
    <row r="971" spans="25:25" ht="13">
      <c r="Y971" s="118"/>
    </row>
    <row r="972" spans="25:25" ht="13">
      <c r="Y972" s="118"/>
    </row>
    <row r="973" spans="25:25" ht="13">
      <c r="Y973" s="118"/>
    </row>
    <row r="974" spans="25:25" ht="13">
      <c r="Y974" s="118"/>
    </row>
    <row r="975" spans="25:25" ht="13">
      <c r="Y975" s="118"/>
    </row>
    <row r="976" spans="25:25" ht="13">
      <c r="Y976" s="118"/>
    </row>
    <row r="977" spans="25:25" ht="13">
      <c r="Y977" s="118"/>
    </row>
    <row r="978" spans="25:25" ht="13">
      <c r="Y978" s="118"/>
    </row>
    <row r="979" spans="25:25" ht="13">
      <c r="Y979" s="118"/>
    </row>
    <row r="980" spans="25:25" ht="13">
      <c r="Y980" s="118"/>
    </row>
    <row r="981" spans="25:25" ht="13">
      <c r="Y981" s="118"/>
    </row>
    <row r="982" spans="25:25" ht="13">
      <c r="Y982" s="118"/>
    </row>
    <row r="983" spans="25:25" ht="13">
      <c r="Y983" s="118"/>
    </row>
    <row r="984" spans="25:25" ht="13">
      <c r="Y984" s="118"/>
    </row>
    <row r="985" spans="25:25" ht="13">
      <c r="Y985" s="118"/>
    </row>
    <row r="986" spans="25:25" ht="13">
      <c r="Y986" s="118"/>
    </row>
    <row r="987" spans="25:25" ht="13">
      <c r="Y987" s="118"/>
    </row>
    <row r="988" spans="25:25" ht="13">
      <c r="Y988" s="118"/>
    </row>
    <row r="989" spans="25:25" ht="13">
      <c r="Y989" s="118"/>
    </row>
    <row r="990" spans="25:25" ht="13">
      <c r="Y990" s="118"/>
    </row>
    <row r="991" spans="25:25" ht="13">
      <c r="Y991" s="118"/>
    </row>
    <row r="992" spans="25:25" ht="13">
      <c r="Y992" s="118"/>
    </row>
    <row r="993" spans="25:25" ht="13">
      <c r="Y993" s="118"/>
    </row>
    <row r="994" spans="25:25" ht="13">
      <c r="Y994" s="118"/>
    </row>
    <row r="995" spans="25:25" ht="13">
      <c r="Y995" s="118"/>
    </row>
    <row r="996" spans="25:25" ht="13">
      <c r="Y996" s="118"/>
    </row>
    <row r="997" spans="25:25" ht="13">
      <c r="Y997" s="118"/>
    </row>
    <row r="998" spans="25:25" ht="13">
      <c r="Y998" s="118"/>
    </row>
    <row r="999" spans="25:25" ht="13">
      <c r="Y999" s="118"/>
    </row>
    <row r="1000" spans="25:25" ht="13">
      <c r="Y1000" s="118"/>
    </row>
    <row r="1001" spans="25:25" ht="13">
      <c r="Y1001" s="118"/>
    </row>
    <row r="1002" spans="25:25" ht="13">
      <c r="Y1002" s="118"/>
    </row>
    <row r="1003" spans="25:25" ht="13">
      <c r="Y1003" s="118"/>
    </row>
    <row r="1004" spans="25:25" ht="13">
      <c r="Y1004" s="118"/>
    </row>
    <row r="1005" spans="25:25" ht="13">
      <c r="Y1005" s="118"/>
    </row>
    <row r="1006" spans="25:25" ht="13">
      <c r="Y1006" s="118"/>
    </row>
    <row r="1007" spans="25:25" ht="13">
      <c r="Y1007" s="118"/>
    </row>
    <row r="1008" spans="25:25" ht="13">
      <c r="Y1008" s="118"/>
    </row>
    <row r="1009" spans="25:25" ht="13">
      <c r="Y1009" s="118"/>
    </row>
    <row r="1010" spans="25:25" ht="13">
      <c r="Y1010" s="118"/>
    </row>
    <row r="1011" spans="25:25" ht="13">
      <c r="Y1011" s="118"/>
    </row>
    <row r="1012" spans="25:25" ht="13">
      <c r="Y1012" s="118"/>
    </row>
    <row r="1013" spans="25:25" ht="13">
      <c r="Y1013" s="118"/>
    </row>
    <row r="1014" spans="25:25" ht="13">
      <c r="Y1014" s="118"/>
    </row>
    <row r="1015" spans="25:25" ht="13">
      <c r="Y1015" s="118"/>
    </row>
    <row r="1016" spans="25:25" ht="13">
      <c r="Y1016" s="118"/>
    </row>
    <row r="1017" spans="25:25" ht="13">
      <c r="Y1017" s="118"/>
    </row>
    <row r="1018" spans="25:25" ht="13">
      <c r="Y1018" s="118"/>
    </row>
    <row r="1019" spans="25:25" ht="13">
      <c r="Y1019" s="118"/>
    </row>
    <row r="1020" spans="25:25" ht="13">
      <c r="Y1020" s="118"/>
    </row>
    <row r="1021" spans="25:25" ht="13">
      <c r="Y1021" s="118"/>
    </row>
    <row r="1022" spans="25:25" ht="13">
      <c r="Y1022" s="118"/>
    </row>
    <row r="1023" spans="25:25" ht="13">
      <c r="Y1023" s="118"/>
    </row>
    <row r="1024" spans="25:25" ht="13">
      <c r="Y1024" s="118"/>
    </row>
    <row r="1025" spans="25:25" ht="13">
      <c r="Y1025" s="118"/>
    </row>
    <row r="1026" spans="25:25" ht="13">
      <c r="Y1026" s="118"/>
    </row>
    <row r="1027" spans="25:25" ht="13">
      <c r="Y1027" s="118"/>
    </row>
    <row r="1028" spans="25:25" ht="13">
      <c r="Y1028" s="118"/>
    </row>
    <row r="1029" spans="25:25" ht="13">
      <c r="Y1029" s="118"/>
    </row>
    <row r="1030" spans="25:25" ht="13">
      <c r="Y1030" s="118"/>
    </row>
    <row r="1031" spans="25:25" ht="13">
      <c r="Y1031" s="118"/>
    </row>
    <row r="1032" spans="25:25" ht="13">
      <c r="Y1032" s="118"/>
    </row>
    <row r="1033" spans="25:25" ht="13">
      <c r="Y1033" s="118"/>
    </row>
    <row r="1034" spans="25:25" ht="13">
      <c r="Y1034" s="118"/>
    </row>
    <row r="1035" spans="25:25" ht="13">
      <c r="Y1035" s="118"/>
    </row>
    <row r="1036" spans="25:25" ht="13">
      <c r="Y1036" s="118"/>
    </row>
    <row r="1037" spans="25:25" ht="13">
      <c r="Y1037" s="118"/>
    </row>
    <row r="1038" spans="25:25" ht="13">
      <c r="Y1038" s="118"/>
    </row>
    <row r="1039" spans="25:25" ht="13">
      <c r="Y1039" s="118"/>
    </row>
    <row r="1040" spans="25:25" ht="13">
      <c r="Y1040" s="118"/>
    </row>
    <row r="1041" spans="25:25" ht="13">
      <c r="Y1041" s="118"/>
    </row>
    <row r="1042" spans="25:25" ht="13">
      <c r="Y1042" s="118"/>
    </row>
    <row r="1043" spans="25:25" ht="13">
      <c r="Y1043" s="118"/>
    </row>
    <row r="1044" spans="25:25" ht="13">
      <c r="Y1044" s="118"/>
    </row>
    <row r="1045" spans="25:25" ht="13">
      <c r="Y1045" s="118"/>
    </row>
    <row r="1046" spans="25:25" ht="13">
      <c r="Y1046" s="118"/>
    </row>
    <row r="1047" spans="25:25" ht="13">
      <c r="Y1047" s="118"/>
    </row>
    <row r="1048" spans="25:25" ht="13">
      <c r="Y1048" s="118"/>
    </row>
    <row r="1049" spans="25:25" ht="13">
      <c r="Y1049" s="118"/>
    </row>
    <row r="1050" spans="25:25" ht="13">
      <c r="Y1050" s="118"/>
    </row>
    <row r="1051" spans="25:25" ht="13">
      <c r="Y1051" s="118"/>
    </row>
    <row r="1052" spans="25:25" ht="13">
      <c r="Y1052" s="118"/>
    </row>
    <row r="1053" spans="25:25" ht="13">
      <c r="Y1053" s="118"/>
    </row>
    <row r="1054" spans="25:25" ht="13">
      <c r="Y1054" s="118"/>
    </row>
    <row r="1055" spans="25:25" ht="13">
      <c r="Y1055" s="118"/>
    </row>
    <row r="1056" spans="25:25" ht="13">
      <c r="Y1056" s="118"/>
    </row>
    <row r="1057" spans="25:25" ht="13">
      <c r="Y1057" s="118"/>
    </row>
    <row r="1058" spans="25:25" ht="13">
      <c r="Y1058" s="118"/>
    </row>
    <row r="1059" spans="25:25" ht="13">
      <c r="Y1059" s="118"/>
    </row>
    <row r="1060" spans="25:25" ht="13">
      <c r="Y1060" s="118"/>
    </row>
    <row r="1061" spans="25:25" ht="13">
      <c r="Y1061" s="118"/>
    </row>
    <row r="1062" spans="25:25" ht="13">
      <c r="Y1062" s="118"/>
    </row>
    <row r="1063" spans="25:25" ht="13">
      <c r="Y1063" s="118"/>
    </row>
    <row r="1064" spans="25:25" ht="13">
      <c r="Y1064" s="118"/>
    </row>
    <row r="1065" spans="25:25" ht="13">
      <c r="Y1065" s="118"/>
    </row>
    <row r="1066" spans="25:25" ht="13">
      <c r="Y1066" s="118"/>
    </row>
    <row r="1067" spans="25:25" ht="13">
      <c r="Y1067" s="118"/>
    </row>
    <row r="1068" spans="25:25" ht="13">
      <c r="Y1068" s="118"/>
    </row>
    <row r="1069" spans="25:25" ht="13">
      <c r="Y1069" s="118"/>
    </row>
    <row r="1070" spans="25:25" ht="13">
      <c r="Y1070" s="118"/>
    </row>
    <row r="1071" spans="25:25" ht="13">
      <c r="Y1071" s="118"/>
    </row>
    <row r="1072" spans="25:25" ht="13">
      <c r="Y1072" s="118"/>
    </row>
    <row r="1073" spans="25:25" ht="13">
      <c r="Y1073" s="118"/>
    </row>
    <row r="1074" spans="25:25" ht="13">
      <c r="Y1074" s="118"/>
    </row>
    <row r="1075" spans="25:25" ht="13">
      <c r="Y1075" s="118"/>
    </row>
    <row r="1076" spans="25:25" ht="13">
      <c r="Y1076" s="118"/>
    </row>
    <row r="1077" spans="25:25" ht="13">
      <c r="Y1077" s="118"/>
    </row>
    <row r="1078" spans="25:25" ht="13">
      <c r="Y1078" s="118"/>
    </row>
    <row r="1079" spans="25:25" ht="13">
      <c r="Y1079" s="118"/>
    </row>
    <row r="1080" spans="25:25" ht="13">
      <c r="Y1080" s="118"/>
    </row>
    <row r="1081" spans="25:25" ht="13">
      <c r="Y1081" s="118"/>
    </row>
    <row r="1082" spans="25:25" ht="13">
      <c r="Y1082" s="118"/>
    </row>
    <row r="1083" spans="25:25" ht="13">
      <c r="Y1083" s="118"/>
    </row>
    <row r="1084" spans="25:25" ht="13">
      <c r="Y1084" s="118"/>
    </row>
    <row r="1085" spans="25:25" ht="13">
      <c r="Y1085" s="118"/>
    </row>
    <row r="1086" spans="25:25" ht="13">
      <c r="Y1086" s="118"/>
    </row>
    <row r="1087" spans="25:25" ht="13">
      <c r="Y1087" s="118"/>
    </row>
    <row r="1088" spans="25:25" ht="13">
      <c r="Y1088" s="118"/>
    </row>
    <row r="1089" spans="25:25" ht="13">
      <c r="Y1089" s="118"/>
    </row>
    <row r="1090" spans="25:25" ht="13">
      <c r="Y1090" s="118"/>
    </row>
    <row r="1091" spans="25:25" ht="13">
      <c r="Y1091" s="118"/>
    </row>
    <row r="1092" spans="25:25" ht="13">
      <c r="Y1092" s="118"/>
    </row>
    <row r="1093" spans="25:25" ht="13">
      <c r="Y1093" s="118"/>
    </row>
    <row r="1094" spans="25:25" ht="13">
      <c r="Y1094" s="118"/>
    </row>
    <row r="1095" spans="25:25" ht="13">
      <c r="Y1095" s="118"/>
    </row>
    <row r="1096" spans="25:25" ht="13">
      <c r="Y1096" s="118"/>
    </row>
    <row r="1097" spans="25:25" ht="13">
      <c r="Y1097" s="118"/>
    </row>
    <row r="1098" spans="25:25" ht="13">
      <c r="Y1098" s="118"/>
    </row>
    <row r="1099" spans="25:25" ht="13">
      <c r="Y1099" s="118"/>
    </row>
    <row r="1100" spans="25:25" ht="13">
      <c r="Y1100" s="118"/>
    </row>
    <row r="1101" spans="25:25" ht="13">
      <c r="Y1101" s="118"/>
    </row>
    <row r="1102" spans="25:25" ht="13">
      <c r="Y1102" s="118"/>
    </row>
    <row r="1103" spans="25:25" ht="13">
      <c r="Y1103" s="118"/>
    </row>
    <row r="1104" spans="25:25" ht="13">
      <c r="Y1104" s="118"/>
    </row>
    <row r="1105" spans="25:25" ht="13">
      <c r="Y1105" s="118"/>
    </row>
    <row r="1106" spans="25:25" ht="13">
      <c r="Y1106" s="118"/>
    </row>
    <row r="1107" spans="25:25" ht="13">
      <c r="Y1107" s="118"/>
    </row>
    <row r="1108" spans="25:25" ht="13">
      <c r="Y1108" s="118"/>
    </row>
    <row r="1109" spans="25:25" ht="13">
      <c r="Y1109" s="118"/>
    </row>
    <row r="1110" spans="25:25" ht="13">
      <c r="Y1110" s="118"/>
    </row>
    <row r="1111" spans="25:25" ht="13">
      <c r="Y1111" s="118"/>
    </row>
    <row r="1112" spans="25:25" ht="13">
      <c r="Y1112" s="118"/>
    </row>
    <row r="1113" spans="25:25" ht="13">
      <c r="Y1113" s="118"/>
    </row>
    <row r="1114" spans="25:25" ht="13">
      <c r="Y1114" s="118"/>
    </row>
    <row r="1115" spans="25:25" ht="13">
      <c r="Y1115" s="118"/>
    </row>
    <row r="1116" spans="25:25" ht="13">
      <c r="Y1116" s="118"/>
    </row>
    <row r="1117" spans="25:25" ht="13">
      <c r="Y1117" s="118"/>
    </row>
    <row r="1118" spans="25:25" ht="13">
      <c r="Y1118" s="118"/>
    </row>
    <row r="1119" spans="25:25" ht="13">
      <c r="Y1119" s="118"/>
    </row>
    <row r="1120" spans="25:25" ht="13">
      <c r="Y1120" s="118"/>
    </row>
    <row r="1121" spans="25:25" ht="13">
      <c r="Y1121" s="118"/>
    </row>
    <row r="1122" spans="25:25" ht="13">
      <c r="Y1122" s="118"/>
    </row>
    <row r="1123" spans="25:25" ht="13">
      <c r="Y1123" s="118"/>
    </row>
    <row r="1124" spans="25:25" ht="13">
      <c r="Y1124" s="118"/>
    </row>
    <row r="1125" spans="25:25" ht="13">
      <c r="Y1125" s="118"/>
    </row>
    <row r="1126" spans="25:25" ht="13">
      <c r="Y1126" s="118"/>
    </row>
    <row r="1127" spans="25:25" ht="13">
      <c r="Y1127" s="118"/>
    </row>
    <row r="1128" spans="25:25" ht="13">
      <c r="Y1128" s="118"/>
    </row>
    <row r="1129" spans="25:25" ht="13">
      <c r="Y1129" s="118"/>
    </row>
    <row r="1130" spans="25:25" ht="13">
      <c r="Y1130" s="118"/>
    </row>
    <row r="1131" spans="25:25" ht="13">
      <c r="Y1131" s="118"/>
    </row>
    <row r="1132" spans="25:25" ht="13">
      <c r="Y1132" s="118"/>
    </row>
    <row r="1133" spans="25:25" ht="13">
      <c r="Y1133" s="118"/>
    </row>
    <row r="1134" spans="25:25" ht="13">
      <c r="Y1134" s="118"/>
    </row>
    <row r="1135" spans="25:25" ht="13">
      <c r="Y1135" s="118"/>
    </row>
    <row r="1136" spans="25:25" ht="13">
      <c r="Y1136" s="118"/>
    </row>
    <row r="1137" spans="25:25" ht="13">
      <c r="Y1137" s="118"/>
    </row>
    <row r="1138" spans="25:25" ht="13">
      <c r="Y1138" s="118"/>
    </row>
    <row r="1139" spans="25:25" ht="13">
      <c r="Y1139" s="118"/>
    </row>
    <row r="1140" spans="25:25" ht="13">
      <c r="Y1140" s="118"/>
    </row>
    <row r="1141" spans="25:25" ht="13">
      <c r="Y1141" s="118"/>
    </row>
    <row r="1142" spans="25:25" ht="13">
      <c r="Y1142" s="118"/>
    </row>
    <row r="1143" spans="25:25" ht="13">
      <c r="Y1143" s="118"/>
    </row>
    <row r="1144" spans="25:25" ht="13">
      <c r="Y1144" s="118"/>
    </row>
    <row r="1145" spans="25:25" ht="13">
      <c r="Y1145" s="118"/>
    </row>
    <row r="1146" spans="25:25" ht="13">
      <c r="Y1146" s="118"/>
    </row>
    <row r="1147" spans="25:25" ht="13">
      <c r="Y1147" s="118"/>
    </row>
    <row r="1148" spans="25:25" ht="13">
      <c r="Y1148" s="118"/>
    </row>
    <row r="1149" spans="25:25" ht="13">
      <c r="Y1149" s="118"/>
    </row>
    <row r="1150" spans="25:25" ht="13">
      <c r="Y1150" s="118"/>
    </row>
    <row r="1151" spans="25:25" ht="13">
      <c r="Y1151" s="118"/>
    </row>
    <row r="1152" spans="25:25" ht="13">
      <c r="Y1152" s="118"/>
    </row>
    <row r="1153" spans="25:25" ht="13">
      <c r="Y1153" s="118"/>
    </row>
    <row r="1154" spans="25:25" ht="13">
      <c r="Y1154" s="118"/>
    </row>
    <row r="1155" spans="25:25" ht="13">
      <c r="Y1155" s="118"/>
    </row>
    <row r="1156" spans="25:25" ht="13">
      <c r="Y1156" s="118"/>
    </row>
    <row r="1157" spans="25:25" ht="13">
      <c r="Y1157" s="118"/>
    </row>
    <row r="1158" spans="25:25" ht="13">
      <c r="Y1158" s="118"/>
    </row>
    <row r="1159" spans="25:25" ht="13">
      <c r="Y1159" s="118"/>
    </row>
    <row r="1160" spans="25:25" ht="13">
      <c r="Y1160" s="118"/>
    </row>
    <row r="1161" spans="25:25" ht="13">
      <c r="Y1161" s="118"/>
    </row>
    <row r="1162" spans="25:25" ht="13">
      <c r="Y1162" s="118"/>
    </row>
    <row r="1163" spans="25:25" ht="13">
      <c r="Y1163" s="118"/>
    </row>
    <row r="1164" spans="25:25" ht="13">
      <c r="Y1164" s="118"/>
    </row>
    <row r="1165" spans="25:25" ht="13">
      <c r="Y1165" s="118"/>
    </row>
    <row r="1166" spans="25:25" ht="13">
      <c r="Y1166" s="118"/>
    </row>
    <row r="1167" spans="25:25" ht="13">
      <c r="Y1167" s="118"/>
    </row>
    <row r="1168" spans="25:25" ht="13">
      <c r="Y1168" s="118"/>
    </row>
    <row r="1169" spans="25:25" ht="13">
      <c r="Y1169" s="118"/>
    </row>
    <row r="1170" spans="25:25" ht="13">
      <c r="Y1170" s="118"/>
    </row>
    <row r="1171" spans="25:25" ht="13">
      <c r="Y1171" s="118"/>
    </row>
    <row r="1172" spans="25:25" ht="13">
      <c r="Y1172" s="118"/>
    </row>
    <row r="1173" spans="25:25" ht="13">
      <c r="Y1173" s="118"/>
    </row>
    <row r="1174" spans="25:25" ht="13">
      <c r="Y1174" s="118"/>
    </row>
    <row r="1175" spans="25:25" ht="13">
      <c r="Y1175" s="118"/>
    </row>
    <row r="1176" spans="25:25" ht="13">
      <c r="Y1176" s="118"/>
    </row>
    <row r="1177" spans="25:25" ht="13">
      <c r="Y1177" s="118"/>
    </row>
    <row r="1178" spans="25:25" ht="13">
      <c r="Y1178" s="118"/>
    </row>
    <row r="1179" spans="25:25" ht="13">
      <c r="Y1179" s="118"/>
    </row>
    <row r="1180" spans="25:25" ht="13">
      <c r="Y1180" s="118"/>
    </row>
    <row r="1181" spans="25:25" ht="13">
      <c r="Y1181" s="118"/>
    </row>
    <row r="1182" spans="25:25" ht="13">
      <c r="Y1182" s="118"/>
    </row>
    <row r="1183" spans="25:25" ht="13">
      <c r="Y1183" s="118"/>
    </row>
    <row r="1184" spans="25:25" ht="13">
      <c r="Y1184" s="118"/>
    </row>
    <row r="1185" spans="25:25" ht="13">
      <c r="Y1185" s="118"/>
    </row>
    <row r="1186" spans="25:25" ht="13">
      <c r="Y1186" s="118"/>
    </row>
    <row r="1187" spans="25:25" ht="13">
      <c r="Y1187" s="118"/>
    </row>
    <row r="1188" spans="25:25" ht="13">
      <c r="Y1188" s="118"/>
    </row>
    <row r="1189" spans="25:25" ht="13">
      <c r="Y1189" s="118"/>
    </row>
    <row r="1190" spans="25:25" ht="13">
      <c r="Y1190" s="118"/>
    </row>
    <row r="1191" spans="25:25" ht="13">
      <c r="Y1191" s="118"/>
    </row>
    <row r="1192" spans="25:25" ht="13">
      <c r="Y1192" s="118"/>
    </row>
    <row r="1193" spans="25:25" ht="13">
      <c r="Y1193" s="118"/>
    </row>
    <row r="1194" spans="25:25" ht="13">
      <c r="Y1194" s="118"/>
    </row>
    <row r="1195" spans="25:25" ht="13">
      <c r="Y1195" s="118"/>
    </row>
    <row r="1196" spans="25:25" ht="13">
      <c r="Y1196" s="118"/>
    </row>
    <row r="1197" spans="25:25" ht="13">
      <c r="Y1197" s="118"/>
    </row>
    <row r="1198" spans="25:25" ht="13">
      <c r="Y1198" s="118"/>
    </row>
    <row r="1199" spans="25:25" ht="13">
      <c r="Y1199" s="118"/>
    </row>
    <row r="1200" spans="25:25" ht="13">
      <c r="Y1200" s="118"/>
    </row>
    <row r="1201" spans="25:25" ht="13">
      <c r="Y1201" s="118"/>
    </row>
    <row r="1202" spans="25:25" ht="13">
      <c r="Y1202" s="118"/>
    </row>
    <row r="1203" spans="25:25" ht="13">
      <c r="Y1203" s="118"/>
    </row>
    <row r="1204" spans="25:25" ht="13">
      <c r="Y1204" s="118"/>
    </row>
    <row r="1205" spans="25:25" ht="13">
      <c r="Y1205" s="118"/>
    </row>
    <row r="1206" spans="25:25" ht="13">
      <c r="Y1206" s="118"/>
    </row>
    <row r="1207" spans="25:25" ht="13">
      <c r="Y1207" s="118"/>
    </row>
    <row r="1208" spans="25:25" ht="13">
      <c r="Y1208" s="118"/>
    </row>
    <row r="1209" spans="25:25" ht="13">
      <c r="Y1209" s="118"/>
    </row>
    <row r="1210" spans="25:25" ht="13">
      <c r="Y1210" s="118"/>
    </row>
    <row r="1211" spans="25:25" ht="13">
      <c r="Y1211" s="118"/>
    </row>
    <row r="1212" spans="25:25" ht="13">
      <c r="Y1212" s="118"/>
    </row>
    <row r="1213" spans="25:25" ht="13">
      <c r="Y1213" s="118"/>
    </row>
    <row r="1214" spans="25:25" ht="13">
      <c r="Y1214" s="118"/>
    </row>
    <row r="1215" spans="25:25" ht="13">
      <c r="Y1215" s="118"/>
    </row>
    <row r="1216" spans="25:25" ht="13">
      <c r="Y1216" s="118"/>
    </row>
    <row r="1217" spans="25:25" ht="13">
      <c r="Y1217" s="118"/>
    </row>
    <row r="1218" spans="25:25" ht="13">
      <c r="Y1218" s="118"/>
    </row>
    <row r="1219" spans="25:25" ht="13">
      <c r="Y1219" s="118"/>
    </row>
    <row r="1220" spans="25:25" ht="13">
      <c r="Y1220" s="118"/>
    </row>
    <row r="1221" spans="25:25" ht="13">
      <c r="Y1221" s="118"/>
    </row>
    <row r="1222" spans="25:25" ht="13">
      <c r="Y1222" s="118"/>
    </row>
    <row r="1223" spans="25:25" ht="13">
      <c r="Y1223" s="118"/>
    </row>
    <row r="1224" spans="25:25" ht="13">
      <c r="Y1224" s="118"/>
    </row>
    <row r="1225" spans="25:25" ht="13">
      <c r="Y1225" s="118"/>
    </row>
    <row r="1226" spans="25:25" ht="13">
      <c r="Y1226" s="118"/>
    </row>
    <row r="1227" spans="25:25" ht="13">
      <c r="Y1227" s="118"/>
    </row>
    <row r="1228" spans="25:25" ht="13">
      <c r="Y1228" s="118"/>
    </row>
    <row r="1229" spans="25:25" ht="13">
      <c r="Y1229" s="118"/>
    </row>
    <row r="1230" spans="25:25" ht="13">
      <c r="Y1230" s="118"/>
    </row>
    <row r="1231" spans="25:25" ht="13">
      <c r="Y1231" s="118"/>
    </row>
    <row r="1232" spans="25:25" ht="13">
      <c r="Y1232" s="118"/>
    </row>
    <row r="1233" spans="25:25" ht="13">
      <c r="Y1233" s="118"/>
    </row>
    <row r="1234" spans="25:25" ht="13">
      <c r="Y1234" s="118"/>
    </row>
    <row r="1235" spans="25:25" ht="13">
      <c r="Y1235" s="118"/>
    </row>
    <row r="1236" spans="25:25" ht="13">
      <c r="Y1236" s="118"/>
    </row>
    <row r="1237" spans="25:25" ht="13">
      <c r="Y1237" s="118"/>
    </row>
    <row r="1238" spans="25:25" ht="13">
      <c r="Y1238" s="118"/>
    </row>
    <row r="1239" spans="25:25" ht="13">
      <c r="Y1239" s="118"/>
    </row>
    <row r="1240" spans="25:25" ht="13">
      <c r="Y1240" s="118"/>
    </row>
    <row r="1241" spans="25:25" ht="13">
      <c r="Y1241" s="118"/>
    </row>
    <row r="1242" spans="25:25" ht="13">
      <c r="Y1242" s="118"/>
    </row>
    <row r="1243" spans="25:25" ht="13">
      <c r="Y1243" s="118"/>
    </row>
    <row r="1244" spans="25:25" ht="13">
      <c r="Y1244" s="118"/>
    </row>
    <row r="1245" spans="25:25" ht="13">
      <c r="Y1245" s="118"/>
    </row>
    <row r="1246" spans="25:25" ht="13">
      <c r="Y1246" s="118"/>
    </row>
    <row r="1247" spans="25:25" ht="13">
      <c r="Y1247" s="118"/>
    </row>
    <row r="1248" spans="25:25" ht="13">
      <c r="Y1248" s="118"/>
    </row>
    <row r="1249" spans="25:25" ht="13">
      <c r="Y1249" s="118"/>
    </row>
    <row r="1250" spans="25:25" ht="13">
      <c r="Y1250" s="118"/>
    </row>
    <row r="1251" spans="25:25" ht="13">
      <c r="Y1251" s="118"/>
    </row>
    <row r="1252" spans="25:25" ht="13">
      <c r="Y1252" s="118"/>
    </row>
    <row r="1253" spans="25:25" ht="13">
      <c r="Y1253" s="118"/>
    </row>
    <row r="1254" spans="25:25" ht="13">
      <c r="Y1254" s="118"/>
    </row>
    <row r="1255" spans="25:25" ht="13">
      <c r="Y1255" s="118"/>
    </row>
    <row r="1256" spans="25:25" ht="13">
      <c r="Y1256" s="118"/>
    </row>
    <row r="1257" spans="25:25" ht="13">
      <c r="Y1257" s="118"/>
    </row>
    <row r="1258" spans="25:25" ht="13">
      <c r="Y1258" s="118"/>
    </row>
    <row r="1259" spans="25:25" ht="13">
      <c r="Y1259" s="118"/>
    </row>
    <row r="1260" spans="25:25" ht="13">
      <c r="Y1260" s="118"/>
    </row>
    <row r="1261" spans="25:25" ht="13">
      <c r="Y1261" s="118"/>
    </row>
    <row r="1262" spans="25:25" ht="13">
      <c r="Y1262" s="118"/>
    </row>
    <row r="1263" spans="25:25" ht="13">
      <c r="Y1263" s="118"/>
    </row>
    <row r="1264" spans="25:25" ht="13">
      <c r="Y1264" s="118"/>
    </row>
    <row r="1265" spans="25:25" ht="13">
      <c r="Y1265" s="118"/>
    </row>
    <row r="1266" spans="25:25" ht="13">
      <c r="Y1266" s="118"/>
    </row>
    <row r="1267" spans="25:25" ht="13">
      <c r="Y1267" s="118"/>
    </row>
    <row r="1268" spans="25:25" ht="13">
      <c r="Y1268" s="118"/>
    </row>
    <row r="1269" spans="25:25" ht="13">
      <c r="Y1269" s="118"/>
    </row>
    <row r="1270" spans="25:25" ht="13">
      <c r="Y1270" s="118"/>
    </row>
    <row r="1271" spans="25:25" ht="13">
      <c r="Y1271" s="118"/>
    </row>
    <row r="1272" spans="25:25" ht="13">
      <c r="Y1272" s="118"/>
    </row>
    <row r="1273" spans="25:25" ht="13">
      <c r="Y1273" s="118"/>
    </row>
    <row r="1274" spans="25:25" ht="13">
      <c r="Y1274" s="118"/>
    </row>
    <row r="1275" spans="25:25" ht="13">
      <c r="Y1275" s="118"/>
    </row>
    <row r="1276" spans="25:25" ht="13">
      <c r="Y1276" s="118"/>
    </row>
    <row r="1277" spans="25:25" ht="13">
      <c r="Y1277" s="118"/>
    </row>
    <row r="1278" spans="25:25" ht="13">
      <c r="Y1278" s="118"/>
    </row>
    <row r="1279" spans="25:25" ht="13">
      <c r="Y1279" s="118"/>
    </row>
    <row r="1280" spans="25:25" ht="13">
      <c r="Y1280" s="118"/>
    </row>
    <row r="1281" spans="25:25" ht="13">
      <c r="Y1281" s="118"/>
    </row>
    <row r="1282" spans="25:25" ht="13">
      <c r="Y1282" s="118"/>
    </row>
    <row r="1283" spans="25:25" ht="13">
      <c r="Y1283" s="118"/>
    </row>
    <row r="1284" spans="25:25" ht="13">
      <c r="Y1284" s="118"/>
    </row>
    <row r="1285" spans="25:25" ht="13">
      <c r="Y1285" s="118"/>
    </row>
    <row r="1286" spans="25:25" ht="13">
      <c r="Y1286" s="118"/>
    </row>
    <row r="1287" spans="25:25" ht="13">
      <c r="Y1287" s="118"/>
    </row>
    <row r="1288" spans="25:25" ht="13">
      <c r="Y1288" s="118"/>
    </row>
    <row r="1289" spans="25:25" ht="13">
      <c r="Y1289" s="118"/>
    </row>
    <row r="1290" spans="25:25" ht="13">
      <c r="Y1290" s="118"/>
    </row>
    <row r="1291" spans="25:25" ht="13">
      <c r="Y1291" s="118"/>
    </row>
    <row r="1292" spans="25:25" ht="13">
      <c r="Y1292" s="118"/>
    </row>
    <row r="1293" spans="25:25" ht="13">
      <c r="Y1293" s="118"/>
    </row>
    <row r="1294" spans="25:25" ht="13">
      <c r="Y1294" s="118"/>
    </row>
    <row r="1295" spans="25:25" ht="13">
      <c r="Y1295" s="118"/>
    </row>
    <row r="1296" spans="25:25" ht="13">
      <c r="Y1296" s="118"/>
    </row>
    <row r="1297" spans="25:25" ht="13">
      <c r="Y1297" s="118"/>
    </row>
    <row r="1298" spans="25:25" ht="13">
      <c r="Y1298" s="118"/>
    </row>
    <row r="1299" spans="25:25" ht="13">
      <c r="Y1299" s="118"/>
    </row>
    <row r="1300" spans="25:25" ht="13">
      <c r="Y1300" s="118"/>
    </row>
    <row r="1301" spans="25:25" ht="13">
      <c r="Y1301" s="118"/>
    </row>
    <row r="1302" spans="25:25" ht="13">
      <c r="Y1302" s="118"/>
    </row>
    <row r="1303" spans="25:25" ht="13">
      <c r="Y1303" s="118"/>
    </row>
    <row r="1304" spans="25:25" ht="13">
      <c r="Y1304" s="118"/>
    </row>
    <row r="1305" spans="25:25" ht="13">
      <c r="Y1305" s="118"/>
    </row>
    <row r="1306" spans="25:25" ht="13">
      <c r="Y1306" s="118"/>
    </row>
    <row r="1307" spans="25:25" ht="13">
      <c r="Y1307" s="118"/>
    </row>
    <row r="1308" spans="25:25" ht="13">
      <c r="Y1308" s="118"/>
    </row>
    <row r="1309" spans="25:25" ht="13">
      <c r="Y1309" s="118"/>
    </row>
    <row r="1310" spans="25:25" ht="13">
      <c r="Y1310" s="118"/>
    </row>
    <row r="1311" spans="25:25" ht="13">
      <c r="Y1311" s="118"/>
    </row>
    <row r="1312" spans="25:25" ht="13">
      <c r="Y1312" s="118"/>
    </row>
    <row r="1313" spans="25:25" ht="13">
      <c r="Y1313" s="118"/>
    </row>
    <row r="1314" spans="25:25" ht="13">
      <c r="Y1314" s="118"/>
    </row>
    <row r="1315" spans="25:25" ht="13">
      <c r="Y1315" s="118"/>
    </row>
    <row r="1316" spans="25:25" ht="13">
      <c r="Y1316" s="118"/>
    </row>
    <row r="1317" spans="25:25" ht="13">
      <c r="Y1317" s="118"/>
    </row>
    <row r="1318" spans="25:25" ht="13">
      <c r="Y1318" s="118"/>
    </row>
    <row r="1319" spans="25:25" ht="13">
      <c r="Y1319" s="118"/>
    </row>
    <row r="1320" spans="25:25" ht="13">
      <c r="Y1320" s="118"/>
    </row>
    <row r="1321" spans="25:25" ht="13">
      <c r="Y1321" s="118"/>
    </row>
    <row r="1322" spans="25:25" ht="13">
      <c r="Y1322" s="118"/>
    </row>
    <row r="1323" spans="25:25" ht="13">
      <c r="Y1323" s="118"/>
    </row>
    <row r="1324" spans="25:25" ht="13">
      <c r="Y1324" s="118"/>
    </row>
    <row r="1325" spans="25:25" ht="13">
      <c r="Y1325" s="118"/>
    </row>
    <row r="1326" spans="25:25" ht="13">
      <c r="Y1326" s="118"/>
    </row>
    <row r="1327" spans="25:25" ht="13">
      <c r="Y1327" s="118"/>
    </row>
    <row r="1328" spans="25:25" ht="13">
      <c r="Y1328" s="118"/>
    </row>
    <row r="1329" spans="25:25" ht="13">
      <c r="Y1329" s="118"/>
    </row>
    <row r="1330" spans="25:25" ht="13">
      <c r="Y1330" s="118"/>
    </row>
    <row r="1331" spans="25:25" ht="13">
      <c r="Y1331" s="118"/>
    </row>
    <row r="1332" spans="25:25" ht="13">
      <c r="Y1332" s="118"/>
    </row>
    <row r="1333" spans="25:25" ht="13">
      <c r="Y1333" s="118"/>
    </row>
    <row r="1334" spans="25:25" ht="13">
      <c r="Y1334" s="118"/>
    </row>
    <row r="1335" spans="25:25" ht="13">
      <c r="Y1335" s="118"/>
    </row>
    <row r="1336" spans="25:25" ht="13">
      <c r="Y1336" s="118"/>
    </row>
    <row r="1337" spans="25:25" ht="13">
      <c r="Y1337" s="118"/>
    </row>
    <row r="1338" spans="25:25" ht="13">
      <c r="Y1338" s="118"/>
    </row>
    <row r="1339" spans="25:25" ht="13">
      <c r="Y1339" s="118"/>
    </row>
    <row r="1340" spans="25:25" ht="13">
      <c r="Y1340" s="118"/>
    </row>
    <row r="1341" spans="25:25" ht="13">
      <c r="Y1341" s="118"/>
    </row>
    <row r="1342" spans="25:25" ht="13">
      <c r="Y1342" s="118"/>
    </row>
    <row r="1343" spans="25:25" ht="13">
      <c r="Y1343" s="118"/>
    </row>
    <row r="1344" spans="25:25" ht="13">
      <c r="Y1344" s="118"/>
    </row>
    <row r="1345" spans="25:25" ht="13">
      <c r="Y1345" s="118"/>
    </row>
    <row r="1346" spans="25:25" ht="13">
      <c r="Y1346" s="118"/>
    </row>
    <row r="1347" spans="25:25" ht="13">
      <c r="Y1347" s="118"/>
    </row>
    <row r="1348" spans="25:25" ht="13">
      <c r="Y1348" s="118"/>
    </row>
    <row r="1349" spans="25:25" ht="13">
      <c r="Y1349" s="118"/>
    </row>
    <row r="1350" spans="25:25" ht="13">
      <c r="Y1350" s="118"/>
    </row>
    <row r="1351" spans="25:25" ht="13">
      <c r="Y1351" s="118"/>
    </row>
    <row r="1352" spans="25:25" ht="13">
      <c r="Y1352" s="118"/>
    </row>
    <row r="1353" spans="25:25" ht="13">
      <c r="Y1353" s="118"/>
    </row>
    <row r="1354" spans="25:25" ht="13">
      <c r="Y1354" s="118"/>
    </row>
    <row r="1355" spans="25:25" ht="13">
      <c r="Y1355" s="118"/>
    </row>
    <row r="1356" spans="25:25" ht="13">
      <c r="Y1356" s="118"/>
    </row>
    <row r="1357" spans="25:25" ht="13">
      <c r="Y1357" s="118"/>
    </row>
    <row r="1358" spans="25:25" ht="13">
      <c r="Y1358" s="118"/>
    </row>
    <row r="1359" spans="25:25" ht="13">
      <c r="Y1359" s="118"/>
    </row>
    <row r="1360" spans="25:25" ht="13">
      <c r="Y1360" s="118"/>
    </row>
    <row r="1361" spans="25:25" ht="13">
      <c r="Y1361" s="118"/>
    </row>
    <row r="1362" spans="25:25" ht="13">
      <c r="Y1362" s="118"/>
    </row>
    <row r="1363" spans="25:25" ht="13">
      <c r="Y1363" s="118"/>
    </row>
    <row r="1364" spans="25:25" ht="13">
      <c r="Y1364" s="118"/>
    </row>
    <row r="1365" spans="25:25" ht="13">
      <c r="Y1365" s="118"/>
    </row>
    <row r="1366" spans="25:25" ht="13">
      <c r="Y1366" s="118"/>
    </row>
    <row r="1367" spans="25:25" ht="13">
      <c r="Y1367" s="118"/>
    </row>
    <row r="1368" spans="25:25" ht="13">
      <c r="Y1368" s="118"/>
    </row>
    <row r="1369" spans="25:25" ht="13">
      <c r="Y1369" s="118"/>
    </row>
    <row r="1370" spans="25:25" ht="13">
      <c r="Y1370" s="118"/>
    </row>
    <row r="1371" spans="25:25" ht="13">
      <c r="Y1371" s="118"/>
    </row>
    <row r="1372" spans="25:25" ht="13">
      <c r="Y1372" s="118"/>
    </row>
    <row r="1373" spans="25:25" ht="13">
      <c r="Y1373" s="118"/>
    </row>
    <row r="1374" spans="25:25" ht="13">
      <c r="Y1374" s="118"/>
    </row>
    <row r="1375" spans="25:25" ht="13">
      <c r="Y1375" s="118"/>
    </row>
    <row r="1376" spans="25:25" ht="13">
      <c r="Y1376" s="118"/>
    </row>
    <row r="1377" spans="25:25" ht="13">
      <c r="Y1377" s="118"/>
    </row>
    <row r="1378" spans="25:25" ht="13">
      <c r="Y1378" s="118"/>
    </row>
    <row r="1379" spans="25:25" ht="13">
      <c r="Y1379" s="118"/>
    </row>
    <row r="1380" spans="25:25" ht="13">
      <c r="Y1380" s="118"/>
    </row>
    <row r="1381" spans="25:25" ht="13">
      <c r="Y1381" s="118"/>
    </row>
    <row r="1382" spans="25:25" ht="13">
      <c r="Y1382" s="118"/>
    </row>
    <row r="1383" spans="25:25" ht="13">
      <c r="Y1383" s="118"/>
    </row>
    <row r="1384" spans="25:25" ht="13">
      <c r="Y1384" s="118"/>
    </row>
    <row r="1385" spans="25:25" ht="13">
      <c r="Y1385" s="118"/>
    </row>
    <row r="1386" spans="25:25" ht="13">
      <c r="Y1386" s="118"/>
    </row>
    <row r="1387" spans="25:25" ht="13">
      <c r="Y1387" s="118"/>
    </row>
    <row r="1388" spans="25:25" ht="13">
      <c r="Y1388" s="118"/>
    </row>
    <row r="1389" spans="25:25" ht="13">
      <c r="Y1389" s="118"/>
    </row>
    <row r="1390" spans="25:25" ht="13">
      <c r="Y1390" s="118"/>
    </row>
    <row r="1391" spans="25:25" ht="13">
      <c r="Y1391" s="118"/>
    </row>
    <row r="1392" spans="25:25" ht="13">
      <c r="Y1392" s="118"/>
    </row>
    <row r="1393" spans="25:25" ht="13">
      <c r="Y1393" s="118"/>
    </row>
    <row r="1394" spans="25:25" ht="13">
      <c r="Y1394" s="118"/>
    </row>
    <row r="1395" spans="25:25" ht="13">
      <c r="Y1395" s="118"/>
    </row>
    <row r="1396" spans="25:25" ht="13">
      <c r="Y1396" s="118"/>
    </row>
    <row r="1397" spans="25:25" ht="13">
      <c r="Y1397" s="118"/>
    </row>
    <row r="1398" spans="25:25" ht="13">
      <c r="Y1398" s="118"/>
    </row>
    <row r="1399" spans="25:25" ht="13">
      <c r="Y1399" s="118"/>
    </row>
    <row r="1400" spans="25:25" ht="13">
      <c r="Y1400" s="118"/>
    </row>
    <row r="1401" spans="25:25" ht="13">
      <c r="Y1401" s="118"/>
    </row>
    <row r="1402" spans="25:25" ht="13">
      <c r="Y1402" s="118"/>
    </row>
    <row r="1403" spans="25:25" ht="13">
      <c r="Y1403" s="118"/>
    </row>
    <row r="1404" spans="25:25" ht="13">
      <c r="Y1404" s="118"/>
    </row>
  </sheetData>
  <conditionalFormatting sqref="B1:B1404">
    <cfRule type="expression" dxfId="1" priority="1">
      <formula>COUNTIF(B:B,B1)&gt;1</formula>
    </cfRule>
  </conditionalFormatting>
  <hyperlinks>
    <hyperlink ref="E80"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58"/>
  <sheetViews>
    <sheetView workbookViewId="0">
      <pane ySplit="1" topLeftCell="A2" activePane="bottomLeft" state="frozen"/>
      <selection pane="bottomLeft" activeCell="B3" sqref="B3"/>
    </sheetView>
  </sheetViews>
  <sheetFormatPr baseColWidth="10" defaultColWidth="14.5" defaultRowHeight="15.75" customHeight="1"/>
  <cols>
    <col min="1" max="1" width="19.6640625" customWidth="1"/>
    <col min="2" max="16" width="21.5" customWidth="1"/>
  </cols>
  <sheetData>
    <row r="1" spans="1:10" ht="15.75" customHeight="1">
      <c r="A1" t="s">
        <v>58</v>
      </c>
      <c r="B1" s="109" t="s">
        <v>2894</v>
      </c>
      <c r="C1" s="109" t="s">
        <v>2896</v>
      </c>
      <c r="D1" s="109" t="s">
        <v>2898</v>
      </c>
      <c r="E1" s="109" t="s">
        <v>2900</v>
      </c>
      <c r="F1" s="109" t="s">
        <v>2901</v>
      </c>
      <c r="G1" s="109" t="s">
        <v>2902</v>
      </c>
      <c r="H1" s="109" t="s">
        <v>2904</v>
      </c>
      <c r="I1" s="109" t="s">
        <v>2905</v>
      </c>
      <c r="J1" s="109" t="s">
        <v>387</v>
      </c>
    </row>
    <row r="2" spans="1:10" ht="15.75" customHeight="1">
      <c r="A2" s="146">
        <v>43446.62677905093</v>
      </c>
      <c r="B2" s="109" t="s">
        <v>117</v>
      </c>
      <c r="C2" s="109" t="s">
        <v>117</v>
      </c>
      <c r="D2" s="109" t="s">
        <v>117</v>
      </c>
      <c r="E2" s="109" t="s">
        <v>117</v>
      </c>
      <c r="F2" s="109" t="s">
        <v>117</v>
      </c>
      <c r="G2" s="109" t="s">
        <v>117</v>
      </c>
      <c r="H2" s="109" t="s">
        <v>562</v>
      </c>
      <c r="I2" s="147"/>
      <c r="J2" s="147"/>
    </row>
    <row r="3" spans="1:10" ht="15.75" customHeight="1">
      <c r="A3" s="146">
        <v>43446.629074525466</v>
      </c>
      <c r="B3" s="109" t="s">
        <v>117</v>
      </c>
      <c r="C3" s="109" t="s">
        <v>117</v>
      </c>
      <c r="D3" s="109" t="s">
        <v>117</v>
      </c>
      <c r="E3" s="109" t="s">
        <v>117</v>
      </c>
      <c r="F3" s="109" t="s">
        <v>117</v>
      </c>
      <c r="G3" s="109" t="s">
        <v>117</v>
      </c>
      <c r="H3" s="109" t="s">
        <v>2914</v>
      </c>
      <c r="I3" s="147"/>
      <c r="J3" s="147"/>
    </row>
    <row r="4" spans="1:10" ht="15.75" customHeight="1">
      <c r="A4" s="146">
        <v>43446.631300532405</v>
      </c>
      <c r="B4" s="109" t="s">
        <v>117</v>
      </c>
      <c r="C4" s="109" t="s">
        <v>117</v>
      </c>
      <c r="D4" s="109" t="s">
        <v>117</v>
      </c>
      <c r="E4" s="109" t="s">
        <v>117</v>
      </c>
      <c r="F4" s="109" t="s">
        <v>117</v>
      </c>
      <c r="G4" s="109" t="s">
        <v>117</v>
      </c>
      <c r="H4" s="109" t="s">
        <v>2918</v>
      </c>
      <c r="I4" s="147"/>
      <c r="J4" s="147"/>
    </row>
    <row r="5" spans="1:10" ht="15.75" customHeight="1">
      <c r="A5" s="146">
        <v>43446.63245420139</v>
      </c>
      <c r="B5" s="109" t="s">
        <v>117</v>
      </c>
      <c r="C5" s="109" t="s">
        <v>117</v>
      </c>
      <c r="D5" s="109" t="s">
        <v>117</v>
      </c>
      <c r="E5" s="109" t="s">
        <v>117</v>
      </c>
      <c r="F5" s="109" t="s">
        <v>117</v>
      </c>
      <c r="G5" s="109" t="s">
        <v>117</v>
      </c>
      <c r="H5" s="109" t="s">
        <v>2923</v>
      </c>
      <c r="I5" s="147"/>
      <c r="J5" s="147"/>
    </row>
    <row r="6" spans="1:10" ht="15.75" customHeight="1">
      <c r="A6" s="146">
        <v>43446.634137777779</v>
      </c>
      <c r="B6" s="109" t="s">
        <v>117</v>
      </c>
      <c r="C6" s="109" t="s">
        <v>117</v>
      </c>
      <c r="D6" s="109" t="s">
        <v>117</v>
      </c>
      <c r="E6" s="109" t="s">
        <v>117</v>
      </c>
      <c r="F6" s="109" t="s">
        <v>117</v>
      </c>
      <c r="G6" s="109" t="s">
        <v>117</v>
      </c>
      <c r="H6" s="109" t="s">
        <v>2925</v>
      </c>
      <c r="I6" s="147"/>
      <c r="J6" s="147"/>
    </row>
    <row r="7" spans="1:10" ht="15.75" customHeight="1">
      <c r="A7" s="146">
        <v>43446.63591109954</v>
      </c>
      <c r="B7" s="109" t="s">
        <v>117</v>
      </c>
      <c r="C7" s="109" t="s">
        <v>117</v>
      </c>
      <c r="D7" s="109" t="s">
        <v>117</v>
      </c>
      <c r="E7" s="109" t="s">
        <v>117</v>
      </c>
      <c r="F7" s="109" t="s">
        <v>117</v>
      </c>
      <c r="G7" s="109" t="s">
        <v>117</v>
      </c>
      <c r="H7" s="109" t="s">
        <v>2930</v>
      </c>
      <c r="I7" s="147"/>
      <c r="J7" s="147"/>
    </row>
    <row r="8" spans="1:10" ht="15.75" customHeight="1">
      <c r="A8" s="146">
        <v>43446.637078645828</v>
      </c>
      <c r="B8" s="109" t="s">
        <v>117</v>
      </c>
      <c r="C8" s="109" t="s">
        <v>117</v>
      </c>
      <c r="D8" s="109" t="s">
        <v>117</v>
      </c>
      <c r="E8" s="109" t="s">
        <v>117</v>
      </c>
      <c r="F8" s="109" t="s">
        <v>117</v>
      </c>
      <c r="G8" s="109" t="s">
        <v>117</v>
      </c>
      <c r="H8" s="109" t="s">
        <v>2932</v>
      </c>
      <c r="I8" s="147"/>
      <c r="J8" s="147"/>
    </row>
    <row r="9" spans="1:10" ht="15.75" customHeight="1">
      <c r="A9" s="146">
        <v>43446.697798263893</v>
      </c>
      <c r="B9" s="109" t="s">
        <v>117</v>
      </c>
      <c r="C9" s="109" t="s">
        <v>117</v>
      </c>
      <c r="D9" s="109" t="s">
        <v>117</v>
      </c>
      <c r="E9" s="109" t="s">
        <v>117</v>
      </c>
      <c r="F9" s="109" t="s">
        <v>117</v>
      </c>
      <c r="G9" s="109" t="s">
        <v>117</v>
      </c>
      <c r="H9" s="109" t="s">
        <v>2935</v>
      </c>
      <c r="I9" s="147"/>
      <c r="J9" s="147"/>
    </row>
    <row r="10" spans="1:10" ht="15.75" customHeight="1">
      <c r="A10" s="146">
        <v>43446.699898125</v>
      </c>
      <c r="B10" s="109" t="s">
        <v>117</v>
      </c>
      <c r="C10" s="109" t="s">
        <v>117</v>
      </c>
      <c r="D10" s="109" t="s">
        <v>117</v>
      </c>
      <c r="E10" s="109" t="s">
        <v>117</v>
      </c>
      <c r="F10" s="109" t="s">
        <v>117</v>
      </c>
      <c r="G10" s="109" t="s">
        <v>117</v>
      </c>
      <c r="H10" s="109" t="s">
        <v>2938</v>
      </c>
      <c r="I10" s="147"/>
      <c r="J10" s="147"/>
    </row>
    <row r="11" spans="1:10" ht="15.75" customHeight="1">
      <c r="A11" s="146">
        <v>43447.669400300925</v>
      </c>
      <c r="B11" s="109" t="s">
        <v>117</v>
      </c>
      <c r="C11" s="109" t="s">
        <v>117</v>
      </c>
      <c r="D11" s="109" t="s">
        <v>117</v>
      </c>
      <c r="E11" s="109" t="s">
        <v>117</v>
      </c>
      <c r="F11" s="109" t="s">
        <v>117</v>
      </c>
      <c r="G11" s="109" t="s">
        <v>117</v>
      </c>
      <c r="H11" s="109" t="s">
        <v>2941</v>
      </c>
      <c r="I11" s="147"/>
      <c r="J11" s="147"/>
    </row>
    <row r="12" spans="1:10" ht="15.75" customHeight="1">
      <c r="A12" s="146">
        <v>43447.692577789348</v>
      </c>
      <c r="B12" s="109" t="s">
        <v>117</v>
      </c>
      <c r="C12" s="109" t="s">
        <v>117</v>
      </c>
      <c r="D12" s="109" t="s">
        <v>117</v>
      </c>
      <c r="E12" s="109" t="s">
        <v>117</v>
      </c>
      <c r="F12" s="109" t="s">
        <v>117</v>
      </c>
      <c r="G12" s="109" t="s">
        <v>117</v>
      </c>
      <c r="H12" s="109" t="s">
        <v>117</v>
      </c>
      <c r="I12" s="147"/>
      <c r="J12" s="147"/>
    </row>
    <row r="13" spans="1:10" ht="15.75" customHeight="1">
      <c r="A13" s="146">
        <v>43452.59458203704</v>
      </c>
      <c r="B13" s="109" t="s">
        <v>117</v>
      </c>
      <c r="C13" s="109" t="s">
        <v>117</v>
      </c>
      <c r="D13" s="109" t="s">
        <v>117</v>
      </c>
      <c r="E13" s="109" t="s">
        <v>117</v>
      </c>
      <c r="F13" s="109" t="s">
        <v>117</v>
      </c>
      <c r="G13" s="109" t="s">
        <v>117</v>
      </c>
      <c r="H13" s="109" t="s">
        <v>435</v>
      </c>
    </row>
    <row r="14" spans="1:10" ht="15.75" customHeight="1">
      <c r="A14" s="146">
        <v>43452.654316064814</v>
      </c>
      <c r="B14" s="109" t="s">
        <v>117</v>
      </c>
      <c r="C14" s="109" t="s">
        <v>117</v>
      </c>
      <c r="D14" s="109" t="s">
        <v>117</v>
      </c>
      <c r="E14" s="109" t="s">
        <v>117</v>
      </c>
      <c r="F14" s="109" t="s">
        <v>117</v>
      </c>
      <c r="G14" s="109" t="s">
        <v>117</v>
      </c>
      <c r="H14" s="109" t="s">
        <v>509</v>
      </c>
    </row>
    <row r="15" spans="1:10" ht="15.75" customHeight="1">
      <c r="A15" s="146">
        <v>43452.765788101853</v>
      </c>
      <c r="B15" s="109" t="s">
        <v>117</v>
      </c>
      <c r="C15" s="109" t="s">
        <v>117</v>
      </c>
      <c r="D15" s="109" t="s">
        <v>117</v>
      </c>
      <c r="E15" s="109" t="s">
        <v>117</v>
      </c>
      <c r="F15" s="109" t="s">
        <v>117</v>
      </c>
      <c r="G15" s="109" t="s">
        <v>117</v>
      </c>
      <c r="H15" s="109" t="s">
        <v>643</v>
      </c>
    </row>
    <row r="16" spans="1:10" ht="15.75" customHeight="1">
      <c r="A16" s="146">
        <v>43452.873777233792</v>
      </c>
      <c r="B16" s="109" t="s">
        <v>117</v>
      </c>
      <c r="C16" s="109" t="s">
        <v>130</v>
      </c>
      <c r="D16" s="109" t="s">
        <v>117</v>
      </c>
      <c r="E16" s="109" t="s">
        <v>117</v>
      </c>
      <c r="F16" s="109" t="s">
        <v>117</v>
      </c>
      <c r="G16" s="109" t="s">
        <v>117</v>
      </c>
      <c r="H16" s="109" t="s">
        <v>2949</v>
      </c>
    </row>
    <row r="17" spans="1:8" ht="15.75" customHeight="1">
      <c r="A17" s="146">
        <v>43578.711385949078</v>
      </c>
      <c r="B17" s="109" t="s">
        <v>117</v>
      </c>
      <c r="C17" s="109" t="s">
        <v>117</v>
      </c>
      <c r="D17" s="109" t="s">
        <v>117</v>
      </c>
      <c r="E17" s="109" t="s">
        <v>117</v>
      </c>
      <c r="F17" s="109" t="s">
        <v>117</v>
      </c>
      <c r="G17" s="109" t="s">
        <v>117</v>
      </c>
      <c r="H17" s="109" t="s">
        <v>421</v>
      </c>
    </row>
    <row r="18" spans="1:8" ht="15.75" customHeight="1">
      <c r="A18" s="146">
        <v>43578.711775324075</v>
      </c>
      <c r="B18" s="109" t="s">
        <v>117</v>
      </c>
      <c r="C18" s="109" t="s">
        <v>117</v>
      </c>
      <c r="D18" s="109" t="s">
        <v>117</v>
      </c>
      <c r="E18" s="109" t="s">
        <v>117</v>
      </c>
      <c r="F18" s="109" t="s">
        <v>117</v>
      </c>
      <c r="G18" s="109" t="s">
        <v>117</v>
      </c>
      <c r="H18" s="109" t="s">
        <v>470</v>
      </c>
    </row>
    <row r="19" spans="1:8" ht="15.75" customHeight="1">
      <c r="A19" s="146">
        <v>43578.732538738426</v>
      </c>
      <c r="B19" s="109" t="s">
        <v>117</v>
      </c>
      <c r="C19" s="109" t="s">
        <v>117</v>
      </c>
      <c r="D19" s="109" t="s">
        <v>117</v>
      </c>
      <c r="E19" s="109" t="s">
        <v>117</v>
      </c>
      <c r="F19" s="109" t="s">
        <v>117</v>
      </c>
      <c r="G19" s="109" t="s">
        <v>117</v>
      </c>
      <c r="H19" s="109" t="s">
        <v>489</v>
      </c>
    </row>
    <row r="20" spans="1:8" ht="15.75" customHeight="1">
      <c r="A20" s="146">
        <v>43578.763466180557</v>
      </c>
      <c r="B20" s="109" t="s">
        <v>117</v>
      </c>
      <c r="C20" s="109" t="s">
        <v>117</v>
      </c>
      <c r="D20" s="109" t="s">
        <v>117</v>
      </c>
      <c r="E20" s="109" t="s">
        <v>117</v>
      </c>
      <c r="F20" s="109" t="s">
        <v>117</v>
      </c>
      <c r="G20" s="109" t="s">
        <v>117</v>
      </c>
      <c r="H20" s="109" t="s">
        <v>2960</v>
      </c>
    </row>
    <row r="21" spans="1:8" ht="15.75" customHeight="1">
      <c r="A21" s="146">
        <v>43585.552765138884</v>
      </c>
      <c r="B21" s="109" t="s">
        <v>117</v>
      </c>
      <c r="C21" s="109" t="s">
        <v>117</v>
      </c>
      <c r="D21" s="109" t="s">
        <v>117</v>
      </c>
      <c r="E21" s="109" t="s">
        <v>117</v>
      </c>
      <c r="F21" s="109" t="s">
        <v>117</v>
      </c>
      <c r="G21" s="109" t="s">
        <v>117</v>
      </c>
      <c r="H21" s="109" t="s">
        <v>2963</v>
      </c>
    </row>
    <row r="22" spans="1:8" ht="15.75" customHeight="1">
      <c r="A22" s="146">
        <v>43585.657880243059</v>
      </c>
      <c r="B22" s="109" t="s">
        <v>117</v>
      </c>
      <c r="C22" s="109" t="s">
        <v>117</v>
      </c>
      <c r="D22" s="109" t="s">
        <v>117</v>
      </c>
      <c r="E22" s="109" t="s">
        <v>117</v>
      </c>
      <c r="F22" s="109" t="s">
        <v>117</v>
      </c>
      <c r="G22" s="109" t="s">
        <v>117</v>
      </c>
      <c r="H22" s="109" t="s">
        <v>1098</v>
      </c>
    </row>
    <row r="23" spans="1:8" ht="15.75" customHeight="1">
      <c r="A23" s="146">
        <v>43586.584147789355</v>
      </c>
      <c r="B23" s="109" t="s">
        <v>117</v>
      </c>
      <c r="C23" s="109" t="s">
        <v>117</v>
      </c>
      <c r="D23" s="109" t="s">
        <v>117</v>
      </c>
      <c r="E23" s="109" t="s">
        <v>117</v>
      </c>
      <c r="F23" s="109" t="s">
        <v>117</v>
      </c>
      <c r="G23" s="109" t="s">
        <v>117</v>
      </c>
      <c r="H23" s="109" t="s">
        <v>1343</v>
      </c>
    </row>
    <row r="24" spans="1:8" ht="15.75" customHeight="1">
      <c r="A24" s="146">
        <v>43587.169178460652</v>
      </c>
      <c r="B24" s="109" t="s">
        <v>117</v>
      </c>
      <c r="C24" s="109" t="s">
        <v>117</v>
      </c>
      <c r="D24" s="109" t="s">
        <v>117</v>
      </c>
      <c r="E24" s="109" t="s">
        <v>117</v>
      </c>
      <c r="F24" s="109" t="s">
        <v>117</v>
      </c>
      <c r="G24" s="109" t="s">
        <v>117</v>
      </c>
      <c r="H24" s="109" t="s">
        <v>503</v>
      </c>
    </row>
    <row r="25" spans="1:8" ht="15.75" customHeight="1">
      <c r="A25" s="146">
        <v>43588.377019328706</v>
      </c>
      <c r="B25" s="109" t="s">
        <v>117</v>
      </c>
      <c r="C25" s="109" t="s">
        <v>117</v>
      </c>
      <c r="D25" s="109" t="s">
        <v>117</v>
      </c>
      <c r="E25" s="109" t="s">
        <v>117</v>
      </c>
      <c r="F25" s="109" t="s">
        <v>117</v>
      </c>
      <c r="G25" s="109" t="s">
        <v>117</v>
      </c>
      <c r="H25" s="109" t="s">
        <v>1482</v>
      </c>
    </row>
    <row r="26" spans="1:8" ht="15.75" customHeight="1">
      <c r="A26" s="146">
        <v>43588.417145810185</v>
      </c>
      <c r="B26" s="109" t="s">
        <v>117</v>
      </c>
      <c r="C26" s="109" t="s">
        <v>117</v>
      </c>
      <c r="D26" s="109" t="s">
        <v>117</v>
      </c>
      <c r="E26" s="109" t="s">
        <v>117</v>
      </c>
      <c r="F26" s="109" t="s">
        <v>117</v>
      </c>
      <c r="G26" s="109" t="s">
        <v>117</v>
      </c>
      <c r="H26" s="109" t="s">
        <v>470</v>
      </c>
    </row>
    <row r="27" spans="1:8" ht="15.75" customHeight="1">
      <c r="A27" s="146">
        <v>43592.488563761573</v>
      </c>
      <c r="B27" s="109" t="s">
        <v>117</v>
      </c>
      <c r="C27" s="109" t="s">
        <v>117</v>
      </c>
      <c r="D27" s="109" t="s">
        <v>117</v>
      </c>
      <c r="E27" s="109" t="s">
        <v>117</v>
      </c>
      <c r="F27" s="109" t="s">
        <v>117</v>
      </c>
      <c r="G27" s="109" t="s">
        <v>117</v>
      </c>
      <c r="H27" s="109" t="s">
        <v>2976</v>
      </c>
    </row>
    <row r="28" spans="1:8" ht="15.75" customHeight="1">
      <c r="A28" s="146">
        <v>43609.621032604162</v>
      </c>
      <c r="B28" s="109" t="s">
        <v>117</v>
      </c>
      <c r="C28" s="109" t="s">
        <v>117</v>
      </c>
      <c r="D28" s="109" t="s">
        <v>117</v>
      </c>
      <c r="E28" s="109" t="s">
        <v>117</v>
      </c>
      <c r="F28" s="109" t="s">
        <v>117</v>
      </c>
      <c r="G28" s="109" t="s">
        <v>117</v>
      </c>
      <c r="H28" s="109" t="s">
        <v>592</v>
      </c>
    </row>
    <row r="29" spans="1:8" ht="15.75" customHeight="1">
      <c r="A29" s="146">
        <v>43616.689492060184</v>
      </c>
      <c r="B29" s="109" t="s">
        <v>117</v>
      </c>
      <c r="C29" s="109" t="s">
        <v>117</v>
      </c>
      <c r="D29" s="109" t="s">
        <v>117</v>
      </c>
      <c r="E29" s="109" t="s">
        <v>117</v>
      </c>
      <c r="F29" s="109" t="s">
        <v>117</v>
      </c>
      <c r="G29" s="109" t="s">
        <v>117</v>
      </c>
      <c r="H29" s="109" t="s">
        <v>1328</v>
      </c>
    </row>
    <row r="30" spans="1:8" ht="15.75" customHeight="1">
      <c r="A30" s="146">
        <v>43619.869767812503</v>
      </c>
      <c r="B30" s="109" t="s">
        <v>117</v>
      </c>
      <c r="C30" s="109" t="s">
        <v>117</v>
      </c>
      <c r="D30" s="109" t="s">
        <v>117</v>
      </c>
      <c r="E30" s="109" t="s">
        <v>117</v>
      </c>
      <c r="F30" s="109" t="s">
        <v>117</v>
      </c>
      <c r="G30" s="109" t="s">
        <v>117</v>
      </c>
      <c r="H30" s="109" t="s">
        <v>1234</v>
      </c>
    </row>
    <row r="31" spans="1:8" ht="15.75" customHeight="1">
      <c r="A31" s="146">
        <v>43619.961420474538</v>
      </c>
      <c r="B31" s="109" t="s">
        <v>117</v>
      </c>
      <c r="C31" s="109" t="s">
        <v>117</v>
      </c>
      <c r="D31" s="109" t="s">
        <v>117</v>
      </c>
      <c r="E31" s="109" t="s">
        <v>117</v>
      </c>
      <c r="F31" s="109" t="s">
        <v>117</v>
      </c>
      <c r="G31" s="109" t="s">
        <v>117</v>
      </c>
      <c r="H31" s="109" t="s">
        <v>1064</v>
      </c>
    </row>
    <row r="32" spans="1:8" ht="15.75" customHeight="1">
      <c r="A32" s="146">
        <v>43670.143705706017</v>
      </c>
      <c r="B32" s="109" t="s">
        <v>117</v>
      </c>
      <c r="C32" s="109" t="s">
        <v>117</v>
      </c>
      <c r="D32" s="109" t="s">
        <v>117</v>
      </c>
      <c r="E32" s="109" t="s">
        <v>117</v>
      </c>
      <c r="F32" s="109" t="s">
        <v>117</v>
      </c>
      <c r="G32" s="109" t="s">
        <v>117</v>
      </c>
      <c r="H32" s="109" t="s">
        <v>1711</v>
      </c>
    </row>
    <row r="33" spans="1:8" ht="15.75" customHeight="1">
      <c r="A33" s="146">
        <v>43692.678304108791</v>
      </c>
      <c r="B33" s="109" t="s">
        <v>117</v>
      </c>
      <c r="C33" s="109" t="s">
        <v>117</v>
      </c>
      <c r="D33" s="109" t="s">
        <v>117</v>
      </c>
      <c r="E33" s="109" t="s">
        <v>117</v>
      </c>
      <c r="F33" s="109" t="s">
        <v>117</v>
      </c>
      <c r="G33" s="109" t="s">
        <v>117</v>
      </c>
      <c r="H33" s="109" t="s">
        <v>1951</v>
      </c>
    </row>
    <row r="34" spans="1:8" ht="15.75" customHeight="1">
      <c r="A34" s="146">
        <v>43692.697863981477</v>
      </c>
      <c r="B34" s="109" t="s">
        <v>117</v>
      </c>
      <c r="C34" s="109" t="s">
        <v>117</v>
      </c>
      <c r="D34" s="109" t="s">
        <v>117</v>
      </c>
      <c r="E34" s="109" t="s">
        <v>117</v>
      </c>
      <c r="F34" s="109" t="s">
        <v>117</v>
      </c>
      <c r="G34" s="109" t="s">
        <v>117</v>
      </c>
      <c r="H34" s="109" t="s">
        <v>1872</v>
      </c>
    </row>
    <row r="35" spans="1:8" ht="15.75" customHeight="1">
      <c r="A35" s="146">
        <v>43692.701648738424</v>
      </c>
      <c r="B35" s="109" t="s">
        <v>117</v>
      </c>
      <c r="C35" s="109" t="s">
        <v>117</v>
      </c>
      <c r="D35" s="109" t="s">
        <v>117</v>
      </c>
      <c r="E35" s="109" t="s">
        <v>117</v>
      </c>
      <c r="F35" s="109" t="s">
        <v>117</v>
      </c>
      <c r="G35" s="109" t="s">
        <v>117</v>
      </c>
      <c r="H35" s="109" t="s">
        <v>1621</v>
      </c>
    </row>
    <row r="36" spans="1:8" ht="15.75" customHeight="1">
      <c r="A36" s="146">
        <v>43692.759340196761</v>
      </c>
      <c r="B36" s="109" t="s">
        <v>117</v>
      </c>
      <c r="C36" s="109" t="s">
        <v>117</v>
      </c>
      <c r="D36" s="109" t="s">
        <v>117</v>
      </c>
      <c r="E36" s="109" t="s">
        <v>117</v>
      </c>
      <c r="F36" s="109" t="s">
        <v>117</v>
      </c>
      <c r="G36" s="109" t="s">
        <v>117</v>
      </c>
      <c r="H36" s="109" t="s">
        <v>2130</v>
      </c>
    </row>
    <row r="37" spans="1:8" ht="15.75" customHeight="1">
      <c r="A37" s="146">
        <v>43693.359465335649</v>
      </c>
      <c r="B37" s="109" t="s">
        <v>117</v>
      </c>
      <c r="C37" s="109" t="s">
        <v>117</v>
      </c>
      <c r="D37" s="109" t="s">
        <v>117</v>
      </c>
      <c r="E37" s="109" t="s">
        <v>117</v>
      </c>
      <c r="F37" s="109" t="s">
        <v>117</v>
      </c>
      <c r="G37" s="109" t="s">
        <v>117</v>
      </c>
      <c r="H37" s="109" t="s">
        <v>3005</v>
      </c>
    </row>
    <row r="38" spans="1:8" ht="15.75" customHeight="1">
      <c r="A38" s="146">
        <v>43693.371166921293</v>
      </c>
      <c r="B38" s="109" t="s">
        <v>117</v>
      </c>
      <c r="C38" s="109" t="s">
        <v>117</v>
      </c>
      <c r="D38" s="109" t="s">
        <v>117</v>
      </c>
      <c r="E38" s="109" t="s">
        <v>117</v>
      </c>
      <c r="F38" s="109" t="s">
        <v>117</v>
      </c>
      <c r="G38" s="109" t="s">
        <v>117</v>
      </c>
      <c r="H38" s="109" t="s">
        <v>1941</v>
      </c>
    </row>
    <row r="39" spans="1:8" ht="15.75" customHeight="1">
      <c r="A39" s="146">
        <v>43693.510405682871</v>
      </c>
      <c r="B39" s="109" t="s">
        <v>117</v>
      </c>
      <c r="C39" s="109" t="s">
        <v>117</v>
      </c>
      <c r="D39" s="109" t="s">
        <v>117</v>
      </c>
      <c r="E39" s="109" t="s">
        <v>117</v>
      </c>
      <c r="F39" s="109" t="s">
        <v>117</v>
      </c>
      <c r="G39" s="109" t="s">
        <v>117</v>
      </c>
      <c r="H39" s="109" t="s">
        <v>3013</v>
      </c>
    </row>
    <row r="40" spans="1:8" ht="15.75" customHeight="1">
      <c r="A40" s="146">
        <v>43693.519162187498</v>
      </c>
      <c r="B40" s="109" t="s">
        <v>117</v>
      </c>
      <c r="C40" s="109" t="s">
        <v>117</v>
      </c>
      <c r="D40" s="109" t="s">
        <v>117</v>
      </c>
      <c r="E40" s="109" t="s">
        <v>117</v>
      </c>
      <c r="F40" s="109" t="s">
        <v>117</v>
      </c>
      <c r="G40" s="109" t="s">
        <v>117</v>
      </c>
      <c r="H40" s="109" t="s">
        <v>1702</v>
      </c>
    </row>
    <row r="41" spans="1:8" ht="15.75" customHeight="1">
      <c r="A41" s="146">
        <v>43727.487001898146</v>
      </c>
      <c r="B41" s="109" t="s">
        <v>117</v>
      </c>
      <c r="C41" s="109" t="s">
        <v>117</v>
      </c>
      <c r="D41" s="109" t="s">
        <v>117</v>
      </c>
      <c r="E41" s="109" t="s">
        <v>117</v>
      </c>
      <c r="F41" s="109" t="s">
        <v>117</v>
      </c>
      <c r="G41" s="109" t="s">
        <v>117</v>
      </c>
      <c r="H41" s="109" t="s">
        <v>3023</v>
      </c>
    </row>
    <row r="42" spans="1:8" ht="15.75" customHeight="1">
      <c r="A42" s="146">
        <v>43755.649125555559</v>
      </c>
      <c r="B42" s="109" t="s">
        <v>117</v>
      </c>
      <c r="C42" s="109" t="s">
        <v>117</v>
      </c>
      <c r="D42" s="109" t="s">
        <v>117</v>
      </c>
      <c r="E42" s="109" t="s">
        <v>117</v>
      </c>
      <c r="F42" s="109" t="s">
        <v>117</v>
      </c>
      <c r="G42" s="109" t="s">
        <v>117</v>
      </c>
      <c r="H42" s="109" t="s">
        <v>1382</v>
      </c>
    </row>
    <row r="43" spans="1:8" ht="15.75" customHeight="1">
      <c r="A43" s="146">
        <v>43846.68129896991</v>
      </c>
      <c r="B43" s="109" t="s">
        <v>117</v>
      </c>
      <c r="C43" s="109" t="s">
        <v>117</v>
      </c>
      <c r="D43" s="109" t="s">
        <v>117</v>
      </c>
      <c r="E43" s="109" t="s">
        <v>117</v>
      </c>
      <c r="F43" s="109" t="s">
        <v>117</v>
      </c>
      <c r="G43" s="109" t="s">
        <v>117</v>
      </c>
      <c r="H43" s="109" t="s">
        <v>3031</v>
      </c>
    </row>
    <row r="44" spans="1:8" ht="15.75" customHeight="1">
      <c r="A44" s="146">
        <v>43846.772450578705</v>
      </c>
      <c r="B44" s="109" t="s">
        <v>117</v>
      </c>
      <c r="C44" s="109" t="s">
        <v>117</v>
      </c>
      <c r="D44" s="109" t="s">
        <v>117</v>
      </c>
      <c r="E44" s="109" t="s">
        <v>117</v>
      </c>
      <c r="F44" s="109" t="s">
        <v>117</v>
      </c>
      <c r="G44" s="109" t="s">
        <v>117</v>
      </c>
      <c r="H44" s="109" t="s">
        <v>290</v>
      </c>
    </row>
    <row r="45" spans="1:8" ht="15.75" customHeight="1">
      <c r="A45" s="146">
        <v>43846.796634791666</v>
      </c>
      <c r="B45" s="109" t="s">
        <v>117</v>
      </c>
      <c r="C45" s="109" t="s">
        <v>117</v>
      </c>
      <c r="D45" s="109" t="s">
        <v>117</v>
      </c>
      <c r="E45" s="109" t="s">
        <v>117</v>
      </c>
      <c r="F45" s="109" t="s">
        <v>117</v>
      </c>
      <c r="G45" s="109" t="s">
        <v>117</v>
      </c>
      <c r="H45" s="109" t="s">
        <v>2950</v>
      </c>
    </row>
    <row r="46" spans="1:8" ht="15.75" customHeight="1">
      <c r="A46" s="146">
        <v>43847.253393888888</v>
      </c>
      <c r="B46" s="109" t="s">
        <v>117</v>
      </c>
      <c r="C46" s="109" t="s">
        <v>117</v>
      </c>
      <c r="D46" s="109" t="s">
        <v>117</v>
      </c>
      <c r="E46" s="109" t="s">
        <v>117</v>
      </c>
      <c r="F46" s="109" t="s">
        <v>117</v>
      </c>
      <c r="G46" s="109" t="s">
        <v>117</v>
      </c>
      <c r="H46" s="109" t="s">
        <v>2770</v>
      </c>
    </row>
    <row r="47" spans="1:8" ht="15.75" customHeight="1">
      <c r="A47" s="146">
        <v>43847.320134745372</v>
      </c>
      <c r="B47" s="109" t="s">
        <v>117</v>
      </c>
      <c r="C47" s="109" t="s">
        <v>117</v>
      </c>
      <c r="D47" s="109" t="s">
        <v>117</v>
      </c>
      <c r="E47" s="109" t="s">
        <v>117</v>
      </c>
      <c r="F47" s="109" t="s">
        <v>117</v>
      </c>
      <c r="G47" s="109" t="s">
        <v>117</v>
      </c>
      <c r="H47" s="109" t="s">
        <v>2850</v>
      </c>
    </row>
    <row r="48" spans="1:8" ht="15.75" customHeight="1">
      <c r="A48" s="146">
        <v>43847.508495023147</v>
      </c>
      <c r="B48" s="109" t="s">
        <v>117</v>
      </c>
      <c r="C48" s="109" t="s">
        <v>117</v>
      </c>
      <c r="D48" s="109" t="s">
        <v>117</v>
      </c>
      <c r="E48" s="109" t="s">
        <v>117</v>
      </c>
      <c r="F48" s="109" t="s">
        <v>117</v>
      </c>
      <c r="G48" s="109" t="s">
        <v>117</v>
      </c>
      <c r="H48" s="109" t="s">
        <v>3040</v>
      </c>
    </row>
    <row r="49" spans="1:8" ht="15.75" customHeight="1">
      <c r="A49" s="146">
        <v>43847.672736689812</v>
      </c>
      <c r="B49" s="109" t="s">
        <v>117</v>
      </c>
      <c r="C49" s="109" t="s">
        <v>117</v>
      </c>
      <c r="D49" s="109" t="s">
        <v>117</v>
      </c>
      <c r="E49" s="109" t="s">
        <v>117</v>
      </c>
      <c r="F49" s="109" t="s">
        <v>117</v>
      </c>
      <c r="G49" s="109" t="s">
        <v>117</v>
      </c>
      <c r="H49" s="109" t="s">
        <v>1315</v>
      </c>
    </row>
    <row r="50" spans="1:8" ht="15.75" customHeight="1">
      <c r="A50" s="146">
        <v>43847.824726828709</v>
      </c>
      <c r="B50" s="109" t="s">
        <v>117</v>
      </c>
      <c r="C50" s="109" t="s">
        <v>117</v>
      </c>
      <c r="D50" s="109" t="s">
        <v>117</v>
      </c>
      <c r="E50" s="109" t="s">
        <v>117</v>
      </c>
      <c r="F50" s="109" t="s">
        <v>117</v>
      </c>
      <c r="G50" s="109" t="s">
        <v>117</v>
      </c>
      <c r="H50" s="109" t="s">
        <v>3046</v>
      </c>
    </row>
    <row r="51" spans="1:8" ht="15.75" customHeight="1">
      <c r="A51" s="146">
        <v>43849.536068460649</v>
      </c>
      <c r="B51" s="109" t="s">
        <v>117</v>
      </c>
      <c r="C51" s="109" t="s">
        <v>117</v>
      </c>
      <c r="D51" s="109" t="s">
        <v>117</v>
      </c>
      <c r="E51" s="109" t="s">
        <v>117</v>
      </c>
      <c r="F51" s="109" t="s">
        <v>117</v>
      </c>
      <c r="G51" s="109" t="s">
        <v>117</v>
      </c>
      <c r="H51" s="109" t="s">
        <v>3051</v>
      </c>
    </row>
    <row r="52" spans="1:8" ht="15.75" customHeight="1">
      <c r="A52" s="146">
        <v>43849.853186145832</v>
      </c>
      <c r="B52" s="109" t="s">
        <v>117</v>
      </c>
      <c r="C52" s="109" t="s">
        <v>117</v>
      </c>
      <c r="D52" s="109" t="s">
        <v>117</v>
      </c>
      <c r="E52" s="109" t="s">
        <v>117</v>
      </c>
      <c r="F52" s="109" t="s">
        <v>117</v>
      </c>
      <c r="G52" s="109" t="s">
        <v>117</v>
      </c>
      <c r="H52" s="109" t="s">
        <v>3055</v>
      </c>
    </row>
    <row r="53" spans="1:8" ht="15.75" customHeight="1">
      <c r="A53" s="146">
        <v>43851.327535937497</v>
      </c>
      <c r="B53" s="109" t="s">
        <v>117</v>
      </c>
      <c r="C53" s="109" t="s">
        <v>117</v>
      </c>
      <c r="D53" s="109" t="s">
        <v>117</v>
      </c>
      <c r="E53" s="109" t="s">
        <v>117</v>
      </c>
      <c r="F53" s="109" t="s">
        <v>117</v>
      </c>
      <c r="G53" s="109" t="s">
        <v>117</v>
      </c>
      <c r="H53" s="109" t="s">
        <v>2744</v>
      </c>
    </row>
    <row r="54" spans="1:8" ht="15.75" customHeight="1">
      <c r="A54" s="146">
        <v>43851.330912407408</v>
      </c>
      <c r="B54" s="109" t="s">
        <v>117</v>
      </c>
      <c r="C54" s="109" t="s">
        <v>117</v>
      </c>
      <c r="D54" s="109" t="s">
        <v>117</v>
      </c>
      <c r="E54" s="109" t="s">
        <v>117</v>
      </c>
      <c r="F54" s="109" t="s">
        <v>130</v>
      </c>
      <c r="G54" s="109" t="s">
        <v>117</v>
      </c>
      <c r="H54" s="109" t="s">
        <v>3061</v>
      </c>
    </row>
    <row r="55" spans="1:8" ht="15.75" customHeight="1">
      <c r="A55" s="146">
        <v>43852.549229201388</v>
      </c>
      <c r="B55" s="109" t="s">
        <v>117</v>
      </c>
      <c r="C55" s="109" t="s">
        <v>117</v>
      </c>
      <c r="D55" s="109" t="s">
        <v>117</v>
      </c>
      <c r="E55" s="109" t="s">
        <v>117</v>
      </c>
      <c r="F55" s="109" t="s">
        <v>117</v>
      </c>
      <c r="G55" s="109" t="s">
        <v>117</v>
      </c>
      <c r="H55" s="109" t="s">
        <v>3065</v>
      </c>
    </row>
    <row r="56" spans="1:8" ht="15.75" customHeight="1">
      <c r="A56" s="146">
        <v>43853.191088159721</v>
      </c>
      <c r="B56" s="109" t="s">
        <v>117</v>
      </c>
      <c r="C56" s="109" t="s">
        <v>117</v>
      </c>
      <c r="D56" s="109" t="s">
        <v>117</v>
      </c>
      <c r="E56" s="109" t="s">
        <v>117</v>
      </c>
      <c r="F56" s="109" t="s">
        <v>117</v>
      </c>
      <c r="G56" s="109" t="s">
        <v>117</v>
      </c>
      <c r="H56" s="109" t="s">
        <v>3068</v>
      </c>
    </row>
    <row r="57" spans="1:8" ht="15.75" customHeight="1">
      <c r="A57" s="146">
        <v>43853.481038692131</v>
      </c>
      <c r="B57" s="109" t="s">
        <v>117</v>
      </c>
      <c r="C57" s="109" t="s">
        <v>117</v>
      </c>
      <c r="D57" s="109" t="s">
        <v>117</v>
      </c>
      <c r="E57" s="109" t="s">
        <v>117</v>
      </c>
      <c r="F57" s="109" t="s">
        <v>117</v>
      </c>
      <c r="G57" s="109" t="s">
        <v>117</v>
      </c>
      <c r="H57" s="109" t="s">
        <v>3071</v>
      </c>
    </row>
    <row r="58" spans="1:8" ht="15.75" customHeight="1">
      <c r="A58" s="146">
        <v>43858.201315798608</v>
      </c>
      <c r="B58" s="109" t="s">
        <v>117</v>
      </c>
      <c r="C58" s="109" t="s">
        <v>117</v>
      </c>
      <c r="D58" s="109" t="s">
        <v>117</v>
      </c>
      <c r="E58" s="109" t="s">
        <v>117</v>
      </c>
      <c r="F58" s="109" t="s">
        <v>117</v>
      </c>
      <c r="G58" s="109" t="s">
        <v>117</v>
      </c>
      <c r="H58" s="109" t="s">
        <v>3072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16"/>
  <sheetViews>
    <sheetView workbookViewId="0">
      <pane ySplit="1" topLeftCell="A2" activePane="bottomLeft" state="frozen"/>
      <selection pane="bottomLeft" activeCell="B3" sqref="B3"/>
    </sheetView>
  </sheetViews>
  <sheetFormatPr baseColWidth="10" defaultColWidth="14.5" defaultRowHeight="15.75" customHeight="1"/>
  <cols>
    <col min="1" max="11" width="21.5" customWidth="1"/>
  </cols>
  <sheetData>
    <row r="1" spans="1:5" ht="15.75" customHeight="1">
      <c r="A1" t="s">
        <v>58</v>
      </c>
      <c r="B1" s="109" t="s">
        <v>3073</v>
      </c>
      <c r="C1" s="109" t="s">
        <v>3074</v>
      </c>
      <c r="D1" s="109" t="s">
        <v>3075</v>
      </c>
      <c r="E1" s="109" t="s">
        <v>3076</v>
      </c>
    </row>
    <row r="2" spans="1:5" ht="15.75" customHeight="1">
      <c r="A2" s="146">
        <v>43454.339389039349</v>
      </c>
      <c r="B2" s="109" t="s">
        <v>117</v>
      </c>
      <c r="C2" s="109" t="s">
        <v>117</v>
      </c>
      <c r="D2" s="109" t="s">
        <v>675</v>
      </c>
      <c r="E2" s="109" t="s">
        <v>3077</v>
      </c>
    </row>
    <row r="3" spans="1:5" ht="15.75" customHeight="1">
      <c r="A3" s="146">
        <v>43454.46055502315</v>
      </c>
      <c r="B3" s="109" t="s">
        <v>117</v>
      </c>
      <c r="C3" s="109" t="s">
        <v>117</v>
      </c>
      <c r="D3" s="109" t="s">
        <v>658</v>
      </c>
      <c r="E3" s="109" t="s">
        <v>3077</v>
      </c>
    </row>
    <row r="4" spans="1:5" ht="15.75" customHeight="1">
      <c r="A4" s="146">
        <v>43458.548132546297</v>
      </c>
      <c r="B4" s="109" t="s">
        <v>117</v>
      </c>
      <c r="C4" s="109" t="s">
        <v>117</v>
      </c>
      <c r="D4" s="109" t="s">
        <v>664</v>
      </c>
      <c r="E4" s="165" t="s">
        <v>3078</v>
      </c>
    </row>
    <row r="5" spans="1:5" ht="15.75" customHeight="1">
      <c r="A5" s="146">
        <v>43468.989018900465</v>
      </c>
      <c r="B5" s="109" t="s">
        <v>117</v>
      </c>
      <c r="C5" s="109" t="s">
        <v>117</v>
      </c>
      <c r="D5" s="109" t="s">
        <v>669</v>
      </c>
      <c r="E5" s="165" t="s">
        <v>3079</v>
      </c>
    </row>
    <row r="6" spans="1:5" ht="15.75" customHeight="1">
      <c r="A6" s="146">
        <v>43473.425471342591</v>
      </c>
      <c r="B6" s="109" t="s">
        <v>117</v>
      </c>
      <c r="C6" s="109" t="s">
        <v>117</v>
      </c>
      <c r="D6" s="109" t="s">
        <v>649</v>
      </c>
      <c r="E6" s="165" t="s">
        <v>3080</v>
      </c>
    </row>
    <row r="7" spans="1:5" ht="15.75" customHeight="1">
      <c r="A7" s="146">
        <v>43473.499655289357</v>
      </c>
      <c r="B7" s="109" t="s">
        <v>117</v>
      </c>
      <c r="C7" s="109" t="s">
        <v>117</v>
      </c>
      <c r="D7" s="109" t="s">
        <v>3081</v>
      </c>
      <c r="E7" s="165" t="s">
        <v>3080</v>
      </c>
    </row>
    <row r="8" spans="1:5" ht="15.75" customHeight="1">
      <c r="A8" s="146">
        <v>43504.566812812496</v>
      </c>
      <c r="B8" s="109" t="s">
        <v>117</v>
      </c>
      <c r="C8" s="109" t="s">
        <v>117</v>
      </c>
      <c r="D8" s="109" t="s">
        <v>3082</v>
      </c>
      <c r="E8" s="165" t="s">
        <v>3083</v>
      </c>
    </row>
    <row r="9" spans="1:5" ht="15.75" customHeight="1">
      <c r="A9" s="146">
        <v>43584.518452534721</v>
      </c>
      <c r="B9" s="109" t="s">
        <v>117</v>
      </c>
      <c r="C9" s="109" t="s">
        <v>117</v>
      </c>
      <c r="D9" s="109" t="s">
        <v>1309</v>
      </c>
      <c r="E9" s="165" t="s">
        <v>3084</v>
      </c>
    </row>
    <row r="10" spans="1:5" ht="15.75" customHeight="1">
      <c r="A10" s="146">
        <v>43585.55783424768</v>
      </c>
      <c r="B10" s="109" t="s">
        <v>117</v>
      </c>
      <c r="C10" s="109" t="s">
        <v>117</v>
      </c>
      <c r="D10" s="109" t="s">
        <v>3085</v>
      </c>
      <c r="E10" s="165" t="s">
        <v>3086</v>
      </c>
    </row>
    <row r="11" spans="1:5" ht="15.75" customHeight="1">
      <c r="A11" s="146">
        <v>43593.545794120371</v>
      </c>
      <c r="B11" s="109" t="s">
        <v>117</v>
      </c>
      <c r="C11" s="109" t="s">
        <v>117</v>
      </c>
      <c r="D11" s="109" t="s">
        <v>845</v>
      </c>
      <c r="E11" s="165" t="s">
        <v>3087</v>
      </c>
    </row>
    <row r="12" spans="1:5" ht="15.75" customHeight="1">
      <c r="A12" s="146">
        <v>43718.440453368057</v>
      </c>
      <c r="B12" s="109" t="s">
        <v>117</v>
      </c>
      <c r="C12" s="109" t="s">
        <v>117</v>
      </c>
      <c r="D12" s="109" t="s">
        <v>2162</v>
      </c>
      <c r="E12" s="165" t="s">
        <v>3088</v>
      </c>
    </row>
    <row r="13" spans="1:5" ht="15.75" customHeight="1">
      <c r="A13" s="146">
        <v>43718.478234016206</v>
      </c>
      <c r="B13" s="109" t="s">
        <v>117</v>
      </c>
      <c r="C13" s="109" t="s">
        <v>117</v>
      </c>
      <c r="D13" s="109" t="s">
        <v>1941</v>
      </c>
      <c r="E13" s="165" t="s">
        <v>3089</v>
      </c>
    </row>
    <row r="14" spans="1:5" ht="15.75" customHeight="1">
      <c r="A14" s="146">
        <v>43718.692504942126</v>
      </c>
      <c r="B14" s="109" t="s">
        <v>117</v>
      </c>
      <c r="C14" s="109" t="s">
        <v>117</v>
      </c>
      <c r="D14" s="109" t="s">
        <v>1670</v>
      </c>
      <c r="E14" s="165" t="s">
        <v>3088</v>
      </c>
    </row>
    <row r="15" spans="1:5" ht="15.75" customHeight="1">
      <c r="A15" s="146">
        <v>43719.357022303244</v>
      </c>
      <c r="B15" s="109" t="s">
        <v>117</v>
      </c>
      <c r="C15" s="109" t="s">
        <v>117</v>
      </c>
      <c r="D15" s="109" t="s">
        <v>3005</v>
      </c>
      <c r="E15" s="165" t="s">
        <v>3090</v>
      </c>
    </row>
    <row r="16" spans="1:5" ht="15.75" customHeight="1">
      <c r="A16" s="146">
        <v>43731.410915266199</v>
      </c>
      <c r="B16" s="109" t="s">
        <v>117</v>
      </c>
      <c r="C16" s="109" t="s">
        <v>117</v>
      </c>
      <c r="D16" s="109" t="s">
        <v>3013</v>
      </c>
      <c r="E16" s="165" t="s">
        <v>3091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I1"/>
  <sheetViews>
    <sheetView workbookViewId="0">
      <pane ySplit="1" topLeftCell="A2" activePane="bottomLeft" state="frozen"/>
      <selection pane="bottomLeft" activeCell="B3" sqref="B3"/>
    </sheetView>
  </sheetViews>
  <sheetFormatPr baseColWidth="10" defaultColWidth="14.5" defaultRowHeight="15.75" customHeight="1"/>
  <cols>
    <col min="1" max="3" width="21.5" customWidth="1"/>
    <col min="4" max="5" width="21.5" hidden="1" customWidth="1"/>
    <col min="6" max="15" width="21.5" customWidth="1"/>
  </cols>
  <sheetData>
    <row r="1" spans="1:9" ht="15.75" customHeight="1">
      <c r="A1" t="s">
        <v>58</v>
      </c>
      <c r="B1" s="109" t="s">
        <v>3092</v>
      </c>
      <c r="C1" s="109" t="s">
        <v>3093</v>
      </c>
      <c r="F1" s="109" t="s">
        <v>3094</v>
      </c>
      <c r="G1" s="109" t="s">
        <v>3095</v>
      </c>
      <c r="H1" s="109" t="s">
        <v>3096</v>
      </c>
      <c r="I1" s="109" t="s">
        <v>3097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
  <sheetViews>
    <sheetView workbookViewId="0"/>
  </sheetViews>
  <sheetFormatPr baseColWidth="10" defaultColWidth="14.5" defaultRowHeight="15.7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C1001"/>
  <sheetViews>
    <sheetView workbookViewId="0"/>
  </sheetViews>
  <sheetFormatPr baseColWidth="10" defaultColWidth="14.5" defaultRowHeight="15.75" customHeight="1"/>
  <cols>
    <col min="1" max="2" width="29.83203125" customWidth="1"/>
    <col min="3" max="8" width="26.5" customWidth="1"/>
  </cols>
  <sheetData>
    <row r="1" spans="1:29">
      <c r="A1" s="166" t="s">
        <v>3098</v>
      </c>
      <c r="B1" s="166" t="s">
        <v>3099</v>
      </c>
      <c r="C1" s="167" t="s">
        <v>19</v>
      </c>
      <c r="D1" s="167" t="s">
        <v>400</v>
      </c>
      <c r="E1" s="167" t="s">
        <v>251</v>
      </c>
      <c r="F1" s="167" t="s">
        <v>163</v>
      </c>
      <c r="G1" s="167" t="s">
        <v>136</v>
      </c>
      <c r="H1" s="168" t="s">
        <v>202</v>
      </c>
      <c r="I1" s="49"/>
      <c r="J1" s="49"/>
      <c r="K1" s="49"/>
      <c r="L1" s="49"/>
      <c r="M1" s="49"/>
      <c r="N1" s="49"/>
      <c r="O1" s="49"/>
      <c r="P1" s="49"/>
      <c r="Q1" s="49"/>
      <c r="R1" s="49"/>
      <c r="S1" s="49"/>
      <c r="T1" s="49"/>
      <c r="U1" s="49"/>
      <c r="V1" s="49"/>
      <c r="W1" s="49"/>
      <c r="X1" s="49"/>
      <c r="Y1" s="49"/>
      <c r="Z1" s="49"/>
      <c r="AA1" s="49"/>
      <c r="AB1" s="49"/>
      <c r="AC1" s="49"/>
    </row>
    <row r="2" spans="1:29">
      <c r="A2" s="166" t="s">
        <v>3100</v>
      </c>
      <c r="B2" s="169" t="s">
        <v>2712</v>
      </c>
      <c r="C2" s="170" t="s">
        <v>3101</v>
      </c>
      <c r="D2" s="170" t="s">
        <v>3101</v>
      </c>
      <c r="E2" s="170" t="s">
        <v>3101</v>
      </c>
      <c r="F2" s="170" t="s">
        <v>3101</v>
      </c>
      <c r="G2" s="170" t="s">
        <v>3101</v>
      </c>
      <c r="H2" s="171" t="s">
        <v>3101</v>
      </c>
      <c r="I2" s="49"/>
      <c r="J2" s="49"/>
      <c r="K2" s="49"/>
      <c r="L2" s="49"/>
      <c r="M2" s="49"/>
      <c r="N2" s="49"/>
      <c r="O2" s="49"/>
      <c r="P2" s="49"/>
      <c r="Q2" s="49"/>
      <c r="R2" s="49"/>
      <c r="S2" s="49"/>
      <c r="T2" s="49"/>
      <c r="U2" s="49"/>
      <c r="V2" s="49"/>
      <c r="W2" s="49"/>
      <c r="X2" s="49"/>
      <c r="Y2" s="49"/>
      <c r="Z2" s="49"/>
      <c r="AA2" s="49"/>
      <c r="AB2" s="49"/>
      <c r="AC2" s="49"/>
    </row>
    <row r="3" spans="1:29">
      <c r="A3" s="166" t="s">
        <v>3102</v>
      </c>
      <c r="B3" s="172" t="s">
        <v>3103</v>
      </c>
      <c r="C3" s="170"/>
      <c r="D3" s="170"/>
      <c r="E3" s="170"/>
      <c r="F3" s="170"/>
      <c r="G3" s="170"/>
      <c r="H3" s="171" t="s">
        <v>3104</v>
      </c>
      <c r="I3" s="49"/>
      <c r="J3" s="49"/>
      <c r="K3" s="49"/>
      <c r="L3" s="49"/>
      <c r="M3" s="49"/>
      <c r="N3" s="49"/>
      <c r="O3" s="49"/>
      <c r="P3" s="49"/>
      <c r="Q3" s="49"/>
      <c r="R3" s="49"/>
      <c r="S3" s="49"/>
      <c r="T3" s="49"/>
      <c r="U3" s="49"/>
      <c r="V3" s="49"/>
      <c r="W3" s="49"/>
      <c r="X3" s="49"/>
      <c r="Y3" s="49"/>
      <c r="Z3" s="49"/>
      <c r="AA3" s="49"/>
      <c r="AB3" s="49"/>
      <c r="AC3" s="49"/>
    </row>
    <row r="4" spans="1:29">
      <c r="A4" s="166" t="s">
        <v>3105</v>
      </c>
      <c r="B4" s="172" t="s">
        <v>3106</v>
      </c>
      <c r="C4" s="170"/>
      <c r="D4" s="170"/>
      <c r="E4" s="170"/>
      <c r="F4" s="170"/>
      <c r="G4" s="170"/>
      <c r="H4" s="171" t="s">
        <v>70</v>
      </c>
      <c r="I4" s="49"/>
      <c r="J4" s="49"/>
      <c r="K4" s="49"/>
      <c r="L4" s="49"/>
      <c r="M4" s="49"/>
      <c r="N4" s="49"/>
      <c r="O4" s="49"/>
      <c r="P4" s="49"/>
      <c r="Q4" s="49"/>
      <c r="R4" s="49"/>
      <c r="S4" s="49"/>
      <c r="T4" s="49"/>
      <c r="U4" s="49"/>
      <c r="V4" s="49"/>
      <c r="W4" s="49"/>
      <c r="X4" s="49"/>
      <c r="Y4" s="49"/>
      <c r="Z4" s="49"/>
      <c r="AA4" s="49"/>
      <c r="AB4" s="49"/>
      <c r="AC4" s="49"/>
    </row>
    <row r="5" spans="1:29">
      <c r="A5" s="166" t="s">
        <v>3107</v>
      </c>
      <c r="B5" s="169" t="s">
        <v>3108</v>
      </c>
      <c r="C5" s="170"/>
      <c r="D5" s="170"/>
      <c r="E5" s="170"/>
      <c r="F5" s="170"/>
      <c r="G5" s="170"/>
      <c r="H5" s="171" t="s">
        <v>70</v>
      </c>
      <c r="I5" s="49"/>
      <c r="J5" s="49"/>
      <c r="K5" s="49"/>
      <c r="L5" s="49"/>
      <c r="M5" s="49"/>
      <c r="N5" s="49"/>
      <c r="O5" s="49"/>
      <c r="P5" s="49"/>
      <c r="Q5" s="49"/>
      <c r="R5" s="49"/>
      <c r="S5" s="49"/>
      <c r="T5" s="49"/>
      <c r="U5" s="49"/>
      <c r="V5" s="49"/>
      <c r="W5" s="49"/>
      <c r="X5" s="49"/>
      <c r="Y5" s="49"/>
      <c r="Z5" s="49"/>
      <c r="AA5" s="49"/>
      <c r="AB5" s="49"/>
      <c r="AC5" s="49"/>
    </row>
    <row r="6" spans="1:29">
      <c r="A6" s="166" t="s">
        <v>3109</v>
      </c>
      <c r="B6" s="169" t="s">
        <v>3110</v>
      </c>
      <c r="C6" s="170"/>
      <c r="D6" s="170"/>
      <c r="E6" s="170"/>
      <c r="F6" s="170"/>
      <c r="G6" s="170"/>
      <c r="H6" s="171" t="s">
        <v>70</v>
      </c>
      <c r="I6" s="49"/>
      <c r="J6" s="49"/>
      <c r="K6" s="49"/>
      <c r="L6" s="49"/>
      <c r="M6" s="49"/>
      <c r="N6" s="49"/>
      <c r="O6" s="49"/>
      <c r="P6" s="49"/>
      <c r="Q6" s="49"/>
      <c r="R6" s="49"/>
      <c r="S6" s="49"/>
      <c r="T6" s="49"/>
      <c r="U6" s="49"/>
      <c r="V6" s="49"/>
      <c r="W6" s="49"/>
      <c r="X6" s="49"/>
      <c r="Y6" s="49"/>
      <c r="Z6" s="49"/>
      <c r="AA6" s="49"/>
      <c r="AB6" s="49"/>
      <c r="AC6" s="49"/>
    </row>
    <row r="7" spans="1:29">
      <c r="A7" s="166" t="s">
        <v>3111</v>
      </c>
      <c r="B7" s="169" t="s">
        <v>3110</v>
      </c>
      <c r="C7" s="170"/>
      <c r="D7" s="170"/>
      <c r="E7" s="170"/>
      <c r="F7" s="170"/>
      <c r="G7" s="170"/>
      <c r="H7" s="171" t="s">
        <v>70</v>
      </c>
      <c r="I7" s="49"/>
      <c r="J7" s="49"/>
      <c r="K7" s="49"/>
      <c r="L7" s="49"/>
      <c r="M7" s="49"/>
      <c r="N7" s="49"/>
      <c r="O7" s="49"/>
      <c r="P7" s="49"/>
      <c r="Q7" s="49"/>
      <c r="R7" s="49"/>
      <c r="S7" s="49"/>
      <c r="T7" s="49"/>
      <c r="U7" s="49"/>
      <c r="V7" s="49"/>
      <c r="W7" s="49"/>
      <c r="X7" s="49"/>
      <c r="Y7" s="49"/>
      <c r="Z7" s="49"/>
      <c r="AA7" s="49"/>
      <c r="AB7" s="49"/>
      <c r="AC7" s="49"/>
    </row>
    <row r="8" spans="1:29" ht="15.75" customHeight="1">
      <c r="A8" s="45"/>
      <c r="B8" s="45"/>
      <c r="C8" s="42"/>
      <c r="D8" s="42"/>
      <c r="E8" s="42"/>
      <c r="F8" s="42"/>
      <c r="G8" s="49"/>
      <c r="H8" s="173"/>
      <c r="I8" s="49"/>
      <c r="J8" s="49"/>
      <c r="K8" s="49"/>
      <c r="L8" s="49"/>
      <c r="M8" s="49"/>
      <c r="N8" s="49"/>
      <c r="O8" s="49"/>
      <c r="P8" s="49"/>
      <c r="Q8" s="49"/>
      <c r="R8" s="49"/>
      <c r="S8" s="49"/>
      <c r="T8" s="49"/>
      <c r="U8" s="49"/>
      <c r="V8" s="49"/>
      <c r="W8" s="49"/>
      <c r="X8" s="49"/>
      <c r="Y8" s="49"/>
      <c r="Z8" s="49"/>
      <c r="AA8" s="49"/>
      <c r="AB8" s="49"/>
      <c r="AC8" s="49"/>
    </row>
    <row r="9" spans="1:29" ht="15.75" customHeight="1">
      <c r="A9" s="47"/>
      <c r="B9" s="47"/>
      <c r="C9" s="49"/>
      <c r="D9" s="49"/>
      <c r="E9" s="49"/>
      <c r="F9" s="49"/>
      <c r="G9" s="49"/>
      <c r="H9" s="173"/>
      <c r="I9" s="49"/>
      <c r="J9" s="49"/>
      <c r="K9" s="49"/>
      <c r="L9" s="49"/>
      <c r="M9" s="49"/>
      <c r="N9" s="49"/>
      <c r="O9" s="49"/>
      <c r="P9" s="49"/>
      <c r="Q9" s="49"/>
      <c r="R9" s="49"/>
      <c r="S9" s="49"/>
      <c r="T9" s="49"/>
      <c r="U9" s="49"/>
      <c r="V9" s="49"/>
      <c r="W9" s="49"/>
      <c r="X9" s="49"/>
      <c r="Y9" s="49"/>
      <c r="Z9" s="49"/>
      <c r="AA9" s="49"/>
      <c r="AB9" s="49"/>
      <c r="AC9" s="49"/>
    </row>
    <row r="10" spans="1:29" ht="15.75" customHeight="1">
      <c r="A10" s="47"/>
      <c r="B10" s="47"/>
      <c r="C10" s="49"/>
      <c r="D10" s="49"/>
      <c r="E10" s="49"/>
      <c r="F10" s="49"/>
      <c r="G10" s="49"/>
      <c r="H10" s="173"/>
      <c r="I10" s="49"/>
      <c r="J10" s="49"/>
      <c r="K10" s="49"/>
      <c r="L10" s="49"/>
      <c r="M10" s="49"/>
      <c r="N10" s="49"/>
      <c r="O10" s="49"/>
      <c r="P10" s="49"/>
      <c r="Q10" s="49"/>
      <c r="R10" s="49"/>
      <c r="S10" s="49"/>
      <c r="T10" s="49"/>
      <c r="U10" s="49"/>
      <c r="V10" s="49"/>
      <c r="W10" s="49"/>
      <c r="X10" s="49"/>
      <c r="Y10" s="49"/>
      <c r="Z10" s="49"/>
      <c r="AA10" s="49"/>
      <c r="AB10" s="49"/>
      <c r="AC10" s="49"/>
    </row>
    <row r="11" spans="1:29" ht="15.75" customHeight="1">
      <c r="A11" s="47"/>
      <c r="B11" s="47"/>
      <c r="C11" s="49"/>
      <c r="D11" s="49"/>
      <c r="E11" s="49"/>
      <c r="F11" s="49"/>
      <c r="G11" s="49"/>
      <c r="H11" s="173"/>
      <c r="I11" s="49"/>
      <c r="J11" s="49"/>
      <c r="K11" s="49"/>
      <c r="L11" s="49"/>
      <c r="M11" s="49"/>
      <c r="N11" s="49"/>
      <c r="O11" s="49"/>
      <c r="P11" s="49"/>
      <c r="Q11" s="49"/>
      <c r="R11" s="49"/>
      <c r="S11" s="49"/>
      <c r="T11" s="49"/>
      <c r="U11" s="49"/>
      <c r="V11" s="49"/>
      <c r="W11" s="49"/>
      <c r="X11" s="49"/>
      <c r="Y11" s="49"/>
      <c r="Z11" s="49"/>
      <c r="AA11" s="49"/>
      <c r="AB11" s="49"/>
      <c r="AC11" s="49"/>
    </row>
    <row r="12" spans="1:29" ht="15.75" customHeight="1">
      <c r="A12" s="47"/>
      <c r="B12" s="47"/>
      <c r="C12" s="49"/>
      <c r="D12" s="49"/>
      <c r="E12" s="49"/>
      <c r="F12" s="49"/>
      <c r="G12" s="49"/>
      <c r="H12" s="173"/>
      <c r="I12" s="49"/>
      <c r="J12" s="49"/>
      <c r="K12" s="49"/>
      <c r="L12" s="49"/>
      <c r="M12" s="49"/>
      <c r="N12" s="49"/>
      <c r="O12" s="49"/>
      <c r="P12" s="49"/>
      <c r="Q12" s="49"/>
      <c r="R12" s="49"/>
      <c r="S12" s="49"/>
      <c r="T12" s="49"/>
      <c r="U12" s="49"/>
      <c r="V12" s="49"/>
      <c r="W12" s="49"/>
      <c r="X12" s="49"/>
      <c r="Y12" s="49"/>
      <c r="Z12" s="49"/>
      <c r="AA12" s="49"/>
      <c r="AB12" s="49"/>
      <c r="AC12" s="49"/>
    </row>
    <row r="13" spans="1:29" ht="15.75" customHeight="1">
      <c r="A13" s="47"/>
      <c r="B13" s="47"/>
      <c r="C13" s="49"/>
      <c r="D13" s="49"/>
      <c r="E13" s="49"/>
      <c r="F13" s="49"/>
      <c r="G13" s="49"/>
      <c r="H13" s="173"/>
      <c r="I13" s="49"/>
      <c r="J13" s="49"/>
      <c r="K13" s="49"/>
      <c r="L13" s="49"/>
      <c r="M13" s="49"/>
      <c r="N13" s="49"/>
      <c r="O13" s="49"/>
      <c r="P13" s="49"/>
      <c r="Q13" s="49"/>
      <c r="R13" s="49"/>
      <c r="S13" s="49"/>
      <c r="T13" s="49"/>
      <c r="U13" s="49"/>
      <c r="V13" s="49"/>
      <c r="W13" s="49"/>
      <c r="X13" s="49"/>
      <c r="Y13" s="49"/>
      <c r="Z13" s="49"/>
      <c r="AA13" s="49"/>
      <c r="AB13" s="49"/>
      <c r="AC13" s="49"/>
    </row>
    <row r="14" spans="1:29" ht="15.75" customHeight="1">
      <c r="A14" s="47"/>
      <c r="B14" s="47"/>
      <c r="C14" s="49"/>
      <c r="D14" s="49"/>
      <c r="E14" s="49"/>
      <c r="F14" s="49"/>
      <c r="G14" s="49"/>
      <c r="H14" s="173"/>
      <c r="I14" s="49"/>
      <c r="J14" s="49"/>
      <c r="K14" s="49"/>
      <c r="L14" s="49"/>
      <c r="M14" s="49"/>
      <c r="N14" s="49"/>
      <c r="O14" s="49"/>
      <c r="P14" s="49"/>
      <c r="Q14" s="49"/>
      <c r="R14" s="49"/>
      <c r="S14" s="49"/>
      <c r="T14" s="49"/>
      <c r="U14" s="49"/>
      <c r="V14" s="49"/>
      <c r="W14" s="49"/>
      <c r="X14" s="49"/>
      <c r="Y14" s="49"/>
      <c r="Z14" s="49"/>
      <c r="AA14" s="49"/>
      <c r="AB14" s="49"/>
      <c r="AC14" s="49"/>
    </row>
    <row r="15" spans="1:29" ht="15.75" customHeight="1">
      <c r="A15" s="47"/>
      <c r="B15" s="47"/>
      <c r="C15" s="49"/>
      <c r="D15" s="49"/>
      <c r="E15" s="49"/>
      <c r="F15" s="49"/>
      <c r="G15" s="49"/>
      <c r="H15" s="173"/>
      <c r="I15" s="49"/>
      <c r="J15" s="49"/>
      <c r="K15" s="49"/>
      <c r="L15" s="49"/>
      <c r="M15" s="49"/>
      <c r="N15" s="49"/>
      <c r="O15" s="49"/>
      <c r="P15" s="49"/>
      <c r="Q15" s="49"/>
      <c r="R15" s="49"/>
      <c r="S15" s="49"/>
      <c r="T15" s="49"/>
      <c r="U15" s="49"/>
      <c r="V15" s="49"/>
      <c r="W15" s="49"/>
      <c r="X15" s="49"/>
      <c r="Y15" s="49"/>
      <c r="Z15" s="49"/>
      <c r="AA15" s="49"/>
      <c r="AB15" s="49"/>
      <c r="AC15" s="49"/>
    </row>
    <row r="16" spans="1:29" ht="15.75" customHeight="1">
      <c r="A16" s="47"/>
      <c r="B16" s="47"/>
      <c r="C16" s="49"/>
      <c r="D16" s="49"/>
      <c r="E16" s="49"/>
      <c r="F16" s="49"/>
      <c r="G16" s="49"/>
      <c r="H16" s="173"/>
      <c r="I16" s="49"/>
      <c r="J16" s="49"/>
      <c r="K16" s="49"/>
      <c r="L16" s="49"/>
      <c r="M16" s="49"/>
      <c r="N16" s="49"/>
      <c r="O16" s="49"/>
      <c r="P16" s="49"/>
      <c r="Q16" s="49"/>
      <c r="R16" s="49"/>
      <c r="S16" s="49"/>
      <c r="T16" s="49"/>
      <c r="U16" s="49"/>
      <c r="V16" s="49"/>
      <c r="W16" s="49"/>
      <c r="X16" s="49"/>
      <c r="Y16" s="49"/>
      <c r="Z16" s="49"/>
      <c r="AA16" s="49"/>
      <c r="AB16" s="49"/>
      <c r="AC16" s="49"/>
    </row>
    <row r="17" spans="1:29" ht="15.75" customHeight="1">
      <c r="A17" s="47"/>
      <c r="B17" s="47"/>
      <c r="C17" s="49"/>
      <c r="D17" s="49"/>
      <c r="E17" s="49"/>
      <c r="F17" s="49"/>
      <c r="G17" s="49"/>
      <c r="H17" s="173"/>
      <c r="I17" s="49"/>
      <c r="J17" s="49"/>
      <c r="K17" s="49"/>
      <c r="L17" s="49"/>
      <c r="M17" s="49"/>
      <c r="N17" s="49"/>
      <c r="O17" s="49"/>
      <c r="P17" s="49"/>
      <c r="Q17" s="49"/>
      <c r="R17" s="49"/>
      <c r="S17" s="49"/>
      <c r="T17" s="49"/>
      <c r="U17" s="49"/>
      <c r="V17" s="49"/>
      <c r="W17" s="49"/>
      <c r="X17" s="49"/>
      <c r="Y17" s="49"/>
      <c r="Z17" s="49"/>
      <c r="AA17" s="49"/>
      <c r="AB17" s="49"/>
      <c r="AC17" s="49"/>
    </row>
    <row r="18" spans="1:29" ht="15.75" customHeight="1">
      <c r="A18" s="47"/>
      <c r="B18" s="47"/>
      <c r="C18" s="49"/>
      <c r="D18" s="49"/>
      <c r="E18" s="49"/>
      <c r="F18" s="49"/>
      <c r="G18" s="49"/>
      <c r="H18" s="173"/>
      <c r="I18" s="49"/>
      <c r="J18" s="49"/>
      <c r="K18" s="49"/>
      <c r="L18" s="49"/>
      <c r="M18" s="49"/>
      <c r="N18" s="49"/>
      <c r="O18" s="49"/>
      <c r="P18" s="49"/>
      <c r="Q18" s="49"/>
      <c r="R18" s="49"/>
      <c r="S18" s="49"/>
      <c r="T18" s="49"/>
      <c r="U18" s="49"/>
      <c r="V18" s="49"/>
      <c r="W18" s="49"/>
      <c r="X18" s="49"/>
      <c r="Y18" s="49"/>
      <c r="Z18" s="49"/>
      <c r="AA18" s="49"/>
      <c r="AB18" s="49"/>
      <c r="AC18" s="49"/>
    </row>
    <row r="19" spans="1:29" ht="15.75" customHeight="1">
      <c r="A19" s="47"/>
      <c r="B19" s="47"/>
      <c r="C19" s="49"/>
      <c r="D19" s="49"/>
      <c r="E19" s="49"/>
      <c r="F19" s="49"/>
      <c r="G19" s="49"/>
      <c r="H19" s="173"/>
      <c r="I19" s="49"/>
      <c r="J19" s="49"/>
      <c r="K19" s="49"/>
      <c r="L19" s="49"/>
      <c r="M19" s="49"/>
      <c r="N19" s="49"/>
      <c r="O19" s="49"/>
      <c r="P19" s="49"/>
      <c r="Q19" s="49"/>
      <c r="R19" s="49"/>
      <c r="S19" s="49"/>
      <c r="T19" s="49"/>
      <c r="U19" s="49"/>
      <c r="V19" s="49"/>
      <c r="W19" s="49"/>
      <c r="X19" s="49"/>
      <c r="Y19" s="49"/>
      <c r="Z19" s="49"/>
      <c r="AA19" s="49"/>
      <c r="AB19" s="49"/>
      <c r="AC19" s="49"/>
    </row>
    <row r="20" spans="1:29" ht="15.75" customHeight="1">
      <c r="A20" s="47"/>
      <c r="B20" s="47"/>
      <c r="C20" s="49"/>
      <c r="D20" s="49"/>
      <c r="E20" s="49"/>
      <c r="F20" s="49"/>
      <c r="G20" s="49"/>
      <c r="H20" s="173"/>
      <c r="I20" s="49"/>
      <c r="J20" s="49"/>
      <c r="K20" s="49"/>
      <c r="L20" s="49"/>
      <c r="M20" s="49"/>
      <c r="N20" s="49"/>
      <c r="O20" s="49"/>
      <c r="P20" s="49"/>
      <c r="Q20" s="49"/>
      <c r="R20" s="49"/>
      <c r="S20" s="49"/>
      <c r="T20" s="49"/>
      <c r="U20" s="49"/>
      <c r="V20" s="49"/>
      <c r="W20" s="49"/>
      <c r="X20" s="49"/>
      <c r="Y20" s="49"/>
      <c r="Z20" s="49"/>
      <c r="AA20" s="49"/>
      <c r="AB20" s="49"/>
      <c r="AC20" s="49"/>
    </row>
    <row r="21" spans="1:29" ht="15.75" customHeight="1">
      <c r="A21" s="47"/>
      <c r="B21" s="47"/>
      <c r="C21" s="49"/>
      <c r="D21" s="49"/>
      <c r="E21" s="49"/>
      <c r="F21" s="49"/>
      <c r="G21" s="49"/>
      <c r="H21" s="173"/>
      <c r="I21" s="49"/>
      <c r="J21" s="49"/>
      <c r="K21" s="49"/>
      <c r="L21" s="49"/>
      <c r="M21" s="49"/>
      <c r="N21" s="49"/>
      <c r="O21" s="49"/>
      <c r="P21" s="49"/>
      <c r="Q21" s="49"/>
      <c r="R21" s="49"/>
      <c r="S21" s="49"/>
      <c r="T21" s="49"/>
      <c r="U21" s="49"/>
      <c r="V21" s="49"/>
      <c r="W21" s="49"/>
      <c r="X21" s="49"/>
      <c r="Y21" s="49"/>
      <c r="Z21" s="49"/>
      <c r="AA21" s="49"/>
      <c r="AB21" s="49"/>
      <c r="AC21" s="49"/>
    </row>
    <row r="22" spans="1:29" ht="15.75" customHeight="1">
      <c r="A22" s="47"/>
      <c r="B22" s="47"/>
      <c r="C22" s="49"/>
      <c r="D22" s="49"/>
      <c r="E22" s="49"/>
      <c r="F22" s="49"/>
      <c r="G22" s="49"/>
      <c r="H22" s="173"/>
      <c r="I22" s="49"/>
      <c r="J22" s="49"/>
      <c r="K22" s="49"/>
      <c r="L22" s="49"/>
      <c r="M22" s="49"/>
      <c r="N22" s="49"/>
      <c r="O22" s="49"/>
      <c r="P22" s="49"/>
      <c r="Q22" s="49"/>
      <c r="R22" s="49"/>
      <c r="S22" s="49"/>
      <c r="T22" s="49"/>
      <c r="U22" s="49"/>
      <c r="V22" s="49"/>
      <c r="W22" s="49"/>
      <c r="X22" s="49"/>
      <c r="Y22" s="49"/>
      <c r="Z22" s="49"/>
      <c r="AA22" s="49"/>
      <c r="AB22" s="49"/>
      <c r="AC22" s="49"/>
    </row>
    <row r="23" spans="1:29" ht="15.75" customHeight="1">
      <c r="A23" s="47"/>
      <c r="B23" s="47"/>
      <c r="C23" s="49"/>
      <c r="D23" s="49"/>
      <c r="E23" s="49"/>
      <c r="F23" s="49"/>
      <c r="G23" s="49"/>
      <c r="H23" s="173"/>
      <c r="I23" s="49"/>
      <c r="J23" s="49"/>
      <c r="K23" s="49"/>
      <c r="L23" s="49"/>
      <c r="M23" s="49"/>
      <c r="N23" s="49"/>
      <c r="O23" s="49"/>
      <c r="P23" s="49"/>
      <c r="Q23" s="49"/>
      <c r="R23" s="49"/>
      <c r="S23" s="49"/>
      <c r="T23" s="49"/>
      <c r="U23" s="49"/>
      <c r="V23" s="49"/>
      <c r="W23" s="49"/>
      <c r="X23" s="49"/>
      <c r="Y23" s="49"/>
      <c r="Z23" s="49"/>
      <c r="AA23" s="49"/>
      <c r="AB23" s="49"/>
      <c r="AC23" s="49"/>
    </row>
    <row r="24" spans="1:29" ht="15.75" customHeight="1">
      <c r="A24" s="47"/>
      <c r="B24" s="47"/>
      <c r="C24" s="49"/>
      <c r="D24" s="49"/>
      <c r="E24" s="49"/>
      <c r="F24" s="49"/>
      <c r="G24" s="49"/>
      <c r="H24" s="173"/>
      <c r="I24" s="49"/>
      <c r="J24" s="49"/>
      <c r="K24" s="49"/>
      <c r="L24" s="49"/>
      <c r="M24" s="49"/>
      <c r="N24" s="49"/>
      <c r="O24" s="49"/>
      <c r="P24" s="49"/>
      <c r="Q24" s="49"/>
      <c r="R24" s="49"/>
      <c r="S24" s="49"/>
      <c r="T24" s="49"/>
      <c r="U24" s="49"/>
      <c r="V24" s="49"/>
      <c r="W24" s="49"/>
      <c r="X24" s="49"/>
      <c r="Y24" s="49"/>
      <c r="Z24" s="49"/>
      <c r="AA24" s="49"/>
      <c r="AB24" s="49"/>
      <c r="AC24" s="49"/>
    </row>
    <row r="25" spans="1:29" ht="15.75" customHeight="1">
      <c r="A25" s="47"/>
      <c r="B25" s="47"/>
      <c r="C25" s="49"/>
      <c r="D25" s="49"/>
      <c r="E25" s="49"/>
      <c r="F25" s="49"/>
      <c r="G25" s="49"/>
      <c r="H25" s="173"/>
      <c r="I25" s="49"/>
      <c r="J25" s="49"/>
      <c r="K25" s="49"/>
      <c r="L25" s="49"/>
      <c r="M25" s="49"/>
      <c r="N25" s="49"/>
      <c r="O25" s="49"/>
      <c r="P25" s="49"/>
      <c r="Q25" s="49"/>
      <c r="R25" s="49"/>
      <c r="S25" s="49"/>
      <c r="T25" s="49"/>
      <c r="U25" s="49"/>
      <c r="V25" s="49"/>
      <c r="W25" s="49"/>
      <c r="X25" s="49"/>
      <c r="Y25" s="49"/>
      <c r="Z25" s="49"/>
      <c r="AA25" s="49"/>
      <c r="AB25" s="49"/>
      <c r="AC25" s="49"/>
    </row>
    <row r="26" spans="1:29" ht="15.75" customHeight="1">
      <c r="A26" s="47"/>
      <c r="B26" s="47"/>
      <c r="C26" s="49"/>
      <c r="D26" s="49"/>
      <c r="E26" s="49"/>
      <c r="F26" s="49"/>
      <c r="G26" s="49"/>
      <c r="H26" s="173"/>
      <c r="I26" s="49"/>
      <c r="J26" s="49"/>
      <c r="K26" s="49"/>
      <c r="L26" s="49"/>
      <c r="M26" s="49"/>
      <c r="N26" s="49"/>
      <c r="O26" s="49"/>
      <c r="P26" s="49"/>
      <c r="Q26" s="49"/>
      <c r="R26" s="49"/>
      <c r="S26" s="49"/>
      <c r="T26" s="49"/>
      <c r="U26" s="49"/>
      <c r="V26" s="49"/>
      <c r="W26" s="49"/>
      <c r="X26" s="49"/>
      <c r="Y26" s="49"/>
      <c r="Z26" s="49"/>
      <c r="AA26" s="49"/>
      <c r="AB26" s="49"/>
      <c r="AC26" s="49"/>
    </row>
    <row r="27" spans="1:29" ht="15.75" customHeight="1">
      <c r="A27" s="47"/>
      <c r="B27" s="47"/>
      <c r="C27" s="49"/>
      <c r="D27" s="49"/>
      <c r="E27" s="49"/>
      <c r="F27" s="49"/>
      <c r="G27" s="49"/>
      <c r="H27" s="173"/>
      <c r="I27" s="49"/>
      <c r="J27" s="49"/>
      <c r="K27" s="49"/>
      <c r="L27" s="49"/>
      <c r="M27" s="49"/>
      <c r="N27" s="49"/>
      <c r="O27" s="49"/>
      <c r="P27" s="49"/>
      <c r="Q27" s="49"/>
      <c r="R27" s="49"/>
      <c r="S27" s="49"/>
      <c r="T27" s="49"/>
      <c r="U27" s="49"/>
      <c r="V27" s="49"/>
      <c r="W27" s="49"/>
      <c r="X27" s="49"/>
      <c r="Y27" s="49"/>
      <c r="Z27" s="49"/>
      <c r="AA27" s="49"/>
      <c r="AB27" s="49"/>
      <c r="AC27" s="49"/>
    </row>
    <row r="28" spans="1:29" ht="15.75" customHeight="1">
      <c r="A28" s="47"/>
      <c r="B28" s="47"/>
      <c r="C28" s="49"/>
      <c r="D28" s="49"/>
      <c r="E28" s="49"/>
      <c r="F28" s="49"/>
      <c r="G28" s="49"/>
      <c r="H28" s="173"/>
      <c r="I28" s="49"/>
      <c r="J28" s="49"/>
      <c r="K28" s="49"/>
      <c r="L28" s="49"/>
      <c r="M28" s="49"/>
      <c r="N28" s="49"/>
      <c r="O28" s="49"/>
      <c r="P28" s="49"/>
      <c r="Q28" s="49"/>
      <c r="R28" s="49"/>
      <c r="S28" s="49"/>
      <c r="T28" s="49"/>
      <c r="U28" s="49"/>
      <c r="V28" s="49"/>
      <c r="W28" s="49"/>
      <c r="X28" s="49"/>
      <c r="Y28" s="49"/>
      <c r="Z28" s="49"/>
      <c r="AA28" s="49"/>
      <c r="AB28" s="49"/>
      <c r="AC28" s="49"/>
    </row>
    <row r="29" spans="1:29" ht="15.75" customHeight="1">
      <c r="A29" s="47"/>
      <c r="B29" s="47"/>
      <c r="C29" s="49"/>
      <c r="D29" s="49"/>
      <c r="E29" s="49"/>
      <c r="F29" s="49"/>
      <c r="G29" s="49"/>
      <c r="H29" s="173"/>
      <c r="I29" s="49"/>
      <c r="J29" s="49"/>
      <c r="K29" s="49"/>
      <c r="L29" s="49"/>
      <c r="M29" s="49"/>
      <c r="N29" s="49"/>
      <c r="O29" s="49"/>
      <c r="P29" s="49"/>
      <c r="Q29" s="49"/>
      <c r="R29" s="49"/>
      <c r="S29" s="49"/>
      <c r="T29" s="49"/>
      <c r="U29" s="49"/>
      <c r="V29" s="49"/>
      <c r="W29" s="49"/>
      <c r="X29" s="49"/>
      <c r="Y29" s="49"/>
      <c r="Z29" s="49"/>
      <c r="AA29" s="49"/>
      <c r="AB29" s="49"/>
      <c r="AC29" s="49"/>
    </row>
    <row r="30" spans="1:29" ht="15.75" customHeight="1">
      <c r="A30" s="47"/>
      <c r="B30" s="47"/>
      <c r="C30" s="49"/>
      <c r="D30" s="49"/>
      <c r="E30" s="49"/>
      <c r="F30" s="49"/>
      <c r="G30" s="49"/>
      <c r="H30" s="173"/>
      <c r="I30" s="49"/>
      <c r="J30" s="49"/>
      <c r="K30" s="49"/>
      <c r="L30" s="49"/>
      <c r="M30" s="49"/>
      <c r="N30" s="49"/>
      <c r="O30" s="49"/>
      <c r="P30" s="49"/>
      <c r="Q30" s="49"/>
      <c r="R30" s="49"/>
      <c r="S30" s="49"/>
      <c r="T30" s="49"/>
      <c r="U30" s="49"/>
      <c r="V30" s="49"/>
      <c r="W30" s="49"/>
      <c r="X30" s="49"/>
      <c r="Y30" s="49"/>
      <c r="Z30" s="49"/>
      <c r="AA30" s="49"/>
      <c r="AB30" s="49"/>
      <c r="AC30" s="49"/>
    </row>
    <row r="31" spans="1:29" ht="15.75" customHeight="1">
      <c r="A31" s="47"/>
      <c r="B31" s="47"/>
      <c r="C31" s="49"/>
      <c r="D31" s="49"/>
      <c r="E31" s="49"/>
      <c r="F31" s="49"/>
      <c r="G31" s="49"/>
      <c r="H31" s="173"/>
      <c r="I31" s="49"/>
      <c r="J31" s="49"/>
      <c r="K31" s="49"/>
      <c r="L31" s="49"/>
      <c r="M31" s="49"/>
      <c r="N31" s="49"/>
      <c r="O31" s="49"/>
      <c r="P31" s="49"/>
      <c r="Q31" s="49"/>
      <c r="R31" s="49"/>
      <c r="S31" s="49"/>
      <c r="T31" s="49"/>
      <c r="U31" s="49"/>
      <c r="V31" s="49"/>
      <c r="W31" s="49"/>
      <c r="X31" s="49"/>
      <c r="Y31" s="49"/>
      <c r="Z31" s="49"/>
      <c r="AA31" s="49"/>
      <c r="AB31" s="49"/>
      <c r="AC31" s="49"/>
    </row>
    <row r="32" spans="1:29" ht="15.75" customHeight="1">
      <c r="A32" s="47"/>
      <c r="B32" s="47"/>
      <c r="C32" s="49"/>
      <c r="D32" s="49"/>
      <c r="E32" s="49"/>
      <c r="F32" s="49"/>
      <c r="G32" s="49"/>
      <c r="H32" s="173"/>
      <c r="I32" s="49"/>
      <c r="J32" s="49"/>
      <c r="K32" s="49"/>
      <c r="L32" s="49"/>
      <c r="M32" s="49"/>
      <c r="N32" s="49"/>
      <c r="O32" s="49"/>
      <c r="P32" s="49"/>
      <c r="Q32" s="49"/>
      <c r="R32" s="49"/>
      <c r="S32" s="49"/>
      <c r="T32" s="49"/>
      <c r="U32" s="49"/>
      <c r="V32" s="49"/>
      <c r="W32" s="49"/>
      <c r="X32" s="49"/>
      <c r="Y32" s="49"/>
      <c r="Z32" s="49"/>
      <c r="AA32" s="49"/>
      <c r="AB32" s="49"/>
      <c r="AC32" s="49"/>
    </row>
    <row r="33" spans="1:29" ht="15.75" customHeight="1">
      <c r="A33" s="47"/>
      <c r="B33" s="47"/>
      <c r="C33" s="49"/>
      <c r="D33" s="49"/>
      <c r="E33" s="49"/>
      <c r="F33" s="49"/>
      <c r="G33" s="49"/>
      <c r="H33" s="173"/>
      <c r="I33" s="49"/>
      <c r="J33" s="49"/>
      <c r="K33" s="49"/>
      <c r="L33" s="49"/>
      <c r="M33" s="49"/>
      <c r="N33" s="49"/>
      <c r="O33" s="49"/>
      <c r="P33" s="49"/>
      <c r="Q33" s="49"/>
      <c r="R33" s="49"/>
      <c r="S33" s="49"/>
      <c r="T33" s="49"/>
      <c r="U33" s="49"/>
      <c r="V33" s="49"/>
      <c r="W33" s="49"/>
      <c r="X33" s="49"/>
      <c r="Y33" s="49"/>
      <c r="Z33" s="49"/>
      <c r="AA33" s="49"/>
      <c r="AB33" s="49"/>
      <c r="AC33" s="49"/>
    </row>
    <row r="34" spans="1:29" ht="15.75" customHeight="1">
      <c r="A34" s="47"/>
      <c r="B34" s="47"/>
      <c r="C34" s="49"/>
      <c r="D34" s="49"/>
      <c r="E34" s="49"/>
      <c r="F34" s="49"/>
      <c r="G34" s="49"/>
      <c r="H34" s="173"/>
      <c r="I34" s="49"/>
      <c r="J34" s="49"/>
      <c r="K34" s="49"/>
      <c r="L34" s="49"/>
      <c r="M34" s="49"/>
      <c r="N34" s="49"/>
      <c r="O34" s="49"/>
      <c r="P34" s="49"/>
      <c r="Q34" s="49"/>
      <c r="R34" s="49"/>
      <c r="S34" s="49"/>
      <c r="T34" s="49"/>
      <c r="U34" s="49"/>
      <c r="V34" s="49"/>
      <c r="W34" s="49"/>
      <c r="X34" s="49"/>
      <c r="Y34" s="49"/>
      <c r="Z34" s="49"/>
      <c r="AA34" s="49"/>
      <c r="AB34" s="49"/>
      <c r="AC34" s="49"/>
    </row>
    <row r="35" spans="1:29" ht="15.75" customHeight="1">
      <c r="A35" s="47"/>
      <c r="B35" s="47"/>
      <c r="C35" s="49"/>
      <c r="D35" s="49"/>
      <c r="E35" s="49"/>
      <c r="F35" s="49"/>
      <c r="G35" s="49"/>
      <c r="H35" s="173"/>
      <c r="I35" s="49"/>
      <c r="J35" s="49"/>
      <c r="K35" s="49"/>
      <c r="L35" s="49"/>
      <c r="M35" s="49"/>
      <c r="N35" s="49"/>
      <c r="O35" s="49"/>
      <c r="P35" s="49"/>
      <c r="Q35" s="49"/>
      <c r="R35" s="49"/>
      <c r="S35" s="49"/>
      <c r="T35" s="49"/>
      <c r="U35" s="49"/>
      <c r="V35" s="49"/>
      <c r="W35" s="49"/>
      <c r="X35" s="49"/>
      <c r="Y35" s="49"/>
      <c r="Z35" s="49"/>
      <c r="AA35" s="49"/>
      <c r="AB35" s="49"/>
      <c r="AC35" s="49"/>
    </row>
    <row r="36" spans="1:29" ht="15.75" customHeight="1">
      <c r="A36" s="47"/>
      <c r="B36" s="47"/>
      <c r="C36" s="49"/>
      <c r="D36" s="49"/>
      <c r="E36" s="49"/>
      <c r="F36" s="49"/>
      <c r="G36" s="49"/>
      <c r="H36" s="173"/>
      <c r="I36" s="49"/>
      <c r="J36" s="49"/>
      <c r="K36" s="49"/>
      <c r="L36" s="49"/>
      <c r="M36" s="49"/>
      <c r="N36" s="49"/>
      <c r="O36" s="49"/>
      <c r="P36" s="49"/>
      <c r="Q36" s="49"/>
      <c r="R36" s="49"/>
      <c r="S36" s="49"/>
      <c r="T36" s="49"/>
      <c r="U36" s="49"/>
      <c r="V36" s="49"/>
      <c r="W36" s="49"/>
      <c r="X36" s="49"/>
      <c r="Y36" s="49"/>
      <c r="Z36" s="49"/>
      <c r="AA36" s="49"/>
      <c r="AB36" s="49"/>
      <c r="AC36" s="49"/>
    </row>
    <row r="37" spans="1:29" ht="15.75" customHeight="1">
      <c r="A37" s="47"/>
      <c r="B37" s="47"/>
      <c r="C37" s="49"/>
      <c r="D37" s="49"/>
      <c r="E37" s="49"/>
      <c r="F37" s="49"/>
      <c r="G37" s="49"/>
      <c r="H37" s="173"/>
      <c r="I37" s="49"/>
      <c r="J37" s="49"/>
      <c r="K37" s="49"/>
      <c r="L37" s="49"/>
      <c r="M37" s="49"/>
      <c r="N37" s="49"/>
      <c r="O37" s="49"/>
      <c r="P37" s="49"/>
      <c r="Q37" s="49"/>
      <c r="R37" s="49"/>
      <c r="S37" s="49"/>
      <c r="T37" s="49"/>
      <c r="U37" s="49"/>
      <c r="V37" s="49"/>
      <c r="W37" s="49"/>
      <c r="X37" s="49"/>
      <c r="Y37" s="49"/>
      <c r="Z37" s="49"/>
      <c r="AA37" s="49"/>
      <c r="AB37" s="49"/>
      <c r="AC37" s="49"/>
    </row>
    <row r="38" spans="1:29" ht="15.75" customHeight="1">
      <c r="A38" s="47"/>
      <c r="B38" s="47"/>
      <c r="C38" s="49"/>
      <c r="D38" s="49"/>
      <c r="E38" s="49"/>
      <c r="F38" s="49"/>
      <c r="G38" s="49"/>
      <c r="H38" s="173"/>
      <c r="I38" s="49"/>
      <c r="J38" s="49"/>
      <c r="K38" s="49"/>
      <c r="L38" s="49"/>
      <c r="M38" s="49"/>
      <c r="N38" s="49"/>
      <c r="O38" s="49"/>
      <c r="P38" s="49"/>
      <c r="Q38" s="49"/>
      <c r="R38" s="49"/>
      <c r="S38" s="49"/>
      <c r="T38" s="49"/>
      <c r="U38" s="49"/>
      <c r="V38" s="49"/>
      <c r="W38" s="49"/>
      <c r="X38" s="49"/>
      <c r="Y38" s="49"/>
      <c r="Z38" s="49"/>
      <c r="AA38" s="49"/>
      <c r="AB38" s="49"/>
      <c r="AC38" s="49"/>
    </row>
    <row r="39" spans="1:29" ht="15.75" customHeight="1">
      <c r="A39" s="47"/>
      <c r="B39" s="47"/>
      <c r="C39" s="49"/>
      <c r="D39" s="49"/>
      <c r="E39" s="49"/>
      <c r="F39" s="49"/>
      <c r="G39" s="49"/>
      <c r="H39" s="173"/>
      <c r="I39" s="49"/>
      <c r="J39" s="49"/>
      <c r="K39" s="49"/>
      <c r="L39" s="49"/>
      <c r="M39" s="49"/>
      <c r="N39" s="49"/>
      <c r="O39" s="49"/>
      <c r="P39" s="49"/>
      <c r="Q39" s="49"/>
      <c r="R39" s="49"/>
      <c r="S39" s="49"/>
      <c r="T39" s="49"/>
      <c r="U39" s="49"/>
      <c r="V39" s="49"/>
      <c r="W39" s="49"/>
      <c r="X39" s="49"/>
      <c r="Y39" s="49"/>
      <c r="Z39" s="49"/>
      <c r="AA39" s="49"/>
      <c r="AB39" s="49"/>
      <c r="AC39" s="49"/>
    </row>
    <row r="40" spans="1:29" ht="15.75" customHeight="1">
      <c r="A40" s="47"/>
      <c r="B40" s="47"/>
      <c r="C40" s="49"/>
      <c r="D40" s="49"/>
      <c r="E40" s="49"/>
      <c r="F40" s="49"/>
      <c r="G40" s="49"/>
      <c r="H40" s="173"/>
      <c r="I40" s="49"/>
      <c r="J40" s="49"/>
      <c r="K40" s="49"/>
      <c r="L40" s="49"/>
      <c r="M40" s="49"/>
      <c r="N40" s="49"/>
      <c r="O40" s="49"/>
      <c r="P40" s="49"/>
      <c r="Q40" s="49"/>
      <c r="R40" s="49"/>
      <c r="S40" s="49"/>
      <c r="T40" s="49"/>
      <c r="U40" s="49"/>
      <c r="V40" s="49"/>
      <c r="W40" s="49"/>
      <c r="X40" s="49"/>
      <c r="Y40" s="49"/>
      <c r="Z40" s="49"/>
      <c r="AA40" s="49"/>
      <c r="AB40" s="49"/>
      <c r="AC40" s="49"/>
    </row>
    <row r="41" spans="1:29" ht="15.75" customHeight="1">
      <c r="A41" s="47"/>
      <c r="B41" s="47"/>
      <c r="C41" s="49"/>
      <c r="D41" s="49"/>
      <c r="E41" s="49"/>
      <c r="F41" s="49"/>
      <c r="G41" s="49"/>
      <c r="H41" s="173"/>
      <c r="I41" s="49"/>
      <c r="J41" s="49"/>
      <c r="K41" s="49"/>
      <c r="L41" s="49"/>
      <c r="M41" s="49"/>
      <c r="N41" s="49"/>
      <c r="O41" s="49"/>
      <c r="P41" s="49"/>
      <c r="Q41" s="49"/>
      <c r="R41" s="49"/>
      <c r="S41" s="49"/>
      <c r="T41" s="49"/>
      <c r="U41" s="49"/>
      <c r="V41" s="49"/>
      <c r="W41" s="49"/>
      <c r="X41" s="49"/>
      <c r="Y41" s="49"/>
      <c r="Z41" s="49"/>
      <c r="AA41" s="49"/>
      <c r="AB41" s="49"/>
      <c r="AC41" s="49"/>
    </row>
    <row r="42" spans="1:29" ht="15.75" customHeight="1">
      <c r="A42" s="47"/>
      <c r="B42" s="47"/>
      <c r="C42" s="49"/>
      <c r="D42" s="49"/>
      <c r="E42" s="49"/>
      <c r="F42" s="49"/>
      <c r="G42" s="49"/>
      <c r="H42" s="173"/>
      <c r="I42" s="49"/>
      <c r="J42" s="49"/>
      <c r="K42" s="49"/>
      <c r="L42" s="49"/>
      <c r="M42" s="49"/>
      <c r="N42" s="49"/>
      <c r="O42" s="49"/>
      <c r="P42" s="49"/>
      <c r="Q42" s="49"/>
      <c r="R42" s="49"/>
      <c r="S42" s="49"/>
      <c r="T42" s="49"/>
      <c r="U42" s="49"/>
      <c r="V42" s="49"/>
      <c r="W42" s="49"/>
      <c r="X42" s="49"/>
      <c r="Y42" s="49"/>
      <c r="Z42" s="49"/>
      <c r="AA42" s="49"/>
      <c r="AB42" s="49"/>
      <c r="AC42" s="49"/>
    </row>
    <row r="43" spans="1:29" ht="15.75" customHeight="1">
      <c r="A43" s="47"/>
      <c r="B43" s="47"/>
      <c r="C43" s="49"/>
      <c r="D43" s="49"/>
      <c r="E43" s="49"/>
      <c r="F43" s="49"/>
      <c r="G43" s="49"/>
      <c r="H43" s="173"/>
      <c r="I43" s="49"/>
      <c r="J43" s="49"/>
      <c r="K43" s="49"/>
      <c r="L43" s="49"/>
      <c r="M43" s="49"/>
      <c r="N43" s="49"/>
      <c r="O43" s="49"/>
      <c r="P43" s="49"/>
      <c r="Q43" s="49"/>
      <c r="R43" s="49"/>
      <c r="S43" s="49"/>
      <c r="T43" s="49"/>
      <c r="U43" s="49"/>
      <c r="V43" s="49"/>
      <c r="W43" s="49"/>
      <c r="X43" s="49"/>
      <c r="Y43" s="49"/>
      <c r="Z43" s="49"/>
      <c r="AA43" s="49"/>
      <c r="AB43" s="49"/>
      <c r="AC43" s="49"/>
    </row>
    <row r="44" spans="1:29" ht="15.75" customHeight="1">
      <c r="A44" s="47"/>
      <c r="B44" s="47"/>
      <c r="C44" s="49"/>
      <c r="D44" s="49"/>
      <c r="E44" s="49"/>
      <c r="F44" s="49"/>
      <c r="G44" s="49"/>
      <c r="H44" s="173"/>
      <c r="I44" s="49"/>
      <c r="J44" s="49"/>
      <c r="K44" s="49"/>
      <c r="L44" s="49"/>
      <c r="M44" s="49"/>
      <c r="N44" s="49"/>
      <c r="O44" s="49"/>
      <c r="P44" s="49"/>
      <c r="Q44" s="49"/>
      <c r="R44" s="49"/>
      <c r="S44" s="49"/>
      <c r="T44" s="49"/>
      <c r="U44" s="49"/>
      <c r="V44" s="49"/>
      <c r="W44" s="49"/>
      <c r="X44" s="49"/>
      <c r="Y44" s="49"/>
      <c r="Z44" s="49"/>
      <c r="AA44" s="49"/>
      <c r="AB44" s="49"/>
      <c r="AC44" s="49"/>
    </row>
    <row r="45" spans="1:29" ht="15.75" customHeight="1">
      <c r="A45" s="47"/>
      <c r="B45" s="47"/>
      <c r="C45" s="49"/>
      <c r="D45" s="49"/>
      <c r="E45" s="49"/>
      <c r="F45" s="49"/>
      <c r="G45" s="49"/>
      <c r="H45" s="173"/>
      <c r="I45" s="49"/>
      <c r="J45" s="49"/>
      <c r="K45" s="49"/>
      <c r="L45" s="49"/>
      <c r="M45" s="49"/>
      <c r="N45" s="49"/>
      <c r="O45" s="49"/>
      <c r="P45" s="49"/>
      <c r="Q45" s="49"/>
      <c r="R45" s="49"/>
      <c r="S45" s="49"/>
      <c r="T45" s="49"/>
      <c r="U45" s="49"/>
      <c r="V45" s="49"/>
      <c r="W45" s="49"/>
      <c r="X45" s="49"/>
      <c r="Y45" s="49"/>
      <c r="Z45" s="49"/>
      <c r="AA45" s="49"/>
      <c r="AB45" s="49"/>
      <c r="AC45" s="49"/>
    </row>
    <row r="46" spans="1:29" ht="15.75" customHeight="1">
      <c r="A46" s="47"/>
      <c r="B46" s="47"/>
      <c r="C46" s="49"/>
      <c r="D46" s="49"/>
      <c r="E46" s="49"/>
      <c r="F46" s="49"/>
      <c r="G46" s="49"/>
      <c r="H46" s="173"/>
      <c r="I46" s="49"/>
      <c r="J46" s="49"/>
      <c r="K46" s="49"/>
      <c r="L46" s="49"/>
      <c r="M46" s="49"/>
      <c r="N46" s="49"/>
      <c r="O46" s="49"/>
      <c r="P46" s="49"/>
      <c r="Q46" s="49"/>
      <c r="R46" s="49"/>
      <c r="S46" s="49"/>
      <c r="T46" s="49"/>
      <c r="U46" s="49"/>
      <c r="V46" s="49"/>
      <c r="W46" s="49"/>
      <c r="X46" s="49"/>
      <c r="Y46" s="49"/>
      <c r="Z46" s="49"/>
      <c r="AA46" s="49"/>
      <c r="AB46" s="49"/>
      <c r="AC46" s="49"/>
    </row>
    <row r="47" spans="1:29" ht="15.75" customHeight="1">
      <c r="A47" s="47"/>
      <c r="B47" s="47"/>
      <c r="C47" s="49"/>
      <c r="D47" s="49"/>
      <c r="E47" s="49"/>
      <c r="F47" s="49"/>
      <c r="G47" s="49"/>
      <c r="H47" s="173"/>
      <c r="I47" s="49"/>
      <c r="J47" s="49"/>
      <c r="K47" s="49"/>
      <c r="L47" s="49"/>
      <c r="M47" s="49"/>
      <c r="N47" s="49"/>
      <c r="O47" s="49"/>
      <c r="P47" s="49"/>
      <c r="Q47" s="49"/>
      <c r="R47" s="49"/>
      <c r="S47" s="49"/>
      <c r="T47" s="49"/>
      <c r="U47" s="49"/>
      <c r="V47" s="49"/>
      <c r="W47" s="49"/>
      <c r="X47" s="49"/>
      <c r="Y47" s="49"/>
      <c r="Z47" s="49"/>
      <c r="AA47" s="49"/>
      <c r="AB47" s="49"/>
      <c r="AC47" s="49"/>
    </row>
    <row r="48" spans="1:29" ht="15.75" customHeight="1">
      <c r="A48" s="47"/>
      <c r="B48" s="47"/>
      <c r="C48" s="49"/>
      <c r="D48" s="49"/>
      <c r="E48" s="49"/>
      <c r="F48" s="49"/>
      <c r="G48" s="49"/>
      <c r="H48" s="173"/>
      <c r="I48" s="49"/>
      <c r="J48" s="49"/>
      <c r="K48" s="49"/>
      <c r="L48" s="49"/>
      <c r="M48" s="49"/>
      <c r="N48" s="49"/>
      <c r="O48" s="49"/>
      <c r="P48" s="49"/>
      <c r="Q48" s="49"/>
      <c r="R48" s="49"/>
      <c r="S48" s="49"/>
      <c r="T48" s="49"/>
      <c r="U48" s="49"/>
      <c r="V48" s="49"/>
      <c r="W48" s="49"/>
      <c r="X48" s="49"/>
      <c r="Y48" s="49"/>
      <c r="Z48" s="49"/>
      <c r="AA48" s="49"/>
      <c r="AB48" s="49"/>
      <c r="AC48" s="49"/>
    </row>
    <row r="49" spans="1:29" ht="15.75" customHeight="1">
      <c r="A49" s="47"/>
      <c r="B49" s="47"/>
      <c r="C49" s="49"/>
      <c r="D49" s="49"/>
      <c r="E49" s="49"/>
      <c r="F49" s="49"/>
      <c r="G49" s="49"/>
      <c r="H49" s="173"/>
      <c r="I49" s="49"/>
      <c r="J49" s="49"/>
      <c r="K49" s="49"/>
      <c r="L49" s="49"/>
      <c r="M49" s="49"/>
      <c r="N49" s="49"/>
      <c r="O49" s="49"/>
      <c r="P49" s="49"/>
      <c r="Q49" s="49"/>
      <c r="R49" s="49"/>
      <c r="S49" s="49"/>
      <c r="T49" s="49"/>
      <c r="U49" s="49"/>
      <c r="V49" s="49"/>
      <c r="W49" s="49"/>
      <c r="X49" s="49"/>
      <c r="Y49" s="49"/>
      <c r="Z49" s="49"/>
      <c r="AA49" s="49"/>
      <c r="AB49" s="49"/>
      <c r="AC49" s="49"/>
    </row>
    <row r="50" spans="1:29" ht="15.75" customHeight="1">
      <c r="A50" s="47"/>
      <c r="B50" s="47"/>
      <c r="C50" s="49"/>
      <c r="D50" s="49"/>
      <c r="E50" s="49"/>
      <c r="F50" s="49"/>
      <c r="G50" s="49"/>
      <c r="H50" s="173"/>
      <c r="I50" s="49"/>
      <c r="J50" s="49"/>
      <c r="K50" s="49"/>
      <c r="L50" s="49"/>
      <c r="M50" s="49"/>
      <c r="N50" s="49"/>
      <c r="O50" s="49"/>
      <c r="P50" s="49"/>
      <c r="Q50" s="49"/>
      <c r="R50" s="49"/>
      <c r="S50" s="49"/>
      <c r="T50" s="49"/>
      <c r="U50" s="49"/>
      <c r="V50" s="49"/>
      <c r="W50" s="49"/>
      <c r="X50" s="49"/>
      <c r="Y50" s="49"/>
      <c r="Z50" s="49"/>
      <c r="AA50" s="49"/>
      <c r="AB50" s="49"/>
      <c r="AC50" s="49"/>
    </row>
    <row r="51" spans="1:29" ht="15.75" customHeight="1">
      <c r="A51" s="47"/>
      <c r="B51" s="47"/>
      <c r="C51" s="49"/>
      <c r="D51" s="49"/>
      <c r="E51" s="49"/>
      <c r="F51" s="49"/>
      <c r="G51" s="49"/>
      <c r="H51" s="173"/>
      <c r="I51" s="49"/>
      <c r="J51" s="49"/>
      <c r="K51" s="49"/>
      <c r="L51" s="49"/>
      <c r="M51" s="49"/>
      <c r="N51" s="49"/>
      <c r="O51" s="49"/>
      <c r="P51" s="49"/>
      <c r="Q51" s="49"/>
      <c r="R51" s="49"/>
      <c r="S51" s="49"/>
      <c r="T51" s="49"/>
      <c r="U51" s="49"/>
      <c r="V51" s="49"/>
      <c r="W51" s="49"/>
      <c r="X51" s="49"/>
      <c r="Y51" s="49"/>
      <c r="Z51" s="49"/>
      <c r="AA51" s="49"/>
      <c r="AB51" s="49"/>
      <c r="AC51" s="49"/>
    </row>
    <row r="52" spans="1:29" ht="15.75" customHeight="1">
      <c r="A52" s="47"/>
      <c r="B52" s="47"/>
      <c r="C52" s="49"/>
      <c r="D52" s="49"/>
      <c r="E52" s="49"/>
      <c r="F52" s="49"/>
      <c r="G52" s="49"/>
      <c r="H52" s="173"/>
      <c r="I52" s="49"/>
      <c r="J52" s="49"/>
      <c r="K52" s="49"/>
      <c r="L52" s="49"/>
      <c r="M52" s="49"/>
      <c r="N52" s="49"/>
      <c r="O52" s="49"/>
      <c r="P52" s="49"/>
      <c r="Q52" s="49"/>
      <c r="R52" s="49"/>
      <c r="S52" s="49"/>
      <c r="T52" s="49"/>
      <c r="U52" s="49"/>
      <c r="V52" s="49"/>
      <c r="W52" s="49"/>
      <c r="X52" s="49"/>
      <c r="Y52" s="49"/>
      <c r="Z52" s="49"/>
      <c r="AA52" s="49"/>
      <c r="AB52" s="49"/>
      <c r="AC52" s="49"/>
    </row>
    <row r="53" spans="1:29" ht="15.75" customHeight="1">
      <c r="A53" s="47"/>
      <c r="B53" s="47"/>
      <c r="C53" s="49"/>
      <c r="D53" s="49"/>
      <c r="E53" s="49"/>
      <c r="F53" s="49"/>
      <c r="G53" s="49"/>
      <c r="H53" s="173"/>
      <c r="I53" s="49"/>
      <c r="J53" s="49"/>
      <c r="K53" s="49"/>
      <c r="L53" s="49"/>
      <c r="M53" s="49"/>
      <c r="N53" s="49"/>
      <c r="O53" s="49"/>
      <c r="P53" s="49"/>
      <c r="Q53" s="49"/>
      <c r="R53" s="49"/>
      <c r="S53" s="49"/>
      <c r="T53" s="49"/>
      <c r="U53" s="49"/>
      <c r="V53" s="49"/>
      <c r="W53" s="49"/>
      <c r="X53" s="49"/>
      <c r="Y53" s="49"/>
      <c r="Z53" s="49"/>
      <c r="AA53" s="49"/>
      <c r="AB53" s="49"/>
      <c r="AC53" s="49"/>
    </row>
    <row r="54" spans="1:29" ht="15.75" customHeight="1">
      <c r="A54" s="47"/>
      <c r="B54" s="47"/>
      <c r="C54" s="49"/>
      <c r="D54" s="49"/>
      <c r="E54" s="49"/>
      <c r="F54" s="49"/>
      <c r="G54" s="49"/>
      <c r="H54" s="173"/>
      <c r="I54" s="49"/>
      <c r="J54" s="49"/>
      <c r="K54" s="49"/>
      <c r="L54" s="49"/>
      <c r="M54" s="49"/>
      <c r="N54" s="49"/>
      <c r="O54" s="49"/>
      <c r="P54" s="49"/>
      <c r="Q54" s="49"/>
      <c r="R54" s="49"/>
      <c r="S54" s="49"/>
      <c r="T54" s="49"/>
      <c r="U54" s="49"/>
      <c r="V54" s="49"/>
      <c r="W54" s="49"/>
      <c r="X54" s="49"/>
      <c r="Y54" s="49"/>
      <c r="Z54" s="49"/>
      <c r="AA54" s="49"/>
      <c r="AB54" s="49"/>
      <c r="AC54" s="49"/>
    </row>
    <row r="55" spans="1:29" ht="15.75" customHeight="1">
      <c r="A55" s="47"/>
      <c r="B55" s="47"/>
      <c r="C55" s="49"/>
      <c r="D55" s="49"/>
      <c r="E55" s="49"/>
      <c r="F55" s="49"/>
      <c r="G55" s="49"/>
      <c r="H55" s="173"/>
      <c r="I55" s="49"/>
      <c r="J55" s="49"/>
      <c r="K55" s="49"/>
      <c r="L55" s="49"/>
      <c r="M55" s="49"/>
      <c r="N55" s="49"/>
      <c r="O55" s="49"/>
      <c r="P55" s="49"/>
      <c r="Q55" s="49"/>
      <c r="R55" s="49"/>
      <c r="S55" s="49"/>
      <c r="T55" s="49"/>
      <c r="U55" s="49"/>
      <c r="V55" s="49"/>
      <c r="W55" s="49"/>
      <c r="X55" s="49"/>
      <c r="Y55" s="49"/>
      <c r="Z55" s="49"/>
      <c r="AA55" s="49"/>
      <c r="AB55" s="49"/>
      <c r="AC55" s="49"/>
    </row>
    <row r="56" spans="1:29" ht="15.75" customHeight="1">
      <c r="A56" s="47"/>
      <c r="B56" s="47"/>
      <c r="C56" s="49"/>
      <c r="D56" s="49"/>
      <c r="E56" s="49"/>
      <c r="F56" s="49"/>
      <c r="G56" s="49"/>
      <c r="H56" s="173"/>
      <c r="I56" s="49"/>
      <c r="J56" s="49"/>
      <c r="K56" s="49"/>
      <c r="L56" s="49"/>
      <c r="M56" s="49"/>
      <c r="N56" s="49"/>
      <c r="O56" s="49"/>
      <c r="P56" s="49"/>
      <c r="Q56" s="49"/>
      <c r="R56" s="49"/>
      <c r="S56" s="49"/>
      <c r="T56" s="49"/>
      <c r="U56" s="49"/>
      <c r="V56" s="49"/>
      <c r="W56" s="49"/>
      <c r="X56" s="49"/>
      <c r="Y56" s="49"/>
      <c r="Z56" s="49"/>
      <c r="AA56" s="49"/>
      <c r="AB56" s="49"/>
      <c r="AC56" s="49"/>
    </row>
    <row r="57" spans="1:29" ht="15.75" customHeight="1">
      <c r="A57" s="47"/>
      <c r="B57" s="47"/>
      <c r="C57" s="49"/>
      <c r="D57" s="49"/>
      <c r="E57" s="49"/>
      <c r="F57" s="49"/>
      <c r="G57" s="49"/>
      <c r="H57" s="173"/>
      <c r="I57" s="49"/>
      <c r="J57" s="49"/>
      <c r="K57" s="49"/>
      <c r="L57" s="49"/>
      <c r="M57" s="49"/>
      <c r="N57" s="49"/>
      <c r="O57" s="49"/>
      <c r="P57" s="49"/>
      <c r="Q57" s="49"/>
      <c r="R57" s="49"/>
      <c r="S57" s="49"/>
      <c r="T57" s="49"/>
      <c r="U57" s="49"/>
      <c r="V57" s="49"/>
      <c r="W57" s="49"/>
      <c r="X57" s="49"/>
      <c r="Y57" s="49"/>
      <c r="Z57" s="49"/>
      <c r="AA57" s="49"/>
      <c r="AB57" s="49"/>
      <c r="AC57" s="49"/>
    </row>
    <row r="58" spans="1:29" ht="15.75" customHeight="1">
      <c r="A58" s="47"/>
      <c r="B58" s="47"/>
      <c r="C58" s="49"/>
      <c r="D58" s="49"/>
      <c r="E58" s="49"/>
      <c r="F58" s="49"/>
      <c r="G58" s="49"/>
      <c r="H58" s="173"/>
      <c r="I58" s="49"/>
      <c r="J58" s="49"/>
      <c r="K58" s="49"/>
      <c r="L58" s="49"/>
      <c r="M58" s="49"/>
      <c r="N58" s="49"/>
      <c r="O58" s="49"/>
      <c r="P58" s="49"/>
      <c r="Q58" s="49"/>
      <c r="R58" s="49"/>
      <c r="S58" s="49"/>
      <c r="T58" s="49"/>
      <c r="U58" s="49"/>
      <c r="V58" s="49"/>
      <c r="W58" s="49"/>
      <c r="X58" s="49"/>
      <c r="Y58" s="49"/>
      <c r="Z58" s="49"/>
      <c r="AA58" s="49"/>
      <c r="AB58" s="49"/>
      <c r="AC58" s="49"/>
    </row>
    <row r="59" spans="1:29" ht="15.75" customHeight="1">
      <c r="A59" s="47"/>
      <c r="B59" s="47"/>
      <c r="C59" s="49"/>
      <c r="D59" s="49"/>
      <c r="E59" s="49"/>
      <c r="F59" s="49"/>
      <c r="G59" s="49"/>
      <c r="H59" s="173"/>
      <c r="I59" s="49"/>
      <c r="J59" s="49"/>
      <c r="K59" s="49"/>
      <c r="L59" s="49"/>
      <c r="M59" s="49"/>
      <c r="N59" s="49"/>
      <c r="O59" s="49"/>
      <c r="P59" s="49"/>
      <c r="Q59" s="49"/>
      <c r="R59" s="49"/>
      <c r="S59" s="49"/>
      <c r="T59" s="49"/>
      <c r="U59" s="49"/>
      <c r="V59" s="49"/>
      <c r="W59" s="49"/>
      <c r="X59" s="49"/>
      <c r="Y59" s="49"/>
      <c r="Z59" s="49"/>
      <c r="AA59" s="49"/>
      <c r="AB59" s="49"/>
      <c r="AC59" s="49"/>
    </row>
    <row r="60" spans="1:29" ht="15.75" customHeight="1">
      <c r="A60" s="47"/>
      <c r="B60" s="47"/>
      <c r="C60" s="49"/>
      <c r="D60" s="49"/>
      <c r="E60" s="49"/>
      <c r="F60" s="49"/>
      <c r="G60" s="49"/>
      <c r="H60" s="173"/>
      <c r="I60" s="49"/>
      <c r="J60" s="49"/>
      <c r="K60" s="49"/>
      <c r="L60" s="49"/>
      <c r="M60" s="49"/>
      <c r="N60" s="49"/>
      <c r="O60" s="49"/>
      <c r="P60" s="49"/>
      <c r="Q60" s="49"/>
      <c r="R60" s="49"/>
      <c r="S60" s="49"/>
      <c r="T60" s="49"/>
      <c r="U60" s="49"/>
      <c r="V60" s="49"/>
      <c r="W60" s="49"/>
      <c r="X60" s="49"/>
      <c r="Y60" s="49"/>
      <c r="Z60" s="49"/>
      <c r="AA60" s="49"/>
      <c r="AB60" s="49"/>
      <c r="AC60" s="49"/>
    </row>
    <row r="61" spans="1:29" ht="15.75" customHeight="1">
      <c r="A61" s="47"/>
      <c r="B61" s="47"/>
      <c r="C61" s="49"/>
      <c r="D61" s="49"/>
      <c r="E61" s="49"/>
      <c r="F61" s="49"/>
      <c r="G61" s="49"/>
      <c r="H61" s="173"/>
      <c r="I61" s="49"/>
      <c r="J61" s="49"/>
      <c r="K61" s="49"/>
      <c r="L61" s="49"/>
      <c r="M61" s="49"/>
      <c r="N61" s="49"/>
      <c r="O61" s="49"/>
      <c r="P61" s="49"/>
      <c r="Q61" s="49"/>
      <c r="R61" s="49"/>
      <c r="S61" s="49"/>
      <c r="T61" s="49"/>
      <c r="U61" s="49"/>
      <c r="V61" s="49"/>
      <c r="W61" s="49"/>
      <c r="X61" s="49"/>
      <c r="Y61" s="49"/>
      <c r="Z61" s="49"/>
      <c r="AA61" s="49"/>
      <c r="AB61" s="49"/>
      <c r="AC61" s="49"/>
    </row>
    <row r="62" spans="1:29" ht="15.75" customHeight="1">
      <c r="A62" s="47"/>
      <c r="B62" s="47"/>
      <c r="C62" s="49"/>
      <c r="D62" s="49"/>
      <c r="E62" s="49"/>
      <c r="F62" s="49"/>
      <c r="G62" s="49"/>
      <c r="H62" s="173"/>
      <c r="I62" s="49"/>
      <c r="J62" s="49"/>
      <c r="K62" s="49"/>
      <c r="L62" s="49"/>
      <c r="M62" s="49"/>
      <c r="N62" s="49"/>
      <c r="O62" s="49"/>
      <c r="P62" s="49"/>
      <c r="Q62" s="49"/>
      <c r="R62" s="49"/>
      <c r="S62" s="49"/>
      <c r="T62" s="49"/>
      <c r="U62" s="49"/>
      <c r="V62" s="49"/>
      <c r="W62" s="49"/>
      <c r="X62" s="49"/>
      <c r="Y62" s="49"/>
      <c r="Z62" s="49"/>
      <c r="AA62" s="49"/>
      <c r="AB62" s="49"/>
      <c r="AC62" s="49"/>
    </row>
    <row r="63" spans="1:29" ht="15.75" customHeight="1">
      <c r="A63" s="47"/>
      <c r="B63" s="47"/>
      <c r="C63" s="49"/>
      <c r="D63" s="49"/>
      <c r="E63" s="49"/>
      <c r="F63" s="49"/>
      <c r="G63" s="49"/>
      <c r="H63" s="173"/>
      <c r="I63" s="49"/>
      <c r="J63" s="49"/>
      <c r="K63" s="49"/>
      <c r="L63" s="49"/>
      <c r="M63" s="49"/>
      <c r="N63" s="49"/>
      <c r="O63" s="49"/>
      <c r="P63" s="49"/>
      <c r="Q63" s="49"/>
      <c r="R63" s="49"/>
      <c r="S63" s="49"/>
      <c r="T63" s="49"/>
      <c r="U63" s="49"/>
      <c r="V63" s="49"/>
      <c r="W63" s="49"/>
      <c r="X63" s="49"/>
      <c r="Y63" s="49"/>
      <c r="Z63" s="49"/>
      <c r="AA63" s="49"/>
      <c r="AB63" s="49"/>
      <c r="AC63" s="49"/>
    </row>
    <row r="64" spans="1:29" ht="15.75" customHeight="1">
      <c r="A64" s="47"/>
      <c r="B64" s="47"/>
      <c r="C64" s="49"/>
      <c r="D64" s="49"/>
      <c r="E64" s="49"/>
      <c r="F64" s="49"/>
      <c r="G64" s="49"/>
      <c r="H64" s="173"/>
      <c r="I64" s="49"/>
      <c r="J64" s="49"/>
      <c r="K64" s="49"/>
      <c r="L64" s="49"/>
      <c r="M64" s="49"/>
      <c r="N64" s="49"/>
      <c r="O64" s="49"/>
      <c r="P64" s="49"/>
      <c r="Q64" s="49"/>
      <c r="R64" s="49"/>
      <c r="S64" s="49"/>
      <c r="T64" s="49"/>
      <c r="U64" s="49"/>
      <c r="V64" s="49"/>
      <c r="W64" s="49"/>
      <c r="X64" s="49"/>
      <c r="Y64" s="49"/>
      <c r="Z64" s="49"/>
      <c r="AA64" s="49"/>
      <c r="AB64" s="49"/>
      <c r="AC64" s="49"/>
    </row>
    <row r="65" spans="1:29" ht="15.75" customHeight="1">
      <c r="A65" s="47"/>
      <c r="B65" s="47"/>
      <c r="C65" s="49"/>
      <c r="D65" s="49"/>
      <c r="E65" s="49"/>
      <c r="F65" s="49"/>
      <c r="G65" s="49"/>
      <c r="H65" s="173"/>
      <c r="I65" s="49"/>
      <c r="J65" s="49"/>
      <c r="K65" s="49"/>
      <c r="L65" s="49"/>
      <c r="M65" s="49"/>
      <c r="N65" s="49"/>
      <c r="O65" s="49"/>
      <c r="P65" s="49"/>
      <c r="Q65" s="49"/>
      <c r="R65" s="49"/>
      <c r="S65" s="49"/>
      <c r="T65" s="49"/>
      <c r="U65" s="49"/>
      <c r="V65" s="49"/>
      <c r="W65" s="49"/>
      <c r="X65" s="49"/>
      <c r="Y65" s="49"/>
      <c r="Z65" s="49"/>
      <c r="AA65" s="49"/>
      <c r="AB65" s="49"/>
      <c r="AC65" s="49"/>
    </row>
    <row r="66" spans="1:29" ht="13">
      <c r="A66" s="47"/>
      <c r="B66" s="47"/>
      <c r="C66" s="49"/>
      <c r="D66" s="49"/>
      <c r="E66" s="49"/>
      <c r="F66" s="49"/>
      <c r="G66" s="49"/>
      <c r="H66" s="173"/>
      <c r="I66" s="49"/>
      <c r="J66" s="49"/>
      <c r="K66" s="49"/>
      <c r="L66" s="49"/>
      <c r="M66" s="49"/>
      <c r="N66" s="49"/>
      <c r="O66" s="49"/>
      <c r="P66" s="49"/>
      <c r="Q66" s="49"/>
      <c r="R66" s="49"/>
      <c r="S66" s="49"/>
      <c r="T66" s="49"/>
      <c r="U66" s="49"/>
      <c r="V66" s="49"/>
      <c r="W66" s="49"/>
      <c r="X66" s="49"/>
      <c r="Y66" s="49"/>
      <c r="Z66" s="49"/>
      <c r="AA66" s="49"/>
      <c r="AB66" s="49"/>
      <c r="AC66" s="49"/>
    </row>
    <row r="67" spans="1:29" ht="13">
      <c r="A67" s="47"/>
      <c r="B67" s="47"/>
      <c r="C67" s="49"/>
      <c r="D67" s="49"/>
      <c r="E67" s="49"/>
      <c r="F67" s="49"/>
      <c r="G67" s="49"/>
      <c r="H67" s="173"/>
      <c r="I67" s="49"/>
      <c r="J67" s="49"/>
      <c r="K67" s="49"/>
      <c r="L67" s="49"/>
      <c r="M67" s="49"/>
      <c r="N67" s="49"/>
      <c r="O67" s="49"/>
      <c r="P67" s="49"/>
      <c r="Q67" s="49"/>
      <c r="R67" s="49"/>
      <c r="S67" s="49"/>
      <c r="T67" s="49"/>
      <c r="U67" s="49"/>
      <c r="V67" s="49"/>
      <c r="W67" s="49"/>
      <c r="X67" s="49"/>
      <c r="Y67" s="49"/>
      <c r="Z67" s="49"/>
      <c r="AA67" s="49"/>
      <c r="AB67" s="49"/>
      <c r="AC67" s="49"/>
    </row>
    <row r="68" spans="1:29" ht="13">
      <c r="A68" s="47"/>
      <c r="B68" s="47"/>
      <c r="C68" s="49"/>
      <c r="D68" s="49"/>
      <c r="E68" s="49"/>
      <c r="F68" s="49"/>
      <c r="G68" s="49"/>
      <c r="H68" s="173"/>
      <c r="I68" s="49"/>
      <c r="J68" s="49"/>
      <c r="K68" s="49"/>
      <c r="L68" s="49"/>
      <c r="M68" s="49"/>
      <c r="N68" s="49"/>
      <c r="O68" s="49"/>
      <c r="P68" s="49"/>
      <c r="Q68" s="49"/>
      <c r="R68" s="49"/>
      <c r="S68" s="49"/>
      <c r="T68" s="49"/>
      <c r="U68" s="49"/>
      <c r="V68" s="49"/>
      <c r="W68" s="49"/>
      <c r="X68" s="49"/>
      <c r="Y68" s="49"/>
      <c r="Z68" s="49"/>
      <c r="AA68" s="49"/>
      <c r="AB68" s="49"/>
      <c r="AC68" s="49"/>
    </row>
    <row r="69" spans="1:29" ht="13">
      <c r="A69" s="47"/>
      <c r="B69" s="47"/>
      <c r="C69" s="49"/>
      <c r="D69" s="49"/>
      <c r="E69" s="49"/>
      <c r="F69" s="49"/>
      <c r="G69" s="49"/>
      <c r="H69" s="173"/>
      <c r="I69" s="49"/>
      <c r="J69" s="49"/>
      <c r="K69" s="49"/>
      <c r="L69" s="49"/>
      <c r="M69" s="49"/>
      <c r="N69" s="49"/>
      <c r="O69" s="49"/>
      <c r="P69" s="49"/>
      <c r="Q69" s="49"/>
      <c r="R69" s="49"/>
      <c r="S69" s="49"/>
      <c r="T69" s="49"/>
      <c r="U69" s="49"/>
      <c r="V69" s="49"/>
      <c r="W69" s="49"/>
      <c r="X69" s="49"/>
      <c r="Y69" s="49"/>
      <c r="Z69" s="49"/>
      <c r="AA69" s="49"/>
      <c r="AB69" s="49"/>
      <c r="AC69" s="49"/>
    </row>
    <row r="70" spans="1:29" ht="13">
      <c r="A70" s="47"/>
      <c r="B70" s="47"/>
      <c r="C70" s="49"/>
      <c r="D70" s="49"/>
      <c r="E70" s="49"/>
      <c r="F70" s="49"/>
      <c r="G70" s="49"/>
      <c r="H70" s="173"/>
      <c r="I70" s="49"/>
      <c r="J70" s="49"/>
      <c r="K70" s="49"/>
      <c r="L70" s="49"/>
      <c r="M70" s="49"/>
      <c r="N70" s="49"/>
      <c r="O70" s="49"/>
      <c r="P70" s="49"/>
      <c r="Q70" s="49"/>
      <c r="R70" s="49"/>
      <c r="S70" s="49"/>
      <c r="T70" s="49"/>
      <c r="U70" s="49"/>
      <c r="V70" s="49"/>
      <c r="W70" s="49"/>
      <c r="X70" s="49"/>
      <c r="Y70" s="49"/>
      <c r="Z70" s="49"/>
      <c r="AA70" s="49"/>
      <c r="AB70" s="49"/>
      <c r="AC70" s="49"/>
    </row>
    <row r="71" spans="1:29" ht="13">
      <c r="A71" s="47"/>
      <c r="B71" s="47"/>
      <c r="C71" s="49"/>
      <c r="D71" s="49"/>
      <c r="E71" s="49"/>
      <c r="F71" s="49"/>
      <c r="G71" s="49"/>
      <c r="H71" s="173"/>
      <c r="I71" s="49"/>
      <c r="J71" s="49"/>
      <c r="K71" s="49"/>
      <c r="L71" s="49"/>
      <c r="M71" s="49"/>
      <c r="N71" s="49"/>
      <c r="O71" s="49"/>
      <c r="P71" s="49"/>
      <c r="Q71" s="49"/>
      <c r="R71" s="49"/>
      <c r="S71" s="49"/>
      <c r="T71" s="49"/>
      <c r="U71" s="49"/>
      <c r="V71" s="49"/>
      <c r="W71" s="49"/>
      <c r="X71" s="49"/>
      <c r="Y71" s="49"/>
      <c r="Z71" s="49"/>
      <c r="AA71" s="49"/>
      <c r="AB71" s="49"/>
      <c r="AC71" s="49"/>
    </row>
    <row r="72" spans="1:29" ht="13">
      <c r="A72" s="47"/>
      <c r="B72" s="47"/>
      <c r="C72" s="49"/>
      <c r="D72" s="49"/>
      <c r="E72" s="49"/>
      <c r="F72" s="49"/>
      <c r="G72" s="49"/>
      <c r="H72" s="173"/>
      <c r="I72" s="49"/>
      <c r="J72" s="49"/>
      <c r="K72" s="49"/>
      <c r="L72" s="49"/>
      <c r="M72" s="49"/>
      <c r="N72" s="49"/>
      <c r="O72" s="49"/>
      <c r="P72" s="49"/>
      <c r="Q72" s="49"/>
      <c r="R72" s="49"/>
      <c r="S72" s="49"/>
      <c r="T72" s="49"/>
      <c r="U72" s="49"/>
      <c r="V72" s="49"/>
      <c r="W72" s="49"/>
      <c r="X72" s="49"/>
      <c r="Y72" s="49"/>
      <c r="Z72" s="49"/>
      <c r="AA72" s="49"/>
      <c r="AB72" s="49"/>
      <c r="AC72" s="49"/>
    </row>
    <row r="73" spans="1:29" ht="13">
      <c r="A73" s="47"/>
      <c r="B73" s="47"/>
      <c r="C73" s="49"/>
      <c r="D73" s="49"/>
      <c r="E73" s="49"/>
      <c r="F73" s="49"/>
      <c r="G73" s="49"/>
      <c r="H73" s="173"/>
      <c r="I73" s="49"/>
      <c r="J73" s="49"/>
      <c r="K73" s="49"/>
      <c r="L73" s="49"/>
      <c r="M73" s="49"/>
      <c r="N73" s="49"/>
      <c r="O73" s="49"/>
      <c r="P73" s="49"/>
      <c r="Q73" s="49"/>
      <c r="R73" s="49"/>
      <c r="S73" s="49"/>
      <c r="T73" s="49"/>
      <c r="U73" s="49"/>
      <c r="V73" s="49"/>
      <c r="W73" s="49"/>
      <c r="X73" s="49"/>
      <c r="Y73" s="49"/>
      <c r="Z73" s="49"/>
      <c r="AA73" s="49"/>
      <c r="AB73" s="49"/>
      <c r="AC73" s="49"/>
    </row>
    <row r="74" spans="1:29" ht="13">
      <c r="A74" s="47"/>
      <c r="B74" s="47"/>
      <c r="C74" s="49"/>
      <c r="D74" s="49"/>
      <c r="E74" s="49"/>
      <c r="F74" s="49"/>
      <c r="G74" s="49"/>
      <c r="H74" s="173"/>
      <c r="I74" s="49"/>
      <c r="J74" s="49"/>
      <c r="K74" s="49"/>
      <c r="L74" s="49"/>
      <c r="M74" s="49"/>
      <c r="N74" s="49"/>
      <c r="O74" s="49"/>
      <c r="P74" s="49"/>
      <c r="Q74" s="49"/>
      <c r="R74" s="49"/>
      <c r="S74" s="49"/>
      <c r="T74" s="49"/>
      <c r="U74" s="49"/>
      <c r="V74" s="49"/>
      <c r="W74" s="49"/>
      <c r="X74" s="49"/>
      <c r="Y74" s="49"/>
      <c r="Z74" s="49"/>
      <c r="AA74" s="49"/>
      <c r="AB74" s="49"/>
      <c r="AC74" s="49"/>
    </row>
    <row r="75" spans="1:29" ht="13">
      <c r="A75" s="47"/>
      <c r="B75" s="47"/>
      <c r="C75" s="49"/>
      <c r="D75" s="49"/>
      <c r="E75" s="49"/>
      <c r="F75" s="49"/>
      <c r="G75" s="49"/>
      <c r="H75" s="173"/>
      <c r="I75" s="49"/>
      <c r="J75" s="49"/>
      <c r="K75" s="49"/>
      <c r="L75" s="49"/>
      <c r="M75" s="49"/>
      <c r="N75" s="49"/>
      <c r="O75" s="49"/>
      <c r="P75" s="49"/>
      <c r="Q75" s="49"/>
      <c r="R75" s="49"/>
      <c r="S75" s="49"/>
      <c r="T75" s="49"/>
      <c r="U75" s="49"/>
      <c r="V75" s="49"/>
      <c r="W75" s="49"/>
      <c r="X75" s="49"/>
      <c r="Y75" s="49"/>
      <c r="Z75" s="49"/>
      <c r="AA75" s="49"/>
      <c r="AB75" s="49"/>
      <c r="AC75" s="49"/>
    </row>
    <row r="76" spans="1:29" ht="13">
      <c r="A76" s="47"/>
      <c r="B76" s="47"/>
      <c r="C76" s="49"/>
      <c r="D76" s="49"/>
      <c r="E76" s="49"/>
      <c r="F76" s="49"/>
      <c r="G76" s="49"/>
      <c r="H76" s="173"/>
      <c r="I76" s="49"/>
      <c r="J76" s="49"/>
      <c r="K76" s="49"/>
      <c r="L76" s="49"/>
      <c r="M76" s="49"/>
      <c r="N76" s="49"/>
      <c r="O76" s="49"/>
      <c r="P76" s="49"/>
      <c r="Q76" s="49"/>
      <c r="R76" s="49"/>
      <c r="S76" s="49"/>
      <c r="T76" s="49"/>
      <c r="U76" s="49"/>
      <c r="V76" s="49"/>
      <c r="W76" s="49"/>
      <c r="X76" s="49"/>
      <c r="Y76" s="49"/>
      <c r="Z76" s="49"/>
      <c r="AA76" s="49"/>
      <c r="AB76" s="49"/>
      <c r="AC76" s="49"/>
    </row>
    <row r="77" spans="1:29" ht="13">
      <c r="A77" s="47"/>
      <c r="B77" s="47"/>
      <c r="C77" s="49"/>
      <c r="D77" s="49"/>
      <c r="E77" s="49"/>
      <c r="F77" s="49"/>
      <c r="G77" s="49"/>
      <c r="H77" s="173"/>
      <c r="I77" s="49"/>
      <c r="J77" s="49"/>
      <c r="K77" s="49"/>
      <c r="L77" s="49"/>
      <c r="M77" s="49"/>
      <c r="N77" s="49"/>
      <c r="O77" s="49"/>
      <c r="P77" s="49"/>
      <c r="Q77" s="49"/>
      <c r="R77" s="49"/>
      <c r="S77" s="49"/>
      <c r="T77" s="49"/>
      <c r="U77" s="49"/>
      <c r="V77" s="49"/>
      <c r="W77" s="49"/>
      <c r="X77" s="49"/>
      <c r="Y77" s="49"/>
      <c r="Z77" s="49"/>
      <c r="AA77" s="49"/>
      <c r="AB77" s="49"/>
      <c r="AC77" s="49"/>
    </row>
    <row r="78" spans="1:29" ht="13">
      <c r="A78" s="47"/>
      <c r="B78" s="47"/>
      <c r="C78" s="49"/>
      <c r="D78" s="49"/>
      <c r="E78" s="49"/>
      <c r="F78" s="49"/>
      <c r="G78" s="49"/>
      <c r="H78" s="173"/>
      <c r="I78" s="49"/>
      <c r="J78" s="49"/>
      <c r="K78" s="49"/>
      <c r="L78" s="49"/>
      <c r="M78" s="49"/>
      <c r="N78" s="49"/>
      <c r="O78" s="49"/>
      <c r="P78" s="49"/>
      <c r="Q78" s="49"/>
      <c r="R78" s="49"/>
      <c r="S78" s="49"/>
      <c r="T78" s="49"/>
      <c r="U78" s="49"/>
      <c r="V78" s="49"/>
      <c r="W78" s="49"/>
      <c r="X78" s="49"/>
      <c r="Y78" s="49"/>
      <c r="Z78" s="49"/>
      <c r="AA78" s="49"/>
      <c r="AB78" s="49"/>
      <c r="AC78" s="49"/>
    </row>
    <row r="79" spans="1:29" ht="13">
      <c r="A79" s="47"/>
      <c r="B79" s="47"/>
      <c r="C79" s="49"/>
      <c r="D79" s="49"/>
      <c r="E79" s="49"/>
      <c r="F79" s="49"/>
      <c r="G79" s="49"/>
      <c r="H79" s="173"/>
      <c r="I79" s="49"/>
      <c r="J79" s="49"/>
      <c r="K79" s="49"/>
      <c r="L79" s="49"/>
      <c r="M79" s="49"/>
      <c r="N79" s="49"/>
      <c r="O79" s="49"/>
      <c r="P79" s="49"/>
      <c r="Q79" s="49"/>
      <c r="R79" s="49"/>
      <c r="S79" s="49"/>
      <c r="T79" s="49"/>
      <c r="U79" s="49"/>
      <c r="V79" s="49"/>
      <c r="W79" s="49"/>
      <c r="X79" s="49"/>
      <c r="Y79" s="49"/>
      <c r="Z79" s="49"/>
      <c r="AA79" s="49"/>
      <c r="AB79" s="49"/>
      <c r="AC79" s="49"/>
    </row>
    <row r="80" spans="1:29" ht="13">
      <c r="A80" s="47"/>
      <c r="B80" s="47"/>
      <c r="C80" s="49"/>
      <c r="D80" s="49"/>
      <c r="E80" s="49"/>
      <c r="F80" s="49"/>
      <c r="G80" s="49"/>
      <c r="H80" s="173"/>
      <c r="I80" s="49"/>
      <c r="J80" s="49"/>
      <c r="K80" s="49"/>
      <c r="L80" s="49"/>
      <c r="M80" s="49"/>
      <c r="N80" s="49"/>
      <c r="O80" s="49"/>
      <c r="P80" s="49"/>
      <c r="Q80" s="49"/>
      <c r="R80" s="49"/>
      <c r="S80" s="49"/>
      <c r="T80" s="49"/>
      <c r="U80" s="49"/>
      <c r="V80" s="49"/>
      <c r="W80" s="49"/>
      <c r="X80" s="49"/>
      <c r="Y80" s="49"/>
      <c r="Z80" s="49"/>
      <c r="AA80" s="49"/>
      <c r="AB80" s="49"/>
      <c r="AC80" s="49"/>
    </row>
    <row r="81" spans="1:29" ht="13">
      <c r="A81" s="47"/>
      <c r="B81" s="47"/>
      <c r="C81" s="49"/>
      <c r="D81" s="49"/>
      <c r="E81" s="49"/>
      <c r="F81" s="49"/>
      <c r="G81" s="49"/>
      <c r="H81" s="173"/>
      <c r="I81" s="49"/>
      <c r="J81" s="49"/>
      <c r="K81" s="49"/>
      <c r="L81" s="49"/>
      <c r="M81" s="49"/>
      <c r="N81" s="49"/>
      <c r="O81" s="49"/>
      <c r="P81" s="49"/>
      <c r="Q81" s="49"/>
      <c r="R81" s="49"/>
      <c r="S81" s="49"/>
      <c r="T81" s="49"/>
      <c r="U81" s="49"/>
      <c r="V81" s="49"/>
      <c r="W81" s="49"/>
      <c r="X81" s="49"/>
      <c r="Y81" s="49"/>
      <c r="Z81" s="49"/>
      <c r="AA81" s="49"/>
      <c r="AB81" s="49"/>
      <c r="AC81" s="49"/>
    </row>
    <row r="82" spans="1:29" ht="13">
      <c r="A82" s="47"/>
      <c r="B82" s="47"/>
      <c r="C82" s="49"/>
      <c r="D82" s="49"/>
      <c r="E82" s="49"/>
      <c r="F82" s="49"/>
      <c r="G82" s="49"/>
      <c r="H82" s="173"/>
      <c r="I82" s="49"/>
      <c r="J82" s="49"/>
      <c r="K82" s="49"/>
      <c r="L82" s="49"/>
      <c r="M82" s="49"/>
      <c r="N82" s="49"/>
      <c r="O82" s="49"/>
      <c r="P82" s="49"/>
      <c r="Q82" s="49"/>
      <c r="R82" s="49"/>
      <c r="S82" s="49"/>
      <c r="T82" s="49"/>
      <c r="U82" s="49"/>
      <c r="V82" s="49"/>
      <c r="W82" s="49"/>
      <c r="X82" s="49"/>
      <c r="Y82" s="49"/>
      <c r="Z82" s="49"/>
      <c r="AA82" s="49"/>
      <c r="AB82" s="49"/>
      <c r="AC82" s="49"/>
    </row>
    <row r="83" spans="1:29" ht="13">
      <c r="A83" s="47"/>
      <c r="B83" s="47"/>
      <c r="C83" s="49"/>
      <c r="D83" s="49"/>
      <c r="E83" s="49"/>
      <c r="F83" s="49"/>
      <c r="G83" s="49"/>
      <c r="H83" s="173"/>
      <c r="I83" s="49"/>
      <c r="J83" s="49"/>
      <c r="K83" s="49"/>
      <c r="L83" s="49"/>
      <c r="M83" s="49"/>
      <c r="N83" s="49"/>
      <c r="O83" s="49"/>
      <c r="P83" s="49"/>
      <c r="Q83" s="49"/>
      <c r="R83" s="49"/>
      <c r="S83" s="49"/>
      <c r="T83" s="49"/>
      <c r="U83" s="49"/>
      <c r="V83" s="49"/>
      <c r="W83" s="49"/>
      <c r="X83" s="49"/>
      <c r="Y83" s="49"/>
      <c r="Z83" s="49"/>
      <c r="AA83" s="49"/>
      <c r="AB83" s="49"/>
      <c r="AC83" s="49"/>
    </row>
    <row r="84" spans="1:29" ht="13">
      <c r="A84" s="47"/>
      <c r="B84" s="47"/>
      <c r="C84" s="49"/>
      <c r="D84" s="49"/>
      <c r="E84" s="49"/>
      <c r="F84" s="49"/>
      <c r="G84" s="49"/>
      <c r="H84" s="173"/>
      <c r="I84" s="49"/>
      <c r="J84" s="49"/>
      <c r="K84" s="49"/>
      <c r="L84" s="49"/>
      <c r="M84" s="49"/>
      <c r="N84" s="49"/>
      <c r="O84" s="49"/>
      <c r="P84" s="49"/>
      <c r="Q84" s="49"/>
      <c r="R84" s="49"/>
      <c r="S84" s="49"/>
      <c r="T84" s="49"/>
      <c r="U84" s="49"/>
      <c r="V84" s="49"/>
      <c r="W84" s="49"/>
      <c r="X84" s="49"/>
      <c r="Y84" s="49"/>
      <c r="Z84" s="49"/>
      <c r="AA84" s="49"/>
      <c r="AB84" s="49"/>
      <c r="AC84" s="49"/>
    </row>
    <row r="85" spans="1:29" ht="13">
      <c r="A85" s="47"/>
      <c r="B85" s="47"/>
      <c r="C85" s="49"/>
      <c r="D85" s="49"/>
      <c r="E85" s="49"/>
      <c r="F85" s="49"/>
      <c r="G85" s="49"/>
      <c r="H85" s="173"/>
      <c r="I85" s="49"/>
      <c r="J85" s="49"/>
      <c r="K85" s="49"/>
      <c r="L85" s="49"/>
      <c r="M85" s="49"/>
      <c r="N85" s="49"/>
      <c r="O85" s="49"/>
      <c r="P85" s="49"/>
      <c r="Q85" s="49"/>
      <c r="R85" s="49"/>
      <c r="S85" s="49"/>
      <c r="T85" s="49"/>
      <c r="U85" s="49"/>
      <c r="V85" s="49"/>
      <c r="W85" s="49"/>
      <c r="X85" s="49"/>
      <c r="Y85" s="49"/>
      <c r="Z85" s="49"/>
      <c r="AA85" s="49"/>
      <c r="AB85" s="49"/>
      <c r="AC85" s="49"/>
    </row>
    <row r="86" spans="1:29" ht="13">
      <c r="A86" s="47"/>
      <c r="B86" s="47"/>
      <c r="C86" s="49"/>
      <c r="D86" s="49"/>
      <c r="E86" s="49"/>
      <c r="F86" s="49"/>
      <c r="G86" s="49"/>
      <c r="H86" s="173"/>
      <c r="I86" s="49"/>
      <c r="J86" s="49"/>
      <c r="K86" s="49"/>
      <c r="L86" s="49"/>
      <c r="M86" s="49"/>
      <c r="N86" s="49"/>
      <c r="O86" s="49"/>
      <c r="P86" s="49"/>
      <c r="Q86" s="49"/>
      <c r="R86" s="49"/>
      <c r="S86" s="49"/>
      <c r="T86" s="49"/>
      <c r="U86" s="49"/>
      <c r="V86" s="49"/>
      <c r="W86" s="49"/>
      <c r="X86" s="49"/>
      <c r="Y86" s="49"/>
      <c r="Z86" s="49"/>
      <c r="AA86" s="49"/>
      <c r="AB86" s="49"/>
      <c r="AC86" s="49"/>
    </row>
    <row r="87" spans="1:29" ht="13">
      <c r="A87" s="47"/>
      <c r="B87" s="47"/>
      <c r="C87" s="49"/>
      <c r="D87" s="49"/>
      <c r="E87" s="49"/>
      <c r="F87" s="49"/>
      <c r="G87" s="49"/>
      <c r="H87" s="173"/>
      <c r="I87" s="49"/>
      <c r="J87" s="49"/>
      <c r="K87" s="49"/>
      <c r="L87" s="49"/>
      <c r="M87" s="49"/>
      <c r="N87" s="49"/>
      <c r="O87" s="49"/>
      <c r="P87" s="49"/>
      <c r="Q87" s="49"/>
      <c r="R87" s="49"/>
      <c r="S87" s="49"/>
      <c r="T87" s="49"/>
      <c r="U87" s="49"/>
      <c r="V87" s="49"/>
      <c r="W87" s="49"/>
      <c r="X87" s="49"/>
      <c r="Y87" s="49"/>
      <c r="Z87" s="49"/>
      <c r="AA87" s="49"/>
      <c r="AB87" s="49"/>
      <c r="AC87" s="49"/>
    </row>
    <row r="88" spans="1:29" ht="13">
      <c r="A88" s="47"/>
      <c r="B88" s="47"/>
      <c r="C88" s="49"/>
      <c r="D88" s="49"/>
      <c r="E88" s="49"/>
      <c r="F88" s="49"/>
      <c r="G88" s="49"/>
      <c r="H88" s="173"/>
      <c r="I88" s="49"/>
      <c r="J88" s="49"/>
      <c r="K88" s="49"/>
      <c r="L88" s="49"/>
      <c r="M88" s="49"/>
      <c r="N88" s="49"/>
      <c r="O88" s="49"/>
      <c r="P88" s="49"/>
      <c r="Q88" s="49"/>
      <c r="R88" s="49"/>
      <c r="S88" s="49"/>
      <c r="T88" s="49"/>
      <c r="U88" s="49"/>
      <c r="V88" s="49"/>
      <c r="W88" s="49"/>
      <c r="X88" s="49"/>
      <c r="Y88" s="49"/>
      <c r="Z88" s="49"/>
      <c r="AA88" s="49"/>
      <c r="AB88" s="49"/>
      <c r="AC88" s="49"/>
    </row>
    <row r="89" spans="1:29" ht="13">
      <c r="A89" s="47"/>
      <c r="B89" s="47"/>
      <c r="C89" s="49"/>
      <c r="D89" s="49"/>
      <c r="E89" s="49"/>
      <c r="F89" s="49"/>
      <c r="G89" s="49"/>
      <c r="H89" s="173"/>
      <c r="I89" s="49"/>
      <c r="J89" s="49"/>
      <c r="K89" s="49"/>
      <c r="L89" s="49"/>
      <c r="M89" s="49"/>
      <c r="N89" s="49"/>
      <c r="O89" s="49"/>
      <c r="P89" s="49"/>
      <c r="Q89" s="49"/>
      <c r="R89" s="49"/>
      <c r="S89" s="49"/>
      <c r="T89" s="49"/>
      <c r="U89" s="49"/>
      <c r="V89" s="49"/>
      <c r="W89" s="49"/>
      <c r="X89" s="49"/>
      <c r="Y89" s="49"/>
      <c r="Z89" s="49"/>
      <c r="AA89" s="49"/>
      <c r="AB89" s="49"/>
      <c r="AC89" s="49"/>
    </row>
    <row r="90" spans="1:29" ht="13">
      <c r="A90" s="47"/>
      <c r="B90" s="47"/>
      <c r="C90" s="49"/>
      <c r="D90" s="49"/>
      <c r="E90" s="49"/>
      <c r="F90" s="49"/>
      <c r="G90" s="49"/>
      <c r="H90" s="173"/>
      <c r="I90" s="49"/>
      <c r="J90" s="49"/>
      <c r="K90" s="49"/>
      <c r="L90" s="49"/>
      <c r="M90" s="49"/>
      <c r="N90" s="49"/>
      <c r="O90" s="49"/>
      <c r="P90" s="49"/>
      <c r="Q90" s="49"/>
      <c r="R90" s="49"/>
      <c r="S90" s="49"/>
      <c r="T90" s="49"/>
      <c r="U90" s="49"/>
      <c r="V90" s="49"/>
      <c r="W90" s="49"/>
      <c r="X90" s="49"/>
      <c r="Y90" s="49"/>
      <c r="Z90" s="49"/>
      <c r="AA90" s="49"/>
      <c r="AB90" s="49"/>
      <c r="AC90" s="49"/>
    </row>
    <row r="91" spans="1:29" ht="13">
      <c r="A91" s="47"/>
      <c r="B91" s="47"/>
      <c r="C91" s="49"/>
      <c r="D91" s="49"/>
      <c r="E91" s="49"/>
      <c r="F91" s="49"/>
      <c r="G91" s="49"/>
      <c r="H91" s="173"/>
      <c r="I91" s="49"/>
      <c r="J91" s="49"/>
      <c r="K91" s="49"/>
      <c r="L91" s="49"/>
      <c r="M91" s="49"/>
      <c r="N91" s="49"/>
      <c r="O91" s="49"/>
      <c r="P91" s="49"/>
      <c r="Q91" s="49"/>
      <c r="R91" s="49"/>
      <c r="S91" s="49"/>
      <c r="T91" s="49"/>
      <c r="U91" s="49"/>
      <c r="V91" s="49"/>
      <c r="W91" s="49"/>
      <c r="X91" s="49"/>
      <c r="Y91" s="49"/>
      <c r="Z91" s="49"/>
      <c r="AA91" s="49"/>
      <c r="AB91" s="49"/>
      <c r="AC91" s="49"/>
    </row>
    <row r="92" spans="1:29" ht="13">
      <c r="A92" s="47"/>
      <c r="B92" s="47"/>
      <c r="C92" s="49"/>
      <c r="D92" s="49"/>
      <c r="E92" s="49"/>
      <c r="F92" s="49"/>
      <c r="G92" s="49"/>
      <c r="H92" s="173"/>
      <c r="I92" s="49"/>
      <c r="J92" s="49"/>
      <c r="K92" s="49"/>
      <c r="L92" s="49"/>
      <c r="M92" s="49"/>
      <c r="N92" s="49"/>
      <c r="O92" s="49"/>
      <c r="P92" s="49"/>
      <c r="Q92" s="49"/>
      <c r="R92" s="49"/>
      <c r="S92" s="49"/>
      <c r="T92" s="49"/>
      <c r="U92" s="49"/>
      <c r="V92" s="49"/>
      <c r="W92" s="49"/>
      <c r="X92" s="49"/>
      <c r="Y92" s="49"/>
      <c r="Z92" s="49"/>
      <c r="AA92" s="49"/>
      <c r="AB92" s="49"/>
      <c r="AC92" s="49"/>
    </row>
    <row r="93" spans="1:29" ht="13">
      <c r="A93" s="47"/>
      <c r="B93" s="47"/>
      <c r="C93" s="49"/>
      <c r="D93" s="49"/>
      <c r="E93" s="49"/>
      <c r="F93" s="49"/>
      <c r="G93" s="49"/>
      <c r="H93" s="173"/>
      <c r="I93" s="49"/>
      <c r="J93" s="49"/>
      <c r="K93" s="49"/>
      <c r="L93" s="49"/>
      <c r="M93" s="49"/>
      <c r="N93" s="49"/>
      <c r="O93" s="49"/>
      <c r="P93" s="49"/>
      <c r="Q93" s="49"/>
      <c r="R93" s="49"/>
      <c r="S93" s="49"/>
      <c r="T93" s="49"/>
      <c r="U93" s="49"/>
      <c r="V93" s="49"/>
      <c r="W93" s="49"/>
      <c r="X93" s="49"/>
      <c r="Y93" s="49"/>
      <c r="Z93" s="49"/>
      <c r="AA93" s="49"/>
      <c r="AB93" s="49"/>
      <c r="AC93" s="49"/>
    </row>
    <row r="94" spans="1:29" ht="13">
      <c r="A94" s="47"/>
      <c r="B94" s="47"/>
      <c r="C94" s="49"/>
      <c r="D94" s="49"/>
      <c r="E94" s="49"/>
      <c r="F94" s="49"/>
      <c r="G94" s="49"/>
      <c r="H94" s="173"/>
      <c r="I94" s="49"/>
      <c r="J94" s="49"/>
      <c r="K94" s="49"/>
      <c r="L94" s="49"/>
      <c r="M94" s="49"/>
      <c r="N94" s="49"/>
      <c r="O94" s="49"/>
      <c r="P94" s="49"/>
      <c r="Q94" s="49"/>
      <c r="R94" s="49"/>
      <c r="S94" s="49"/>
      <c r="T94" s="49"/>
      <c r="U94" s="49"/>
      <c r="V94" s="49"/>
      <c r="W94" s="49"/>
      <c r="X94" s="49"/>
      <c r="Y94" s="49"/>
      <c r="Z94" s="49"/>
      <c r="AA94" s="49"/>
      <c r="AB94" s="49"/>
      <c r="AC94" s="49"/>
    </row>
    <row r="95" spans="1:29" ht="13">
      <c r="A95" s="47"/>
      <c r="B95" s="47"/>
      <c r="C95" s="49"/>
      <c r="D95" s="49"/>
      <c r="E95" s="49"/>
      <c r="F95" s="49"/>
      <c r="G95" s="49"/>
      <c r="H95" s="173"/>
      <c r="I95" s="49"/>
      <c r="J95" s="49"/>
      <c r="K95" s="49"/>
      <c r="L95" s="49"/>
      <c r="M95" s="49"/>
      <c r="N95" s="49"/>
      <c r="O95" s="49"/>
      <c r="P95" s="49"/>
      <c r="Q95" s="49"/>
      <c r="R95" s="49"/>
      <c r="S95" s="49"/>
      <c r="T95" s="49"/>
      <c r="U95" s="49"/>
      <c r="V95" s="49"/>
      <c r="W95" s="49"/>
      <c r="X95" s="49"/>
      <c r="Y95" s="49"/>
      <c r="Z95" s="49"/>
      <c r="AA95" s="49"/>
      <c r="AB95" s="49"/>
      <c r="AC95" s="49"/>
    </row>
    <row r="96" spans="1:29" ht="13">
      <c r="A96" s="47"/>
      <c r="B96" s="47"/>
      <c r="C96" s="49"/>
      <c r="D96" s="49"/>
      <c r="E96" s="49"/>
      <c r="F96" s="49"/>
      <c r="G96" s="49"/>
      <c r="H96" s="173"/>
      <c r="I96" s="49"/>
      <c r="J96" s="49"/>
      <c r="K96" s="49"/>
      <c r="L96" s="49"/>
      <c r="M96" s="49"/>
      <c r="N96" s="49"/>
      <c r="O96" s="49"/>
      <c r="P96" s="49"/>
      <c r="Q96" s="49"/>
      <c r="R96" s="49"/>
      <c r="S96" s="49"/>
      <c r="T96" s="49"/>
      <c r="U96" s="49"/>
      <c r="V96" s="49"/>
      <c r="W96" s="49"/>
      <c r="X96" s="49"/>
      <c r="Y96" s="49"/>
      <c r="Z96" s="49"/>
      <c r="AA96" s="49"/>
      <c r="AB96" s="49"/>
      <c r="AC96" s="49"/>
    </row>
    <row r="97" spans="1:29" ht="13">
      <c r="A97" s="47"/>
      <c r="B97" s="47"/>
      <c r="C97" s="49"/>
      <c r="D97" s="49"/>
      <c r="E97" s="49"/>
      <c r="F97" s="49"/>
      <c r="G97" s="49"/>
      <c r="H97" s="173"/>
      <c r="I97" s="49"/>
      <c r="J97" s="49"/>
      <c r="K97" s="49"/>
      <c r="L97" s="49"/>
      <c r="M97" s="49"/>
      <c r="N97" s="49"/>
      <c r="O97" s="49"/>
      <c r="P97" s="49"/>
      <c r="Q97" s="49"/>
      <c r="R97" s="49"/>
      <c r="S97" s="49"/>
      <c r="T97" s="49"/>
      <c r="U97" s="49"/>
      <c r="V97" s="49"/>
      <c r="W97" s="49"/>
      <c r="X97" s="49"/>
      <c r="Y97" s="49"/>
      <c r="Z97" s="49"/>
      <c r="AA97" s="49"/>
      <c r="AB97" s="49"/>
      <c r="AC97" s="49"/>
    </row>
    <row r="98" spans="1:29" ht="13">
      <c r="A98" s="47"/>
      <c r="B98" s="47"/>
      <c r="C98" s="49"/>
      <c r="D98" s="49"/>
      <c r="E98" s="49"/>
      <c r="F98" s="49"/>
      <c r="G98" s="49"/>
      <c r="H98" s="173"/>
      <c r="I98" s="49"/>
      <c r="J98" s="49"/>
      <c r="K98" s="49"/>
      <c r="L98" s="49"/>
      <c r="M98" s="49"/>
      <c r="N98" s="49"/>
      <c r="O98" s="49"/>
      <c r="P98" s="49"/>
      <c r="Q98" s="49"/>
      <c r="R98" s="49"/>
      <c r="S98" s="49"/>
      <c r="T98" s="49"/>
      <c r="U98" s="49"/>
      <c r="V98" s="49"/>
      <c r="W98" s="49"/>
      <c r="X98" s="49"/>
      <c r="Y98" s="49"/>
      <c r="Z98" s="49"/>
      <c r="AA98" s="49"/>
      <c r="AB98" s="49"/>
      <c r="AC98" s="49"/>
    </row>
    <row r="99" spans="1:29" ht="13">
      <c r="A99" s="47"/>
      <c r="B99" s="47"/>
      <c r="C99" s="49"/>
      <c r="D99" s="49"/>
      <c r="E99" s="49"/>
      <c r="F99" s="49"/>
      <c r="G99" s="49"/>
      <c r="H99" s="173"/>
      <c r="I99" s="49"/>
      <c r="J99" s="49"/>
      <c r="K99" s="49"/>
      <c r="L99" s="49"/>
      <c r="M99" s="49"/>
      <c r="N99" s="49"/>
      <c r="O99" s="49"/>
      <c r="P99" s="49"/>
      <c r="Q99" s="49"/>
      <c r="R99" s="49"/>
      <c r="S99" s="49"/>
      <c r="T99" s="49"/>
      <c r="U99" s="49"/>
      <c r="V99" s="49"/>
      <c r="W99" s="49"/>
      <c r="X99" s="49"/>
      <c r="Y99" s="49"/>
      <c r="Z99" s="49"/>
      <c r="AA99" s="49"/>
      <c r="AB99" s="49"/>
      <c r="AC99" s="49"/>
    </row>
    <row r="100" spans="1:29" ht="13">
      <c r="A100" s="47"/>
      <c r="B100" s="47"/>
      <c r="C100" s="49"/>
      <c r="D100" s="49"/>
      <c r="E100" s="49"/>
      <c r="F100" s="49"/>
      <c r="G100" s="49"/>
      <c r="H100" s="173"/>
      <c r="I100" s="49"/>
      <c r="J100" s="49"/>
      <c r="K100" s="49"/>
      <c r="L100" s="49"/>
      <c r="M100" s="49"/>
      <c r="N100" s="49"/>
      <c r="O100" s="49"/>
      <c r="P100" s="49"/>
      <c r="Q100" s="49"/>
      <c r="R100" s="49"/>
      <c r="S100" s="49"/>
      <c r="T100" s="49"/>
      <c r="U100" s="49"/>
      <c r="V100" s="49"/>
      <c r="W100" s="49"/>
      <c r="X100" s="49"/>
      <c r="Y100" s="49"/>
      <c r="Z100" s="49"/>
      <c r="AA100" s="49"/>
      <c r="AB100" s="49"/>
      <c r="AC100" s="49"/>
    </row>
    <row r="101" spans="1:29" ht="13">
      <c r="A101" s="47"/>
      <c r="B101" s="47"/>
      <c r="C101" s="49"/>
      <c r="D101" s="49"/>
      <c r="E101" s="49"/>
      <c r="F101" s="49"/>
      <c r="G101" s="49"/>
      <c r="H101" s="173"/>
      <c r="I101" s="49"/>
      <c r="J101" s="49"/>
      <c r="K101" s="49"/>
      <c r="L101" s="49"/>
      <c r="M101" s="49"/>
      <c r="N101" s="49"/>
      <c r="O101" s="49"/>
      <c r="P101" s="49"/>
      <c r="Q101" s="49"/>
      <c r="R101" s="49"/>
      <c r="S101" s="49"/>
      <c r="T101" s="49"/>
      <c r="U101" s="49"/>
      <c r="V101" s="49"/>
      <c r="W101" s="49"/>
      <c r="X101" s="49"/>
      <c r="Y101" s="49"/>
      <c r="Z101" s="49"/>
      <c r="AA101" s="49"/>
      <c r="AB101" s="49"/>
      <c r="AC101" s="49"/>
    </row>
    <row r="102" spans="1:29" ht="13">
      <c r="A102" s="47"/>
      <c r="B102" s="47"/>
      <c r="C102" s="49"/>
      <c r="D102" s="49"/>
      <c r="E102" s="49"/>
      <c r="F102" s="49"/>
      <c r="G102" s="49"/>
      <c r="H102" s="173"/>
      <c r="I102" s="49"/>
      <c r="J102" s="49"/>
      <c r="K102" s="49"/>
      <c r="L102" s="49"/>
      <c r="M102" s="49"/>
      <c r="N102" s="49"/>
      <c r="O102" s="49"/>
      <c r="P102" s="49"/>
      <c r="Q102" s="49"/>
      <c r="R102" s="49"/>
      <c r="S102" s="49"/>
      <c r="T102" s="49"/>
      <c r="U102" s="49"/>
      <c r="V102" s="49"/>
      <c r="W102" s="49"/>
      <c r="X102" s="49"/>
      <c r="Y102" s="49"/>
      <c r="Z102" s="49"/>
      <c r="AA102" s="49"/>
      <c r="AB102" s="49"/>
      <c r="AC102" s="49"/>
    </row>
    <row r="103" spans="1:29" ht="13">
      <c r="A103" s="47"/>
      <c r="B103" s="47"/>
      <c r="C103" s="49"/>
      <c r="D103" s="49"/>
      <c r="E103" s="49"/>
      <c r="F103" s="49"/>
      <c r="G103" s="49"/>
      <c r="H103" s="173"/>
      <c r="I103" s="49"/>
      <c r="J103" s="49"/>
      <c r="K103" s="49"/>
      <c r="L103" s="49"/>
      <c r="M103" s="49"/>
      <c r="N103" s="49"/>
      <c r="O103" s="49"/>
      <c r="P103" s="49"/>
      <c r="Q103" s="49"/>
      <c r="R103" s="49"/>
      <c r="S103" s="49"/>
      <c r="T103" s="49"/>
      <c r="U103" s="49"/>
      <c r="V103" s="49"/>
      <c r="W103" s="49"/>
      <c r="X103" s="49"/>
      <c r="Y103" s="49"/>
      <c r="Z103" s="49"/>
      <c r="AA103" s="49"/>
      <c r="AB103" s="49"/>
      <c r="AC103" s="49"/>
    </row>
    <row r="104" spans="1:29" ht="13">
      <c r="A104" s="47"/>
      <c r="B104" s="47"/>
      <c r="C104" s="49"/>
      <c r="D104" s="49"/>
      <c r="E104" s="49"/>
      <c r="F104" s="49"/>
      <c r="G104" s="49"/>
      <c r="H104" s="173"/>
      <c r="I104" s="49"/>
      <c r="J104" s="49"/>
      <c r="K104" s="49"/>
      <c r="L104" s="49"/>
      <c r="M104" s="49"/>
      <c r="N104" s="49"/>
      <c r="O104" s="49"/>
      <c r="P104" s="49"/>
      <c r="Q104" s="49"/>
      <c r="R104" s="49"/>
      <c r="S104" s="49"/>
      <c r="T104" s="49"/>
      <c r="U104" s="49"/>
      <c r="V104" s="49"/>
      <c r="W104" s="49"/>
      <c r="X104" s="49"/>
      <c r="Y104" s="49"/>
      <c r="Z104" s="49"/>
      <c r="AA104" s="49"/>
      <c r="AB104" s="49"/>
      <c r="AC104" s="49"/>
    </row>
    <row r="105" spans="1:29" ht="13">
      <c r="A105" s="47"/>
      <c r="B105" s="47"/>
      <c r="C105" s="49"/>
      <c r="D105" s="49"/>
      <c r="E105" s="49"/>
      <c r="F105" s="49"/>
      <c r="G105" s="49"/>
      <c r="H105" s="173"/>
      <c r="I105" s="49"/>
      <c r="J105" s="49"/>
      <c r="K105" s="49"/>
      <c r="L105" s="49"/>
      <c r="M105" s="49"/>
      <c r="N105" s="49"/>
      <c r="O105" s="49"/>
      <c r="P105" s="49"/>
      <c r="Q105" s="49"/>
      <c r="R105" s="49"/>
      <c r="S105" s="49"/>
      <c r="T105" s="49"/>
      <c r="U105" s="49"/>
      <c r="V105" s="49"/>
      <c r="W105" s="49"/>
      <c r="X105" s="49"/>
      <c r="Y105" s="49"/>
      <c r="Z105" s="49"/>
      <c r="AA105" s="49"/>
      <c r="AB105" s="49"/>
      <c r="AC105" s="49"/>
    </row>
    <row r="106" spans="1:29" ht="13">
      <c r="A106" s="47"/>
      <c r="B106" s="47"/>
      <c r="C106" s="49"/>
      <c r="D106" s="49"/>
      <c r="E106" s="49"/>
      <c r="F106" s="49"/>
      <c r="G106" s="49"/>
      <c r="H106" s="173"/>
      <c r="I106" s="49"/>
      <c r="J106" s="49"/>
      <c r="K106" s="49"/>
      <c r="L106" s="49"/>
      <c r="M106" s="49"/>
      <c r="N106" s="49"/>
      <c r="O106" s="49"/>
      <c r="P106" s="49"/>
      <c r="Q106" s="49"/>
      <c r="R106" s="49"/>
      <c r="S106" s="49"/>
      <c r="T106" s="49"/>
      <c r="U106" s="49"/>
      <c r="V106" s="49"/>
      <c r="W106" s="49"/>
      <c r="X106" s="49"/>
      <c r="Y106" s="49"/>
      <c r="Z106" s="49"/>
      <c r="AA106" s="49"/>
      <c r="AB106" s="49"/>
      <c r="AC106" s="49"/>
    </row>
    <row r="107" spans="1:29" ht="13">
      <c r="A107" s="47"/>
      <c r="B107" s="47"/>
      <c r="C107" s="49"/>
      <c r="D107" s="49"/>
      <c r="E107" s="49"/>
      <c r="F107" s="49"/>
      <c r="G107" s="49"/>
      <c r="H107" s="173"/>
      <c r="I107" s="49"/>
      <c r="J107" s="49"/>
      <c r="K107" s="49"/>
      <c r="L107" s="49"/>
      <c r="M107" s="49"/>
      <c r="N107" s="49"/>
      <c r="O107" s="49"/>
      <c r="P107" s="49"/>
      <c r="Q107" s="49"/>
      <c r="R107" s="49"/>
      <c r="S107" s="49"/>
      <c r="T107" s="49"/>
      <c r="U107" s="49"/>
      <c r="V107" s="49"/>
      <c r="W107" s="49"/>
      <c r="X107" s="49"/>
      <c r="Y107" s="49"/>
      <c r="Z107" s="49"/>
      <c r="AA107" s="49"/>
      <c r="AB107" s="49"/>
      <c r="AC107" s="49"/>
    </row>
    <row r="108" spans="1:29" ht="13">
      <c r="A108" s="47"/>
      <c r="B108" s="47"/>
      <c r="C108" s="49"/>
      <c r="D108" s="49"/>
      <c r="E108" s="49"/>
      <c r="F108" s="49"/>
      <c r="G108" s="49"/>
      <c r="H108" s="173"/>
      <c r="I108" s="49"/>
      <c r="J108" s="49"/>
      <c r="K108" s="49"/>
      <c r="L108" s="49"/>
      <c r="M108" s="49"/>
      <c r="N108" s="49"/>
      <c r="O108" s="49"/>
      <c r="P108" s="49"/>
      <c r="Q108" s="49"/>
      <c r="R108" s="49"/>
      <c r="S108" s="49"/>
      <c r="T108" s="49"/>
      <c r="U108" s="49"/>
      <c r="V108" s="49"/>
      <c r="W108" s="49"/>
      <c r="X108" s="49"/>
      <c r="Y108" s="49"/>
      <c r="Z108" s="49"/>
      <c r="AA108" s="49"/>
      <c r="AB108" s="49"/>
      <c r="AC108" s="49"/>
    </row>
    <row r="109" spans="1:29" ht="13">
      <c r="A109" s="47"/>
      <c r="B109" s="47"/>
      <c r="C109" s="49"/>
      <c r="D109" s="49"/>
      <c r="E109" s="49"/>
      <c r="F109" s="49"/>
      <c r="G109" s="49"/>
      <c r="H109" s="173"/>
      <c r="I109" s="49"/>
      <c r="J109" s="49"/>
      <c r="K109" s="49"/>
      <c r="L109" s="49"/>
      <c r="M109" s="49"/>
      <c r="N109" s="49"/>
      <c r="O109" s="49"/>
      <c r="P109" s="49"/>
      <c r="Q109" s="49"/>
      <c r="R109" s="49"/>
      <c r="S109" s="49"/>
      <c r="T109" s="49"/>
      <c r="U109" s="49"/>
      <c r="V109" s="49"/>
      <c r="W109" s="49"/>
      <c r="X109" s="49"/>
      <c r="Y109" s="49"/>
      <c r="Z109" s="49"/>
      <c r="AA109" s="49"/>
      <c r="AB109" s="49"/>
      <c r="AC109" s="49"/>
    </row>
    <row r="110" spans="1:29" ht="13">
      <c r="A110" s="47"/>
      <c r="B110" s="47"/>
      <c r="C110" s="49"/>
      <c r="D110" s="49"/>
      <c r="E110" s="49"/>
      <c r="F110" s="49"/>
      <c r="G110" s="49"/>
      <c r="H110" s="173"/>
      <c r="I110" s="49"/>
      <c r="J110" s="49"/>
      <c r="K110" s="49"/>
      <c r="L110" s="49"/>
      <c r="M110" s="49"/>
      <c r="N110" s="49"/>
      <c r="O110" s="49"/>
      <c r="P110" s="49"/>
      <c r="Q110" s="49"/>
      <c r="R110" s="49"/>
      <c r="S110" s="49"/>
      <c r="T110" s="49"/>
      <c r="U110" s="49"/>
      <c r="V110" s="49"/>
      <c r="W110" s="49"/>
      <c r="X110" s="49"/>
      <c r="Y110" s="49"/>
      <c r="Z110" s="49"/>
      <c r="AA110" s="49"/>
      <c r="AB110" s="49"/>
      <c r="AC110" s="49"/>
    </row>
    <row r="111" spans="1:29" ht="13">
      <c r="A111" s="47"/>
      <c r="B111" s="47"/>
      <c r="C111" s="49"/>
      <c r="D111" s="49"/>
      <c r="E111" s="49"/>
      <c r="F111" s="49"/>
      <c r="G111" s="49"/>
      <c r="H111" s="173"/>
      <c r="I111" s="49"/>
      <c r="J111" s="49"/>
      <c r="K111" s="49"/>
      <c r="L111" s="49"/>
      <c r="M111" s="49"/>
      <c r="N111" s="49"/>
      <c r="O111" s="49"/>
      <c r="P111" s="49"/>
      <c r="Q111" s="49"/>
      <c r="R111" s="49"/>
      <c r="S111" s="49"/>
      <c r="T111" s="49"/>
      <c r="U111" s="49"/>
      <c r="V111" s="49"/>
      <c r="W111" s="49"/>
      <c r="X111" s="49"/>
      <c r="Y111" s="49"/>
      <c r="Z111" s="49"/>
      <c r="AA111" s="49"/>
      <c r="AB111" s="49"/>
      <c r="AC111" s="49"/>
    </row>
    <row r="112" spans="1:29" ht="13">
      <c r="A112" s="47"/>
      <c r="B112" s="47"/>
      <c r="C112" s="49"/>
      <c r="D112" s="49"/>
      <c r="E112" s="49"/>
      <c r="F112" s="49"/>
      <c r="G112" s="49"/>
      <c r="H112" s="173"/>
      <c r="I112" s="49"/>
      <c r="J112" s="49"/>
      <c r="K112" s="49"/>
      <c r="L112" s="49"/>
      <c r="M112" s="49"/>
      <c r="N112" s="49"/>
      <c r="O112" s="49"/>
      <c r="P112" s="49"/>
      <c r="Q112" s="49"/>
      <c r="R112" s="49"/>
      <c r="S112" s="49"/>
      <c r="T112" s="49"/>
      <c r="U112" s="49"/>
      <c r="V112" s="49"/>
      <c r="W112" s="49"/>
      <c r="X112" s="49"/>
      <c r="Y112" s="49"/>
      <c r="Z112" s="49"/>
      <c r="AA112" s="49"/>
      <c r="AB112" s="49"/>
      <c r="AC112" s="49"/>
    </row>
    <row r="113" spans="1:29" ht="13">
      <c r="A113" s="47"/>
      <c r="B113" s="47"/>
      <c r="C113" s="49"/>
      <c r="D113" s="49"/>
      <c r="E113" s="49"/>
      <c r="F113" s="49"/>
      <c r="G113" s="49"/>
      <c r="H113" s="173"/>
      <c r="I113" s="49"/>
      <c r="J113" s="49"/>
      <c r="K113" s="49"/>
      <c r="L113" s="49"/>
      <c r="M113" s="49"/>
      <c r="N113" s="49"/>
      <c r="O113" s="49"/>
      <c r="P113" s="49"/>
      <c r="Q113" s="49"/>
      <c r="R113" s="49"/>
      <c r="S113" s="49"/>
      <c r="T113" s="49"/>
      <c r="U113" s="49"/>
      <c r="V113" s="49"/>
      <c r="W113" s="49"/>
      <c r="X113" s="49"/>
      <c r="Y113" s="49"/>
      <c r="Z113" s="49"/>
      <c r="AA113" s="49"/>
      <c r="AB113" s="49"/>
      <c r="AC113" s="49"/>
    </row>
    <row r="114" spans="1:29" ht="13">
      <c r="A114" s="47"/>
      <c r="B114" s="47"/>
      <c r="C114" s="49"/>
      <c r="D114" s="49"/>
      <c r="E114" s="49"/>
      <c r="F114" s="49"/>
      <c r="G114" s="49"/>
      <c r="H114" s="173"/>
      <c r="I114" s="49"/>
      <c r="J114" s="49"/>
      <c r="K114" s="49"/>
      <c r="L114" s="49"/>
      <c r="M114" s="49"/>
      <c r="N114" s="49"/>
      <c r="O114" s="49"/>
      <c r="P114" s="49"/>
      <c r="Q114" s="49"/>
      <c r="R114" s="49"/>
      <c r="S114" s="49"/>
      <c r="T114" s="49"/>
      <c r="U114" s="49"/>
      <c r="V114" s="49"/>
      <c r="W114" s="49"/>
      <c r="X114" s="49"/>
      <c r="Y114" s="49"/>
      <c r="Z114" s="49"/>
      <c r="AA114" s="49"/>
      <c r="AB114" s="49"/>
      <c r="AC114" s="49"/>
    </row>
    <row r="115" spans="1:29" ht="13">
      <c r="A115" s="47"/>
      <c r="B115" s="47"/>
      <c r="C115" s="49"/>
      <c r="D115" s="49"/>
      <c r="E115" s="49"/>
      <c r="F115" s="49"/>
      <c r="G115" s="49"/>
      <c r="H115" s="173"/>
      <c r="I115" s="49"/>
      <c r="J115" s="49"/>
      <c r="K115" s="49"/>
      <c r="L115" s="49"/>
      <c r="M115" s="49"/>
      <c r="N115" s="49"/>
      <c r="O115" s="49"/>
      <c r="P115" s="49"/>
      <c r="Q115" s="49"/>
      <c r="R115" s="49"/>
      <c r="S115" s="49"/>
      <c r="T115" s="49"/>
      <c r="U115" s="49"/>
      <c r="V115" s="49"/>
      <c r="W115" s="49"/>
      <c r="X115" s="49"/>
      <c r="Y115" s="49"/>
      <c r="Z115" s="49"/>
      <c r="AA115" s="49"/>
      <c r="AB115" s="49"/>
      <c r="AC115" s="49"/>
    </row>
    <row r="116" spans="1:29" ht="13">
      <c r="A116" s="47"/>
      <c r="B116" s="47"/>
      <c r="C116" s="49"/>
      <c r="D116" s="49"/>
      <c r="E116" s="49"/>
      <c r="F116" s="49"/>
      <c r="G116" s="49"/>
      <c r="H116" s="173"/>
      <c r="I116" s="49"/>
      <c r="J116" s="49"/>
      <c r="K116" s="49"/>
      <c r="L116" s="49"/>
      <c r="M116" s="49"/>
      <c r="N116" s="49"/>
      <c r="O116" s="49"/>
      <c r="P116" s="49"/>
      <c r="Q116" s="49"/>
      <c r="R116" s="49"/>
      <c r="S116" s="49"/>
      <c r="T116" s="49"/>
      <c r="U116" s="49"/>
      <c r="V116" s="49"/>
      <c r="W116" s="49"/>
      <c r="X116" s="49"/>
      <c r="Y116" s="49"/>
      <c r="Z116" s="49"/>
      <c r="AA116" s="49"/>
      <c r="AB116" s="49"/>
      <c r="AC116" s="49"/>
    </row>
    <row r="117" spans="1:29" ht="13">
      <c r="A117" s="47"/>
      <c r="B117" s="47"/>
      <c r="C117" s="49"/>
      <c r="D117" s="49"/>
      <c r="E117" s="49"/>
      <c r="F117" s="49"/>
      <c r="G117" s="49"/>
      <c r="H117" s="173"/>
      <c r="I117" s="49"/>
      <c r="J117" s="49"/>
      <c r="K117" s="49"/>
      <c r="L117" s="49"/>
      <c r="M117" s="49"/>
      <c r="N117" s="49"/>
      <c r="O117" s="49"/>
      <c r="P117" s="49"/>
      <c r="Q117" s="49"/>
      <c r="R117" s="49"/>
      <c r="S117" s="49"/>
      <c r="T117" s="49"/>
      <c r="U117" s="49"/>
      <c r="V117" s="49"/>
      <c r="W117" s="49"/>
      <c r="X117" s="49"/>
      <c r="Y117" s="49"/>
      <c r="Z117" s="49"/>
      <c r="AA117" s="49"/>
      <c r="AB117" s="49"/>
      <c r="AC117" s="49"/>
    </row>
    <row r="118" spans="1:29" ht="13">
      <c r="A118" s="47"/>
      <c r="B118" s="47"/>
      <c r="C118" s="49"/>
      <c r="D118" s="49"/>
      <c r="E118" s="49"/>
      <c r="F118" s="49"/>
      <c r="G118" s="49"/>
      <c r="H118" s="173"/>
      <c r="I118" s="49"/>
      <c r="J118" s="49"/>
      <c r="K118" s="49"/>
      <c r="L118" s="49"/>
      <c r="M118" s="49"/>
      <c r="N118" s="49"/>
      <c r="O118" s="49"/>
      <c r="P118" s="49"/>
      <c r="Q118" s="49"/>
      <c r="R118" s="49"/>
      <c r="S118" s="49"/>
      <c r="T118" s="49"/>
      <c r="U118" s="49"/>
      <c r="V118" s="49"/>
      <c r="W118" s="49"/>
      <c r="X118" s="49"/>
      <c r="Y118" s="49"/>
      <c r="Z118" s="49"/>
      <c r="AA118" s="49"/>
      <c r="AB118" s="49"/>
      <c r="AC118" s="49"/>
    </row>
    <row r="119" spans="1:29" ht="13">
      <c r="A119" s="47"/>
      <c r="B119" s="47"/>
      <c r="C119" s="49"/>
      <c r="D119" s="49"/>
      <c r="E119" s="49"/>
      <c r="F119" s="49"/>
      <c r="G119" s="49"/>
      <c r="H119" s="173"/>
      <c r="I119" s="49"/>
      <c r="J119" s="49"/>
      <c r="K119" s="49"/>
      <c r="L119" s="49"/>
      <c r="M119" s="49"/>
      <c r="N119" s="49"/>
      <c r="O119" s="49"/>
      <c r="P119" s="49"/>
      <c r="Q119" s="49"/>
      <c r="R119" s="49"/>
      <c r="S119" s="49"/>
      <c r="T119" s="49"/>
      <c r="U119" s="49"/>
      <c r="V119" s="49"/>
      <c r="W119" s="49"/>
      <c r="X119" s="49"/>
      <c r="Y119" s="49"/>
      <c r="Z119" s="49"/>
      <c r="AA119" s="49"/>
      <c r="AB119" s="49"/>
      <c r="AC119" s="49"/>
    </row>
    <row r="120" spans="1:29" ht="13">
      <c r="A120" s="47"/>
      <c r="B120" s="47"/>
      <c r="C120" s="49"/>
      <c r="D120" s="49"/>
      <c r="E120" s="49"/>
      <c r="F120" s="49"/>
      <c r="G120" s="49"/>
      <c r="H120" s="173"/>
      <c r="I120" s="49"/>
      <c r="J120" s="49"/>
      <c r="K120" s="49"/>
      <c r="L120" s="49"/>
      <c r="M120" s="49"/>
      <c r="N120" s="49"/>
      <c r="O120" s="49"/>
      <c r="P120" s="49"/>
      <c r="Q120" s="49"/>
      <c r="R120" s="49"/>
      <c r="S120" s="49"/>
      <c r="T120" s="49"/>
      <c r="U120" s="49"/>
      <c r="V120" s="49"/>
      <c r="W120" s="49"/>
      <c r="X120" s="49"/>
      <c r="Y120" s="49"/>
      <c r="Z120" s="49"/>
      <c r="AA120" s="49"/>
      <c r="AB120" s="49"/>
      <c r="AC120" s="49"/>
    </row>
    <row r="121" spans="1:29" ht="13">
      <c r="A121" s="47"/>
      <c r="B121" s="47"/>
      <c r="C121" s="49"/>
      <c r="D121" s="49"/>
      <c r="E121" s="49"/>
      <c r="F121" s="49"/>
      <c r="G121" s="49"/>
      <c r="H121" s="173"/>
      <c r="I121" s="49"/>
      <c r="J121" s="49"/>
      <c r="K121" s="49"/>
      <c r="L121" s="49"/>
      <c r="M121" s="49"/>
      <c r="N121" s="49"/>
      <c r="O121" s="49"/>
      <c r="P121" s="49"/>
      <c r="Q121" s="49"/>
      <c r="R121" s="49"/>
      <c r="S121" s="49"/>
      <c r="T121" s="49"/>
      <c r="U121" s="49"/>
      <c r="V121" s="49"/>
      <c r="W121" s="49"/>
      <c r="X121" s="49"/>
      <c r="Y121" s="49"/>
      <c r="Z121" s="49"/>
      <c r="AA121" s="49"/>
      <c r="AB121" s="49"/>
      <c r="AC121" s="49"/>
    </row>
    <row r="122" spans="1:29" ht="13">
      <c r="A122" s="47"/>
      <c r="B122" s="47"/>
      <c r="C122" s="49"/>
      <c r="D122" s="49"/>
      <c r="E122" s="49"/>
      <c r="F122" s="49"/>
      <c r="G122" s="49"/>
      <c r="H122" s="173"/>
      <c r="I122" s="49"/>
      <c r="J122" s="49"/>
      <c r="K122" s="49"/>
      <c r="L122" s="49"/>
      <c r="M122" s="49"/>
      <c r="N122" s="49"/>
      <c r="O122" s="49"/>
      <c r="P122" s="49"/>
      <c r="Q122" s="49"/>
      <c r="R122" s="49"/>
      <c r="S122" s="49"/>
      <c r="T122" s="49"/>
      <c r="U122" s="49"/>
      <c r="V122" s="49"/>
      <c r="W122" s="49"/>
      <c r="X122" s="49"/>
      <c r="Y122" s="49"/>
      <c r="Z122" s="49"/>
      <c r="AA122" s="49"/>
      <c r="AB122" s="49"/>
      <c r="AC122" s="49"/>
    </row>
    <row r="123" spans="1:29" ht="13">
      <c r="A123" s="47"/>
      <c r="B123" s="47"/>
      <c r="C123" s="49"/>
      <c r="D123" s="49"/>
      <c r="E123" s="49"/>
      <c r="F123" s="49"/>
      <c r="G123" s="49"/>
      <c r="H123" s="173"/>
      <c r="I123" s="49"/>
      <c r="J123" s="49"/>
      <c r="K123" s="49"/>
      <c r="L123" s="49"/>
      <c r="M123" s="49"/>
      <c r="N123" s="49"/>
      <c r="O123" s="49"/>
      <c r="P123" s="49"/>
      <c r="Q123" s="49"/>
      <c r="R123" s="49"/>
      <c r="S123" s="49"/>
      <c r="T123" s="49"/>
      <c r="U123" s="49"/>
      <c r="V123" s="49"/>
      <c r="W123" s="49"/>
      <c r="X123" s="49"/>
      <c r="Y123" s="49"/>
      <c r="Z123" s="49"/>
      <c r="AA123" s="49"/>
      <c r="AB123" s="49"/>
      <c r="AC123" s="49"/>
    </row>
    <row r="124" spans="1:29" ht="13">
      <c r="A124" s="47"/>
      <c r="B124" s="47"/>
      <c r="C124" s="49"/>
      <c r="D124" s="49"/>
      <c r="E124" s="49"/>
      <c r="F124" s="49"/>
      <c r="G124" s="49"/>
      <c r="H124" s="173"/>
      <c r="I124" s="49"/>
      <c r="J124" s="49"/>
      <c r="K124" s="49"/>
      <c r="L124" s="49"/>
      <c r="M124" s="49"/>
      <c r="N124" s="49"/>
      <c r="O124" s="49"/>
      <c r="P124" s="49"/>
      <c r="Q124" s="49"/>
      <c r="R124" s="49"/>
      <c r="S124" s="49"/>
      <c r="T124" s="49"/>
      <c r="U124" s="49"/>
      <c r="V124" s="49"/>
      <c r="W124" s="49"/>
      <c r="X124" s="49"/>
      <c r="Y124" s="49"/>
      <c r="Z124" s="49"/>
      <c r="AA124" s="49"/>
      <c r="AB124" s="49"/>
      <c r="AC124" s="49"/>
    </row>
    <row r="125" spans="1:29" ht="13">
      <c r="A125" s="47"/>
      <c r="B125" s="47"/>
      <c r="C125" s="49"/>
      <c r="D125" s="49"/>
      <c r="E125" s="49"/>
      <c r="F125" s="49"/>
      <c r="G125" s="49"/>
      <c r="H125" s="173"/>
      <c r="I125" s="49"/>
      <c r="J125" s="49"/>
      <c r="K125" s="49"/>
      <c r="L125" s="49"/>
      <c r="M125" s="49"/>
      <c r="N125" s="49"/>
      <c r="O125" s="49"/>
      <c r="P125" s="49"/>
      <c r="Q125" s="49"/>
      <c r="R125" s="49"/>
      <c r="S125" s="49"/>
      <c r="T125" s="49"/>
      <c r="U125" s="49"/>
      <c r="V125" s="49"/>
      <c r="W125" s="49"/>
      <c r="X125" s="49"/>
      <c r="Y125" s="49"/>
      <c r="Z125" s="49"/>
      <c r="AA125" s="49"/>
      <c r="AB125" s="49"/>
      <c r="AC125" s="49"/>
    </row>
    <row r="126" spans="1:29" ht="13">
      <c r="A126" s="47"/>
      <c r="B126" s="47"/>
      <c r="C126" s="49"/>
      <c r="D126" s="49"/>
      <c r="E126" s="49"/>
      <c r="F126" s="49"/>
      <c r="G126" s="49"/>
      <c r="H126" s="173"/>
      <c r="I126" s="49"/>
      <c r="J126" s="49"/>
      <c r="K126" s="49"/>
      <c r="L126" s="49"/>
      <c r="M126" s="49"/>
      <c r="N126" s="49"/>
      <c r="O126" s="49"/>
      <c r="P126" s="49"/>
      <c r="Q126" s="49"/>
      <c r="R126" s="49"/>
      <c r="S126" s="49"/>
      <c r="T126" s="49"/>
      <c r="U126" s="49"/>
      <c r="V126" s="49"/>
      <c r="W126" s="49"/>
      <c r="X126" s="49"/>
      <c r="Y126" s="49"/>
      <c r="Z126" s="49"/>
      <c r="AA126" s="49"/>
      <c r="AB126" s="49"/>
      <c r="AC126" s="49"/>
    </row>
    <row r="127" spans="1:29" ht="13">
      <c r="A127" s="47"/>
      <c r="B127" s="47"/>
      <c r="C127" s="49"/>
      <c r="D127" s="49"/>
      <c r="E127" s="49"/>
      <c r="F127" s="49"/>
      <c r="G127" s="49"/>
      <c r="H127" s="173"/>
      <c r="I127" s="49"/>
      <c r="J127" s="49"/>
      <c r="K127" s="49"/>
      <c r="L127" s="49"/>
      <c r="M127" s="49"/>
      <c r="N127" s="49"/>
      <c r="O127" s="49"/>
      <c r="P127" s="49"/>
      <c r="Q127" s="49"/>
      <c r="R127" s="49"/>
      <c r="S127" s="49"/>
      <c r="T127" s="49"/>
      <c r="U127" s="49"/>
      <c r="V127" s="49"/>
      <c r="W127" s="49"/>
      <c r="X127" s="49"/>
      <c r="Y127" s="49"/>
      <c r="Z127" s="49"/>
      <c r="AA127" s="49"/>
      <c r="AB127" s="49"/>
      <c r="AC127" s="49"/>
    </row>
    <row r="128" spans="1:29" ht="13">
      <c r="A128" s="47"/>
      <c r="B128" s="47"/>
      <c r="C128" s="49"/>
      <c r="D128" s="49"/>
      <c r="E128" s="49"/>
      <c r="F128" s="49"/>
      <c r="G128" s="49"/>
      <c r="H128" s="173"/>
      <c r="I128" s="49"/>
      <c r="J128" s="49"/>
      <c r="K128" s="49"/>
      <c r="L128" s="49"/>
      <c r="M128" s="49"/>
      <c r="N128" s="49"/>
      <c r="O128" s="49"/>
      <c r="P128" s="49"/>
      <c r="Q128" s="49"/>
      <c r="R128" s="49"/>
      <c r="S128" s="49"/>
      <c r="T128" s="49"/>
      <c r="U128" s="49"/>
      <c r="V128" s="49"/>
      <c r="W128" s="49"/>
      <c r="X128" s="49"/>
      <c r="Y128" s="49"/>
      <c r="Z128" s="49"/>
      <c r="AA128" s="49"/>
      <c r="AB128" s="49"/>
      <c r="AC128" s="49"/>
    </row>
    <row r="129" spans="1:29" ht="13">
      <c r="A129" s="47"/>
      <c r="B129" s="47"/>
      <c r="C129" s="49"/>
      <c r="D129" s="49"/>
      <c r="E129" s="49"/>
      <c r="F129" s="49"/>
      <c r="G129" s="49"/>
      <c r="H129" s="173"/>
      <c r="I129" s="49"/>
      <c r="J129" s="49"/>
      <c r="K129" s="49"/>
      <c r="L129" s="49"/>
      <c r="M129" s="49"/>
      <c r="N129" s="49"/>
      <c r="O129" s="49"/>
      <c r="P129" s="49"/>
      <c r="Q129" s="49"/>
      <c r="R129" s="49"/>
      <c r="S129" s="49"/>
      <c r="T129" s="49"/>
      <c r="U129" s="49"/>
      <c r="V129" s="49"/>
      <c r="W129" s="49"/>
      <c r="X129" s="49"/>
      <c r="Y129" s="49"/>
      <c r="Z129" s="49"/>
      <c r="AA129" s="49"/>
      <c r="AB129" s="49"/>
      <c r="AC129" s="49"/>
    </row>
    <row r="130" spans="1:29" ht="13">
      <c r="A130" s="47"/>
      <c r="B130" s="47"/>
      <c r="C130" s="49"/>
      <c r="D130" s="49"/>
      <c r="E130" s="49"/>
      <c r="F130" s="49"/>
      <c r="G130" s="49"/>
      <c r="H130" s="173"/>
      <c r="I130" s="49"/>
      <c r="J130" s="49"/>
      <c r="K130" s="49"/>
      <c r="L130" s="49"/>
      <c r="M130" s="49"/>
      <c r="N130" s="49"/>
      <c r="O130" s="49"/>
      <c r="P130" s="49"/>
      <c r="Q130" s="49"/>
      <c r="R130" s="49"/>
      <c r="S130" s="49"/>
      <c r="T130" s="49"/>
      <c r="U130" s="49"/>
      <c r="V130" s="49"/>
      <c r="W130" s="49"/>
      <c r="X130" s="49"/>
      <c r="Y130" s="49"/>
      <c r="Z130" s="49"/>
      <c r="AA130" s="49"/>
      <c r="AB130" s="49"/>
      <c r="AC130" s="49"/>
    </row>
    <row r="131" spans="1:29" ht="13">
      <c r="A131" s="47"/>
      <c r="B131" s="47"/>
      <c r="C131" s="49"/>
      <c r="D131" s="49"/>
      <c r="E131" s="49"/>
      <c r="F131" s="49"/>
      <c r="G131" s="49"/>
      <c r="H131" s="173"/>
      <c r="I131" s="49"/>
      <c r="J131" s="49"/>
      <c r="K131" s="49"/>
      <c r="L131" s="49"/>
      <c r="M131" s="49"/>
      <c r="N131" s="49"/>
      <c r="O131" s="49"/>
      <c r="P131" s="49"/>
      <c r="Q131" s="49"/>
      <c r="R131" s="49"/>
      <c r="S131" s="49"/>
      <c r="T131" s="49"/>
      <c r="U131" s="49"/>
      <c r="V131" s="49"/>
      <c r="W131" s="49"/>
      <c r="X131" s="49"/>
      <c r="Y131" s="49"/>
      <c r="Z131" s="49"/>
      <c r="AA131" s="49"/>
      <c r="AB131" s="49"/>
      <c r="AC131" s="49"/>
    </row>
    <row r="132" spans="1:29" ht="13">
      <c r="A132" s="47"/>
      <c r="B132" s="47"/>
      <c r="C132" s="49"/>
      <c r="D132" s="49"/>
      <c r="E132" s="49"/>
      <c r="F132" s="49"/>
      <c r="G132" s="49"/>
      <c r="H132" s="173"/>
      <c r="I132" s="49"/>
      <c r="J132" s="49"/>
      <c r="K132" s="49"/>
      <c r="L132" s="49"/>
      <c r="M132" s="49"/>
      <c r="N132" s="49"/>
      <c r="O132" s="49"/>
      <c r="P132" s="49"/>
      <c r="Q132" s="49"/>
      <c r="R132" s="49"/>
      <c r="S132" s="49"/>
      <c r="T132" s="49"/>
      <c r="U132" s="49"/>
      <c r="V132" s="49"/>
      <c r="W132" s="49"/>
      <c r="X132" s="49"/>
      <c r="Y132" s="49"/>
      <c r="Z132" s="49"/>
      <c r="AA132" s="49"/>
      <c r="AB132" s="49"/>
      <c r="AC132" s="49"/>
    </row>
    <row r="133" spans="1:29" ht="13">
      <c r="A133" s="47"/>
      <c r="B133" s="47"/>
      <c r="C133" s="49"/>
      <c r="D133" s="49"/>
      <c r="E133" s="49"/>
      <c r="F133" s="49"/>
      <c r="G133" s="49"/>
      <c r="H133" s="173"/>
      <c r="I133" s="49"/>
      <c r="J133" s="49"/>
      <c r="K133" s="49"/>
      <c r="L133" s="49"/>
      <c r="M133" s="49"/>
      <c r="N133" s="49"/>
      <c r="O133" s="49"/>
      <c r="P133" s="49"/>
      <c r="Q133" s="49"/>
      <c r="R133" s="49"/>
      <c r="S133" s="49"/>
      <c r="T133" s="49"/>
      <c r="U133" s="49"/>
      <c r="V133" s="49"/>
      <c r="W133" s="49"/>
      <c r="X133" s="49"/>
      <c r="Y133" s="49"/>
      <c r="Z133" s="49"/>
      <c r="AA133" s="49"/>
      <c r="AB133" s="49"/>
      <c r="AC133" s="49"/>
    </row>
    <row r="134" spans="1:29" ht="13">
      <c r="A134" s="47"/>
      <c r="B134" s="47"/>
      <c r="C134" s="49"/>
      <c r="D134" s="49"/>
      <c r="E134" s="49"/>
      <c r="F134" s="49"/>
      <c r="G134" s="49"/>
      <c r="H134" s="173"/>
      <c r="I134" s="49"/>
      <c r="J134" s="49"/>
      <c r="K134" s="49"/>
      <c r="L134" s="49"/>
      <c r="M134" s="49"/>
      <c r="N134" s="49"/>
      <c r="O134" s="49"/>
      <c r="P134" s="49"/>
      <c r="Q134" s="49"/>
      <c r="R134" s="49"/>
      <c r="S134" s="49"/>
      <c r="T134" s="49"/>
      <c r="U134" s="49"/>
      <c r="V134" s="49"/>
      <c r="W134" s="49"/>
      <c r="X134" s="49"/>
      <c r="Y134" s="49"/>
      <c r="Z134" s="49"/>
      <c r="AA134" s="49"/>
      <c r="AB134" s="49"/>
      <c r="AC134" s="49"/>
    </row>
    <row r="135" spans="1:29" ht="13">
      <c r="A135" s="47"/>
      <c r="B135" s="47"/>
      <c r="C135" s="49"/>
      <c r="D135" s="49"/>
      <c r="E135" s="49"/>
      <c r="F135" s="49"/>
      <c r="G135" s="49"/>
      <c r="H135" s="173"/>
      <c r="I135" s="49"/>
      <c r="J135" s="49"/>
      <c r="K135" s="49"/>
      <c r="L135" s="49"/>
      <c r="M135" s="49"/>
      <c r="N135" s="49"/>
      <c r="O135" s="49"/>
      <c r="P135" s="49"/>
      <c r="Q135" s="49"/>
      <c r="R135" s="49"/>
      <c r="S135" s="49"/>
      <c r="T135" s="49"/>
      <c r="U135" s="49"/>
      <c r="V135" s="49"/>
      <c r="W135" s="49"/>
      <c r="X135" s="49"/>
      <c r="Y135" s="49"/>
      <c r="Z135" s="49"/>
      <c r="AA135" s="49"/>
      <c r="AB135" s="49"/>
      <c r="AC135" s="49"/>
    </row>
    <row r="136" spans="1:29" ht="13">
      <c r="A136" s="47"/>
      <c r="B136" s="47"/>
      <c r="C136" s="49"/>
      <c r="D136" s="49"/>
      <c r="E136" s="49"/>
      <c r="F136" s="49"/>
      <c r="G136" s="49"/>
      <c r="H136" s="173"/>
      <c r="I136" s="49"/>
      <c r="J136" s="49"/>
      <c r="K136" s="49"/>
      <c r="L136" s="49"/>
      <c r="M136" s="49"/>
      <c r="N136" s="49"/>
      <c r="O136" s="49"/>
      <c r="P136" s="49"/>
      <c r="Q136" s="49"/>
      <c r="R136" s="49"/>
      <c r="S136" s="49"/>
      <c r="T136" s="49"/>
      <c r="U136" s="49"/>
      <c r="V136" s="49"/>
      <c r="W136" s="49"/>
      <c r="X136" s="49"/>
      <c r="Y136" s="49"/>
      <c r="Z136" s="49"/>
      <c r="AA136" s="49"/>
      <c r="AB136" s="49"/>
      <c r="AC136" s="49"/>
    </row>
    <row r="137" spans="1:29" ht="13">
      <c r="A137" s="47"/>
      <c r="B137" s="47"/>
      <c r="C137" s="49"/>
      <c r="D137" s="49"/>
      <c r="E137" s="49"/>
      <c r="F137" s="49"/>
      <c r="G137" s="49"/>
      <c r="H137" s="173"/>
      <c r="I137" s="49"/>
      <c r="J137" s="49"/>
      <c r="K137" s="49"/>
      <c r="L137" s="49"/>
      <c r="M137" s="49"/>
      <c r="N137" s="49"/>
      <c r="O137" s="49"/>
      <c r="P137" s="49"/>
      <c r="Q137" s="49"/>
      <c r="R137" s="49"/>
      <c r="S137" s="49"/>
      <c r="T137" s="49"/>
      <c r="U137" s="49"/>
      <c r="V137" s="49"/>
      <c r="W137" s="49"/>
      <c r="X137" s="49"/>
      <c r="Y137" s="49"/>
      <c r="Z137" s="49"/>
      <c r="AA137" s="49"/>
      <c r="AB137" s="49"/>
      <c r="AC137" s="49"/>
    </row>
    <row r="138" spans="1:29" ht="13">
      <c r="A138" s="47"/>
      <c r="B138" s="47"/>
      <c r="C138" s="49"/>
      <c r="D138" s="49"/>
      <c r="E138" s="49"/>
      <c r="F138" s="49"/>
      <c r="G138" s="49"/>
      <c r="H138" s="173"/>
      <c r="I138" s="49"/>
      <c r="J138" s="49"/>
      <c r="K138" s="49"/>
      <c r="L138" s="49"/>
      <c r="M138" s="49"/>
      <c r="N138" s="49"/>
      <c r="O138" s="49"/>
      <c r="P138" s="49"/>
      <c r="Q138" s="49"/>
      <c r="R138" s="49"/>
      <c r="S138" s="49"/>
      <c r="T138" s="49"/>
      <c r="U138" s="49"/>
      <c r="V138" s="49"/>
      <c r="W138" s="49"/>
      <c r="X138" s="49"/>
      <c r="Y138" s="49"/>
      <c r="Z138" s="49"/>
      <c r="AA138" s="49"/>
      <c r="AB138" s="49"/>
      <c r="AC138" s="49"/>
    </row>
    <row r="139" spans="1:29" ht="13">
      <c r="A139" s="47"/>
      <c r="B139" s="47"/>
      <c r="C139" s="49"/>
      <c r="D139" s="49"/>
      <c r="E139" s="49"/>
      <c r="F139" s="49"/>
      <c r="G139" s="49"/>
      <c r="H139" s="173"/>
      <c r="I139" s="49"/>
      <c r="J139" s="49"/>
      <c r="K139" s="49"/>
      <c r="L139" s="49"/>
      <c r="M139" s="49"/>
      <c r="N139" s="49"/>
      <c r="O139" s="49"/>
      <c r="P139" s="49"/>
      <c r="Q139" s="49"/>
      <c r="R139" s="49"/>
      <c r="S139" s="49"/>
      <c r="T139" s="49"/>
      <c r="U139" s="49"/>
      <c r="V139" s="49"/>
      <c r="W139" s="49"/>
      <c r="X139" s="49"/>
      <c r="Y139" s="49"/>
      <c r="Z139" s="49"/>
      <c r="AA139" s="49"/>
      <c r="AB139" s="49"/>
      <c r="AC139" s="49"/>
    </row>
    <row r="140" spans="1:29" ht="13">
      <c r="A140" s="47"/>
      <c r="B140" s="47"/>
      <c r="C140" s="49"/>
      <c r="D140" s="49"/>
      <c r="E140" s="49"/>
      <c r="F140" s="49"/>
      <c r="G140" s="49"/>
      <c r="H140" s="173"/>
      <c r="I140" s="49"/>
      <c r="J140" s="49"/>
      <c r="K140" s="49"/>
      <c r="L140" s="49"/>
      <c r="M140" s="49"/>
      <c r="N140" s="49"/>
      <c r="O140" s="49"/>
      <c r="P140" s="49"/>
      <c r="Q140" s="49"/>
      <c r="R140" s="49"/>
      <c r="S140" s="49"/>
      <c r="T140" s="49"/>
      <c r="U140" s="49"/>
      <c r="V140" s="49"/>
      <c r="W140" s="49"/>
      <c r="X140" s="49"/>
      <c r="Y140" s="49"/>
      <c r="Z140" s="49"/>
      <c r="AA140" s="49"/>
      <c r="AB140" s="49"/>
      <c r="AC140" s="49"/>
    </row>
    <row r="141" spans="1:29" ht="13">
      <c r="A141" s="47"/>
      <c r="B141" s="47"/>
      <c r="C141" s="49"/>
      <c r="D141" s="49"/>
      <c r="E141" s="49"/>
      <c r="F141" s="49"/>
      <c r="G141" s="49"/>
      <c r="H141" s="173"/>
      <c r="I141" s="49"/>
      <c r="J141" s="49"/>
      <c r="K141" s="49"/>
      <c r="L141" s="49"/>
      <c r="M141" s="49"/>
      <c r="N141" s="49"/>
      <c r="O141" s="49"/>
      <c r="P141" s="49"/>
      <c r="Q141" s="49"/>
      <c r="R141" s="49"/>
      <c r="S141" s="49"/>
      <c r="T141" s="49"/>
      <c r="U141" s="49"/>
      <c r="V141" s="49"/>
      <c r="W141" s="49"/>
      <c r="X141" s="49"/>
      <c r="Y141" s="49"/>
      <c r="Z141" s="49"/>
      <c r="AA141" s="49"/>
      <c r="AB141" s="49"/>
      <c r="AC141" s="49"/>
    </row>
    <row r="142" spans="1:29" ht="13">
      <c r="A142" s="47"/>
      <c r="B142" s="47"/>
      <c r="C142" s="49"/>
      <c r="D142" s="49"/>
      <c r="E142" s="49"/>
      <c r="F142" s="49"/>
      <c r="G142" s="49"/>
      <c r="H142" s="173"/>
      <c r="I142" s="49"/>
      <c r="J142" s="49"/>
      <c r="K142" s="49"/>
      <c r="L142" s="49"/>
      <c r="M142" s="49"/>
      <c r="N142" s="49"/>
      <c r="O142" s="49"/>
      <c r="P142" s="49"/>
      <c r="Q142" s="49"/>
      <c r="R142" s="49"/>
      <c r="S142" s="49"/>
      <c r="T142" s="49"/>
      <c r="U142" s="49"/>
      <c r="V142" s="49"/>
      <c r="W142" s="49"/>
      <c r="X142" s="49"/>
      <c r="Y142" s="49"/>
      <c r="Z142" s="49"/>
      <c r="AA142" s="49"/>
      <c r="AB142" s="49"/>
      <c r="AC142" s="49"/>
    </row>
    <row r="143" spans="1:29" ht="13">
      <c r="A143" s="47"/>
      <c r="B143" s="47"/>
      <c r="C143" s="49"/>
      <c r="D143" s="49"/>
      <c r="E143" s="49"/>
      <c r="F143" s="49"/>
      <c r="G143" s="49"/>
      <c r="H143" s="173"/>
      <c r="I143" s="49"/>
      <c r="J143" s="49"/>
      <c r="K143" s="49"/>
      <c r="L143" s="49"/>
      <c r="M143" s="49"/>
      <c r="N143" s="49"/>
      <c r="O143" s="49"/>
      <c r="P143" s="49"/>
      <c r="Q143" s="49"/>
      <c r="R143" s="49"/>
      <c r="S143" s="49"/>
      <c r="T143" s="49"/>
      <c r="U143" s="49"/>
      <c r="V143" s="49"/>
      <c r="W143" s="49"/>
      <c r="X143" s="49"/>
      <c r="Y143" s="49"/>
      <c r="Z143" s="49"/>
      <c r="AA143" s="49"/>
      <c r="AB143" s="49"/>
      <c r="AC143" s="49"/>
    </row>
    <row r="144" spans="1:29" ht="13">
      <c r="A144" s="47"/>
      <c r="B144" s="47"/>
      <c r="C144" s="49"/>
      <c r="D144" s="49"/>
      <c r="E144" s="49"/>
      <c r="F144" s="49"/>
      <c r="G144" s="49"/>
      <c r="H144" s="173"/>
      <c r="I144" s="49"/>
      <c r="J144" s="49"/>
      <c r="K144" s="49"/>
      <c r="L144" s="49"/>
      <c r="M144" s="49"/>
      <c r="N144" s="49"/>
      <c r="O144" s="49"/>
      <c r="P144" s="49"/>
      <c r="Q144" s="49"/>
      <c r="R144" s="49"/>
      <c r="S144" s="49"/>
      <c r="T144" s="49"/>
      <c r="U144" s="49"/>
      <c r="V144" s="49"/>
      <c r="W144" s="49"/>
      <c r="X144" s="49"/>
      <c r="Y144" s="49"/>
      <c r="Z144" s="49"/>
      <c r="AA144" s="49"/>
      <c r="AB144" s="49"/>
      <c r="AC144" s="49"/>
    </row>
    <row r="145" spans="1:29" ht="13">
      <c r="A145" s="47"/>
      <c r="B145" s="47"/>
      <c r="C145" s="49"/>
      <c r="D145" s="49"/>
      <c r="E145" s="49"/>
      <c r="F145" s="49"/>
      <c r="G145" s="49"/>
      <c r="H145" s="173"/>
      <c r="I145" s="49"/>
      <c r="J145" s="49"/>
      <c r="K145" s="49"/>
      <c r="L145" s="49"/>
      <c r="M145" s="49"/>
      <c r="N145" s="49"/>
      <c r="O145" s="49"/>
      <c r="P145" s="49"/>
      <c r="Q145" s="49"/>
      <c r="R145" s="49"/>
      <c r="S145" s="49"/>
      <c r="T145" s="49"/>
      <c r="U145" s="49"/>
      <c r="V145" s="49"/>
      <c r="W145" s="49"/>
      <c r="X145" s="49"/>
      <c r="Y145" s="49"/>
      <c r="Z145" s="49"/>
      <c r="AA145" s="49"/>
      <c r="AB145" s="49"/>
      <c r="AC145" s="49"/>
    </row>
    <row r="146" spans="1:29" ht="13">
      <c r="A146" s="47"/>
      <c r="B146" s="47"/>
      <c r="C146" s="49"/>
      <c r="D146" s="49"/>
      <c r="E146" s="49"/>
      <c r="F146" s="49"/>
      <c r="G146" s="49"/>
      <c r="H146" s="173"/>
      <c r="I146" s="49"/>
      <c r="J146" s="49"/>
      <c r="K146" s="49"/>
      <c r="L146" s="49"/>
      <c r="M146" s="49"/>
      <c r="N146" s="49"/>
      <c r="O146" s="49"/>
      <c r="P146" s="49"/>
      <c r="Q146" s="49"/>
      <c r="R146" s="49"/>
      <c r="S146" s="49"/>
      <c r="T146" s="49"/>
      <c r="U146" s="49"/>
      <c r="V146" s="49"/>
      <c r="W146" s="49"/>
      <c r="X146" s="49"/>
      <c r="Y146" s="49"/>
      <c r="Z146" s="49"/>
      <c r="AA146" s="49"/>
      <c r="AB146" s="49"/>
      <c r="AC146" s="49"/>
    </row>
    <row r="147" spans="1:29" ht="13">
      <c r="A147" s="47"/>
      <c r="B147" s="47"/>
      <c r="C147" s="49"/>
      <c r="D147" s="49"/>
      <c r="E147" s="49"/>
      <c r="F147" s="49"/>
      <c r="G147" s="49"/>
      <c r="H147" s="173"/>
      <c r="I147" s="49"/>
      <c r="J147" s="49"/>
      <c r="K147" s="49"/>
      <c r="L147" s="49"/>
      <c r="M147" s="49"/>
      <c r="N147" s="49"/>
      <c r="O147" s="49"/>
      <c r="P147" s="49"/>
      <c r="Q147" s="49"/>
      <c r="R147" s="49"/>
      <c r="S147" s="49"/>
      <c r="T147" s="49"/>
      <c r="U147" s="49"/>
      <c r="V147" s="49"/>
      <c r="W147" s="49"/>
      <c r="X147" s="49"/>
      <c r="Y147" s="49"/>
      <c r="Z147" s="49"/>
      <c r="AA147" s="49"/>
      <c r="AB147" s="49"/>
      <c r="AC147" s="49"/>
    </row>
    <row r="148" spans="1:29" ht="13">
      <c r="A148" s="47"/>
      <c r="B148" s="47"/>
      <c r="C148" s="49"/>
      <c r="D148" s="49"/>
      <c r="E148" s="49"/>
      <c r="F148" s="49"/>
      <c r="G148" s="49"/>
      <c r="H148" s="173"/>
      <c r="I148" s="49"/>
      <c r="J148" s="49"/>
      <c r="K148" s="49"/>
      <c r="L148" s="49"/>
      <c r="M148" s="49"/>
      <c r="N148" s="49"/>
      <c r="O148" s="49"/>
      <c r="P148" s="49"/>
      <c r="Q148" s="49"/>
      <c r="R148" s="49"/>
      <c r="S148" s="49"/>
      <c r="T148" s="49"/>
      <c r="U148" s="49"/>
      <c r="V148" s="49"/>
      <c r="W148" s="49"/>
      <c r="X148" s="49"/>
      <c r="Y148" s="49"/>
      <c r="Z148" s="49"/>
      <c r="AA148" s="49"/>
      <c r="AB148" s="49"/>
      <c r="AC148" s="49"/>
    </row>
    <row r="149" spans="1:29" ht="13">
      <c r="A149" s="47"/>
      <c r="B149" s="47"/>
      <c r="C149" s="49"/>
      <c r="D149" s="49"/>
      <c r="E149" s="49"/>
      <c r="F149" s="49"/>
      <c r="G149" s="49"/>
      <c r="H149" s="173"/>
      <c r="I149" s="49"/>
      <c r="J149" s="49"/>
      <c r="K149" s="49"/>
      <c r="L149" s="49"/>
      <c r="M149" s="49"/>
      <c r="N149" s="49"/>
      <c r="O149" s="49"/>
      <c r="P149" s="49"/>
      <c r="Q149" s="49"/>
      <c r="R149" s="49"/>
      <c r="S149" s="49"/>
      <c r="T149" s="49"/>
      <c r="U149" s="49"/>
      <c r="V149" s="49"/>
      <c r="W149" s="49"/>
      <c r="X149" s="49"/>
      <c r="Y149" s="49"/>
      <c r="Z149" s="49"/>
      <c r="AA149" s="49"/>
      <c r="AB149" s="49"/>
      <c r="AC149" s="49"/>
    </row>
    <row r="150" spans="1:29" ht="13">
      <c r="A150" s="47"/>
      <c r="B150" s="47"/>
      <c r="C150" s="49"/>
      <c r="D150" s="49"/>
      <c r="E150" s="49"/>
      <c r="F150" s="49"/>
      <c r="G150" s="49"/>
      <c r="H150" s="173"/>
      <c r="I150" s="49"/>
      <c r="J150" s="49"/>
      <c r="K150" s="49"/>
      <c r="L150" s="49"/>
      <c r="M150" s="49"/>
      <c r="N150" s="49"/>
      <c r="O150" s="49"/>
      <c r="P150" s="49"/>
      <c r="Q150" s="49"/>
      <c r="R150" s="49"/>
      <c r="S150" s="49"/>
      <c r="T150" s="49"/>
      <c r="U150" s="49"/>
      <c r="V150" s="49"/>
      <c r="W150" s="49"/>
      <c r="X150" s="49"/>
      <c r="Y150" s="49"/>
      <c r="Z150" s="49"/>
      <c r="AA150" s="49"/>
      <c r="AB150" s="49"/>
      <c r="AC150" s="49"/>
    </row>
    <row r="151" spans="1:29" ht="13">
      <c r="A151" s="47"/>
      <c r="B151" s="47"/>
      <c r="C151" s="49"/>
      <c r="D151" s="49"/>
      <c r="E151" s="49"/>
      <c r="F151" s="49"/>
      <c r="G151" s="49"/>
      <c r="H151" s="173"/>
      <c r="I151" s="49"/>
      <c r="J151" s="49"/>
      <c r="K151" s="49"/>
      <c r="L151" s="49"/>
      <c r="M151" s="49"/>
      <c r="N151" s="49"/>
      <c r="O151" s="49"/>
      <c r="P151" s="49"/>
      <c r="Q151" s="49"/>
      <c r="R151" s="49"/>
      <c r="S151" s="49"/>
      <c r="T151" s="49"/>
      <c r="U151" s="49"/>
      <c r="V151" s="49"/>
      <c r="W151" s="49"/>
      <c r="X151" s="49"/>
      <c r="Y151" s="49"/>
      <c r="Z151" s="49"/>
      <c r="AA151" s="49"/>
      <c r="AB151" s="49"/>
      <c r="AC151" s="49"/>
    </row>
    <row r="152" spans="1:29" ht="13">
      <c r="A152" s="47"/>
      <c r="B152" s="47"/>
      <c r="C152" s="49"/>
      <c r="D152" s="49"/>
      <c r="E152" s="49"/>
      <c r="F152" s="49"/>
      <c r="G152" s="49"/>
      <c r="H152" s="173"/>
      <c r="I152" s="49"/>
      <c r="J152" s="49"/>
      <c r="K152" s="49"/>
      <c r="L152" s="49"/>
      <c r="M152" s="49"/>
      <c r="N152" s="49"/>
      <c r="O152" s="49"/>
      <c r="P152" s="49"/>
      <c r="Q152" s="49"/>
      <c r="R152" s="49"/>
      <c r="S152" s="49"/>
      <c r="T152" s="49"/>
      <c r="U152" s="49"/>
      <c r="V152" s="49"/>
      <c r="W152" s="49"/>
      <c r="X152" s="49"/>
      <c r="Y152" s="49"/>
      <c r="Z152" s="49"/>
      <c r="AA152" s="49"/>
      <c r="AB152" s="49"/>
      <c r="AC152" s="49"/>
    </row>
    <row r="153" spans="1:29" ht="13">
      <c r="A153" s="47"/>
      <c r="B153" s="47"/>
      <c r="C153" s="49"/>
      <c r="D153" s="49"/>
      <c r="E153" s="49"/>
      <c r="F153" s="49"/>
      <c r="G153" s="49"/>
      <c r="H153" s="173"/>
      <c r="I153" s="49"/>
      <c r="J153" s="49"/>
      <c r="K153" s="49"/>
      <c r="L153" s="49"/>
      <c r="M153" s="49"/>
      <c r="N153" s="49"/>
      <c r="O153" s="49"/>
      <c r="P153" s="49"/>
      <c r="Q153" s="49"/>
      <c r="R153" s="49"/>
      <c r="S153" s="49"/>
      <c r="T153" s="49"/>
      <c r="U153" s="49"/>
      <c r="V153" s="49"/>
      <c r="W153" s="49"/>
      <c r="X153" s="49"/>
      <c r="Y153" s="49"/>
      <c r="Z153" s="49"/>
      <c r="AA153" s="49"/>
      <c r="AB153" s="49"/>
      <c r="AC153" s="49"/>
    </row>
    <row r="154" spans="1:29" ht="13">
      <c r="A154" s="47"/>
      <c r="B154" s="47"/>
      <c r="C154" s="49"/>
      <c r="D154" s="49"/>
      <c r="E154" s="49"/>
      <c r="F154" s="49"/>
      <c r="G154" s="49"/>
      <c r="H154" s="173"/>
      <c r="I154" s="49"/>
      <c r="J154" s="49"/>
      <c r="K154" s="49"/>
      <c r="L154" s="49"/>
      <c r="M154" s="49"/>
      <c r="N154" s="49"/>
      <c r="O154" s="49"/>
      <c r="P154" s="49"/>
      <c r="Q154" s="49"/>
      <c r="R154" s="49"/>
      <c r="S154" s="49"/>
      <c r="T154" s="49"/>
      <c r="U154" s="49"/>
      <c r="V154" s="49"/>
      <c r="W154" s="49"/>
      <c r="X154" s="49"/>
      <c r="Y154" s="49"/>
      <c r="Z154" s="49"/>
      <c r="AA154" s="49"/>
      <c r="AB154" s="49"/>
      <c r="AC154" s="49"/>
    </row>
    <row r="155" spans="1:29" ht="13">
      <c r="A155" s="47"/>
      <c r="B155" s="47"/>
      <c r="C155" s="49"/>
      <c r="D155" s="49"/>
      <c r="E155" s="49"/>
      <c r="F155" s="49"/>
      <c r="G155" s="49"/>
      <c r="H155" s="173"/>
      <c r="I155" s="49"/>
      <c r="J155" s="49"/>
      <c r="K155" s="49"/>
      <c r="L155" s="49"/>
      <c r="M155" s="49"/>
      <c r="N155" s="49"/>
      <c r="O155" s="49"/>
      <c r="P155" s="49"/>
      <c r="Q155" s="49"/>
      <c r="R155" s="49"/>
      <c r="S155" s="49"/>
      <c r="T155" s="49"/>
      <c r="U155" s="49"/>
      <c r="V155" s="49"/>
      <c r="W155" s="49"/>
      <c r="X155" s="49"/>
      <c r="Y155" s="49"/>
      <c r="Z155" s="49"/>
      <c r="AA155" s="49"/>
      <c r="AB155" s="49"/>
      <c r="AC155" s="49"/>
    </row>
    <row r="156" spans="1:29" ht="13">
      <c r="A156" s="47"/>
      <c r="B156" s="47"/>
      <c r="C156" s="49"/>
      <c r="D156" s="49"/>
      <c r="E156" s="49"/>
      <c r="F156" s="49"/>
      <c r="G156" s="49"/>
      <c r="H156" s="173"/>
      <c r="I156" s="49"/>
      <c r="J156" s="49"/>
      <c r="K156" s="49"/>
      <c r="L156" s="49"/>
      <c r="M156" s="49"/>
      <c r="N156" s="49"/>
      <c r="O156" s="49"/>
      <c r="P156" s="49"/>
      <c r="Q156" s="49"/>
      <c r="R156" s="49"/>
      <c r="S156" s="49"/>
      <c r="T156" s="49"/>
      <c r="U156" s="49"/>
      <c r="V156" s="49"/>
      <c r="W156" s="49"/>
      <c r="X156" s="49"/>
      <c r="Y156" s="49"/>
      <c r="Z156" s="49"/>
      <c r="AA156" s="49"/>
      <c r="AB156" s="49"/>
      <c r="AC156" s="49"/>
    </row>
    <row r="157" spans="1:29" ht="13">
      <c r="A157" s="47"/>
      <c r="B157" s="47"/>
      <c r="C157" s="49"/>
      <c r="D157" s="49"/>
      <c r="E157" s="49"/>
      <c r="F157" s="49"/>
      <c r="G157" s="49"/>
      <c r="H157" s="173"/>
      <c r="I157" s="49"/>
      <c r="J157" s="49"/>
      <c r="K157" s="49"/>
      <c r="L157" s="49"/>
      <c r="M157" s="49"/>
      <c r="N157" s="49"/>
      <c r="O157" s="49"/>
      <c r="P157" s="49"/>
      <c r="Q157" s="49"/>
      <c r="R157" s="49"/>
      <c r="S157" s="49"/>
      <c r="T157" s="49"/>
      <c r="U157" s="49"/>
      <c r="V157" s="49"/>
      <c r="W157" s="49"/>
      <c r="X157" s="49"/>
      <c r="Y157" s="49"/>
      <c r="Z157" s="49"/>
      <c r="AA157" s="49"/>
      <c r="AB157" s="49"/>
      <c r="AC157" s="49"/>
    </row>
    <row r="158" spans="1:29" ht="13">
      <c r="A158" s="47"/>
      <c r="B158" s="47"/>
      <c r="C158" s="49"/>
      <c r="D158" s="49"/>
      <c r="E158" s="49"/>
      <c r="F158" s="49"/>
      <c r="G158" s="49"/>
      <c r="H158" s="173"/>
      <c r="I158" s="49"/>
      <c r="J158" s="49"/>
      <c r="K158" s="49"/>
      <c r="L158" s="49"/>
      <c r="M158" s="49"/>
      <c r="N158" s="49"/>
      <c r="O158" s="49"/>
      <c r="P158" s="49"/>
      <c r="Q158" s="49"/>
      <c r="R158" s="49"/>
      <c r="S158" s="49"/>
      <c r="T158" s="49"/>
      <c r="U158" s="49"/>
      <c r="V158" s="49"/>
      <c r="W158" s="49"/>
      <c r="X158" s="49"/>
      <c r="Y158" s="49"/>
      <c r="Z158" s="49"/>
      <c r="AA158" s="49"/>
      <c r="AB158" s="49"/>
      <c r="AC158" s="49"/>
    </row>
    <row r="159" spans="1:29" ht="13">
      <c r="A159" s="47"/>
      <c r="B159" s="47"/>
      <c r="C159" s="49"/>
      <c r="D159" s="49"/>
      <c r="E159" s="49"/>
      <c r="F159" s="49"/>
      <c r="G159" s="49"/>
      <c r="H159" s="173"/>
      <c r="I159" s="49"/>
      <c r="J159" s="49"/>
      <c r="K159" s="49"/>
      <c r="L159" s="49"/>
      <c r="M159" s="49"/>
      <c r="N159" s="49"/>
      <c r="O159" s="49"/>
      <c r="P159" s="49"/>
      <c r="Q159" s="49"/>
      <c r="R159" s="49"/>
      <c r="S159" s="49"/>
      <c r="T159" s="49"/>
      <c r="U159" s="49"/>
      <c r="V159" s="49"/>
      <c r="W159" s="49"/>
      <c r="X159" s="49"/>
      <c r="Y159" s="49"/>
      <c r="Z159" s="49"/>
      <c r="AA159" s="49"/>
      <c r="AB159" s="49"/>
      <c r="AC159" s="49"/>
    </row>
    <row r="160" spans="1:29" ht="13">
      <c r="A160" s="47"/>
      <c r="B160" s="47"/>
      <c r="C160" s="49"/>
      <c r="D160" s="49"/>
      <c r="E160" s="49"/>
      <c r="F160" s="49"/>
      <c r="G160" s="49"/>
      <c r="H160" s="173"/>
      <c r="I160" s="49"/>
      <c r="J160" s="49"/>
      <c r="K160" s="49"/>
      <c r="L160" s="49"/>
      <c r="M160" s="49"/>
      <c r="N160" s="49"/>
      <c r="O160" s="49"/>
      <c r="P160" s="49"/>
      <c r="Q160" s="49"/>
      <c r="R160" s="49"/>
      <c r="S160" s="49"/>
      <c r="T160" s="49"/>
      <c r="U160" s="49"/>
      <c r="V160" s="49"/>
      <c r="W160" s="49"/>
      <c r="X160" s="49"/>
      <c r="Y160" s="49"/>
      <c r="Z160" s="49"/>
      <c r="AA160" s="49"/>
      <c r="AB160" s="49"/>
      <c r="AC160" s="49"/>
    </row>
    <row r="161" spans="1:29" ht="13">
      <c r="A161" s="47"/>
      <c r="B161" s="47"/>
      <c r="C161" s="49"/>
      <c r="D161" s="49"/>
      <c r="E161" s="49"/>
      <c r="F161" s="49"/>
      <c r="G161" s="49"/>
      <c r="H161" s="173"/>
      <c r="I161" s="49"/>
      <c r="J161" s="49"/>
      <c r="K161" s="49"/>
      <c r="L161" s="49"/>
      <c r="M161" s="49"/>
      <c r="N161" s="49"/>
      <c r="O161" s="49"/>
      <c r="P161" s="49"/>
      <c r="Q161" s="49"/>
      <c r="R161" s="49"/>
      <c r="S161" s="49"/>
      <c r="T161" s="49"/>
      <c r="U161" s="49"/>
      <c r="V161" s="49"/>
      <c r="W161" s="49"/>
      <c r="X161" s="49"/>
      <c r="Y161" s="49"/>
      <c r="Z161" s="49"/>
      <c r="AA161" s="49"/>
      <c r="AB161" s="49"/>
      <c r="AC161" s="49"/>
    </row>
    <row r="162" spans="1:29" ht="13">
      <c r="A162" s="47"/>
      <c r="B162" s="47"/>
      <c r="C162" s="49"/>
      <c r="D162" s="49"/>
      <c r="E162" s="49"/>
      <c r="F162" s="49"/>
      <c r="G162" s="49"/>
      <c r="H162" s="173"/>
      <c r="I162" s="49"/>
      <c r="J162" s="49"/>
      <c r="K162" s="49"/>
      <c r="L162" s="49"/>
      <c r="M162" s="49"/>
      <c r="N162" s="49"/>
      <c r="O162" s="49"/>
      <c r="P162" s="49"/>
      <c r="Q162" s="49"/>
      <c r="R162" s="49"/>
      <c r="S162" s="49"/>
      <c r="T162" s="49"/>
      <c r="U162" s="49"/>
      <c r="V162" s="49"/>
      <c r="W162" s="49"/>
      <c r="X162" s="49"/>
      <c r="Y162" s="49"/>
      <c r="Z162" s="49"/>
      <c r="AA162" s="49"/>
      <c r="AB162" s="49"/>
      <c r="AC162" s="49"/>
    </row>
    <row r="163" spans="1:29" ht="13">
      <c r="A163" s="47"/>
      <c r="B163" s="47"/>
      <c r="C163" s="49"/>
      <c r="D163" s="49"/>
      <c r="E163" s="49"/>
      <c r="F163" s="49"/>
      <c r="G163" s="49"/>
      <c r="H163" s="173"/>
      <c r="I163" s="49"/>
      <c r="J163" s="49"/>
      <c r="K163" s="49"/>
      <c r="L163" s="49"/>
      <c r="M163" s="49"/>
      <c r="N163" s="49"/>
      <c r="O163" s="49"/>
      <c r="P163" s="49"/>
      <c r="Q163" s="49"/>
      <c r="R163" s="49"/>
      <c r="S163" s="49"/>
      <c r="T163" s="49"/>
      <c r="U163" s="49"/>
      <c r="V163" s="49"/>
      <c r="W163" s="49"/>
      <c r="X163" s="49"/>
      <c r="Y163" s="49"/>
      <c r="Z163" s="49"/>
      <c r="AA163" s="49"/>
      <c r="AB163" s="49"/>
      <c r="AC163" s="49"/>
    </row>
    <row r="164" spans="1:29" ht="13">
      <c r="A164" s="47"/>
      <c r="B164" s="47"/>
      <c r="C164" s="49"/>
      <c r="D164" s="49"/>
      <c r="E164" s="49"/>
      <c r="F164" s="49"/>
      <c r="G164" s="49"/>
      <c r="H164" s="173"/>
      <c r="I164" s="49"/>
      <c r="J164" s="49"/>
      <c r="K164" s="49"/>
      <c r="L164" s="49"/>
      <c r="M164" s="49"/>
      <c r="N164" s="49"/>
      <c r="O164" s="49"/>
      <c r="P164" s="49"/>
      <c r="Q164" s="49"/>
      <c r="R164" s="49"/>
      <c r="S164" s="49"/>
      <c r="T164" s="49"/>
      <c r="U164" s="49"/>
      <c r="V164" s="49"/>
      <c r="W164" s="49"/>
      <c r="X164" s="49"/>
      <c r="Y164" s="49"/>
      <c r="Z164" s="49"/>
      <c r="AA164" s="49"/>
      <c r="AB164" s="49"/>
      <c r="AC164" s="49"/>
    </row>
    <row r="165" spans="1:29" ht="13">
      <c r="A165" s="47"/>
      <c r="B165" s="47"/>
      <c r="C165" s="49"/>
      <c r="D165" s="49"/>
      <c r="E165" s="49"/>
      <c r="F165" s="49"/>
      <c r="G165" s="49"/>
      <c r="H165" s="173"/>
      <c r="I165" s="49"/>
      <c r="J165" s="49"/>
      <c r="K165" s="49"/>
      <c r="L165" s="49"/>
      <c r="M165" s="49"/>
      <c r="N165" s="49"/>
      <c r="O165" s="49"/>
      <c r="P165" s="49"/>
      <c r="Q165" s="49"/>
      <c r="R165" s="49"/>
      <c r="S165" s="49"/>
      <c r="T165" s="49"/>
      <c r="U165" s="49"/>
      <c r="V165" s="49"/>
      <c r="W165" s="49"/>
      <c r="X165" s="49"/>
      <c r="Y165" s="49"/>
      <c r="Z165" s="49"/>
      <c r="AA165" s="49"/>
      <c r="AB165" s="49"/>
      <c r="AC165" s="49"/>
    </row>
    <row r="166" spans="1:29" ht="13">
      <c r="A166" s="47"/>
      <c r="B166" s="47"/>
      <c r="C166" s="49"/>
      <c r="D166" s="49"/>
      <c r="E166" s="49"/>
      <c r="F166" s="49"/>
      <c r="G166" s="49"/>
      <c r="H166" s="173"/>
      <c r="I166" s="49"/>
      <c r="J166" s="49"/>
      <c r="K166" s="49"/>
      <c r="L166" s="49"/>
      <c r="M166" s="49"/>
      <c r="N166" s="49"/>
      <c r="O166" s="49"/>
      <c r="P166" s="49"/>
      <c r="Q166" s="49"/>
      <c r="R166" s="49"/>
      <c r="S166" s="49"/>
      <c r="T166" s="49"/>
      <c r="U166" s="49"/>
      <c r="V166" s="49"/>
      <c r="W166" s="49"/>
      <c r="X166" s="49"/>
      <c r="Y166" s="49"/>
      <c r="Z166" s="49"/>
      <c r="AA166" s="49"/>
      <c r="AB166" s="49"/>
      <c r="AC166" s="49"/>
    </row>
    <row r="167" spans="1:29" ht="13">
      <c r="A167" s="47"/>
      <c r="B167" s="47"/>
      <c r="C167" s="49"/>
      <c r="D167" s="49"/>
      <c r="E167" s="49"/>
      <c r="F167" s="49"/>
      <c r="G167" s="49"/>
      <c r="H167" s="173"/>
      <c r="I167" s="49"/>
      <c r="J167" s="49"/>
      <c r="K167" s="49"/>
      <c r="L167" s="49"/>
      <c r="M167" s="49"/>
      <c r="N167" s="49"/>
      <c r="O167" s="49"/>
      <c r="P167" s="49"/>
      <c r="Q167" s="49"/>
      <c r="R167" s="49"/>
      <c r="S167" s="49"/>
      <c r="T167" s="49"/>
      <c r="U167" s="49"/>
      <c r="V167" s="49"/>
      <c r="W167" s="49"/>
      <c r="X167" s="49"/>
      <c r="Y167" s="49"/>
      <c r="Z167" s="49"/>
      <c r="AA167" s="49"/>
      <c r="AB167" s="49"/>
      <c r="AC167" s="49"/>
    </row>
    <row r="168" spans="1:29" ht="13">
      <c r="A168" s="47"/>
      <c r="B168" s="47"/>
      <c r="C168" s="49"/>
      <c r="D168" s="49"/>
      <c r="E168" s="49"/>
      <c r="F168" s="49"/>
      <c r="G168" s="49"/>
      <c r="H168" s="173"/>
      <c r="I168" s="49"/>
      <c r="J168" s="49"/>
      <c r="K168" s="49"/>
      <c r="L168" s="49"/>
      <c r="M168" s="49"/>
      <c r="N168" s="49"/>
      <c r="O168" s="49"/>
      <c r="P168" s="49"/>
      <c r="Q168" s="49"/>
      <c r="R168" s="49"/>
      <c r="S168" s="49"/>
      <c r="T168" s="49"/>
      <c r="U168" s="49"/>
      <c r="V168" s="49"/>
      <c r="W168" s="49"/>
      <c r="X168" s="49"/>
      <c r="Y168" s="49"/>
      <c r="Z168" s="49"/>
      <c r="AA168" s="49"/>
      <c r="AB168" s="49"/>
      <c r="AC168" s="49"/>
    </row>
    <row r="169" spans="1:29" ht="13">
      <c r="A169" s="47"/>
      <c r="B169" s="47"/>
      <c r="C169" s="49"/>
      <c r="D169" s="49"/>
      <c r="E169" s="49"/>
      <c r="F169" s="49"/>
      <c r="G169" s="49"/>
      <c r="H169" s="173"/>
      <c r="I169" s="49"/>
      <c r="J169" s="49"/>
      <c r="K169" s="49"/>
      <c r="L169" s="49"/>
      <c r="M169" s="49"/>
      <c r="N169" s="49"/>
      <c r="O169" s="49"/>
      <c r="P169" s="49"/>
      <c r="Q169" s="49"/>
      <c r="R169" s="49"/>
      <c r="S169" s="49"/>
      <c r="T169" s="49"/>
      <c r="U169" s="49"/>
      <c r="V169" s="49"/>
      <c r="W169" s="49"/>
      <c r="X169" s="49"/>
      <c r="Y169" s="49"/>
      <c r="Z169" s="49"/>
      <c r="AA169" s="49"/>
      <c r="AB169" s="49"/>
      <c r="AC169" s="49"/>
    </row>
    <row r="170" spans="1:29" ht="13">
      <c r="A170" s="47"/>
      <c r="B170" s="47"/>
      <c r="C170" s="49"/>
      <c r="D170" s="49"/>
      <c r="E170" s="49"/>
      <c r="F170" s="49"/>
      <c r="G170" s="49"/>
      <c r="H170" s="173"/>
      <c r="I170" s="49"/>
      <c r="J170" s="49"/>
      <c r="K170" s="49"/>
      <c r="L170" s="49"/>
      <c r="M170" s="49"/>
      <c r="N170" s="49"/>
      <c r="O170" s="49"/>
      <c r="P170" s="49"/>
      <c r="Q170" s="49"/>
      <c r="R170" s="49"/>
      <c r="S170" s="49"/>
      <c r="T170" s="49"/>
      <c r="U170" s="49"/>
      <c r="V170" s="49"/>
      <c r="W170" s="49"/>
      <c r="X170" s="49"/>
      <c r="Y170" s="49"/>
      <c r="Z170" s="49"/>
      <c r="AA170" s="49"/>
      <c r="AB170" s="49"/>
      <c r="AC170" s="49"/>
    </row>
    <row r="171" spans="1:29" ht="13">
      <c r="A171" s="47"/>
      <c r="B171" s="47"/>
      <c r="C171" s="49"/>
      <c r="D171" s="49"/>
      <c r="E171" s="49"/>
      <c r="F171" s="49"/>
      <c r="G171" s="49"/>
      <c r="H171" s="173"/>
      <c r="I171" s="49"/>
      <c r="J171" s="49"/>
      <c r="K171" s="49"/>
      <c r="L171" s="49"/>
      <c r="M171" s="49"/>
      <c r="N171" s="49"/>
      <c r="O171" s="49"/>
      <c r="P171" s="49"/>
      <c r="Q171" s="49"/>
      <c r="R171" s="49"/>
      <c r="S171" s="49"/>
      <c r="T171" s="49"/>
      <c r="U171" s="49"/>
      <c r="V171" s="49"/>
      <c r="W171" s="49"/>
      <c r="X171" s="49"/>
      <c r="Y171" s="49"/>
      <c r="Z171" s="49"/>
      <c r="AA171" s="49"/>
      <c r="AB171" s="49"/>
      <c r="AC171" s="49"/>
    </row>
    <row r="172" spans="1:29" ht="13">
      <c r="A172" s="47"/>
      <c r="B172" s="47"/>
      <c r="C172" s="49"/>
      <c r="D172" s="49"/>
      <c r="E172" s="49"/>
      <c r="F172" s="49"/>
      <c r="G172" s="49"/>
      <c r="H172" s="173"/>
      <c r="I172" s="49"/>
      <c r="J172" s="49"/>
      <c r="K172" s="49"/>
      <c r="L172" s="49"/>
      <c r="M172" s="49"/>
      <c r="N172" s="49"/>
      <c r="O172" s="49"/>
      <c r="P172" s="49"/>
      <c r="Q172" s="49"/>
      <c r="R172" s="49"/>
      <c r="S172" s="49"/>
      <c r="T172" s="49"/>
      <c r="U172" s="49"/>
      <c r="V172" s="49"/>
      <c r="W172" s="49"/>
      <c r="X172" s="49"/>
      <c r="Y172" s="49"/>
      <c r="Z172" s="49"/>
      <c r="AA172" s="49"/>
      <c r="AB172" s="49"/>
      <c r="AC172" s="49"/>
    </row>
    <row r="173" spans="1:29" ht="13">
      <c r="A173" s="47"/>
      <c r="B173" s="47"/>
      <c r="C173" s="49"/>
      <c r="D173" s="49"/>
      <c r="E173" s="49"/>
      <c r="F173" s="49"/>
      <c r="G173" s="49"/>
      <c r="H173" s="173"/>
      <c r="I173" s="49"/>
      <c r="J173" s="49"/>
      <c r="K173" s="49"/>
      <c r="L173" s="49"/>
      <c r="M173" s="49"/>
      <c r="N173" s="49"/>
      <c r="O173" s="49"/>
      <c r="P173" s="49"/>
      <c r="Q173" s="49"/>
      <c r="R173" s="49"/>
      <c r="S173" s="49"/>
      <c r="T173" s="49"/>
      <c r="U173" s="49"/>
      <c r="V173" s="49"/>
      <c r="W173" s="49"/>
      <c r="X173" s="49"/>
      <c r="Y173" s="49"/>
      <c r="Z173" s="49"/>
      <c r="AA173" s="49"/>
      <c r="AB173" s="49"/>
      <c r="AC173" s="49"/>
    </row>
    <row r="174" spans="1:29" ht="13">
      <c r="A174" s="47"/>
      <c r="B174" s="47"/>
      <c r="C174" s="49"/>
      <c r="D174" s="49"/>
      <c r="E174" s="49"/>
      <c r="F174" s="49"/>
      <c r="G174" s="49"/>
      <c r="H174" s="173"/>
      <c r="I174" s="49"/>
      <c r="J174" s="49"/>
      <c r="K174" s="49"/>
      <c r="L174" s="49"/>
      <c r="M174" s="49"/>
      <c r="N174" s="49"/>
      <c r="O174" s="49"/>
      <c r="P174" s="49"/>
      <c r="Q174" s="49"/>
      <c r="R174" s="49"/>
      <c r="S174" s="49"/>
      <c r="T174" s="49"/>
      <c r="U174" s="49"/>
      <c r="V174" s="49"/>
      <c r="W174" s="49"/>
      <c r="X174" s="49"/>
      <c r="Y174" s="49"/>
      <c r="Z174" s="49"/>
      <c r="AA174" s="49"/>
      <c r="AB174" s="49"/>
      <c r="AC174" s="49"/>
    </row>
    <row r="175" spans="1:29" ht="13">
      <c r="A175" s="47"/>
      <c r="B175" s="47"/>
      <c r="C175" s="49"/>
      <c r="D175" s="49"/>
      <c r="E175" s="49"/>
      <c r="F175" s="49"/>
      <c r="G175" s="49"/>
      <c r="H175" s="173"/>
      <c r="I175" s="49"/>
      <c r="J175" s="49"/>
      <c r="K175" s="49"/>
      <c r="L175" s="49"/>
      <c r="M175" s="49"/>
      <c r="N175" s="49"/>
      <c r="O175" s="49"/>
      <c r="P175" s="49"/>
      <c r="Q175" s="49"/>
      <c r="R175" s="49"/>
      <c r="S175" s="49"/>
      <c r="T175" s="49"/>
      <c r="U175" s="49"/>
      <c r="V175" s="49"/>
      <c r="W175" s="49"/>
      <c r="X175" s="49"/>
      <c r="Y175" s="49"/>
      <c r="Z175" s="49"/>
      <c r="AA175" s="49"/>
      <c r="AB175" s="49"/>
      <c r="AC175" s="49"/>
    </row>
    <row r="176" spans="1:29" ht="13">
      <c r="A176" s="47"/>
      <c r="B176" s="47"/>
      <c r="C176" s="49"/>
      <c r="D176" s="49"/>
      <c r="E176" s="49"/>
      <c r="F176" s="49"/>
      <c r="G176" s="49"/>
      <c r="H176" s="173"/>
      <c r="I176" s="49"/>
      <c r="J176" s="49"/>
      <c r="K176" s="49"/>
      <c r="L176" s="49"/>
      <c r="M176" s="49"/>
      <c r="N176" s="49"/>
      <c r="O176" s="49"/>
      <c r="P176" s="49"/>
      <c r="Q176" s="49"/>
      <c r="R176" s="49"/>
      <c r="S176" s="49"/>
      <c r="T176" s="49"/>
      <c r="U176" s="49"/>
      <c r="V176" s="49"/>
      <c r="W176" s="49"/>
      <c r="X176" s="49"/>
      <c r="Y176" s="49"/>
      <c r="Z176" s="49"/>
      <c r="AA176" s="49"/>
      <c r="AB176" s="49"/>
      <c r="AC176" s="49"/>
    </row>
    <row r="177" spans="1:29" ht="13">
      <c r="A177" s="47"/>
      <c r="B177" s="47"/>
      <c r="C177" s="49"/>
      <c r="D177" s="49"/>
      <c r="E177" s="49"/>
      <c r="F177" s="49"/>
      <c r="G177" s="49"/>
      <c r="H177" s="173"/>
      <c r="I177" s="49"/>
      <c r="J177" s="49"/>
      <c r="K177" s="49"/>
      <c r="L177" s="49"/>
      <c r="M177" s="49"/>
      <c r="N177" s="49"/>
      <c r="O177" s="49"/>
      <c r="P177" s="49"/>
      <c r="Q177" s="49"/>
      <c r="R177" s="49"/>
      <c r="S177" s="49"/>
      <c r="T177" s="49"/>
      <c r="U177" s="49"/>
      <c r="V177" s="49"/>
      <c r="W177" s="49"/>
      <c r="X177" s="49"/>
      <c r="Y177" s="49"/>
      <c r="Z177" s="49"/>
      <c r="AA177" s="49"/>
      <c r="AB177" s="49"/>
      <c r="AC177" s="49"/>
    </row>
    <row r="178" spans="1:29" ht="13">
      <c r="A178" s="47"/>
      <c r="B178" s="47"/>
      <c r="C178" s="49"/>
      <c r="D178" s="49"/>
      <c r="E178" s="49"/>
      <c r="F178" s="49"/>
      <c r="G178" s="49"/>
      <c r="H178" s="173"/>
      <c r="I178" s="49"/>
      <c r="J178" s="49"/>
      <c r="K178" s="49"/>
      <c r="L178" s="49"/>
      <c r="M178" s="49"/>
      <c r="N178" s="49"/>
      <c r="O178" s="49"/>
      <c r="P178" s="49"/>
      <c r="Q178" s="49"/>
      <c r="R178" s="49"/>
      <c r="S178" s="49"/>
      <c r="T178" s="49"/>
      <c r="U178" s="49"/>
      <c r="V178" s="49"/>
      <c r="W178" s="49"/>
      <c r="X178" s="49"/>
      <c r="Y178" s="49"/>
      <c r="Z178" s="49"/>
      <c r="AA178" s="49"/>
      <c r="AB178" s="49"/>
      <c r="AC178" s="49"/>
    </row>
    <row r="179" spans="1:29" ht="13">
      <c r="A179" s="47"/>
      <c r="B179" s="47"/>
      <c r="C179" s="49"/>
      <c r="D179" s="49"/>
      <c r="E179" s="49"/>
      <c r="F179" s="49"/>
      <c r="G179" s="49"/>
      <c r="H179" s="173"/>
      <c r="I179" s="49"/>
      <c r="J179" s="49"/>
      <c r="K179" s="49"/>
      <c r="L179" s="49"/>
      <c r="M179" s="49"/>
      <c r="N179" s="49"/>
      <c r="O179" s="49"/>
      <c r="P179" s="49"/>
      <c r="Q179" s="49"/>
      <c r="R179" s="49"/>
      <c r="S179" s="49"/>
      <c r="T179" s="49"/>
      <c r="U179" s="49"/>
      <c r="V179" s="49"/>
      <c r="W179" s="49"/>
      <c r="X179" s="49"/>
      <c r="Y179" s="49"/>
      <c r="Z179" s="49"/>
      <c r="AA179" s="49"/>
      <c r="AB179" s="49"/>
      <c r="AC179" s="49"/>
    </row>
    <row r="180" spans="1:29" ht="13">
      <c r="A180" s="47"/>
      <c r="B180" s="47"/>
      <c r="C180" s="49"/>
      <c r="D180" s="49"/>
      <c r="E180" s="49"/>
      <c r="F180" s="49"/>
      <c r="G180" s="49"/>
      <c r="H180" s="173"/>
      <c r="I180" s="49"/>
      <c r="J180" s="49"/>
      <c r="K180" s="49"/>
      <c r="L180" s="49"/>
      <c r="M180" s="49"/>
      <c r="N180" s="49"/>
      <c r="O180" s="49"/>
      <c r="P180" s="49"/>
      <c r="Q180" s="49"/>
      <c r="R180" s="49"/>
      <c r="S180" s="49"/>
      <c r="T180" s="49"/>
      <c r="U180" s="49"/>
      <c r="V180" s="49"/>
      <c r="W180" s="49"/>
      <c r="X180" s="49"/>
      <c r="Y180" s="49"/>
      <c r="Z180" s="49"/>
      <c r="AA180" s="49"/>
      <c r="AB180" s="49"/>
      <c r="AC180" s="49"/>
    </row>
    <row r="181" spans="1:29" ht="13">
      <c r="A181" s="47"/>
      <c r="B181" s="47"/>
      <c r="C181" s="49"/>
      <c r="D181" s="49"/>
      <c r="E181" s="49"/>
      <c r="F181" s="49"/>
      <c r="G181" s="49"/>
      <c r="H181" s="173"/>
      <c r="I181" s="49"/>
      <c r="J181" s="49"/>
      <c r="K181" s="49"/>
      <c r="L181" s="49"/>
      <c r="M181" s="49"/>
      <c r="N181" s="49"/>
      <c r="O181" s="49"/>
      <c r="P181" s="49"/>
      <c r="Q181" s="49"/>
      <c r="R181" s="49"/>
      <c r="S181" s="49"/>
      <c r="T181" s="49"/>
      <c r="U181" s="49"/>
      <c r="V181" s="49"/>
      <c r="W181" s="49"/>
      <c r="X181" s="49"/>
      <c r="Y181" s="49"/>
      <c r="Z181" s="49"/>
      <c r="AA181" s="49"/>
      <c r="AB181" s="49"/>
      <c r="AC181" s="49"/>
    </row>
    <row r="182" spans="1:29" ht="13">
      <c r="A182" s="47"/>
      <c r="B182" s="47"/>
      <c r="C182" s="49"/>
      <c r="D182" s="49"/>
      <c r="E182" s="49"/>
      <c r="F182" s="49"/>
      <c r="G182" s="49"/>
      <c r="H182" s="173"/>
      <c r="I182" s="49"/>
      <c r="J182" s="49"/>
      <c r="K182" s="49"/>
      <c r="L182" s="49"/>
      <c r="M182" s="49"/>
      <c r="N182" s="49"/>
      <c r="O182" s="49"/>
      <c r="P182" s="49"/>
      <c r="Q182" s="49"/>
      <c r="R182" s="49"/>
      <c r="S182" s="49"/>
      <c r="T182" s="49"/>
      <c r="U182" s="49"/>
      <c r="V182" s="49"/>
      <c r="W182" s="49"/>
      <c r="X182" s="49"/>
      <c r="Y182" s="49"/>
      <c r="Z182" s="49"/>
      <c r="AA182" s="49"/>
      <c r="AB182" s="49"/>
      <c r="AC182" s="49"/>
    </row>
    <row r="183" spans="1:29" ht="13">
      <c r="A183" s="47"/>
      <c r="B183" s="47"/>
      <c r="C183" s="49"/>
      <c r="D183" s="49"/>
      <c r="E183" s="49"/>
      <c r="F183" s="49"/>
      <c r="G183" s="49"/>
      <c r="H183" s="173"/>
      <c r="I183" s="49"/>
      <c r="J183" s="49"/>
      <c r="K183" s="49"/>
      <c r="L183" s="49"/>
      <c r="M183" s="49"/>
      <c r="N183" s="49"/>
      <c r="O183" s="49"/>
      <c r="P183" s="49"/>
      <c r="Q183" s="49"/>
      <c r="R183" s="49"/>
      <c r="S183" s="49"/>
      <c r="T183" s="49"/>
      <c r="U183" s="49"/>
      <c r="V183" s="49"/>
      <c r="W183" s="49"/>
      <c r="X183" s="49"/>
      <c r="Y183" s="49"/>
      <c r="Z183" s="49"/>
      <c r="AA183" s="49"/>
      <c r="AB183" s="49"/>
      <c r="AC183" s="49"/>
    </row>
    <row r="184" spans="1:29" ht="13">
      <c r="A184" s="47"/>
      <c r="B184" s="47"/>
      <c r="C184" s="49"/>
      <c r="D184" s="49"/>
      <c r="E184" s="49"/>
      <c r="F184" s="49"/>
      <c r="G184" s="49"/>
      <c r="H184" s="173"/>
      <c r="I184" s="49"/>
      <c r="J184" s="49"/>
      <c r="K184" s="49"/>
      <c r="L184" s="49"/>
      <c r="M184" s="49"/>
      <c r="N184" s="49"/>
      <c r="O184" s="49"/>
      <c r="P184" s="49"/>
      <c r="Q184" s="49"/>
      <c r="R184" s="49"/>
      <c r="S184" s="49"/>
      <c r="T184" s="49"/>
      <c r="U184" s="49"/>
      <c r="V184" s="49"/>
      <c r="W184" s="49"/>
      <c r="X184" s="49"/>
      <c r="Y184" s="49"/>
      <c r="Z184" s="49"/>
      <c r="AA184" s="49"/>
      <c r="AB184" s="49"/>
      <c r="AC184" s="49"/>
    </row>
    <row r="185" spans="1:29" ht="13">
      <c r="A185" s="47"/>
      <c r="B185" s="47"/>
      <c r="C185" s="49"/>
      <c r="D185" s="49"/>
      <c r="E185" s="49"/>
      <c r="F185" s="49"/>
      <c r="G185" s="49"/>
      <c r="H185" s="173"/>
      <c r="I185" s="49"/>
      <c r="J185" s="49"/>
      <c r="K185" s="49"/>
      <c r="L185" s="49"/>
      <c r="M185" s="49"/>
      <c r="N185" s="49"/>
      <c r="O185" s="49"/>
      <c r="P185" s="49"/>
      <c r="Q185" s="49"/>
      <c r="R185" s="49"/>
      <c r="S185" s="49"/>
      <c r="T185" s="49"/>
      <c r="U185" s="49"/>
      <c r="V185" s="49"/>
      <c r="W185" s="49"/>
      <c r="X185" s="49"/>
      <c r="Y185" s="49"/>
      <c r="Z185" s="49"/>
      <c r="AA185" s="49"/>
      <c r="AB185" s="49"/>
      <c r="AC185" s="49"/>
    </row>
    <row r="186" spans="1:29" ht="13">
      <c r="A186" s="47"/>
      <c r="B186" s="47"/>
      <c r="C186" s="49"/>
      <c r="D186" s="49"/>
      <c r="E186" s="49"/>
      <c r="F186" s="49"/>
      <c r="G186" s="49"/>
      <c r="H186" s="173"/>
      <c r="I186" s="49"/>
      <c r="J186" s="49"/>
      <c r="K186" s="49"/>
      <c r="L186" s="49"/>
      <c r="M186" s="49"/>
      <c r="N186" s="49"/>
      <c r="O186" s="49"/>
      <c r="P186" s="49"/>
      <c r="Q186" s="49"/>
      <c r="R186" s="49"/>
      <c r="S186" s="49"/>
      <c r="T186" s="49"/>
      <c r="U186" s="49"/>
      <c r="V186" s="49"/>
      <c r="W186" s="49"/>
      <c r="X186" s="49"/>
      <c r="Y186" s="49"/>
      <c r="Z186" s="49"/>
      <c r="AA186" s="49"/>
      <c r="AB186" s="49"/>
      <c r="AC186" s="49"/>
    </row>
    <row r="187" spans="1:29" ht="13">
      <c r="A187" s="47"/>
      <c r="B187" s="47"/>
      <c r="C187" s="49"/>
      <c r="D187" s="49"/>
      <c r="E187" s="49"/>
      <c r="F187" s="49"/>
      <c r="G187" s="49"/>
      <c r="H187" s="173"/>
      <c r="I187" s="49"/>
      <c r="J187" s="49"/>
      <c r="K187" s="49"/>
      <c r="L187" s="49"/>
      <c r="M187" s="49"/>
      <c r="N187" s="49"/>
      <c r="O187" s="49"/>
      <c r="P187" s="49"/>
      <c r="Q187" s="49"/>
      <c r="R187" s="49"/>
      <c r="S187" s="49"/>
      <c r="T187" s="49"/>
      <c r="U187" s="49"/>
      <c r="V187" s="49"/>
      <c r="W187" s="49"/>
      <c r="X187" s="49"/>
      <c r="Y187" s="49"/>
      <c r="Z187" s="49"/>
      <c r="AA187" s="49"/>
      <c r="AB187" s="49"/>
      <c r="AC187" s="49"/>
    </row>
    <row r="188" spans="1:29" ht="13">
      <c r="A188" s="47"/>
      <c r="B188" s="47"/>
      <c r="C188" s="49"/>
      <c r="D188" s="49"/>
      <c r="E188" s="49"/>
      <c r="F188" s="49"/>
      <c r="G188" s="49"/>
      <c r="H188" s="173"/>
      <c r="I188" s="49"/>
      <c r="J188" s="49"/>
      <c r="K188" s="49"/>
      <c r="L188" s="49"/>
      <c r="M188" s="49"/>
      <c r="N188" s="49"/>
      <c r="O188" s="49"/>
      <c r="P188" s="49"/>
      <c r="Q188" s="49"/>
      <c r="R188" s="49"/>
      <c r="S188" s="49"/>
      <c r="T188" s="49"/>
      <c r="U188" s="49"/>
      <c r="V188" s="49"/>
      <c r="W188" s="49"/>
      <c r="X188" s="49"/>
      <c r="Y188" s="49"/>
      <c r="Z188" s="49"/>
      <c r="AA188" s="49"/>
      <c r="AB188" s="49"/>
      <c r="AC188" s="49"/>
    </row>
    <row r="189" spans="1:29" ht="13">
      <c r="A189" s="47"/>
      <c r="B189" s="47"/>
      <c r="C189" s="49"/>
      <c r="D189" s="49"/>
      <c r="E189" s="49"/>
      <c r="F189" s="49"/>
      <c r="G189" s="49"/>
      <c r="H189" s="173"/>
      <c r="I189" s="49"/>
      <c r="J189" s="49"/>
      <c r="K189" s="49"/>
      <c r="L189" s="49"/>
      <c r="M189" s="49"/>
      <c r="N189" s="49"/>
      <c r="O189" s="49"/>
      <c r="P189" s="49"/>
      <c r="Q189" s="49"/>
      <c r="R189" s="49"/>
      <c r="S189" s="49"/>
      <c r="T189" s="49"/>
      <c r="U189" s="49"/>
      <c r="V189" s="49"/>
      <c r="W189" s="49"/>
      <c r="X189" s="49"/>
      <c r="Y189" s="49"/>
      <c r="Z189" s="49"/>
      <c r="AA189" s="49"/>
      <c r="AB189" s="49"/>
      <c r="AC189" s="49"/>
    </row>
    <row r="190" spans="1:29" ht="13">
      <c r="A190" s="47"/>
      <c r="B190" s="47"/>
      <c r="C190" s="49"/>
      <c r="D190" s="49"/>
      <c r="E190" s="49"/>
      <c r="F190" s="49"/>
      <c r="G190" s="49"/>
      <c r="H190" s="173"/>
      <c r="I190" s="49"/>
      <c r="J190" s="49"/>
      <c r="K190" s="49"/>
      <c r="L190" s="49"/>
      <c r="M190" s="49"/>
      <c r="N190" s="49"/>
      <c r="O190" s="49"/>
      <c r="P190" s="49"/>
      <c r="Q190" s="49"/>
      <c r="R190" s="49"/>
      <c r="S190" s="49"/>
      <c r="T190" s="49"/>
      <c r="U190" s="49"/>
      <c r="V190" s="49"/>
      <c r="W190" s="49"/>
      <c r="X190" s="49"/>
      <c r="Y190" s="49"/>
      <c r="Z190" s="49"/>
      <c r="AA190" s="49"/>
      <c r="AB190" s="49"/>
      <c r="AC190" s="49"/>
    </row>
    <row r="191" spans="1:29" ht="13">
      <c r="A191" s="47"/>
      <c r="B191" s="47"/>
      <c r="C191" s="49"/>
      <c r="D191" s="49"/>
      <c r="E191" s="49"/>
      <c r="F191" s="49"/>
      <c r="G191" s="49"/>
      <c r="H191" s="173"/>
      <c r="I191" s="49"/>
      <c r="J191" s="49"/>
      <c r="K191" s="49"/>
      <c r="L191" s="49"/>
      <c r="M191" s="49"/>
      <c r="N191" s="49"/>
      <c r="O191" s="49"/>
      <c r="P191" s="49"/>
      <c r="Q191" s="49"/>
      <c r="R191" s="49"/>
      <c r="S191" s="49"/>
      <c r="T191" s="49"/>
      <c r="U191" s="49"/>
      <c r="V191" s="49"/>
      <c r="W191" s="49"/>
      <c r="X191" s="49"/>
      <c r="Y191" s="49"/>
      <c r="Z191" s="49"/>
      <c r="AA191" s="49"/>
      <c r="AB191" s="49"/>
      <c r="AC191" s="49"/>
    </row>
    <row r="192" spans="1:29" ht="13">
      <c r="A192" s="47"/>
      <c r="B192" s="47"/>
      <c r="C192" s="49"/>
      <c r="D192" s="49"/>
      <c r="E192" s="49"/>
      <c r="F192" s="49"/>
      <c r="G192" s="49"/>
      <c r="H192" s="173"/>
      <c r="I192" s="49"/>
      <c r="J192" s="49"/>
      <c r="K192" s="49"/>
      <c r="L192" s="49"/>
      <c r="M192" s="49"/>
      <c r="N192" s="49"/>
      <c r="O192" s="49"/>
      <c r="P192" s="49"/>
      <c r="Q192" s="49"/>
      <c r="R192" s="49"/>
      <c r="S192" s="49"/>
      <c r="T192" s="49"/>
      <c r="U192" s="49"/>
      <c r="V192" s="49"/>
      <c r="W192" s="49"/>
      <c r="X192" s="49"/>
      <c r="Y192" s="49"/>
      <c r="Z192" s="49"/>
      <c r="AA192" s="49"/>
      <c r="AB192" s="49"/>
      <c r="AC192" s="49"/>
    </row>
    <row r="193" spans="1:29" ht="13">
      <c r="A193" s="47"/>
      <c r="B193" s="47"/>
      <c r="C193" s="49"/>
      <c r="D193" s="49"/>
      <c r="E193" s="49"/>
      <c r="F193" s="49"/>
      <c r="G193" s="49"/>
      <c r="H193" s="173"/>
      <c r="I193" s="49"/>
      <c r="J193" s="49"/>
      <c r="K193" s="49"/>
      <c r="L193" s="49"/>
      <c r="M193" s="49"/>
      <c r="N193" s="49"/>
      <c r="O193" s="49"/>
      <c r="P193" s="49"/>
      <c r="Q193" s="49"/>
      <c r="R193" s="49"/>
      <c r="S193" s="49"/>
      <c r="T193" s="49"/>
      <c r="U193" s="49"/>
      <c r="V193" s="49"/>
      <c r="W193" s="49"/>
      <c r="X193" s="49"/>
      <c r="Y193" s="49"/>
      <c r="Z193" s="49"/>
      <c r="AA193" s="49"/>
      <c r="AB193" s="49"/>
      <c r="AC193" s="49"/>
    </row>
    <row r="194" spans="1:29" ht="13">
      <c r="A194" s="47"/>
      <c r="B194" s="47"/>
      <c r="C194" s="49"/>
      <c r="D194" s="49"/>
      <c r="E194" s="49"/>
      <c r="F194" s="49"/>
      <c r="G194" s="49"/>
      <c r="H194" s="173"/>
      <c r="I194" s="49"/>
      <c r="J194" s="49"/>
      <c r="K194" s="49"/>
      <c r="L194" s="49"/>
      <c r="M194" s="49"/>
      <c r="N194" s="49"/>
      <c r="O194" s="49"/>
      <c r="P194" s="49"/>
      <c r="Q194" s="49"/>
      <c r="R194" s="49"/>
      <c r="S194" s="49"/>
      <c r="T194" s="49"/>
      <c r="U194" s="49"/>
      <c r="V194" s="49"/>
      <c r="W194" s="49"/>
      <c r="X194" s="49"/>
      <c r="Y194" s="49"/>
      <c r="Z194" s="49"/>
      <c r="AA194" s="49"/>
      <c r="AB194" s="49"/>
      <c r="AC194" s="49"/>
    </row>
    <row r="195" spans="1:29" ht="13">
      <c r="A195" s="47"/>
      <c r="B195" s="47"/>
      <c r="C195" s="49"/>
      <c r="D195" s="49"/>
      <c r="E195" s="49"/>
      <c r="F195" s="49"/>
      <c r="G195" s="49"/>
      <c r="H195" s="173"/>
      <c r="I195" s="49"/>
      <c r="J195" s="49"/>
      <c r="K195" s="49"/>
      <c r="L195" s="49"/>
      <c r="M195" s="49"/>
      <c r="N195" s="49"/>
      <c r="O195" s="49"/>
      <c r="P195" s="49"/>
      <c r="Q195" s="49"/>
      <c r="R195" s="49"/>
      <c r="S195" s="49"/>
      <c r="T195" s="49"/>
      <c r="U195" s="49"/>
      <c r="V195" s="49"/>
      <c r="W195" s="49"/>
      <c r="X195" s="49"/>
      <c r="Y195" s="49"/>
      <c r="Z195" s="49"/>
      <c r="AA195" s="49"/>
      <c r="AB195" s="49"/>
      <c r="AC195" s="49"/>
    </row>
    <row r="196" spans="1:29" ht="13">
      <c r="A196" s="47"/>
      <c r="B196" s="47"/>
      <c r="C196" s="49"/>
      <c r="D196" s="49"/>
      <c r="E196" s="49"/>
      <c r="F196" s="49"/>
      <c r="G196" s="49"/>
      <c r="H196" s="173"/>
      <c r="I196" s="49"/>
      <c r="J196" s="49"/>
      <c r="K196" s="49"/>
      <c r="L196" s="49"/>
      <c r="M196" s="49"/>
      <c r="N196" s="49"/>
      <c r="O196" s="49"/>
      <c r="P196" s="49"/>
      <c r="Q196" s="49"/>
      <c r="R196" s="49"/>
      <c r="S196" s="49"/>
      <c r="T196" s="49"/>
      <c r="U196" s="49"/>
      <c r="V196" s="49"/>
      <c r="W196" s="49"/>
      <c r="X196" s="49"/>
      <c r="Y196" s="49"/>
      <c r="Z196" s="49"/>
      <c r="AA196" s="49"/>
      <c r="AB196" s="49"/>
      <c r="AC196" s="49"/>
    </row>
    <row r="197" spans="1:29" ht="13">
      <c r="A197" s="47"/>
      <c r="B197" s="47"/>
      <c r="C197" s="49"/>
      <c r="D197" s="49"/>
      <c r="E197" s="49"/>
      <c r="F197" s="49"/>
      <c r="G197" s="49"/>
      <c r="H197" s="173"/>
      <c r="I197" s="49"/>
      <c r="J197" s="49"/>
      <c r="K197" s="49"/>
      <c r="L197" s="49"/>
      <c r="M197" s="49"/>
      <c r="N197" s="49"/>
      <c r="O197" s="49"/>
      <c r="P197" s="49"/>
      <c r="Q197" s="49"/>
      <c r="R197" s="49"/>
      <c r="S197" s="49"/>
      <c r="T197" s="49"/>
      <c r="U197" s="49"/>
      <c r="V197" s="49"/>
      <c r="W197" s="49"/>
      <c r="X197" s="49"/>
      <c r="Y197" s="49"/>
      <c r="Z197" s="49"/>
      <c r="AA197" s="49"/>
      <c r="AB197" s="49"/>
      <c r="AC197" s="49"/>
    </row>
    <row r="198" spans="1:29" ht="13">
      <c r="A198" s="47"/>
      <c r="B198" s="47"/>
      <c r="C198" s="49"/>
      <c r="D198" s="49"/>
      <c r="E198" s="49"/>
      <c r="F198" s="49"/>
      <c r="G198" s="49"/>
      <c r="H198" s="173"/>
      <c r="I198" s="49"/>
      <c r="J198" s="49"/>
      <c r="K198" s="49"/>
      <c r="L198" s="49"/>
      <c r="M198" s="49"/>
      <c r="N198" s="49"/>
      <c r="O198" s="49"/>
      <c r="P198" s="49"/>
      <c r="Q198" s="49"/>
      <c r="R198" s="49"/>
      <c r="S198" s="49"/>
      <c r="T198" s="49"/>
      <c r="U198" s="49"/>
      <c r="V198" s="49"/>
      <c r="W198" s="49"/>
      <c r="X198" s="49"/>
      <c r="Y198" s="49"/>
      <c r="Z198" s="49"/>
      <c r="AA198" s="49"/>
      <c r="AB198" s="49"/>
      <c r="AC198" s="49"/>
    </row>
    <row r="199" spans="1:29" ht="13">
      <c r="A199" s="47"/>
      <c r="B199" s="47"/>
      <c r="C199" s="49"/>
      <c r="D199" s="49"/>
      <c r="E199" s="49"/>
      <c r="F199" s="49"/>
      <c r="G199" s="49"/>
      <c r="H199" s="173"/>
      <c r="I199" s="49"/>
      <c r="J199" s="49"/>
      <c r="K199" s="49"/>
      <c r="L199" s="49"/>
      <c r="M199" s="49"/>
      <c r="N199" s="49"/>
      <c r="O199" s="49"/>
      <c r="P199" s="49"/>
      <c r="Q199" s="49"/>
      <c r="R199" s="49"/>
      <c r="S199" s="49"/>
      <c r="T199" s="49"/>
      <c r="U199" s="49"/>
      <c r="V199" s="49"/>
      <c r="W199" s="49"/>
      <c r="X199" s="49"/>
      <c r="Y199" s="49"/>
      <c r="Z199" s="49"/>
      <c r="AA199" s="49"/>
      <c r="AB199" s="49"/>
      <c r="AC199" s="49"/>
    </row>
    <row r="200" spans="1:29" ht="13">
      <c r="A200" s="47"/>
      <c r="B200" s="47"/>
      <c r="C200" s="49"/>
      <c r="D200" s="49"/>
      <c r="E200" s="49"/>
      <c r="F200" s="49"/>
      <c r="G200" s="49"/>
      <c r="H200" s="173"/>
      <c r="I200" s="49"/>
      <c r="J200" s="49"/>
      <c r="K200" s="49"/>
      <c r="L200" s="49"/>
      <c r="M200" s="49"/>
      <c r="N200" s="49"/>
      <c r="O200" s="49"/>
      <c r="P200" s="49"/>
      <c r="Q200" s="49"/>
      <c r="R200" s="49"/>
      <c r="S200" s="49"/>
      <c r="T200" s="49"/>
      <c r="U200" s="49"/>
      <c r="V200" s="49"/>
      <c r="W200" s="49"/>
      <c r="X200" s="49"/>
      <c r="Y200" s="49"/>
      <c r="Z200" s="49"/>
      <c r="AA200" s="49"/>
      <c r="AB200" s="49"/>
      <c r="AC200" s="49"/>
    </row>
    <row r="201" spans="1:29" ht="13">
      <c r="A201" s="47"/>
      <c r="B201" s="47"/>
      <c r="C201" s="49"/>
      <c r="D201" s="49"/>
      <c r="E201" s="49"/>
      <c r="F201" s="49"/>
      <c r="G201" s="49"/>
      <c r="H201" s="173"/>
      <c r="I201" s="49"/>
      <c r="J201" s="49"/>
      <c r="K201" s="49"/>
      <c r="L201" s="49"/>
      <c r="M201" s="49"/>
      <c r="N201" s="49"/>
      <c r="O201" s="49"/>
      <c r="P201" s="49"/>
      <c r="Q201" s="49"/>
      <c r="R201" s="49"/>
      <c r="S201" s="49"/>
      <c r="T201" s="49"/>
      <c r="U201" s="49"/>
      <c r="V201" s="49"/>
      <c r="W201" s="49"/>
      <c r="X201" s="49"/>
      <c r="Y201" s="49"/>
      <c r="Z201" s="49"/>
      <c r="AA201" s="49"/>
      <c r="AB201" s="49"/>
      <c r="AC201" s="49"/>
    </row>
    <row r="202" spans="1:29" ht="13">
      <c r="A202" s="47"/>
      <c r="B202" s="47"/>
      <c r="C202" s="49"/>
      <c r="D202" s="49"/>
      <c r="E202" s="49"/>
      <c r="F202" s="49"/>
      <c r="G202" s="49"/>
      <c r="H202" s="173"/>
      <c r="I202" s="49"/>
      <c r="J202" s="49"/>
      <c r="K202" s="49"/>
      <c r="L202" s="49"/>
      <c r="M202" s="49"/>
      <c r="N202" s="49"/>
      <c r="O202" s="49"/>
      <c r="P202" s="49"/>
      <c r="Q202" s="49"/>
      <c r="R202" s="49"/>
      <c r="S202" s="49"/>
      <c r="T202" s="49"/>
      <c r="U202" s="49"/>
      <c r="V202" s="49"/>
      <c r="W202" s="49"/>
      <c r="X202" s="49"/>
      <c r="Y202" s="49"/>
      <c r="Z202" s="49"/>
      <c r="AA202" s="49"/>
      <c r="AB202" s="49"/>
      <c r="AC202" s="49"/>
    </row>
    <row r="203" spans="1:29" ht="13">
      <c r="A203" s="47"/>
      <c r="B203" s="47"/>
      <c r="C203" s="49"/>
      <c r="D203" s="49"/>
      <c r="E203" s="49"/>
      <c r="F203" s="49"/>
      <c r="G203" s="49"/>
      <c r="H203" s="173"/>
      <c r="I203" s="49"/>
      <c r="J203" s="49"/>
      <c r="K203" s="49"/>
      <c r="L203" s="49"/>
      <c r="M203" s="49"/>
      <c r="N203" s="49"/>
      <c r="O203" s="49"/>
      <c r="P203" s="49"/>
      <c r="Q203" s="49"/>
      <c r="R203" s="49"/>
      <c r="S203" s="49"/>
      <c r="T203" s="49"/>
      <c r="U203" s="49"/>
      <c r="V203" s="49"/>
      <c r="W203" s="49"/>
      <c r="X203" s="49"/>
      <c r="Y203" s="49"/>
      <c r="Z203" s="49"/>
      <c r="AA203" s="49"/>
      <c r="AB203" s="49"/>
      <c r="AC203" s="49"/>
    </row>
    <row r="204" spans="1:29" ht="13">
      <c r="A204" s="47"/>
      <c r="B204" s="47"/>
      <c r="C204" s="49"/>
      <c r="D204" s="49"/>
      <c r="E204" s="49"/>
      <c r="F204" s="49"/>
      <c r="G204" s="49"/>
      <c r="H204" s="173"/>
      <c r="I204" s="49"/>
      <c r="J204" s="49"/>
      <c r="K204" s="49"/>
      <c r="L204" s="49"/>
      <c r="M204" s="49"/>
      <c r="N204" s="49"/>
      <c r="O204" s="49"/>
      <c r="P204" s="49"/>
      <c r="Q204" s="49"/>
      <c r="R204" s="49"/>
      <c r="S204" s="49"/>
      <c r="T204" s="49"/>
      <c r="U204" s="49"/>
      <c r="V204" s="49"/>
      <c r="W204" s="49"/>
      <c r="X204" s="49"/>
      <c r="Y204" s="49"/>
      <c r="Z204" s="49"/>
      <c r="AA204" s="49"/>
      <c r="AB204" s="49"/>
      <c r="AC204" s="49"/>
    </row>
    <row r="205" spans="1:29" ht="13">
      <c r="A205" s="47"/>
      <c r="B205" s="47"/>
      <c r="C205" s="49"/>
      <c r="D205" s="49"/>
      <c r="E205" s="49"/>
      <c r="F205" s="49"/>
      <c r="G205" s="49"/>
      <c r="H205" s="173"/>
      <c r="I205" s="49"/>
      <c r="J205" s="49"/>
      <c r="K205" s="49"/>
      <c r="L205" s="49"/>
      <c r="M205" s="49"/>
      <c r="N205" s="49"/>
      <c r="O205" s="49"/>
      <c r="P205" s="49"/>
      <c r="Q205" s="49"/>
      <c r="R205" s="49"/>
      <c r="S205" s="49"/>
      <c r="T205" s="49"/>
      <c r="U205" s="49"/>
      <c r="V205" s="49"/>
      <c r="W205" s="49"/>
      <c r="X205" s="49"/>
      <c r="Y205" s="49"/>
      <c r="Z205" s="49"/>
      <c r="AA205" s="49"/>
      <c r="AB205" s="49"/>
      <c r="AC205" s="49"/>
    </row>
    <row r="206" spans="1:29" ht="13">
      <c r="A206" s="47"/>
      <c r="B206" s="47"/>
      <c r="C206" s="49"/>
      <c r="D206" s="49"/>
      <c r="E206" s="49"/>
      <c r="F206" s="49"/>
      <c r="G206" s="49"/>
      <c r="H206" s="173"/>
      <c r="I206" s="49"/>
      <c r="J206" s="49"/>
      <c r="K206" s="49"/>
      <c r="L206" s="49"/>
      <c r="M206" s="49"/>
      <c r="N206" s="49"/>
      <c r="O206" s="49"/>
      <c r="P206" s="49"/>
      <c r="Q206" s="49"/>
      <c r="R206" s="49"/>
      <c r="S206" s="49"/>
      <c r="T206" s="49"/>
      <c r="U206" s="49"/>
      <c r="V206" s="49"/>
      <c r="W206" s="49"/>
      <c r="X206" s="49"/>
      <c r="Y206" s="49"/>
      <c r="Z206" s="49"/>
      <c r="AA206" s="49"/>
      <c r="AB206" s="49"/>
      <c r="AC206" s="49"/>
    </row>
    <row r="207" spans="1:29" ht="13">
      <c r="A207" s="47"/>
      <c r="B207" s="47"/>
      <c r="C207" s="49"/>
      <c r="D207" s="49"/>
      <c r="E207" s="49"/>
      <c r="F207" s="49"/>
      <c r="G207" s="49"/>
      <c r="H207" s="173"/>
      <c r="I207" s="49"/>
      <c r="J207" s="49"/>
      <c r="K207" s="49"/>
      <c r="L207" s="49"/>
      <c r="M207" s="49"/>
      <c r="N207" s="49"/>
      <c r="O207" s="49"/>
      <c r="P207" s="49"/>
      <c r="Q207" s="49"/>
      <c r="R207" s="49"/>
      <c r="S207" s="49"/>
      <c r="T207" s="49"/>
      <c r="U207" s="49"/>
      <c r="V207" s="49"/>
      <c r="W207" s="49"/>
      <c r="X207" s="49"/>
      <c r="Y207" s="49"/>
      <c r="Z207" s="49"/>
      <c r="AA207" s="49"/>
      <c r="AB207" s="49"/>
      <c r="AC207" s="49"/>
    </row>
    <row r="208" spans="1:29" ht="13">
      <c r="A208" s="47"/>
      <c r="B208" s="47"/>
      <c r="C208" s="49"/>
      <c r="D208" s="49"/>
      <c r="E208" s="49"/>
      <c r="F208" s="49"/>
      <c r="G208" s="49"/>
      <c r="H208" s="173"/>
      <c r="I208" s="49"/>
      <c r="J208" s="49"/>
      <c r="K208" s="49"/>
      <c r="L208" s="49"/>
      <c r="M208" s="49"/>
      <c r="N208" s="49"/>
      <c r="O208" s="49"/>
      <c r="P208" s="49"/>
      <c r="Q208" s="49"/>
      <c r="R208" s="49"/>
      <c r="S208" s="49"/>
      <c r="T208" s="49"/>
      <c r="U208" s="49"/>
      <c r="V208" s="49"/>
      <c r="W208" s="49"/>
      <c r="X208" s="49"/>
      <c r="Y208" s="49"/>
      <c r="Z208" s="49"/>
      <c r="AA208" s="49"/>
      <c r="AB208" s="49"/>
      <c r="AC208" s="49"/>
    </row>
    <row r="209" spans="1:29" ht="13">
      <c r="A209" s="47"/>
      <c r="B209" s="47"/>
      <c r="C209" s="49"/>
      <c r="D209" s="49"/>
      <c r="E209" s="49"/>
      <c r="F209" s="49"/>
      <c r="G209" s="49"/>
      <c r="H209" s="173"/>
      <c r="I209" s="49"/>
      <c r="J209" s="49"/>
      <c r="K209" s="49"/>
      <c r="L209" s="49"/>
      <c r="M209" s="49"/>
      <c r="N209" s="49"/>
      <c r="O209" s="49"/>
      <c r="P209" s="49"/>
      <c r="Q209" s="49"/>
      <c r="R209" s="49"/>
      <c r="S209" s="49"/>
      <c r="T209" s="49"/>
      <c r="U209" s="49"/>
      <c r="V209" s="49"/>
      <c r="W209" s="49"/>
      <c r="X209" s="49"/>
      <c r="Y209" s="49"/>
      <c r="Z209" s="49"/>
      <c r="AA209" s="49"/>
      <c r="AB209" s="49"/>
      <c r="AC209" s="49"/>
    </row>
    <row r="210" spans="1:29" ht="13">
      <c r="A210" s="47"/>
      <c r="B210" s="47"/>
      <c r="C210" s="49"/>
      <c r="D210" s="49"/>
      <c r="E210" s="49"/>
      <c r="F210" s="49"/>
      <c r="G210" s="49"/>
      <c r="H210" s="173"/>
      <c r="I210" s="49"/>
      <c r="J210" s="49"/>
      <c r="K210" s="49"/>
      <c r="L210" s="49"/>
      <c r="M210" s="49"/>
      <c r="N210" s="49"/>
      <c r="O210" s="49"/>
      <c r="P210" s="49"/>
      <c r="Q210" s="49"/>
      <c r="R210" s="49"/>
      <c r="S210" s="49"/>
      <c r="T210" s="49"/>
      <c r="U210" s="49"/>
      <c r="V210" s="49"/>
      <c r="W210" s="49"/>
      <c r="X210" s="49"/>
      <c r="Y210" s="49"/>
      <c r="Z210" s="49"/>
      <c r="AA210" s="49"/>
      <c r="AB210" s="49"/>
      <c r="AC210" s="49"/>
    </row>
    <row r="211" spans="1:29" ht="13">
      <c r="A211" s="47"/>
      <c r="B211" s="47"/>
      <c r="C211" s="49"/>
      <c r="D211" s="49"/>
      <c r="E211" s="49"/>
      <c r="F211" s="49"/>
      <c r="G211" s="49"/>
      <c r="H211" s="173"/>
      <c r="I211" s="49"/>
      <c r="J211" s="49"/>
      <c r="K211" s="49"/>
      <c r="L211" s="49"/>
      <c r="M211" s="49"/>
      <c r="N211" s="49"/>
      <c r="O211" s="49"/>
      <c r="P211" s="49"/>
      <c r="Q211" s="49"/>
      <c r="R211" s="49"/>
      <c r="S211" s="49"/>
      <c r="T211" s="49"/>
      <c r="U211" s="49"/>
      <c r="V211" s="49"/>
      <c r="W211" s="49"/>
      <c r="X211" s="49"/>
      <c r="Y211" s="49"/>
      <c r="Z211" s="49"/>
      <c r="AA211" s="49"/>
      <c r="AB211" s="49"/>
      <c r="AC211" s="49"/>
    </row>
    <row r="212" spans="1:29" ht="13">
      <c r="A212" s="47"/>
      <c r="B212" s="47"/>
      <c r="C212" s="49"/>
      <c r="D212" s="49"/>
      <c r="E212" s="49"/>
      <c r="F212" s="49"/>
      <c r="G212" s="49"/>
      <c r="H212" s="173"/>
      <c r="I212" s="49"/>
      <c r="J212" s="49"/>
      <c r="K212" s="49"/>
      <c r="L212" s="49"/>
      <c r="M212" s="49"/>
      <c r="N212" s="49"/>
      <c r="O212" s="49"/>
      <c r="P212" s="49"/>
      <c r="Q212" s="49"/>
      <c r="R212" s="49"/>
      <c r="S212" s="49"/>
      <c r="T212" s="49"/>
      <c r="U212" s="49"/>
      <c r="V212" s="49"/>
      <c r="W212" s="49"/>
      <c r="X212" s="49"/>
      <c r="Y212" s="49"/>
      <c r="Z212" s="49"/>
      <c r="AA212" s="49"/>
      <c r="AB212" s="49"/>
      <c r="AC212" s="49"/>
    </row>
    <row r="213" spans="1:29" ht="13">
      <c r="A213" s="47"/>
      <c r="B213" s="47"/>
      <c r="C213" s="49"/>
      <c r="D213" s="49"/>
      <c r="E213" s="49"/>
      <c r="F213" s="49"/>
      <c r="G213" s="49"/>
      <c r="H213" s="173"/>
      <c r="I213" s="49"/>
      <c r="J213" s="49"/>
      <c r="K213" s="49"/>
      <c r="L213" s="49"/>
      <c r="M213" s="49"/>
      <c r="N213" s="49"/>
      <c r="O213" s="49"/>
      <c r="P213" s="49"/>
      <c r="Q213" s="49"/>
      <c r="R213" s="49"/>
      <c r="S213" s="49"/>
      <c r="T213" s="49"/>
      <c r="U213" s="49"/>
      <c r="V213" s="49"/>
      <c r="W213" s="49"/>
      <c r="X213" s="49"/>
      <c r="Y213" s="49"/>
      <c r="Z213" s="49"/>
      <c r="AA213" s="49"/>
      <c r="AB213" s="49"/>
      <c r="AC213" s="49"/>
    </row>
    <row r="214" spans="1:29" ht="13">
      <c r="A214" s="47"/>
      <c r="B214" s="47"/>
      <c r="C214" s="49"/>
      <c r="D214" s="49"/>
      <c r="E214" s="49"/>
      <c r="F214" s="49"/>
      <c r="G214" s="49"/>
      <c r="H214" s="173"/>
      <c r="I214" s="49"/>
      <c r="J214" s="49"/>
      <c r="K214" s="49"/>
      <c r="L214" s="49"/>
      <c r="M214" s="49"/>
      <c r="N214" s="49"/>
      <c r="O214" s="49"/>
      <c r="P214" s="49"/>
      <c r="Q214" s="49"/>
      <c r="R214" s="49"/>
      <c r="S214" s="49"/>
      <c r="T214" s="49"/>
      <c r="U214" s="49"/>
      <c r="V214" s="49"/>
      <c r="W214" s="49"/>
      <c r="X214" s="49"/>
      <c r="Y214" s="49"/>
      <c r="Z214" s="49"/>
      <c r="AA214" s="49"/>
      <c r="AB214" s="49"/>
      <c r="AC214" s="49"/>
    </row>
    <row r="215" spans="1:29" ht="13">
      <c r="A215" s="47"/>
      <c r="B215" s="47"/>
      <c r="C215" s="49"/>
      <c r="D215" s="49"/>
      <c r="E215" s="49"/>
      <c r="F215" s="49"/>
      <c r="G215" s="49"/>
      <c r="H215" s="173"/>
      <c r="I215" s="49"/>
      <c r="J215" s="49"/>
      <c r="K215" s="49"/>
      <c r="L215" s="49"/>
      <c r="M215" s="49"/>
      <c r="N215" s="49"/>
      <c r="O215" s="49"/>
      <c r="P215" s="49"/>
      <c r="Q215" s="49"/>
      <c r="R215" s="49"/>
      <c r="S215" s="49"/>
      <c r="T215" s="49"/>
      <c r="U215" s="49"/>
      <c r="V215" s="49"/>
      <c r="W215" s="49"/>
      <c r="X215" s="49"/>
      <c r="Y215" s="49"/>
      <c r="Z215" s="49"/>
      <c r="AA215" s="49"/>
      <c r="AB215" s="49"/>
      <c r="AC215" s="49"/>
    </row>
    <row r="216" spans="1:29" ht="13">
      <c r="A216" s="47"/>
      <c r="B216" s="47"/>
      <c r="C216" s="49"/>
      <c r="D216" s="49"/>
      <c r="E216" s="49"/>
      <c r="F216" s="49"/>
      <c r="G216" s="49"/>
      <c r="H216" s="173"/>
      <c r="I216" s="49"/>
      <c r="J216" s="49"/>
      <c r="K216" s="49"/>
      <c r="L216" s="49"/>
      <c r="M216" s="49"/>
      <c r="N216" s="49"/>
      <c r="O216" s="49"/>
      <c r="P216" s="49"/>
      <c r="Q216" s="49"/>
      <c r="R216" s="49"/>
      <c r="S216" s="49"/>
      <c r="T216" s="49"/>
      <c r="U216" s="49"/>
      <c r="V216" s="49"/>
      <c r="W216" s="49"/>
      <c r="X216" s="49"/>
      <c r="Y216" s="49"/>
      <c r="Z216" s="49"/>
      <c r="AA216" s="49"/>
      <c r="AB216" s="49"/>
      <c r="AC216" s="49"/>
    </row>
    <row r="217" spans="1:29" ht="13">
      <c r="A217" s="47"/>
      <c r="B217" s="47"/>
      <c r="C217" s="49"/>
      <c r="D217" s="49"/>
      <c r="E217" s="49"/>
      <c r="F217" s="49"/>
      <c r="G217" s="49"/>
      <c r="H217" s="173"/>
      <c r="I217" s="49"/>
      <c r="J217" s="49"/>
      <c r="K217" s="49"/>
      <c r="L217" s="49"/>
      <c r="M217" s="49"/>
      <c r="N217" s="49"/>
      <c r="O217" s="49"/>
      <c r="P217" s="49"/>
      <c r="Q217" s="49"/>
      <c r="R217" s="49"/>
      <c r="S217" s="49"/>
      <c r="T217" s="49"/>
      <c r="U217" s="49"/>
      <c r="V217" s="49"/>
      <c r="W217" s="49"/>
      <c r="X217" s="49"/>
      <c r="Y217" s="49"/>
      <c r="Z217" s="49"/>
      <c r="AA217" s="49"/>
      <c r="AB217" s="49"/>
      <c r="AC217" s="49"/>
    </row>
    <row r="218" spans="1:29" ht="13">
      <c r="A218" s="47"/>
      <c r="B218" s="47"/>
      <c r="C218" s="49"/>
      <c r="D218" s="49"/>
      <c r="E218" s="49"/>
      <c r="F218" s="49"/>
      <c r="G218" s="49"/>
      <c r="H218" s="173"/>
      <c r="I218" s="49"/>
      <c r="J218" s="49"/>
      <c r="K218" s="49"/>
      <c r="L218" s="49"/>
      <c r="M218" s="49"/>
      <c r="N218" s="49"/>
      <c r="O218" s="49"/>
      <c r="P218" s="49"/>
      <c r="Q218" s="49"/>
      <c r="R218" s="49"/>
      <c r="S218" s="49"/>
      <c r="T218" s="49"/>
      <c r="U218" s="49"/>
      <c r="V218" s="49"/>
      <c r="W218" s="49"/>
      <c r="X218" s="49"/>
      <c r="Y218" s="49"/>
      <c r="Z218" s="49"/>
      <c r="AA218" s="49"/>
      <c r="AB218" s="49"/>
      <c r="AC218" s="49"/>
    </row>
    <row r="219" spans="1:29" ht="13">
      <c r="A219" s="47"/>
      <c r="B219" s="47"/>
      <c r="C219" s="49"/>
      <c r="D219" s="49"/>
      <c r="E219" s="49"/>
      <c r="F219" s="49"/>
      <c r="G219" s="49"/>
      <c r="H219" s="173"/>
      <c r="I219" s="49"/>
      <c r="J219" s="49"/>
      <c r="K219" s="49"/>
      <c r="L219" s="49"/>
      <c r="M219" s="49"/>
      <c r="N219" s="49"/>
      <c r="O219" s="49"/>
      <c r="P219" s="49"/>
      <c r="Q219" s="49"/>
      <c r="R219" s="49"/>
      <c r="S219" s="49"/>
      <c r="T219" s="49"/>
      <c r="U219" s="49"/>
      <c r="V219" s="49"/>
      <c r="W219" s="49"/>
      <c r="X219" s="49"/>
      <c r="Y219" s="49"/>
      <c r="Z219" s="49"/>
      <c r="AA219" s="49"/>
      <c r="AB219" s="49"/>
      <c r="AC219" s="49"/>
    </row>
    <row r="220" spans="1:29" ht="13">
      <c r="A220" s="47"/>
      <c r="B220" s="47"/>
      <c r="C220" s="49"/>
      <c r="D220" s="49"/>
      <c r="E220" s="49"/>
      <c r="F220" s="49"/>
      <c r="G220" s="49"/>
      <c r="H220" s="173"/>
      <c r="I220" s="49"/>
      <c r="J220" s="49"/>
      <c r="K220" s="49"/>
      <c r="L220" s="49"/>
      <c r="M220" s="49"/>
      <c r="N220" s="49"/>
      <c r="O220" s="49"/>
      <c r="P220" s="49"/>
      <c r="Q220" s="49"/>
      <c r="R220" s="49"/>
      <c r="S220" s="49"/>
      <c r="T220" s="49"/>
      <c r="U220" s="49"/>
      <c r="V220" s="49"/>
      <c r="W220" s="49"/>
      <c r="X220" s="49"/>
      <c r="Y220" s="49"/>
      <c r="Z220" s="49"/>
      <c r="AA220" s="49"/>
      <c r="AB220" s="49"/>
      <c r="AC220" s="49"/>
    </row>
    <row r="221" spans="1:29" ht="13">
      <c r="A221" s="47"/>
      <c r="B221" s="47"/>
      <c r="C221" s="49"/>
      <c r="D221" s="49"/>
      <c r="E221" s="49"/>
      <c r="F221" s="49"/>
      <c r="G221" s="49"/>
      <c r="H221" s="173"/>
      <c r="I221" s="49"/>
      <c r="J221" s="49"/>
      <c r="K221" s="49"/>
      <c r="L221" s="49"/>
      <c r="M221" s="49"/>
      <c r="N221" s="49"/>
      <c r="O221" s="49"/>
      <c r="P221" s="49"/>
      <c r="Q221" s="49"/>
      <c r="R221" s="49"/>
      <c r="S221" s="49"/>
      <c r="T221" s="49"/>
      <c r="U221" s="49"/>
      <c r="V221" s="49"/>
      <c r="W221" s="49"/>
      <c r="X221" s="49"/>
      <c r="Y221" s="49"/>
      <c r="Z221" s="49"/>
      <c r="AA221" s="49"/>
      <c r="AB221" s="49"/>
      <c r="AC221" s="49"/>
    </row>
    <row r="222" spans="1:29" ht="13">
      <c r="A222" s="47"/>
      <c r="B222" s="47"/>
      <c r="C222" s="49"/>
      <c r="D222" s="49"/>
      <c r="E222" s="49"/>
      <c r="F222" s="49"/>
      <c r="G222" s="49"/>
      <c r="H222" s="173"/>
      <c r="I222" s="49"/>
      <c r="J222" s="49"/>
      <c r="K222" s="49"/>
      <c r="L222" s="49"/>
      <c r="M222" s="49"/>
      <c r="N222" s="49"/>
      <c r="O222" s="49"/>
      <c r="P222" s="49"/>
      <c r="Q222" s="49"/>
      <c r="R222" s="49"/>
      <c r="S222" s="49"/>
      <c r="T222" s="49"/>
      <c r="U222" s="49"/>
      <c r="V222" s="49"/>
      <c r="W222" s="49"/>
      <c r="X222" s="49"/>
      <c r="Y222" s="49"/>
      <c r="Z222" s="49"/>
      <c r="AA222" s="49"/>
      <c r="AB222" s="49"/>
      <c r="AC222" s="49"/>
    </row>
    <row r="223" spans="1:29" ht="13">
      <c r="A223" s="47"/>
      <c r="B223" s="47"/>
      <c r="C223" s="49"/>
      <c r="D223" s="49"/>
      <c r="E223" s="49"/>
      <c r="F223" s="49"/>
      <c r="G223" s="49"/>
      <c r="H223" s="173"/>
      <c r="I223" s="49"/>
      <c r="J223" s="49"/>
      <c r="K223" s="49"/>
      <c r="L223" s="49"/>
      <c r="M223" s="49"/>
      <c r="N223" s="49"/>
      <c r="O223" s="49"/>
      <c r="P223" s="49"/>
      <c r="Q223" s="49"/>
      <c r="R223" s="49"/>
      <c r="S223" s="49"/>
      <c r="T223" s="49"/>
      <c r="U223" s="49"/>
      <c r="V223" s="49"/>
      <c r="W223" s="49"/>
      <c r="X223" s="49"/>
      <c r="Y223" s="49"/>
      <c r="Z223" s="49"/>
      <c r="AA223" s="49"/>
      <c r="AB223" s="49"/>
      <c r="AC223" s="49"/>
    </row>
    <row r="224" spans="1:29" ht="13">
      <c r="A224" s="47"/>
      <c r="B224" s="47"/>
      <c r="C224" s="49"/>
      <c r="D224" s="49"/>
      <c r="E224" s="49"/>
      <c r="F224" s="49"/>
      <c r="G224" s="49"/>
      <c r="H224" s="173"/>
      <c r="I224" s="49"/>
      <c r="J224" s="49"/>
      <c r="K224" s="49"/>
      <c r="L224" s="49"/>
      <c r="M224" s="49"/>
      <c r="N224" s="49"/>
      <c r="O224" s="49"/>
      <c r="P224" s="49"/>
      <c r="Q224" s="49"/>
      <c r="R224" s="49"/>
      <c r="S224" s="49"/>
      <c r="T224" s="49"/>
      <c r="U224" s="49"/>
      <c r="V224" s="49"/>
      <c r="W224" s="49"/>
      <c r="X224" s="49"/>
      <c r="Y224" s="49"/>
      <c r="Z224" s="49"/>
      <c r="AA224" s="49"/>
      <c r="AB224" s="49"/>
      <c r="AC224" s="49"/>
    </row>
    <row r="225" spans="1:29" ht="13">
      <c r="A225" s="47"/>
      <c r="B225" s="47"/>
      <c r="C225" s="49"/>
      <c r="D225" s="49"/>
      <c r="E225" s="49"/>
      <c r="F225" s="49"/>
      <c r="G225" s="49"/>
      <c r="H225" s="173"/>
      <c r="I225" s="49"/>
      <c r="J225" s="49"/>
      <c r="K225" s="49"/>
      <c r="L225" s="49"/>
      <c r="M225" s="49"/>
      <c r="N225" s="49"/>
      <c r="O225" s="49"/>
      <c r="P225" s="49"/>
      <c r="Q225" s="49"/>
      <c r="R225" s="49"/>
      <c r="S225" s="49"/>
      <c r="T225" s="49"/>
      <c r="U225" s="49"/>
      <c r="V225" s="49"/>
      <c r="W225" s="49"/>
      <c r="X225" s="49"/>
      <c r="Y225" s="49"/>
      <c r="Z225" s="49"/>
      <c r="AA225" s="49"/>
      <c r="AB225" s="49"/>
      <c r="AC225" s="49"/>
    </row>
    <row r="226" spans="1:29" ht="13">
      <c r="A226" s="47"/>
      <c r="B226" s="47"/>
      <c r="C226" s="49"/>
      <c r="D226" s="49"/>
      <c r="E226" s="49"/>
      <c r="F226" s="49"/>
      <c r="G226" s="49"/>
      <c r="H226" s="173"/>
      <c r="I226" s="49"/>
      <c r="J226" s="49"/>
      <c r="K226" s="49"/>
      <c r="L226" s="49"/>
      <c r="M226" s="49"/>
      <c r="N226" s="49"/>
      <c r="O226" s="49"/>
      <c r="P226" s="49"/>
      <c r="Q226" s="49"/>
      <c r="R226" s="49"/>
      <c r="S226" s="49"/>
      <c r="T226" s="49"/>
      <c r="U226" s="49"/>
      <c r="V226" s="49"/>
      <c r="W226" s="49"/>
      <c r="X226" s="49"/>
      <c r="Y226" s="49"/>
      <c r="Z226" s="49"/>
      <c r="AA226" s="49"/>
      <c r="AB226" s="49"/>
      <c r="AC226" s="49"/>
    </row>
    <row r="227" spans="1:29" ht="13">
      <c r="A227" s="47"/>
      <c r="B227" s="47"/>
      <c r="C227" s="49"/>
      <c r="D227" s="49"/>
      <c r="E227" s="49"/>
      <c r="F227" s="49"/>
      <c r="G227" s="49"/>
      <c r="H227" s="173"/>
      <c r="I227" s="49"/>
      <c r="J227" s="49"/>
      <c r="K227" s="49"/>
      <c r="L227" s="49"/>
      <c r="M227" s="49"/>
      <c r="N227" s="49"/>
      <c r="O227" s="49"/>
      <c r="P227" s="49"/>
      <c r="Q227" s="49"/>
      <c r="R227" s="49"/>
      <c r="S227" s="49"/>
      <c r="T227" s="49"/>
      <c r="U227" s="49"/>
      <c r="V227" s="49"/>
      <c r="W227" s="49"/>
      <c r="X227" s="49"/>
      <c r="Y227" s="49"/>
      <c r="Z227" s="49"/>
      <c r="AA227" s="49"/>
      <c r="AB227" s="49"/>
      <c r="AC227" s="49"/>
    </row>
    <row r="228" spans="1:29" ht="13">
      <c r="A228" s="47"/>
      <c r="B228" s="47"/>
      <c r="C228" s="49"/>
      <c r="D228" s="49"/>
      <c r="E228" s="49"/>
      <c r="F228" s="49"/>
      <c r="G228" s="49"/>
      <c r="H228" s="173"/>
      <c r="I228" s="49"/>
      <c r="J228" s="49"/>
      <c r="K228" s="49"/>
      <c r="L228" s="49"/>
      <c r="M228" s="49"/>
      <c r="N228" s="49"/>
      <c r="O228" s="49"/>
      <c r="P228" s="49"/>
      <c r="Q228" s="49"/>
      <c r="R228" s="49"/>
      <c r="S228" s="49"/>
      <c r="T228" s="49"/>
      <c r="U228" s="49"/>
      <c r="V228" s="49"/>
      <c r="W228" s="49"/>
      <c r="X228" s="49"/>
      <c r="Y228" s="49"/>
      <c r="Z228" s="49"/>
      <c r="AA228" s="49"/>
      <c r="AB228" s="49"/>
      <c r="AC228" s="49"/>
    </row>
    <row r="229" spans="1:29" ht="13">
      <c r="A229" s="47"/>
      <c r="B229" s="47"/>
      <c r="C229" s="49"/>
      <c r="D229" s="49"/>
      <c r="E229" s="49"/>
      <c r="F229" s="49"/>
      <c r="G229" s="49"/>
      <c r="H229" s="173"/>
      <c r="I229" s="49"/>
      <c r="J229" s="49"/>
      <c r="K229" s="49"/>
      <c r="L229" s="49"/>
      <c r="M229" s="49"/>
      <c r="N229" s="49"/>
      <c r="O229" s="49"/>
      <c r="P229" s="49"/>
      <c r="Q229" s="49"/>
      <c r="R229" s="49"/>
      <c r="S229" s="49"/>
      <c r="T229" s="49"/>
      <c r="U229" s="49"/>
      <c r="V229" s="49"/>
      <c r="W229" s="49"/>
      <c r="X229" s="49"/>
      <c r="Y229" s="49"/>
      <c r="Z229" s="49"/>
      <c r="AA229" s="49"/>
      <c r="AB229" s="49"/>
      <c r="AC229" s="49"/>
    </row>
    <row r="230" spans="1:29" ht="13">
      <c r="A230" s="47"/>
      <c r="B230" s="47"/>
      <c r="C230" s="49"/>
      <c r="D230" s="49"/>
      <c r="E230" s="49"/>
      <c r="F230" s="49"/>
      <c r="G230" s="49"/>
      <c r="H230" s="173"/>
      <c r="I230" s="49"/>
      <c r="J230" s="49"/>
      <c r="K230" s="49"/>
      <c r="L230" s="49"/>
      <c r="M230" s="49"/>
      <c r="N230" s="49"/>
      <c r="O230" s="49"/>
      <c r="P230" s="49"/>
      <c r="Q230" s="49"/>
      <c r="R230" s="49"/>
      <c r="S230" s="49"/>
      <c r="T230" s="49"/>
      <c r="U230" s="49"/>
      <c r="V230" s="49"/>
      <c r="W230" s="49"/>
      <c r="X230" s="49"/>
      <c r="Y230" s="49"/>
      <c r="Z230" s="49"/>
      <c r="AA230" s="49"/>
      <c r="AB230" s="49"/>
      <c r="AC230" s="49"/>
    </row>
    <row r="231" spans="1:29" ht="13">
      <c r="A231" s="47"/>
      <c r="B231" s="47"/>
      <c r="C231" s="49"/>
      <c r="D231" s="49"/>
      <c r="E231" s="49"/>
      <c r="F231" s="49"/>
      <c r="G231" s="49"/>
      <c r="H231" s="173"/>
      <c r="I231" s="49"/>
      <c r="J231" s="49"/>
      <c r="K231" s="49"/>
      <c r="L231" s="49"/>
      <c r="M231" s="49"/>
      <c r="N231" s="49"/>
      <c r="O231" s="49"/>
      <c r="P231" s="49"/>
      <c r="Q231" s="49"/>
      <c r="R231" s="49"/>
      <c r="S231" s="49"/>
      <c r="T231" s="49"/>
      <c r="U231" s="49"/>
      <c r="V231" s="49"/>
      <c r="W231" s="49"/>
      <c r="X231" s="49"/>
      <c r="Y231" s="49"/>
      <c r="Z231" s="49"/>
      <c r="AA231" s="49"/>
      <c r="AB231" s="49"/>
      <c r="AC231" s="49"/>
    </row>
    <row r="232" spans="1:29" ht="13">
      <c r="A232" s="47"/>
      <c r="B232" s="47"/>
      <c r="C232" s="49"/>
      <c r="D232" s="49"/>
      <c r="E232" s="49"/>
      <c r="F232" s="49"/>
      <c r="G232" s="49"/>
      <c r="H232" s="173"/>
      <c r="I232" s="49"/>
      <c r="J232" s="49"/>
      <c r="K232" s="49"/>
      <c r="L232" s="49"/>
      <c r="M232" s="49"/>
      <c r="N232" s="49"/>
      <c r="O232" s="49"/>
      <c r="P232" s="49"/>
      <c r="Q232" s="49"/>
      <c r="R232" s="49"/>
      <c r="S232" s="49"/>
      <c r="T232" s="49"/>
      <c r="U232" s="49"/>
      <c r="V232" s="49"/>
      <c r="W232" s="49"/>
      <c r="X232" s="49"/>
      <c r="Y232" s="49"/>
      <c r="Z232" s="49"/>
      <c r="AA232" s="49"/>
      <c r="AB232" s="49"/>
      <c r="AC232" s="49"/>
    </row>
    <row r="233" spans="1:29" ht="13">
      <c r="A233" s="47"/>
      <c r="B233" s="47"/>
      <c r="C233" s="49"/>
      <c r="D233" s="49"/>
      <c r="E233" s="49"/>
      <c r="F233" s="49"/>
      <c r="G233" s="49"/>
      <c r="H233" s="173"/>
      <c r="I233" s="49"/>
      <c r="J233" s="49"/>
      <c r="K233" s="49"/>
      <c r="L233" s="49"/>
      <c r="M233" s="49"/>
      <c r="N233" s="49"/>
      <c r="O233" s="49"/>
      <c r="P233" s="49"/>
      <c r="Q233" s="49"/>
      <c r="R233" s="49"/>
      <c r="S233" s="49"/>
      <c r="T233" s="49"/>
      <c r="U233" s="49"/>
      <c r="V233" s="49"/>
      <c r="W233" s="49"/>
      <c r="X233" s="49"/>
      <c r="Y233" s="49"/>
      <c r="Z233" s="49"/>
      <c r="AA233" s="49"/>
      <c r="AB233" s="49"/>
      <c r="AC233" s="49"/>
    </row>
    <row r="234" spans="1:29" ht="13">
      <c r="A234" s="47"/>
      <c r="B234" s="47"/>
      <c r="C234" s="49"/>
      <c r="D234" s="49"/>
      <c r="E234" s="49"/>
      <c r="F234" s="49"/>
      <c r="G234" s="49"/>
      <c r="H234" s="173"/>
      <c r="I234" s="49"/>
      <c r="J234" s="49"/>
      <c r="K234" s="49"/>
      <c r="L234" s="49"/>
      <c r="M234" s="49"/>
      <c r="N234" s="49"/>
      <c r="O234" s="49"/>
      <c r="P234" s="49"/>
      <c r="Q234" s="49"/>
      <c r="R234" s="49"/>
      <c r="S234" s="49"/>
      <c r="T234" s="49"/>
      <c r="U234" s="49"/>
      <c r="V234" s="49"/>
      <c r="W234" s="49"/>
      <c r="X234" s="49"/>
      <c r="Y234" s="49"/>
      <c r="Z234" s="49"/>
      <c r="AA234" s="49"/>
      <c r="AB234" s="49"/>
      <c r="AC234" s="49"/>
    </row>
    <row r="235" spans="1:29" ht="13">
      <c r="A235" s="47"/>
      <c r="B235" s="47"/>
      <c r="C235" s="49"/>
      <c r="D235" s="49"/>
      <c r="E235" s="49"/>
      <c r="F235" s="49"/>
      <c r="G235" s="49"/>
      <c r="H235" s="173"/>
      <c r="I235" s="49"/>
      <c r="J235" s="49"/>
      <c r="K235" s="49"/>
      <c r="L235" s="49"/>
      <c r="M235" s="49"/>
      <c r="N235" s="49"/>
      <c r="O235" s="49"/>
      <c r="P235" s="49"/>
      <c r="Q235" s="49"/>
      <c r="R235" s="49"/>
      <c r="S235" s="49"/>
      <c r="T235" s="49"/>
      <c r="U235" s="49"/>
      <c r="V235" s="49"/>
      <c r="W235" s="49"/>
      <c r="X235" s="49"/>
      <c r="Y235" s="49"/>
      <c r="Z235" s="49"/>
      <c r="AA235" s="49"/>
      <c r="AB235" s="49"/>
      <c r="AC235" s="49"/>
    </row>
    <row r="236" spans="1:29" ht="13">
      <c r="A236" s="47"/>
      <c r="B236" s="47"/>
      <c r="C236" s="49"/>
      <c r="D236" s="49"/>
      <c r="E236" s="49"/>
      <c r="F236" s="49"/>
      <c r="G236" s="49"/>
      <c r="H236" s="173"/>
      <c r="I236" s="49"/>
      <c r="J236" s="49"/>
      <c r="K236" s="49"/>
      <c r="L236" s="49"/>
      <c r="M236" s="49"/>
      <c r="N236" s="49"/>
      <c r="O236" s="49"/>
      <c r="P236" s="49"/>
      <c r="Q236" s="49"/>
      <c r="R236" s="49"/>
      <c r="S236" s="49"/>
      <c r="T236" s="49"/>
      <c r="U236" s="49"/>
      <c r="V236" s="49"/>
      <c r="W236" s="49"/>
      <c r="X236" s="49"/>
      <c r="Y236" s="49"/>
      <c r="Z236" s="49"/>
      <c r="AA236" s="49"/>
      <c r="AB236" s="49"/>
      <c r="AC236" s="49"/>
    </row>
    <row r="237" spans="1:29" ht="13">
      <c r="A237" s="47"/>
      <c r="B237" s="47"/>
      <c r="C237" s="49"/>
      <c r="D237" s="49"/>
      <c r="E237" s="49"/>
      <c r="F237" s="49"/>
      <c r="G237" s="49"/>
      <c r="H237" s="173"/>
      <c r="I237" s="49"/>
      <c r="J237" s="49"/>
      <c r="K237" s="49"/>
      <c r="L237" s="49"/>
      <c r="M237" s="49"/>
      <c r="N237" s="49"/>
      <c r="O237" s="49"/>
      <c r="P237" s="49"/>
      <c r="Q237" s="49"/>
      <c r="R237" s="49"/>
      <c r="S237" s="49"/>
      <c r="T237" s="49"/>
      <c r="U237" s="49"/>
      <c r="V237" s="49"/>
      <c r="W237" s="49"/>
      <c r="X237" s="49"/>
      <c r="Y237" s="49"/>
      <c r="Z237" s="49"/>
      <c r="AA237" s="49"/>
      <c r="AB237" s="49"/>
      <c r="AC237" s="49"/>
    </row>
    <row r="238" spans="1:29" ht="13">
      <c r="A238" s="47"/>
      <c r="B238" s="47"/>
      <c r="C238" s="49"/>
      <c r="D238" s="49"/>
      <c r="E238" s="49"/>
      <c r="F238" s="49"/>
      <c r="G238" s="49"/>
      <c r="H238" s="173"/>
      <c r="I238" s="49"/>
      <c r="J238" s="49"/>
      <c r="K238" s="49"/>
      <c r="L238" s="49"/>
      <c r="M238" s="49"/>
      <c r="N238" s="49"/>
      <c r="O238" s="49"/>
      <c r="P238" s="49"/>
      <c r="Q238" s="49"/>
      <c r="R238" s="49"/>
      <c r="S238" s="49"/>
      <c r="T238" s="49"/>
      <c r="U238" s="49"/>
      <c r="V238" s="49"/>
      <c r="W238" s="49"/>
      <c r="X238" s="49"/>
      <c r="Y238" s="49"/>
      <c r="Z238" s="49"/>
      <c r="AA238" s="49"/>
      <c r="AB238" s="49"/>
      <c r="AC238" s="49"/>
    </row>
    <row r="239" spans="1:29" ht="13">
      <c r="A239" s="47"/>
      <c r="B239" s="47"/>
      <c r="C239" s="49"/>
      <c r="D239" s="49"/>
      <c r="E239" s="49"/>
      <c r="F239" s="49"/>
      <c r="G239" s="49"/>
      <c r="H239" s="173"/>
      <c r="I239" s="49"/>
      <c r="J239" s="49"/>
      <c r="K239" s="49"/>
      <c r="L239" s="49"/>
      <c r="M239" s="49"/>
      <c r="N239" s="49"/>
      <c r="O239" s="49"/>
      <c r="P239" s="49"/>
      <c r="Q239" s="49"/>
      <c r="R239" s="49"/>
      <c r="S239" s="49"/>
      <c r="T239" s="49"/>
      <c r="U239" s="49"/>
      <c r="V239" s="49"/>
      <c r="W239" s="49"/>
      <c r="X239" s="49"/>
      <c r="Y239" s="49"/>
      <c r="Z239" s="49"/>
      <c r="AA239" s="49"/>
      <c r="AB239" s="49"/>
      <c r="AC239" s="49"/>
    </row>
    <row r="240" spans="1:29" ht="13">
      <c r="A240" s="47"/>
      <c r="B240" s="47"/>
      <c r="C240" s="49"/>
      <c r="D240" s="49"/>
      <c r="E240" s="49"/>
      <c r="F240" s="49"/>
      <c r="G240" s="49"/>
      <c r="H240" s="173"/>
      <c r="I240" s="49"/>
      <c r="J240" s="49"/>
      <c r="K240" s="49"/>
      <c r="L240" s="49"/>
      <c r="M240" s="49"/>
      <c r="N240" s="49"/>
      <c r="O240" s="49"/>
      <c r="P240" s="49"/>
      <c r="Q240" s="49"/>
      <c r="R240" s="49"/>
      <c r="S240" s="49"/>
      <c r="T240" s="49"/>
      <c r="U240" s="49"/>
      <c r="V240" s="49"/>
      <c r="W240" s="49"/>
      <c r="X240" s="49"/>
      <c r="Y240" s="49"/>
      <c r="Z240" s="49"/>
      <c r="AA240" s="49"/>
      <c r="AB240" s="49"/>
      <c r="AC240" s="49"/>
    </row>
    <row r="241" spans="1:29" ht="13">
      <c r="A241" s="47"/>
      <c r="B241" s="47"/>
      <c r="C241" s="49"/>
      <c r="D241" s="49"/>
      <c r="E241" s="49"/>
      <c r="F241" s="49"/>
      <c r="G241" s="49"/>
      <c r="H241" s="173"/>
      <c r="I241" s="49"/>
      <c r="J241" s="49"/>
      <c r="K241" s="49"/>
      <c r="L241" s="49"/>
      <c r="M241" s="49"/>
      <c r="N241" s="49"/>
      <c r="O241" s="49"/>
      <c r="P241" s="49"/>
      <c r="Q241" s="49"/>
      <c r="R241" s="49"/>
      <c r="S241" s="49"/>
      <c r="T241" s="49"/>
      <c r="U241" s="49"/>
      <c r="V241" s="49"/>
      <c r="W241" s="49"/>
      <c r="X241" s="49"/>
      <c r="Y241" s="49"/>
      <c r="Z241" s="49"/>
      <c r="AA241" s="49"/>
      <c r="AB241" s="49"/>
      <c r="AC241" s="49"/>
    </row>
    <row r="242" spans="1:29" ht="13">
      <c r="A242" s="47"/>
      <c r="B242" s="47"/>
      <c r="C242" s="49"/>
      <c r="D242" s="49"/>
      <c r="E242" s="49"/>
      <c r="F242" s="49"/>
      <c r="G242" s="49"/>
      <c r="H242" s="173"/>
      <c r="I242" s="49"/>
      <c r="J242" s="49"/>
      <c r="K242" s="49"/>
      <c r="L242" s="49"/>
      <c r="M242" s="49"/>
      <c r="N242" s="49"/>
      <c r="O242" s="49"/>
      <c r="P242" s="49"/>
      <c r="Q242" s="49"/>
      <c r="R242" s="49"/>
      <c r="S242" s="49"/>
      <c r="T242" s="49"/>
      <c r="U242" s="49"/>
      <c r="V242" s="49"/>
      <c r="W242" s="49"/>
      <c r="X242" s="49"/>
      <c r="Y242" s="49"/>
      <c r="Z242" s="49"/>
      <c r="AA242" s="49"/>
      <c r="AB242" s="49"/>
      <c r="AC242" s="49"/>
    </row>
    <row r="243" spans="1:29" ht="13">
      <c r="A243" s="47"/>
      <c r="B243" s="47"/>
      <c r="C243" s="49"/>
      <c r="D243" s="49"/>
      <c r="E243" s="49"/>
      <c r="F243" s="49"/>
      <c r="G243" s="49"/>
      <c r="H243" s="173"/>
      <c r="I243" s="49"/>
      <c r="J243" s="49"/>
      <c r="K243" s="49"/>
      <c r="L243" s="49"/>
      <c r="M243" s="49"/>
      <c r="N243" s="49"/>
      <c r="O243" s="49"/>
      <c r="P243" s="49"/>
      <c r="Q243" s="49"/>
      <c r="R243" s="49"/>
      <c r="S243" s="49"/>
      <c r="T243" s="49"/>
      <c r="U243" s="49"/>
      <c r="V243" s="49"/>
      <c r="W243" s="49"/>
      <c r="X243" s="49"/>
      <c r="Y243" s="49"/>
      <c r="Z243" s="49"/>
      <c r="AA243" s="49"/>
      <c r="AB243" s="49"/>
      <c r="AC243" s="49"/>
    </row>
    <row r="244" spans="1:29" ht="13">
      <c r="A244" s="47"/>
      <c r="B244" s="47"/>
      <c r="C244" s="49"/>
      <c r="D244" s="49"/>
      <c r="E244" s="49"/>
      <c r="F244" s="49"/>
      <c r="G244" s="49"/>
      <c r="H244" s="173"/>
      <c r="I244" s="49"/>
      <c r="J244" s="49"/>
      <c r="K244" s="49"/>
      <c r="L244" s="49"/>
      <c r="M244" s="49"/>
      <c r="N244" s="49"/>
      <c r="O244" s="49"/>
      <c r="P244" s="49"/>
      <c r="Q244" s="49"/>
      <c r="R244" s="49"/>
      <c r="S244" s="49"/>
      <c r="T244" s="49"/>
      <c r="U244" s="49"/>
      <c r="V244" s="49"/>
      <c r="W244" s="49"/>
      <c r="X244" s="49"/>
      <c r="Y244" s="49"/>
      <c r="Z244" s="49"/>
      <c r="AA244" s="49"/>
      <c r="AB244" s="49"/>
      <c r="AC244" s="49"/>
    </row>
    <row r="245" spans="1:29" ht="13">
      <c r="A245" s="47"/>
      <c r="B245" s="47"/>
      <c r="C245" s="49"/>
      <c r="D245" s="49"/>
      <c r="E245" s="49"/>
      <c r="F245" s="49"/>
      <c r="G245" s="49"/>
      <c r="H245" s="173"/>
      <c r="I245" s="49"/>
      <c r="J245" s="49"/>
      <c r="K245" s="49"/>
      <c r="L245" s="49"/>
      <c r="M245" s="49"/>
      <c r="N245" s="49"/>
      <c r="O245" s="49"/>
      <c r="P245" s="49"/>
      <c r="Q245" s="49"/>
      <c r="R245" s="49"/>
      <c r="S245" s="49"/>
      <c r="T245" s="49"/>
      <c r="U245" s="49"/>
      <c r="V245" s="49"/>
      <c r="W245" s="49"/>
      <c r="X245" s="49"/>
      <c r="Y245" s="49"/>
      <c r="Z245" s="49"/>
      <c r="AA245" s="49"/>
      <c r="AB245" s="49"/>
      <c r="AC245" s="49"/>
    </row>
    <row r="246" spans="1:29" ht="13">
      <c r="A246" s="47"/>
      <c r="B246" s="47"/>
      <c r="C246" s="49"/>
      <c r="D246" s="49"/>
      <c r="E246" s="49"/>
      <c r="F246" s="49"/>
      <c r="G246" s="49"/>
      <c r="H246" s="173"/>
      <c r="I246" s="49"/>
      <c r="J246" s="49"/>
      <c r="K246" s="49"/>
      <c r="L246" s="49"/>
      <c r="M246" s="49"/>
      <c r="N246" s="49"/>
      <c r="O246" s="49"/>
      <c r="P246" s="49"/>
      <c r="Q246" s="49"/>
      <c r="R246" s="49"/>
      <c r="S246" s="49"/>
      <c r="T246" s="49"/>
      <c r="U246" s="49"/>
      <c r="V246" s="49"/>
      <c r="W246" s="49"/>
      <c r="X246" s="49"/>
      <c r="Y246" s="49"/>
      <c r="Z246" s="49"/>
      <c r="AA246" s="49"/>
      <c r="AB246" s="49"/>
      <c r="AC246" s="49"/>
    </row>
    <row r="247" spans="1:29" ht="13">
      <c r="A247" s="47"/>
      <c r="B247" s="47"/>
      <c r="C247" s="49"/>
      <c r="D247" s="49"/>
      <c r="E247" s="49"/>
      <c r="F247" s="49"/>
      <c r="G247" s="49"/>
      <c r="H247" s="173"/>
      <c r="I247" s="49"/>
      <c r="J247" s="49"/>
      <c r="K247" s="49"/>
      <c r="L247" s="49"/>
      <c r="M247" s="49"/>
      <c r="N247" s="49"/>
      <c r="O247" s="49"/>
      <c r="P247" s="49"/>
      <c r="Q247" s="49"/>
      <c r="R247" s="49"/>
      <c r="S247" s="49"/>
      <c r="T247" s="49"/>
      <c r="U247" s="49"/>
      <c r="V247" s="49"/>
      <c r="W247" s="49"/>
      <c r="X247" s="49"/>
      <c r="Y247" s="49"/>
      <c r="Z247" s="49"/>
      <c r="AA247" s="49"/>
      <c r="AB247" s="49"/>
      <c r="AC247" s="49"/>
    </row>
    <row r="248" spans="1:29" ht="13">
      <c r="A248" s="47"/>
      <c r="B248" s="47"/>
      <c r="C248" s="49"/>
      <c r="D248" s="49"/>
      <c r="E248" s="49"/>
      <c r="F248" s="49"/>
      <c r="G248" s="49"/>
      <c r="H248" s="173"/>
      <c r="I248" s="49"/>
      <c r="J248" s="49"/>
      <c r="K248" s="49"/>
      <c r="L248" s="49"/>
      <c r="M248" s="49"/>
      <c r="N248" s="49"/>
      <c r="O248" s="49"/>
      <c r="P248" s="49"/>
      <c r="Q248" s="49"/>
      <c r="R248" s="49"/>
      <c r="S248" s="49"/>
      <c r="T248" s="49"/>
      <c r="U248" s="49"/>
      <c r="V248" s="49"/>
      <c r="W248" s="49"/>
      <c r="X248" s="49"/>
      <c r="Y248" s="49"/>
      <c r="Z248" s="49"/>
      <c r="AA248" s="49"/>
      <c r="AB248" s="49"/>
      <c r="AC248" s="49"/>
    </row>
    <row r="249" spans="1:29" ht="13">
      <c r="A249" s="47"/>
      <c r="B249" s="47"/>
      <c r="C249" s="49"/>
      <c r="D249" s="49"/>
      <c r="E249" s="49"/>
      <c r="F249" s="49"/>
      <c r="G249" s="49"/>
      <c r="H249" s="173"/>
      <c r="I249" s="49"/>
      <c r="J249" s="49"/>
      <c r="K249" s="49"/>
      <c r="L249" s="49"/>
      <c r="M249" s="49"/>
      <c r="N249" s="49"/>
      <c r="O249" s="49"/>
      <c r="P249" s="49"/>
      <c r="Q249" s="49"/>
      <c r="R249" s="49"/>
      <c r="S249" s="49"/>
      <c r="T249" s="49"/>
      <c r="U249" s="49"/>
      <c r="V249" s="49"/>
      <c r="W249" s="49"/>
      <c r="X249" s="49"/>
      <c r="Y249" s="49"/>
      <c r="Z249" s="49"/>
      <c r="AA249" s="49"/>
      <c r="AB249" s="49"/>
      <c r="AC249" s="49"/>
    </row>
    <row r="250" spans="1:29" ht="13">
      <c r="A250" s="47"/>
      <c r="B250" s="47"/>
      <c r="C250" s="49"/>
      <c r="D250" s="49"/>
      <c r="E250" s="49"/>
      <c r="F250" s="49"/>
      <c r="G250" s="49"/>
      <c r="H250" s="173"/>
      <c r="I250" s="49"/>
      <c r="J250" s="49"/>
      <c r="K250" s="49"/>
      <c r="L250" s="49"/>
      <c r="M250" s="49"/>
      <c r="N250" s="49"/>
      <c r="O250" s="49"/>
      <c r="P250" s="49"/>
      <c r="Q250" s="49"/>
      <c r="R250" s="49"/>
      <c r="S250" s="49"/>
      <c r="T250" s="49"/>
      <c r="U250" s="49"/>
      <c r="V250" s="49"/>
      <c r="W250" s="49"/>
      <c r="X250" s="49"/>
      <c r="Y250" s="49"/>
      <c r="Z250" s="49"/>
      <c r="AA250" s="49"/>
      <c r="AB250" s="49"/>
      <c r="AC250" s="49"/>
    </row>
    <row r="251" spans="1:29" ht="13">
      <c r="A251" s="47"/>
      <c r="B251" s="47"/>
      <c r="C251" s="49"/>
      <c r="D251" s="49"/>
      <c r="E251" s="49"/>
      <c r="F251" s="49"/>
      <c r="G251" s="49"/>
      <c r="H251" s="173"/>
      <c r="I251" s="49"/>
      <c r="J251" s="49"/>
      <c r="K251" s="49"/>
      <c r="L251" s="49"/>
      <c r="M251" s="49"/>
      <c r="N251" s="49"/>
      <c r="O251" s="49"/>
      <c r="P251" s="49"/>
      <c r="Q251" s="49"/>
      <c r="R251" s="49"/>
      <c r="S251" s="49"/>
      <c r="T251" s="49"/>
      <c r="U251" s="49"/>
      <c r="V251" s="49"/>
      <c r="W251" s="49"/>
      <c r="X251" s="49"/>
      <c r="Y251" s="49"/>
      <c r="Z251" s="49"/>
      <c r="AA251" s="49"/>
      <c r="AB251" s="49"/>
      <c r="AC251" s="49"/>
    </row>
    <row r="252" spans="1:29" ht="13">
      <c r="A252" s="47"/>
      <c r="B252" s="47"/>
      <c r="C252" s="49"/>
      <c r="D252" s="49"/>
      <c r="E252" s="49"/>
      <c r="F252" s="49"/>
      <c r="G252" s="49"/>
      <c r="H252" s="173"/>
      <c r="I252" s="49"/>
      <c r="J252" s="49"/>
      <c r="K252" s="49"/>
      <c r="L252" s="49"/>
      <c r="M252" s="49"/>
      <c r="N252" s="49"/>
      <c r="O252" s="49"/>
      <c r="P252" s="49"/>
      <c r="Q252" s="49"/>
      <c r="R252" s="49"/>
      <c r="S252" s="49"/>
      <c r="T252" s="49"/>
      <c r="U252" s="49"/>
      <c r="V252" s="49"/>
      <c r="W252" s="49"/>
      <c r="X252" s="49"/>
      <c r="Y252" s="49"/>
      <c r="Z252" s="49"/>
      <c r="AA252" s="49"/>
      <c r="AB252" s="49"/>
      <c r="AC252" s="49"/>
    </row>
    <row r="253" spans="1:29" ht="13">
      <c r="A253" s="47"/>
      <c r="B253" s="47"/>
      <c r="C253" s="49"/>
      <c r="D253" s="49"/>
      <c r="E253" s="49"/>
      <c r="F253" s="49"/>
      <c r="G253" s="49"/>
      <c r="H253" s="173"/>
      <c r="I253" s="49"/>
      <c r="J253" s="49"/>
      <c r="K253" s="49"/>
      <c r="L253" s="49"/>
      <c r="M253" s="49"/>
      <c r="N253" s="49"/>
      <c r="O253" s="49"/>
      <c r="P253" s="49"/>
      <c r="Q253" s="49"/>
      <c r="R253" s="49"/>
      <c r="S253" s="49"/>
      <c r="T253" s="49"/>
      <c r="U253" s="49"/>
      <c r="V253" s="49"/>
      <c r="W253" s="49"/>
      <c r="X253" s="49"/>
      <c r="Y253" s="49"/>
      <c r="Z253" s="49"/>
      <c r="AA253" s="49"/>
      <c r="AB253" s="49"/>
      <c r="AC253" s="49"/>
    </row>
    <row r="254" spans="1:29" ht="13">
      <c r="A254" s="47"/>
      <c r="B254" s="47"/>
      <c r="C254" s="49"/>
      <c r="D254" s="49"/>
      <c r="E254" s="49"/>
      <c r="F254" s="49"/>
      <c r="G254" s="49"/>
      <c r="H254" s="173"/>
      <c r="I254" s="49"/>
      <c r="J254" s="49"/>
      <c r="K254" s="49"/>
      <c r="L254" s="49"/>
      <c r="M254" s="49"/>
      <c r="N254" s="49"/>
      <c r="O254" s="49"/>
      <c r="P254" s="49"/>
      <c r="Q254" s="49"/>
      <c r="R254" s="49"/>
      <c r="S254" s="49"/>
      <c r="T254" s="49"/>
      <c r="U254" s="49"/>
      <c r="V254" s="49"/>
      <c r="W254" s="49"/>
      <c r="X254" s="49"/>
      <c r="Y254" s="49"/>
      <c r="Z254" s="49"/>
      <c r="AA254" s="49"/>
      <c r="AB254" s="49"/>
      <c r="AC254" s="49"/>
    </row>
    <row r="255" spans="1:29" ht="13">
      <c r="A255" s="47"/>
      <c r="B255" s="47"/>
      <c r="C255" s="49"/>
      <c r="D255" s="49"/>
      <c r="E255" s="49"/>
      <c r="F255" s="49"/>
      <c r="G255" s="49"/>
      <c r="H255" s="173"/>
      <c r="I255" s="49"/>
      <c r="J255" s="49"/>
      <c r="K255" s="49"/>
      <c r="L255" s="49"/>
      <c r="M255" s="49"/>
      <c r="N255" s="49"/>
      <c r="O255" s="49"/>
      <c r="P255" s="49"/>
      <c r="Q255" s="49"/>
      <c r="R255" s="49"/>
      <c r="S255" s="49"/>
      <c r="T255" s="49"/>
      <c r="U255" s="49"/>
      <c r="V255" s="49"/>
      <c r="W255" s="49"/>
      <c r="X255" s="49"/>
      <c r="Y255" s="49"/>
      <c r="Z255" s="49"/>
      <c r="AA255" s="49"/>
      <c r="AB255" s="49"/>
      <c r="AC255" s="49"/>
    </row>
    <row r="256" spans="1:29" ht="13">
      <c r="A256" s="47"/>
      <c r="B256" s="47"/>
      <c r="C256" s="49"/>
      <c r="D256" s="49"/>
      <c r="E256" s="49"/>
      <c r="F256" s="49"/>
      <c r="G256" s="49"/>
      <c r="H256" s="173"/>
      <c r="I256" s="49"/>
      <c r="J256" s="49"/>
      <c r="K256" s="49"/>
      <c r="L256" s="49"/>
      <c r="M256" s="49"/>
      <c r="N256" s="49"/>
      <c r="O256" s="49"/>
      <c r="P256" s="49"/>
      <c r="Q256" s="49"/>
      <c r="R256" s="49"/>
      <c r="S256" s="49"/>
      <c r="T256" s="49"/>
      <c r="U256" s="49"/>
      <c r="V256" s="49"/>
      <c r="W256" s="49"/>
      <c r="X256" s="49"/>
      <c r="Y256" s="49"/>
      <c r="Z256" s="49"/>
      <c r="AA256" s="49"/>
      <c r="AB256" s="49"/>
      <c r="AC256" s="49"/>
    </row>
    <row r="257" spans="1:29" ht="13">
      <c r="A257" s="47"/>
      <c r="B257" s="47"/>
      <c r="C257" s="49"/>
      <c r="D257" s="49"/>
      <c r="E257" s="49"/>
      <c r="F257" s="49"/>
      <c r="G257" s="49"/>
      <c r="H257" s="173"/>
      <c r="I257" s="49"/>
      <c r="J257" s="49"/>
      <c r="K257" s="49"/>
      <c r="L257" s="49"/>
      <c r="M257" s="49"/>
      <c r="N257" s="49"/>
      <c r="O257" s="49"/>
      <c r="P257" s="49"/>
      <c r="Q257" s="49"/>
      <c r="R257" s="49"/>
      <c r="S257" s="49"/>
      <c r="T257" s="49"/>
      <c r="U257" s="49"/>
      <c r="V257" s="49"/>
      <c r="W257" s="49"/>
      <c r="X257" s="49"/>
      <c r="Y257" s="49"/>
      <c r="Z257" s="49"/>
      <c r="AA257" s="49"/>
      <c r="AB257" s="49"/>
      <c r="AC257" s="49"/>
    </row>
    <row r="258" spans="1:29" ht="13">
      <c r="A258" s="47"/>
      <c r="B258" s="47"/>
      <c r="C258" s="49"/>
      <c r="D258" s="49"/>
      <c r="E258" s="49"/>
      <c r="F258" s="49"/>
      <c r="G258" s="49"/>
      <c r="H258" s="173"/>
      <c r="I258" s="49"/>
      <c r="J258" s="49"/>
      <c r="K258" s="49"/>
      <c r="L258" s="49"/>
      <c r="M258" s="49"/>
      <c r="N258" s="49"/>
      <c r="O258" s="49"/>
      <c r="P258" s="49"/>
      <c r="Q258" s="49"/>
      <c r="R258" s="49"/>
      <c r="S258" s="49"/>
      <c r="T258" s="49"/>
      <c r="U258" s="49"/>
      <c r="V258" s="49"/>
      <c r="W258" s="49"/>
      <c r="X258" s="49"/>
      <c r="Y258" s="49"/>
      <c r="Z258" s="49"/>
      <c r="AA258" s="49"/>
      <c r="AB258" s="49"/>
      <c r="AC258" s="49"/>
    </row>
    <row r="259" spans="1:29" ht="13">
      <c r="A259" s="47"/>
      <c r="B259" s="47"/>
      <c r="C259" s="49"/>
      <c r="D259" s="49"/>
      <c r="E259" s="49"/>
      <c r="F259" s="49"/>
      <c r="G259" s="49"/>
      <c r="H259" s="173"/>
      <c r="I259" s="49"/>
      <c r="J259" s="49"/>
      <c r="K259" s="49"/>
      <c r="L259" s="49"/>
      <c r="M259" s="49"/>
      <c r="N259" s="49"/>
      <c r="O259" s="49"/>
      <c r="P259" s="49"/>
      <c r="Q259" s="49"/>
      <c r="R259" s="49"/>
      <c r="S259" s="49"/>
      <c r="T259" s="49"/>
      <c r="U259" s="49"/>
      <c r="V259" s="49"/>
      <c r="W259" s="49"/>
      <c r="X259" s="49"/>
      <c r="Y259" s="49"/>
      <c r="Z259" s="49"/>
      <c r="AA259" s="49"/>
      <c r="AB259" s="49"/>
      <c r="AC259" s="49"/>
    </row>
    <row r="260" spans="1:29" ht="13">
      <c r="A260" s="47"/>
      <c r="B260" s="47"/>
      <c r="C260" s="49"/>
      <c r="D260" s="49"/>
      <c r="E260" s="49"/>
      <c r="F260" s="49"/>
      <c r="G260" s="49"/>
      <c r="H260" s="173"/>
      <c r="I260" s="49"/>
      <c r="J260" s="49"/>
      <c r="K260" s="49"/>
      <c r="L260" s="49"/>
      <c r="M260" s="49"/>
      <c r="N260" s="49"/>
      <c r="O260" s="49"/>
      <c r="P260" s="49"/>
      <c r="Q260" s="49"/>
      <c r="R260" s="49"/>
      <c r="S260" s="49"/>
      <c r="T260" s="49"/>
      <c r="U260" s="49"/>
      <c r="V260" s="49"/>
      <c r="W260" s="49"/>
      <c r="X260" s="49"/>
      <c r="Y260" s="49"/>
      <c r="Z260" s="49"/>
      <c r="AA260" s="49"/>
      <c r="AB260" s="49"/>
      <c r="AC260" s="49"/>
    </row>
    <row r="261" spans="1:29" ht="13">
      <c r="A261" s="47"/>
      <c r="B261" s="47"/>
      <c r="C261" s="49"/>
      <c r="D261" s="49"/>
      <c r="E261" s="49"/>
      <c r="F261" s="49"/>
      <c r="G261" s="49"/>
      <c r="H261" s="173"/>
      <c r="I261" s="49"/>
      <c r="J261" s="49"/>
      <c r="K261" s="49"/>
      <c r="L261" s="49"/>
      <c r="M261" s="49"/>
      <c r="N261" s="49"/>
      <c r="O261" s="49"/>
      <c r="P261" s="49"/>
      <c r="Q261" s="49"/>
      <c r="R261" s="49"/>
      <c r="S261" s="49"/>
      <c r="T261" s="49"/>
      <c r="U261" s="49"/>
      <c r="V261" s="49"/>
      <c r="W261" s="49"/>
      <c r="X261" s="49"/>
      <c r="Y261" s="49"/>
      <c r="Z261" s="49"/>
      <c r="AA261" s="49"/>
      <c r="AB261" s="49"/>
      <c r="AC261" s="49"/>
    </row>
    <row r="262" spans="1:29" ht="13">
      <c r="A262" s="47"/>
      <c r="B262" s="47"/>
      <c r="C262" s="49"/>
      <c r="D262" s="49"/>
      <c r="E262" s="49"/>
      <c r="F262" s="49"/>
      <c r="G262" s="49"/>
      <c r="H262" s="173"/>
      <c r="I262" s="49"/>
      <c r="J262" s="49"/>
      <c r="K262" s="49"/>
      <c r="L262" s="49"/>
      <c r="M262" s="49"/>
      <c r="N262" s="49"/>
      <c r="O262" s="49"/>
      <c r="P262" s="49"/>
      <c r="Q262" s="49"/>
      <c r="R262" s="49"/>
      <c r="S262" s="49"/>
      <c r="T262" s="49"/>
      <c r="U262" s="49"/>
      <c r="V262" s="49"/>
      <c r="W262" s="49"/>
      <c r="X262" s="49"/>
      <c r="Y262" s="49"/>
      <c r="Z262" s="49"/>
      <c r="AA262" s="49"/>
      <c r="AB262" s="49"/>
      <c r="AC262" s="49"/>
    </row>
    <row r="263" spans="1:29" ht="13">
      <c r="A263" s="47"/>
      <c r="B263" s="47"/>
      <c r="C263" s="49"/>
      <c r="D263" s="49"/>
      <c r="E263" s="49"/>
      <c r="F263" s="49"/>
      <c r="G263" s="49"/>
      <c r="H263" s="173"/>
      <c r="I263" s="49"/>
      <c r="J263" s="49"/>
      <c r="K263" s="49"/>
      <c r="L263" s="49"/>
      <c r="M263" s="49"/>
      <c r="N263" s="49"/>
      <c r="O263" s="49"/>
      <c r="P263" s="49"/>
      <c r="Q263" s="49"/>
      <c r="R263" s="49"/>
      <c r="S263" s="49"/>
      <c r="T263" s="49"/>
      <c r="U263" s="49"/>
      <c r="V263" s="49"/>
      <c r="W263" s="49"/>
      <c r="X263" s="49"/>
      <c r="Y263" s="49"/>
      <c r="Z263" s="49"/>
      <c r="AA263" s="49"/>
      <c r="AB263" s="49"/>
      <c r="AC263" s="49"/>
    </row>
    <row r="264" spans="1:29" ht="13">
      <c r="A264" s="47"/>
      <c r="B264" s="47"/>
      <c r="C264" s="49"/>
      <c r="D264" s="49"/>
      <c r="E264" s="49"/>
      <c r="F264" s="49"/>
      <c r="G264" s="49"/>
      <c r="H264" s="173"/>
      <c r="I264" s="49"/>
      <c r="J264" s="49"/>
      <c r="K264" s="49"/>
      <c r="L264" s="49"/>
      <c r="M264" s="49"/>
      <c r="N264" s="49"/>
      <c r="O264" s="49"/>
      <c r="P264" s="49"/>
      <c r="Q264" s="49"/>
      <c r="R264" s="49"/>
      <c r="S264" s="49"/>
      <c r="T264" s="49"/>
      <c r="U264" s="49"/>
      <c r="V264" s="49"/>
      <c r="W264" s="49"/>
      <c r="X264" s="49"/>
      <c r="Y264" s="49"/>
      <c r="Z264" s="49"/>
      <c r="AA264" s="49"/>
      <c r="AB264" s="49"/>
      <c r="AC264" s="49"/>
    </row>
    <row r="265" spans="1:29" ht="13">
      <c r="A265" s="47"/>
      <c r="B265" s="47"/>
      <c r="C265" s="49"/>
      <c r="D265" s="49"/>
      <c r="E265" s="49"/>
      <c r="F265" s="49"/>
      <c r="G265" s="49"/>
      <c r="H265" s="173"/>
      <c r="I265" s="49"/>
      <c r="J265" s="49"/>
      <c r="K265" s="49"/>
      <c r="L265" s="49"/>
      <c r="M265" s="49"/>
      <c r="N265" s="49"/>
      <c r="O265" s="49"/>
      <c r="P265" s="49"/>
      <c r="Q265" s="49"/>
      <c r="R265" s="49"/>
      <c r="S265" s="49"/>
      <c r="T265" s="49"/>
      <c r="U265" s="49"/>
      <c r="V265" s="49"/>
      <c r="W265" s="49"/>
      <c r="X265" s="49"/>
      <c r="Y265" s="49"/>
      <c r="Z265" s="49"/>
      <c r="AA265" s="49"/>
      <c r="AB265" s="49"/>
      <c r="AC265" s="49"/>
    </row>
    <row r="266" spans="1:29" ht="13">
      <c r="A266" s="47"/>
      <c r="B266" s="47"/>
      <c r="C266" s="49"/>
      <c r="D266" s="49"/>
      <c r="E266" s="49"/>
      <c r="F266" s="49"/>
      <c r="G266" s="49"/>
      <c r="H266" s="173"/>
      <c r="I266" s="49"/>
      <c r="J266" s="49"/>
      <c r="K266" s="49"/>
      <c r="L266" s="49"/>
      <c r="M266" s="49"/>
      <c r="N266" s="49"/>
      <c r="O266" s="49"/>
      <c r="P266" s="49"/>
      <c r="Q266" s="49"/>
      <c r="R266" s="49"/>
      <c r="S266" s="49"/>
      <c r="T266" s="49"/>
      <c r="U266" s="49"/>
      <c r="V266" s="49"/>
      <c r="W266" s="49"/>
      <c r="X266" s="49"/>
      <c r="Y266" s="49"/>
      <c r="Z266" s="49"/>
      <c r="AA266" s="49"/>
      <c r="AB266" s="49"/>
      <c r="AC266" s="49"/>
    </row>
    <row r="267" spans="1:29" ht="13">
      <c r="A267" s="47"/>
      <c r="B267" s="47"/>
      <c r="C267" s="49"/>
      <c r="D267" s="49"/>
      <c r="E267" s="49"/>
      <c r="F267" s="49"/>
      <c r="G267" s="49"/>
      <c r="H267" s="173"/>
      <c r="I267" s="49"/>
      <c r="J267" s="49"/>
      <c r="K267" s="49"/>
      <c r="L267" s="49"/>
      <c r="M267" s="49"/>
      <c r="N267" s="49"/>
      <c r="O267" s="49"/>
      <c r="P267" s="49"/>
      <c r="Q267" s="49"/>
      <c r="R267" s="49"/>
      <c r="S267" s="49"/>
      <c r="T267" s="49"/>
      <c r="U267" s="49"/>
      <c r="V267" s="49"/>
      <c r="W267" s="49"/>
      <c r="X267" s="49"/>
      <c r="Y267" s="49"/>
      <c r="Z267" s="49"/>
      <c r="AA267" s="49"/>
      <c r="AB267" s="49"/>
      <c r="AC267" s="49"/>
    </row>
    <row r="268" spans="1:29" ht="13">
      <c r="A268" s="47"/>
      <c r="B268" s="47"/>
      <c r="C268" s="49"/>
      <c r="D268" s="49"/>
      <c r="E268" s="49"/>
      <c r="F268" s="49"/>
      <c r="G268" s="49"/>
      <c r="H268" s="173"/>
      <c r="I268" s="49"/>
      <c r="J268" s="49"/>
      <c r="K268" s="49"/>
      <c r="L268" s="49"/>
      <c r="M268" s="49"/>
      <c r="N268" s="49"/>
      <c r="O268" s="49"/>
      <c r="P268" s="49"/>
      <c r="Q268" s="49"/>
      <c r="R268" s="49"/>
      <c r="S268" s="49"/>
      <c r="T268" s="49"/>
      <c r="U268" s="49"/>
      <c r="V268" s="49"/>
      <c r="W268" s="49"/>
      <c r="X268" s="49"/>
      <c r="Y268" s="49"/>
      <c r="Z268" s="49"/>
      <c r="AA268" s="49"/>
      <c r="AB268" s="49"/>
      <c r="AC268" s="49"/>
    </row>
    <row r="269" spans="1:29" ht="13">
      <c r="A269" s="47"/>
      <c r="B269" s="47"/>
      <c r="C269" s="49"/>
      <c r="D269" s="49"/>
      <c r="E269" s="49"/>
      <c r="F269" s="49"/>
      <c r="G269" s="49"/>
      <c r="H269" s="173"/>
      <c r="I269" s="49"/>
      <c r="J269" s="49"/>
      <c r="K269" s="49"/>
      <c r="L269" s="49"/>
      <c r="M269" s="49"/>
      <c r="N269" s="49"/>
      <c r="O269" s="49"/>
      <c r="P269" s="49"/>
      <c r="Q269" s="49"/>
      <c r="R269" s="49"/>
      <c r="S269" s="49"/>
      <c r="T269" s="49"/>
      <c r="U269" s="49"/>
      <c r="V269" s="49"/>
      <c r="W269" s="49"/>
      <c r="X269" s="49"/>
      <c r="Y269" s="49"/>
      <c r="Z269" s="49"/>
      <c r="AA269" s="49"/>
      <c r="AB269" s="49"/>
      <c r="AC269" s="49"/>
    </row>
    <row r="270" spans="1:29" ht="13">
      <c r="A270" s="47"/>
      <c r="B270" s="47"/>
      <c r="C270" s="49"/>
      <c r="D270" s="49"/>
      <c r="E270" s="49"/>
      <c r="F270" s="49"/>
      <c r="G270" s="49"/>
      <c r="H270" s="173"/>
      <c r="I270" s="49"/>
      <c r="J270" s="49"/>
      <c r="K270" s="49"/>
      <c r="L270" s="49"/>
      <c r="M270" s="49"/>
      <c r="N270" s="49"/>
      <c r="O270" s="49"/>
      <c r="P270" s="49"/>
      <c r="Q270" s="49"/>
      <c r="R270" s="49"/>
      <c r="S270" s="49"/>
      <c r="T270" s="49"/>
      <c r="U270" s="49"/>
      <c r="V270" s="49"/>
      <c r="W270" s="49"/>
      <c r="X270" s="49"/>
      <c r="Y270" s="49"/>
      <c r="Z270" s="49"/>
      <c r="AA270" s="49"/>
      <c r="AB270" s="49"/>
      <c r="AC270" s="49"/>
    </row>
    <row r="271" spans="1:29" ht="13">
      <c r="A271" s="47"/>
      <c r="B271" s="47"/>
      <c r="C271" s="49"/>
      <c r="D271" s="49"/>
      <c r="E271" s="49"/>
      <c r="F271" s="49"/>
      <c r="G271" s="49"/>
      <c r="H271" s="173"/>
      <c r="I271" s="49"/>
      <c r="J271" s="49"/>
      <c r="K271" s="49"/>
      <c r="L271" s="49"/>
      <c r="M271" s="49"/>
      <c r="N271" s="49"/>
      <c r="O271" s="49"/>
      <c r="P271" s="49"/>
      <c r="Q271" s="49"/>
      <c r="R271" s="49"/>
      <c r="S271" s="49"/>
      <c r="T271" s="49"/>
      <c r="U271" s="49"/>
      <c r="V271" s="49"/>
      <c r="W271" s="49"/>
      <c r="X271" s="49"/>
      <c r="Y271" s="49"/>
      <c r="Z271" s="49"/>
      <c r="AA271" s="49"/>
      <c r="AB271" s="49"/>
      <c r="AC271" s="49"/>
    </row>
    <row r="272" spans="1:29" ht="13">
      <c r="A272" s="47"/>
      <c r="B272" s="47"/>
      <c r="C272" s="49"/>
      <c r="D272" s="49"/>
      <c r="E272" s="49"/>
      <c r="F272" s="49"/>
      <c r="G272" s="49"/>
      <c r="H272" s="173"/>
      <c r="I272" s="49"/>
      <c r="J272" s="49"/>
      <c r="K272" s="49"/>
      <c r="L272" s="49"/>
      <c r="M272" s="49"/>
      <c r="N272" s="49"/>
      <c r="O272" s="49"/>
      <c r="P272" s="49"/>
      <c r="Q272" s="49"/>
      <c r="R272" s="49"/>
      <c r="S272" s="49"/>
      <c r="T272" s="49"/>
      <c r="U272" s="49"/>
      <c r="V272" s="49"/>
      <c r="W272" s="49"/>
      <c r="X272" s="49"/>
      <c r="Y272" s="49"/>
      <c r="Z272" s="49"/>
      <c r="AA272" s="49"/>
      <c r="AB272" s="49"/>
      <c r="AC272" s="49"/>
    </row>
    <row r="273" spans="1:29" ht="13">
      <c r="A273" s="47"/>
      <c r="B273" s="47"/>
      <c r="C273" s="49"/>
      <c r="D273" s="49"/>
      <c r="E273" s="49"/>
      <c r="F273" s="49"/>
      <c r="G273" s="49"/>
      <c r="H273" s="173"/>
      <c r="I273" s="49"/>
      <c r="J273" s="49"/>
      <c r="K273" s="49"/>
      <c r="L273" s="49"/>
      <c r="M273" s="49"/>
      <c r="N273" s="49"/>
      <c r="O273" s="49"/>
      <c r="P273" s="49"/>
      <c r="Q273" s="49"/>
      <c r="R273" s="49"/>
      <c r="S273" s="49"/>
      <c r="T273" s="49"/>
      <c r="U273" s="49"/>
      <c r="V273" s="49"/>
      <c r="W273" s="49"/>
      <c r="X273" s="49"/>
      <c r="Y273" s="49"/>
      <c r="Z273" s="49"/>
      <c r="AA273" s="49"/>
      <c r="AB273" s="49"/>
      <c r="AC273" s="49"/>
    </row>
    <row r="274" spans="1:29" ht="13">
      <c r="A274" s="47"/>
      <c r="B274" s="47"/>
      <c r="C274" s="49"/>
      <c r="D274" s="49"/>
      <c r="E274" s="49"/>
      <c r="F274" s="49"/>
      <c r="G274" s="49"/>
      <c r="H274" s="173"/>
      <c r="I274" s="49"/>
      <c r="J274" s="49"/>
      <c r="K274" s="49"/>
      <c r="L274" s="49"/>
      <c r="M274" s="49"/>
      <c r="N274" s="49"/>
      <c r="O274" s="49"/>
      <c r="P274" s="49"/>
      <c r="Q274" s="49"/>
      <c r="R274" s="49"/>
      <c r="S274" s="49"/>
      <c r="T274" s="49"/>
      <c r="U274" s="49"/>
      <c r="V274" s="49"/>
      <c r="W274" s="49"/>
      <c r="X274" s="49"/>
      <c r="Y274" s="49"/>
      <c r="Z274" s="49"/>
      <c r="AA274" s="49"/>
      <c r="AB274" s="49"/>
      <c r="AC274" s="49"/>
    </row>
    <row r="275" spans="1:29" ht="13">
      <c r="A275" s="47"/>
      <c r="B275" s="47"/>
      <c r="C275" s="49"/>
      <c r="D275" s="49"/>
      <c r="E275" s="49"/>
      <c r="F275" s="49"/>
      <c r="G275" s="49"/>
      <c r="H275" s="173"/>
      <c r="I275" s="49"/>
      <c r="J275" s="49"/>
      <c r="K275" s="49"/>
      <c r="L275" s="49"/>
      <c r="M275" s="49"/>
      <c r="N275" s="49"/>
      <c r="O275" s="49"/>
      <c r="P275" s="49"/>
      <c r="Q275" s="49"/>
      <c r="R275" s="49"/>
      <c r="S275" s="49"/>
      <c r="T275" s="49"/>
      <c r="U275" s="49"/>
      <c r="V275" s="49"/>
      <c r="W275" s="49"/>
      <c r="X275" s="49"/>
      <c r="Y275" s="49"/>
      <c r="Z275" s="49"/>
      <c r="AA275" s="49"/>
      <c r="AB275" s="49"/>
      <c r="AC275" s="49"/>
    </row>
    <row r="276" spans="1:29" ht="13">
      <c r="A276" s="47"/>
      <c r="B276" s="47"/>
      <c r="C276" s="49"/>
      <c r="D276" s="49"/>
      <c r="E276" s="49"/>
      <c r="F276" s="49"/>
      <c r="G276" s="49"/>
      <c r="H276" s="173"/>
      <c r="I276" s="49"/>
      <c r="J276" s="49"/>
      <c r="K276" s="49"/>
      <c r="L276" s="49"/>
      <c r="M276" s="49"/>
      <c r="N276" s="49"/>
      <c r="O276" s="49"/>
      <c r="P276" s="49"/>
      <c r="Q276" s="49"/>
      <c r="R276" s="49"/>
      <c r="S276" s="49"/>
      <c r="T276" s="49"/>
      <c r="U276" s="49"/>
      <c r="V276" s="49"/>
      <c r="W276" s="49"/>
      <c r="X276" s="49"/>
      <c r="Y276" s="49"/>
      <c r="Z276" s="49"/>
      <c r="AA276" s="49"/>
      <c r="AB276" s="49"/>
      <c r="AC276" s="49"/>
    </row>
    <row r="277" spans="1:29" ht="13">
      <c r="A277" s="47"/>
      <c r="B277" s="47"/>
      <c r="C277" s="49"/>
      <c r="D277" s="49"/>
      <c r="E277" s="49"/>
      <c r="F277" s="49"/>
      <c r="G277" s="49"/>
      <c r="H277" s="173"/>
      <c r="I277" s="49"/>
      <c r="J277" s="49"/>
      <c r="K277" s="49"/>
      <c r="L277" s="49"/>
      <c r="M277" s="49"/>
      <c r="N277" s="49"/>
      <c r="O277" s="49"/>
      <c r="P277" s="49"/>
      <c r="Q277" s="49"/>
      <c r="R277" s="49"/>
      <c r="S277" s="49"/>
      <c r="T277" s="49"/>
      <c r="U277" s="49"/>
      <c r="V277" s="49"/>
      <c r="W277" s="49"/>
      <c r="X277" s="49"/>
      <c r="Y277" s="49"/>
      <c r="Z277" s="49"/>
      <c r="AA277" s="49"/>
      <c r="AB277" s="49"/>
      <c r="AC277" s="49"/>
    </row>
    <row r="278" spans="1:29" ht="13">
      <c r="A278" s="47"/>
      <c r="B278" s="47"/>
      <c r="C278" s="49"/>
      <c r="D278" s="49"/>
      <c r="E278" s="49"/>
      <c r="F278" s="49"/>
      <c r="G278" s="49"/>
      <c r="H278" s="173"/>
      <c r="I278" s="49"/>
      <c r="J278" s="49"/>
      <c r="K278" s="49"/>
      <c r="L278" s="49"/>
      <c r="M278" s="49"/>
      <c r="N278" s="49"/>
      <c r="O278" s="49"/>
      <c r="P278" s="49"/>
      <c r="Q278" s="49"/>
      <c r="R278" s="49"/>
      <c r="S278" s="49"/>
      <c r="T278" s="49"/>
      <c r="U278" s="49"/>
      <c r="V278" s="49"/>
      <c r="W278" s="49"/>
      <c r="X278" s="49"/>
      <c r="Y278" s="49"/>
      <c r="Z278" s="49"/>
      <c r="AA278" s="49"/>
      <c r="AB278" s="49"/>
      <c r="AC278" s="49"/>
    </row>
    <row r="279" spans="1:29" ht="13">
      <c r="A279" s="47"/>
      <c r="B279" s="47"/>
      <c r="C279" s="49"/>
      <c r="D279" s="49"/>
      <c r="E279" s="49"/>
      <c r="F279" s="49"/>
      <c r="G279" s="49"/>
      <c r="H279" s="173"/>
      <c r="I279" s="49"/>
      <c r="J279" s="49"/>
      <c r="K279" s="49"/>
      <c r="L279" s="49"/>
      <c r="M279" s="49"/>
      <c r="N279" s="49"/>
      <c r="O279" s="49"/>
      <c r="P279" s="49"/>
      <c r="Q279" s="49"/>
      <c r="R279" s="49"/>
      <c r="S279" s="49"/>
      <c r="T279" s="49"/>
      <c r="U279" s="49"/>
      <c r="V279" s="49"/>
      <c r="W279" s="49"/>
      <c r="X279" s="49"/>
      <c r="Y279" s="49"/>
      <c r="Z279" s="49"/>
      <c r="AA279" s="49"/>
      <c r="AB279" s="49"/>
      <c r="AC279" s="49"/>
    </row>
    <row r="280" spans="1:29" ht="13">
      <c r="A280" s="47"/>
      <c r="B280" s="47"/>
      <c r="C280" s="49"/>
      <c r="D280" s="49"/>
      <c r="E280" s="49"/>
      <c r="F280" s="49"/>
      <c r="G280" s="49"/>
      <c r="H280" s="173"/>
      <c r="I280" s="49"/>
      <c r="J280" s="49"/>
      <c r="K280" s="49"/>
      <c r="L280" s="49"/>
      <c r="M280" s="49"/>
      <c r="N280" s="49"/>
      <c r="O280" s="49"/>
      <c r="P280" s="49"/>
      <c r="Q280" s="49"/>
      <c r="R280" s="49"/>
      <c r="S280" s="49"/>
      <c r="T280" s="49"/>
      <c r="U280" s="49"/>
      <c r="V280" s="49"/>
      <c r="W280" s="49"/>
      <c r="X280" s="49"/>
      <c r="Y280" s="49"/>
      <c r="Z280" s="49"/>
      <c r="AA280" s="49"/>
      <c r="AB280" s="49"/>
      <c r="AC280" s="49"/>
    </row>
    <row r="281" spans="1:29" ht="13">
      <c r="A281" s="47"/>
      <c r="B281" s="47"/>
      <c r="C281" s="49"/>
      <c r="D281" s="49"/>
      <c r="E281" s="49"/>
      <c r="F281" s="49"/>
      <c r="G281" s="49"/>
      <c r="H281" s="173"/>
      <c r="I281" s="49"/>
      <c r="J281" s="49"/>
      <c r="K281" s="49"/>
      <c r="L281" s="49"/>
      <c r="M281" s="49"/>
      <c r="N281" s="49"/>
      <c r="O281" s="49"/>
      <c r="P281" s="49"/>
      <c r="Q281" s="49"/>
      <c r="R281" s="49"/>
      <c r="S281" s="49"/>
      <c r="T281" s="49"/>
      <c r="U281" s="49"/>
      <c r="V281" s="49"/>
      <c r="W281" s="49"/>
      <c r="X281" s="49"/>
      <c r="Y281" s="49"/>
      <c r="Z281" s="49"/>
      <c r="AA281" s="49"/>
      <c r="AB281" s="49"/>
      <c r="AC281" s="49"/>
    </row>
    <row r="282" spans="1:29" ht="13">
      <c r="A282" s="47"/>
      <c r="B282" s="47"/>
      <c r="C282" s="49"/>
      <c r="D282" s="49"/>
      <c r="E282" s="49"/>
      <c r="F282" s="49"/>
      <c r="G282" s="49"/>
      <c r="H282" s="173"/>
      <c r="I282" s="49"/>
      <c r="J282" s="49"/>
      <c r="K282" s="49"/>
      <c r="L282" s="49"/>
      <c r="M282" s="49"/>
      <c r="N282" s="49"/>
      <c r="O282" s="49"/>
      <c r="P282" s="49"/>
      <c r="Q282" s="49"/>
      <c r="R282" s="49"/>
      <c r="S282" s="49"/>
      <c r="T282" s="49"/>
      <c r="U282" s="49"/>
      <c r="V282" s="49"/>
      <c r="W282" s="49"/>
      <c r="X282" s="49"/>
      <c r="Y282" s="49"/>
      <c r="Z282" s="49"/>
      <c r="AA282" s="49"/>
      <c r="AB282" s="49"/>
      <c r="AC282" s="49"/>
    </row>
    <row r="283" spans="1:29" ht="13">
      <c r="A283" s="47"/>
      <c r="B283" s="47"/>
      <c r="C283" s="49"/>
      <c r="D283" s="49"/>
      <c r="E283" s="49"/>
      <c r="F283" s="49"/>
      <c r="G283" s="49"/>
      <c r="H283" s="173"/>
      <c r="I283" s="49"/>
      <c r="J283" s="49"/>
      <c r="K283" s="49"/>
      <c r="L283" s="49"/>
      <c r="M283" s="49"/>
      <c r="N283" s="49"/>
      <c r="O283" s="49"/>
      <c r="P283" s="49"/>
      <c r="Q283" s="49"/>
      <c r="R283" s="49"/>
      <c r="S283" s="49"/>
      <c r="T283" s="49"/>
      <c r="U283" s="49"/>
      <c r="V283" s="49"/>
      <c r="W283" s="49"/>
      <c r="X283" s="49"/>
      <c r="Y283" s="49"/>
      <c r="Z283" s="49"/>
      <c r="AA283" s="49"/>
      <c r="AB283" s="49"/>
      <c r="AC283" s="49"/>
    </row>
    <row r="284" spans="1:29" ht="13">
      <c r="A284" s="47"/>
      <c r="B284" s="47"/>
      <c r="C284" s="49"/>
      <c r="D284" s="49"/>
      <c r="E284" s="49"/>
      <c r="F284" s="49"/>
      <c r="G284" s="49"/>
      <c r="H284" s="173"/>
      <c r="I284" s="49"/>
      <c r="J284" s="49"/>
      <c r="K284" s="49"/>
      <c r="L284" s="49"/>
      <c r="M284" s="49"/>
      <c r="N284" s="49"/>
      <c r="O284" s="49"/>
      <c r="P284" s="49"/>
      <c r="Q284" s="49"/>
      <c r="R284" s="49"/>
      <c r="S284" s="49"/>
      <c r="T284" s="49"/>
      <c r="U284" s="49"/>
      <c r="V284" s="49"/>
      <c r="W284" s="49"/>
      <c r="X284" s="49"/>
      <c r="Y284" s="49"/>
      <c r="Z284" s="49"/>
      <c r="AA284" s="49"/>
      <c r="AB284" s="49"/>
      <c r="AC284" s="49"/>
    </row>
    <row r="285" spans="1:29" ht="13">
      <c r="A285" s="47"/>
      <c r="B285" s="47"/>
      <c r="C285" s="49"/>
      <c r="D285" s="49"/>
      <c r="E285" s="49"/>
      <c r="F285" s="49"/>
      <c r="G285" s="49"/>
      <c r="H285" s="173"/>
      <c r="I285" s="49"/>
      <c r="J285" s="49"/>
      <c r="K285" s="49"/>
      <c r="L285" s="49"/>
      <c r="M285" s="49"/>
      <c r="N285" s="49"/>
      <c r="O285" s="49"/>
      <c r="P285" s="49"/>
      <c r="Q285" s="49"/>
      <c r="R285" s="49"/>
      <c r="S285" s="49"/>
      <c r="T285" s="49"/>
      <c r="U285" s="49"/>
      <c r="V285" s="49"/>
      <c r="W285" s="49"/>
      <c r="X285" s="49"/>
      <c r="Y285" s="49"/>
      <c r="Z285" s="49"/>
      <c r="AA285" s="49"/>
      <c r="AB285" s="49"/>
      <c r="AC285" s="49"/>
    </row>
    <row r="286" spans="1:29" ht="13">
      <c r="A286" s="47"/>
      <c r="B286" s="47"/>
      <c r="C286" s="49"/>
      <c r="D286" s="49"/>
      <c r="E286" s="49"/>
      <c r="F286" s="49"/>
      <c r="G286" s="49"/>
      <c r="H286" s="173"/>
      <c r="I286" s="49"/>
      <c r="J286" s="49"/>
      <c r="K286" s="49"/>
      <c r="L286" s="49"/>
      <c r="M286" s="49"/>
      <c r="N286" s="49"/>
      <c r="O286" s="49"/>
      <c r="P286" s="49"/>
      <c r="Q286" s="49"/>
      <c r="R286" s="49"/>
      <c r="S286" s="49"/>
      <c r="T286" s="49"/>
      <c r="U286" s="49"/>
      <c r="V286" s="49"/>
      <c r="W286" s="49"/>
      <c r="X286" s="49"/>
      <c r="Y286" s="49"/>
      <c r="Z286" s="49"/>
      <c r="AA286" s="49"/>
      <c r="AB286" s="49"/>
      <c r="AC286" s="49"/>
    </row>
    <row r="287" spans="1:29" ht="13">
      <c r="A287" s="47"/>
      <c r="B287" s="47"/>
      <c r="C287" s="49"/>
      <c r="D287" s="49"/>
      <c r="E287" s="49"/>
      <c r="F287" s="49"/>
      <c r="G287" s="49"/>
      <c r="H287" s="173"/>
      <c r="I287" s="49"/>
      <c r="J287" s="49"/>
      <c r="K287" s="49"/>
      <c r="L287" s="49"/>
      <c r="M287" s="49"/>
      <c r="N287" s="49"/>
      <c r="O287" s="49"/>
      <c r="P287" s="49"/>
      <c r="Q287" s="49"/>
      <c r="R287" s="49"/>
      <c r="S287" s="49"/>
      <c r="T287" s="49"/>
      <c r="U287" s="49"/>
      <c r="V287" s="49"/>
      <c r="W287" s="49"/>
      <c r="X287" s="49"/>
      <c r="Y287" s="49"/>
      <c r="Z287" s="49"/>
      <c r="AA287" s="49"/>
      <c r="AB287" s="49"/>
      <c r="AC287" s="49"/>
    </row>
    <row r="288" spans="1:29" ht="13">
      <c r="A288" s="47"/>
      <c r="B288" s="47"/>
      <c r="C288" s="49"/>
      <c r="D288" s="49"/>
      <c r="E288" s="49"/>
      <c r="F288" s="49"/>
      <c r="G288" s="49"/>
      <c r="H288" s="173"/>
      <c r="I288" s="49"/>
      <c r="J288" s="49"/>
      <c r="K288" s="49"/>
      <c r="L288" s="49"/>
      <c r="M288" s="49"/>
      <c r="N288" s="49"/>
      <c r="O288" s="49"/>
      <c r="P288" s="49"/>
      <c r="Q288" s="49"/>
      <c r="R288" s="49"/>
      <c r="S288" s="49"/>
      <c r="T288" s="49"/>
      <c r="U288" s="49"/>
      <c r="V288" s="49"/>
      <c r="W288" s="49"/>
      <c r="X288" s="49"/>
      <c r="Y288" s="49"/>
      <c r="Z288" s="49"/>
      <c r="AA288" s="49"/>
      <c r="AB288" s="49"/>
      <c r="AC288" s="49"/>
    </row>
    <row r="289" spans="1:29" ht="13">
      <c r="A289" s="47"/>
      <c r="B289" s="47"/>
      <c r="C289" s="49"/>
      <c r="D289" s="49"/>
      <c r="E289" s="49"/>
      <c r="F289" s="49"/>
      <c r="G289" s="49"/>
      <c r="H289" s="173"/>
      <c r="I289" s="49"/>
      <c r="J289" s="49"/>
      <c r="K289" s="49"/>
      <c r="L289" s="49"/>
      <c r="M289" s="49"/>
      <c r="N289" s="49"/>
      <c r="O289" s="49"/>
      <c r="P289" s="49"/>
      <c r="Q289" s="49"/>
      <c r="R289" s="49"/>
      <c r="S289" s="49"/>
      <c r="T289" s="49"/>
      <c r="U289" s="49"/>
      <c r="V289" s="49"/>
      <c r="W289" s="49"/>
      <c r="X289" s="49"/>
      <c r="Y289" s="49"/>
      <c r="Z289" s="49"/>
      <c r="AA289" s="49"/>
      <c r="AB289" s="49"/>
      <c r="AC289" s="49"/>
    </row>
    <row r="290" spans="1:29" ht="13">
      <c r="A290" s="47"/>
      <c r="B290" s="47"/>
      <c r="C290" s="49"/>
      <c r="D290" s="49"/>
      <c r="E290" s="49"/>
      <c r="F290" s="49"/>
      <c r="G290" s="49"/>
      <c r="H290" s="173"/>
      <c r="I290" s="49"/>
      <c r="J290" s="49"/>
      <c r="K290" s="49"/>
      <c r="L290" s="49"/>
      <c r="M290" s="49"/>
      <c r="N290" s="49"/>
      <c r="O290" s="49"/>
      <c r="P290" s="49"/>
      <c r="Q290" s="49"/>
      <c r="R290" s="49"/>
      <c r="S290" s="49"/>
      <c r="T290" s="49"/>
      <c r="U290" s="49"/>
      <c r="V290" s="49"/>
      <c r="W290" s="49"/>
      <c r="X290" s="49"/>
      <c r="Y290" s="49"/>
      <c r="Z290" s="49"/>
      <c r="AA290" s="49"/>
      <c r="AB290" s="49"/>
      <c r="AC290" s="49"/>
    </row>
    <row r="291" spans="1:29" ht="13">
      <c r="A291" s="47"/>
      <c r="B291" s="47"/>
      <c r="C291" s="49"/>
      <c r="D291" s="49"/>
      <c r="E291" s="49"/>
      <c r="F291" s="49"/>
      <c r="G291" s="49"/>
      <c r="H291" s="173"/>
      <c r="I291" s="49"/>
      <c r="J291" s="49"/>
      <c r="K291" s="49"/>
      <c r="L291" s="49"/>
      <c r="M291" s="49"/>
      <c r="N291" s="49"/>
      <c r="O291" s="49"/>
      <c r="P291" s="49"/>
      <c r="Q291" s="49"/>
      <c r="R291" s="49"/>
      <c r="S291" s="49"/>
      <c r="T291" s="49"/>
      <c r="U291" s="49"/>
      <c r="V291" s="49"/>
      <c r="W291" s="49"/>
      <c r="X291" s="49"/>
      <c r="Y291" s="49"/>
      <c r="Z291" s="49"/>
      <c r="AA291" s="49"/>
      <c r="AB291" s="49"/>
      <c r="AC291" s="49"/>
    </row>
    <row r="292" spans="1:29" ht="13">
      <c r="A292" s="47"/>
      <c r="B292" s="47"/>
      <c r="C292" s="49"/>
      <c r="D292" s="49"/>
      <c r="E292" s="49"/>
      <c r="F292" s="49"/>
      <c r="G292" s="49"/>
      <c r="H292" s="173"/>
      <c r="I292" s="49"/>
      <c r="J292" s="49"/>
      <c r="K292" s="49"/>
      <c r="L292" s="49"/>
      <c r="M292" s="49"/>
      <c r="N292" s="49"/>
      <c r="O292" s="49"/>
      <c r="P292" s="49"/>
      <c r="Q292" s="49"/>
      <c r="R292" s="49"/>
      <c r="S292" s="49"/>
      <c r="T292" s="49"/>
      <c r="U292" s="49"/>
      <c r="V292" s="49"/>
      <c r="W292" s="49"/>
      <c r="X292" s="49"/>
      <c r="Y292" s="49"/>
      <c r="Z292" s="49"/>
      <c r="AA292" s="49"/>
      <c r="AB292" s="49"/>
      <c r="AC292" s="49"/>
    </row>
    <row r="293" spans="1:29" ht="13">
      <c r="A293" s="47"/>
      <c r="B293" s="47"/>
      <c r="C293" s="49"/>
      <c r="D293" s="49"/>
      <c r="E293" s="49"/>
      <c r="F293" s="49"/>
      <c r="G293" s="49"/>
      <c r="H293" s="173"/>
      <c r="I293" s="49"/>
      <c r="J293" s="49"/>
      <c r="K293" s="49"/>
      <c r="L293" s="49"/>
      <c r="M293" s="49"/>
      <c r="N293" s="49"/>
      <c r="O293" s="49"/>
      <c r="P293" s="49"/>
      <c r="Q293" s="49"/>
      <c r="R293" s="49"/>
      <c r="S293" s="49"/>
      <c r="T293" s="49"/>
      <c r="U293" s="49"/>
      <c r="V293" s="49"/>
      <c r="W293" s="49"/>
      <c r="X293" s="49"/>
      <c r="Y293" s="49"/>
      <c r="Z293" s="49"/>
      <c r="AA293" s="49"/>
      <c r="AB293" s="49"/>
      <c r="AC293" s="49"/>
    </row>
    <row r="294" spans="1:29" ht="13">
      <c r="A294" s="47"/>
      <c r="B294" s="47"/>
      <c r="C294" s="49"/>
      <c r="D294" s="49"/>
      <c r="E294" s="49"/>
      <c r="F294" s="49"/>
      <c r="G294" s="49"/>
      <c r="H294" s="173"/>
      <c r="I294" s="49"/>
      <c r="J294" s="49"/>
      <c r="K294" s="49"/>
      <c r="L294" s="49"/>
      <c r="M294" s="49"/>
      <c r="N294" s="49"/>
      <c r="O294" s="49"/>
      <c r="P294" s="49"/>
      <c r="Q294" s="49"/>
      <c r="R294" s="49"/>
      <c r="S294" s="49"/>
      <c r="T294" s="49"/>
      <c r="U294" s="49"/>
      <c r="V294" s="49"/>
      <c r="W294" s="49"/>
      <c r="X294" s="49"/>
      <c r="Y294" s="49"/>
      <c r="Z294" s="49"/>
      <c r="AA294" s="49"/>
      <c r="AB294" s="49"/>
      <c r="AC294" s="49"/>
    </row>
    <row r="295" spans="1:29" ht="13">
      <c r="A295" s="47"/>
      <c r="B295" s="47"/>
      <c r="C295" s="49"/>
      <c r="D295" s="49"/>
      <c r="E295" s="49"/>
      <c r="F295" s="49"/>
      <c r="G295" s="49"/>
      <c r="H295" s="173"/>
      <c r="I295" s="49"/>
      <c r="J295" s="49"/>
      <c r="K295" s="49"/>
      <c r="L295" s="49"/>
      <c r="M295" s="49"/>
      <c r="N295" s="49"/>
      <c r="O295" s="49"/>
      <c r="P295" s="49"/>
      <c r="Q295" s="49"/>
      <c r="R295" s="49"/>
      <c r="S295" s="49"/>
      <c r="T295" s="49"/>
      <c r="U295" s="49"/>
      <c r="V295" s="49"/>
      <c r="W295" s="49"/>
      <c r="X295" s="49"/>
      <c r="Y295" s="49"/>
      <c r="Z295" s="49"/>
      <c r="AA295" s="49"/>
      <c r="AB295" s="49"/>
      <c r="AC295" s="49"/>
    </row>
    <row r="296" spans="1:29" ht="13">
      <c r="A296" s="47"/>
      <c r="B296" s="47"/>
      <c r="C296" s="49"/>
      <c r="D296" s="49"/>
      <c r="E296" s="49"/>
      <c r="F296" s="49"/>
      <c r="G296" s="49"/>
      <c r="H296" s="173"/>
      <c r="I296" s="49"/>
      <c r="J296" s="49"/>
      <c r="K296" s="49"/>
      <c r="L296" s="49"/>
      <c r="M296" s="49"/>
      <c r="N296" s="49"/>
      <c r="O296" s="49"/>
      <c r="P296" s="49"/>
      <c r="Q296" s="49"/>
      <c r="R296" s="49"/>
      <c r="S296" s="49"/>
      <c r="T296" s="49"/>
      <c r="U296" s="49"/>
      <c r="V296" s="49"/>
      <c r="W296" s="49"/>
      <c r="X296" s="49"/>
      <c r="Y296" s="49"/>
      <c r="Z296" s="49"/>
      <c r="AA296" s="49"/>
      <c r="AB296" s="49"/>
      <c r="AC296" s="49"/>
    </row>
    <row r="297" spans="1:29" ht="13">
      <c r="A297" s="47"/>
      <c r="B297" s="47"/>
      <c r="C297" s="49"/>
      <c r="D297" s="49"/>
      <c r="E297" s="49"/>
      <c r="F297" s="49"/>
      <c r="G297" s="49"/>
      <c r="H297" s="173"/>
      <c r="I297" s="49"/>
      <c r="J297" s="49"/>
      <c r="K297" s="49"/>
      <c r="L297" s="49"/>
      <c r="M297" s="49"/>
      <c r="N297" s="49"/>
      <c r="O297" s="49"/>
      <c r="P297" s="49"/>
      <c r="Q297" s="49"/>
      <c r="R297" s="49"/>
      <c r="S297" s="49"/>
      <c r="T297" s="49"/>
      <c r="U297" s="49"/>
      <c r="V297" s="49"/>
      <c r="W297" s="49"/>
      <c r="X297" s="49"/>
      <c r="Y297" s="49"/>
      <c r="Z297" s="49"/>
      <c r="AA297" s="49"/>
      <c r="AB297" s="49"/>
      <c r="AC297" s="49"/>
    </row>
    <row r="298" spans="1:29" ht="13">
      <c r="A298" s="47"/>
      <c r="B298" s="47"/>
      <c r="C298" s="49"/>
      <c r="D298" s="49"/>
      <c r="E298" s="49"/>
      <c r="F298" s="49"/>
      <c r="G298" s="49"/>
      <c r="H298" s="173"/>
      <c r="I298" s="49"/>
      <c r="J298" s="49"/>
      <c r="K298" s="49"/>
      <c r="L298" s="49"/>
      <c r="M298" s="49"/>
      <c r="N298" s="49"/>
      <c r="O298" s="49"/>
      <c r="P298" s="49"/>
      <c r="Q298" s="49"/>
      <c r="R298" s="49"/>
      <c r="S298" s="49"/>
      <c r="T298" s="49"/>
      <c r="U298" s="49"/>
      <c r="V298" s="49"/>
      <c r="W298" s="49"/>
      <c r="X298" s="49"/>
      <c r="Y298" s="49"/>
      <c r="Z298" s="49"/>
      <c r="AA298" s="49"/>
      <c r="AB298" s="49"/>
      <c r="AC298" s="49"/>
    </row>
    <row r="299" spans="1:29" ht="13">
      <c r="A299" s="47"/>
      <c r="B299" s="47"/>
      <c r="C299" s="49"/>
      <c r="D299" s="49"/>
      <c r="E299" s="49"/>
      <c r="F299" s="49"/>
      <c r="G299" s="49"/>
      <c r="H299" s="173"/>
      <c r="I299" s="49"/>
      <c r="J299" s="49"/>
      <c r="K299" s="49"/>
      <c r="L299" s="49"/>
      <c r="M299" s="49"/>
      <c r="N299" s="49"/>
      <c r="O299" s="49"/>
      <c r="P299" s="49"/>
      <c r="Q299" s="49"/>
      <c r="R299" s="49"/>
      <c r="S299" s="49"/>
      <c r="T299" s="49"/>
      <c r="U299" s="49"/>
      <c r="V299" s="49"/>
      <c r="W299" s="49"/>
      <c r="X299" s="49"/>
      <c r="Y299" s="49"/>
      <c r="Z299" s="49"/>
      <c r="AA299" s="49"/>
      <c r="AB299" s="49"/>
      <c r="AC299" s="49"/>
    </row>
    <row r="300" spans="1:29" ht="13">
      <c r="A300" s="47"/>
      <c r="B300" s="47"/>
      <c r="C300" s="49"/>
      <c r="D300" s="49"/>
      <c r="E300" s="49"/>
      <c r="F300" s="49"/>
      <c r="G300" s="49"/>
      <c r="H300" s="173"/>
      <c r="I300" s="49"/>
      <c r="J300" s="49"/>
      <c r="K300" s="49"/>
      <c r="L300" s="49"/>
      <c r="M300" s="49"/>
      <c r="N300" s="49"/>
      <c r="O300" s="49"/>
      <c r="P300" s="49"/>
      <c r="Q300" s="49"/>
      <c r="R300" s="49"/>
      <c r="S300" s="49"/>
      <c r="T300" s="49"/>
      <c r="U300" s="49"/>
      <c r="V300" s="49"/>
      <c r="W300" s="49"/>
      <c r="X300" s="49"/>
      <c r="Y300" s="49"/>
      <c r="Z300" s="49"/>
      <c r="AA300" s="49"/>
      <c r="AB300" s="49"/>
      <c r="AC300" s="49"/>
    </row>
    <row r="301" spans="1:29" ht="13">
      <c r="A301" s="47"/>
      <c r="B301" s="47"/>
      <c r="C301" s="49"/>
      <c r="D301" s="49"/>
      <c r="E301" s="49"/>
      <c r="F301" s="49"/>
      <c r="G301" s="49"/>
      <c r="H301" s="173"/>
      <c r="I301" s="49"/>
      <c r="J301" s="49"/>
      <c r="K301" s="49"/>
      <c r="L301" s="49"/>
      <c r="M301" s="49"/>
      <c r="N301" s="49"/>
      <c r="O301" s="49"/>
      <c r="P301" s="49"/>
      <c r="Q301" s="49"/>
      <c r="R301" s="49"/>
      <c r="S301" s="49"/>
      <c r="T301" s="49"/>
      <c r="U301" s="49"/>
      <c r="V301" s="49"/>
      <c r="W301" s="49"/>
      <c r="X301" s="49"/>
      <c r="Y301" s="49"/>
      <c r="Z301" s="49"/>
      <c r="AA301" s="49"/>
      <c r="AB301" s="49"/>
      <c r="AC301" s="49"/>
    </row>
    <row r="302" spans="1:29" ht="13">
      <c r="A302" s="47"/>
      <c r="B302" s="47"/>
      <c r="C302" s="49"/>
      <c r="D302" s="49"/>
      <c r="E302" s="49"/>
      <c r="F302" s="49"/>
      <c r="G302" s="49"/>
      <c r="H302" s="173"/>
      <c r="I302" s="49"/>
      <c r="J302" s="49"/>
      <c r="K302" s="49"/>
      <c r="L302" s="49"/>
      <c r="M302" s="49"/>
      <c r="N302" s="49"/>
      <c r="O302" s="49"/>
      <c r="P302" s="49"/>
      <c r="Q302" s="49"/>
      <c r="R302" s="49"/>
      <c r="S302" s="49"/>
      <c r="T302" s="49"/>
      <c r="U302" s="49"/>
      <c r="V302" s="49"/>
      <c r="W302" s="49"/>
      <c r="X302" s="49"/>
      <c r="Y302" s="49"/>
      <c r="Z302" s="49"/>
      <c r="AA302" s="49"/>
      <c r="AB302" s="49"/>
      <c r="AC302" s="49"/>
    </row>
    <row r="303" spans="1:29" ht="13">
      <c r="A303" s="47"/>
      <c r="B303" s="47"/>
      <c r="C303" s="49"/>
      <c r="D303" s="49"/>
      <c r="E303" s="49"/>
      <c r="F303" s="49"/>
      <c r="G303" s="49"/>
      <c r="H303" s="173"/>
      <c r="I303" s="49"/>
      <c r="J303" s="49"/>
      <c r="K303" s="49"/>
      <c r="L303" s="49"/>
      <c r="M303" s="49"/>
      <c r="N303" s="49"/>
      <c r="O303" s="49"/>
      <c r="P303" s="49"/>
      <c r="Q303" s="49"/>
      <c r="R303" s="49"/>
      <c r="S303" s="49"/>
      <c r="T303" s="49"/>
      <c r="U303" s="49"/>
      <c r="V303" s="49"/>
      <c r="W303" s="49"/>
      <c r="X303" s="49"/>
      <c r="Y303" s="49"/>
      <c r="Z303" s="49"/>
      <c r="AA303" s="49"/>
      <c r="AB303" s="49"/>
      <c r="AC303" s="49"/>
    </row>
    <row r="304" spans="1:29" ht="13">
      <c r="A304" s="47"/>
      <c r="B304" s="47"/>
      <c r="C304" s="49"/>
      <c r="D304" s="49"/>
      <c r="E304" s="49"/>
      <c r="F304" s="49"/>
      <c r="G304" s="49"/>
      <c r="H304" s="173"/>
      <c r="I304" s="49"/>
      <c r="J304" s="49"/>
      <c r="K304" s="49"/>
      <c r="L304" s="49"/>
      <c r="M304" s="49"/>
      <c r="N304" s="49"/>
      <c r="O304" s="49"/>
      <c r="P304" s="49"/>
      <c r="Q304" s="49"/>
      <c r="R304" s="49"/>
      <c r="S304" s="49"/>
      <c r="T304" s="49"/>
      <c r="U304" s="49"/>
      <c r="V304" s="49"/>
      <c r="W304" s="49"/>
      <c r="X304" s="49"/>
      <c r="Y304" s="49"/>
      <c r="Z304" s="49"/>
      <c r="AA304" s="49"/>
      <c r="AB304" s="49"/>
      <c r="AC304" s="49"/>
    </row>
    <row r="305" spans="1:29" ht="13">
      <c r="A305" s="47"/>
      <c r="B305" s="47"/>
      <c r="C305" s="49"/>
      <c r="D305" s="49"/>
      <c r="E305" s="49"/>
      <c r="F305" s="49"/>
      <c r="G305" s="49"/>
      <c r="H305" s="173"/>
      <c r="I305" s="49"/>
      <c r="J305" s="49"/>
      <c r="K305" s="49"/>
      <c r="L305" s="49"/>
      <c r="M305" s="49"/>
      <c r="N305" s="49"/>
      <c r="O305" s="49"/>
      <c r="P305" s="49"/>
      <c r="Q305" s="49"/>
      <c r="R305" s="49"/>
      <c r="S305" s="49"/>
      <c r="T305" s="49"/>
      <c r="U305" s="49"/>
      <c r="V305" s="49"/>
      <c r="W305" s="49"/>
      <c r="X305" s="49"/>
      <c r="Y305" s="49"/>
      <c r="Z305" s="49"/>
      <c r="AA305" s="49"/>
      <c r="AB305" s="49"/>
      <c r="AC305" s="49"/>
    </row>
    <row r="306" spans="1:29" ht="13">
      <c r="A306" s="47"/>
      <c r="B306" s="47"/>
      <c r="C306" s="49"/>
      <c r="D306" s="49"/>
      <c r="E306" s="49"/>
      <c r="F306" s="49"/>
      <c r="G306" s="49"/>
      <c r="H306" s="173"/>
      <c r="I306" s="49"/>
      <c r="J306" s="49"/>
      <c r="K306" s="49"/>
      <c r="L306" s="49"/>
      <c r="M306" s="49"/>
      <c r="N306" s="49"/>
      <c r="O306" s="49"/>
      <c r="P306" s="49"/>
      <c r="Q306" s="49"/>
      <c r="R306" s="49"/>
      <c r="S306" s="49"/>
      <c r="T306" s="49"/>
      <c r="U306" s="49"/>
      <c r="V306" s="49"/>
      <c r="W306" s="49"/>
      <c r="X306" s="49"/>
      <c r="Y306" s="49"/>
      <c r="Z306" s="49"/>
      <c r="AA306" s="49"/>
      <c r="AB306" s="49"/>
      <c r="AC306" s="49"/>
    </row>
    <row r="307" spans="1:29" ht="13">
      <c r="A307" s="47"/>
      <c r="B307" s="47"/>
      <c r="C307" s="49"/>
      <c r="D307" s="49"/>
      <c r="E307" s="49"/>
      <c r="F307" s="49"/>
      <c r="G307" s="49"/>
      <c r="H307" s="173"/>
      <c r="I307" s="49"/>
      <c r="J307" s="49"/>
      <c r="K307" s="49"/>
      <c r="L307" s="49"/>
      <c r="M307" s="49"/>
      <c r="N307" s="49"/>
      <c r="O307" s="49"/>
      <c r="P307" s="49"/>
      <c r="Q307" s="49"/>
      <c r="R307" s="49"/>
      <c r="S307" s="49"/>
      <c r="T307" s="49"/>
      <c r="U307" s="49"/>
      <c r="V307" s="49"/>
      <c r="W307" s="49"/>
      <c r="X307" s="49"/>
      <c r="Y307" s="49"/>
      <c r="Z307" s="49"/>
      <c r="AA307" s="49"/>
      <c r="AB307" s="49"/>
      <c r="AC307" s="49"/>
    </row>
    <row r="308" spans="1:29" ht="13">
      <c r="A308" s="47"/>
      <c r="B308" s="47"/>
      <c r="C308" s="49"/>
      <c r="D308" s="49"/>
      <c r="E308" s="49"/>
      <c r="F308" s="49"/>
      <c r="G308" s="49"/>
      <c r="H308" s="173"/>
      <c r="I308" s="49"/>
      <c r="J308" s="49"/>
      <c r="K308" s="49"/>
      <c r="L308" s="49"/>
      <c r="M308" s="49"/>
      <c r="N308" s="49"/>
      <c r="O308" s="49"/>
      <c r="P308" s="49"/>
      <c r="Q308" s="49"/>
      <c r="R308" s="49"/>
      <c r="S308" s="49"/>
      <c r="T308" s="49"/>
      <c r="U308" s="49"/>
      <c r="V308" s="49"/>
      <c r="W308" s="49"/>
      <c r="X308" s="49"/>
      <c r="Y308" s="49"/>
      <c r="Z308" s="49"/>
      <c r="AA308" s="49"/>
      <c r="AB308" s="49"/>
      <c r="AC308" s="49"/>
    </row>
    <row r="309" spans="1:29" ht="13">
      <c r="A309" s="47"/>
      <c r="B309" s="47"/>
      <c r="C309" s="49"/>
      <c r="D309" s="49"/>
      <c r="E309" s="49"/>
      <c r="F309" s="49"/>
      <c r="G309" s="49"/>
      <c r="H309" s="173"/>
      <c r="I309" s="49"/>
      <c r="J309" s="49"/>
      <c r="K309" s="49"/>
      <c r="L309" s="49"/>
      <c r="M309" s="49"/>
      <c r="N309" s="49"/>
      <c r="O309" s="49"/>
      <c r="P309" s="49"/>
      <c r="Q309" s="49"/>
      <c r="R309" s="49"/>
      <c r="S309" s="49"/>
      <c r="T309" s="49"/>
      <c r="U309" s="49"/>
      <c r="V309" s="49"/>
      <c r="W309" s="49"/>
      <c r="X309" s="49"/>
      <c r="Y309" s="49"/>
      <c r="Z309" s="49"/>
      <c r="AA309" s="49"/>
      <c r="AB309" s="49"/>
      <c r="AC309" s="49"/>
    </row>
    <row r="310" spans="1:29" ht="13">
      <c r="A310" s="47"/>
      <c r="B310" s="47"/>
      <c r="C310" s="49"/>
      <c r="D310" s="49"/>
      <c r="E310" s="49"/>
      <c r="F310" s="49"/>
      <c r="G310" s="49"/>
      <c r="H310" s="173"/>
      <c r="I310" s="49"/>
      <c r="J310" s="49"/>
      <c r="K310" s="49"/>
      <c r="L310" s="49"/>
      <c r="M310" s="49"/>
      <c r="N310" s="49"/>
      <c r="O310" s="49"/>
      <c r="P310" s="49"/>
      <c r="Q310" s="49"/>
      <c r="R310" s="49"/>
      <c r="S310" s="49"/>
      <c r="T310" s="49"/>
      <c r="U310" s="49"/>
      <c r="V310" s="49"/>
      <c r="W310" s="49"/>
      <c r="X310" s="49"/>
      <c r="Y310" s="49"/>
      <c r="Z310" s="49"/>
      <c r="AA310" s="49"/>
      <c r="AB310" s="49"/>
      <c r="AC310" s="49"/>
    </row>
    <row r="311" spans="1:29" ht="13">
      <c r="A311" s="47"/>
      <c r="B311" s="47"/>
      <c r="C311" s="49"/>
      <c r="D311" s="49"/>
      <c r="E311" s="49"/>
      <c r="F311" s="49"/>
      <c r="G311" s="49"/>
      <c r="H311" s="173"/>
      <c r="I311" s="49"/>
      <c r="J311" s="49"/>
      <c r="K311" s="49"/>
      <c r="L311" s="49"/>
      <c r="M311" s="49"/>
      <c r="N311" s="49"/>
      <c r="O311" s="49"/>
      <c r="P311" s="49"/>
      <c r="Q311" s="49"/>
      <c r="R311" s="49"/>
      <c r="S311" s="49"/>
      <c r="T311" s="49"/>
      <c r="U311" s="49"/>
      <c r="V311" s="49"/>
      <c r="W311" s="49"/>
      <c r="X311" s="49"/>
      <c r="Y311" s="49"/>
      <c r="Z311" s="49"/>
      <c r="AA311" s="49"/>
      <c r="AB311" s="49"/>
      <c r="AC311" s="49"/>
    </row>
    <row r="312" spans="1:29" ht="13">
      <c r="A312" s="47"/>
      <c r="B312" s="47"/>
      <c r="C312" s="49"/>
      <c r="D312" s="49"/>
      <c r="E312" s="49"/>
      <c r="F312" s="49"/>
      <c r="G312" s="49"/>
      <c r="H312" s="173"/>
      <c r="I312" s="49"/>
      <c r="J312" s="49"/>
      <c r="K312" s="49"/>
      <c r="L312" s="49"/>
      <c r="M312" s="49"/>
      <c r="N312" s="49"/>
      <c r="O312" s="49"/>
      <c r="P312" s="49"/>
      <c r="Q312" s="49"/>
      <c r="R312" s="49"/>
      <c r="S312" s="49"/>
      <c r="T312" s="49"/>
      <c r="U312" s="49"/>
      <c r="V312" s="49"/>
      <c r="W312" s="49"/>
      <c r="X312" s="49"/>
      <c r="Y312" s="49"/>
      <c r="Z312" s="49"/>
      <c r="AA312" s="49"/>
      <c r="AB312" s="49"/>
      <c r="AC312" s="49"/>
    </row>
    <row r="313" spans="1:29" ht="13">
      <c r="A313" s="47"/>
      <c r="B313" s="47"/>
      <c r="C313" s="49"/>
      <c r="D313" s="49"/>
      <c r="E313" s="49"/>
      <c r="F313" s="49"/>
      <c r="G313" s="49"/>
      <c r="H313" s="173"/>
      <c r="I313" s="49"/>
      <c r="J313" s="49"/>
      <c r="K313" s="49"/>
      <c r="L313" s="49"/>
      <c r="M313" s="49"/>
      <c r="N313" s="49"/>
      <c r="O313" s="49"/>
      <c r="P313" s="49"/>
      <c r="Q313" s="49"/>
      <c r="R313" s="49"/>
      <c r="S313" s="49"/>
      <c r="T313" s="49"/>
      <c r="U313" s="49"/>
      <c r="V313" s="49"/>
      <c r="W313" s="49"/>
      <c r="X313" s="49"/>
      <c r="Y313" s="49"/>
      <c r="Z313" s="49"/>
      <c r="AA313" s="49"/>
      <c r="AB313" s="49"/>
      <c r="AC313" s="49"/>
    </row>
    <row r="314" spans="1:29" ht="13">
      <c r="A314" s="47"/>
      <c r="B314" s="47"/>
      <c r="C314" s="49"/>
      <c r="D314" s="49"/>
      <c r="E314" s="49"/>
      <c r="F314" s="49"/>
      <c r="G314" s="49"/>
      <c r="H314" s="173"/>
      <c r="I314" s="49"/>
      <c r="J314" s="49"/>
      <c r="K314" s="49"/>
      <c r="L314" s="49"/>
      <c r="M314" s="49"/>
      <c r="N314" s="49"/>
      <c r="O314" s="49"/>
      <c r="P314" s="49"/>
      <c r="Q314" s="49"/>
      <c r="R314" s="49"/>
      <c r="S314" s="49"/>
      <c r="T314" s="49"/>
      <c r="U314" s="49"/>
      <c r="V314" s="49"/>
      <c r="W314" s="49"/>
      <c r="X314" s="49"/>
      <c r="Y314" s="49"/>
      <c r="Z314" s="49"/>
      <c r="AA314" s="49"/>
      <c r="AB314" s="49"/>
      <c r="AC314" s="49"/>
    </row>
    <row r="315" spans="1:29" ht="13">
      <c r="A315" s="47"/>
      <c r="B315" s="47"/>
      <c r="C315" s="49"/>
      <c r="D315" s="49"/>
      <c r="E315" s="49"/>
      <c r="F315" s="49"/>
      <c r="G315" s="49"/>
      <c r="H315" s="173"/>
      <c r="I315" s="49"/>
      <c r="J315" s="49"/>
      <c r="K315" s="49"/>
      <c r="L315" s="49"/>
      <c r="M315" s="49"/>
      <c r="N315" s="49"/>
      <c r="O315" s="49"/>
      <c r="P315" s="49"/>
      <c r="Q315" s="49"/>
      <c r="R315" s="49"/>
      <c r="S315" s="49"/>
      <c r="T315" s="49"/>
      <c r="U315" s="49"/>
      <c r="V315" s="49"/>
      <c r="W315" s="49"/>
      <c r="X315" s="49"/>
      <c r="Y315" s="49"/>
      <c r="Z315" s="49"/>
      <c r="AA315" s="49"/>
      <c r="AB315" s="49"/>
      <c r="AC315" s="49"/>
    </row>
    <row r="316" spans="1:29" ht="13">
      <c r="A316" s="47"/>
      <c r="B316" s="47"/>
      <c r="C316" s="49"/>
      <c r="D316" s="49"/>
      <c r="E316" s="49"/>
      <c r="F316" s="49"/>
      <c r="G316" s="49"/>
      <c r="H316" s="173"/>
      <c r="I316" s="49"/>
      <c r="J316" s="49"/>
      <c r="K316" s="49"/>
      <c r="L316" s="49"/>
      <c r="M316" s="49"/>
      <c r="N316" s="49"/>
      <c r="O316" s="49"/>
      <c r="P316" s="49"/>
      <c r="Q316" s="49"/>
      <c r="R316" s="49"/>
      <c r="S316" s="49"/>
      <c r="T316" s="49"/>
      <c r="U316" s="49"/>
      <c r="V316" s="49"/>
      <c r="W316" s="49"/>
      <c r="X316" s="49"/>
      <c r="Y316" s="49"/>
      <c r="Z316" s="49"/>
      <c r="AA316" s="49"/>
      <c r="AB316" s="49"/>
      <c r="AC316" s="49"/>
    </row>
    <row r="317" spans="1:29" ht="13">
      <c r="A317" s="47"/>
      <c r="B317" s="47"/>
      <c r="C317" s="49"/>
      <c r="D317" s="49"/>
      <c r="E317" s="49"/>
      <c r="F317" s="49"/>
      <c r="G317" s="49"/>
      <c r="H317" s="173"/>
      <c r="I317" s="49"/>
      <c r="J317" s="49"/>
      <c r="K317" s="49"/>
      <c r="L317" s="49"/>
      <c r="M317" s="49"/>
      <c r="N317" s="49"/>
      <c r="O317" s="49"/>
      <c r="P317" s="49"/>
      <c r="Q317" s="49"/>
      <c r="R317" s="49"/>
      <c r="S317" s="49"/>
      <c r="T317" s="49"/>
      <c r="U317" s="49"/>
      <c r="V317" s="49"/>
      <c r="W317" s="49"/>
      <c r="X317" s="49"/>
      <c r="Y317" s="49"/>
      <c r="Z317" s="49"/>
      <c r="AA317" s="49"/>
      <c r="AB317" s="49"/>
      <c r="AC317" s="49"/>
    </row>
    <row r="318" spans="1:29" ht="13">
      <c r="A318" s="47"/>
      <c r="B318" s="47"/>
      <c r="C318" s="49"/>
      <c r="D318" s="49"/>
      <c r="E318" s="49"/>
      <c r="F318" s="49"/>
      <c r="G318" s="49"/>
      <c r="H318" s="173"/>
      <c r="I318" s="49"/>
      <c r="J318" s="49"/>
      <c r="K318" s="49"/>
      <c r="L318" s="49"/>
      <c r="M318" s="49"/>
      <c r="N318" s="49"/>
      <c r="O318" s="49"/>
      <c r="P318" s="49"/>
      <c r="Q318" s="49"/>
      <c r="R318" s="49"/>
      <c r="S318" s="49"/>
      <c r="T318" s="49"/>
      <c r="U318" s="49"/>
      <c r="V318" s="49"/>
      <c r="W318" s="49"/>
      <c r="X318" s="49"/>
      <c r="Y318" s="49"/>
      <c r="Z318" s="49"/>
      <c r="AA318" s="49"/>
      <c r="AB318" s="49"/>
      <c r="AC318" s="49"/>
    </row>
    <row r="319" spans="1:29" ht="13">
      <c r="A319" s="47"/>
      <c r="B319" s="47"/>
      <c r="C319" s="49"/>
      <c r="D319" s="49"/>
      <c r="E319" s="49"/>
      <c r="F319" s="49"/>
      <c r="G319" s="49"/>
      <c r="H319" s="173"/>
      <c r="I319" s="49"/>
      <c r="J319" s="49"/>
      <c r="K319" s="49"/>
      <c r="L319" s="49"/>
      <c r="M319" s="49"/>
      <c r="N319" s="49"/>
      <c r="O319" s="49"/>
      <c r="P319" s="49"/>
      <c r="Q319" s="49"/>
      <c r="R319" s="49"/>
      <c r="S319" s="49"/>
      <c r="T319" s="49"/>
      <c r="U319" s="49"/>
      <c r="V319" s="49"/>
      <c r="W319" s="49"/>
      <c r="X319" s="49"/>
      <c r="Y319" s="49"/>
      <c r="Z319" s="49"/>
      <c r="AA319" s="49"/>
      <c r="AB319" s="49"/>
      <c r="AC319" s="49"/>
    </row>
    <row r="320" spans="1:29" ht="13">
      <c r="A320" s="47"/>
      <c r="B320" s="47"/>
      <c r="C320" s="49"/>
      <c r="D320" s="49"/>
      <c r="E320" s="49"/>
      <c r="F320" s="49"/>
      <c r="G320" s="49"/>
      <c r="H320" s="173"/>
      <c r="I320" s="49"/>
      <c r="J320" s="49"/>
      <c r="K320" s="49"/>
      <c r="L320" s="49"/>
      <c r="M320" s="49"/>
      <c r="N320" s="49"/>
      <c r="O320" s="49"/>
      <c r="P320" s="49"/>
      <c r="Q320" s="49"/>
      <c r="R320" s="49"/>
      <c r="S320" s="49"/>
      <c r="T320" s="49"/>
      <c r="U320" s="49"/>
      <c r="V320" s="49"/>
      <c r="W320" s="49"/>
      <c r="X320" s="49"/>
      <c r="Y320" s="49"/>
      <c r="Z320" s="49"/>
      <c r="AA320" s="49"/>
      <c r="AB320" s="49"/>
      <c r="AC320" s="49"/>
    </row>
    <row r="321" spans="1:29" ht="13">
      <c r="A321" s="47"/>
      <c r="B321" s="47"/>
      <c r="C321" s="49"/>
      <c r="D321" s="49"/>
      <c r="E321" s="49"/>
      <c r="F321" s="49"/>
      <c r="G321" s="49"/>
      <c r="H321" s="173"/>
      <c r="I321" s="49"/>
      <c r="J321" s="49"/>
      <c r="K321" s="49"/>
      <c r="L321" s="49"/>
      <c r="M321" s="49"/>
      <c r="N321" s="49"/>
      <c r="O321" s="49"/>
      <c r="P321" s="49"/>
      <c r="Q321" s="49"/>
      <c r="R321" s="49"/>
      <c r="S321" s="49"/>
      <c r="T321" s="49"/>
      <c r="U321" s="49"/>
      <c r="V321" s="49"/>
      <c r="W321" s="49"/>
      <c r="X321" s="49"/>
      <c r="Y321" s="49"/>
      <c r="Z321" s="49"/>
      <c r="AA321" s="49"/>
      <c r="AB321" s="49"/>
      <c r="AC321" s="49"/>
    </row>
    <row r="322" spans="1:29" ht="13">
      <c r="A322" s="47"/>
      <c r="B322" s="47"/>
      <c r="C322" s="49"/>
      <c r="D322" s="49"/>
      <c r="E322" s="49"/>
      <c r="F322" s="49"/>
      <c r="G322" s="49"/>
      <c r="H322" s="173"/>
      <c r="I322" s="49"/>
      <c r="J322" s="49"/>
      <c r="K322" s="49"/>
      <c r="L322" s="49"/>
      <c r="M322" s="49"/>
      <c r="N322" s="49"/>
      <c r="O322" s="49"/>
      <c r="P322" s="49"/>
      <c r="Q322" s="49"/>
      <c r="R322" s="49"/>
      <c r="S322" s="49"/>
      <c r="T322" s="49"/>
      <c r="U322" s="49"/>
      <c r="V322" s="49"/>
      <c r="W322" s="49"/>
      <c r="X322" s="49"/>
      <c r="Y322" s="49"/>
      <c r="Z322" s="49"/>
      <c r="AA322" s="49"/>
      <c r="AB322" s="49"/>
      <c r="AC322" s="49"/>
    </row>
    <row r="323" spans="1:29" ht="13">
      <c r="A323" s="47"/>
      <c r="B323" s="47"/>
      <c r="C323" s="49"/>
      <c r="D323" s="49"/>
      <c r="E323" s="49"/>
      <c r="F323" s="49"/>
      <c r="G323" s="49"/>
      <c r="H323" s="173"/>
      <c r="I323" s="49"/>
      <c r="J323" s="49"/>
      <c r="K323" s="49"/>
      <c r="L323" s="49"/>
      <c r="M323" s="49"/>
      <c r="N323" s="49"/>
      <c r="O323" s="49"/>
      <c r="P323" s="49"/>
      <c r="Q323" s="49"/>
      <c r="R323" s="49"/>
      <c r="S323" s="49"/>
      <c r="T323" s="49"/>
      <c r="U323" s="49"/>
      <c r="V323" s="49"/>
      <c r="W323" s="49"/>
      <c r="X323" s="49"/>
      <c r="Y323" s="49"/>
      <c r="Z323" s="49"/>
      <c r="AA323" s="49"/>
      <c r="AB323" s="49"/>
      <c r="AC323" s="49"/>
    </row>
    <row r="324" spans="1:29" ht="13">
      <c r="A324" s="47"/>
      <c r="B324" s="47"/>
      <c r="C324" s="49"/>
      <c r="D324" s="49"/>
      <c r="E324" s="49"/>
      <c r="F324" s="49"/>
      <c r="G324" s="49"/>
      <c r="H324" s="173"/>
      <c r="I324" s="49"/>
      <c r="J324" s="49"/>
      <c r="K324" s="49"/>
      <c r="L324" s="49"/>
      <c r="M324" s="49"/>
      <c r="N324" s="49"/>
      <c r="O324" s="49"/>
      <c r="P324" s="49"/>
      <c r="Q324" s="49"/>
      <c r="R324" s="49"/>
      <c r="S324" s="49"/>
      <c r="T324" s="49"/>
      <c r="U324" s="49"/>
      <c r="V324" s="49"/>
      <c r="W324" s="49"/>
      <c r="X324" s="49"/>
      <c r="Y324" s="49"/>
      <c r="Z324" s="49"/>
      <c r="AA324" s="49"/>
      <c r="AB324" s="49"/>
      <c r="AC324" s="49"/>
    </row>
    <row r="325" spans="1:29" ht="13">
      <c r="A325" s="47"/>
      <c r="B325" s="47"/>
      <c r="C325" s="49"/>
      <c r="D325" s="49"/>
      <c r="E325" s="49"/>
      <c r="F325" s="49"/>
      <c r="G325" s="49"/>
      <c r="H325" s="173"/>
      <c r="I325" s="49"/>
      <c r="J325" s="49"/>
      <c r="K325" s="49"/>
      <c r="L325" s="49"/>
      <c r="M325" s="49"/>
      <c r="N325" s="49"/>
      <c r="O325" s="49"/>
      <c r="P325" s="49"/>
      <c r="Q325" s="49"/>
      <c r="R325" s="49"/>
      <c r="S325" s="49"/>
      <c r="T325" s="49"/>
      <c r="U325" s="49"/>
      <c r="V325" s="49"/>
      <c r="W325" s="49"/>
      <c r="X325" s="49"/>
      <c r="Y325" s="49"/>
      <c r="Z325" s="49"/>
      <c r="AA325" s="49"/>
      <c r="AB325" s="49"/>
      <c r="AC325" s="49"/>
    </row>
    <row r="326" spans="1:29" ht="13">
      <c r="A326" s="47"/>
      <c r="B326" s="47"/>
      <c r="C326" s="49"/>
      <c r="D326" s="49"/>
      <c r="E326" s="49"/>
      <c r="F326" s="49"/>
      <c r="G326" s="49"/>
      <c r="H326" s="173"/>
      <c r="I326" s="49"/>
      <c r="J326" s="49"/>
      <c r="K326" s="49"/>
      <c r="L326" s="49"/>
      <c r="M326" s="49"/>
      <c r="N326" s="49"/>
      <c r="O326" s="49"/>
      <c r="P326" s="49"/>
      <c r="Q326" s="49"/>
      <c r="R326" s="49"/>
      <c r="S326" s="49"/>
      <c r="T326" s="49"/>
      <c r="U326" s="49"/>
      <c r="V326" s="49"/>
      <c r="W326" s="49"/>
      <c r="X326" s="49"/>
      <c r="Y326" s="49"/>
      <c r="Z326" s="49"/>
      <c r="AA326" s="49"/>
      <c r="AB326" s="49"/>
      <c r="AC326" s="49"/>
    </row>
    <row r="327" spans="1:29" ht="13">
      <c r="A327" s="47"/>
      <c r="B327" s="47"/>
      <c r="C327" s="49"/>
      <c r="D327" s="49"/>
      <c r="E327" s="49"/>
      <c r="F327" s="49"/>
      <c r="G327" s="49"/>
      <c r="H327" s="173"/>
      <c r="I327" s="49"/>
      <c r="J327" s="49"/>
      <c r="K327" s="49"/>
      <c r="L327" s="49"/>
      <c r="M327" s="49"/>
      <c r="N327" s="49"/>
      <c r="O327" s="49"/>
      <c r="P327" s="49"/>
      <c r="Q327" s="49"/>
      <c r="R327" s="49"/>
      <c r="S327" s="49"/>
      <c r="T327" s="49"/>
      <c r="U327" s="49"/>
      <c r="V327" s="49"/>
      <c r="W327" s="49"/>
      <c r="X327" s="49"/>
      <c r="Y327" s="49"/>
      <c r="Z327" s="49"/>
      <c r="AA327" s="49"/>
      <c r="AB327" s="49"/>
      <c r="AC327" s="49"/>
    </row>
    <row r="328" spans="1:29" ht="13">
      <c r="A328" s="47"/>
      <c r="B328" s="47"/>
      <c r="C328" s="49"/>
      <c r="D328" s="49"/>
      <c r="E328" s="49"/>
      <c r="F328" s="49"/>
      <c r="G328" s="49"/>
      <c r="H328" s="173"/>
      <c r="I328" s="49"/>
      <c r="J328" s="49"/>
      <c r="K328" s="49"/>
      <c r="L328" s="49"/>
      <c r="M328" s="49"/>
      <c r="N328" s="49"/>
      <c r="O328" s="49"/>
      <c r="P328" s="49"/>
      <c r="Q328" s="49"/>
      <c r="R328" s="49"/>
      <c r="S328" s="49"/>
      <c r="T328" s="49"/>
      <c r="U328" s="49"/>
      <c r="V328" s="49"/>
      <c r="W328" s="49"/>
      <c r="X328" s="49"/>
      <c r="Y328" s="49"/>
      <c r="Z328" s="49"/>
      <c r="AA328" s="49"/>
      <c r="AB328" s="49"/>
      <c r="AC328" s="49"/>
    </row>
    <row r="329" spans="1:29" ht="13">
      <c r="A329" s="47"/>
      <c r="B329" s="47"/>
      <c r="C329" s="49"/>
      <c r="D329" s="49"/>
      <c r="E329" s="49"/>
      <c r="F329" s="49"/>
      <c r="G329" s="49"/>
      <c r="H329" s="173"/>
      <c r="I329" s="49"/>
      <c r="J329" s="49"/>
      <c r="K329" s="49"/>
      <c r="L329" s="49"/>
      <c r="M329" s="49"/>
      <c r="N329" s="49"/>
      <c r="O329" s="49"/>
      <c r="P329" s="49"/>
      <c r="Q329" s="49"/>
      <c r="R329" s="49"/>
      <c r="S329" s="49"/>
      <c r="T329" s="49"/>
      <c r="U329" s="49"/>
      <c r="V329" s="49"/>
      <c r="W329" s="49"/>
      <c r="X329" s="49"/>
      <c r="Y329" s="49"/>
      <c r="Z329" s="49"/>
      <c r="AA329" s="49"/>
      <c r="AB329" s="49"/>
      <c r="AC329" s="49"/>
    </row>
    <row r="330" spans="1:29" ht="13">
      <c r="A330" s="47"/>
      <c r="B330" s="47"/>
      <c r="C330" s="49"/>
      <c r="D330" s="49"/>
      <c r="E330" s="49"/>
      <c r="F330" s="49"/>
      <c r="G330" s="49"/>
      <c r="H330" s="173"/>
      <c r="I330" s="49"/>
      <c r="J330" s="49"/>
      <c r="K330" s="49"/>
      <c r="L330" s="49"/>
      <c r="M330" s="49"/>
      <c r="N330" s="49"/>
      <c r="O330" s="49"/>
      <c r="P330" s="49"/>
      <c r="Q330" s="49"/>
      <c r="R330" s="49"/>
      <c r="S330" s="49"/>
      <c r="T330" s="49"/>
      <c r="U330" s="49"/>
      <c r="V330" s="49"/>
      <c r="W330" s="49"/>
      <c r="X330" s="49"/>
      <c r="Y330" s="49"/>
      <c r="Z330" s="49"/>
      <c r="AA330" s="49"/>
      <c r="AB330" s="49"/>
      <c r="AC330" s="49"/>
    </row>
    <row r="331" spans="1:29" ht="13">
      <c r="A331" s="47"/>
      <c r="B331" s="47"/>
      <c r="C331" s="49"/>
      <c r="D331" s="49"/>
      <c r="E331" s="49"/>
      <c r="F331" s="49"/>
      <c r="G331" s="49"/>
      <c r="H331" s="173"/>
      <c r="I331" s="49"/>
      <c r="J331" s="49"/>
      <c r="K331" s="49"/>
      <c r="L331" s="49"/>
      <c r="M331" s="49"/>
      <c r="N331" s="49"/>
      <c r="O331" s="49"/>
      <c r="P331" s="49"/>
      <c r="Q331" s="49"/>
      <c r="R331" s="49"/>
      <c r="S331" s="49"/>
      <c r="T331" s="49"/>
      <c r="U331" s="49"/>
      <c r="V331" s="49"/>
      <c r="W331" s="49"/>
      <c r="X331" s="49"/>
      <c r="Y331" s="49"/>
      <c r="Z331" s="49"/>
      <c r="AA331" s="49"/>
      <c r="AB331" s="49"/>
      <c r="AC331" s="49"/>
    </row>
    <row r="332" spans="1:29" ht="13">
      <c r="A332" s="47"/>
      <c r="B332" s="47"/>
      <c r="C332" s="49"/>
      <c r="D332" s="49"/>
      <c r="E332" s="49"/>
      <c r="F332" s="49"/>
      <c r="G332" s="49"/>
      <c r="H332" s="173"/>
      <c r="I332" s="49"/>
      <c r="J332" s="49"/>
      <c r="K332" s="49"/>
      <c r="L332" s="49"/>
      <c r="M332" s="49"/>
      <c r="N332" s="49"/>
      <c r="O332" s="49"/>
      <c r="P332" s="49"/>
      <c r="Q332" s="49"/>
      <c r="R332" s="49"/>
      <c r="S332" s="49"/>
      <c r="T332" s="49"/>
      <c r="U332" s="49"/>
      <c r="V332" s="49"/>
      <c r="W332" s="49"/>
      <c r="X332" s="49"/>
      <c r="Y332" s="49"/>
      <c r="Z332" s="49"/>
      <c r="AA332" s="49"/>
      <c r="AB332" s="49"/>
      <c r="AC332" s="49"/>
    </row>
    <row r="333" spans="1:29" ht="13">
      <c r="A333" s="47"/>
      <c r="B333" s="47"/>
      <c r="C333" s="49"/>
      <c r="D333" s="49"/>
      <c r="E333" s="49"/>
      <c r="F333" s="49"/>
      <c r="G333" s="49"/>
      <c r="H333" s="173"/>
      <c r="I333" s="49"/>
      <c r="J333" s="49"/>
      <c r="K333" s="49"/>
      <c r="L333" s="49"/>
      <c r="M333" s="49"/>
      <c r="N333" s="49"/>
      <c r="O333" s="49"/>
      <c r="P333" s="49"/>
      <c r="Q333" s="49"/>
      <c r="R333" s="49"/>
      <c r="S333" s="49"/>
      <c r="T333" s="49"/>
      <c r="U333" s="49"/>
      <c r="V333" s="49"/>
      <c r="W333" s="49"/>
      <c r="X333" s="49"/>
      <c r="Y333" s="49"/>
      <c r="Z333" s="49"/>
      <c r="AA333" s="49"/>
      <c r="AB333" s="49"/>
      <c r="AC333" s="49"/>
    </row>
    <row r="334" spans="1:29" ht="13">
      <c r="A334" s="47"/>
      <c r="B334" s="47"/>
      <c r="C334" s="49"/>
      <c r="D334" s="49"/>
      <c r="E334" s="49"/>
      <c r="F334" s="49"/>
      <c r="G334" s="49"/>
      <c r="H334" s="173"/>
      <c r="I334" s="49"/>
      <c r="J334" s="49"/>
      <c r="K334" s="49"/>
      <c r="L334" s="49"/>
      <c r="M334" s="49"/>
      <c r="N334" s="49"/>
      <c r="O334" s="49"/>
      <c r="P334" s="49"/>
      <c r="Q334" s="49"/>
      <c r="R334" s="49"/>
      <c r="S334" s="49"/>
      <c r="T334" s="49"/>
      <c r="U334" s="49"/>
      <c r="V334" s="49"/>
      <c r="W334" s="49"/>
      <c r="X334" s="49"/>
      <c r="Y334" s="49"/>
      <c r="Z334" s="49"/>
      <c r="AA334" s="49"/>
      <c r="AB334" s="49"/>
      <c r="AC334" s="49"/>
    </row>
    <row r="335" spans="1:29" ht="13">
      <c r="A335" s="47"/>
      <c r="B335" s="47"/>
      <c r="C335" s="49"/>
      <c r="D335" s="49"/>
      <c r="E335" s="49"/>
      <c r="F335" s="49"/>
      <c r="G335" s="49"/>
      <c r="H335" s="173"/>
      <c r="I335" s="49"/>
      <c r="J335" s="49"/>
      <c r="K335" s="49"/>
      <c r="L335" s="49"/>
      <c r="M335" s="49"/>
      <c r="N335" s="49"/>
      <c r="O335" s="49"/>
      <c r="P335" s="49"/>
      <c r="Q335" s="49"/>
      <c r="R335" s="49"/>
      <c r="S335" s="49"/>
      <c r="T335" s="49"/>
      <c r="U335" s="49"/>
      <c r="V335" s="49"/>
      <c r="W335" s="49"/>
      <c r="X335" s="49"/>
      <c r="Y335" s="49"/>
      <c r="Z335" s="49"/>
      <c r="AA335" s="49"/>
      <c r="AB335" s="49"/>
      <c r="AC335" s="49"/>
    </row>
    <row r="336" spans="1:29" ht="13">
      <c r="A336" s="47"/>
      <c r="B336" s="47"/>
      <c r="C336" s="49"/>
      <c r="D336" s="49"/>
      <c r="E336" s="49"/>
      <c r="F336" s="49"/>
      <c r="G336" s="49"/>
      <c r="H336" s="173"/>
      <c r="I336" s="49"/>
      <c r="J336" s="49"/>
      <c r="K336" s="49"/>
      <c r="L336" s="49"/>
      <c r="M336" s="49"/>
      <c r="N336" s="49"/>
      <c r="O336" s="49"/>
      <c r="P336" s="49"/>
      <c r="Q336" s="49"/>
      <c r="R336" s="49"/>
      <c r="S336" s="49"/>
      <c r="T336" s="49"/>
      <c r="U336" s="49"/>
      <c r="V336" s="49"/>
      <c r="W336" s="49"/>
      <c r="X336" s="49"/>
      <c r="Y336" s="49"/>
      <c r="Z336" s="49"/>
      <c r="AA336" s="49"/>
      <c r="AB336" s="49"/>
      <c r="AC336" s="49"/>
    </row>
    <row r="337" spans="1:29" ht="13">
      <c r="A337" s="47"/>
      <c r="B337" s="47"/>
      <c r="C337" s="49"/>
      <c r="D337" s="49"/>
      <c r="E337" s="49"/>
      <c r="F337" s="49"/>
      <c r="G337" s="49"/>
      <c r="H337" s="173"/>
      <c r="I337" s="49"/>
      <c r="J337" s="49"/>
      <c r="K337" s="49"/>
      <c r="L337" s="49"/>
      <c r="M337" s="49"/>
      <c r="N337" s="49"/>
      <c r="O337" s="49"/>
      <c r="P337" s="49"/>
      <c r="Q337" s="49"/>
      <c r="R337" s="49"/>
      <c r="S337" s="49"/>
      <c r="T337" s="49"/>
      <c r="U337" s="49"/>
      <c r="V337" s="49"/>
      <c r="W337" s="49"/>
      <c r="X337" s="49"/>
      <c r="Y337" s="49"/>
      <c r="Z337" s="49"/>
      <c r="AA337" s="49"/>
      <c r="AB337" s="49"/>
      <c r="AC337" s="49"/>
    </row>
    <row r="338" spans="1:29" ht="13">
      <c r="A338" s="47"/>
      <c r="B338" s="47"/>
      <c r="C338" s="49"/>
      <c r="D338" s="49"/>
      <c r="E338" s="49"/>
      <c r="F338" s="49"/>
      <c r="G338" s="49"/>
      <c r="H338" s="173"/>
      <c r="I338" s="49"/>
      <c r="J338" s="49"/>
      <c r="K338" s="49"/>
      <c r="L338" s="49"/>
      <c r="M338" s="49"/>
      <c r="N338" s="49"/>
      <c r="O338" s="49"/>
      <c r="P338" s="49"/>
      <c r="Q338" s="49"/>
      <c r="R338" s="49"/>
      <c r="S338" s="49"/>
      <c r="T338" s="49"/>
      <c r="U338" s="49"/>
      <c r="V338" s="49"/>
      <c r="W338" s="49"/>
      <c r="X338" s="49"/>
      <c r="Y338" s="49"/>
      <c r="Z338" s="49"/>
      <c r="AA338" s="49"/>
      <c r="AB338" s="49"/>
      <c r="AC338" s="49"/>
    </row>
    <row r="339" spans="1:29" ht="13">
      <c r="A339" s="47"/>
      <c r="B339" s="47"/>
      <c r="C339" s="49"/>
      <c r="D339" s="49"/>
      <c r="E339" s="49"/>
      <c r="F339" s="49"/>
      <c r="G339" s="49"/>
      <c r="H339" s="173"/>
      <c r="I339" s="49"/>
      <c r="J339" s="49"/>
      <c r="K339" s="49"/>
      <c r="L339" s="49"/>
      <c r="M339" s="49"/>
      <c r="N339" s="49"/>
      <c r="O339" s="49"/>
      <c r="P339" s="49"/>
      <c r="Q339" s="49"/>
      <c r="R339" s="49"/>
      <c r="S339" s="49"/>
      <c r="T339" s="49"/>
      <c r="U339" s="49"/>
      <c r="V339" s="49"/>
      <c r="W339" s="49"/>
      <c r="X339" s="49"/>
      <c r="Y339" s="49"/>
      <c r="Z339" s="49"/>
      <c r="AA339" s="49"/>
      <c r="AB339" s="49"/>
      <c r="AC339" s="49"/>
    </row>
    <row r="340" spans="1:29" ht="13">
      <c r="A340" s="47"/>
      <c r="B340" s="47"/>
      <c r="C340" s="49"/>
      <c r="D340" s="49"/>
      <c r="E340" s="49"/>
      <c r="F340" s="49"/>
      <c r="G340" s="49"/>
      <c r="H340" s="173"/>
      <c r="I340" s="49"/>
      <c r="J340" s="49"/>
      <c r="K340" s="49"/>
      <c r="L340" s="49"/>
      <c r="M340" s="49"/>
      <c r="N340" s="49"/>
      <c r="O340" s="49"/>
      <c r="P340" s="49"/>
      <c r="Q340" s="49"/>
      <c r="R340" s="49"/>
      <c r="S340" s="49"/>
      <c r="T340" s="49"/>
      <c r="U340" s="49"/>
      <c r="V340" s="49"/>
      <c r="W340" s="49"/>
      <c r="X340" s="49"/>
      <c r="Y340" s="49"/>
      <c r="Z340" s="49"/>
      <c r="AA340" s="49"/>
      <c r="AB340" s="49"/>
      <c r="AC340" s="49"/>
    </row>
    <row r="341" spans="1:29" ht="13">
      <c r="A341" s="47"/>
      <c r="B341" s="47"/>
      <c r="C341" s="49"/>
      <c r="D341" s="49"/>
      <c r="E341" s="49"/>
      <c r="F341" s="49"/>
      <c r="G341" s="49"/>
      <c r="H341" s="173"/>
      <c r="I341" s="49"/>
      <c r="J341" s="49"/>
      <c r="K341" s="49"/>
      <c r="L341" s="49"/>
      <c r="M341" s="49"/>
      <c r="N341" s="49"/>
      <c r="O341" s="49"/>
      <c r="P341" s="49"/>
      <c r="Q341" s="49"/>
      <c r="R341" s="49"/>
      <c r="S341" s="49"/>
      <c r="T341" s="49"/>
      <c r="U341" s="49"/>
      <c r="V341" s="49"/>
      <c r="W341" s="49"/>
      <c r="X341" s="49"/>
      <c r="Y341" s="49"/>
      <c r="Z341" s="49"/>
      <c r="AA341" s="49"/>
      <c r="AB341" s="49"/>
      <c r="AC341" s="49"/>
    </row>
    <row r="342" spans="1:29" ht="13">
      <c r="A342" s="47"/>
      <c r="B342" s="47"/>
      <c r="C342" s="49"/>
      <c r="D342" s="49"/>
      <c r="E342" s="49"/>
      <c r="F342" s="49"/>
      <c r="G342" s="49"/>
      <c r="H342" s="173"/>
      <c r="I342" s="49"/>
      <c r="J342" s="49"/>
      <c r="K342" s="49"/>
      <c r="L342" s="49"/>
      <c r="M342" s="49"/>
      <c r="N342" s="49"/>
      <c r="O342" s="49"/>
      <c r="P342" s="49"/>
      <c r="Q342" s="49"/>
      <c r="R342" s="49"/>
      <c r="S342" s="49"/>
      <c r="T342" s="49"/>
      <c r="U342" s="49"/>
      <c r="V342" s="49"/>
      <c r="W342" s="49"/>
      <c r="X342" s="49"/>
      <c r="Y342" s="49"/>
      <c r="Z342" s="49"/>
      <c r="AA342" s="49"/>
      <c r="AB342" s="49"/>
      <c r="AC342" s="49"/>
    </row>
    <row r="343" spans="1:29" ht="13">
      <c r="A343" s="47"/>
      <c r="B343" s="47"/>
      <c r="C343" s="49"/>
      <c r="D343" s="49"/>
      <c r="E343" s="49"/>
      <c r="F343" s="49"/>
      <c r="G343" s="49"/>
      <c r="H343" s="173"/>
      <c r="I343" s="49"/>
      <c r="J343" s="49"/>
      <c r="K343" s="49"/>
      <c r="L343" s="49"/>
      <c r="M343" s="49"/>
      <c r="N343" s="49"/>
      <c r="O343" s="49"/>
      <c r="P343" s="49"/>
      <c r="Q343" s="49"/>
      <c r="R343" s="49"/>
      <c r="S343" s="49"/>
      <c r="T343" s="49"/>
      <c r="U343" s="49"/>
      <c r="V343" s="49"/>
      <c r="W343" s="49"/>
      <c r="X343" s="49"/>
      <c r="Y343" s="49"/>
      <c r="Z343" s="49"/>
      <c r="AA343" s="49"/>
      <c r="AB343" s="49"/>
      <c r="AC343" s="49"/>
    </row>
    <row r="344" spans="1:29" ht="13">
      <c r="A344" s="47"/>
      <c r="B344" s="47"/>
      <c r="C344" s="49"/>
      <c r="D344" s="49"/>
      <c r="E344" s="49"/>
      <c r="F344" s="49"/>
      <c r="G344" s="49"/>
      <c r="H344" s="173"/>
      <c r="I344" s="49"/>
      <c r="J344" s="49"/>
      <c r="K344" s="49"/>
      <c r="L344" s="49"/>
      <c r="M344" s="49"/>
      <c r="N344" s="49"/>
      <c r="O344" s="49"/>
      <c r="P344" s="49"/>
      <c r="Q344" s="49"/>
      <c r="R344" s="49"/>
      <c r="S344" s="49"/>
      <c r="T344" s="49"/>
      <c r="U344" s="49"/>
      <c r="V344" s="49"/>
      <c r="W344" s="49"/>
      <c r="X344" s="49"/>
      <c r="Y344" s="49"/>
      <c r="Z344" s="49"/>
      <c r="AA344" s="49"/>
      <c r="AB344" s="49"/>
      <c r="AC344" s="49"/>
    </row>
    <row r="345" spans="1:29" ht="13">
      <c r="A345" s="47"/>
      <c r="B345" s="47"/>
      <c r="C345" s="49"/>
      <c r="D345" s="49"/>
      <c r="E345" s="49"/>
      <c r="F345" s="49"/>
      <c r="G345" s="49"/>
      <c r="H345" s="173"/>
      <c r="I345" s="49"/>
      <c r="J345" s="49"/>
      <c r="K345" s="49"/>
      <c r="L345" s="49"/>
      <c r="M345" s="49"/>
      <c r="N345" s="49"/>
      <c r="O345" s="49"/>
      <c r="P345" s="49"/>
      <c r="Q345" s="49"/>
      <c r="R345" s="49"/>
      <c r="S345" s="49"/>
      <c r="T345" s="49"/>
      <c r="U345" s="49"/>
      <c r="V345" s="49"/>
      <c r="W345" s="49"/>
      <c r="X345" s="49"/>
      <c r="Y345" s="49"/>
      <c r="Z345" s="49"/>
      <c r="AA345" s="49"/>
      <c r="AB345" s="49"/>
      <c r="AC345" s="49"/>
    </row>
    <row r="346" spans="1:29" ht="13">
      <c r="A346" s="47"/>
      <c r="B346" s="47"/>
      <c r="C346" s="49"/>
      <c r="D346" s="49"/>
      <c r="E346" s="49"/>
      <c r="F346" s="49"/>
      <c r="G346" s="49"/>
      <c r="H346" s="173"/>
      <c r="I346" s="49"/>
      <c r="J346" s="49"/>
      <c r="K346" s="49"/>
      <c r="L346" s="49"/>
      <c r="M346" s="49"/>
      <c r="N346" s="49"/>
      <c r="O346" s="49"/>
      <c r="P346" s="49"/>
      <c r="Q346" s="49"/>
      <c r="R346" s="49"/>
      <c r="S346" s="49"/>
      <c r="T346" s="49"/>
      <c r="U346" s="49"/>
      <c r="V346" s="49"/>
      <c r="W346" s="49"/>
      <c r="X346" s="49"/>
      <c r="Y346" s="49"/>
      <c r="Z346" s="49"/>
      <c r="AA346" s="49"/>
      <c r="AB346" s="49"/>
      <c r="AC346" s="49"/>
    </row>
    <row r="347" spans="1:29" ht="13">
      <c r="A347" s="47"/>
      <c r="B347" s="47"/>
      <c r="C347" s="49"/>
      <c r="D347" s="49"/>
      <c r="E347" s="49"/>
      <c r="F347" s="49"/>
      <c r="G347" s="49"/>
      <c r="H347" s="173"/>
      <c r="I347" s="49"/>
      <c r="J347" s="49"/>
      <c r="K347" s="49"/>
      <c r="L347" s="49"/>
      <c r="M347" s="49"/>
      <c r="N347" s="49"/>
      <c r="O347" s="49"/>
      <c r="P347" s="49"/>
      <c r="Q347" s="49"/>
      <c r="R347" s="49"/>
      <c r="S347" s="49"/>
      <c r="T347" s="49"/>
      <c r="U347" s="49"/>
      <c r="V347" s="49"/>
      <c r="W347" s="49"/>
      <c r="X347" s="49"/>
      <c r="Y347" s="49"/>
      <c r="Z347" s="49"/>
      <c r="AA347" s="49"/>
      <c r="AB347" s="49"/>
      <c r="AC347" s="49"/>
    </row>
    <row r="348" spans="1:29" ht="13">
      <c r="A348" s="47"/>
      <c r="B348" s="47"/>
      <c r="C348" s="49"/>
      <c r="D348" s="49"/>
      <c r="E348" s="49"/>
      <c r="F348" s="49"/>
      <c r="G348" s="49"/>
      <c r="H348" s="173"/>
      <c r="I348" s="49"/>
      <c r="J348" s="49"/>
      <c r="K348" s="49"/>
      <c r="L348" s="49"/>
      <c r="M348" s="49"/>
      <c r="N348" s="49"/>
      <c r="O348" s="49"/>
      <c r="P348" s="49"/>
      <c r="Q348" s="49"/>
      <c r="R348" s="49"/>
      <c r="S348" s="49"/>
      <c r="T348" s="49"/>
      <c r="U348" s="49"/>
      <c r="V348" s="49"/>
      <c r="W348" s="49"/>
      <c r="X348" s="49"/>
      <c r="Y348" s="49"/>
      <c r="Z348" s="49"/>
      <c r="AA348" s="49"/>
      <c r="AB348" s="49"/>
      <c r="AC348" s="49"/>
    </row>
    <row r="349" spans="1:29" ht="13">
      <c r="A349" s="47"/>
      <c r="B349" s="47"/>
      <c r="C349" s="49"/>
      <c r="D349" s="49"/>
      <c r="E349" s="49"/>
      <c r="F349" s="49"/>
      <c r="G349" s="49"/>
      <c r="H349" s="173"/>
      <c r="I349" s="49"/>
      <c r="J349" s="49"/>
      <c r="K349" s="49"/>
      <c r="L349" s="49"/>
      <c r="M349" s="49"/>
      <c r="N349" s="49"/>
      <c r="O349" s="49"/>
      <c r="P349" s="49"/>
      <c r="Q349" s="49"/>
      <c r="R349" s="49"/>
      <c r="S349" s="49"/>
      <c r="T349" s="49"/>
      <c r="U349" s="49"/>
      <c r="V349" s="49"/>
      <c r="W349" s="49"/>
      <c r="X349" s="49"/>
      <c r="Y349" s="49"/>
      <c r="Z349" s="49"/>
      <c r="AA349" s="49"/>
      <c r="AB349" s="49"/>
      <c r="AC349" s="49"/>
    </row>
    <row r="350" spans="1:29" ht="13">
      <c r="A350" s="47"/>
      <c r="B350" s="47"/>
      <c r="C350" s="49"/>
      <c r="D350" s="49"/>
      <c r="E350" s="49"/>
      <c r="F350" s="49"/>
      <c r="G350" s="49"/>
      <c r="H350" s="173"/>
      <c r="I350" s="49"/>
      <c r="J350" s="49"/>
      <c r="K350" s="49"/>
      <c r="L350" s="49"/>
      <c r="M350" s="49"/>
      <c r="N350" s="49"/>
      <c r="O350" s="49"/>
      <c r="P350" s="49"/>
      <c r="Q350" s="49"/>
      <c r="R350" s="49"/>
      <c r="S350" s="49"/>
      <c r="T350" s="49"/>
      <c r="U350" s="49"/>
      <c r="V350" s="49"/>
      <c r="W350" s="49"/>
      <c r="X350" s="49"/>
      <c r="Y350" s="49"/>
      <c r="Z350" s="49"/>
      <c r="AA350" s="49"/>
      <c r="AB350" s="49"/>
      <c r="AC350" s="49"/>
    </row>
    <row r="351" spans="1:29" ht="13">
      <c r="A351" s="47"/>
      <c r="B351" s="47"/>
      <c r="C351" s="49"/>
      <c r="D351" s="49"/>
      <c r="E351" s="49"/>
      <c r="F351" s="49"/>
      <c r="G351" s="49"/>
      <c r="H351" s="173"/>
      <c r="I351" s="49"/>
      <c r="J351" s="49"/>
      <c r="K351" s="49"/>
      <c r="L351" s="49"/>
      <c r="M351" s="49"/>
      <c r="N351" s="49"/>
      <c r="O351" s="49"/>
      <c r="P351" s="49"/>
      <c r="Q351" s="49"/>
      <c r="R351" s="49"/>
      <c r="S351" s="49"/>
      <c r="T351" s="49"/>
      <c r="U351" s="49"/>
      <c r="V351" s="49"/>
      <c r="W351" s="49"/>
      <c r="X351" s="49"/>
      <c r="Y351" s="49"/>
      <c r="Z351" s="49"/>
      <c r="AA351" s="49"/>
      <c r="AB351" s="49"/>
      <c r="AC351" s="49"/>
    </row>
    <row r="352" spans="1:29" ht="13">
      <c r="A352" s="47"/>
      <c r="B352" s="47"/>
      <c r="C352" s="49"/>
      <c r="D352" s="49"/>
      <c r="E352" s="49"/>
      <c r="F352" s="49"/>
      <c r="G352" s="49"/>
      <c r="H352" s="173"/>
      <c r="I352" s="49"/>
      <c r="J352" s="49"/>
      <c r="K352" s="49"/>
      <c r="L352" s="49"/>
      <c r="M352" s="49"/>
      <c r="N352" s="49"/>
      <c r="O352" s="49"/>
      <c r="P352" s="49"/>
      <c r="Q352" s="49"/>
      <c r="R352" s="49"/>
      <c r="S352" s="49"/>
      <c r="T352" s="49"/>
      <c r="U352" s="49"/>
      <c r="V352" s="49"/>
      <c r="W352" s="49"/>
      <c r="X352" s="49"/>
      <c r="Y352" s="49"/>
      <c r="Z352" s="49"/>
      <c r="AA352" s="49"/>
      <c r="AB352" s="49"/>
      <c r="AC352" s="49"/>
    </row>
    <row r="353" spans="1:29" ht="13">
      <c r="A353" s="47"/>
      <c r="B353" s="47"/>
      <c r="C353" s="49"/>
      <c r="D353" s="49"/>
      <c r="E353" s="49"/>
      <c r="F353" s="49"/>
      <c r="G353" s="49"/>
      <c r="H353" s="173"/>
      <c r="I353" s="49"/>
      <c r="J353" s="49"/>
      <c r="K353" s="49"/>
      <c r="L353" s="49"/>
      <c r="M353" s="49"/>
      <c r="N353" s="49"/>
      <c r="O353" s="49"/>
      <c r="P353" s="49"/>
      <c r="Q353" s="49"/>
      <c r="R353" s="49"/>
      <c r="S353" s="49"/>
      <c r="T353" s="49"/>
      <c r="U353" s="49"/>
      <c r="V353" s="49"/>
      <c r="W353" s="49"/>
      <c r="X353" s="49"/>
      <c r="Y353" s="49"/>
      <c r="Z353" s="49"/>
      <c r="AA353" s="49"/>
      <c r="AB353" s="49"/>
      <c r="AC353" s="49"/>
    </row>
    <row r="354" spans="1:29" ht="13">
      <c r="A354" s="47"/>
      <c r="B354" s="47"/>
      <c r="C354" s="49"/>
      <c r="D354" s="49"/>
      <c r="E354" s="49"/>
      <c r="F354" s="49"/>
      <c r="G354" s="49"/>
      <c r="H354" s="173"/>
      <c r="I354" s="49"/>
      <c r="J354" s="49"/>
      <c r="K354" s="49"/>
      <c r="L354" s="49"/>
      <c r="M354" s="49"/>
      <c r="N354" s="49"/>
      <c r="O354" s="49"/>
      <c r="P354" s="49"/>
      <c r="Q354" s="49"/>
      <c r="R354" s="49"/>
      <c r="S354" s="49"/>
      <c r="T354" s="49"/>
      <c r="U354" s="49"/>
      <c r="V354" s="49"/>
      <c r="W354" s="49"/>
      <c r="X354" s="49"/>
      <c r="Y354" s="49"/>
      <c r="Z354" s="49"/>
      <c r="AA354" s="49"/>
      <c r="AB354" s="49"/>
      <c r="AC354" s="49"/>
    </row>
    <row r="355" spans="1:29" ht="13">
      <c r="A355" s="47"/>
      <c r="B355" s="47"/>
      <c r="C355" s="49"/>
      <c r="D355" s="49"/>
      <c r="E355" s="49"/>
      <c r="F355" s="49"/>
      <c r="G355" s="49"/>
      <c r="H355" s="173"/>
      <c r="I355" s="49"/>
      <c r="J355" s="49"/>
      <c r="K355" s="49"/>
      <c r="L355" s="49"/>
      <c r="M355" s="49"/>
      <c r="N355" s="49"/>
      <c r="O355" s="49"/>
      <c r="P355" s="49"/>
      <c r="Q355" s="49"/>
      <c r="R355" s="49"/>
      <c r="S355" s="49"/>
      <c r="T355" s="49"/>
      <c r="U355" s="49"/>
      <c r="V355" s="49"/>
      <c r="W355" s="49"/>
      <c r="X355" s="49"/>
      <c r="Y355" s="49"/>
      <c r="Z355" s="49"/>
      <c r="AA355" s="49"/>
      <c r="AB355" s="49"/>
      <c r="AC355" s="49"/>
    </row>
    <row r="356" spans="1:29" ht="13">
      <c r="A356" s="47"/>
      <c r="B356" s="47"/>
      <c r="C356" s="49"/>
      <c r="D356" s="49"/>
      <c r="E356" s="49"/>
      <c r="F356" s="49"/>
      <c r="G356" s="49"/>
      <c r="H356" s="173"/>
      <c r="I356" s="49"/>
      <c r="J356" s="49"/>
      <c r="K356" s="49"/>
      <c r="L356" s="49"/>
      <c r="M356" s="49"/>
      <c r="N356" s="49"/>
      <c r="O356" s="49"/>
      <c r="P356" s="49"/>
      <c r="Q356" s="49"/>
      <c r="R356" s="49"/>
      <c r="S356" s="49"/>
      <c r="T356" s="49"/>
      <c r="U356" s="49"/>
      <c r="V356" s="49"/>
      <c r="W356" s="49"/>
      <c r="X356" s="49"/>
      <c r="Y356" s="49"/>
      <c r="Z356" s="49"/>
      <c r="AA356" s="49"/>
      <c r="AB356" s="49"/>
      <c r="AC356" s="49"/>
    </row>
    <row r="357" spans="1:29" ht="13">
      <c r="A357" s="47"/>
      <c r="B357" s="47"/>
      <c r="C357" s="49"/>
      <c r="D357" s="49"/>
      <c r="E357" s="49"/>
      <c r="F357" s="49"/>
      <c r="G357" s="49"/>
      <c r="H357" s="173"/>
      <c r="I357" s="49"/>
      <c r="J357" s="49"/>
      <c r="K357" s="49"/>
      <c r="L357" s="49"/>
      <c r="M357" s="49"/>
      <c r="N357" s="49"/>
      <c r="O357" s="49"/>
      <c r="P357" s="49"/>
      <c r="Q357" s="49"/>
      <c r="R357" s="49"/>
      <c r="S357" s="49"/>
      <c r="T357" s="49"/>
      <c r="U357" s="49"/>
      <c r="V357" s="49"/>
      <c r="W357" s="49"/>
      <c r="X357" s="49"/>
      <c r="Y357" s="49"/>
      <c r="Z357" s="49"/>
      <c r="AA357" s="49"/>
      <c r="AB357" s="49"/>
      <c r="AC357" s="49"/>
    </row>
    <row r="358" spans="1:29" ht="13">
      <c r="A358" s="47"/>
      <c r="B358" s="47"/>
      <c r="C358" s="49"/>
      <c r="D358" s="49"/>
      <c r="E358" s="49"/>
      <c r="F358" s="49"/>
      <c r="G358" s="49"/>
      <c r="H358" s="173"/>
      <c r="I358" s="49"/>
      <c r="J358" s="49"/>
      <c r="K358" s="49"/>
      <c r="L358" s="49"/>
      <c r="M358" s="49"/>
      <c r="N358" s="49"/>
      <c r="O358" s="49"/>
      <c r="P358" s="49"/>
      <c r="Q358" s="49"/>
      <c r="R358" s="49"/>
      <c r="S358" s="49"/>
      <c r="T358" s="49"/>
      <c r="U358" s="49"/>
      <c r="V358" s="49"/>
      <c r="W358" s="49"/>
      <c r="X358" s="49"/>
      <c r="Y358" s="49"/>
      <c r="Z358" s="49"/>
      <c r="AA358" s="49"/>
      <c r="AB358" s="49"/>
      <c r="AC358" s="49"/>
    </row>
    <row r="359" spans="1:29" ht="13">
      <c r="A359" s="47"/>
      <c r="B359" s="47"/>
      <c r="C359" s="49"/>
      <c r="D359" s="49"/>
      <c r="E359" s="49"/>
      <c r="F359" s="49"/>
      <c r="G359" s="49"/>
      <c r="H359" s="173"/>
      <c r="I359" s="49"/>
      <c r="J359" s="49"/>
      <c r="K359" s="49"/>
      <c r="L359" s="49"/>
      <c r="M359" s="49"/>
      <c r="N359" s="49"/>
      <c r="O359" s="49"/>
      <c r="P359" s="49"/>
      <c r="Q359" s="49"/>
      <c r="R359" s="49"/>
      <c r="S359" s="49"/>
      <c r="T359" s="49"/>
      <c r="U359" s="49"/>
      <c r="V359" s="49"/>
      <c r="W359" s="49"/>
      <c r="X359" s="49"/>
      <c r="Y359" s="49"/>
      <c r="Z359" s="49"/>
      <c r="AA359" s="49"/>
      <c r="AB359" s="49"/>
      <c r="AC359" s="49"/>
    </row>
    <row r="360" spans="1:29" ht="13">
      <c r="A360" s="47"/>
      <c r="B360" s="47"/>
      <c r="C360" s="49"/>
      <c r="D360" s="49"/>
      <c r="E360" s="49"/>
      <c r="F360" s="49"/>
      <c r="G360" s="49"/>
      <c r="H360" s="173"/>
      <c r="I360" s="49"/>
      <c r="J360" s="49"/>
      <c r="K360" s="49"/>
      <c r="L360" s="49"/>
      <c r="M360" s="49"/>
      <c r="N360" s="49"/>
      <c r="O360" s="49"/>
      <c r="P360" s="49"/>
      <c r="Q360" s="49"/>
      <c r="R360" s="49"/>
      <c r="S360" s="49"/>
      <c r="T360" s="49"/>
      <c r="U360" s="49"/>
      <c r="V360" s="49"/>
      <c r="W360" s="49"/>
      <c r="X360" s="49"/>
      <c r="Y360" s="49"/>
      <c r="Z360" s="49"/>
      <c r="AA360" s="49"/>
      <c r="AB360" s="49"/>
      <c r="AC360" s="49"/>
    </row>
    <row r="361" spans="1:29" ht="13">
      <c r="A361" s="47"/>
      <c r="B361" s="47"/>
      <c r="C361" s="49"/>
      <c r="D361" s="49"/>
      <c r="E361" s="49"/>
      <c r="F361" s="49"/>
      <c r="G361" s="49"/>
      <c r="H361" s="173"/>
      <c r="I361" s="49"/>
      <c r="J361" s="49"/>
      <c r="K361" s="49"/>
      <c r="L361" s="49"/>
      <c r="M361" s="49"/>
      <c r="N361" s="49"/>
      <c r="O361" s="49"/>
      <c r="P361" s="49"/>
      <c r="Q361" s="49"/>
      <c r="R361" s="49"/>
      <c r="S361" s="49"/>
      <c r="T361" s="49"/>
      <c r="U361" s="49"/>
      <c r="V361" s="49"/>
      <c r="W361" s="49"/>
      <c r="X361" s="49"/>
      <c r="Y361" s="49"/>
      <c r="Z361" s="49"/>
      <c r="AA361" s="49"/>
      <c r="AB361" s="49"/>
      <c r="AC361" s="49"/>
    </row>
    <row r="362" spans="1:29" ht="13">
      <c r="A362" s="47"/>
      <c r="B362" s="47"/>
      <c r="C362" s="49"/>
      <c r="D362" s="49"/>
      <c r="E362" s="49"/>
      <c r="F362" s="49"/>
      <c r="G362" s="49"/>
      <c r="H362" s="173"/>
      <c r="I362" s="49"/>
      <c r="J362" s="49"/>
      <c r="K362" s="49"/>
      <c r="L362" s="49"/>
      <c r="M362" s="49"/>
      <c r="N362" s="49"/>
      <c r="O362" s="49"/>
      <c r="P362" s="49"/>
      <c r="Q362" s="49"/>
      <c r="R362" s="49"/>
      <c r="S362" s="49"/>
      <c r="T362" s="49"/>
      <c r="U362" s="49"/>
      <c r="V362" s="49"/>
      <c r="W362" s="49"/>
      <c r="X362" s="49"/>
      <c r="Y362" s="49"/>
      <c r="Z362" s="49"/>
      <c r="AA362" s="49"/>
      <c r="AB362" s="49"/>
      <c r="AC362" s="49"/>
    </row>
    <row r="363" spans="1:29" ht="13">
      <c r="A363" s="47"/>
      <c r="B363" s="47"/>
      <c r="C363" s="49"/>
      <c r="D363" s="49"/>
      <c r="E363" s="49"/>
      <c r="F363" s="49"/>
      <c r="G363" s="49"/>
      <c r="H363" s="173"/>
      <c r="I363" s="49"/>
      <c r="J363" s="49"/>
      <c r="K363" s="49"/>
      <c r="L363" s="49"/>
      <c r="M363" s="49"/>
      <c r="N363" s="49"/>
      <c r="O363" s="49"/>
      <c r="P363" s="49"/>
      <c r="Q363" s="49"/>
      <c r="R363" s="49"/>
      <c r="S363" s="49"/>
      <c r="T363" s="49"/>
      <c r="U363" s="49"/>
      <c r="V363" s="49"/>
      <c r="W363" s="49"/>
      <c r="X363" s="49"/>
      <c r="Y363" s="49"/>
      <c r="Z363" s="49"/>
      <c r="AA363" s="49"/>
      <c r="AB363" s="49"/>
      <c r="AC363" s="49"/>
    </row>
    <row r="364" spans="1:29" ht="13">
      <c r="A364" s="47"/>
      <c r="B364" s="47"/>
      <c r="C364" s="49"/>
      <c r="D364" s="49"/>
      <c r="E364" s="49"/>
      <c r="F364" s="49"/>
      <c r="G364" s="49"/>
      <c r="H364" s="173"/>
      <c r="I364" s="49"/>
      <c r="J364" s="49"/>
      <c r="K364" s="49"/>
      <c r="L364" s="49"/>
      <c r="M364" s="49"/>
      <c r="N364" s="49"/>
      <c r="O364" s="49"/>
      <c r="P364" s="49"/>
      <c r="Q364" s="49"/>
      <c r="R364" s="49"/>
      <c r="S364" s="49"/>
      <c r="T364" s="49"/>
      <c r="U364" s="49"/>
      <c r="V364" s="49"/>
      <c r="W364" s="49"/>
      <c r="X364" s="49"/>
      <c r="Y364" s="49"/>
      <c r="Z364" s="49"/>
      <c r="AA364" s="49"/>
      <c r="AB364" s="49"/>
      <c r="AC364" s="49"/>
    </row>
    <row r="365" spans="1:29" ht="13">
      <c r="A365" s="47"/>
      <c r="B365" s="47"/>
      <c r="C365" s="49"/>
      <c r="D365" s="49"/>
      <c r="E365" s="49"/>
      <c r="F365" s="49"/>
      <c r="G365" s="49"/>
      <c r="H365" s="173"/>
      <c r="I365" s="49"/>
      <c r="J365" s="49"/>
      <c r="K365" s="49"/>
      <c r="L365" s="49"/>
      <c r="M365" s="49"/>
      <c r="N365" s="49"/>
      <c r="O365" s="49"/>
      <c r="P365" s="49"/>
      <c r="Q365" s="49"/>
      <c r="R365" s="49"/>
      <c r="S365" s="49"/>
      <c r="T365" s="49"/>
      <c r="U365" s="49"/>
      <c r="V365" s="49"/>
      <c r="W365" s="49"/>
      <c r="X365" s="49"/>
      <c r="Y365" s="49"/>
      <c r="Z365" s="49"/>
      <c r="AA365" s="49"/>
      <c r="AB365" s="49"/>
      <c r="AC365" s="49"/>
    </row>
    <row r="366" spans="1:29" ht="13">
      <c r="A366" s="47"/>
      <c r="B366" s="47"/>
      <c r="C366" s="49"/>
      <c r="D366" s="49"/>
      <c r="E366" s="49"/>
      <c r="F366" s="49"/>
      <c r="G366" s="49"/>
      <c r="H366" s="173"/>
      <c r="I366" s="49"/>
      <c r="J366" s="49"/>
      <c r="K366" s="49"/>
      <c r="L366" s="49"/>
      <c r="M366" s="49"/>
      <c r="N366" s="49"/>
      <c r="O366" s="49"/>
      <c r="P366" s="49"/>
      <c r="Q366" s="49"/>
      <c r="R366" s="49"/>
      <c r="S366" s="49"/>
      <c r="T366" s="49"/>
      <c r="U366" s="49"/>
      <c r="V366" s="49"/>
      <c r="W366" s="49"/>
      <c r="X366" s="49"/>
      <c r="Y366" s="49"/>
      <c r="Z366" s="49"/>
      <c r="AA366" s="49"/>
      <c r="AB366" s="49"/>
      <c r="AC366" s="49"/>
    </row>
    <row r="367" spans="1:29" ht="13">
      <c r="A367" s="47"/>
      <c r="B367" s="47"/>
      <c r="C367" s="49"/>
      <c r="D367" s="49"/>
      <c r="E367" s="49"/>
      <c r="F367" s="49"/>
      <c r="G367" s="49"/>
      <c r="H367" s="173"/>
      <c r="I367" s="49"/>
      <c r="J367" s="49"/>
      <c r="K367" s="49"/>
      <c r="L367" s="49"/>
      <c r="M367" s="49"/>
      <c r="N367" s="49"/>
      <c r="O367" s="49"/>
      <c r="P367" s="49"/>
      <c r="Q367" s="49"/>
      <c r="R367" s="49"/>
      <c r="S367" s="49"/>
      <c r="T367" s="49"/>
      <c r="U367" s="49"/>
      <c r="V367" s="49"/>
      <c r="W367" s="49"/>
      <c r="X367" s="49"/>
      <c r="Y367" s="49"/>
      <c r="Z367" s="49"/>
      <c r="AA367" s="49"/>
      <c r="AB367" s="49"/>
      <c r="AC367" s="49"/>
    </row>
    <row r="368" spans="1:29" ht="13">
      <c r="A368" s="47"/>
      <c r="B368" s="47"/>
      <c r="C368" s="49"/>
      <c r="D368" s="49"/>
      <c r="E368" s="49"/>
      <c r="F368" s="49"/>
      <c r="G368" s="49"/>
      <c r="H368" s="173"/>
      <c r="I368" s="49"/>
      <c r="J368" s="49"/>
      <c r="K368" s="49"/>
      <c r="L368" s="49"/>
      <c r="M368" s="49"/>
      <c r="N368" s="49"/>
      <c r="O368" s="49"/>
      <c r="P368" s="49"/>
      <c r="Q368" s="49"/>
      <c r="R368" s="49"/>
      <c r="S368" s="49"/>
      <c r="T368" s="49"/>
      <c r="U368" s="49"/>
      <c r="V368" s="49"/>
      <c r="W368" s="49"/>
      <c r="X368" s="49"/>
      <c r="Y368" s="49"/>
      <c r="Z368" s="49"/>
      <c r="AA368" s="49"/>
      <c r="AB368" s="49"/>
      <c r="AC368" s="49"/>
    </row>
    <row r="369" spans="1:29" ht="13">
      <c r="A369" s="47"/>
      <c r="B369" s="47"/>
      <c r="C369" s="49"/>
      <c r="D369" s="49"/>
      <c r="E369" s="49"/>
      <c r="F369" s="49"/>
      <c r="G369" s="49"/>
      <c r="H369" s="173"/>
      <c r="I369" s="49"/>
      <c r="J369" s="49"/>
      <c r="K369" s="49"/>
      <c r="L369" s="49"/>
      <c r="M369" s="49"/>
      <c r="N369" s="49"/>
      <c r="O369" s="49"/>
      <c r="P369" s="49"/>
      <c r="Q369" s="49"/>
      <c r="R369" s="49"/>
      <c r="S369" s="49"/>
      <c r="T369" s="49"/>
      <c r="U369" s="49"/>
      <c r="V369" s="49"/>
      <c r="W369" s="49"/>
      <c r="X369" s="49"/>
      <c r="Y369" s="49"/>
      <c r="Z369" s="49"/>
      <c r="AA369" s="49"/>
      <c r="AB369" s="49"/>
      <c r="AC369" s="49"/>
    </row>
    <row r="370" spans="1:29" ht="13">
      <c r="A370" s="47"/>
      <c r="B370" s="47"/>
      <c r="C370" s="49"/>
      <c r="D370" s="49"/>
      <c r="E370" s="49"/>
      <c r="F370" s="49"/>
      <c r="G370" s="49"/>
      <c r="H370" s="173"/>
      <c r="I370" s="49"/>
      <c r="J370" s="49"/>
      <c r="K370" s="49"/>
      <c r="L370" s="49"/>
      <c r="M370" s="49"/>
      <c r="N370" s="49"/>
      <c r="O370" s="49"/>
      <c r="P370" s="49"/>
      <c r="Q370" s="49"/>
      <c r="R370" s="49"/>
      <c r="S370" s="49"/>
      <c r="T370" s="49"/>
      <c r="U370" s="49"/>
      <c r="V370" s="49"/>
      <c r="W370" s="49"/>
      <c r="X370" s="49"/>
      <c r="Y370" s="49"/>
      <c r="Z370" s="49"/>
      <c r="AA370" s="49"/>
      <c r="AB370" s="49"/>
      <c r="AC370" s="49"/>
    </row>
    <row r="371" spans="1:29" ht="13">
      <c r="A371" s="47"/>
      <c r="B371" s="47"/>
      <c r="C371" s="49"/>
      <c r="D371" s="49"/>
      <c r="E371" s="49"/>
      <c r="F371" s="49"/>
      <c r="G371" s="49"/>
      <c r="H371" s="173"/>
      <c r="I371" s="49"/>
      <c r="J371" s="49"/>
      <c r="K371" s="49"/>
      <c r="L371" s="49"/>
      <c r="M371" s="49"/>
      <c r="N371" s="49"/>
      <c r="O371" s="49"/>
      <c r="P371" s="49"/>
      <c r="Q371" s="49"/>
      <c r="R371" s="49"/>
      <c r="S371" s="49"/>
      <c r="T371" s="49"/>
      <c r="U371" s="49"/>
      <c r="V371" s="49"/>
      <c r="W371" s="49"/>
      <c r="X371" s="49"/>
      <c r="Y371" s="49"/>
      <c r="Z371" s="49"/>
      <c r="AA371" s="49"/>
      <c r="AB371" s="49"/>
      <c r="AC371" s="49"/>
    </row>
    <row r="372" spans="1:29" ht="13">
      <c r="A372" s="47"/>
      <c r="B372" s="47"/>
      <c r="C372" s="49"/>
      <c r="D372" s="49"/>
      <c r="E372" s="49"/>
      <c r="F372" s="49"/>
      <c r="G372" s="49"/>
      <c r="H372" s="173"/>
      <c r="I372" s="49"/>
      <c r="J372" s="49"/>
      <c r="K372" s="49"/>
      <c r="L372" s="49"/>
      <c r="M372" s="49"/>
      <c r="N372" s="49"/>
      <c r="O372" s="49"/>
      <c r="P372" s="49"/>
      <c r="Q372" s="49"/>
      <c r="R372" s="49"/>
      <c r="S372" s="49"/>
      <c r="T372" s="49"/>
      <c r="U372" s="49"/>
      <c r="V372" s="49"/>
      <c r="W372" s="49"/>
      <c r="X372" s="49"/>
      <c r="Y372" s="49"/>
      <c r="Z372" s="49"/>
      <c r="AA372" s="49"/>
      <c r="AB372" s="49"/>
      <c r="AC372" s="49"/>
    </row>
    <row r="373" spans="1:29" ht="13">
      <c r="A373" s="47"/>
      <c r="B373" s="47"/>
      <c r="C373" s="49"/>
      <c r="D373" s="49"/>
      <c r="E373" s="49"/>
      <c r="F373" s="49"/>
      <c r="G373" s="49"/>
      <c r="H373" s="173"/>
      <c r="I373" s="49"/>
      <c r="J373" s="49"/>
      <c r="K373" s="49"/>
      <c r="L373" s="49"/>
      <c r="M373" s="49"/>
      <c r="N373" s="49"/>
      <c r="O373" s="49"/>
      <c r="P373" s="49"/>
      <c r="Q373" s="49"/>
      <c r="R373" s="49"/>
      <c r="S373" s="49"/>
      <c r="T373" s="49"/>
      <c r="U373" s="49"/>
      <c r="V373" s="49"/>
      <c r="W373" s="49"/>
      <c r="X373" s="49"/>
      <c r="Y373" s="49"/>
      <c r="Z373" s="49"/>
      <c r="AA373" s="49"/>
      <c r="AB373" s="49"/>
      <c r="AC373" s="49"/>
    </row>
    <row r="374" spans="1:29" ht="13">
      <c r="A374" s="47"/>
      <c r="B374" s="47"/>
      <c r="C374" s="49"/>
      <c r="D374" s="49"/>
      <c r="E374" s="49"/>
      <c r="F374" s="49"/>
      <c r="G374" s="49"/>
      <c r="H374" s="173"/>
      <c r="I374" s="49"/>
      <c r="J374" s="49"/>
      <c r="K374" s="49"/>
      <c r="L374" s="49"/>
      <c r="M374" s="49"/>
      <c r="N374" s="49"/>
      <c r="O374" s="49"/>
      <c r="P374" s="49"/>
      <c r="Q374" s="49"/>
      <c r="R374" s="49"/>
      <c r="S374" s="49"/>
      <c r="T374" s="49"/>
      <c r="U374" s="49"/>
      <c r="V374" s="49"/>
      <c r="W374" s="49"/>
      <c r="X374" s="49"/>
      <c r="Y374" s="49"/>
      <c r="Z374" s="49"/>
      <c r="AA374" s="49"/>
      <c r="AB374" s="49"/>
      <c r="AC374" s="49"/>
    </row>
    <row r="375" spans="1:29" ht="13">
      <c r="A375" s="47"/>
      <c r="B375" s="47"/>
      <c r="C375" s="49"/>
      <c r="D375" s="49"/>
      <c r="E375" s="49"/>
      <c r="F375" s="49"/>
      <c r="G375" s="49"/>
      <c r="H375" s="173"/>
      <c r="I375" s="49"/>
      <c r="J375" s="49"/>
      <c r="K375" s="49"/>
      <c r="L375" s="49"/>
      <c r="M375" s="49"/>
      <c r="N375" s="49"/>
      <c r="O375" s="49"/>
      <c r="P375" s="49"/>
      <c r="Q375" s="49"/>
      <c r="R375" s="49"/>
      <c r="S375" s="49"/>
      <c r="T375" s="49"/>
      <c r="U375" s="49"/>
      <c r="V375" s="49"/>
      <c r="W375" s="49"/>
      <c r="X375" s="49"/>
      <c r="Y375" s="49"/>
      <c r="Z375" s="49"/>
      <c r="AA375" s="49"/>
      <c r="AB375" s="49"/>
      <c r="AC375" s="49"/>
    </row>
    <row r="376" spans="1:29" ht="13">
      <c r="A376" s="47"/>
      <c r="B376" s="47"/>
      <c r="C376" s="49"/>
      <c r="D376" s="49"/>
      <c r="E376" s="49"/>
      <c r="F376" s="49"/>
      <c r="G376" s="49"/>
      <c r="H376" s="173"/>
      <c r="I376" s="49"/>
      <c r="J376" s="49"/>
      <c r="K376" s="49"/>
      <c r="L376" s="49"/>
      <c r="M376" s="49"/>
      <c r="N376" s="49"/>
      <c r="O376" s="49"/>
      <c r="P376" s="49"/>
      <c r="Q376" s="49"/>
      <c r="R376" s="49"/>
      <c r="S376" s="49"/>
      <c r="T376" s="49"/>
      <c r="U376" s="49"/>
      <c r="V376" s="49"/>
      <c r="W376" s="49"/>
      <c r="X376" s="49"/>
      <c r="Y376" s="49"/>
      <c r="Z376" s="49"/>
      <c r="AA376" s="49"/>
      <c r="AB376" s="49"/>
      <c r="AC376" s="49"/>
    </row>
    <row r="377" spans="1:29" ht="13">
      <c r="A377" s="47"/>
      <c r="B377" s="47"/>
      <c r="C377" s="49"/>
      <c r="D377" s="49"/>
      <c r="E377" s="49"/>
      <c r="F377" s="49"/>
      <c r="G377" s="49"/>
      <c r="H377" s="173"/>
      <c r="I377" s="49"/>
      <c r="J377" s="49"/>
      <c r="K377" s="49"/>
      <c r="L377" s="49"/>
      <c r="M377" s="49"/>
      <c r="N377" s="49"/>
      <c r="O377" s="49"/>
      <c r="P377" s="49"/>
      <c r="Q377" s="49"/>
      <c r="R377" s="49"/>
      <c r="S377" s="49"/>
      <c r="T377" s="49"/>
      <c r="U377" s="49"/>
      <c r="V377" s="49"/>
      <c r="W377" s="49"/>
      <c r="X377" s="49"/>
      <c r="Y377" s="49"/>
      <c r="Z377" s="49"/>
      <c r="AA377" s="49"/>
      <c r="AB377" s="49"/>
      <c r="AC377" s="49"/>
    </row>
    <row r="378" spans="1:29" ht="13">
      <c r="A378" s="47"/>
      <c r="B378" s="47"/>
      <c r="C378" s="49"/>
      <c r="D378" s="49"/>
      <c r="E378" s="49"/>
      <c r="F378" s="49"/>
      <c r="G378" s="49"/>
      <c r="H378" s="173"/>
      <c r="I378" s="49"/>
      <c r="J378" s="49"/>
      <c r="K378" s="49"/>
      <c r="L378" s="49"/>
      <c r="M378" s="49"/>
      <c r="N378" s="49"/>
      <c r="O378" s="49"/>
      <c r="P378" s="49"/>
      <c r="Q378" s="49"/>
      <c r="R378" s="49"/>
      <c r="S378" s="49"/>
      <c r="T378" s="49"/>
      <c r="U378" s="49"/>
      <c r="V378" s="49"/>
      <c r="W378" s="49"/>
      <c r="X378" s="49"/>
      <c r="Y378" s="49"/>
      <c r="Z378" s="49"/>
      <c r="AA378" s="49"/>
      <c r="AB378" s="49"/>
      <c r="AC378" s="49"/>
    </row>
    <row r="379" spans="1:29" ht="13">
      <c r="A379" s="47"/>
      <c r="B379" s="47"/>
      <c r="C379" s="49"/>
      <c r="D379" s="49"/>
      <c r="E379" s="49"/>
      <c r="F379" s="49"/>
      <c r="G379" s="49"/>
      <c r="H379" s="173"/>
      <c r="I379" s="49"/>
      <c r="J379" s="49"/>
      <c r="K379" s="49"/>
      <c r="L379" s="49"/>
      <c r="M379" s="49"/>
      <c r="N379" s="49"/>
      <c r="O379" s="49"/>
      <c r="P379" s="49"/>
      <c r="Q379" s="49"/>
      <c r="R379" s="49"/>
      <c r="S379" s="49"/>
      <c r="T379" s="49"/>
      <c r="U379" s="49"/>
      <c r="V379" s="49"/>
      <c r="W379" s="49"/>
      <c r="X379" s="49"/>
      <c r="Y379" s="49"/>
      <c r="Z379" s="49"/>
      <c r="AA379" s="49"/>
      <c r="AB379" s="49"/>
      <c r="AC379" s="49"/>
    </row>
    <row r="380" spans="1:29" ht="13">
      <c r="A380" s="47"/>
      <c r="B380" s="47"/>
      <c r="C380" s="49"/>
      <c r="D380" s="49"/>
      <c r="E380" s="49"/>
      <c r="F380" s="49"/>
      <c r="G380" s="49"/>
      <c r="H380" s="173"/>
      <c r="I380" s="49"/>
      <c r="J380" s="49"/>
      <c r="K380" s="49"/>
      <c r="L380" s="49"/>
      <c r="M380" s="49"/>
      <c r="N380" s="49"/>
      <c r="O380" s="49"/>
      <c r="P380" s="49"/>
      <c r="Q380" s="49"/>
      <c r="R380" s="49"/>
      <c r="S380" s="49"/>
      <c r="T380" s="49"/>
      <c r="U380" s="49"/>
      <c r="V380" s="49"/>
      <c r="W380" s="49"/>
      <c r="X380" s="49"/>
      <c r="Y380" s="49"/>
      <c r="Z380" s="49"/>
      <c r="AA380" s="49"/>
      <c r="AB380" s="49"/>
      <c r="AC380" s="49"/>
    </row>
    <row r="381" spans="1:29" ht="13">
      <c r="A381" s="47"/>
      <c r="B381" s="47"/>
      <c r="C381" s="49"/>
      <c r="D381" s="49"/>
      <c r="E381" s="49"/>
      <c r="F381" s="49"/>
      <c r="G381" s="49"/>
      <c r="H381" s="173"/>
      <c r="I381" s="49"/>
      <c r="J381" s="49"/>
      <c r="K381" s="49"/>
      <c r="L381" s="49"/>
      <c r="M381" s="49"/>
      <c r="N381" s="49"/>
      <c r="O381" s="49"/>
      <c r="P381" s="49"/>
      <c r="Q381" s="49"/>
      <c r="R381" s="49"/>
      <c r="S381" s="49"/>
      <c r="T381" s="49"/>
      <c r="U381" s="49"/>
      <c r="V381" s="49"/>
      <c r="W381" s="49"/>
      <c r="X381" s="49"/>
      <c r="Y381" s="49"/>
      <c r="Z381" s="49"/>
      <c r="AA381" s="49"/>
      <c r="AB381" s="49"/>
      <c r="AC381" s="49"/>
    </row>
    <row r="382" spans="1:29" ht="13">
      <c r="A382" s="47"/>
      <c r="B382" s="47"/>
      <c r="C382" s="49"/>
      <c r="D382" s="49"/>
      <c r="E382" s="49"/>
      <c r="F382" s="49"/>
      <c r="G382" s="49"/>
      <c r="H382" s="173"/>
      <c r="I382" s="49"/>
      <c r="J382" s="49"/>
      <c r="K382" s="49"/>
      <c r="L382" s="49"/>
      <c r="M382" s="49"/>
      <c r="N382" s="49"/>
      <c r="O382" s="49"/>
      <c r="P382" s="49"/>
      <c r="Q382" s="49"/>
      <c r="R382" s="49"/>
      <c r="S382" s="49"/>
      <c r="T382" s="49"/>
      <c r="U382" s="49"/>
      <c r="V382" s="49"/>
      <c r="W382" s="49"/>
      <c r="X382" s="49"/>
      <c r="Y382" s="49"/>
      <c r="Z382" s="49"/>
      <c r="AA382" s="49"/>
      <c r="AB382" s="49"/>
      <c r="AC382" s="49"/>
    </row>
    <row r="383" spans="1:29" ht="13">
      <c r="A383" s="47"/>
      <c r="B383" s="47"/>
      <c r="C383" s="49"/>
      <c r="D383" s="49"/>
      <c r="E383" s="49"/>
      <c r="F383" s="49"/>
      <c r="G383" s="49"/>
      <c r="H383" s="173"/>
      <c r="I383" s="49"/>
      <c r="J383" s="49"/>
      <c r="K383" s="49"/>
      <c r="L383" s="49"/>
      <c r="M383" s="49"/>
      <c r="N383" s="49"/>
      <c r="O383" s="49"/>
      <c r="P383" s="49"/>
      <c r="Q383" s="49"/>
      <c r="R383" s="49"/>
      <c r="S383" s="49"/>
      <c r="T383" s="49"/>
      <c r="U383" s="49"/>
      <c r="V383" s="49"/>
      <c r="W383" s="49"/>
      <c r="X383" s="49"/>
      <c r="Y383" s="49"/>
      <c r="Z383" s="49"/>
      <c r="AA383" s="49"/>
      <c r="AB383" s="49"/>
      <c r="AC383" s="49"/>
    </row>
    <row r="384" spans="1:29" ht="13">
      <c r="A384" s="47"/>
      <c r="B384" s="47"/>
      <c r="C384" s="49"/>
      <c r="D384" s="49"/>
      <c r="E384" s="49"/>
      <c r="F384" s="49"/>
      <c r="G384" s="49"/>
      <c r="H384" s="173"/>
      <c r="I384" s="49"/>
      <c r="J384" s="49"/>
      <c r="K384" s="49"/>
      <c r="L384" s="49"/>
      <c r="M384" s="49"/>
      <c r="N384" s="49"/>
      <c r="O384" s="49"/>
      <c r="P384" s="49"/>
      <c r="Q384" s="49"/>
      <c r="R384" s="49"/>
      <c r="S384" s="49"/>
      <c r="T384" s="49"/>
      <c r="U384" s="49"/>
      <c r="V384" s="49"/>
      <c r="W384" s="49"/>
      <c r="X384" s="49"/>
      <c r="Y384" s="49"/>
      <c r="Z384" s="49"/>
      <c r="AA384" s="49"/>
      <c r="AB384" s="49"/>
      <c r="AC384" s="49"/>
    </row>
    <row r="385" spans="1:29" ht="13">
      <c r="A385" s="47"/>
      <c r="B385" s="47"/>
      <c r="C385" s="49"/>
      <c r="D385" s="49"/>
      <c r="E385" s="49"/>
      <c r="F385" s="49"/>
      <c r="G385" s="49"/>
      <c r="H385" s="173"/>
      <c r="I385" s="49"/>
      <c r="J385" s="49"/>
      <c r="K385" s="49"/>
      <c r="L385" s="49"/>
      <c r="M385" s="49"/>
      <c r="N385" s="49"/>
      <c r="O385" s="49"/>
      <c r="P385" s="49"/>
      <c r="Q385" s="49"/>
      <c r="R385" s="49"/>
      <c r="S385" s="49"/>
      <c r="T385" s="49"/>
      <c r="U385" s="49"/>
      <c r="V385" s="49"/>
      <c r="W385" s="49"/>
      <c r="X385" s="49"/>
      <c r="Y385" s="49"/>
      <c r="Z385" s="49"/>
      <c r="AA385" s="49"/>
      <c r="AB385" s="49"/>
      <c r="AC385" s="49"/>
    </row>
    <row r="386" spans="1:29" ht="13">
      <c r="A386" s="47"/>
      <c r="B386" s="47"/>
      <c r="C386" s="49"/>
      <c r="D386" s="49"/>
      <c r="E386" s="49"/>
      <c r="F386" s="49"/>
      <c r="G386" s="49"/>
      <c r="H386" s="173"/>
      <c r="I386" s="49"/>
      <c r="J386" s="49"/>
      <c r="K386" s="49"/>
      <c r="L386" s="49"/>
      <c r="M386" s="49"/>
      <c r="N386" s="49"/>
      <c r="O386" s="49"/>
      <c r="P386" s="49"/>
      <c r="Q386" s="49"/>
      <c r="R386" s="49"/>
      <c r="S386" s="49"/>
      <c r="T386" s="49"/>
      <c r="U386" s="49"/>
      <c r="V386" s="49"/>
      <c r="W386" s="49"/>
      <c r="X386" s="49"/>
      <c r="Y386" s="49"/>
      <c r="Z386" s="49"/>
      <c r="AA386" s="49"/>
      <c r="AB386" s="49"/>
      <c r="AC386" s="49"/>
    </row>
    <row r="387" spans="1:29" ht="13">
      <c r="A387" s="47"/>
      <c r="B387" s="47"/>
      <c r="C387" s="49"/>
      <c r="D387" s="49"/>
      <c r="E387" s="49"/>
      <c r="F387" s="49"/>
      <c r="G387" s="49"/>
      <c r="H387" s="173"/>
      <c r="I387" s="49"/>
      <c r="J387" s="49"/>
      <c r="K387" s="49"/>
      <c r="L387" s="49"/>
      <c r="M387" s="49"/>
      <c r="N387" s="49"/>
      <c r="O387" s="49"/>
      <c r="P387" s="49"/>
      <c r="Q387" s="49"/>
      <c r="R387" s="49"/>
      <c r="S387" s="49"/>
      <c r="T387" s="49"/>
      <c r="U387" s="49"/>
      <c r="V387" s="49"/>
      <c r="W387" s="49"/>
      <c r="X387" s="49"/>
      <c r="Y387" s="49"/>
      <c r="Z387" s="49"/>
      <c r="AA387" s="49"/>
      <c r="AB387" s="49"/>
      <c r="AC387" s="49"/>
    </row>
    <row r="388" spans="1:29" ht="13">
      <c r="A388" s="47"/>
      <c r="B388" s="47"/>
      <c r="C388" s="49"/>
      <c r="D388" s="49"/>
      <c r="E388" s="49"/>
      <c r="F388" s="49"/>
      <c r="G388" s="49"/>
      <c r="H388" s="173"/>
      <c r="I388" s="49"/>
      <c r="J388" s="49"/>
      <c r="K388" s="49"/>
      <c r="L388" s="49"/>
      <c r="M388" s="49"/>
      <c r="N388" s="49"/>
      <c r="O388" s="49"/>
      <c r="P388" s="49"/>
      <c r="Q388" s="49"/>
      <c r="R388" s="49"/>
      <c r="S388" s="49"/>
      <c r="T388" s="49"/>
      <c r="U388" s="49"/>
      <c r="V388" s="49"/>
      <c r="W388" s="49"/>
      <c r="X388" s="49"/>
      <c r="Y388" s="49"/>
      <c r="Z388" s="49"/>
      <c r="AA388" s="49"/>
      <c r="AB388" s="49"/>
      <c r="AC388" s="49"/>
    </row>
    <row r="389" spans="1:29" ht="13">
      <c r="A389" s="47"/>
      <c r="B389" s="47"/>
      <c r="C389" s="49"/>
      <c r="D389" s="49"/>
      <c r="E389" s="49"/>
      <c r="F389" s="49"/>
      <c r="G389" s="49"/>
      <c r="H389" s="173"/>
      <c r="I389" s="49"/>
      <c r="J389" s="49"/>
      <c r="K389" s="49"/>
      <c r="L389" s="49"/>
      <c r="M389" s="49"/>
      <c r="N389" s="49"/>
      <c r="O389" s="49"/>
      <c r="P389" s="49"/>
      <c r="Q389" s="49"/>
      <c r="R389" s="49"/>
      <c r="S389" s="49"/>
      <c r="T389" s="49"/>
      <c r="U389" s="49"/>
      <c r="V389" s="49"/>
      <c r="W389" s="49"/>
      <c r="X389" s="49"/>
      <c r="Y389" s="49"/>
      <c r="Z389" s="49"/>
      <c r="AA389" s="49"/>
      <c r="AB389" s="49"/>
      <c r="AC389" s="49"/>
    </row>
    <row r="390" spans="1:29" ht="13">
      <c r="A390" s="47"/>
      <c r="B390" s="47"/>
      <c r="C390" s="49"/>
      <c r="D390" s="49"/>
      <c r="E390" s="49"/>
      <c r="F390" s="49"/>
      <c r="G390" s="49"/>
      <c r="H390" s="173"/>
      <c r="I390" s="49"/>
      <c r="J390" s="49"/>
      <c r="K390" s="49"/>
      <c r="L390" s="49"/>
      <c r="M390" s="49"/>
      <c r="N390" s="49"/>
      <c r="O390" s="49"/>
      <c r="P390" s="49"/>
      <c r="Q390" s="49"/>
      <c r="R390" s="49"/>
      <c r="S390" s="49"/>
      <c r="T390" s="49"/>
      <c r="U390" s="49"/>
      <c r="V390" s="49"/>
      <c r="W390" s="49"/>
      <c r="X390" s="49"/>
      <c r="Y390" s="49"/>
      <c r="Z390" s="49"/>
      <c r="AA390" s="49"/>
      <c r="AB390" s="49"/>
      <c r="AC390" s="49"/>
    </row>
    <row r="391" spans="1:29" ht="13">
      <c r="A391" s="47"/>
      <c r="B391" s="47"/>
      <c r="C391" s="49"/>
      <c r="D391" s="49"/>
      <c r="E391" s="49"/>
      <c r="F391" s="49"/>
      <c r="G391" s="49"/>
      <c r="H391" s="173"/>
      <c r="I391" s="49"/>
      <c r="J391" s="49"/>
      <c r="K391" s="49"/>
      <c r="L391" s="49"/>
      <c r="M391" s="49"/>
      <c r="N391" s="49"/>
      <c r="O391" s="49"/>
      <c r="P391" s="49"/>
      <c r="Q391" s="49"/>
      <c r="R391" s="49"/>
      <c r="S391" s="49"/>
      <c r="T391" s="49"/>
      <c r="U391" s="49"/>
      <c r="V391" s="49"/>
      <c r="W391" s="49"/>
      <c r="X391" s="49"/>
      <c r="Y391" s="49"/>
      <c r="Z391" s="49"/>
      <c r="AA391" s="49"/>
      <c r="AB391" s="49"/>
      <c r="AC391" s="49"/>
    </row>
    <row r="392" spans="1:29" ht="13">
      <c r="A392" s="47"/>
      <c r="B392" s="47"/>
      <c r="C392" s="49"/>
      <c r="D392" s="49"/>
      <c r="E392" s="49"/>
      <c r="F392" s="49"/>
      <c r="G392" s="49"/>
      <c r="H392" s="173"/>
      <c r="I392" s="49"/>
      <c r="J392" s="49"/>
      <c r="K392" s="49"/>
      <c r="L392" s="49"/>
      <c r="M392" s="49"/>
      <c r="N392" s="49"/>
      <c r="O392" s="49"/>
      <c r="P392" s="49"/>
      <c r="Q392" s="49"/>
      <c r="R392" s="49"/>
      <c r="S392" s="49"/>
      <c r="T392" s="49"/>
      <c r="U392" s="49"/>
      <c r="V392" s="49"/>
      <c r="W392" s="49"/>
      <c r="X392" s="49"/>
      <c r="Y392" s="49"/>
      <c r="Z392" s="49"/>
      <c r="AA392" s="49"/>
      <c r="AB392" s="49"/>
      <c r="AC392" s="49"/>
    </row>
    <row r="393" spans="1:29" ht="13">
      <c r="A393" s="47"/>
      <c r="B393" s="47"/>
      <c r="C393" s="49"/>
      <c r="D393" s="49"/>
      <c r="E393" s="49"/>
      <c r="F393" s="49"/>
      <c r="G393" s="49"/>
      <c r="H393" s="173"/>
      <c r="I393" s="49"/>
      <c r="J393" s="49"/>
      <c r="K393" s="49"/>
      <c r="L393" s="49"/>
      <c r="M393" s="49"/>
      <c r="N393" s="49"/>
      <c r="O393" s="49"/>
      <c r="P393" s="49"/>
      <c r="Q393" s="49"/>
      <c r="R393" s="49"/>
      <c r="S393" s="49"/>
      <c r="T393" s="49"/>
      <c r="U393" s="49"/>
      <c r="V393" s="49"/>
      <c r="W393" s="49"/>
      <c r="X393" s="49"/>
      <c r="Y393" s="49"/>
      <c r="Z393" s="49"/>
      <c r="AA393" s="49"/>
      <c r="AB393" s="49"/>
      <c r="AC393" s="49"/>
    </row>
    <row r="394" spans="1:29" ht="13">
      <c r="A394" s="47"/>
      <c r="B394" s="47"/>
      <c r="C394" s="49"/>
      <c r="D394" s="49"/>
      <c r="E394" s="49"/>
      <c r="F394" s="49"/>
      <c r="G394" s="49"/>
      <c r="H394" s="173"/>
      <c r="I394" s="49"/>
      <c r="J394" s="49"/>
      <c r="K394" s="49"/>
      <c r="L394" s="49"/>
      <c r="M394" s="49"/>
      <c r="N394" s="49"/>
      <c r="O394" s="49"/>
      <c r="P394" s="49"/>
      <c r="Q394" s="49"/>
      <c r="R394" s="49"/>
      <c r="S394" s="49"/>
      <c r="T394" s="49"/>
      <c r="U394" s="49"/>
      <c r="V394" s="49"/>
      <c r="W394" s="49"/>
      <c r="X394" s="49"/>
      <c r="Y394" s="49"/>
      <c r="Z394" s="49"/>
      <c r="AA394" s="49"/>
      <c r="AB394" s="49"/>
      <c r="AC394" s="49"/>
    </row>
    <row r="395" spans="1:29" ht="13">
      <c r="A395" s="47"/>
      <c r="B395" s="47"/>
      <c r="C395" s="49"/>
      <c r="D395" s="49"/>
      <c r="E395" s="49"/>
      <c r="F395" s="49"/>
      <c r="G395" s="49"/>
      <c r="H395" s="173"/>
      <c r="I395" s="49"/>
      <c r="J395" s="49"/>
      <c r="K395" s="49"/>
      <c r="L395" s="49"/>
      <c r="M395" s="49"/>
      <c r="N395" s="49"/>
      <c r="O395" s="49"/>
      <c r="P395" s="49"/>
      <c r="Q395" s="49"/>
      <c r="R395" s="49"/>
      <c r="S395" s="49"/>
      <c r="T395" s="49"/>
      <c r="U395" s="49"/>
      <c r="V395" s="49"/>
      <c r="W395" s="49"/>
      <c r="X395" s="49"/>
      <c r="Y395" s="49"/>
      <c r="Z395" s="49"/>
      <c r="AA395" s="49"/>
      <c r="AB395" s="49"/>
      <c r="AC395" s="49"/>
    </row>
    <row r="396" spans="1:29" ht="13">
      <c r="A396" s="47"/>
      <c r="B396" s="47"/>
      <c r="C396" s="49"/>
      <c r="D396" s="49"/>
      <c r="E396" s="49"/>
      <c r="F396" s="49"/>
      <c r="G396" s="49"/>
      <c r="H396" s="173"/>
      <c r="I396" s="49"/>
      <c r="J396" s="49"/>
      <c r="K396" s="49"/>
      <c r="L396" s="49"/>
      <c r="M396" s="49"/>
      <c r="N396" s="49"/>
      <c r="O396" s="49"/>
      <c r="P396" s="49"/>
      <c r="Q396" s="49"/>
      <c r="R396" s="49"/>
      <c r="S396" s="49"/>
      <c r="T396" s="49"/>
      <c r="U396" s="49"/>
      <c r="V396" s="49"/>
      <c r="W396" s="49"/>
      <c r="X396" s="49"/>
      <c r="Y396" s="49"/>
      <c r="Z396" s="49"/>
      <c r="AA396" s="49"/>
      <c r="AB396" s="49"/>
      <c r="AC396" s="49"/>
    </row>
    <row r="397" spans="1:29" ht="13">
      <c r="A397" s="47"/>
      <c r="B397" s="47"/>
      <c r="C397" s="49"/>
      <c r="D397" s="49"/>
      <c r="E397" s="49"/>
      <c r="F397" s="49"/>
      <c r="G397" s="49"/>
      <c r="H397" s="173"/>
      <c r="I397" s="49"/>
      <c r="J397" s="49"/>
      <c r="K397" s="49"/>
      <c r="L397" s="49"/>
      <c r="M397" s="49"/>
      <c r="N397" s="49"/>
      <c r="O397" s="49"/>
      <c r="P397" s="49"/>
      <c r="Q397" s="49"/>
      <c r="R397" s="49"/>
      <c r="S397" s="49"/>
      <c r="T397" s="49"/>
      <c r="U397" s="49"/>
      <c r="V397" s="49"/>
      <c r="W397" s="49"/>
      <c r="X397" s="49"/>
      <c r="Y397" s="49"/>
      <c r="Z397" s="49"/>
      <c r="AA397" s="49"/>
      <c r="AB397" s="49"/>
      <c r="AC397" s="49"/>
    </row>
    <row r="398" spans="1:29" ht="13">
      <c r="A398" s="47"/>
      <c r="B398" s="47"/>
      <c r="C398" s="49"/>
      <c r="D398" s="49"/>
      <c r="E398" s="49"/>
      <c r="F398" s="49"/>
      <c r="G398" s="49"/>
      <c r="H398" s="173"/>
      <c r="I398" s="49"/>
      <c r="J398" s="49"/>
      <c r="K398" s="49"/>
      <c r="L398" s="49"/>
      <c r="M398" s="49"/>
      <c r="N398" s="49"/>
      <c r="O398" s="49"/>
      <c r="P398" s="49"/>
      <c r="Q398" s="49"/>
      <c r="R398" s="49"/>
      <c r="S398" s="49"/>
      <c r="T398" s="49"/>
      <c r="U398" s="49"/>
      <c r="V398" s="49"/>
      <c r="W398" s="49"/>
      <c r="X398" s="49"/>
      <c r="Y398" s="49"/>
      <c r="Z398" s="49"/>
      <c r="AA398" s="49"/>
      <c r="AB398" s="49"/>
      <c r="AC398" s="49"/>
    </row>
    <row r="399" spans="1:29" ht="13">
      <c r="A399" s="47"/>
      <c r="B399" s="47"/>
      <c r="C399" s="49"/>
      <c r="D399" s="49"/>
      <c r="E399" s="49"/>
      <c r="F399" s="49"/>
      <c r="G399" s="49"/>
      <c r="H399" s="173"/>
      <c r="I399" s="49"/>
      <c r="J399" s="49"/>
      <c r="K399" s="49"/>
      <c r="L399" s="49"/>
      <c r="M399" s="49"/>
      <c r="N399" s="49"/>
      <c r="O399" s="49"/>
      <c r="P399" s="49"/>
      <c r="Q399" s="49"/>
      <c r="R399" s="49"/>
      <c r="S399" s="49"/>
      <c r="T399" s="49"/>
      <c r="U399" s="49"/>
      <c r="V399" s="49"/>
      <c r="W399" s="49"/>
      <c r="X399" s="49"/>
      <c r="Y399" s="49"/>
      <c r="Z399" s="49"/>
      <c r="AA399" s="49"/>
      <c r="AB399" s="49"/>
      <c r="AC399" s="49"/>
    </row>
    <row r="400" spans="1:29" ht="13">
      <c r="A400" s="47"/>
      <c r="B400" s="47"/>
      <c r="C400" s="49"/>
      <c r="D400" s="49"/>
      <c r="E400" s="49"/>
      <c r="F400" s="49"/>
      <c r="G400" s="49"/>
      <c r="H400" s="173"/>
      <c r="I400" s="49"/>
      <c r="J400" s="49"/>
      <c r="K400" s="49"/>
      <c r="L400" s="49"/>
      <c r="M400" s="49"/>
      <c r="N400" s="49"/>
      <c r="O400" s="49"/>
      <c r="P400" s="49"/>
      <c r="Q400" s="49"/>
      <c r="R400" s="49"/>
      <c r="S400" s="49"/>
      <c r="T400" s="49"/>
      <c r="U400" s="49"/>
      <c r="V400" s="49"/>
      <c r="W400" s="49"/>
      <c r="X400" s="49"/>
      <c r="Y400" s="49"/>
      <c r="Z400" s="49"/>
      <c r="AA400" s="49"/>
      <c r="AB400" s="49"/>
      <c r="AC400" s="49"/>
    </row>
    <row r="401" spans="1:29" ht="13">
      <c r="A401" s="47"/>
      <c r="B401" s="47"/>
      <c r="C401" s="49"/>
      <c r="D401" s="49"/>
      <c r="E401" s="49"/>
      <c r="F401" s="49"/>
      <c r="G401" s="49"/>
      <c r="H401" s="173"/>
      <c r="I401" s="49"/>
      <c r="J401" s="49"/>
      <c r="K401" s="49"/>
      <c r="L401" s="49"/>
      <c r="M401" s="49"/>
      <c r="N401" s="49"/>
      <c r="O401" s="49"/>
      <c r="P401" s="49"/>
      <c r="Q401" s="49"/>
      <c r="R401" s="49"/>
      <c r="S401" s="49"/>
      <c r="T401" s="49"/>
      <c r="U401" s="49"/>
      <c r="V401" s="49"/>
      <c r="W401" s="49"/>
      <c r="X401" s="49"/>
      <c r="Y401" s="49"/>
      <c r="Z401" s="49"/>
      <c r="AA401" s="49"/>
      <c r="AB401" s="49"/>
      <c r="AC401" s="49"/>
    </row>
    <row r="402" spans="1:29" ht="13">
      <c r="A402" s="47"/>
      <c r="B402" s="47"/>
      <c r="C402" s="49"/>
      <c r="D402" s="49"/>
      <c r="E402" s="49"/>
      <c r="F402" s="49"/>
      <c r="G402" s="49"/>
      <c r="H402" s="173"/>
      <c r="I402" s="49"/>
      <c r="J402" s="49"/>
      <c r="K402" s="49"/>
      <c r="L402" s="49"/>
      <c r="M402" s="49"/>
      <c r="N402" s="49"/>
      <c r="O402" s="49"/>
      <c r="P402" s="49"/>
      <c r="Q402" s="49"/>
      <c r="R402" s="49"/>
      <c r="S402" s="49"/>
      <c r="T402" s="49"/>
      <c r="U402" s="49"/>
      <c r="V402" s="49"/>
      <c r="W402" s="49"/>
      <c r="X402" s="49"/>
      <c r="Y402" s="49"/>
      <c r="Z402" s="49"/>
      <c r="AA402" s="49"/>
      <c r="AB402" s="49"/>
      <c r="AC402" s="49"/>
    </row>
    <row r="403" spans="1:29" ht="13">
      <c r="A403" s="47"/>
      <c r="B403" s="47"/>
      <c r="C403" s="49"/>
      <c r="D403" s="49"/>
      <c r="E403" s="49"/>
      <c r="F403" s="49"/>
      <c r="G403" s="49"/>
      <c r="H403" s="173"/>
      <c r="I403" s="49"/>
      <c r="J403" s="49"/>
      <c r="K403" s="49"/>
      <c r="L403" s="49"/>
      <c r="M403" s="49"/>
      <c r="N403" s="49"/>
      <c r="O403" s="49"/>
      <c r="P403" s="49"/>
      <c r="Q403" s="49"/>
      <c r="R403" s="49"/>
      <c r="S403" s="49"/>
      <c r="T403" s="49"/>
      <c r="U403" s="49"/>
      <c r="V403" s="49"/>
      <c r="W403" s="49"/>
      <c r="X403" s="49"/>
      <c r="Y403" s="49"/>
      <c r="Z403" s="49"/>
      <c r="AA403" s="49"/>
      <c r="AB403" s="49"/>
      <c r="AC403" s="49"/>
    </row>
    <row r="404" spans="1:29" ht="13">
      <c r="A404" s="47"/>
      <c r="B404" s="47"/>
      <c r="C404" s="49"/>
      <c r="D404" s="49"/>
      <c r="E404" s="49"/>
      <c r="F404" s="49"/>
      <c r="G404" s="49"/>
      <c r="H404" s="173"/>
      <c r="I404" s="49"/>
      <c r="J404" s="49"/>
      <c r="K404" s="49"/>
      <c r="L404" s="49"/>
      <c r="M404" s="49"/>
      <c r="N404" s="49"/>
      <c r="O404" s="49"/>
      <c r="P404" s="49"/>
      <c r="Q404" s="49"/>
      <c r="R404" s="49"/>
      <c r="S404" s="49"/>
      <c r="T404" s="49"/>
      <c r="U404" s="49"/>
      <c r="V404" s="49"/>
      <c r="W404" s="49"/>
      <c r="X404" s="49"/>
      <c r="Y404" s="49"/>
      <c r="Z404" s="49"/>
      <c r="AA404" s="49"/>
      <c r="AB404" s="49"/>
      <c r="AC404" s="49"/>
    </row>
    <row r="405" spans="1:29" ht="13">
      <c r="A405" s="47"/>
      <c r="B405" s="47"/>
      <c r="C405" s="49"/>
      <c r="D405" s="49"/>
      <c r="E405" s="49"/>
      <c r="F405" s="49"/>
      <c r="G405" s="49"/>
      <c r="H405" s="173"/>
      <c r="I405" s="49"/>
      <c r="J405" s="49"/>
      <c r="K405" s="49"/>
      <c r="L405" s="49"/>
      <c r="M405" s="49"/>
      <c r="N405" s="49"/>
      <c r="O405" s="49"/>
      <c r="P405" s="49"/>
      <c r="Q405" s="49"/>
      <c r="R405" s="49"/>
      <c r="S405" s="49"/>
      <c r="T405" s="49"/>
      <c r="U405" s="49"/>
      <c r="V405" s="49"/>
      <c r="W405" s="49"/>
      <c r="X405" s="49"/>
      <c r="Y405" s="49"/>
      <c r="Z405" s="49"/>
      <c r="AA405" s="49"/>
      <c r="AB405" s="49"/>
      <c r="AC405" s="49"/>
    </row>
    <row r="406" spans="1:29" ht="13">
      <c r="A406" s="47"/>
      <c r="B406" s="47"/>
      <c r="C406" s="49"/>
      <c r="D406" s="49"/>
      <c r="E406" s="49"/>
      <c r="F406" s="49"/>
      <c r="G406" s="49"/>
      <c r="H406" s="173"/>
      <c r="I406" s="49"/>
      <c r="J406" s="49"/>
      <c r="K406" s="49"/>
      <c r="L406" s="49"/>
      <c r="M406" s="49"/>
      <c r="N406" s="49"/>
      <c r="O406" s="49"/>
      <c r="P406" s="49"/>
      <c r="Q406" s="49"/>
      <c r="R406" s="49"/>
      <c r="S406" s="49"/>
      <c r="T406" s="49"/>
      <c r="U406" s="49"/>
      <c r="V406" s="49"/>
      <c r="W406" s="49"/>
      <c r="X406" s="49"/>
      <c r="Y406" s="49"/>
      <c r="Z406" s="49"/>
      <c r="AA406" s="49"/>
      <c r="AB406" s="49"/>
      <c r="AC406" s="49"/>
    </row>
    <row r="407" spans="1:29" ht="13">
      <c r="A407" s="47"/>
      <c r="B407" s="47"/>
      <c r="C407" s="49"/>
      <c r="D407" s="49"/>
      <c r="E407" s="49"/>
      <c r="F407" s="49"/>
      <c r="G407" s="49"/>
      <c r="H407" s="173"/>
      <c r="I407" s="49"/>
      <c r="J407" s="49"/>
      <c r="K407" s="49"/>
      <c r="L407" s="49"/>
      <c r="M407" s="49"/>
      <c r="N407" s="49"/>
      <c r="O407" s="49"/>
      <c r="P407" s="49"/>
      <c r="Q407" s="49"/>
      <c r="R407" s="49"/>
      <c r="S407" s="49"/>
      <c r="T407" s="49"/>
      <c r="U407" s="49"/>
      <c r="V407" s="49"/>
      <c r="W407" s="49"/>
      <c r="X407" s="49"/>
      <c r="Y407" s="49"/>
      <c r="Z407" s="49"/>
      <c r="AA407" s="49"/>
      <c r="AB407" s="49"/>
      <c r="AC407" s="49"/>
    </row>
    <row r="408" spans="1:29" ht="13">
      <c r="A408" s="47"/>
      <c r="B408" s="47"/>
      <c r="C408" s="49"/>
      <c r="D408" s="49"/>
      <c r="E408" s="49"/>
      <c r="F408" s="49"/>
      <c r="G408" s="49"/>
      <c r="H408" s="173"/>
      <c r="I408" s="49"/>
      <c r="J408" s="49"/>
      <c r="K408" s="49"/>
      <c r="L408" s="49"/>
      <c r="M408" s="49"/>
      <c r="N408" s="49"/>
      <c r="O408" s="49"/>
      <c r="P408" s="49"/>
      <c r="Q408" s="49"/>
      <c r="R408" s="49"/>
      <c r="S408" s="49"/>
      <c r="T408" s="49"/>
      <c r="U408" s="49"/>
      <c r="V408" s="49"/>
      <c r="W408" s="49"/>
      <c r="X408" s="49"/>
      <c r="Y408" s="49"/>
      <c r="Z408" s="49"/>
      <c r="AA408" s="49"/>
      <c r="AB408" s="49"/>
      <c r="AC408" s="49"/>
    </row>
    <row r="409" spans="1:29" ht="13">
      <c r="A409" s="47"/>
      <c r="B409" s="47"/>
      <c r="C409" s="49"/>
      <c r="D409" s="49"/>
      <c r="E409" s="49"/>
      <c r="F409" s="49"/>
      <c r="G409" s="49"/>
      <c r="H409" s="173"/>
      <c r="I409" s="49"/>
      <c r="J409" s="49"/>
      <c r="K409" s="49"/>
      <c r="L409" s="49"/>
      <c r="M409" s="49"/>
      <c r="N409" s="49"/>
      <c r="O409" s="49"/>
      <c r="P409" s="49"/>
      <c r="Q409" s="49"/>
      <c r="R409" s="49"/>
      <c r="S409" s="49"/>
      <c r="T409" s="49"/>
      <c r="U409" s="49"/>
      <c r="V409" s="49"/>
      <c r="W409" s="49"/>
      <c r="X409" s="49"/>
      <c r="Y409" s="49"/>
      <c r="Z409" s="49"/>
      <c r="AA409" s="49"/>
      <c r="AB409" s="49"/>
      <c r="AC409" s="49"/>
    </row>
    <row r="410" spans="1:29" ht="13">
      <c r="A410" s="47"/>
      <c r="B410" s="47"/>
      <c r="C410" s="49"/>
      <c r="D410" s="49"/>
      <c r="E410" s="49"/>
      <c r="F410" s="49"/>
      <c r="G410" s="49"/>
      <c r="H410" s="173"/>
      <c r="I410" s="49"/>
      <c r="J410" s="49"/>
      <c r="K410" s="49"/>
      <c r="L410" s="49"/>
      <c r="M410" s="49"/>
      <c r="N410" s="49"/>
      <c r="O410" s="49"/>
      <c r="P410" s="49"/>
      <c r="Q410" s="49"/>
      <c r="R410" s="49"/>
      <c r="S410" s="49"/>
      <c r="T410" s="49"/>
      <c r="U410" s="49"/>
      <c r="V410" s="49"/>
      <c r="W410" s="49"/>
      <c r="X410" s="49"/>
      <c r="Y410" s="49"/>
      <c r="Z410" s="49"/>
      <c r="AA410" s="49"/>
      <c r="AB410" s="49"/>
      <c r="AC410" s="49"/>
    </row>
    <row r="411" spans="1:29" ht="13">
      <c r="A411" s="47"/>
      <c r="B411" s="47"/>
      <c r="C411" s="49"/>
      <c r="D411" s="49"/>
      <c r="E411" s="49"/>
      <c r="F411" s="49"/>
      <c r="G411" s="49"/>
      <c r="H411" s="173"/>
      <c r="I411" s="49"/>
      <c r="J411" s="49"/>
      <c r="K411" s="49"/>
      <c r="L411" s="49"/>
      <c r="M411" s="49"/>
      <c r="N411" s="49"/>
      <c r="O411" s="49"/>
      <c r="P411" s="49"/>
      <c r="Q411" s="49"/>
      <c r="R411" s="49"/>
      <c r="S411" s="49"/>
      <c r="T411" s="49"/>
      <c r="U411" s="49"/>
      <c r="V411" s="49"/>
      <c r="W411" s="49"/>
      <c r="X411" s="49"/>
      <c r="Y411" s="49"/>
      <c r="Z411" s="49"/>
      <c r="AA411" s="49"/>
      <c r="AB411" s="49"/>
      <c r="AC411" s="49"/>
    </row>
    <row r="412" spans="1:29" ht="13">
      <c r="A412" s="47"/>
      <c r="B412" s="47"/>
      <c r="C412" s="49"/>
      <c r="D412" s="49"/>
      <c r="E412" s="49"/>
      <c r="F412" s="49"/>
      <c r="G412" s="49"/>
      <c r="H412" s="173"/>
      <c r="I412" s="49"/>
      <c r="J412" s="49"/>
      <c r="K412" s="49"/>
      <c r="L412" s="49"/>
      <c r="M412" s="49"/>
      <c r="N412" s="49"/>
      <c r="O412" s="49"/>
      <c r="P412" s="49"/>
      <c r="Q412" s="49"/>
      <c r="R412" s="49"/>
      <c r="S412" s="49"/>
      <c r="T412" s="49"/>
      <c r="U412" s="49"/>
      <c r="V412" s="49"/>
      <c r="W412" s="49"/>
      <c r="X412" s="49"/>
      <c r="Y412" s="49"/>
      <c r="Z412" s="49"/>
      <c r="AA412" s="49"/>
      <c r="AB412" s="49"/>
      <c r="AC412" s="49"/>
    </row>
    <row r="413" spans="1:29" ht="13">
      <c r="A413" s="47"/>
      <c r="B413" s="47"/>
      <c r="C413" s="49"/>
      <c r="D413" s="49"/>
      <c r="E413" s="49"/>
      <c r="F413" s="49"/>
      <c r="G413" s="49"/>
      <c r="H413" s="173"/>
      <c r="I413" s="49"/>
      <c r="J413" s="49"/>
      <c r="K413" s="49"/>
      <c r="L413" s="49"/>
      <c r="M413" s="49"/>
      <c r="N413" s="49"/>
      <c r="O413" s="49"/>
      <c r="P413" s="49"/>
      <c r="Q413" s="49"/>
      <c r="R413" s="49"/>
      <c r="S413" s="49"/>
      <c r="T413" s="49"/>
      <c r="U413" s="49"/>
      <c r="V413" s="49"/>
      <c r="W413" s="49"/>
      <c r="X413" s="49"/>
      <c r="Y413" s="49"/>
      <c r="Z413" s="49"/>
      <c r="AA413" s="49"/>
      <c r="AB413" s="49"/>
      <c r="AC413" s="49"/>
    </row>
    <row r="414" spans="1:29" ht="13">
      <c r="A414" s="47"/>
      <c r="B414" s="47"/>
      <c r="C414" s="49"/>
      <c r="D414" s="49"/>
      <c r="E414" s="49"/>
      <c r="F414" s="49"/>
      <c r="G414" s="49"/>
      <c r="H414" s="173"/>
      <c r="I414" s="49"/>
      <c r="J414" s="49"/>
      <c r="K414" s="49"/>
      <c r="L414" s="49"/>
      <c r="M414" s="49"/>
      <c r="N414" s="49"/>
      <c r="O414" s="49"/>
      <c r="P414" s="49"/>
      <c r="Q414" s="49"/>
      <c r="R414" s="49"/>
      <c r="S414" s="49"/>
      <c r="T414" s="49"/>
      <c r="U414" s="49"/>
      <c r="V414" s="49"/>
      <c r="W414" s="49"/>
      <c r="X414" s="49"/>
      <c r="Y414" s="49"/>
      <c r="Z414" s="49"/>
      <c r="AA414" s="49"/>
      <c r="AB414" s="49"/>
      <c r="AC414" s="49"/>
    </row>
    <row r="415" spans="1:29" ht="13">
      <c r="A415" s="47"/>
      <c r="B415" s="47"/>
      <c r="C415" s="49"/>
      <c r="D415" s="49"/>
      <c r="E415" s="49"/>
      <c r="F415" s="49"/>
      <c r="G415" s="49"/>
      <c r="H415" s="173"/>
      <c r="I415" s="49"/>
      <c r="J415" s="49"/>
      <c r="K415" s="49"/>
      <c r="L415" s="49"/>
      <c r="M415" s="49"/>
      <c r="N415" s="49"/>
      <c r="O415" s="49"/>
      <c r="P415" s="49"/>
      <c r="Q415" s="49"/>
      <c r="R415" s="49"/>
      <c r="S415" s="49"/>
      <c r="T415" s="49"/>
      <c r="U415" s="49"/>
      <c r="V415" s="49"/>
      <c r="W415" s="49"/>
      <c r="X415" s="49"/>
      <c r="Y415" s="49"/>
      <c r="Z415" s="49"/>
      <c r="AA415" s="49"/>
      <c r="AB415" s="49"/>
      <c r="AC415" s="49"/>
    </row>
    <row r="416" spans="1:29" ht="13">
      <c r="A416" s="47"/>
      <c r="B416" s="47"/>
      <c r="C416" s="49"/>
      <c r="D416" s="49"/>
      <c r="E416" s="49"/>
      <c r="F416" s="49"/>
      <c r="G416" s="49"/>
      <c r="H416" s="173"/>
      <c r="I416" s="49"/>
      <c r="J416" s="49"/>
      <c r="K416" s="49"/>
      <c r="L416" s="49"/>
      <c r="M416" s="49"/>
      <c r="N416" s="49"/>
      <c r="O416" s="49"/>
      <c r="P416" s="49"/>
      <c r="Q416" s="49"/>
      <c r="R416" s="49"/>
      <c r="S416" s="49"/>
      <c r="T416" s="49"/>
      <c r="U416" s="49"/>
      <c r="V416" s="49"/>
      <c r="W416" s="49"/>
      <c r="X416" s="49"/>
      <c r="Y416" s="49"/>
      <c r="Z416" s="49"/>
      <c r="AA416" s="49"/>
      <c r="AB416" s="49"/>
      <c r="AC416" s="49"/>
    </row>
    <row r="417" spans="1:29" ht="13">
      <c r="A417" s="47"/>
      <c r="B417" s="47"/>
      <c r="C417" s="49"/>
      <c r="D417" s="49"/>
      <c r="E417" s="49"/>
      <c r="F417" s="49"/>
      <c r="G417" s="49"/>
      <c r="H417" s="173"/>
      <c r="I417" s="49"/>
      <c r="J417" s="49"/>
      <c r="K417" s="49"/>
      <c r="L417" s="49"/>
      <c r="M417" s="49"/>
      <c r="N417" s="49"/>
      <c r="O417" s="49"/>
      <c r="P417" s="49"/>
      <c r="Q417" s="49"/>
      <c r="R417" s="49"/>
      <c r="S417" s="49"/>
      <c r="T417" s="49"/>
      <c r="U417" s="49"/>
      <c r="V417" s="49"/>
      <c r="W417" s="49"/>
      <c r="X417" s="49"/>
      <c r="Y417" s="49"/>
      <c r="Z417" s="49"/>
      <c r="AA417" s="49"/>
      <c r="AB417" s="49"/>
      <c r="AC417" s="49"/>
    </row>
    <row r="418" spans="1:29" ht="13">
      <c r="A418" s="47"/>
      <c r="B418" s="47"/>
      <c r="C418" s="49"/>
      <c r="D418" s="49"/>
      <c r="E418" s="49"/>
      <c r="F418" s="49"/>
      <c r="G418" s="49"/>
      <c r="H418" s="173"/>
      <c r="I418" s="49"/>
      <c r="J418" s="49"/>
      <c r="K418" s="49"/>
      <c r="L418" s="49"/>
      <c r="M418" s="49"/>
      <c r="N418" s="49"/>
      <c r="O418" s="49"/>
      <c r="P418" s="49"/>
      <c r="Q418" s="49"/>
      <c r="R418" s="49"/>
      <c r="S418" s="49"/>
      <c r="T418" s="49"/>
      <c r="U418" s="49"/>
      <c r="V418" s="49"/>
      <c r="W418" s="49"/>
      <c r="X418" s="49"/>
      <c r="Y418" s="49"/>
      <c r="Z418" s="49"/>
      <c r="AA418" s="49"/>
      <c r="AB418" s="49"/>
      <c r="AC418" s="49"/>
    </row>
    <row r="419" spans="1:29" ht="13">
      <c r="A419" s="47"/>
      <c r="B419" s="47"/>
      <c r="C419" s="49"/>
      <c r="D419" s="49"/>
      <c r="E419" s="49"/>
      <c r="F419" s="49"/>
      <c r="G419" s="49"/>
      <c r="H419" s="173"/>
      <c r="I419" s="49"/>
      <c r="J419" s="49"/>
      <c r="K419" s="49"/>
      <c r="L419" s="49"/>
      <c r="M419" s="49"/>
      <c r="N419" s="49"/>
      <c r="O419" s="49"/>
      <c r="P419" s="49"/>
      <c r="Q419" s="49"/>
      <c r="R419" s="49"/>
      <c r="S419" s="49"/>
      <c r="T419" s="49"/>
      <c r="U419" s="49"/>
      <c r="V419" s="49"/>
      <c r="W419" s="49"/>
      <c r="X419" s="49"/>
      <c r="Y419" s="49"/>
      <c r="Z419" s="49"/>
      <c r="AA419" s="49"/>
      <c r="AB419" s="49"/>
      <c r="AC419" s="49"/>
    </row>
    <row r="420" spans="1:29" ht="13">
      <c r="A420" s="47"/>
      <c r="B420" s="47"/>
      <c r="C420" s="49"/>
      <c r="D420" s="49"/>
      <c r="E420" s="49"/>
      <c r="F420" s="49"/>
      <c r="G420" s="49"/>
      <c r="H420" s="173"/>
      <c r="I420" s="49"/>
      <c r="J420" s="49"/>
      <c r="K420" s="49"/>
      <c r="L420" s="49"/>
      <c r="M420" s="49"/>
      <c r="N420" s="49"/>
      <c r="O420" s="49"/>
      <c r="P420" s="49"/>
      <c r="Q420" s="49"/>
      <c r="R420" s="49"/>
      <c r="S420" s="49"/>
      <c r="T420" s="49"/>
      <c r="U420" s="49"/>
      <c r="V420" s="49"/>
      <c r="W420" s="49"/>
      <c r="X420" s="49"/>
      <c r="Y420" s="49"/>
      <c r="Z420" s="49"/>
      <c r="AA420" s="49"/>
      <c r="AB420" s="49"/>
      <c r="AC420" s="49"/>
    </row>
    <row r="421" spans="1:29" ht="13">
      <c r="A421" s="47"/>
      <c r="B421" s="47"/>
      <c r="C421" s="49"/>
      <c r="D421" s="49"/>
      <c r="E421" s="49"/>
      <c r="F421" s="49"/>
      <c r="G421" s="49"/>
      <c r="H421" s="173"/>
      <c r="I421" s="49"/>
      <c r="J421" s="49"/>
      <c r="K421" s="49"/>
      <c r="L421" s="49"/>
      <c r="M421" s="49"/>
      <c r="N421" s="49"/>
      <c r="O421" s="49"/>
      <c r="P421" s="49"/>
      <c r="Q421" s="49"/>
      <c r="R421" s="49"/>
      <c r="S421" s="49"/>
      <c r="T421" s="49"/>
      <c r="U421" s="49"/>
      <c r="V421" s="49"/>
      <c r="W421" s="49"/>
      <c r="X421" s="49"/>
      <c r="Y421" s="49"/>
      <c r="Z421" s="49"/>
      <c r="AA421" s="49"/>
      <c r="AB421" s="49"/>
      <c r="AC421" s="49"/>
    </row>
    <row r="422" spans="1:29" ht="13">
      <c r="A422" s="47"/>
      <c r="B422" s="47"/>
      <c r="C422" s="49"/>
      <c r="D422" s="49"/>
      <c r="E422" s="49"/>
      <c r="F422" s="49"/>
      <c r="G422" s="49"/>
      <c r="H422" s="173"/>
      <c r="I422" s="49"/>
      <c r="J422" s="49"/>
      <c r="K422" s="49"/>
      <c r="L422" s="49"/>
      <c r="M422" s="49"/>
      <c r="N422" s="49"/>
      <c r="O422" s="49"/>
      <c r="P422" s="49"/>
      <c r="Q422" s="49"/>
      <c r="R422" s="49"/>
      <c r="S422" s="49"/>
      <c r="T422" s="49"/>
      <c r="U422" s="49"/>
      <c r="V422" s="49"/>
      <c r="W422" s="49"/>
      <c r="X422" s="49"/>
      <c r="Y422" s="49"/>
      <c r="Z422" s="49"/>
      <c r="AA422" s="49"/>
      <c r="AB422" s="49"/>
      <c r="AC422" s="49"/>
    </row>
    <row r="423" spans="1:29" ht="13">
      <c r="A423" s="47"/>
      <c r="B423" s="47"/>
      <c r="C423" s="49"/>
      <c r="D423" s="49"/>
      <c r="E423" s="49"/>
      <c r="F423" s="49"/>
      <c r="G423" s="49"/>
      <c r="H423" s="173"/>
      <c r="I423" s="49"/>
      <c r="J423" s="49"/>
      <c r="K423" s="49"/>
      <c r="L423" s="49"/>
      <c r="M423" s="49"/>
      <c r="N423" s="49"/>
      <c r="O423" s="49"/>
      <c r="P423" s="49"/>
      <c r="Q423" s="49"/>
      <c r="R423" s="49"/>
      <c r="S423" s="49"/>
      <c r="T423" s="49"/>
      <c r="U423" s="49"/>
      <c r="V423" s="49"/>
      <c r="W423" s="49"/>
      <c r="X423" s="49"/>
      <c r="Y423" s="49"/>
      <c r="Z423" s="49"/>
      <c r="AA423" s="49"/>
      <c r="AB423" s="49"/>
      <c r="AC423" s="49"/>
    </row>
    <row r="424" spans="1:29" ht="13">
      <c r="A424" s="47"/>
      <c r="B424" s="47"/>
      <c r="C424" s="49"/>
      <c r="D424" s="49"/>
      <c r="E424" s="49"/>
      <c r="F424" s="49"/>
      <c r="G424" s="49"/>
      <c r="H424" s="173"/>
      <c r="I424" s="49"/>
      <c r="J424" s="49"/>
      <c r="K424" s="49"/>
      <c r="L424" s="49"/>
      <c r="M424" s="49"/>
      <c r="N424" s="49"/>
      <c r="O424" s="49"/>
      <c r="P424" s="49"/>
      <c r="Q424" s="49"/>
      <c r="R424" s="49"/>
      <c r="S424" s="49"/>
      <c r="T424" s="49"/>
      <c r="U424" s="49"/>
      <c r="V424" s="49"/>
      <c r="W424" s="49"/>
      <c r="X424" s="49"/>
      <c r="Y424" s="49"/>
      <c r="Z424" s="49"/>
      <c r="AA424" s="49"/>
      <c r="AB424" s="49"/>
      <c r="AC424" s="49"/>
    </row>
    <row r="425" spans="1:29" ht="13">
      <c r="A425" s="47"/>
      <c r="B425" s="47"/>
      <c r="C425" s="49"/>
      <c r="D425" s="49"/>
      <c r="E425" s="49"/>
      <c r="F425" s="49"/>
      <c r="G425" s="49"/>
      <c r="H425" s="173"/>
      <c r="I425" s="49"/>
      <c r="J425" s="49"/>
      <c r="K425" s="49"/>
      <c r="L425" s="49"/>
      <c r="M425" s="49"/>
      <c r="N425" s="49"/>
      <c r="O425" s="49"/>
      <c r="P425" s="49"/>
      <c r="Q425" s="49"/>
      <c r="R425" s="49"/>
      <c r="S425" s="49"/>
      <c r="T425" s="49"/>
      <c r="U425" s="49"/>
      <c r="V425" s="49"/>
      <c r="W425" s="49"/>
      <c r="X425" s="49"/>
      <c r="Y425" s="49"/>
      <c r="Z425" s="49"/>
      <c r="AA425" s="49"/>
      <c r="AB425" s="49"/>
      <c r="AC425" s="49"/>
    </row>
    <row r="426" spans="1:29" ht="13">
      <c r="A426" s="47"/>
      <c r="B426" s="47"/>
      <c r="C426" s="49"/>
      <c r="D426" s="49"/>
      <c r="E426" s="49"/>
      <c r="F426" s="49"/>
      <c r="G426" s="49"/>
      <c r="H426" s="173"/>
      <c r="I426" s="49"/>
      <c r="J426" s="49"/>
      <c r="K426" s="49"/>
      <c r="L426" s="49"/>
      <c r="M426" s="49"/>
      <c r="N426" s="49"/>
      <c r="O426" s="49"/>
      <c r="P426" s="49"/>
      <c r="Q426" s="49"/>
      <c r="R426" s="49"/>
      <c r="S426" s="49"/>
      <c r="T426" s="49"/>
      <c r="U426" s="49"/>
      <c r="V426" s="49"/>
      <c r="W426" s="49"/>
      <c r="X426" s="49"/>
      <c r="Y426" s="49"/>
      <c r="Z426" s="49"/>
      <c r="AA426" s="49"/>
      <c r="AB426" s="49"/>
      <c r="AC426" s="49"/>
    </row>
    <row r="427" spans="1:29" ht="13">
      <c r="A427" s="47"/>
      <c r="B427" s="47"/>
      <c r="C427" s="49"/>
      <c r="D427" s="49"/>
      <c r="E427" s="49"/>
      <c r="F427" s="49"/>
      <c r="G427" s="49"/>
      <c r="H427" s="173"/>
      <c r="I427" s="49"/>
      <c r="J427" s="49"/>
      <c r="K427" s="49"/>
      <c r="L427" s="49"/>
      <c r="M427" s="49"/>
      <c r="N427" s="49"/>
      <c r="O427" s="49"/>
      <c r="P427" s="49"/>
      <c r="Q427" s="49"/>
      <c r="R427" s="49"/>
      <c r="S427" s="49"/>
      <c r="T427" s="49"/>
      <c r="U427" s="49"/>
      <c r="V427" s="49"/>
      <c r="W427" s="49"/>
      <c r="X427" s="49"/>
      <c r="Y427" s="49"/>
      <c r="Z427" s="49"/>
      <c r="AA427" s="49"/>
      <c r="AB427" s="49"/>
      <c r="AC427" s="49"/>
    </row>
    <row r="428" spans="1:29" ht="13">
      <c r="A428" s="47"/>
      <c r="B428" s="47"/>
      <c r="C428" s="49"/>
      <c r="D428" s="49"/>
      <c r="E428" s="49"/>
      <c r="F428" s="49"/>
      <c r="G428" s="49"/>
      <c r="H428" s="173"/>
      <c r="I428" s="49"/>
      <c r="J428" s="49"/>
      <c r="K428" s="49"/>
      <c r="L428" s="49"/>
      <c r="M428" s="49"/>
      <c r="N428" s="49"/>
      <c r="O428" s="49"/>
      <c r="P428" s="49"/>
      <c r="Q428" s="49"/>
      <c r="R428" s="49"/>
      <c r="S428" s="49"/>
      <c r="T428" s="49"/>
      <c r="U428" s="49"/>
      <c r="V428" s="49"/>
      <c r="W428" s="49"/>
      <c r="X428" s="49"/>
      <c r="Y428" s="49"/>
      <c r="Z428" s="49"/>
      <c r="AA428" s="49"/>
      <c r="AB428" s="49"/>
      <c r="AC428" s="49"/>
    </row>
    <row r="429" spans="1:29" ht="13">
      <c r="A429" s="47"/>
      <c r="B429" s="47"/>
      <c r="C429" s="49"/>
      <c r="D429" s="49"/>
      <c r="E429" s="49"/>
      <c r="F429" s="49"/>
      <c r="G429" s="49"/>
      <c r="H429" s="173"/>
      <c r="I429" s="49"/>
      <c r="J429" s="49"/>
      <c r="K429" s="49"/>
      <c r="L429" s="49"/>
      <c r="M429" s="49"/>
      <c r="N429" s="49"/>
      <c r="O429" s="49"/>
      <c r="P429" s="49"/>
      <c r="Q429" s="49"/>
      <c r="R429" s="49"/>
      <c r="S429" s="49"/>
      <c r="T429" s="49"/>
      <c r="U429" s="49"/>
      <c r="V429" s="49"/>
      <c r="W429" s="49"/>
      <c r="X429" s="49"/>
      <c r="Y429" s="49"/>
      <c r="Z429" s="49"/>
      <c r="AA429" s="49"/>
      <c r="AB429" s="49"/>
      <c r="AC429" s="49"/>
    </row>
    <row r="430" spans="1:29" ht="13">
      <c r="A430" s="47"/>
      <c r="B430" s="47"/>
      <c r="C430" s="49"/>
      <c r="D430" s="49"/>
      <c r="E430" s="49"/>
      <c r="F430" s="49"/>
      <c r="G430" s="49"/>
      <c r="H430" s="173"/>
      <c r="I430" s="49"/>
      <c r="J430" s="49"/>
      <c r="K430" s="49"/>
      <c r="L430" s="49"/>
      <c r="M430" s="49"/>
      <c r="N430" s="49"/>
      <c r="O430" s="49"/>
      <c r="P430" s="49"/>
      <c r="Q430" s="49"/>
      <c r="R430" s="49"/>
      <c r="S430" s="49"/>
      <c r="T430" s="49"/>
      <c r="U430" s="49"/>
      <c r="V430" s="49"/>
      <c r="W430" s="49"/>
      <c r="X430" s="49"/>
      <c r="Y430" s="49"/>
      <c r="Z430" s="49"/>
      <c r="AA430" s="49"/>
      <c r="AB430" s="49"/>
      <c r="AC430" s="49"/>
    </row>
    <row r="431" spans="1:29" ht="13">
      <c r="A431" s="47"/>
      <c r="B431" s="47"/>
      <c r="C431" s="49"/>
      <c r="D431" s="49"/>
      <c r="E431" s="49"/>
      <c r="F431" s="49"/>
      <c r="G431" s="49"/>
      <c r="H431" s="173"/>
      <c r="I431" s="49"/>
      <c r="J431" s="49"/>
      <c r="K431" s="49"/>
      <c r="L431" s="49"/>
      <c r="M431" s="49"/>
      <c r="N431" s="49"/>
      <c r="O431" s="49"/>
      <c r="P431" s="49"/>
      <c r="Q431" s="49"/>
      <c r="R431" s="49"/>
      <c r="S431" s="49"/>
      <c r="T431" s="49"/>
      <c r="U431" s="49"/>
      <c r="V431" s="49"/>
      <c r="W431" s="49"/>
      <c r="X431" s="49"/>
      <c r="Y431" s="49"/>
      <c r="Z431" s="49"/>
      <c r="AA431" s="49"/>
      <c r="AB431" s="49"/>
      <c r="AC431" s="49"/>
    </row>
    <row r="432" spans="1:29" ht="13">
      <c r="A432" s="47"/>
      <c r="B432" s="47"/>
      <c r="C432" s="49"/>
      <c r="D432" s="49"/>
      <c r="E432" s="49"/>
      <c r="F432" s="49"/>
      <c r="G432" s="49"/>
      <c r="H432" s="173"/>
      <c r="I432" s="49"/>
      <c r="J432" s="49"/>
      <c r="K432" s="49"/>
      <c r="L432" s="49"/>
      <c r="M432" s="49"/>
      <c r="N432" s="49"/>
      <c r="O432" s="49"/>
      <c r="P432" s="49"/>
      <c r="Q432" s="49"/>
      <c r="R432" s="49"/>
      <c r="S432" s="49"/>
      <c r="T432" s="49"/>
      <c r="U432" s="49"/>
      <c r="V432" s="49"/>
      <c r="W432" s="49"/>
      <c r="X432" s="49"/>
      <c r="Y432" s="49"/>
      <c r="Z432" s="49"/>
      <c r="AA432" s="49"/>
      <c r="AB432" s="49"/>
      <c r="AC432" s="49"/>
    </row>
    <row r="433" spans="1:29" ht="13">
      <c r="A433" s="47"/>
      <c r="B433" s="47"/>
      <c r="C433" s="49"/>
      <c r="D433" s="49"/>
      <c r="E433" s="49"/>
      <c r="F433" s="49"/>
      <c r="G433" s="49"/>
      <c r="H433" s="173"/>
      <c r="I433" s="49"/>
      <c r="J433" s="49"/>
      <c r="K433" s="49"/>
      <c r="L433" s="49"/>
      <c r="M433" s="49"/>
      <c r="N433" s="49"/>
      <c r="O433" s="49"/>
      <c r="P433" s="49"/>
      <c r="Q433" s="49"/>
      <c r="R433" s="49"/>
      <c r="S433" s="49"/>
      <c r="T433" s="49"/>
      <c r="U433" s="49"/>
      <c r="V433" s="49"/>
      <c r="W433" s="49"/>
      <c r="X433" s="49"/>
      <c r="Y433" s="49"/>
      <c r="Z433" s="49"/>
      <c r="AA433" s="49"/>
      <c r="AB433" s="49"/>
      <c r="AC433" s="49"/>
    </row>
    <row r="434" spans="1:29" ht="13">
      <c r="A434" s="47"/>
      <c r="B434" s="47"/>
      <c r="C434" s="49"/>
      <c r="D434" s="49"/>
      <c r="E434" s="49"/>
      <c r="F434" s="49"/>
      <c r="G434" s="49"/>
      <c r="H434" s="173"/>
      <c r="I434" s="49"/>
      <c r="J434" s="49"/>
      <c r="K434" s="49"/>
      <c r="L434" s="49"/>
      <c r="M434" s="49"/>
      <c r="N434" s="49"/>
      <c r="O434" s="49"/>
      <c r="P434" s="49"/>
      <c r="Q434" s="49"/>
      <c r="R434" s="49"/>
      <c r="S434" s="49"/>
      <c r="T434" s="49"/>
      <c r="U434" s="49"/>
      <c r="V434" s="49"/>
      <c r="W434" s="49"/>
      <c r="X434" s="49"/>
      <c r="Y434" s="49"/>
      <c r="Z434" s="49"/>
      <c r="AA434" s="49"/>
      <c r="AB434" s="49"/>
      <c r="AC434" s="49"/>
    </row>
    <row r="435" spans="1:29" ht="13">
      <c r="A435" s="47"/>
      <c r="B435" s="47"/>
      <c r="C435" s="49"/>
      <c r="D435" s="49"/>
      <c r="E435" s="49"/>
      <c r="F435" s="49"/>
      <c r="G435" s="49"/>
      <c r="H435" s="173"/>
      <c r="I435" s="49"/>
      <c r="J435" s="49"/>
      <c r="K435" s="49"/>
      <c r="L435" s="49"/>
      <c r="M435" s="49"/>
      <c r="N435" s="49"/>
      <c r="O435" s="49"/>
      <c r="P435" s="49"/>
      <c r="Q435" s="49"/>
      <c r="R435" s="49"/>
      <c r="S435" s="49"/>
      <c r="T435" s="49"/>
      <c r="U435" s="49"/>
      <c r="V435" s="49"/>
      <c r="W435" s="49"/>
      <c r="X435" s="49"/>
      <c r="Y435" s="49"/>
      <c r="Z435" s="49"/>
      <c r="AA435" s="49"/>
      <c r="AB435" s="49"/>
      <c r="AC435" s="49"/>
    </row>
    <row r="436" spans="1:29" ht="13">
      <c r="A436" s="47"/>
      <c r="B436" s="47"/>
      <c r="C436" s="49"/>
      <c r="D436" s="49"/>
      <c r="E436" s="49"/>
      <c r="F436" s="49"/>
      <c r="G436" s="49"/>
      <c r="H436" s="173"/>
      <c r="I436" s="49"/>
      <c r="J436" s="49"/>
      <c r="K436" s="49"/>
      <c r="L436" s="49"/>
      <c r="M436" s="49"/>
      <c r="N436" s="49"/>
      <c r="O436" s="49"/>
      <c r="P436" s="49"/>
      <c r="Q436" s="49"/>
      <c r="R436" s="49"/>
      <c r="S436" s="49"/>
      <c r="T436" s="49"/>
      <c r="U436" s="49"/>
      <c r="V436" s="49"/>
      <c r="W436" s="49"/>
      <c r="X436" s="49"/>
      <c r="Y436" s="49"/>
      <c r="Z436" s="49"/>
      <c r="AA436" s="49"/>
      <c r="AB436" s="49"/>
      <c r="AC436" s="49"/>
    </row>
    <row r="437" spans="1:29" ht="13">
      <c r="A437" s="47"/>
      <c r="B437" s="47"/>
      <c r="C437" s="49"/>
      <c r="D437" s="49"/>
      <c r="E437" s="49"/>
      <c r="F437" s="49"/>
      <c r="G437" s="49"/>
      <c r="H437" s="173"/>
      <c r="I437" s="49"/>
      <c r="J437" s="49"/>
      <c r="K437" s="49"/>
      <c r="L437" s="49"/>
      <c r="M437" s="49"/>
      <c r="N437" s="49"/>
      <c r="O437" s="49"/>
      <c r="P437" s="49"/>
      <c r="Q437" s="49"/>
      <c r="R437" s="49"/>
      <c r="S437" s="49"/>
      <c r="T437" s="49"/>
      <c r="U437" s="49"/>
      <c r="V437" s="49"/>
      <c r="W437" s="49"/>
      <c r="X437" s="49"/>
      <c r="Y437" s="49"/>
      <c r="Z437" s="49"/>
      <c r="AA437" s="49"/>
      <c r="AB437" s="49"/>
      <c r="AC437" s="49"/>
    </row>
    <row r="438" spans="1:29" ht="13">
      <c r="A438" s="47"/>
      <c r="B438" s="47"/>
      <c r="C438" s="49"/>
      <c r="D438" s="49"/>
      <c r="E438" s="49"/>
      <c r="F438" s="49"/>
      <c r="G438" s="49"/>
      <c r="H438" s="173"/>
      <c r="I438" s="49"/>
      <c r="J438" s="49"/>
      <c r="K438" s="49"/>
      <c r="L438" s="49"/>
      <c r="M438" s="49"/>
      <c r="N438" s="49"/>
      <c r="O438" s="49"/>
      <c r="P438" s="49"/>
      <c r="Q438" s="49"/>
      <c r="R438" s="49"/>
      <c r="S438" s="49"/>
      <c r="T438" s="49"/>
      <c r="U438" s="49"/>
      <c r="V438" s="49"/>
      <c r="W438" s="49"/>
      <c r="X438" s="49"/>
      <c r="Y438" s="49"/>
      <c r="Z438" s="49"/>
      <c r="AA438" s="49"/>
      <c r="AB438" s="49"/>
      <c r="AC438" s="49"/>
    </row>
    <row r="439" spans="1:29" ht="13">
      <c r="A439" s="47"/>
      <c r="B439" s="47"/>
      <c r="C439" s="49"/>
      <c r="D439" s="49"/>
      <c r="E439" s="49"/>
      <c r="F439" s="49"/>
      <c r="G439" s="49"/>
      <c r="H439" s="173"/>
      <c r="I439" s="49"/>
      <c r="J439" s="49"/>
      <c r="K439" s="49"/>
      <c r="L439" s="49"/>
      <c r="M439" s="49"/>
      <c r="N439" s="49"/>
      <c r="O439" s="49"/>
      <c r="P439" s="49"/>
      <c r="Q439" s="49"/>
      <c r="R439" s="49"/>
      <c r="S439" s="49"/>
      <c r="T439" s="49"/>
      <c r="U439" s="49"/>
      <c r="V439" s="49"/>
      <c r="W439" s="49"/>
      <c r="X439" s="49"/>
      <c r="Y439" s="49"/>
      <c r="Z439" s="49"/>
      <c r="AA439" s="49"/>
      <c r="AB439" s="49"/>
      <c r="AC439" s="49"/>
    </row>
    <row r="440" spans="1:29" ht="13">
      <c r="A440" s="47"/>
      <c r="B440" s="47"/>
      <c r="C440" s="49"/>
      <c r="D440" s="49"/>
      <c r="E440" s="49"/>
      <c r="F440" s="49"/>
      <c r="G440" s="49"/>
      <c r="H440" s="173"/>
      <c r="I440" s="49"/>
      <c r="J440" s="49"/>
      <c r="K440" s="49"/>
      <c r="L440" s="49"/>
      <c r="M440" s="49"/>
      <c r="N440" s="49"/>
      <c r="O440" s="49"/>
      <c r="P440" s="49"/>
      <c r="Q440" s="49"/>
      <c r="R440" s="49"/>
      <c r="S440" s="49"/>
      <c r="T440" s="49"/>
      <c r="U440" s="49"/>
      <c r="V440" s="49"/>
      <c r="W440" s="49"/>
      <c r="X440" s="49"/>
      <c r="Y440" s="49"/>
      <c r="Z440" s="49"/>
      <c r="AA440" s="49"/>
      <c r="AB440" s="49"/>
      <c r="AC440" s="49"/>
    </row>
    <row r="441" spans="1:29" ht="13">
      <c r="A441" s="47"/>
      <c r="B441" s="47"/>
      <c r="C441" s="49"/>
      <c r="D441" s="49"/>
      <c r="E441" s="49"/>
      <c r="F441" s="49"/>
      <c r="G441" s="49"/>
      <c r="H441" s="173"/>
      <c r="I441" s="49"/>
      <c r="J441" s="49"/>
      <c r="K441" s="49"/>
      <c r="L441" s="49"/>
      <c r="M441" s="49"/>
      <c r="N441" s="49"/>
      <c r="O441" s="49"/>
      <c r="P441" s="49"/>
      <c r="Q441" s="49"/>
      <c r="R441" s="49"/>
      <c r="S441" s="49"/>
      <c r="T441" s="49"/>
      <c r="U441" s="49"/>
      <c r="V441" s="49"/>
      <c r="W441" s="49"/>
      <c r="X441" s="49"/>
      <c r="Y441" s="49"/>
      <c r="Z441" s="49"/>
      <c r="AA441" s="49"/>
      <c r="AB441" s="49"/>
      <c r="AC441" s="49"/>
    </row>
    <row r="442" spans="1:29" ht="13">
      <c r="A442" s="47"/>
      <c r="B442" s="47"/>
      <c r="C442" s="49"/>
      <c r="D442" s="49"/>
      <c r="E442" s="49"/>
      <c r="F442" s="49"/>
      <c r="G442" s="49"/>
      <c r="H442" s="173"/>
      <c r="I442" s="49"/>
      <c r="J442" s="49"/>
      <c r="K442" s="49"/>
      <c r="L442" s="49"/>
      <c r="M442" s="49"/>
      <c r="N442" s="49"/>
      <c r="O442" s="49"/>
      <c r="P442" s="49"/>
      <c r="Q442" s="49"/>
      <c r="R442" s="49"/>
      <c r="S442" s="49"/>
      <c r="T442" s="49"/>
      <c r="U442" s="49"/>
      <c r="V442" s="49"/>
      <c r="W442" s="49"/>
      <c r="X442" s="49"/>
      <c r="Y442" s="49"/>
      <c r="Z442" s="49"/>
      <c r="AA442" s="49"/>
      <c r="AB442" s="49"/>
      <c r="AC442" s="49"/>
    </row>
    <row r="443" spans="1:29" ht="13">
      <c r="A443" s="47"/>
      <c r="B443" s="47"/>
      <c r="C443" s="49"/>
      <c r="D443" s="49"/>
      <c r="E443" s="49"/>
      <c r="F443" s="49"/>
      <c r="G443" s="49"/>
      <c r="H443" s="173"/>
      <c r="I443" s="49"/>
      <c r="J443" s="49"/>
      <c r="K443" s="49"/>
      <c r="L443" s="49"/>
      <c r="M443" s="49"/>
      <c r="N443" s="49"/>
      <c r="O443" s="49"/>
      <c r="P443" s="49"/>
      <c r="Q443" s="49"/>
      <c r="R443" s="49"/>
      <c r="S443" s="49"/>
      <c r="T443" s="49"/>
      <c r="U443" s="49"/>
      <c r="V443" s="49"/>
      <c r="W443" s="49"/>
      <c r="X443" s="49"/>
      <c r="Y443" s="49"/>
      <c r="Z443" s="49"/>
      <c r="AA443" s="49"/>
      <c r="AB443" s="49"/>
      <c r="AC443" s="49"/>
    </row>
    <row r="444" spans="1:29" ht="13">
      <c r="A444" s="47"/>
      <c r="B444" s="47"/>
      <c r="C444" s="49"/>
      <c r="D444" s="49"/>
      <c r="E444" s="49"/>
      <c r="F444" s="49"/>
      <c r="G444" s="49"/>
      <c r="H444" s="173"/>
      <c r="I444" s="49"/>
      <c r="J444" s="49"/>
      <c r="K444" s="49"/>
      <c r="L444" s="49"/>
      <c r="M444" s="49"/>
      <c r="N444" s="49"/>
      <c r="O444" s="49"/>
      <c r="P444" s="49"/>
      <c r="Q444" s="49"/>
      <c r="R444" s="49"/>
      <c r="S444" s="49"/>
      <c r="T444" s="49"/>
      <c r="U444" s="49"/>
      <c r="V444" s="49"/>
      <c r="W444" s="49"/>
      <c r="X444" s="49"/>
      <c r="Y444" s="49"/>
      <c r="Z444" s="49"/>
      <c r="AA444" s="49"/>
      <c r="AB444" s="49"/>
      <c r="AC444" s="49"/>
    </row>
    <row r="445" spans="1:29" ht="13">
      <c r="A445" s="47"/>
      <c r="B445" s="47"/>
      <c r="C445" s="49"/>
      <c r="D445" s="49"/>
      <c r="E445" s="49"/>
      <c r="F445" s="49"/>
      <c r="G445" s="49"/>
      <c r="H445" s="173"/>
      <c r="I445" s="49"/>
      <c r="J445" s="49"/>
      <c r="K445" s="49"/>
      <c r="L445" s="49"/>
      <c r="M445" s="49"/>
      <c r="N445" s="49"/>
      <c r="O445" s="49"/>
      <c r="P445" s="49"/>
      <c r="Q445" s="49"/>
      <c r="R445" s="49"/>
      <c r="S445" s="49"/>
      <c r="T445" s="49"/>
      <c r="U445" s="49"/>
      <c r="V445" s="49"/>
      <c r="W445" s="49"/>
      <c r="X445" s="49"/>
      <c r="Y445" s="49"/>
      <c r="Z445" s="49"/>
      <c r="AA445" s="49"/>
      <c r="AB445" s="49"/>
      <c r="AC445" s="49"/>
    </row>
    <row r="446" spans="1:29" ht="13">
      <c r="A446" s="47"/>
      <c r="B446" s="47"/>
      <c r="C446" s="49"/>
      <c r="D446" s="49"/>
      <c r="E446" s="49"/>
      <c r="F446" s="49"/>
      <c r="G446" s="49"/>
      <c r="H446" s="173"/>
      <c r="I446" s="49"/>
      <c r="J446" s="49"/>
      <c r="K446" s="49"/>
      <c r="L446" s="49"/>
      <c r="M446" s="49"/>
      <c r="N446" s="49"/>
      <c r="O446" s="49"/>
      <c r="P446" s="49"/>
      <c r="Q446" s="49"/>
      <c r="R446" s="49"/>
      <c r="S446" s="49"/>
      <c r="T446" s="49"/>
      <c r="U446" s="49"/>
      <c r="V446" s="49"/>
      <c r="W446" s="49"/>
      <c r="X446" s="49"/>
      <c r="Y446" s="49"/>
      <c r="Z446" s="49"/>
      <c r="AA446" s="49"/>
      <c r="AB446" s="49"/>
      <c r="AC446" s="49"/>
    </row>
    <row r="447" spans="1:29" ht="13">
      <c r="A447" s="47"/>
      <c r="B447" s="47"/>
      <c r="C447" s="49"/>
      <c r="D447" s="49"/>
      <c r="E447" s="49"/>
      <c r="F447" s="49"/>
      <c r="G447" s="49"/>
      <c r="H447" s="173"/>
      <c r="I447" s="49"/>
      <c r="J447" s="49"/>
      <c r="K447" s="49"/>
      <c r="L447" s="49"/>
      <c r="M447" s="49"/>
      <c r="N447" s="49"/>
      <c r="O447" s="49"/>
      <c r="P447" s="49"/>
      <c r="Q447" s="49"/>
      <c r="R447" s="49"/>
      <c r="S447" s="49"/>
      <c r="T447" s="49"/>
      <c r="U447" s="49"/>
      <c r="V447" s="49"/>
      <c r="W447" s="49"/>
      <c r="X447" s="49"/>
      <c r="Y447" s="49"/>
      <c r="Z447" s="49"/>
      <c r="AA447" s="49"/>
      <c r="AB447" s="49"/>
      <c r="AC447" s="49"/>
    </row>
    <row r="448" spans="1:29" ht="13">
      <c r="A448" s="47"/>
      <c r="B448" s="47"/>
      <c r="C448" s="49"/>
      <c r="D448" s="49"/>
      <c r="E448" s="49"/>
      <c r="F448" s="49"/>
      <c r="G448" s="49"/>
      <c r="H448" s="173"/>
      <c r="I448" s="49"/>
      <c r="J448" s="49"/>
      <c r="K448" s="49"/>
      <c r="L448" s="49"/>
      <c r="M448" s="49"/>
      <c r="N448" s="49"/>
      <c r="O448" s="49"/>
      <c r="P448" s="49"/>
      <c r="Q448" s="49"/>
      <c r="R448" s="49"/>
      <c r="S448" s="49"/>
      <c r="T448" s="49"/>
      <c r="U448" s="49"/>
      <c r="V448" s="49"/>
      <c r="W448" s="49"/>
      <c r="X448" s="49"/>
      <c r="Y448" s="49"/>
      <c r="Z448" s="49"/>
      <c r="AA448" s="49"/>
      <c r="AB448" s="49"/>
      <c r="AC448" s="49"/>
    </row>
    <row r="449" spans="1:29" ht="13">
      <c r="A449" s="47"/>
      <c r="B449" s="47"/>
      <c r="C449" s="49"/>
      <c r="D449" s="49"/>
      <c r="E449" s="49"/>
      <c r="F449" s="49"/>
      <c r="G449" s="49"/>
      <c r="H449" s="173"/>
      <c r="I449" s="49"/>
      <c r="J449" s="49"/>
      <c r="K449" s="49"/>
      <c r="L449" s="49"/>
      <c r="M449" s="49"/>
      <c r="N449" s="49"/>
      <c r="O449" s="49"/>
      <c r="P449" s="49"/>
      <c r="Q449" s="49"/>
      <c r="R449" s="49"/>
      <c r="S449" s="49"/>
      <c r="T449" s="49"/>
      <c r="U449" s="49"/>
      <c r="V449" s="49"/>
      <c r="W449" s="49"/>
      <c r="X449" s="49"/>
      <c r="Y449" s="49"/>
      <c r="Z449" s="49"/>
      <c r="AA449" s="49"/>
      <c r="AB449" s="49"/>
      <c r="AC449" s="49"/>
    </row>
    <row r="450" spans="1:29" ht="13">
      <c r="A450" s="47"/>
      <c r="B450" s="47"/>
      <c r="C450" s="49"/>
      <c r="D450" s="49"/>
      <c r="E450" s="49"/>
      <c r="F450" s="49"/>
      <c r="G450" s="49"/>
      <c r="H450" s="173"/>
      <c r="I450" s="49"/>
      <c r="J450" s="49"/>
      <c r="K450" s="49"/>
      <c r="L450" s="49"/>
      <c r="M450" s="49"/>
      <c r="N450" s="49"/>
      <c r="O450" s="49"/>
      <c r="P450" s="49"/>
      <c r="Q450" s="49"/>
      <c r="R450" s="49"/>
      <c r="S450" s="49"/>
      <c r="T450" s="49"/>
      <c r="U450" s="49"/>
      <c r="V450" s="49"/>
      <c r="W450" s="49"/>
      <c r="X450" s="49"/>
      <c r="Y450" s="49"/>
      <c r="Z450" s="49"/>
      <c r="AA450" s="49"/>
      <c r="AB450" s="49"/>
      <c r="AC450" s="49"/>
    </row>
    <row r="451" spans="1:29" ht="13">
      <c r="A451" s="47"/>
      <c r="B451" s="47"/>
      <c r="C451" s="49"/>
      <c r="D451" s="49"/>
      <c r="E451" s="49"/>
      <c r="F451" s="49"/>
      <c r="G451" s="49"/>
      <c r="H451" s="173"/>
      <c r="I451" s="49"/>
      <c r="J451" s="49"/>
      <c r="K451" s="49"/>
      <c r="L451" s="49"/>
      <c r="M451" s="49"/>
      <c r="N451" s="49"/>
      <c r="O451" s="49"/>
      <c r="P451" s="49"/>
      <c r="Q451" s="49"/>
      <c r="R451" s="49"/>
      <c r="S451" s="49"/>
      <c r="T451" s="49"/>
      <c r="U451" s="49"/>
      <c r="V451" s="49"/>
      <c r="W451" s="49"/>
      <c r="X451" s="49"/>
      <c r="Y451" s="49"/>
      <c r="Z451" s="49"/>
      <c r="AA451" s="49"/>
      <c r="AB451" s="49"/>
      <c r="AC451" s="49"/>
    </row>
    <row r="452" spans="1:29" ht="13">
      <c r="A452" s="47"/>
      <c r="B452" s="47"/>
      <c r="C452" s="49"/>
      <c r="D452" s="49"/>
      <c r="E452" s="49"/>
      <c r="F452" s="49"/>
      <c r="G452" s="49"/>
      <c r="H452" s="173"/>
      <c r="I452" s="49"/>
      <c r="J452" s="49"/>
      <c r="K452" s="49"/>
      <c r="L452" s="49"/>
      <c r="M452" s="49"/>
      <c r="N452" s="49"/>
      <c r="O452" s="49"/>
      <c r="P452" s="49"/>
      <c r="Q452" s="49"/>
      <c r="R452" s="49"/>
      <c r="S452" s="49"/>
      <c r="T452" s="49"/>
      <c r="U452" s="49"/>
      <c r="V452" s="49"/>
      <c r="W452" s="49"/>
      <c r="X452" s="49"/>
      <c r="Y452" s="49"/>
      <c r="Z452" s="49"/>
      <c r="AA452" s="49"/>
      <c r="AB452" s="49"/>
      <c r="AC452" s="49"/>
    </row>
    <row r="453" spans="1:29" ht="13">
      <c r="A453" s="47"/>
      <c r="B453" s="47"/>
      <c r="C453" s="49"/>
      <c r="D453" s="49"/>
      <c r="E453" s="49"/>
      <c r="F453" s="49"/>
      <c r="G453" s="49"/>
      <c r="H453" s="173"/>
      <c r="I453" s="49"/>
      <c r="J453" s="49"/>
      <c r="K453" s="49"/>
      <c r="L453" s="49"/>
      <c r="M453" s="49"/>
      <c r="N453" s="49"/>
      <c r="O453" s="49"/>
      <c r="P453" s="49"/>
      <c r="Q453" s="49"/>
      <c r="R453" s="49"/>
      <c r="S453" s="49"/>
      <c r="T453" s="49"/>
      <c r="U453" s="49"/>
      <c r="V453" s="49"/>
      <c r="W453" s="49"/>
      <c r="X453" s="49"/>
      <c r="Y453" s="49"/>
      <c r="Z453" s="49"/>
      <c r="AA453" s="49"/>
      <c r="AB453" s="49"/>
      <c r="AC453" s="49"/>
    </row>
    <row r="454" spans="1:29" ht="13">
      <c r="A454" s="47"/>
      <c r="B454" s="47"/>
      <c r="C454" s="49"/>
      <c r="D454" s="49"/>
      <c r="E454" s="49"/>
      <c r="F454" s="49"/>
      <c r="G454" s="49"/>
      <c r="H454" s="173"/>
      <c r="I454" s="49"/>
      <c r="J454" s="49"/>
      <c r="K454" s="49"/>
      <c r="L454" s="49"/>
      <c r="M454" s="49"/>
      <c r="N454" s="49"/>
      <c r="O454" s="49"/>
      <c r="P454" s="49"/>
      <c r="Q454" s="49"/>
      <c r="R454" s="49"/>
      <c r="S454" s="49"/>
      <c r="T454" s="49"/>
      <c r="U454" s="49"/>
      <c r="V454" s="49"/>
      <c r="W454" s="49"/>
      <c r="X454" s="49"/>
      <c r="Y454" s="49"/>
      <c r="Z454" s="49"/>
      <c r="AA454" s="49"/>
      <c r="AB454" s="49"/>
      <c r="AC454" s="49"/>
    </row>
    <row r="455" spans="1:29" ht="13">
      <c r="A455" s="47"/>
      <c r="B455" s="47"/>
      <c r="C455" s="49"/>
      <c r="D455" s="49"/>
      <c r="E455" s="49"/>
      <c r="F455" s="49"/>
      <c r="G455" s="49"/>
      <c r="H455" s="173"/>
      <c r="I455" s="49"/>
      <c r="J455" s="49"/>
      <c r="K455" s="49"/>
      <c r="L455" s="49"/>
      <c r="M455" s="49"/>
      <c r="N455" s="49"/>
      <c r="O455" s="49"/>
      <c r="P455" s="49"/>
      <c r="Q455" s="49"/>
      <c r="R455" s="49"/>
      <c r="S455" s="49"/>
      <c r="T455" s="49"/>
      <c r="U455" s="49"/>
      <c r="V455" s="49"/>
      <c r="W455" s="49"/>
      <c r="X455" s="49"/>
      <c r="Y455" s="49"/>
      <c r="Z455" s="49"/>
      <c r="AA455" s="49"/>
      <c r="AB455" s="49"/>
      <c r="AC455" s="49"/>
    </row>
    <row r="456" spans="1:29" ht="13">
      <c r="A456" s="47"/>
      <c r="B456" s="47"/>
      <c r="C456" s="49"/>
      <c r="D456" s="49"/>
      <c r="E456" s="49"/>
      <c r="F456" s="49"/>
      <c r="G456" s="49"/>
      <c r="H456" s="173"/>
      <c r="I456" s="49"/>
      <c r="J456" s="49"/>
      <c r="K456" s="49"/>
      <c r="L456" s="49"/>
      <c r="M456" s="49"/>
      <c r="N456" s="49"/>
      <c r="O456" s="49"/>
      <c r="P456" s="49"/>
      <c r="Q456" s="49"/>
      <c r="R456" s="49"/>
      <c r="S456" s="49"/>
      <c r="T456" s="49"/>
      <c r="U456" s="49"/>
      <c r="V456" s="49"/>
      <c r="W456" s="49"/>
      <c r="X456" s="49"/>
      <c r="Y456" s="49"/>
      <c r="Z456" s="49"/>
      <c r="AA456" s="49"/>
      <c r="AB456" s="49"/>
      <c r="AC456" s="49"/>
    </row>
    <row r="457" spans="1:29" ht="13">
      <c r="A457" s="47"/>
      <c r="B457" s="47"/>
      <c r="C457" s="49"/>
      <c r="D457" s="49"/>
      <c r="E457" s="49"/>
      <c r="F457" s="49"/>
      <c r="G457" s="49"/>
      <c r="H457" s="173"/>
      <c r="I457" s="49"/>
      <c r="J457" s="49"/>
      <c r="K457" s="49"/>
      <c r="L457" s="49"/>
      <c r="M457" s="49"/>
      <c r="N457" s="49"/>
      <c r="O457" s="49"/>
      <c r="P457" s="49"/>
      <c r="Q457" s="49"/>
      <c r="R457" s="49"/>
      <c r="S457" s="49"/>
      <c r="T457" s="49"/>
      <c r="U457" s="49"/>
      <c r="V457" s="49"/>
      <c r="W457" s="49"/>
      <c r="X457" s="49"/>
      <c r="Y457" s="49"/>
      <c r="Z457" s="49"/>
      <c r="AA457" s="49"/>
      <c r="AB457" s="49"/>
      <c r="AC457" s="49"/>
    </row>
    <row r="458" spans="1:29" ht="13">
      <c r="A458" s="47"/>
      <c r="B458" s="47"/>
      <c r="C458" s="49"/>
      <c r="D458" s="49"/>
      <c r="E458" s="49"/>
      <c r="F458" s="49"/>
      <c r="G458" s="49"/>
      <c r="H458" s="173"/>
      <c r="I458" s="49"/>
      <c r="J458" s="49"/>
      <c r="K458" s="49"/>
      <c r="L458" s="49"/>
      <c r="M458" s="49"/>
      <c r="N458" s="49"/>
      <c r="O458" s="49"/>
      <c r="P458" s="49"/>
      <c r="Q458" s="49"/>
      <c r="R458" s="49"/>
      <c r="S458" s="49"/>
      <c r="T458" s="49"/>
      <c r="U458" s="49"/>
      <c r="V458" s="49"/>
      <c r="W458" s="49"/>
      <c r="X458" s="49"/>
      <c r="Y458" s="49"/>
      <c r="Z458" s="49"/>
      <c r="AA458" s="49"/>
      <c r="AB458" s="49"/>
      <c r="AC458" s="49"/>
    </row>
    <row r="459" spans="1:29" ht="13">
      <c r="A459" s="47"/>
      <c r="B459" s="47"/>
      <c r="C459" s="49"/>
      <c r="D459" s="49"/>
      <c r="E459" s="49"/>
      <c r="F459" s="49"/>
      <c r="G459" s="49"/>
      <c r="H459" s="173"/>
      <c r="I459" s="49"/>
      <c r="J459" s="49"/>
      <c r="K459" s="49"/>
      <c r="L459" s="49"/>
      <c r="M459" s="49"/>
      <c r="N459" s="49"/>
      <c r="O459" s="49"/>
      <c r="P459" s="49"/>
      <c r="Q459" s="49"/>
      <c r="R459" s="49"/>
      <c r="S459" s="49"/>
      <c r="T459" s="49"/>
      <c r="U459" s="49"/>
      <c r="V459" s="49"/>
      <c r="W459" s="49"/>
      <c r="X459" s="49"/>
      <c r="Y459" s="49"/>
      <c r="Z459" s="49"/>
      <c r="AA459" s="49"/>
      <c r="AB459" s="49"/>
      <c r="AC459" s="49"/>
    </row>
    <row r="460" spans="1:29" ht="13">
      <c r="A460" s="47"/>
      <c r="B460" s="47"/>
      <c r="C460" s="49"/>
      <c r="D460" s="49"/>
      <c r="E460" s="49"/>
      <c r="F460" s="49"/>
      <c r="G460" s="49"/>
      <c r="H460" s="173"/>
      <c r="I460" s="49"/>
      <c r="J460" s="49"/>
      <c r="K460" s="49"/>
      <c r="L460" s="49"/>
      <c r="M460" s="49"/>
      <c r="N460" s="49"/>
      <c r="O460" s="49"/>
      <c r="P460" s="49"/>
      <c r="Q460" s="49"/>
      <c r="R460" s="49"/>
      <c r="S460" s="49"/>
      <c r="T460" s="49"/>
      <c r="U460" s="49"/>
      <c r="V460" s="49"/>
      <c r="W460" s="49"/>
      <c r="X460" s="49"/>
      <c r="Y460" s="49"/>
      <c r="Z460" s="49"/>
      <c r="AA460" s="49"/>
      <c r="AB460" s="49"/>
      <c r="AC460" s="49"/>
    </row>
    <row r="461" spans="1:29" ht="13">
      <c r="A461" s="47"/>
      <c r="B461" s="47"/>
      <c r="C461" s="49"/>
      <c r="D461" s="49"/>
      <c r="E461" s="49"/>
      <c r="F461" s="49"/>
      <c r="G461" s="49"/>
      <c r="H461" s="173"/>
      <c r="I461" s="49"/>
      <c r="J461" s="49"/>
      <c r="K461" s="49"/>
      <c r="L461" s="49"/>
      <c r="M461" s="49"/>
      <c r="N461" s="49"/>
      <c r="O461" s="49"/>
      <c r="P461" s="49"/>
      <c r="Q461" s="49"/>
      <c r="R461" s="49"/>
      <c r="S461" s="49"/>
      <c r="T461" s="49"/>
      <c r="U461" s="49"/>
      <c r="V461" s="49"/>
      <c r="W461" s="49"/>
      <c r="X461" s="49"/>
      <c r="Y461" s="49"/>
      <c r="Z461" s="49"/>
      <c r="AA461" s="49"/>
      <c r="AB461" s="49"/>
      <c r="AC461" s="49"/>
    </row>
    <row r="462" spans="1:29" ht="13">
      <c r="A462" s="47"/>
      <c r="B462" s="47"/>
      <c r="C462" s="49"/>
      <c r="D462" s="49"/>
      <c r="E462" s="49"/>
      <c r="F462" s="49"/>
      <c r="G462" s="49"/>
      <c r="H462" s="173"/>
      <c r="I462" s="49"/>
      <c r="J462" s="49"/>
      <c r="K462" s="49"/>
      <c r="L462" s="49"/>
      <c r="M462" s="49"/>
      <c r="N462" s="49"/>
      <c r="O462" s="49"/>
      <c r="P462" s="49"/>
      <c r="Q462" s="49"/>
      <c r="R462" s="49"/>
      <c r="S462" s="49"/>
      <c r="T462" s="49"/>
      <c r="U462" s="49"/>
      <c r="V462" s="49"/>
      <c r="W462" s="49"/>
      <c r="X462" s="49"/>
      <c r="Y462" s="49"/>
      <c r="Z462" s="49"/>
      <c r="AA462" s="49"/>
      <c r="AB462" s="49"/>
      <c r="AC462" s="49"/>
    </row>
    <row r="463" spans="1:29" ht="13">
      <c r="A463" s="47"/>
      <c r="B463" s="47"/>
      <c r="C463" s="49"/>
      <c r="D463" s="49"/>
      <c r="E463" s="49"/>
      <c r="F463" s="49"/>
      <c r="G463" s="49"/>
      <c r="H463" s="173"/>
      <c r="I463" s="49"/>
      <c r="J463" s="49"/>
      <c r="K463" s="49"/>
      <c r="L463" s="49"/>
      <c r="M463" s="49"/>
      <c r="N463" s="49"/>
      <c r="O463" s="49"/>
      <c r="P463" s="49"/>
      <c r="Q463" s="49"/>
      <c r="R463" s="49"/>
      <c r="S463" s="49"/>
      <c r="T463" s="49"/>
      <c r="U463" s="49"/>
      <c r="V463" s="49"/>
      <c r="W463" s="49"/>
      <c r="X463" s="49"/>
      <c r="Y463" s="49"/>
      <c r="Z463" s="49"/>
      <c r="AA463" s="49"/>
      <c r="AB463" s="49"/>
      <c r="AC463" s="49"/>
    </row>
    <row r="464" spans="1:29" ht="13">
      <c r="A464" s="47"/>
      <c r="B464" s="47"/>
      <c r="C464" s="49"/>
      <c r="D464" s="49"/>
      <c r="E464" s="49"/>
      <c r="F464" s="49"/>
      <c r="G464" s="49"/>
      <c r="H464" s="173"/>
      <c r="I464" s="49"/>
      <c r="J464" s="49"/>
      <c r="K464" s="49"/>
      <c r="L464" s="49"/>
      <c r="M464" s="49"/>
      <c r="N464" s="49"/>
      <c r="O464" s="49"/>
      <c r="P464" s="49"/>
      <c r="Q464" s="49"/>
      <c r="R464" s="49"/>
      <c r="S464" s="49"/>
      <c r="T464" s="49"/>
      <c r="U464" s="49"/>
      <c r="V464" s="49"/>
      <c r="W464" s="49"/>
      <c r="X464" s="49"/>
      <c r="Y464" s="49"/>
      <c r="Z464" s="49"/>
      <c r="AA464" s="49"/>
      <c r="AB464" s="49"/>
      <c r="AC464" s="49"/>
    </row>
    <row r="465" spans="1:29" ht="13">
      <c r="A465" s="47"/>
      <c r="B465" s="47"/>
      <c r="C465" s="49"/>
      <c r="D465" s="49"/>
      <c r="E465" s="49"/>
      <c r="F465" s="49"/>
      <c r="G465" s="49"/>
      <c r="H465" s="173"/>
      <c r="I465" s="49"/>
      <c r="J465" s="49"/>
      <c r="K465" s="49"/>
      <c r="L465" s="49"/>
      <c r="M465" s="49"/>
      <c r="N465" s="49"/>
      <c r="O465" s="49"/>
      <c r="P465" s="49"/>
      <c r="Q465" s="49"/>
      <c r="R465" s="49"/>
      <c r="S465" s="49"/>
      <c r="T465" s="49"/>
      <c r="U465" s="49"/>
      <c r="V465" s="49"/>
      <c r="W465" s="49"/>
      <c r="X465" s="49"/>
      <c r="Y465" s="49"/>
      <c r="Z465" s="49"/>
      <c r="AA465" s="49"/>
      <c r="AB465" s="49"/>
      <c r="AC465" s="49"/>
    </row>
    <row r="466" spans="1:29" ht="13">
      <c r="A466" s="47"/>
      <c r="B466" s="47"/>
      <c r="C466" s="49"/>
      <c r="D466" s="49"/>
      <c r="E466" s="49"/>
      <c r="F466" s="49"/>
      <c r="G466" s="49"/>
      <c r="H466" s="173"/>
      <c r="I466" s="49"/>
      <c r="J466" s="49"/>
      <c r="K466" s="49"/>
      <c r="L466" s="49"/>
      <c r="M466" s="49"/>
      <c r="N466" s="49"/>
      <c r="O466" s="49"/>
      <c r="P466" s="49"/>
      <c r="Q466" s="49"/>
      <c r="R466" s="49"/>
      <c r="S466" s="49"/>
      <c r="T466" s="49"/>
      <c r="U466" s="49"/>
      <c r="V466" s="49"/>
      <c r="W466" s="49"/>
      <c r="X466" s="49"/>
      <c r="Y466" s="49"/>
      <c r="Z466" s="49"/>
      <c r="AA466" s="49"/>
      <c r="AB466" s="49"/>
      <c r="AC466" s="49"/>
    </row>
    <row r="467" spans="1:29" ht="13">
      <c r="A467" s="47"/>
      <c r="B467" s="47"/>
      <c r="C467" s="49"/>
      <c r="D467" s="49"/>
      <c r="E467" s="49"/>
      <c r="F467" s="49"/>
      <c r="G467" s="49"/>
      <c r="H467" s="173"/>
      <c r="I467" s="49"/>
      <c r="J467" s="49"/>
      <c r="K467" s="49"/>
      <c r="L467" s="49"/>
      <c r="M467" s="49"/>
      <c r="N467" s="49"/>
      <c r="O467" s="49"/>
      <c r="P467" s="49"/>
      <c r="Q467" s="49"/>
      <c r="R467" s="49"/>
      <c r="S467" s="49"/>
      <c r="T467" s="49"/>
      <c r="U467" s="49"/>
      <c r="V467" s="49"/>
      <c r="W467" s="49"/>
      <c r="X467" s="49"/>
      <c r="Y467" s="49"/>
      <c r="Z467" s="49"/>
      <c r="AA467" s="49"/>
      <c r="AB467" s="49"/>
      <c r="AC467" s="49"/>
    </row>
    <row r="468" spans="1:29" ht="13">
      <c r="A468" s="47"/>
      <c r="B468" s="47"/>
      <c r="C468" s="49"/>
      <c r="D468" s="49"/>
      <c r="E468" s="49"/>
      <c r="F468" s="49"/>
      <c r="G468" s="49"/>
      <c r="H468" s="173"/>
      <c r="I468" s="49"/>
      <c r="J468" s="49"/>
      <c r="K468" s="49"/>
      <c r="L468" s="49"/>
      <c r="M468" s="49"/>
      <c r="N468" s="49"/>
      <c r="O468" s="49"/>
      <c r="P468" s="49"/>
      <c r="Q468" s="49"/>
      <c r="R468" s="49"/>
      <c r="S468" s="49"/>
      <c r="T468" s="49"/>
      <c r="U468" s="49"/>
      <c r="V468" s="49"/>
      <c r="W468" s="49"/>
      <c r="X468" s="49"/>
      <c r="Y468" s="49"/>
      <c r="Z468" s="49"/>
      <c r="AA468" s="49"/>
      <c r="AB468" s="49"/>
      <c r="AC468" s="49"/>
    </row>
    <row r="469" spans="1:29" ht="13">
      <c r="A469" s="47"/>
      <c r="B469" s="47"/>
      <c r="C469" s="49"/>
      <c r="D469" s="49"/>
      <c r="E469" s="49"/>
      <c r="F469" s="49"/>
      <c r="G469" s="49"/>
      <c r="H469" s="173"/>
      <c r="I469" s="49"/>
      <c r="J469" s="49"/>
      <c r="K469" s="49"/>
      <c r="L469" s="49"/>
      <c r="M469" s="49"/>
      <c r="N469" s="49"/>
      <c r="O469" s="49"/>
      <c r="P469" s="49"/>
      <c r="Q469" s="49"/>
      <c r="R469" s="49"/>
      <c r="S469" s="49"/>
      <c r="T469" s="49"/>
      <c r="U469" s="49"/>
      <c r="V469" s="49"/>
      <c r="W469" s="49"/>
      <c r="X469" s="49"/>
      <c r="Y469" s="49"/>
      <c r="Z469" s="49"/>
      <c r="AA469" s="49"/>
      <c r="AB469" s="49"/>
      <c r="AC469" s="49"/>
    </row>
    <row r="470" spans="1:29" ht="13">
      <c r="A470" s="47"/>
      <c r="B470" s="47"/>
      <c r="C470" s="49"/>
      <c r="D470" s="49"/>
      <c r="E470" s="49"/>
      <c r="F470" s="49"/>
      <c r="G470" s="49"/>
      <c r="H470" s="173"/>
      <c r="I470" s="49"/>
      <c r="J470" s="49"/>
      <c r="K470" s="49"/>
      <c r="L470" s="49"/>
      <c r="M470" s="49"/>
      <c r="N470" s="49"/>
      <c r="O470" s="49"/>
      <c r="P470" s="49"/>
      <c r="Q470" s="49"/>
      <c r="R470" s="49"/>
      <c r="S470" s="49"/>
      <c r="T470" s="49"/>
      <c r="U470" s="49"/>
      <c r="V470" s="49"/>
      <c r="W470" s="49"/>
      <c r="X470" s="49"/>
      <c r="Y470" s="49"/>
      <c r="Z470" s="49"/>
      <c r="AA470" s="49"/>
      <c r="AB470" s="49"/>
      <c r="AC470" s="49"/>
    </row>
    <row r="471" spans="1:29" ht="13">
      <c r="A471" s="47"/>
      <c r="B471" s="47"/>
      <c r="C471" s="49"/>
      <c r="D471" s="49"/>
      <c r="E471" s="49"/>
      <c r="F471" s="49"/>
      <c r="G471" s="49"/>
      <c r="H471" s="173"/>
      <c r="I471" s="49"/>
      <c r="J471" s="49"/>
      <c r="K471" s="49"/>
      <c r="L471" s="49"/>
      <c r="M471" s="49"/>
      <c r="N471" s="49"/>
      <c r="O471" s="49"/>
      <c r="P471" s="49"/>
      <c r="Q471" s="49"/>
      <c r="R471" s="49"/>
      <c r="S471" s="49"/>
      <c r="T471" s="49"/>
      <c r="U471" s="49"/>
      <c r="V471" s="49"/>
      <c r="W471" s="49"/>
      <c r="X471" s="49"/>
      <c r="Y471" s="49"/>
      <c r="Z471" s="49"/>
      <c r="AA471" s="49"/>
      <c r="AB471" s="49"/>
      <c r="AC471" s="49"/>
    </row>
    <row r="472" spans="1:29" ht="13">
      <c r="A472" s="47"/>
      <c r="B472" s="47"/>
      <c r="C472" s="49"/>
      <c r="D472" s="49"/>
      <c r="E472" s="49"/>
      <c r="F472" s="49"/>
      <c r="G472" s="49"/>
      <c r="H472" s="173"/>
      <c r="I472" s="49"/>
      <c r="J472" s="49"/>
      <c r="K472" s="49"/>
      <c r="L472" s="49"/>
      <c r="M472" s="49"/>
      <c r="N472" s="49"/>
      <c r="O472" s="49"/>
      <c r="P472" s="49"/>
      <c r="Q472" s="49"/>
      <c r="R472" s="49"/>
      <c r="S472" s="49"/>
      <c r="T472" s="49"/>
      <c r="U472" s="49"/>
      <c r="V472" s="49"/>
      <c r="W472" s="49"/>
      <c r="X472" s="49"/>
      <c r="Y472" s="49"/>
      <c r="Z472" s="49"/>
      <c r="AA472" s="49"/>
      <c r="AB472" s="49"/>
      <c r="AC472" s="49"/>
    </row>
    <row r="473" spans="1:29" ht="13">
      <c r="A473" s="47"/>
      <c r="B473" s="47"/>
      <c r="C473" s="49"/>
      <c r="D473" s="49"/>
      <c r="E473" s="49"/>
      <c r="F473" s="49"/>
      <c r="G473" s="49"/>
      <c r="H473" s="173"/>
      <c r="I473" s="49"/>
      <c r="J473" s="49"/>
      <c r="K473" s="49"/>
      <c r="L473" s="49"/>
      <c r="M473" s="49"/>
      <c r="N473" s="49"/>
      <c r="O473" s="49"/>
      <c r="P473" s="49"/>
      <c r="Q473" s="49"/>
      <c r="R473" s="49"/>
      <c r="S473" s="49"/>
      <c r="T473" s="49"/>
      <c r="U473" s="49"/>
      <c r="V473" s="49"/>
      <c r="W473" s="49"/>
      <c r="X473" s="49"/>
      <c r="Y473" s="49"/>
      <c r="Z473" s="49"/>
      <c r="AA473" s="49"/>
      <c r="AB473" s="49"/>
      <c r="AC473" s="49"/>
    </row>
    <row r="474" spans="1:29" ht="13">
      <c r="A474" s="47"/>
      <c r="B474" s="47"/>
      <c r="C474" s="49"/>
      <c r="D474" s="49"/>
      <c r="E474" s="49"/>
      <c r="F474" s="49"/>
      <c r="G474" s="49"/>
      <c r="H474" s="173"/>
      <c r="I474" s="49"/>
      <c r="J474" s="49"/>
      <c r="K474" s="49"/>
      <c r="L474" s="49"/>
      <c r="M474" s="49"/>
      <c r="N474" s="49"/>
      <c r="O474" s="49"/>
      <c r="P474" s="49"/>
      <c r="Q474" s="49"/>
      <c r="R474" s="49"/>
      <c r="S474" s="49"/>
      <c r="T474" s="49"/>
      <c r="U474" s="49"/>
      <c r="V474" s="49"/>
      <c r="W474" s="49"/>
      <c r="X474" s="49"/>
      <c r="Y474" s="49"/>
      <c r="Z474" s="49"/>
      <c r="AA474" s="49"/>
      <c r="AB474" s="49"/>
      <c r="AC474" s="49"/>
    </row>
    <row r="475" spans="1:29" ht="13">
      <c r="A475" s="47"/>
      <c r="B475" s="47"/>
      <c r="C475" s="49"/>
      <c r="D475" s="49"/>
      <c r="E475" s="49"/>
      <c r="F475" s="49"/>
      <c r="G475" s="49"/>
      <c r="H475" s="173"/>
      <c r="I475" s="49"/>
      <c r="J475" s="49"/>
      <c r="K475" s="49"/>
      <c r="L475" s="49"/>
      <c r="M475" s="49"/>
      <c r="N475" s="49"/>
      <c r="O475" s="49"/>
      <c r="P475" s="49"/>
      <c r="Q475" s="49"/>
      <c r="R475" s="49"/>
      <c r="S475" s="49"/>
      <c r="T475" s="49"/>
      <c r="U475" s="49"/>
      <c r="V475" s="49"/>
      <c r="W475" s="49"/>
      <c r="X475" s="49"/>
      <c r="Y475" s="49"/>
      <c r="Z475" s="49"/>
      <c r="AA475" s="49"/>
      <c r="AB475" s="49"/>
      <c r="AC475" s="49"/>
    </row>
    <row r="476" spans="1:29" ht="13">
      <c r="A476" s="47"/>
      <c r="B476" s="47"/>
      <c r="C476" s="49"/>
      <c r="D476" s="49"/>
      <c r="E476" s="49"/>
      <c r="F476" s="49"/>
      <c r="G476" s="49"/>
      <c r="H476" s="173"/>
      <c r="I476" s="49"/>
      <c r="J476" s="49"/>
      <c r="K476" s="49"/>
      <c r="L476" s="49"/>
      <c r="M476" s="49"/>
      <c r="N476" s="49"/>
      <c r="O476" s="49"/>
      <c r="P476" s="49"/>
      <c r="Q476" s="49"/>
      <c r="R476" s="49"/>
      <c r="S476" s="49"/>
      <c r="T476" s="49"/>
      <c r="U476" s="49"/>
      <c r="V476" s="49"/>
      <c r="W476" s="49"/>
      <c r="X476" s="49"/>
      <c r="Y476" s="49"/>
      <c r="Z476" s="49"/>
      <c r="AA476" s="49"/>
      <c r="AB476" s="49"/>
      <c r="AC476" s="49"/>
    </row>
    <row r="477" spans="1:29" ht="13">
      <c r="A477" s="47"/>
      <c r="B477" s="47"/>
      <c r="C477" s="49"/>
      <c r="D477" s="49"/>
      <c r="E477" s="49"/>
      <c r="F477" s="49"/>
      <c r="G477" s="49"/>
      <c r="H477" s="173"/>
      <c r="I477" s="49"/>
      <c r="J477" s="49"/>
      <c r="K477" s="49"/>
      <c r="L477" s="49"/>
      <c r="M477" s="49"/>
      <c r="N477" s="49"/>
      <c r="O477" s="49"/>
      <c r="P477" s="49"/>
      <c r="Q477" s="49"/>
      <c r="R477" s="49"/>
      <c r="S477" s="49"/>
      <c r="T477" s="49"/>
      <c r="U477" s="49"/>
      <c r="V477" s="49"/>
      <c r="W477" s="49"/>
      <c r="X477" s="49"/>
      <c r="Y477" s="49"/>
      <c r="Z477" s="49"/>
      <c r="AA477" s="49"/>
      <c r="AB477" s="49"/>
      <c r="AC477" s="49"/>
    </row>
    <row r="478" spans="1:29" ht="13">
      <c r="A478" s="47"/>
      <c r="B478" s="47"/>
      <c r="C478" s="49"/>
      <c r="D478" s="49"/>
      <c r="E478" s="49"/>
      <c r="F478" s="49"/>
      <c r="G478" s="49"/>
      <c r="H478" s="173"/>
      <c r="I478" s="49"/>
      <c r="J478" s="49"/>
      <c r="K478" s="49"/>
      <c r="L478" s="49"/>
      <c r="M478" s="49"/>
      <c r="N478" s="49"/>
      <c r="O478" s="49"/>
      <c r="P478" s="49"/>
      <c r="Q478" s="49"/>
      <c r="R478" s="49"/>
      <c r="S478" s="49"/>
      <c r="T478" s="49"/>
      <c r="U478" s="49"/>
      <c r="V478" s="49"/>
      <c r="W478" s="49"/>
      <c r="X478" s="49"/>
      <c r="Y478" s="49"/>
      <c r="Z478" s="49"/>
      <c r="AA478" s="49"/>
      <c r="AB478" s="49"/>
      <c r="AC478" s="49"/>
    </row>
    <row r="479" spans="1:29" ht="13">
      <c r="A479" s="47"/>
      <c r="B479" s="47"/>
      <c r="C479" s="49"/>
      <c r="D479" s="49"/>
      <c r="E479" s="49"/>
      <c r="F479" s="49"/>
      <c r="G479" s="49"/>
      <c r="H479" s="173"/>
      <c r="I479" s="49"/>
      <c r="J479" s="49"/>
      <c r="K479" s="49"/>
      <c r="L479" s="49"/>
      <c r="M479" s="49"/>
      <c r="N479" s="49"/>
      <c r="O479" s="49"/>
      <c r="P479" s="49"/>
      <c r="Q479" s="49"/>
      <c r="R479" s="49"/>
      <c r="S479" s="49"/>
      <c r="T479" s="49"/>
      <c r="U479" s="49"/>
      <c r="V479" s="49"/>
      <c r="W479" s="49"/>
      <c r="X479" s="49"/>
      <c r="Y479" s="49"/>
      <c r="Z479" s="49"/>
      <c r="AA479" s="49"/>
      <c r="AB479" s="49"/>
      <c r="AC479" s="49"/>
    </row>
    <row r="480" spans="1:29" ht="13">
      <c r="A480" s="47"/>
      <c r="B480" s="47"/>
      <c r="C480" s="49"/>
      <c r="D480" s="49"/>
      <c r="E480" s="49"/>
      <c r="F480" s="49"/>
      <c r="G480" s="49"/>
      <c r="H480" s="173"/>
      <c r="I480" s="49"/>
      <c r="J480" s="49"/>
      <c r="K480" s="49"/>
      <c r="L480" s="49"/>
      <c r="M480" s="49"/>
      <c r="N480" s="49"/>
      <c r="O480" s="49"/>
      <c r="P480" s="49"/>
      <c r="Q480" s="49"/>
      <c r="R480" s="49"/>
      <c r="S480" s="49"/>
      <c r="T480" s="49"/>
      <c r="U480" s="49"/>
      <c r="V480" s="49"/>
      <c r="W480" s="49"/>
      <c r="X480" s="49"/>
      <c r="Y480" s="49"/>
      <c r="Z480" s="49"/>
      <c r="AA480" s="49"/>
      <c r="AB480" s="49"/>
      <c r="AC480" s="49"/>
    </row>
    <row r="481" spans="1:29" ht="13">
      <c r="A481" s="47"/>
      <c r="B481" s="47"/>
      <c r="C481" s="49"/>
      <c r="D481" s="49"/>
      <c r="E481" s="49"/>
      <c r="F481" s="49"/>
      <c r="G481" s="49"/>
      <c r="H481" s="173"/>
      <c r="I481" s="49"/>
      <c r="J481" s="49"/>
      <c r="K481" s="49"/>
      <c r="L481" s="49"/>
      <c r="M481" s="49"/>
      <c r="N481" s="49"/>
      <c r="O481" s="49"/>
      <c r="P481" s="49"/>
      <c r="Q481" s="49"/>
      <c r="R481" s="49"/>
      <c r="S481" s="49"/>
      <c r="T481" s="49"/>
      <c r="U481" s="49"/>
      <c r="V481" s="49"/>
      <c r="W481" s="49"/>
      <c r="X481" s="49"/>
      <c r="Y481" s="49"/>
      <c r="Z481" s="49"/>
      <c r="AA481" s="49"/>
      <c r="AB481" s="49"/>
      <c r="AC481" s="49"/>
    </row>
    <row r="482" spans="1:29" ht="13">
      <c r="A482" s="47"/>
      <c r="B482" s="47"/>
      <c r="C482" s="49"/>
      <c r="D482" s="49"/>
      <c r="E482" s="49"/>
      <c r="F482" s="49"/>
      <c r="G482" s="49"/>
      <c r="H482" s="173"/>
      <c r="I482" s="49"/>
      <c r="J482" s="49"/>
      <c r="K482" s="49"/>
      <c r="L482" s="49"/>
      <c r="M482" s="49"/>
      <c r="N482" s="49"/>
      <c r="O482" s="49"/>
      <c r="P482" s="49"/>
      <c r="Q482" s="49"/>
      <c r="R482" s="49"/>
      <c r="S482" s="49"/>
      <c r="T482" s="49"/>
      <c r="U482" s="49"/>
      <c r="V482" s="49"/>
      <c r="W482" s="49"/>
      <c r="X482" s="49"/>
      <c r="Y482" s="49"/>
      <c r="Z482" s="49"/>
      <c r="AA482" s="49"/>
      <c r="AB482" s="49"/>
      <c r="AC482" s="49"/>
    </row>
    <row r="483" spans="1:29" ht="13">
      <c r="A483" s="47"/>
      <c r="B483" s="47"/>
      <c r="C483" s="49"/>
      <c r="D483" s="49"/>
      <c r="E483" s="49"/>
      <c r="F483" s="49"/>
      <c r="G483" s="49"/>
      <c r="H483" s="173"/>
      <c r="I483" s="49"/>
      <c r="J483" s="49"/>
      <c r="K483" s="49"/>
      <c r="L483" s="49"/>
      <c r="M483" s="49"/>
      <c r="N483" s="49"/>
      <c r="O483" s="49"/>
      <c r="P483" s="49"/>
      <c r="Q483" s="49"/>
      <c r="R483" s="49"/>
      <c r="S483" s="49"/>
      <c r="T483" s="49"/>
      <c r="U483" s="49"/>
      <c r="V483" s="49"/>
      <c r="W483" s="49"/>
      <c r="X483" s="49"/>
      <c r="Y483" s="49"/>
      <c r="Z483" s="49"/>
      <c r="AA483" s="49"/>
      <c r="AB483" s="49"/>
      <c r="AC483" s="49"/>
    </row>
    <row r="484" spans="1:29" ht="13">
      <c r="A484" s="47"/>
      <c r="B484" s="47"/>
      <c r="C484" s="49"/>
      <c r="D484" s="49"/>
      <c r="E484" s="49"/>
      <c r="F484" s="49"/>
      <c r="G484" s="49"/>
      <c r="H484" s="173"/>
      <c r="I484" s="49"/>
      <c r="J484" s="49"/>
      <c r="K484" s="49"/>
      <c r="L484" s="49"/>
      <c r="M484" s="49"/>
      <c r="N484" s="49"/>
      <c r="O484" s="49"/>
      <c r="P484" s="49"/>
      <c r="Q484" s="49"/>
      <c r="R484" s="49"/>
      <c r="S484" s="49"/>
      <c r="T484" s="49"/>
      <c r="U484" s="49"/>
      <c r="V484" s="49"/>
      <c r="W484" s="49"/>
      <c r="X484" s="49"/>
      <c r="Y484" s="49"/>
      <c r="Z484" s="49"/>
      <c r="AA484" s="49"/>
      <c r="AB484" s="49"/>
      <c r="AC484" s="49"/>
    </row>
    <row r="485" spans="1:29" ht="13">
      <c r="A485" s="47"/>
      <c r="B485" s="47"/>
      <c r="C485" s="49"/>
      <c r="D485" s="49"/>
      <c r="E485" s="49"/>
      <c r="F485" s="49"/>
      <c r="G485" s="49"/>
      <c r="H485" s="173"/>
      <c r="I485" s="49"/>
      <c r="J485" s="49"/>
      <c r="K485" s="49"/>
      <c r="L485" s="49"/>
      <c r="M485" s="49"/>
      <c r="N485" s="49"/>
      <c r="O485" s="49"/>
      <c r="P485" s="49"/>
      <c r="Q485" s="49"/>
      <c r="R485" s="49"/>
      <c r="S485" s="49"/>
      <c r="T485" s="49"/>
      <c r="U485" s="49"/>
      <c r="V485" s="49"/>
      <c r="W485" s="49"/>
      <c r="X485" s="49"/>
      <c r="Y485" s="49"/>
      <c r="Z485" s="49"/>
      <c r="AA485" s="49"/>
      <c r="AB485" s="49"/>
      <c r="AC485" s="49"/>
    </row>
    <row r="486" spans="1:29" ht="13">
      <c r="A486" s="47"/>
      <c r="B486" s="47"/>
      <c r="C486" s="49"/>
      <c r="D486" s="49"/>
      <c r="E486" s="49"/>
      <c r="F486" s="49"/>
      <c r="G486" s="49"/>
      <c r="H486" s="173"/>
      <c r="I486" s="49"/>
      <c r="J486" s="49"/>
      <c r="K486" s="49"/>
      <c r="L486" s="49"/>
      <c r="M486" s="49"/>
      <c r="N486" s="49"/>
      <c r="O486" s="49"/>
      <c r="P486" s="49"/>
      <c r="Q486" s="49"/>
      <c r="R486" s="49"/>
      <c r="S486" s="49"/>
      <c r="T486" s="49"/>
      <c r="U486" s="49"/>
      <c r="V486" s="49"/>
      <c r="W486" s="49"/>
      <c r="X486" s="49"/>
      <c r="Y486" s="49"/>
      <c r="Z486" s="49"/>
      <c r="AA486" s="49"/>
      <c r="AB486" s="49"/>
      <c r="AC486" s="49"/>
    </row>
    <row r="487" spans="1:29" ht="13">
      <c r="A487" s="47"/>
      <c r="B487" s="47"/>
      <c r="C487" s="49"/>
      <c r="D487" s="49"/>
      <c r="E487" s="49"/>
      <c r="F487" s="49"/>
      <c r="G487" s="49"/>
      <c r="H487" s="173"/>
      <c r="I487" s="49"/>
      <c r="J487" s="49"/>
      <c r="K487" s="49"/>
      <c r="L487" s="49"/>
      <c r="M487" s="49"/>
      <c r="N487" s="49"/>
      <c r="O487" s="49"/>
      <c r="P487" s="49"/>
      <c r="Q487" s="49"/>
      <c r="R487" s="49"/>
      <c r="S487" s="49"/>
      <c r="T487" s="49"/>
      <c r="U487" s="49"/>
      <c r="V487" s="49"/>
      <c r="W487" s="49"/>
      <c r="X487" s="49"/>
      <c r="Y487" s="49"/>
      <c r="Z487" s="49"/>
      <c r="AA487" s="49"/>
      <c r="AB487" s="49"/>
      <c r="AC487" s="49"/>
    </row>
    <row r="488" spans="1:29" ht="13">
      <c r="A488" s="47"/>
      <c r="B488" s="47"/>
      <c r="C488" s="49"/>
      <c r="D488" s="49"/>
      <c r="E488" s="49"/>
      <c r="F488" s="49"/>
      <c r="G488" s="49"/>
      <c r="H488" s="173"/>
      <c r="I488" s="49"/>
      <c r="J488" s="49"/>
      <c r="K488" s="49"/>
      <c r="L488" s="49"/>
      <c r="M488" s="49"/>
      <c r="N488" s="49"/>
      <c r="O488" s="49"/>
      <c r="P488" s="49"/>
      <c r="Q488" s="49"/>
      <c r="R488" s="49"/>
      <c r="S488" s="49"/>
      <c r="T488" s="49"/>
      <c r="U488" s="49"/>
      <c r="V488" s="49"/>
      <c r="W488" s="49"/>
      <c r="X488" s="49"/>
      <c r="Y488" s="49"/>
      <c r="Z488" s="49"/>
      <c r="AA488" s="49"/>
      <c r="AB488" s="49"/>
      <c r="AC488" s="49"/>
    </row>
    <row r="489" spans="1:29" ht="13">
      <c r="A489" s="47"/>
      <c r="B489" s="47"/>
      <c r="C489" s="49"/>
      <c r="D489" s="49"/>
      <c r="E489" s="49"/>
      <c r="F489" s="49"/>
      <c r="G489" s="49"/>
      <c r="H489" s="173"/>
      <c r="I489" s="49"/>
      <c r="J489" s="49"/>
      <c r="K489" s="49"/>
      <c r="L489" s="49"/>
      <c r="M489" s="49"/>
      <c r="N489" s="49"/>
      <c r="O489" s="49"/>
      <c r="P489" s="49"/>
      <c r="Q489" s="49"/>
      <c r="R489" s="49"/>
      <c r="S489" s="49"/>
      <c r="T489" s="49"/>
      <c r="U489" s="49"/>
      <c r="V489" s="49"/>
      <c r="W489" s="49"/>
      <c r="X489" s="49"/>
      <c r="Y489" s="49"/>
      <c r="Z489" s="49"/>
      <c r="AA489" s="49"/>
      <c r="AB489" s="49"/>
      <c r="AC489" s="49"/>
    </row>
    <row r="490" spans="1:29" ht="13">
      <c r="A490" s="47"/>
      <c r="B490" s="47"/>
      <c r="C490" s="49"/>
      <c r="D490" s="49"/>
      <c r="E490" s="49"/>
      <c r="F490" s="49"/>
      <c r="G490" s="49"/>
      <c r="H490" s="173"/>
      <c r="I490" s="49"/>
      <c r="J490" s="49"/>
      <c r="K490" s="49"/>
      <c r="L490" s="49"/>
      <c r="M490" s="49"/>
      <c r="N490" s="49"/>
      <c r="O490" s="49"/>
      <c r="P490" s="49"/>
      <c r="Q490" s="49"/>
      <c r="R490" s="49"/>
      <c r="S490" s="49"/>
      <c r="T490" s="49"/>
      <c r="U490" s="49"/>
      <c r="V490" s="49"/>
      <c r="W490" s="49"/>
      <c r="X490" s="49"/>
      <c r="Y490" s="49"/>
      <c r="Z490" s="49"/>
      <c r="AA490" s="49"/>
      <c r="AB490" s="49"/>
      <c r="AC490" s="49"/>
    </row>
    <row r="491" spans="1:29" ht="13">
      <c r="A491" s="47"/>
      <c r="B491" s="47"/>
      <c r="C491" s="49"/>
      <c r="D491" s="49"/>
      <c r="E491" s="49"/>
      <c r="F491" s="49"/>
      <c r="G491" s="49"/>
      <c r="H491" s="173"/>
      <c r="I491" s="49"/>
      <c r="J491" s="49"/>
      <c r="K491" s="49"/>
      <c r="L491" s="49"/>
      <c r="M491" s="49"/>
      <c r="N491" s="49"/>
      <c r="O491" s="49"/>
      <c r="P491" s="49"/>
      <c r="Q491" s="49"/>
      <c r="R491" s="49"/>
      <c r="S491" s="49"/>
      <c r="T491" s="49"/>
      <c r="U491" s="49"/>
      <c r="V491" s="49"/>
      <c r="W491" s="49"/>
      <c r="X491" s="49"/>
      <c r="Y491" s="49"/>
      <c r="Z491" s="49"/>
      <c r="AA491" s="49"/>
      <c r="AB491" s="49"/>
      <c r="AC491" s="49"/>
    </row>
    <row r="492" spans="1:29" ht="13">
      <c r="A492" s="47"/>
      <c r="B492" s="47"/>
      <c r="C492" s="49"/>
      <c r="D492" s="49"/>
      <c r="E492" s="49"/>
      <c r="F492" s="49"/>
      <c r="G492" s="49"/>
      <c r="H492" s="173"/>
      <c r="I492" s="49"/>
      <c r="J492" s="49"/>
      <c r="K492" s="49"/>
      <c r="L492" s="49"/>
      <c r="M492" s="49"/>
      <c r="N492" s="49"/>
      <c r="O492" s="49"/>
      <c r="P492" s="49"/>
      <c r="Q492" s="49"/>
      <c r="R492" s="49"/>
      <c r="S492" s="49"/>
      <c r="T492" s="49"/>
      <c r="U492" s="49"/>
      <c r="V492" s="49"/>
      <c r="W492" s="49"/>
      <c r="X492" s="49"/>
      <c r="Y492" s="49"/>
      <c r="Z492" s="49"/>
      <c r="AA492" s="49"/>
      <c r="AB492" s="49"/>
      <c r="AC492" s="49"/>
    </row>
    <row r="493" spans="1:29" ht="13">
      <c r="A493" s="47"/>
      <c r="B493" s="47"/>
      <c r="C493" s="49"/>
      <c r="D493" s="49"/>
      <c r="E493" s="49"/>
      <c r="F493" s="49"/>
      <c r="G493" s="49"/>
      <c r="H493" s="173"/>
      <c r="I493" s="49"/>
      <c r="J493" s="49"/>
      <c r="K493" s="49"/>
      <c r="L493" s="49"/>
      <c r="M493" s="49"/>
      <c r="N493" s="49"/>
      <c r="O493" s="49"/>
      <c r="P493" s="49"/>
      <c r="Q493" s="49"/>
      <c r="R493" s="49"/>
      <c r="S493" s="49"/>
      <c r="T493" s="49"/>
      <c r="U493" s="49"/>
      <c r="V493" s="49"/>
      <c r="W493" s="49"/>
      <c r="X493" s="49"/>
      <c r="Y493" s="49"/>
      <c r="Z493" s="49"/>
      <c r="AA493" s="49"/>
      <c r="AB493" s="49"/>
      <c r="AC493" s="49"/>
    </row>
    <row r="494" spans="1:29" ht="13">
      <c r="A494" s="47"/>
      <c r="B494" s="47"/>
      <c r="C494" s="49"/>
      <c r="D494" s="49"/>
      <c r="E494" s="49"/>
      <c r="F494" s="49"/>
      <c r="G494" s="49"/>
      <c r="H494" s="173"/>
      <c r="I494" s="49"/>
      <c r="J494" s="49"/>
      <c r="K494" s="49"/>
      <c r="L494" s="49"/>
      <c r="M494" s="49"/>
      <c r="N494" s="49"/>
      <c r="O494" s="49"/>
      <c r="P494" s="49"/>
      <c r="Q494" s="49"/>
      <c r="R494" s="49"/>
      <c r="S494" s="49"/>
      <c r="T494" s="49"/>
      <c r="U494" s="49"/>
      <c r="V494" s="49"/>
      <c r="W494" s="49"/>
      <c r="X494" s="49"/>
      <c r="Y494" s="49"/>
      <c r="Z494" s="49"/>
      <c r="AA494" s="49"/>
      <c r="AB494" s="49"/>
      <c r="AC494" s="49"/>
    </row>
    <row r="495" spans="1:29" ht="13">
      <c r="A495" s="47"/>
      <c r="B495" s="47"/>
      <c r="C495" s="49"/>
      <c r="D495" s="49"/>
      <c r="E495" s="49"/>
      <c r="F495" s="49"/>
      <c r="G495" s="49"/>
      <c r="H495" s="173"/>
      <c r="I495" s="49"/>
      <c r="J495" s="49"/>
      <c r="K495" s="49"/>
      <c r="L495" s="49"/>
      <c r="M495" s="49"/>
      <c r="N495" s="49"/>
      <c r="O495" s="49"/>
      <c r="P495" s="49"/>
      <c r="Q495" s="49"/>
      <c r="R495" s="49"/>
      <c r="S495" s="49"/>
      <c r="T495" s="49"/>
      <c r="U495" s="49"/>
      <c r="V495" s="49"/>
      <c r="W495" s="49"/>
      <c r="X495" s="49"/>
      <c r="Y495" s="49"/>
      <c r="Z495" s="49"/>
      <c r="AA495" s="49"/>
      <c r="AB495" s="49"/>
      <c r="AC495" s="49"/>
    </row>
    <row r="496" spans="1:29" ht="13">
      <c r="A496" s="47"/>
      <c r="B496" s="47"/>
      <c r="C496" s="49"/>
      <c r="D496" s="49"/>
      <c r="E496" s="49"/>
      <c r="F496" s="49"/>
      <c r="G496" s="49"/>
      <c r="H496" s="173"/>
      <c r="I496" s="49"/>
      <c r="J496" s="49"/>
      <c r="K496" s="49"/>
      <c r="L496" s="49"/>
      <c r="M496" s="49"/>
      <c r="N496" s="49"/>
      <c r="O496" s="49"/>
      <c r="P496" s="49"/>
      <c r="Q496" s="49"/>
      <c r="R496" s="49"/>
      <c r="S496" s="49"/>
      <c r="T496" s="49"/>
      <c r="U496" s="49"/>
      <c r="V496" s="49"/>
      <c r="W496" s="49"/>
      <c r="X496" s="49"/>
      <c r="Y496" s="49"/>
      <c r="Z496" s="49"/>
      <c r="AA496" s="49"/>
      <c r="AB496" s="49"/>
      <c r="AC496" s="49"/>
    </row>
    <row r="497" spans="1:29" ht="13">
      <c r="A497" s="47"/>
      <c r="B497" s="47"/>
      <c r="C497" s="49"/>
      <c r="D497" s="49"/>
      <c r="E497" s="49"/>
      <c r="F497" s="49"/>
      <c r="G497" s="49"/>
      <c r="H497" s="173"/>
      <c r="I497" s="49"/>
      <c r="J497" s="49"/>
      <c r="K497" s="49"/>
      <c r="L497" s="49"/>
      <c r="M497" s="49"/>
      <c r="N497" s="49"/>
      <c r="O497" s="49"/>
      <c r="P497" s="49"/>
      <c r="Q497" s="49"/>
      <c r="R497" s="49"/>
      <c r="S497" s="49"/>
      <c r="T497" s="49"/>
      <c r="U497" s="49"/>
      <c r="V497" s="49"/>
      <c r="W497" s="49"/>
      <c r="X497" s="49"/>
      <c r="Y497" s="49"/>
      <c r="Z497" s="49"/>
      <c r="AA497" s="49"/>
      <c r="AB497" s="49"/>
      <c r="AC497" s="49"/>
    </row>
    <row r="498" spans="1:29" ht="13">
      <c r="A498" s="47"/>
      <c r="B498" s="47"/>
      <c r="C498" s="49"/>
      <c r="D498" s="49"/>
      <c r="E498" s="49"/>
      <c r="F498" s="49"/>
      <c r="G498" s="49"/>
      <c r="H498" s="173"/>
      <c r="I498" s="49"/>
      <c r="J498" s="49"/>
      <c r="K498" s="49"/>
      <c r="L498" s="49"/>
      <c r="M498" s="49"/>
      <c r="N498" s="49"/>
      <c r="O498" s="49"/>
      <c r="P498" s="49"/>
      <c r="Q498" s="49"/>
      <c r="R498" s="49"/>
      <c r="S498" s="49"/>
      <c r="T498" s="49"/>
      <c r="U498" s="49"/>
      <c r="V498" s="49"/>
      <c r="W498" s="49"/>
      <c r="X498" s="49"/>
      <c r="Y498" s="49"/>
      <c r="Z498" s="49"/>
      <c r="AA498" s="49"/>
      <c r="AB498" s="49"/>
      <c r="AC498" s="49"/>
    </row>
    <row r="499" spans="1:29" ht="13">
      <c r="A499" s="47"/>
      <c r="B499" s="47"/>
      <c r="C499" s="49"/>
      <c r="D499" s="49"/>
      <c r="E499" s="49"/>
      <c r="F499" s="49"/>
      <c r="G499" s="49"/>
      <c r="H499" s="173"/>
      <c r="I499" s="49"/>
      <c r="J499" s="49"/>
      <c r="K499" s="49"/>
      <c r="L499" s="49"/>
      <c r="M499" s="49"/>
      <c r="N499" s="49"/>
      <c r="O499" s="49"/>
      <c r="P499" s="49"/>
      <c r="Q499" s="49"/>
      <c r="R499" s="49"/>
      <c r="S499" s="49"/>
      <c r="T499" s="49"/>
      <c r="U499" s="49"/>
      <c r="V499" s="49"/>
      <c r="W499" s="49"/>
      <c r="X499" s="49"/>
      <c r="Y499" s="49"/>
      <c r="Z499" s="49"/>
      <c r="AA499" s="49"/>
      <c r="AB499" s="49"/>
      <c r="AC499" s="49"/>
    </row>
    <row r="500" spans="1:29" ht="13">
      <c r="A500" s="47"/>
      <c r="B500" s="47"/>
      <c r="C500" s="49"/>
      <c r="D500" s="49"/>
      <c r="E500" s="49"/>
      <c r="F500" s="49"/>
      <c r="G500" s="49"/>
      <c r="H500" s="173"/>
      <c r="I500" s="49"/>
      <c r="J500" s="49"/>
      <c r="K500" s="49"/>
      <c r="L500" s="49"/>
      <c r="M500" s="49"/>
      <c r="N500" s="49"/>
      <c r="O500" s="49"/>
      <c r="P500" s="49"/>
      <c r="Q500" s="49"/>
      <c r="R500" s="49"/>
      <c r="S500" s="49"/>
      <c r="T500" s="49"/>
      <c r="U500" s="49"/>
      <c r="V500" s="49"/>
      <c r="W500" s="49"/>
      <c r="X500" s="49"/>
      <c r="Y500" s="49"/>
      <c r="Z500" s="49"/>
      <c r="AA500" s="49"/>
      <c r="AB500" s="49"/>
      <c r="AC500" s="49"/>
    </row>
    <row r="501" spans="1:29" ht="13">
      <c r="A501" s="47"/>
      <c r="B501" s="47"/>
      <c r="C501" s="49"/>
      <c r="D501" s="49"/>
      <c r="E501" s="49"/>
      <c r="F501" s="49"/>
      <c r="G501" s="49"/>
      <c r="H501" s="173"/>
      <c r="I501" s="49"/>
      <c r="J501" s="49"/>
      <c r="K501" s="49"/>
      <c r="L501" s="49"/>
      <c r="M501" s="49"/>
      <c r="N501" s="49"/>
      <c r="O501" s="49"/>
      <c r="P501" s="49"/>
      <c r="Q501" s="49"/>
      <c r="R501" s="49"/>
      <c r="S501" s="49"/>
      <c r="T501" s="49"/>
      <c r="U501" s="49"/>
      <c r="V501" s="49"/>
      <c r="W501" s="49"/>
      <c r="X501" s="49"/>
      <c r="Y501" s="49"/>
      <c r="Z501" s="49"/>
      <c r="AA501" s="49"/>
      <c r="AB501" s="49"/>
      <c r="AC501" s="49"/>
    </row>
    <row r="502" spans="1:29" ht="13">
      <c r="A502" s="47"/>
      <c r="B502" s="47"/>
      <c r="C502" s="49"/>
      <c r="D502" s="49"/>
      <c r="E502" s="49"/>
      <c r="F502" s="49"/>
      <c r="G502" s="49"/>
      <c r="H502" s="173"/>
      <c r="I502" s="49"/>
      <c r="J502" s="49"/>
      <c r="K502" s="49"/>
      <c r="L502" s="49"/>
      <c r="M502" s="49"/>
      <c r="N502" s="49"/>
      <c r="O502" s="49"/>
      <c r="P502" s="49"/>
      <c r="Q502" s="49"/>
      <c r="R502" s="49"/>
      <c r="S502" s="49"/>
      <c r="T502" s="49"/>
      <c r="U502" s="49"/>
      <c r="V502" s="49"/>
      <c r="W502" s="49"/>
      <c r="X502" s="49"/>
      <c r="Y502" s="49"/>
      <c r="Z502" s="49"/>
      <c r="AA502" s="49"/>
      <c r="AB502" s="49"/>
      <c r="AC502" s="49"/>
    </row>
    <row r="503" spans="1:29" ht="13">
      <c r="A503" s="47"/>
      <c r="B503" s="47"/>
      <c r="C503" s="49"/>
      <c r="D503" s="49"/>
      <c r="E503" s="49"/>
      <c r="F503" s="49"/>
      <c r="G503" s="49"/>
      <c r="H503" s="173"/>
      <c r="I503" s="49"/>
      <c r="J503" s="49"/>
      <c r="K503" s="49"/>
      <c r="L503" s="49"/>
      <c r="M503" s="49"/>
      <c r="N503" s="49"/>
      <c r="O503" s="49"/>
      <c r="P503" s="49"/>
      <c r="Q503" s="49"/>
      <c r="R503" s="49"/>
      <c r="S503" s="49"/>
      <c r="T503" s="49"/>
      <c r="U503" s="49"/>
      <c r="V503" s="49"/>
      <c r="W503" s="49"/>
      <c r="X503" s="49"/>
      <c r="Y503" s="49"/>
      <c r="Z503" s="49"/>
      <c r="AA503" s="49"/>
      <c r="AB503" s="49"/>
      <c r="AC503" s="49"/>
    </row>
    <row r="504" spans="1:29" ht="13">
      <c r="A504" s="47"/>
      <c r="B504" s="47"/>
      <c r="C504" s="49"/>
      <c r="D504" s="49"/>
      <c r="E504" s="49"/>
      <c r="F504" s="49"/>
      <c r="G504" s="49"/>
      <c r="H504" s="173"/>
      <c r="I504" s="49"/>
      <c r="J504" s="49"/>
      <c r="K504" s="49"/>
      <c r="L504" s="49"/>
      <c r="M504" s="49"/>
      <c r="N504" s="49"/>
      <c r="O504" s="49"/>
      <c r="P504" s="49"/>
      <c r="Q504" s="49"/>
      <c r="R504" s="49"/>
      <c r="S504" s="49"/>
      <c r="T504" s="49"/>
      <c r="U504" s="49"/>
      <c r="V504" s="49"/>
      <c r="W504" s="49"/>
      <c r="X504" s="49"/>
      <c r="Y504" s="49"/>
      <c r="Z504" s="49"/>
      <c r="AA504" s="49"/>
      <c r="AB504" s="49"/>
      <c r="AC504" s="49"/>
    </row>
    <row r="505" spans="1:29" ht="13">
      <c r="A505" s="47"/>
      <c r="B505" s="47"/>
      <c r="C505" s="49"/>
      <c r="D505" s="49"/>
      <c r="E505" s="49"/>
      <c r="F505" s="49"/>
      <c r="G505" s="49"/>
      <c r="H505" s="173"/>
      <c r="I505" s="49"/>
      <c r="J505" s="49"/>
      <c r="K505" s="49"/>
      <c r="L505" s="49"/>
      <c r="M505" s="49"/>
      <c r="N505" s="49"/>
      <c r="O505" s="49"/>
      <c r="P505" s="49"/>
      <c r="Q505" s="49"/>
      <c r="R505" s="49"/>
      <c r="S505" s="49"/>
      <c r="T505" s="49"/>
      <c r="U505" s="49"/>
      <c r="V505" s="49"/>
      <c r="W505" s="49"/>
      <c r="X505" s="49"/>
      <c r="Y505" s="49"/>
      <c r="Z505" s="49"/>
      <c r="AA505" s="49"/>
      <c r="AB505" s="49"/>
      <c r="AC505" s="49"/>
    </row>
    <row r="506" spans="1:29" ht="13">
      <c r="A506" s="47"/>
      <c r="B506" s="47"/>
      <c r="C506" s="49"/>
      <c r="D506" s="49"/>
      <c r="E506" s="49"/>
      <c r="F506" s="49"/>
      <c r="G506" s="49"/>
      <c r="H506" s="173"/>
      <c r="I506" s="49"/>
      <c r="J506" s="49"/>
      <c r="K506" s="49"/>
      <c r="L506" s="49"/>
      <c r="M506" s="49"/>
      <c r="N506" s="49"/>
      <c r="O506" s="49"/>
      <c r="P506" s="49"/>
      <c r="Q506" s="49"/>
      <c r="R506" s="49"/>
      <c r="S506" s="49"/>
      <c r="T506" s="49"/>
      <c r="U506" s="49"/>
      <c r="V506" s="49"/>
      <c r="W506" s="49"/>
      <c r="X506" s="49"/>
      <c r="Y506" s="49"/>
      <c r="Z506" s="49"/>
      <c r="AA506" s="49"/>
      <c r="AB506" s="49"/>
      <c r="AC506" s="49"/>
    </row>
    <row r="507" spans="1:29" ht="13">
      <c r="A507" s="47"/>
      <c r="B507" s="47"/>
      <c r="C507" s="49"/>
      <c r="D507" s="49"/>
      <c r="E507" s="49"/>
      <c r="F507" s="49"/>
      <c r="G507" s="49"/>
      <c r="H507" s="173"/>
      <c r="I507" s="49"/>
      <c r="J507" s="49"/>
      <c r="K507" s="49"/>
      <c r="L507" s="49"/>
      <c r="M507" s="49"/>
      <c r="N507" s="49"/>
      <c r="O507" s="49"/>
      <c r="P507" s="49"/>
      <c r="Q507" s="49"/>
      <c r="R507" s="49"/>
      <c r="S507" s="49"/>
      <c r="T507" s="49"/>
      <c r="U507" s="49"/>
      <c r="V507" s="49"/>
      <c r="W507" s="49"/>
      <c r="X507" s="49"/>
      <c r="Y507" s="49"/>
      <c r="Z507" s="49"/>
      <c r="AA507" s="49"/>
      <c r="AB507" s="49"/>
      <c r="AC507" s="49"/>
    </row>
    <row r="508" spans="1:29" ht="13">
      <c r="A508" s="47"/>
      <c r="B508" s="47"/>
      <c r="C508" s="49"/>
      <c r="D508" s="49"/>
      <c r="E508" s="49"/>
      <c r="F508" s="49"/>
      <c r="G508" s="49"/>
      <c r="H508" s="173"/>
      <c r="I508" s="49"/>
      <c r="J508" s="49"/>
      <c r="K508" s="49"/>
      <c r="L508" s="49"/>
      <c r="M508" s="49"/>
      <c r="N508" s="49"/>
      <c r="O508" s="49"/>
      <c r="P508" s="49"/>
      <c r="Q508" s="49"/>
      <c r="R508" s="49"/>
      <c r="S508" s="49"/>
      <c r="T508" s="49"/>
      <c r="U508" s="49"/>
      <c r="V508" s="49"/>
      <c r="W508" s="49"/>
      <c r="X508" s="49"/>
      <c r="Y508" s="49"/>
      <c r="Z508" s="49"/>
      <c r="AA508" s="49"/>
      <c r="AB508" s="49"/>
      <c r="AC508" s="49"/>
    </row>
    <row r="509" spans="1:29" ht="13">
      <c r="A509" s="47"/>
      <c r="B509" s="47"/>
      <c r="C509" s="49"/>
      <c r="D509" s="49"/>
      <c r="E509" s="49"/>
      <c r="F509" s="49"/>
      <c r="G509" s="49"/>
      <c r="H509" s="173"/>
      <c r="I509" s="49"/>
      <c r="J509" s="49"/>
      <c r="K509" s="49"/>
      <c r="L509" s="49"/>
      <c r="M509" s="49"/>
      <c r="N509" s="49"/>
      <c r="O509" s="49"/>
      <c r="P509" s="49"/>
      <c r="Q509" s="49"/>
      <c r="R509" s="49"/>
      <c r="S509" s="49"/>
      <c r="T509" s="49"/>
      <c r="U509" s="49"/>
      <c r="V509" s="49"/>
      <c r="W509" s="49"/>
      <c r="X509" s="49"/>
      <c r="Y509" s="49"/>
      <c r="Z509" s="49"/>
      <c r="AA509" s="49"/>
      <c r="AB509" s="49"/>
      <c r="AC509" s="49"/>
    </row>
    <row r="510" spans="1:29" ht="13">
      <c r="A510" s="47"/>
      <c r="B510" s="47"/>
      <c r="C510" s="49"/>
      <c r="D510" s="49"/>
      <c r="E510" s="49"/>
      <c r="F510" s="49"/>
      <c r="G510" s="49"/>
      <c r="H510" s="173"/>
      <c r="I510" s="49"/>
      <c r="J510" s="49"/>
      <c r="K510" s="49"/>
      <c r="L510" s="49"/>
      <c r="M510" s="49"/>
      <c r="N510" s="49"/>
      <c r="O510" s="49"/>
      <c r="P510" s="49"/>
      <c r="Q510" s="49"/>
      <c r="R510" s="49"/>
      <c r="S510" s="49"/>
      <c r="T510" s="49"/>
      <c r="U510" s="49"/>
      <c r="V510" s="49"/>
      <c r="W510" s="49"/>
      <c r="X510" s="49"/>
      <c r="Y510" s="49"/>
      <c r="Z510" s="49"/>
      <c r="AA510" s="49"/>
      <c r="AB510" s="49"/>
      <c r="AC510" s="49"/>
    </row>
    <row r="511" spans="1:29" ht="13">
      <c r="A511" s="47"/>
      <c r="B511" s="47"/>
      <c r="C511" s="49"/>
      <c r="D511" s="49"/>
      <c r="E511" s="49"/>
      <c r="F511" s="49"/>
      <c r="G511" s="49"/>
      <c r="H511" s="173"/>
      <c r="I511" s="49"/>
      <c r="J511" s="49"/>
      <c r="K511" s="49"/>
      <c r="L511" s="49"/>
      <c r="M511" s="49"/>
      <c r="N511" s="49"/>
      <c r="O511" s="49"/>
      <c r="P511" s="49"/>
      <c r="Q511" s="49"/>
      <c r="R511" s="49"/>
      <c r="S511" s="49"/>
      <c r="T511" s="49"/>
      <c r="U511" s="49"/>
      <c r="V511" s="49"/>
      <c r="W511" s="49"/>
      <c r="X511" s="49"/>
      <c r="Y511" s="49"/>
      <c r="Z511" s="49"/>
      <c r="AA511" s="49"/>
      <c r="AB511" s="49"/>
      <c r="AC511" s="49"/>
    </row>
    <row r="512" spans="1:29" ht="13">
      <c r="A512" s="47"/>
      <c r="B512" s="47"/>
      <c r="C512" s="49"/>
      <c r="D512" s="49"/>
      <c r="E512" s="49"/>
      <c r="F512" s="49"/>
      <c r="G512" s="49"/>
      <c r="H512" s="173"/>
      <c r="I512" s="49"/>
      <c r="J512" s="49"/>
      <c r="K512" s="49"/>
      <c r="L512" s="49"/>
      <c r="M512" s="49"/>
      <c r="N512" s="49"/>
      <c r="O512" s="49"/>
      <c r="P512" s="49"/>
      <c r="Q512" s="49"/>
      <c r="R512" s="49"/>
      <c r="S512" s="49"/>
      <c r="T512" s="49"/>
      <c r="U512" s="49"/>
      <c r="V512" s="49"/>
      <c r="W512" s="49"/>
      <c r="X512" s="49"/>
      <c r="Y512" s="49"/>
      <c r="Z512" s="49"/>
      <c r="AA512" s="49"/>
      <c r="AB512" s="49"/>
      <c r="AC512" s="49"/>
    </row>
    <row r="513" spans="1:29" ht="13">
      <c r="A513" s="47"/>
      <c r="B513" s="47"/>
      <c r="C513" s="49"/>
      <c r="D513" s="49"/>
      <c r="E513" s="49"/>
      <c r="F513" s="49"/>
      <c r="G513" s="49"/>
      <c r="H513" s="173"/>
      <c r="I513" s="49"/>
      <c r="J513" s="49"/>
      <c r="K513" s="49"/>
      <c r="L513" s="49"/>
      <c r="M513" s="49"/>
      <c r="N513" s="49"/>
      <c r="O513" s="49"/>
      <c r="P513" s="49"/>
      <c r="Q513" s="49"/>
      <c r="R513" s="49"/>
      <c r="S513" s="49"/>
      <c r="T513" s="49"/>
      <c r="U513" s="49"/>
      <c r="V513" s="49"/>
      <c r="W513" s="49"/>
      <c r="X513" s="49"/>
      <c r="Y513" s="49"/>
      <c r="Z513" s="49"/>
      <c r="AA513" s="49"/>
      <c r="AB513" s="49"/>
      <c r="AC513" s="49"/>
    </row>
    <row r="514" spans="1:29" ht="13">
      <c r="A514" s="47"/>
      <c r="B514" s="47"/>
      <c r="C514" s="49"/>
      <c r="D514" s="49"/>
      <c r="E514" s="49"/>
      <c r="F514" s="49"/>
      <c r="G514" s="49"/>
      <c r="H514" s="173"/>
      <c r="I514" s="49"/>
      <c r="J514" s="49"/>
      <c r="K514" s="49"/>
      <c r="L514" s="49"/>
      <c r="M514" s="49"/>
      <c r="N514" s="49"/>
      <c r="O514" s="49"/>
      <c r="P514" s="49"/>
      <c r="Q514" s="49"/>
      <c r="R514" s="49"/>
      <c r="S514" s="49"/>
      <c r="T514" s="49"/>
      <c r="U514" s="49"/>
      <c r="V514" s="49"/>
      <c r="W514" s="49"/>
      <c r="X514" s="49"/>
      <c r="Y514" s="49"/>
      <c r="Z514" s="49"/>
      <c r="AA514" s="49"/>
      <c r="AB514" s="49"/>
      <c r="AC514" s="49"/>
    </row>
    <row r="515" spans="1:29" ht="13">
      <c r="A515" s="47"/>
      <c r="B515" s="47"/>
      <c r="C515" s="49"/>
      <c r="D515" s="49"/>
      <c r="E515" s="49"/>
      <c r="F515" s="49"/>
      <c r="G515" s="49"/>
      <c r="H515" s="173"/>
      <c r="I515" s="49"/>
      <c r="J515" s="49"/>
      <c r="K515" s="49"/>
      <c r="L515" s="49"/>
      <c r="M515" s="49"/>
      <c r="N515" s="49"/>
      <c r="O515" s="49"/>
      <c r="P515" s="49"/>
      <c r="Q515" s="49"/>
      <c r="R515" s="49"/>
      <c r="S515" s="49"/>
      <c r="T515" s="49"/>
      <c r="U515" s="49"/>
      <c r="V515" s="49"/>
      <c r="W515" s="49"/>
      <c r="X515" s="49"/>
      <c r="Y515" s="49"/>
      <c r="Z515" s="49"/>
      <c r="AA515" s="49"/>
      <c r="AB515" s="49"/>
      <c r="AC515" s="49"/>
    </row>
    <row r="516" spans="1:29" ht="13">
      <c r="A516" s="47"/>
      <c r="B516" s="47"/>
      <c r="C516" s="49"/>
      <c r="D516" s="49"/>
      <c r="E516" s="49"/>
      <c r="F516" s="49"/>
      <c r="G516" s="49"/>
      <c r="H516" s="173"/>
      <c r="I516" s="49"/>
      <c r="J516" s="49"/>
      <c r="K516" s="49"/>
      <c r="L516" s="49"/>
      <c r="M516" s="49"/>
      <c r="N516" s="49"/>
      <c r="O516" s="49"/>
      <c r="P516" s="49"/>
      <c r="Q516" s="49"/>
      <c r="R516" s="49"/>
      <c r="S516" s="49"/>
      <c r="T516" s="49"/>
      <c r="U516" s="49"/>
      <c r="V516" s="49"/>
      <c r="W516" s="49"/>
      <c r="X516" s="49"/>
      <c r="Y516" s="49"/>
      <c r="Z516" s="49"/>
      <c r="AA516" s="49"/>
      <c r="AB516" s="49"/>
      <c r="AC516" s="49"/>
    </row>
    <row r="517" spans="1:29" ht="13">
      <c r="A517" s="47"/>
      <c r="B517" s="47"/>
      <c r="C517" s="49"/>
      <c r="D517" s="49"/>
      <c r="E517" s="49"/>
      <c r="F517" s="49"/>
      <c r="G517" s="49"/>
      <c r="H517" s="173"/>
      <c r="I517" s="49"/>
      <c r="J517" s="49"/>
      <c r="K517" s="49"/>
      <c r="L517" s="49"/>
      <c r="M517" s="49"/>
      <c r="N517" s="49"/>
      <c r="O517" s="49"/>
      <c r="P517" s="49"/>
      <c r="Q517" s="49"/>
      <c r="R517" s="49"/>
      <c r="S517" s="49"/>
      <c r="T517" s="49"/>
      <c r="U517" s="49"/>
      <c r="V517" s="49"/>
      <c r="W517" s="49"/>
      <c r="X517" s="49"/>
      <c r="Y517" s="49"/>
      <c r="Z517" s="49"/>
      <c r="AA517" s="49"/>
      <c r="AB517" s="49"/>
      <c r="AC517" s="49"/>
    </row>
    <row r="518" spans="1:29" ht="13">
      <c r="A518" s="47"/>
      <c r="B518" s="47"/>
      <c r="C518" s="49"/>
      <c r="D518" s="49"/>
      <c r="E518" s="49"/>
      <c r="F518" s="49"/>
      <c r="G518" s="49"/>
      <c r="H518" s="173"/>
      <c r="I518" s="49"/>
      <c r="J518" s="49"/>
      <c r="K518" s="49"/>
      <c r="L518" s="49"/>
      <c r="M518" s="49"/>
      <c r="N518" s="49"/>
      <c r="O518" s="49"/>
      <c r="P518" s="49"/>
      <c r="Q518" s="49"/>
      <c r="R518" s="49"/>
      <c r="S518" s="49"/>
      <c r="T518" s="49"/>
      <c r="U518" s="49"/>
      <c r="V518" s="49"/>
      <c r="W518" s="49"/>
      <c r="X518" s="49"/>
      <c r="Y518" s="49"/>
      <c r="Z518" s="49"/>
      <c r="AA518" s="49"/>
      <c r="AB518" s="49"/>
      <c r="AC518" s="49"/>
    </row>
    <row r="519" spans="1:29" ht="13">
      <c r="A519" s="47"/>
      <c r="B519" s="47"/>
      <c r="C519" s="49"/>
      <c r="D519" s="49"/>
      <c r="E519" s="49"/>
      <c r="F519" s="49"/>
      <c r="G519" s="49"/>
      <c r="H519" s="173"/>
      <c r="I519" s="49"/>
      <c r="J519" s="49"/>
      <c r="K519" s="49"/>
      <c r="L519" s="49"/>
      <c r="M519" s="49"/>
      <c r="N519" s="49"/>
      <c r="O519" s="49"/>
      <c r="P519" s="49"/>
      <c r="Q519" s="49"/>
      <c r="R519" s="49"/>
      <c r="S519" s="49"/>
      <c r="T519" s="49"/>
      <c r="U519" s="49"/>
      <c r="V519" s="49"/>
      <c r="W519" s="49"/>
      <c r="X519" s="49"/>
      <c r="Y519" s="49"/>
      <c r="Z519" s="49"/>
      <c r="AA519" s="49"/>
      <c r="AB519" s="49"/>
      <c r="AC519" s="49"/>
    </row>
    <row r="520" spans="1:29" ht="13">
      <c r="A520" s="47"/>
      <c r="B520" s="47"/>
      <c r="C520" s="49"/>
      <c r="D520" s="49"/>
      <c r="E520" s="49"/>
      <c r="F520" s="49"/>
      <c r="G520" s="49"/>
      <c r="H520" s="173"/>
      <c r="I520" s="49"/>
      <c r="J520" s="49"/>
      <c r="K520" s="49"/>
      <c r="L520" s="49"/>
      <c r="M520" s="49"/>
      <c r="N520" s="49"/>
      <c r="O520" s="49"/>
      <c r="P520" s="49"/>
      <c r="Q520" s="49"/>
      <c r="R520" s="49"/>
      <c r="S520" s="49"/>
      <c r="T520" s="49"/>
      <c r="U520" s="49"/>
      <c r="V520" s="49"/>
      <c r="W520" s="49"/>
      <c r="X520" s="49"/>
      <c r="Y520" s="49"/>
      <c r="Z520" s="49"/>
      <c r="AA520" s="49"/>
      <c r="AB520" s="49"/>
      <c r="AC520" s="49"/>
    </row>
    <row r="521" spans="1:29" ht="13">
      <c r="A521" s="47"/>
      <c r="B521" s="47"/>
      <c r="C521" s="49"/>
      <c r="D521" s="49"/>
      <c r="E521" s="49"/>
      <c r="F521" s="49"/>
      <c r="G521" s="49"/>
      <c r="H521" s="173"/>
      <c r="I521" s="49"/>
      <c r="J521" s="49"/>
      <c r="K521" s="49"/>
      <c r="L521" s="49"/>
      <c r="M521" s="49"/>
      <c r="N521" s="49"/>
      <c r="O521" s="49"/>
      <c r="P521" s="49"/>
      <c r="Q521" s="49"/>
      <c r="R521" s="49"/>
      <c r="S521" s="49"/>
      <c r="T521" s="49"/>
      <c r="U521" s="49"/>
      <c r="V521" s="49"/>
      <c r="W521" s="49"/>
      <c r="X521" s="49"/>
      <c r="Y521" s="49"/>
      <c r="Z521" s="49"/>
      <c r="AA521" s="49"/>
      <c r="AB521" s="49"/>
      <c r="AC521" s="49"/>
    </row>
    <row r="522" spans="1:29" ht="13">
      <c r="A522" s="47"/>
      <c r="B522" s="47"/>
      <c r="C522" s="49"/>
      <c r="D522" s="49"/>
      <c r="E522" s="49"/>
      <c r="F522" s="49"/>
      <c r="G522" s="49"/>
      <c r="H522" s="173"/>
      <c r="I522" s="49"/>
      <c r="J522" s="49"/>
      <c r="K522" s="49"/>
      <c r="L522" s="49"/>
      <c r="M522" s="49"/>
      <c r="N522" s="49"/>
      <c r="O522" s="49"/>
      <c r="P522" s="49"/>
      <c r="Q522" s="49"/>
      <c r="R522" s="49"/>
      <c r="S522" s="49"/>
      <c r="T522" s="49"/>
      <c r="U522" s="49"/>
      <c r="V522" s="49"/>
      <c r="W522" s="49"/>
      <c r="X522" s="49"/>
      <c r="Y522" s="49"/>
      <c r="Z522" s="49"/>
      <c r="AA522" s="49"/>
      <c r="AB522" s="49"/>
      <c r="AC522" s="49"/>
    </row>
    <row r="523" spans="1:29" ht="13">
      <c r="A523" s="47"/>
      <c r="B523" s="47"/>
      <c r="C523" s="49"/>
      <c r="D523" s="49"/>
      <c r="E523" s="49"/>
      <c r="F523" s="49"/>
      <c r="G523" s="49"/>
      <c r="H523" s="173"/>
      <c r="I523" s="49"/>
      <c r="J523" s="49"/>
      <c r="K523" s="49"/>
      <c r="L523" s="49"/>
      <c r="M523" s="49"/>
      <c r="N523" s="49"/>
      <c r="O523" s="49"/>
      <c r="P523" s="49"/>
      <c r="Q523" s="49"/>
      <c r="R523" s="49"/>
      <c r="S523" s="49"/>
      <c r="T523" s="49"/>
      <c r="U523" s="49"/>
      <c r="V523" s="49"/>
      <c r="W523" s="49"/>
      <c r="X523" s="49"/>
      <c r="Y523" s="49"/>
      <c r="Z523" s="49"/>
      <c r="AA523" s="49"/>
      <c r="AB523" s="49"/>
      <c r="AC523" s="49"/>
    </row>
    <row r="524" spans="1:29" ht="13">
      <c r="A524" s="47"/>
      <c r="B524" s="47"/>
      <c r="C524" s="49"/>
      <c r="D524" s="49"/>
      <c r="E524" s="49"/>
      <c r="F524" s="49"/>
      <c r="G524" s="49"/>
      <c r="H524" s="173"/>
      <c r="I524" s="49"/>
      <c r="J524" s="49"/>
      <c r="K524" s="49"/>
      <c r="L524" s="49"/>
      <c r="M524" s="49"/>
      <c r="N524" s="49"/>
      <c r="O524" s="49"/>
      <c r="P524" s="49"/>
      <c r="Q524" s="49"/>
      <c r="R524" s="49"/>
      <c r="S524" s="49"/>
      <c r="T524" s="49"/>
      <c r="U524" s="49"/>
      <c r="V524" s="49"/>
      <c r="W524" s="49"/>
      <c r="X524" s="49"/>
      <c r="Y524" s="49"/>
      <c r="Z524" s="49"/>
      <c r="AA524" s="49"/>
      <c r="AB524" s="49"/>
      <c r="AC524" s="49"/>
    </row>
    <row r="525" spans="1:29" ht="13">
      <c r="A525" s="47"/>
      <c r="B525" s="47"/>
      <c r="C525" s="49"/>
      <c r="D525" s="49"/>
      <c r="E525" s="49"/>
      <c r="F525" s="49"/>
      <c r="G525" s="49"/>
      <c r="H525" s="173"/>
      <c r="I525" s="49"/>
      <c r="J525" s="49"/>
      <c r="K525" s="49"/>
      <c r="L525" s="49"/>
      <c r="M525" s="49"/>
      <c r="N525" s="49"/>
      <c r="O525" s="49"/>
      <c r="P525" s="49"/>
      <c r="Q525" s="49"/>
      <c r="R525" s="49"/>
      <c r="S525" s="49"/>
      <c r="T525" s="49"/>
      <c r="U525" s="49"/>
      <c r="V525" s="49"/>
      <c r="W525" s="49"/>
      <c r="X525" s="49"/>
      <c r="Y525" s="49"/>
      <c r="Z525" s="49"/>
      <c r="AA525" s="49"/>
      <c r="AB525" s="49"/>
      <c r="AC525" s="49"/>
    </row>
    <row r="526" spans="1:29" ht="13">
      <c r="A526" s="47"/>
      <c r="B526" s="47"/>
      <c r="C526" s="49"/>
      <c r="D526" s="49"/>
      <c r="E526" s="49"/>
      <c r="F526" s="49"/>
      <c r="G526" s="49"/>
      <c r="H526" s="173"/>
      <c r="I526" s="49"/>
      <c r="J526" s="49"/>
      <c r="K526" s="49"/>
      <c r="L526" s="49"/>
      <c r="M526" s="49"/>
      <c r="N526" s="49"/>
      <c r="O526" s="49"/>
      <c r="P526" s="49"/>
      <c r="Q526" s="49"/>
      <c r="R526" s="49"/>
      <c r="S526" s="49"/>
      <c r="T526" s="49"/>
      <c r="U526" s="49"/>
      <c r="V526" s="49"/>
      <c r="W526" s="49"/>
      <c r="X526" s="49"/>
      <c r="Y526" s="49"/>
      <c r="Z526" s="49"/>
      <c r="AA526" s="49"/>
      <c r="AB526" s="49"/>
      <c r="AC526" s="49"/>
    </row>
    <row r="527" spans="1:29" ht="13">
      <c r="A527" s="47"/>
      <c r="B527" s="47"/>
      <c r="C527" s="49"/>
      <c r="D527" s="49"/>
      <c r="E527" s="49"/>
      <c r="F527" s="49"/>
      <c r="G527" s="49"/>
      <c r="H527" s="173"/>
      <c r="I527" s="49"/>
      <c r="J527" s="49"/>
      <c r="K527" s="49"/>
      <c r="L527" s="49"/>
      <c r="M527" s="49"/>
      <c r="N527" s="49"/>
      <c r="O527" s="49"/>
      <c r="P527" s="49"/>
      <c r="Q527" s="49"/>
      <c r="R527" s="49"/>
      <c r="S527" s="49"/>
      <c r="T527" s="49"/>
      <c r="U527" s="49"/>
      <c r="V527" s="49"/>
      <c r="W527" s="49"/>
      <c r="X527" s="49"/>
      <c r="Y527" s="49"/>
      <c r="Z527" s="49"/>
      <c r="AA527" s="49"/>
      <c r="AB527" s="49"/>
      <c r="AC527" s="49"/>
    </row>
    <row r="528" spans="1:29" ht="13">
      <c r="A528" s="47"/>
      <c r="B528" s="47"/>
      <c r="C528" s="49"/>
      <c r="D528" s="49"/>
      <c r="E528" s="49"/>
      <c r="F528" s="49"/>
      <c r="G528" s="49"/>
      <c r="H528" s="173"/>
      <c r="I528" s="49"/>
      <c r="J528" s="49"/>
      <c r="K528" s="49"/>
      <c r="L528" s="49"/>
      <c r="M528" s="49"/>
      <c r="N528" s="49"/>
      <c r="O528" s="49"/>
      <c r="P528" s="49"/>
      <c r="Q528" s="49"/>
      <c r="R528" s="49"/>
      <c r="S528" s="49"/>
      <c r="T528" s="49"/>
      <c r="U528" s="49"/>
      <c r="V528" s="49"/>
      <c r="W528" s="49"/>
      <c r="X528" s="49"/>
      <c r="Y528" s="49"/>
      <c r="Z528" s="49"/>
      <c r="AA528" s="49"/>
      <c r="AB528" s="49"/>
      <c r="AC528" s="49"/>
    </row>
    <row r="529" spans="1:29" ht="13">
      <c r="A529" s="47"/>
      <c r="B529" s="47"/>
      <c r="C529" s="49"/>
      <c r="D529" s="49"/>
      <c r="E529" s="49"/>
      <c r="F529" s="49"/>
      <c r="G529" s="49"/>
      <c r="H529" s="173"/>
      <c r="I529" s="49"/>
      <c r="J529" s="49"/>
      <c r="K529" s="49"/>
      <c r="L529" s="49"/>
      <c r="M529" s="49"/>
      <c r="N529" s="49"/>
      <c r="O529" s="49"/>
      <c r="P529" s="49"/>
      <c r="Q529" s="49"/>
      <c r="R529" s="49"/>
      <c r="S529" s="49"/>
      <c r="T529" s="49"/>
      <c r="U529" s="49"/>
      <c r="V529" s="49"/>
      <c r="W529" s="49"/>
      <c r="X529" s="49"/>
      <c r="Y529" s="49"/>
      <c r="Z529" s="49"/>
      <c r="AA529" s="49"/>
      <c r="AB529" s="49"/>
      <c r="AC529" s="49"/>
    </row>
    <row r="530" spans="1:29" ht="13">
      <c r="A530" s="47"/>
      <c r="B530" s="47"/>
      <c r="C530" s="49"/>
      <c r="D530" s="49"/>
      <c r="E530" s="49"/>
      <c r="F530" s="49"/>
      <c r="G530" s="49"/>
      <c r="H530" s="173"/>
      <c r="I530" s="49"/>
      <c r="J530" s="49"/>
      <c r="K530" s="49"/>
      <c r="L530" s="49"/>
      <c r="M530" s="49"/>
      <c r="N530" s="49"/>
      <c r="O530" s="49"/>
      <c r="P530" s="49"/>
      <c r="Q530" s="49"/>
      <c r="R530" s="49"/>
      <c r="S530" s="49"/>
      <c r="T530" s="49"/>
      <c r="U530" s="49"/>
      <c r="V530" s="49"/>
      <c r="W530" s="49"/>
      <c r="X530" s="49"/>
      <c r="Y530" s="49"/>
      <c r="Z530" s="49"/>
      <c r="AA530" s="49"/>
      <c r="AB530" s="49"/>
      <c r="AC530" s="49"/>
    </row>
    <row r="531" spans="1:29" ht="13">
      <c r="A531" s="47"/>
      <c r="B531" s="47"/>
      <c r="C531" s="49"/>
      <c r="D531" s="49"/>
      <c r="E531" s="49"/>
      <c r="F531" s="49"/>
      <c r="G531" s="49"/>
      <c r="H531" s="173"/>
      <c r="I531" s="49"/>
      <c r="J531" s="49"/>
      <c r="K531" s="49"/>
      <c r="L531" s="49"/>
      <c r="M531" s="49"/>
      <c r="N531" s="49"/>
      <c r="O531" s="49"/>
      <c r="P531" s="49"/>
      <c r="Q531" s="49"/>
      <c r="R531" s="49"/>
      <c r="S531" s="49"/>
      <c r="T531" s="49"/>
      <c r="U531" s="49"/>
      <c r="V531" s="49"/>
      <c r="W531" s="49"/>
      <c r="X531" s="49"/>
      <c r="Y531" s="49"/>
      <c r="Z531" s="49"/>
      <c r="AA531" s="49"/>
      <c r="AB531" s="49"/>
      <c r="AC531" s="49"/>
    </row>
    <row r="532" spans="1:29" ht="13">
      <c r="A532" s="47"/>
      <c r="B532" s="47"/>
      <c r="C532" s="49"/>
      <c r="D532" s="49"/>
      <c r="E532" s="49"/>
      <c r="F532" s="49"/>
      <c r="G532" s="49"/>
      <c r="H532" s="173"/>
      <c r="I532" s="49"/>
      <c r="J532" s="49"/>
      <c r="K532" s="49"/>
      <c r="L532" s="49"/>
      <c r="M532" s="49"/>
      <c r="N532" s="49"/>
      <c r="O532" s="49"/>
      <c r="P532" s="49"/>
      <c r="Q532" s="49"/>
      <c r="R532" s="49"/>
      <c r="S532" s="49"/>
      <c r="T532" s="49"/>
      <c r="U532" s="49"/>
      <c r="V532" s="49"/>
      <c r="W532" s="49"/>
      <c r="X532" s="49"/>
      <c r="Y532" s="49"/>
      <c r="Z532" s="49"/>
      <c r="AA532" s="49"/>
      <c r="AB532" s="49"/>
      <c r="AC532" s="49"/>
    </row>
    <row r="533" spans="1:29" ht="13">
      <c r="A533" s="47"/>
      <c r="B533" s="47"/>
      <c r="C533" s="49"/>
      <c r="D533" s="49"/>
      <c r="E533" s="49"/>
      <c r="F533" s="49"/>
      <c r="G533" s="49"/>
      <c r="H533" s="173"/>
      <c r="I533" s="49"/>
      <c r="J533" s="49"/>
      <c r="K533" s="49"/>
      <c r="L533" s="49"/>
      <c r="M533" s="49"/>
      <c r="N533" s="49"/>
      <c r="O533" s="49"/>
      <c r="P533" s="49"/>
      <c r="Q533" s="49"/>
      <c r="R533" s="49"/>
      <c r="S533" s="49"/>
      <c r="T533" s="49"/>
      <c r="U533" s="49"/>
      <c r="V533" s="49"/>
      <c r="W533" s="49"/>
      <c r="X533" s="49"/>
      <c r="Y533" s="49"/>
      <c r="Z533" s="49"/>
      <c r="AA533" s="49"/>
      <c r="AB533" s="49"/>
      <c r="AC533" s="49"/>
    </row>
    <row r="534" spans="1:29" ht="13">
      <c r="A534" s="47"/>
      <c r="B534" s="47"/>
      <c r="C534" s="49"/>
      <c r="D534" s="49"/>
      <c r="E534" s="49"/>
      <c r="F534" s="49"/>
      <c r="G534" s="49"/>
      <c r="H534" s="173"/>
      <c r="I534" s="49"/>
      <c r="J534" s="49"/>
      <c r="K534" s="49"/>
      <c r="L534" s="49"/>
      <c r="M534" s="49"/>
      <c r="N534" s="49"/>
      <c r="O534" s="49"/>
      <c r="P534" s="49"/>
      <c r="Q534" s="49"/>
      <c r="R534" s="49"/>
      <c r="S534" s="49"/>
      <c r="T534" s="49"/>
      <c r="U534" s="49"/>
      <c r="V534" s="49"/>
      <c r="W534" s="49"/>
      <c r="X534" s="49"/>
      <c r="Y534" s="49"/>
      <c r="Z534" s="49"/>
      <c r="AA534" s="49"/>
      <c r="AB534" s="49"/>
      <c r="AC534" s="49"/>
    </row>
    <row r="535" spans="1:29" ht="13">
      <c r="A535" s="47"/>
      <c r="B535" s="47"/>
      <c r="C535" s="49"/>
      <c r="D535" s="49"/>
      <c r="E535" s="49"/>
      <c r="F535" s="49"/>
      <c r="G535" s="49"/>
      <c r="H535" s="173"/>
      <c r="I535" s="49"/>
      <c r="J535" s="49"/>
      <c r="K535" s="49"/>
      <c r="L535" s="49"/>
      <c r="M535" s="49"/>
      <c r="N535" s="49"/>
      <c r="O535" s="49"/>
      <c r="P535" s="49"/>
      <c r="Q535" s="49"/>
      <c r="R535" s="49"/>
      <c r="S535" s="49"/>
      <c r="T535" s="49"/>
      <c r="U535" s="49"/>
      <c r="V535" s="49"/>
      <c r="W535" s="49"/>
      <c r="X535" s="49"/>
      <c r="Y535" s="49"/>
      <c r="Z535" s="49"/>
      <c r="AA535" s="49"/>
      <c r="AB535" s="49"/>
      <c r="AC535" s="49"/>
    </row>
    <row r="536" spans="1:29" ht="13">
      <c r="A536" s="47"/>
      <c r="B536" s="47"/>
      <c r="C536" s="49"/>
      <c r="D536" s="49"/>
      <c r="E536" s="49"/>
      <c r="F536" s="49"/>
      <c r="G536" s="49"/>
      <c r="H536" s="173"/>
      <c r="I536" s="49"/>
      <c r="J536" s="49"/>
      <c r="K536" s="49"/>
      <c r="L536" s="49"/>
      <c r="M536" s="49"/>
      <c r="N536" s="49"/>
      <c r="O536" s="49"/>
      <c r="P536" s="49"/>
      <c r="Q536" s="49"/>
      <c r="R536" s="49"/>
      <c r="S536" s="49"/>
      <c r="T536" s="49"/>
      <c r="U536" s="49"/>
      <c r="V536" s="49"/>
      <c r="W536" s="49"/>
      <c r="X536" s="49"/>
      <c r="Y536" s="49"/>
      <c r="Z536" s="49"/>
      <c r="AA536" s="49"/>
      <c r="AB536" s="49"/>
      <c r="AC536" s="49"/>
    </row>
    <row r="537" spans="1:29" ht="13">
      <c r="A537" s="47"/>
      <c r="B537" s="47"/>
      <c r="C537" s="49"/>
      <c r="D537" s="49"/>
      <c r="E537" s="49"/>
      <c r="F537" s="49"/>
      <c r="G537" s="49"/>
      <c r="H537" s="173"/>
      <c r="I537" s="49"/>
      <c r="J537" s="49"/>
      <c r="K537" s="49"/>
      <c r="L537" s="49"/>
      <c r="M537" s="49"/>
      <c r="N537" s="49"/>
      <c r="O537" s="49"/>
      <c r="P537" s="49"/>
      <c r="Q537" s="49"/>
      <c r="R537" s="49"/>
      <c r="S537" s="49"/>
      <c r="T537" s="49"/>
      <c r="U537" s="49"/>
      <c r="V537" s="49"/>
      <c r="W537" s="49"/>
      <c r="X537" s="49"/>
      <c r="Y537" s="49"/>
      <c r="Z537" s="49"/>
      <c r="AA537" s="49"/>
      <c r="AB537" s="49"/>
      <c r="AC537" s="49"/>
    </row>
    <row r="538" spans="1:29" ht="13">
      <c r="A538" s="47"/>
      <c r="B538" s="47"/>
      <c r="C538" s="49"/>
      <c r="D538" s="49"/>
      <c r="E538" s="49"/>
      <c r="F538" s="49"/>
      <c r="G538" s="49"/>
      <c r="H538" s="173"/>
      <c r="I538" s="49"/>
      <c r="J538" s="49"/>
      <c r="K538" s="49"/>
      <c r="L538" s="49"/>
      <c r="M538" s="49"/>
      <c r="N538" s="49"/>
      <c r="O538" s="49"/>
      <c r="P538" s="49"/>
      <c r="Q538" s="49"/>
      <c r="R538" s="49"/>
      <c r="S538" s="49"/>
      <c r="T538" s="49"/>
      <c r="U538" s="49"/>
      <c r="V538" s="49"/>
      <c r="W538" s="49"/>
      <c r="X538" s="49"/>
      <c r="Y538" s="49"/>
      <c r="Z538" s="49"/>
      <c r="AA538" s="49"/>
      <c r="AB538" s="49"/>
      <c r="AC538" s="49"/>
    </row>
    <row r="539" spans="1:29" ht="13">
      <c r="A539" s="47"/>
      <c r="B539" s="47"/>
      <c r="C539" s="49"/>
      <c r="D539" s="49"/>
      <c r="E539" s="49"/>
      <c r="F539" s="49"/>
      <c r="G539" s="49"/>
      <c r="H539" s="173"/>
      <c r="I539" s="49"/>
      <c r="J539" s="49"/>
      <c r="K539" s="49"/>
      <c r="L539" s="49"/>
      <c r="M539" s="49"/>
      <c r="N539" s="49"/>
      <c r="O539" s="49"/>
      <c r="P539" s="49"/>
      <c r="Q539" s="49"/>
      <c r="R539" s="49"/>
      <c r="S539" s="49"/>
      <c r="T539" s="49"/>
      <c r="U539" s="49"/>
      <c r="V539" s="49"/>
      <c r="W539" s="49"/>
      <c r="X539" s="49"/>
      <c r="Y539" s="49"/>
      <c r="Z539" s="49"/>
      <c r="AA539" s="49"/>
      <c r="AB539" s="49"/>
      <c r="AC539" s="49"/>
    </row>
    <row r="540" spans="1:29" ht="13">
      <c r="A540" s="47"/>
      <c r="B540" s="47"/>
      <c r="C540" s="49"/>
      <c r="D540" s="49"/>
      <c r="E540" s="49"/>
      <c r="F540" s="49"/>
      <c r="G540" s="49"/>
      <c r="H540" s="173"/>
      <c r="I540" s="49"/>
      <c r="J540" s="49"/>
      <c r="K540" s="49"/>
      <c r="L540" s="49"/>
      <c r="M540" s="49"/>
      <c r="N540" s="49"/>
      <c r="O540" s="49"/>
      <c r="P540" s="49"/>
      <c r="Q540" s="49"/>
      <c r="R540" s="49"/>
      <c r="S540" s="49"/>
      <c r="T540" s="49"/>
      <c r="U540" s="49"/>
      <c r="V540" s="49"/>
      <c r="W540" s="49"/>
      <c r="X540" s="49"/>
      <c r="Y540" s="49"/>
      <c r="Z540" s="49"/>
      <c r="AA540" s="49"/>
      <c r="AB540" s="49"/>
      <c r="AC540" s="49"/>
    </row>
    <row r="541" spans="1:29" ht="13">
      <c r="A541" s="47"/>
      <c r="B541" s="47"/>
      <c r="C541" s="49"/>
      <c r="D541" s="49"/>
      <c r="E541" s="49"/>
      <c r="F541" s="49"/>
      <c r="G541" s="49"/>
      <c r="H541" s="173"/>
      <c r="I541" s="49"/>
      <c r="J541" s="49"/>
      <c r="K541" s="49"/>
      <c r="L541" s="49"/>
      <c r="M541" s="49"/>
      <c r="N541" s="49"/>
      <c r="O541" s="49"/>
      <c r="P541" s="49"/>
      <c r="Q541" s="49"/>
      <c r="R541" s="49"/>
      <c r="S541" s="49"/>
      <c r="T541" s="49"/>
      <c r="U541" s="49"/>
      <c r="V541" s="49"/>
      <c r="W541" s="49"/>
      <c r="X541" s="49"/>
      <c r="Y541" s="49"/>
      <c r="Z541" s="49"/>
      <c r="AA541" s="49"/>
      <c r="AB541" s="49"/>
      <c r="AC541" s="49"/>
    </row>
    <row r="542" spans="1:29" ht="13">
      <c r="A542" s="47"/>
      <c r="B542" s="47"/>
      <c r="C542" s="49"/>
      <c r="D542" s="49"/>
      <c r="E542" s="49"/>
      <c r="F542" s="49"/>
      <c r="G542" s="49"/>
      <c r="H542" s="173"/>
      <c r="I542" s="49"/>
      <c r="J542" s="49"/>
      <c r="K542" s="49"/>
      <c r="L542" s="49"/>
      <c r="M542" s="49"/>
      <c r="N542" s="49"/>
      <c r="O542" s="49"/>
      <c r="P542" s="49"/>
      <c r="Q542" s="49"/>
      <c r="R542" s="49"/>
      <c r="S542" s="49"/>
      <c r="T542" s="49"/>
      <c r="U542" s="49"/>
      <c r="V542" s="49"/>
      <c r="W542" s="49"/>
      <c r="X542" s="49"/>
      <c r="Y542" s="49"/>
      <c r="Z542" s="49"/>
      <c r="AA542" s="49"/>
      <c r="AB542" s="49"/>
      <c r="AC542" s="49"/>
    </row>
    <row r="543" spans="1:29" ht="13">
      <c r="A543" s="47"/>
      <c r="B543" s="47"/>
      <c r="C543" s="49"/>
      <c r="D543" s="49"/>
      <c r="E543" s="49"/>
      <c r="F543" s="49"/>
      <c r="G543" s="49"/>
      <c r="H543" s="173"/>
      <c r="I543" s="49"/>
      <c r="J543" s="49"/>
      <c r="K543" s="49"/>
      <c r="L543" s="49"/>
      <c r="M543" s="49"/>
      <c r="N543" s="49"/>
      <c r="O543" s="49"/>
      <c r="P543" s="49"/>
      <c r="Q543" s="49"/>
      <c r="R543" s="49"/>
      <c r="S543" s="49"/>
      <c r="T543" s="49"/>
      <c r="U543" s="49"/>
      <c r="V543" s="49"/>
      <c r="W543" s="49"/>
      <c r="X543" s="49"/>
      <c r="Y543" s="49"/>
      <c r="Z543" s="49"/>
      <c r="AA543" s="49"/>
      <c r="AB543" s="49"/>
      <c r="AC543" s="49"/>
    </row>
    <row r="544" spans="1:29" ht="13">
      <c r="A544" s="47"/>
      <c r="B544" s="47"/>
      <c r="C544" s="49"/>
      <c r="D544" s="49"/>
      <c r="E544" s="49"/>
      <c r="F544" s="49"/>
      <c r="G544" s="49"/>
      <c r="H544" s="173"/>
      <c r="I544" s="49"/>
      <c r="J544" s="49"/>
      <c r="K544" s="49"/>
      <c r="L544" s="49"/>
      <c r="M544" s="49"/>
      <c r="N544" s="49"/>
      <c r="O544" s="49"/>
      <c r="P544" s="49"/>
      <c r="Q544" s="49"/>
      <c r="R544" s="49"/>
      <c r="S544" s="49"/>
      <c r="T544" s="49"/>
      <c r="U544" s="49"/>
      <c r="V544" s="49"/>
      <c r="W544" s="49"/>
      <c r="X544" s="49"/>
      <c r="Y544" s="49"/>
      <c r="Z544" s="49"/>
      <c r="AA544" s="49"/>
      <c r="AB544" s="49"/>
      <c r="AC544" s="49"/>
    </row>
    <row r="545" spans="1:29" ht="13">
      <c r="A545" s="47"/>
      <c r="B545" s="47"/>
      <c r="C545" s="49"/>
      <c r="D545" s="49"/>
      <c r="E545" s="49"/>
      <c r="F545" s="49"/>
      <c r="G545" s="49"/>
      <c r="H545" s="173"/>
      <c r="I545" s="49"/>
      <c r="J545" s="49"/>
      <c r="K545" s="49"/>
      <c r="L545" s="49"/>
      <c r="M545" s="49"/>
      <c r="N545" s="49"/>
      <c r="O545" s="49"/>
      <c r="P545" s="49"/>
      <c r="Q545" s="49"/>
      <c r="R545" s="49"/>
      <c r="S545" s="49"/>
      <c r="T545" s="49"/>
      <c r="U545" s="49"/>
      <c r="V545" s="49"/>
      <c r="W545" s="49"/>
      <c r="X545" s="49"/>
      <c r="Y545" s="49"/>
      <c r="Z545" s="49"/>
      <c r="AA545" s="49"/>
      <c r="AB545" s="49"/>
      <c r="AC545" s="49"/>
    </row>
    <row r="546" spans="1:29" ht="13">
      <c r="A546" s="47"/>
      <c r="B546" s="47"/>
      <c r="C546" s="49"/>
      <c r="D546" s="49"/>
      <c r="E546" s="49"/>
      <c r="F546" s="49"/>
      <c r="G546" s="49"/>
      <c r="H546" s="173"/>
      <c r="I546" s="49"/>
      <c r="J546" s="49"/>
      <c r="K546" s="49"/>
      <c r="L546" s="49"/>
      <c r="M546" s="49"/>
      <c r="N546" s="49"/>
      <c r="O546" s="49"/>
      <c r="P546" s="49"/>
      <c r="Q546" s="49"/>
      <c r="R546" s="49"/>
      <c r="S546" s="49"/>
      <c r="T546" s="49"/>
      <c r="U546" s="49"/>
      <c r="V546" s="49"/>
      <c r="W546" s="49"/>
      <c r="X546" s="49"/>
      <c r="Y546" s="49"/>
      <c r="Z546" s="49"/>
      <c r="AA546" s="49"/>
      <c r="AB546" s="49"/>
      <c r="AC546" s="49"/>
    </row>
    <row r="547" spans="1:29" ht="13">
      <c r="A547" s="47"/>
      <c r="B547" s="47"/>
      <c r="C547" s="49"/>
      <c r="D547" s="49"/>
      <c r="E547" s="49"/>
      <c r="F547" s="49"/>
      <c r="G547" s="49"/>
      <c r="H547" s="173"/>
      <c r="I547" s="49"/>
      <c r="J547" s="49"/>
      <c r="K547" s="49"/>
      <c r="L547" s="49"/>
      <c r="M547" s="49"/>
      <c r="N547" s="49"/>
      <c r="O547" s="49"/>
      <c r="P547" s="49"/>
      <c r="Q547" s="49"/>
      <c r="R547" s="49"/>
      <c r="S547" s="49"/>
      <c r="T547" s="49"/>
      <c r="U547" s="49"/>
      <c r="V547" s="49"/>
      <c r="W547" s="49"/>
      <c r="X547" s="49"/>
      <c r="Y547" s="49"/>
      <c r="Z547" s="49"/>
      <c r="AA547" s="49"/>
      <c r="AB547" s="49"/>
      <c r="AC547" s="49"/>
    </row>
    <row r="548" spans="1:29" ht="13">
      <c r="A548" s="47"/>
      <c r="B548" s="47"/>
      <c r="C548" s="49"/>
      <c r="D548" s="49"/>
      <c r="E548" s="49"/>
      <c r="F548" s="49"/>
      <c r="G548" s="49"/>
      <c r="H548" s="173"/>
      <c r="I548" s="49"/>
      <c r="J548" s="49"/>
      <c r="K548" s="49"/>
      <c r="L548" s="49"/>
      <c r="M548" s="49"/>
      <c r="N548" s="49"/>
      <c r="O548" s="49"/>
      <c r="P548" s="49"/>
      <c r="Q548" s="49"/>
      <c r="R548" s="49"/>
      <c r="S548" s="49"/>
      <c r="T548" s="49"/>
      <c r="U548" s="49"/>
      <c r="V548" s="49"/>
      <c r="W548" s="49"/>
      <c r="X548" s="49"/>
      <c r="Y548" s="49"/>
      <c r="Z548" s="49"/>
      <c r="AA548" s="49"/>
      <c r="AB548" s="49"/>
      <c r="AC548" s="49"/>
    </row>
    <row r="549" spans="1:29" ht="13">
      <c r="A549" s="47"/>
      <c r="B549" s="47"/>
      <c r="C549" s="49"/>
      <c r="D549" s="49"/>
      <c r="E549" s="49"/>
      <c r="F549" s="49"/>
      <c r="G549" s="49"/>
      <c r="H549" s="173"/>
      <c r="I549" s="49"/>
      <c r="J549" s="49"/>
      <c r="K549" s="49"/>
      <c r="L549" s="49"/>
      <c r="M549" s="49"/>
      <c r="N549" s="49"/>
      <c r="O549" s="49"/>
      <c r="P549" s="49"/>
      <c r="Q549" s="49"/>
      <c r="R549" s="49"/>
      <c r="S549" s="49"/>
      <c r="T549" s="49"/>
      <c r="U549" s="49"/>
      <c r="V549" s="49"/>
      <c r="W549" s="49"/>
      <c r="X549" s="49"/>
      <c r="Y549" s="49"/>
      <c r="Z549" s="49"/>
      <c r="AA549" s="49"/>
      <c r="AB549" s="49"/>
      <c r="AC549" s="49"/>
    </row>
    <row r="550" spans="1:29" ht="13">
      <c r="A550" s="47"/>
      <c r="B550" s="47"/>
      <c r="C550" s="49"/>
      <c r="D550" s="49"/>
      <c r="E550" s="49"/>
      <c r="F550" s="49"/>
      <c r="G550" s="49"/>
      <c r="H550" s="173"/>
      <c r="I550" s="49"/>
      <c r="J550" s="49"/>
      <c r="K550" s="49"/>
      <c r="L550" s="49"/>
      <c r="M550" s="49"/>
      <c r="N550" s="49"/>
      <c r="O550" s="49"/>
      <c r="P550" s="49"/>
      <c r="Q550" s="49"/>
      <c r="R550" s="49"/>
      <c r="S550" s="49"/>
      <c r="T550" s="49"/>
      <c r="U550" s="49"/>
      <c r="V550" s="49"/>
      <c r="W550" s="49"/>
      <c r="X550" s="49"/>
      <c r="Y550" s="49"/>
      <c r="Z550" s="49"/>
      <c r="AA550" s="49"/>
      <c r="AB550" s="49"/>
      <c r="AC550" s="49"/>
    </row>
    <row r="551" spans="1:29" ht="13">
      <c r="A551" s="47"/>
      <c r="B551" s="47"/>
      <c r="C551" s="49"/>
      <c r="D551" s="49"/>
      <c r="E551" s="49"/>
      <c r="F551" s="49"/>
      <c r="G551" s="49"/>
      <c r="H551" s="173"/>
      <c r="I551" s="49"/>
      <c r="J551" s="49"/>
      <c r="K551" s="49"/>
      <c r="L551" s="49"/>
      <c r="M551" s="49"/>
      <c r="N551" s="49"/>
      <c r="O551" s="49"/>
      <c r="P551" s="49"/>
      <c r="Q551" s="49"/>
      <c r="R551" s="49"/>
      <c r="S551" s="49"/>
      <c r="T551" s="49"/>
      <c r="U551" s="49"/>
      <c r="V551" s="49"/>
      <c r="W551" s="49"/>
      <c r="X551" s="49"/>
      <c r="Y551" s="49"/>
      <c r="Z551" s="49"/>
      <c r="AA551" s="49"/>
      <c r="AB551" s="49"/>
      <c r="AC551" s="49"/>
    </row>
    <row r="552" spans="1:29" ht="13">
      <c r="A552" s="47"/>
      <c r="B552" s="47"/>
      <c r="C552" s="49"/>
      <c r="D552" s="49"/>
      <c r="E552" s="49"/>
      <c r="F552" s="49"/>
      <c r="G552" s="49"/>
      <c r="H552" s="173"/>
      <c r="I552" s="49"/>
      <c r="J552" s="49"/>
      <c r="K552" s="49"/>
      <c r="L552" s="49"/>
      <c r="M552" s="49"/>
      <c r="N552" s="49"/>
      <c r="O552" s="49"/>
      <c r="P552" s="49"/>
      <c r="Q552" s="49"/>
      <c r="R552" s="49"/>
      <c r="S552" s="49"/>
      <c r="T552" s="49"/>
      <c r="U552" s="49"/>
      <c r="V552" s="49"/>
      <c r="W552" s="49"/>
      <c r="X552" s="49"/>
      <c r="Y552" s="49"/>
      <c r="Z552" s="49"/>
      <c r="AA552" s="49"/>
      <c r="AB552" s="49"/>
      <c r="AC552" s="49"/>
    </row>
    <row r="553" spans="1:29" ht="13">
      <c r="A553" s="47"/>
      <c r="B553" s="47"/>
      <c r="C553" s="49"/>
      <c r="D553" s="49"/>
      <c r="E553" s="49"/>
      <c r="F553" s="49"/>
      <c r="G553" s="49"/>
      <c r="H553" s="173"/>
      <c r="I553" s="49"/>
      <c r="J553" s="49"/>
      <c r="K553" s="49"/>
      <c r="L553" s="49"/>
      <c r="M553" s="49"/>
      <c r="N553" s="49"/>
      <c r="O553" s="49"/>
      <c r="P553" s="49"/>
      <c r="Q553" s="49"/>
      <c r="R553" s="49"/>
      <c r="S553" s="49"/>
      <c r="T553" s="49"/>
      <c r="U553" s="49"/>
      <c r="V553" s="49"/>
      <c r="W553" s="49"/>
      <c r="X553" s="49"/>
      <c r="Y553" s="49"/>
      <c r="Z553" s="49"/>
      <c r="AA553" s="49"/>
      <c r="AB553" s="49"/>
      <c r="AC553" s="49"/>
    </row>
    <row r="554" spans="1:29" ht="13">
      <c r="A554" s="47"/>
      <c r="B554" s="47"/>
      <c r="C554" s="49"/>
      <c r="D554" s="49"/>
      <c r="E554" s="49"/>
      <c r="F554" s="49"/>
      <c r="G554" s="49"/>
      <c r="H554" s="173"/>
      <c r="I554" s="49"/>
      <c r="J554" s="49"/>
      <c r="K554" s="49"/>
      <c r="L554" s="49"/>
      <c r="M554" s="49"/>
      <c r="N554" s="49"/>
      <c r="O554" s="49"/>
      <c r="P554" s="49"/>
      <c r="Q554" s="49"/>
      <c r="R554" s="49"/>
      <c r="S554" s="49"/>
      <c r="T554" s="49"/>
      <c r="U554" s="49"/>
      <c r="V554" s="49"/>
      <c r="W554" s="49"/>
      <c r="X554" s="49"/>
      <c r="Y554" s="49"/>
      <c r="Z554" s="49"/>
      <c r="AA554" s="49"/>
      <c r="AB554" s="49"/>
      <c r="AC554" s="49"/>
    </row>
    <row r="555" spans="1:29" ht="13">
      <c r="A555" s="47"/>
      <c r="B555" s="47"/>
      <c r="C555" s="49"/>
      <c r="D555" s="49"/>
      <c r="E555" s="49"/>
      <c r="F555" s="49"/>
      <c r="G555" s="49"/>
      <c r="H555" s="173"/>
      <c r="I555" s="49"/>
      <c r="J555" s="49"/>
      <c r="K555" s="49"/>
      <c r="L555" s="49"/>
      <c r="M555" s="49"/>
      <c r="N555" s="49"/>
      <c r="O555" s="49"/>
      <c r="P555" s="49"/>
      <c r="Q555" s="49"/>
      <c r="R555" s="49"/>
      <c r="S555" s="49"/>
      <c r="T555" s="49"/>
      <c r="U555" s="49"/>
      <c r="V555" s="49"/>
      <c r="W555" s="49"/>
      <c r="X555" s="49"/>
      <c r="Y555" s="49"/>
      <c r="Z555" s="49"/>
      <c r="AA555" s="49"/>
      <c r="AB555" s="49"/>
      <c r="AC555" s="49"/>
    </row>
    <row r="556" spans="1:29" ht="13">
      <c r="A556" s="47"/>
      <c r="B556" s="47"/>
      <c r="C556" s="49"/>
      <c r="D556" s="49"/>
      <c r="E556" s="49"/>
      <c r="F556" s="49"/>
      <c r="G556" s="49"/>
      <c r="H556" s="173"/>
      <c r="I556" s="49"/>
      <c r="J556" s="49"/>
      <c r="K556" s="49"/>
      <c r="L556" s="49"/>
      <c r="M556" s="49"/>
      <c r="N556" s="49"/>
      <c r="O556" s="49"/>
      <c r="P556" s="49"/>
      <c r="Q556" s="49"/>
      <c r="R556" s="49"/>
      <c r="S556" s="49"/>
      <c r="T556" s="49"/>
      <c r="U556" s="49"/>
      <c r="V556" s="49"/>
      <c r="W556" s="49"/>
      <c r="X556" s="49"/>
      <c r="Y556" s="49"/>
      <c r="Z556" s="49"/>
      <c r="AA556" s="49"/>
      <c r="AB556" s="49"/>
      <c r="AC556" s="49"/>
    </row>
    <row r="557" spans="1:29" ht="13">
      <c r="A557" s="47"/>
      <c r="B557" s="47"/>
      <c r="C557" s="49"/>
      <c r="D557" s="49"/>
      <c r="E557" s="49"/>
      <c r="F557" s="49"/>
      <c r="G557" s="49"/>
      <c r="H557" s="173"/>
      <c r="I557" s="49"/>
      <c r="J557" s="49"/>
      <c r="K557" s="49"/>
      <c r="L557" s="49"/>
      <c r="M557" s="49"/>
      <c r="N557" s="49"/>
      <c r="O557" s="49"/>
      <c r="P557" s="49"/>
      <c r="Q557" s="49"/>
      <c r="R557" s="49"/>
      <c r="S557" s="49"/>
      <c r="T557" s="49"/>
      <c r="U557" s="49"/>
      <c r="V557" s="49"/>
      <c r="W557" s="49"/>
      <c r="X557" s="49"/>
      <c r="Y557" s="49"/>
      <c r="Z557" s="49"/>
      <c r="AA557" s="49"/>
      <c r="AB557" s="49"/>
      <c r="AC557" s="49"/>
    </row>
    <row r="558" spans="1:29" ht="13">
      <c r="A558" s="47"/>
      <c r="B558" s="47"/>
      <c r="C558" s="49"/>
      <c r="D558" s="49"/>
      <c r="E558" s="49"/>
      <c r="F558" s="49"/>
      <c r="G558" s="49"/>
      <c r="H558" s="173"/>
      <c r="I558" s="49"/>
      <c r="J558" s="49"/>
      <c r="K558" s="49"/>
      <c r="L558" s="49"/>
      <c r="M558" s="49"/>
      <c r="N558" s="49"/>
      <c r="O558" s="49"/>
      <c r="P558" s="49"/>
      <c r="Q558" s="49"/>
      <c r="R558" s="49"/>
      <c r="S558" s="49"/>
      <c r="T558" s="49"/>
      <c r="U558" s="49"/>
      <c r="V558" s="49"/>
      <c r="W558" s="49"/>
      <c r="X558" s="49"/>
      <c r="Y558" s="49"/>
      <c r="Z558" s="49"/>
      <c r="AA558" s="49"/>
      <c r="AB558" s="49"/>
      <c r="AC558" s="49"/>
    </row>
    <row r="559" spans="1:29" ht="13">
      <c r="A559" s="47"/>
      <c r="B559" s="47"/>
      <c r="C559" s="49"/>
      <c r="D559" s="49"/>
      <c r="E559" s="49"/>
      <c r="F559" s="49"/>
      <c r="G559" s="49"/>
      <c r="H559" s="173"/>
      <c r="I559" s="49"/>
      <c r="J559" s="49"/>
      <c r="K559" s="49"/>
      <c r="L559" s="49"/>
      <c r="M559" s="49"/>
      <c r="N559" s="49"/>
      <c r="O559" s="49"/>
      <c r="P559" s="49"/>
      <c r="Q559" s="49"/>
      <c r="R559" s="49"/>
      <c r="S559" s="49"/>
      <c r="T559" s="49"/>
      <c r="U559" s="49"/>
      <c r="V559" s="49"/>
      <c r="W559" s="49"/>
      <c r="X559" s="49"/>
      <c r="Y559" s="49"/>
      <c r="Z559" s="49"/>
      <c r="AA559" s="49"/>
      <c r="AB559" s="49"/>
      <c r="AC559" s="49"/>
    </row>
    <row r="560" spans="1:29" ht="13">
      <c r="A560" s="47"/>
      <c r="B560" s="47"/>
      <c r="C560" s="49"/>
      <c r="D560" s="49"/>
      <c r="E560" s="49"/>
      <c r="F560" s="49"/>
      <c r="G560" s="49"/>
      <c r="H560" s="173"/>
      <c r="I560" s="49"/>
      <c r="J560" s="49"/>
      <c r="K560" s="49"/>
      <c r="L560" s="49"/>
      <c r="M560" s="49"/>
      <c r="N560" s="49"/>
      <c r="O560" s="49"/>
      <c r="P560" s="49"/>
      <c r="Q560" s="49"/>
      <c r="R560" s="49"/>
      <c r="S560" s="49"/>
      <c r="T560" s="49"/>
      <c r="U560" s="49"/>
      <c r="V560" s="49"/>
      <c r="W560" s="49"/>
      <c r="X560" s="49"/>
      <c r="Y560" s="49"/>
      <c r="Z560" s="49"/>
      <c r="AA560" s="49"/>
      <c r="AB560" s="49"/>
      <c r="AC560" s="49"/>
    </row>
    <row r="561" spans="1:29" ht="13">
      <c r="A561" s="47"/>
      <c r="B561" s="47"/>
      <c r="C561" s="49"/>
      <c r="D561" s="49"/>
      <c r="E561" s="49"/>
      <c r="F561" s="49"/>
      <c r="G561" s="49"/>
      <c r="H561" s="173"/>
      <c r="I561" s="49"/>
      <c r="J561" s="49"/>
      <c r="K561" s="49"/>
      <c r="L561" s="49"/>
      <c r="M561" s="49"/>
      <c r="N561" s="49"/>
      <c r="O561" s="49"/>
      <c r="P561" s="49"/>
      <c r="Q561" s="49"/>
      <c r="R561" s="49"/>
      <c r="S561" s="49"/>
      <c r="T561" s="49"/>
      <c r="U561" s="49"/>
      <c r="V561" s="49"/>
      <c r="W561" s="49"/>
      <c r="X561" s="49"/>
      <c r="Y561" s="49"/>
      <c r="Z561" s="49"/>
      <c r="AA561" s="49"/>
      <c r="AB561" s="49"/>
      <c r="AC561" s="49"/>
    </row>
    <row r="562" spans="1:29" ht="13">
      <c r="A562" s="47"/>
      <c r="B562" s="47"/>
      <c r="C562" s="49"/>
      <c r="D562" s="49"/>
      <c r="E562" s="49"/>
      <c r="F562" s="49"/>
      <c r="G562" s="49"/>
      <c r="H562" s="173"/>
      <c r="I562" s="49"/>
      <c r="J562" s="49"/>
      <c r="K562" s="49"/>
      <c r="L562" s="49"/>
      <c r="M562" s="49"/>
      <c r="N562" s="49"/>
      <c r="O562" s="49"/>
      <c r="P562" s="49"/>
      <c r="Q562" s="49"/>
      <c r="R562" s="49"/>
      <c r="S562" s="49"/>
      <c r="T562" s="49"/>
      <c r="U562" s="49"/>
      <c r="V562" s="49"/>
      <c r="W562" s="49"/>
      <c r="X562" s="49"/>
      <c r="Y562" s="49"/>
      <c r="Z562" s="49"/>
      <c r="AA562" s="49"/>
      <c r="AB562" s="49"/>
      <c r="AC562" s="49"/>
    </row>
    <row r="563" spans="1:29" ht="13">
      <c r="A563" s="47"/>
      <c r="B563" s="47"/>
      <c r="C563" s="49"/>
      <c r="D563" s="49"/>
      <c r="E563" s="49"/>
      <c r="F563" s="49"/>
      <c r="G563" s="49"/>
      <c r="H563" s="173"/>
      <c r="I563" s="49"/>
      <c r="J563" s="49"/>
      <c r="K563" s="49"/>
      <c r="L563" s="49"/>
      <c r="M563" s="49"/>
      <c r="N563" s="49"/>
      <c r="O563" s="49"/>
      <c r="P563" s="49"/>
      <c r="Q563" s="49"/>
      <c r="R563" s="49"/>
      <c r="S563" s="49"/>
      <c r="T563" s="49"/>
      <c r="U563" s="49"/>
      <c r="V563" s="49"/>
      <c r="W563" s="49"/>
      <c r="X563" s="49"/>
      <c r="Y563" s="49"/>
      <c r="Z563" s="49"/>
      <c r="AA563" s="49"/>
      <c r="AB563" s="49"/>
      <c r="AC563" s="49"/>
    </row>
    <row r="564" spans="1:29" ht="13">
      <c r="A564" s="47"/>
      <c r="B564" s="47"/>
      <c r="C564" s="49"/>
      <c r="D564" s="49"/>
      <c r="E564" s="49"/>
      <c r="F564" s="49"/>
      <c r="G564" s="49"/>
      <c r="H564" s="173"/>
      <c r="I564" s="49"/>
      <c r="J564" s="49"/>
      <c r="K564" s="49"/>
      <c r="L564" s="49"/>
      <c r="M564" s="49"/>
      <c r="N564" s="49"/>
      <c r="O564" s="49"/>
      <c r="P564" s="49"/>
      <c r="Q564" s="49"/>
      <c r="R564" s="49"/>
      <c r="S564" s="49"/>
      <c r="T564" s="49"/>
      <c r="U564" s="49"/>
      <c r="V564" s="49"/>
      <c r="W564" s="49"/>
      <c r="X564" s="49"/>
      <c r="Y564" s="49"/>
      <c r="Z564" s="49"/>
      <c r="AA564" s="49"/>
      <c r="AB564" s="49"/>
      <c r="AC564" s="49"/>
    </row>
    <row r="565" spans="1:29" ht="13">
      <c r="A565" s="47"/>
      <c r="B565" s="47"/>
      <c r="C565" s="49"/>
      <c r="D565" s="49"/>
      <c r="E565" s="49"/>
      <c r="F565" s="49"/>
      <c r="G565" s="49"/>
      <c r="H565" s="173"/>
      <c r="I565" s="49"/>
      <c r="J565" s="49"/>
      <c r="K565" s="49"/>
      <c r="L565" s="49"/>
      <c r="M565" s="49"/>
      <c r="N565" s="49"/>
      <c r="O565" s="49"/>
      <c r="P565" s="49"/>
      <c r="Q565" s="49"/>
      <c r="R565" s="49"/>
      <c r="S565" s="49"/>
      <c r="T565" s="49"/>
      <c r="U565" s="49"/>
      <c r="V565" s="49"/>
      <c r="W565" s="49"/>
      <c r="X565" s="49"/>
      <c r="Y565" s="49"/>
      <c r="Z565" s="49"/>
      <c r="AA565" s="49"/>
      <c r="AB565" s="49"/>
      <c r="AC565" s="49"/>
    </row>
    <row r="566" spans="1:29" ht="13">
      <c r="A566" s="47"/>
      <c r="B566" s="47"/>
      <c r="C566" s="49"/>
      <c r="D566" s="49"/>
      <c r="E566" s="49"/>
      <c r="F566" s="49"/>
      <c r="G566" s="49"/>
      <c r="H566" s="173"/>
      <c r="I566" s="49"/>
      <c r="J566" s="49"/>
      <c r="K566" s="49"/>
      <c r="L566" s="49"/>
      <c r="M566" s="49"/>
      <c r="N566" s="49"/>
      <c r="O566" s="49"/>
      <c r="P566" s="49"/>
      <c r="Q566" s="49"/>
      <c r="R566" s="49"/>
      <c r="S566" s="49"/>
      <c r="T566" s="49"/>
      <c r="U566" s="49"/>
      <c r="V566" s="49"/>
      <c r="W566" s="49"/>
      <c r="X566" s="49"/>
      <c r="Y566" s="49"/>
      <c r="Z566" s="49"/>
      <c r="AA566" s="49"/>
      <c r="AB566" s="49"/>
      <c r="AC566" s="49"/>
    </row>
    <row r="567" spans="1:29" ht="13">
      <c r="A567" s="47"/>
      <c r="B567" s="47"/>
      <c r="C567" s="49"/>
      <c r="D567" s="49"/>
      <c r="E567" s="49"/>
      <c r="F567" s="49"/>
      <c r="G567" s="49"/>
      <c r="H567" s="173"/>
      <c r="I567" s="49"/>
      <c r="J567" s="49"/>
      <c r="K567" s="49"/>
      <c r="L567" s="49"/>
      <c r="M567" s="49"/>
      <c r="N567" s="49"/>
      <c r="O567" s="49"/>
      <c r="P567" s="49"/>
      <c r="Q567" s="49"/>
      <c r="R567" s="49"/>
      <c r="S567" s="49"/>
      <c r="T567" s="49"/>
      <c r="U567" s="49"/>
      <c r="V567" s="49"/>
      <c r="W567" s="49"/>
      <c r="X567" s="49"/>
      <c r="Y567" s="49"/>
      <c r="Z567" s="49"/>
      <c r="AA567" s="49"/>
      <c r="AB567" s="49"/>
      <c r="AC567" s="49"/>
    </row>
    <row r="568" spans="1:29" ht="13">
      <c r="A568" s="47"/>
      <c r="B568" s="47"/>
      <c r="C568" s="49"/>
      <c r="D568" s="49"/>
      <c r="E568" s="49"/>
      <c r="F568" s="49"/>
      <c r="G568" s="49"/>
      <c r="H568" s="173"/>
      <c r="I568" s="49"/>
      <c r="J568" s="49"/>
      <c r="K568" s="49"/>
      <c r="L568" s="49"/>
      <c r="M568" s="49"/>
      <c r="N568" s="49"/>
      <c r="O568" s="49"/>
      <c r="P568" s="49"/>
      <c r="Q568" s="49"/>
      <c r="R568" s="49"/>
      <c r="S568" s="49"/>
      <c r="T568" s="49"/>
      <c r="U568" s="49"/>
      <c r="V568" s="49"/>
      <c r="W568" s="49"/>
      <c r="X568" s="49"/>
      <c r="Y568" s="49"/>
      <c r="Z568" s="49"/>
      <c r="AA568" s="49"/>
      <c r="AB568" s="49"/>
      <c r="AC568" s="49"/>
    </row>
    <row r="569" spans="1:29" ht="13">
      <c r="A569" s="47"/>
      <c r="B569" s="47"/>
      <c r="C569" s="49"/>
      <c r="D569" s="49"/>
      <c r="E569" s="49"/>
      <c r="F569" s="49"/>
      <c r="G569" s="49"/>
      <c r="H569" s="173"/>
      <c r="I569" s="49"/>
      <c r="J569" s="49"/>
      <c r="K569" s="49"/>
      <c r="L569" s="49"/>
      <c r="M569" s="49"/>
      <c r="N569" s="49"/>
      <c r="O569" s="49"/>
      <c r="P569" s="49"/>
      <c r="Q569" s="49"/>
      <c r="R569" s="49"/>
      <c r="S569" s="49"/>
      <c r="T569" s="49"/>
      <c r="U569" s="49"/>
      <c r="V569" s="49"/>
      <c r="W569" s="49"/>
      <c r="X569" s="49"/>
      <c r="Y569" s="49"/>
      <c r="Z569" s="49"/>
      <c r="AA569" s="49"/>
      <c r="AB569" s="49"/>
      <c r="AC569" s="49"/>
    </row>
    <row r="570" spans="1:29" ht="13">
      <c r="A570" s="47"/>
      <c r="B570" s="47"/>
      <c r="C570" s="49"/>
      <c r="D570" s="49"/>
      <c r="E570" s="49"/>
      <c r="F570" s="49"/>
      <c r="G570" s="49"/>
      <c r="H570" s="173"/>
      <c r="I570" s="49"/>
      <c r="J570" s="49"/>
      <c r="K570" s="49"/>
      <c r="L570" s="49"/>
      <c r="M570" s="49"/>
      <c r="N570" s="49"/>
      <c r="O570" s="49"/>
      <c r="P570" s="49"/>
      <c r="Q570" s="49"/>
      <c r="R570" s="49"/>
      <c r="S570" s="49"/>
      <c r="T570" s="49"/>
      <c r="U570" s="49"/>
      <c r="V570" s="49"/>
      <c r="W570" s="49"/>
      <c r="X570" s="49"/>
      <c r="Y570" s="49"/>
      <c r="Z570" s="49"/>
      <c r="AA570" s="49"/>
      <c r="AB570" s="49"/>
      <c r="AC570" s="49"/>
    </row>
    <row r="571" spans="1:29" ht="13">
      <c r="A571" s="47"/>
      <c r="B571" s="47"/>
      <c r="C571" s="49"/>
      <c r="D571" s="49"/>
      <c r="E571" s="49"/>
      <c r="F571" s="49"/>
      <c r="G571" s="49"/>
      <c r="H571" s="173"/>
      <c r="I571" s="49"/>
      <c r="J571" s="49"/>
      <c r="K571" s="49"/>
      <c r="L571" s="49"/>
      <c r="M571" s="49"/>
      <c r="N571" s="49"/>
      <c r="O571" s="49"/>
      <c r="P571" s="49"/>
      <c r="Q571" s="49"/>
      <c r="R571" s="49"/>
      <c r="S571" s="49"/>
      <c r="T571" s="49"/>
      <c r="U571" s="49"/>
      <c r="V571" s="49"/>
      <c r="W571" s="49"/>
      <c r="X571" s="49"/>
      <c r="Y571" s="49"/>
      <c r="Z571" s="49"/>
      <c r="AA571" s="49"/>
      <c r="AB571" s="49"/>
      <c r="AC571" s="49"/>
    </row>
    <row r="572" spans="1:29" ht="13">
      <c r="A572" s="47"/>
      <c r="B572" s="47"/>
      <c r="C572" s="49"/>
      <c r="D572" s="49"/>
      <c r="E572" s="49"/>
      <c r="F572" s="49"/>
      <c r="G572" s="49"/>
      <c r="H572" s="173"/>
      <c r="I572" s="49"/>
      <c r="J572" s="49"/>
      <c r="K572" s="49"/>
      <c r="L572" s="49"/>
      <c r="M572" s="49"/>
      <c r="N572" s="49"/>
      <c r="O572" s="49"/>
      <c r="P572" s="49"/>
      <c r="Q572" s="49"/>
      <c r="R572" s="49"/>
      <c r="S572" s="49"/>
      <c r="T572" s="49"/>
      <c r="U572" s="49"/>
      <c r="V572" s="49"/>
      <c r="W572" s="49"/>
      <c r="X572" s="49"/>
      <c r="Y572" s="49"/>
      <c r="Z572" s="49"/>
      <c r="AA572" s="49"/>
      <c r="AB572" s="49"/>
      <c r="AC572" s="49"/>
    </row>
    <row r="573" spans="1:29" ht="13">
      <c r="A573" s="47"/>
      <c r="B573" s="47"/>
      <c r="C573" s="49"/>
      <c r="D573" s="49"/>
      <c r="E573" s="49"/>
      <c r="F573" s="49"/>
      <c r="G573" s="49"/>
      <c r="H573" s="173"/>
      <c r="I573" s="49"/>
      <c r="J573" s="49"/>
      <c r="K573" s="49"/>
      <c r="L573" s="49"/>
      <c r="M573" s="49"/>
      <c r="N573" s="49"/>
      <c r="O573" s="49"/>
      <c r="P573" s="49"/>
      <c r="Q573" s="49"/>
      <c r="R573" s="49"/>
      <c r="S573" s="49"/>
      <c r="T573" s="49"/>
      <c r="U573" s="49"/>
      <c r="V573" s="49"/>
      <c r="W573" s="49"/>
      <c r="X573" s="49"/>
      <c r="Y573" s="49"/>
      <c r="Z573" s="49"/>
      <c r="AA573" s="49"/>
      <c r="AB573" s="49"/>
      <c r="AC573" s="49"/>
    </row>
    <row r="574" spans="1:29" ht="13">
      <c r="A574" s="47"/>
      <c r="B574" s="47"/>
      <c r="C574" s="49"/>
      <c r="D574" s="49"/>
      <c r="E574" s="49"/>
      <c r="F574" s="49"/>
      <c r="G574" s="49"/>
      <c r="H574" s="173"/>
      <c r="I574" s="49"/>
      <c r="J574" s="49"/>
      <c r="K574" s="49"/>
      <c r="L574" s="49"/>
      <c r="M574" s="49"/>
      <c r="N574" s="49"/>
      <c r="O574" s="49"/>
      <c r="P574" s="49"/>
      <c r="Q574" s="49"/>
      <c r="R574" s="49"/>
      <c r="S574" s="49"/>
      <c r="T574" s="49"/>
      <c r="U574" s="49"/>
      <c r="V574" s="49"/>
      <c r="W574" s="49"/>
      <c r="X574" s="49"/>
      <c r="Y574" s="49"/>
      <c r="Z574" s="49"/>
      <c r="AA574" s="49"/>
      <c r="AB574" s="49"/>
      <c r="AC574" s="49"/>
    </row>
    <row r="575" spans="1:29" ht="13">
      <c r="A575" s="47"/>
      <c r="B575" s="47"/>
      <c r="C575" s="49"/>
      <c r="D575" s="49"/>
      <c r="E575" s="49"/>
      <c r="F575" s="49"/>
      <c r="G575" s="49"/>
      <c r="H575" s="173"/>
      <c r="I575" s="49"/>
      <c r="J575" s="49"/>
      <c r="K575" s="49"/>
      <c r="L575" s="49"/>
      <c r="M575" s="49"/>
      <c r="N575" s="49"/>
      <c r="O575" s="49"/>
      <c r="P575" s="49"/>
      <c r="Q575" s="49"/>
      <c r="R575" s="49"/>
      <c r="S575" s="49"/>
      <c r="T575" s="49"/>
      <c r="U575" s="49"/>
      <c r="V575" s="49"/>
      <c r="W575" s="49"/>
      <c r="X575" s="49"/>
      <c r="Y575" s="49"/>
      <c r="Z575" s="49"/>
      <c r="AA575" s="49"/>
      <c r="AB575" s="49"/>
      <c r="AC575" s="49"/>
    </row>
    <row r="576" spans="1:29" ht="13">
      <c r="A576" s="47"/>
      <c r="B576" s="47"/>
      <c r="C576" s="49"/>
      <c r="D576" s="49"/>
      <c r="E576" s="49"/>
      <c r="F576" s="49"/>
      <c r="G576" s="49"/>
      <c r="H576" s="173"/>
      <c r="I576" s="49"/>
      <c r="J576" s="49"/>
      <c r="K576" s="49"/>
      <c r="L576" s="49"/>
      <c r="M576" s="49"/>
      <c r="N576" s="49"/>
      <c r="O576" s="49"/>
      <c r="P576" s="49"/>
      <c r="Q576" s="49"/>
      <c r="R576" s="49"/>
      <c r="S576" s="49"/>
      <c r="T576" s="49"/>
      <c r="U576" s="49"/>
      <c r="V576" s="49"/>
      <c r="W576" s="49"/>
      <c r="X576" s="49"/>
      <c r="Y576" s="49"/>
      <c r="Z576" s="49"/>
      <c r="AA576" s="49"/>
      <c r="AB576" s="49"/>
      <c r="AC576" s="49"/>
    </row>
    <row r="577" spans="1:29" ht="13">
      <c r="A577" s="47"/>
      <c r="B577" s="47"/>
      <c r="C577" s="49"/>
      <c r="D577" s="49"/>
      <c r="E577" s="49"/>
      <c r="F577" s="49"/>
      <c r="G577" s="49"/>
      <c r="H577" s="173"/>
      <c r="I577" s="49"/>
      <c r="J577" s="49"/>
      <c r="K577" s="49"/>
      <c r="L577" s="49"/>
      <c r="M577" s="49"/>
      <c r="N577" s="49"/>
      <c r="O577" s="49"/>
      <c r="P577" s="49"/>
      <c r="Q577" s="49"/>
      <c r="R577" s="49"/>
      <c r="S577" s="49"/>
      <c r="T577" s="49"/>
      <c r="U577" s="49"/>
      <c r="V577" s="49"/>
      <c r="W577" s="49"/>
      <c r="X577" s="49"/>
      <c r="Y577" s="49"/>
      <c r="Z577" s="49"/>
      <c r="AA577" s="49"/>
      <c r="AB577" s="49"/>
      <c r="AC577" s="49"/>
    </row>
    <row r="578" spans="1:29" ht="13">
      <c r="A578" s="47"/>
      <c r="B578" s="47"/>
      <c r="C578" s="49"/>
      <c r="D578" s="49"/>
      <c r="E578" s="49"/>
      <c r="F578" s="49"/>
      <c r="G578" s="49"/>
      <c r="H578" s="173"/>
      <c r="I578" s="49"/>
      <c r="J578" s="49"/>
      <c r="K578" s="49"/>
      <c r="L578" s="49"/>
      <c r="M578" s="49"/>
      <c r="N578" s="49"/>
      <c r="O578" s="49"/>
      <c r="P578" s="49"/>
      <c r="Q578" s="49"/>
      <c r="R578" s="49"/>
      <c r="S578" s="49"/>
      <c r="T578" s="49"/>
      <c r="U578" s="49"/>
      <c r="V578" s="49"/>
      <c r="W578" s="49"/>
      <c r="X578" s="49"/>
      <c r="Y578" s="49"/>
      <c r="Z578" s="49"/>
      <c r="AA578" s="49"/>
      <c r="AB578" s="49"/>
      <c r="AC578" s="49"/>
    </row>
    <row r="579" spans="1:29" ht="13">
      <c r="A579" s="47"/>
      <c r="B579" s="47"/>
      <c r="C579" s="49"/>
      <c r="D579" s="49"/>
      <c r="E579" s="49"/>
      <c r="F579" s="49"/>
      <c r="G579" s="49"/>
      <c r="H579" s="173"/>
      <c r="I579" s="49"/>
      <c r="J579" s="49"/>
      <c r="K579" s="49"/>
      <c r="L579" s="49"/>
      <c r="M579" s="49"/>
      <c r="N579" s="49"/>
      <c r="O579" s="49"/>
      <c r="P579" s="49"/>
      <c r="Q579" s="49"/>
      <c r="R579" s="49"/>
      <c r="S579" s="49"/>
      <c r="T579" s="49"/>
      <c r="U579" s="49"/>
      <c r="V579" s="49"/>
      <c r="W579" s="49"/>
      <c r="X579" s="49"/>
      <c r="Y579" s="49"/>
      <c r="Z579" s="49"/>
      <c r="AA579" s="49"/>
      <c r="AB579" s="49"/>
      <c r="AC579" s="49"/>
    </row>
    <row r="580" spans="1:29" ht="13">
      <c r="A580" s="47"/>
      <c r="B580" s="47"/>
      <c r="C580" s="49"/>
      <c r="D580" s="49"/>
      <c r="E580" s="49"/>
      <c r="F580" s="49"/>
      <c r="G580" s="49"/>
      <c r="H580" s="173"/>
      <c r="I580" s="49"/>
      <c r="J580" s="49"/>
      <c r="K580" s="49"/>
      <c r="L580" s="49"/>
      <c r="M580" s="49"/>
      <c r="N580" s="49"/>
      <c r="O580" s="49"/>
      <c r="P580" s="49"/>
      <c r="Q580" s="49"/>
      <c r="R580" s="49"/>
      <c r="S580" s="49"/>
      <c r="T580" s="49"/>
      <c r="U580" s="49"/>
      <c r="V580" s="49"/>
      <c r="W580" s="49"/>
      <c r="X580" s="49"/>
      <c r="Y580" s="49"/>
      <c r="Z580" s="49"/>
      <c r="AA580" s="49"/>
      <c r="AB580" s="49"/>
      <c r="AC580" s="49"/>
    </row>
    <row r="581" spans="1:29" ht="13">
      <c r="A581" s="47"/>
      <c r="B581" s="47"/>
      <c r="C581" s="49"/>
      <c r="D581" s="49"/>
      <c r="E581" s="49"/>
      <c r="F581" s="49"/>
      <c r="G581" s="49"/>
      <c r="H581" s="173"/>
      <c r="I581" s="49"/>
      <c r="J581" s="49"/>
      <c r="K581" s="49"/>
      <c r="L581" s="49"/>
      <c r="M581" s="49"/>
      <c r="N581" s="49"/>
      <c r="O581" s="49"/>
      <c r="P581" s="49"/>
      <c r="Q581" s="49"/>
      <c r="R581" s="49"/>
      <c r="S581" s="49"/>
      <c r="T581" s="49"/>
      <c r="U581" s="49"/>
      <c r="V581" s="49"/>
      <c r="W581" s="49"/>
      <c r="X581" s="49"/>
      <c r="Y581" s="49"/>
      <c r="Z581" s="49"/>
      <c r="AA581" s="49"/>
      <c r="AB581" s="49"/>
      <c r="AC581" s="49"/>
    </row>
    <row r="582" spans="1:29" ht="13">
      <c r="A582" s="47"/>
      <c r="B582" s="47"/>
      <c r="C582" s="49"/>
      <c r="D582" s="49"/>
      <c r="E582" s="49"/>
      <c r="F582" s="49"/>
      <c r="G582" s="49"/>
      <c r="H582" s="173"/>
      <c r="I582" s="49"/>
      <c r="J582" s="49"/>
      <c r="K582" s="49"/>
      <c r="L582" s="49"/>
      <c r="M582" s="49"/>
      <c r="N582" s="49"/>
      <c r="O582" s="49"/>
      <c r="P582" s="49"/>
      <c r="Q582" s="49"/>
      <c r="R582" s="49"/>
      <c r="S582" s="49"/>
      <c r="T582" s="49"/>
      <c r="U582" s="49"/>
      <c r="V582" s="49"/>
      <c r="W582" s="49"/>
      <c r="X582" s="49"/>
      <c r="Y582" s="49"/>
      <c r="Z582" s="49"/>
      <c r="AA582" s="49"/>
      <c r="AB582" s="49"/>
      <c r="AC582" s="49"/>
    </row>
    <row r="583" spans="1:29" ht="13">
      <c r="A583" s="47"/>
      <c r="B583" s="47"/>
      <c r="C583" s="49"/>
      <c r="D583" s="49"/>
      <c r="E583" s="49"/>
      <c r="F583" s="49"/>
      <c r="G583" s="49"/>
      <c r="H583" s="173"/>
      <c r="I583" s="49"/>
      <c r="J583" s="49"/>
      <c r="K583" s="49"/>
      <c r="L583" s="49"/>
      <c r="M583" s="49"/>
      <c r="N583" s="49"/>
      <c r="O583" s="49"/>
      <c r="P583" s="49"/>
      <c r="Q583" s="49"/>
      <c r="R583" s="49"/>
      <c r="S583" s="49"/>
      <c r="T583" s="49"/>
      <c r="U583" s="49"/>
      <c r="V583" s="49"/>
      <c r="W583" s="49"/>
      <c r="X583" s="49"/>
      <c r="Y583" s="49"/>
      <c r="Z583" s="49"/>
      <c r="AA583" s="49"/>
      <c r="AB583" s="49"/>
      <c r="AC583" s="49"/>
    </row>
    <row r="584" spans="1:29" ht="13">
      <c r="A584" s="47"/>
      <c r="B584" s="47"/>
      <c r="C584" s="49"/>
      <c r="D584" s="49"/>
      <c r="E584" s="49"/>
      <c r="F584" s="49"/>
      <c r="G584" s="49"/>
      <c r="H584" s="173"/>
      <c r="I584" s="49"/>
      <c r="J584" s="49"/>
      <c r="K584" s="49"/>
      <c r="L584" s="49"/>
      <c r="M584" s="49"/>
      <c r="N584" s="49"/>
      <c r="O584" s="49"/>
      <c r="P584" s="49"/>
      <c r="Q584" s="49"/>
      <c r="R584" s="49"/>
      <c r="S584" s="49"/>
      <c r="T584" s="49"/>
      <c r="U584" s="49"/>
      <c r="V584" s="49"/>
      <c r="W584" s="49"/>
      <c r="X584" s="49"/>
      <c r="Y584" s="49"/>
      <c r="Z584" s="49"/>
      <c r="AA584" s="49"/>
      <c r="AB584" s="49"/>
      <c r="AC584" s="49"/>
    </row>
    <row r="585" spans="1:29" ht="13">
      <c r="A585" s="47"/>
      <c r="B585" s="47"/>
      <c r="C585" s="49"/>
      <c r="D585" s="49"/>
      <c r="E585" s="49"/>
      <c r="F585" s="49"/>
      <c r="G585" s="49"/>
      <c r="H585" s="173"/>
      <c r="I585" s="49"/>
      <c r="J585" s="49"/>
      <c r="K585" s="49"/>
      <c r="L585" s="49"/>
      <c r="M585" s="49"/>
      <c r="N585" s="49"/>
      <c r="O585" s="49"/>
      <c r="P585" s="49"/>
      <c r="Q585" s="49"/>
      <c r="R585" s="49"/>
      <c r="S585" s="49"/>
      <c r="T585" s="49"/>
      <c r="U585" s="49"/>
      <c r="V585" s="49"/>
      <c r="W585" s="49"/>
      <c r="X585" s="49"/>
      <c r="Y585" s="49"/>
      <c r="Z585" s="49"/>
      <c r="AA585" s="49"/>
      <c r="AB585" s="49"/>
      <c r="AC585" s="49"/>
    </row>
    <row r="586" spans="1:29" ht="13">
      <c r="A586" s="47"/>
      <c r="B586" s="47"/>
      <c r="C586" s="49"/>
      <c r="D586" s="49"/>
      <c r="E586" s="49"/>
      <c r="F586" s="49"/>
      <c r="G586" s="49"/>
      <c r="H586" s="173"/>
      <c r="I586" s="49"/>
      <c r="J586" s="49"/>
      <c r="K586" s="49"/>
      <c r="L586" s="49"/>
      <c r="M586" s="49"/>
      <c r="N586" s="49"/>
      <c r="O586" s="49"/>
      <c r="P586" s="49"/>
      <c r="Q586" s="49"/>
      <c r="R586" s="49"/>
      <c r="S586" s="49"/>
      <c r="T586" s="49"/>
      <c r="U586" s="49"/>
      <c r="V586" s="49"/>
      <c r="W586" s="49"/>
      <c r="X586" s="49"/>
      <c r="Y586" s="49"/>
      <c r="Z586" s="49"/>
      <c r="AA586" s="49"/>
      <c r="AB586" s="49"/>
      <c r="AC586" s="49"/>
    </row>
    <row r="587" spans="1:29" ht="13">
      <c r="A587" s="47"/>
      <c r="B587" s="47"/>
      <c r="C587" s="49"/>
      <c r="D587" s="49"/>
      <c r="E587" s="49"/>
      <c r="F587" s="49"/>
      <c r="G587" s="49"/>
      <c r="H587" s="173"/>
      <c r="I587" s="49"/>
      <c r="J587" s="49"/>
      <c r="K587" s="49"/>
      <c r="L587" s="49"/>
      <c r="M587" s="49"/>
      <c r="N587" s="49"/>
      <c r="O587" s="49"/>
      <c r="P587" s="49"/>
      <c r="Q587" s="49"/>
      <c r="R587" s="49"/>
      <c r="S587" s="49"/>
      <c r="T587" s="49"/>
      <c r="U587" s="49"/>
      <c r="V587" s="49"/>
      <c r="W587" s="49"/>
      <c r="X587" s="49"/>
      <c r="Y587" s="49"/>
      <c r="Z587" s="49"/>
      <c r="AA587" s="49"/>
      <c r="AB587" s="49"/>
      <c r="AC587" s="49"/>
    </row>
    <row r="588" spans="1:29" ht="13">
      <c r="A588" s="47"/>
      <c r="B588" s="47"/>
      <c r="C588" s="49"/>
      <c r="D588" s="49"/>
      <c r="E588" s="49"/>
      <c r="F588" s="49"/>
      <c r="G588" s="49"/>
      <c r="H588" s="173"/>
      <c r="I588" s="49"/>
      <c r="J588" s="49"/>
      <c r="K588" s="49"/>
      <c r="L588" s="49"/>
      <c r="M588" s="49"/>
      <c r="N588" s="49"/>
      <c r="O588" s="49"/>
      <c r="P588" s="49"/>
      <c r="Q588" s="49"/>
      <c r="R588" s="49"/>
      <c r="S588" s="49"/>
      <c r="T588" s="49"/>
      <c r="U588" s="49"/>
      <c r="V588" s="49"/>
      <c r="W588" s="49"/>
      <c r="X588" s="49"/>
      <c r="Y588" s="49"/>
      <c r="Z588" s="49"/>
      <c r="AA588" s="49"/>
      <c r="AB588" s="49"/>
      <c r="AC588" s="49"/>
    </row>
    <row r="589" spans="1:29" ht="13">
      <c r="A589" s="47"/>
      <c r="B589" s="47"/>
      <c r="C589" s="49"/>
      <c r="D589" s="49"/>
      <c r="E589" s="49"/>
      <c r="F589" s="49"/>
      <c r="G589" s="49"/>
      <c r="H589" s="173"/>
      <c r="I589" s="49"/>
      <c r="J589" s="49"/>
      <c r="K589" s="49"/>
      <c r="L589" s="49"/>
      <c r="M589" s="49"/>
      <c r="N589" s="49"/>
      <c r="O589" s="49"/>
      <c r="P589" s="49"/>
      <c r="Q589" s="49"/>
      <c r="R589" s="49"/>
      <c r="S589" s="49"/>
      <c r="T589" s="49"/>
      <c r="U589" s="49"/>
      <c r="V589" s="49"/>
      <c r="W589" s="49"/>
      <c r="X589" s="49"/>
      <c r="Y589" s="49"/>
      <c r="Z589" s="49"/>
      <c r="AA589" s="49"/>
      <c r="AB589" s="49"/>
      <c r="AC589" s="49"/>
    </row>
    <row r="590" spans="1:29" ht="13">
      <c r="A590" s="47"/>
      <c r="B590" s="47"/>
      <c r="C590" s="49"/>
      <c r="D590" s="49"/>
      <c r="E590" s="49"/>
      <c r="F590" s="49"/>
      <c r="G590" s="49"/>
      <c r="H590" s="173"/>
      <c r="I590" s="49"/>
      <c r="J590" s="49"/>
      <c r="K590" s="49"/>
      <c r="L590" s="49"/>
      <c r="M590" s="49"/>
      <c r="N590" s="49"/>
      <c r="O590" s="49"/>
      <c r="P590" s="49"/>
      <c r="Q590" s="49"/>
      <c r="R590" s="49"/>
      <c r="S590" s="49"/>
      <c r="T590" s="49"/>
      <c r="U590" s="49"/>
      <c r="V590" s="49"/>
      <c r="W590" s="49"/>
      <c r="X590" s="49"/>
      <c r="Y590" s="49"/>
      <c r="Z590" s="49"/>
      <c r="AA590" s="49"/>
      <c r="AB590" s="49"/>
      <c r="AC590" s="49"/>
    </row>
    <row r="591" spans="1:29" ht="13">
      <c r="A591" s="47"/>
      <c r="B591" s="47"/>
      <c r="C591" s="49"/>
      <c r="D591" s="49"/>
      <c r="E591" s="49"/>
      <c r="F591" s="49"/>
      <c r="G591" s="49"/>
      <c r="H591" s="173"/>
      <c r="I591" s="49"/>
      <c r="J591" s="49"/>
      <c r="K591" s="49"/>
      <c r="L591" s="49"/>
      <c r="M591" s="49"/>
      <c r="N591" s="49"/>
      <c r="O591" s="49"/>
      <c r="P591" s="49"/>
      <c r="Q591" s="49"/>
      <c r="R591" s="49"/>
      <c r="S591" s="49"/>
      <c r="T591" s="49"/>
      <c r="U591" s="49"/>
      <c r="V591" s="49"/>
      <c r="W591" s="49"/>
      <c r="X591" s="49"/>
      <c r="Y591" s="49"/>
      <c r="Z591" s="49"/>
      <c r="AA591" s="49"/>
      <c r="AB591" s="49"/>
      <c r="AC591" s="49"/>
    </row>
    <row r="592" spans="1:29" ht="13">
      <c r="A592" s="47"/>
      <c r="B592" s="47"/>
      <c r="C592" s="49"/>
      <c r="D592" s="49"/>
      <c r="E592" s="49"/>
      <c r="F592" s="49"/>
      <c r="G592" s="49"/>
      <c r="H592" s="173"/>
      <c r="I592" s="49"/>
      <c r="J592" s="49"/>
      <c r="K592" s="49"/>
      <c r="L592" s="49"/>
      <c r="M592" s="49"/>
      <c r="N592" s="49"/>
      <c r="O592" s="49"/>
      <c r="P592" s="49"/>
      <c r="Q592" s="49"/>
      <c r="R592" s="49"/>
      <c r="S592" s="49"/>
      <c r="T592" s="49"/>
      <c r="U592" s="49"/>
      <c r="V592" s="49"/>
      <c r="W592" s="49"/>
      <c r="X592" s="49"/>
      <c r="Y592" s="49"/>
      <c r="Z592" s="49"/>
      <c r="AA592" s="49"/>
      <c r="AB592" s="49"/>
      <c r="AC592" s="49"/>
    </row>
    <row r="593" spans="1:29" ht="13">
      <c r="A593" s="47"/>
      <c r="B593" s="47"/>
      <c r="C593" s="49"/>
      <c r="D593" s="49"/>
      <c r="E593" s="49"/>
      <c r="F593" s="49"/>
      <c r="G593" s="49"/>
      <c r="H593" s="173"/>
      <c r="I593" s="49"/>
      <c r="J593" s="49"/>
      <c r="K593" s="49"/>
      <c r="L593" s="49"/>
      <c r="M593" s="49"/>
      <c r="N593" s="49"/>
      <c r="O593" s="49"/>
      <c r="P593" s="49"/>
      <c r="Q593" s="49"/>
      <c r="R593" s="49"/>
      <c r="S593" s="49"/>
      <c r="T593" s="49"/>
      <c r="U593" s="49"/>
      <c r="V593" s="49"/>
      <c r="W593" s="49"/>
      <c r="X593" s="49"/>
      <c r="Y593" s="49"/>
      <c r="Z593" s="49"/>
      <c r="AA593" s="49"/>
      <c r="AB593" s="49"/>
      <c r="AC593" s="49"/>
    </row>
    <row r="594" spans="1:29" ht="13">
      <c r="A594" s="47"/>
      <c r="B594" s="47"/>
      <c r="C594" s="49"/>
      <c r="D594" s="49"/>
      <c r="E594" s="49"/>
      <c r="F594" s="49"/>
      <c r="G594" s="49"/>
      <c r="H594" s="173"/>
      <c r="I594" s="49"/>
      <c r="J594" s="49"/>
      <c r="K594" s="49"/>
      <c r="L594" s="49"/>
      <c r="M594" s="49"/>
      <c r="N594" s="49"/>
      <c r="O594" s="49"/>
      <c r="P594" s="49"/>
      <c r="Q594" s="49"/>
      <c r="R594" s="49"/>
      <c r="S594" s="49"/>
      <c r="T594" s="49"/>
      <c r="U594" s="49"/>
      <c r="V594" s="49"/>
      <c r="W594" s="49"/>
      <c r="X594" s="49"/>
      <c r="Y594" s="49"/>
      <c r="Z594" s="49"/>
      <c r="AA594" s="49"/>
      <c r="AB594" s="49"/>
      <c r="AC594" s="49"/>
    </row>
    <row r="595" spans="1:29" ht="13">
      <c r="A595" s="47"/>
      <c r="B595" s="47"/>
      <c r="C595" s="49"/>
      <c r="D595" s="49"/>
      <c r="E595" s="49"/>
      <c r="F595" s="49"/>
      <c r="G595" s="49"/>
      <c r="H595" s="173"/>
      <c r="I595" s="49"/>
      <c r="J595" s="49"/>
      <c r="K595" s="49"/>
      <c r="L595" s="49"/>
      <c r="M595" s="49"/>
      <c r="N595" s="49"/>
      <c r="O595" s="49"/>
      <c r="P595" s="49"/>
      <c r="Q595" s="49"/>
      <c r="R595" s="49"/>
      <c r="S595" s="49"/>
      <c r="T595" s="49"/>
      <c r="U595" s="49"/>
      <c r="V595" s="49"/>
      <c r="W595" s="49"/>
      <c r="X595" s="49"/>
      <c r="Y595" s="49"/>
      <c r="Z595" s="49"/>
      <c r="AA595" s="49"/>
      <c r="AB595" s="49"/>
      <c r="AC595" s="49"/>
    </row>
    <row r="596" spans="1:29" ht="13">
      <c r="A596" s="47"/>
      <c r="B596" s="47"/>
      <c r="C596" s="49"/>
      <c r="D596" s="49"/>
      <c r="E596" s="49"/>
      <c r="F596" s="49"/>
      <c r="G596" s="49"/>
      <c r="H596" s="173"/>
      <c r="I596" s="49"/>
      <c r="J596" s="49"/>
      <c r="K596" s="49"/>
      <c r="L596" s="49"/>
      <c r="M596" s="49"/>
      <c r="N596" s="49"/>
      <c r="O596" s="49"/>
      <c r="P596" s="49"/>
      <c r="Q596" s="49"/>
      <c r="R596" s="49"/>
      <c r="S596" s="49"/>
      <c r="T596" s="49"/>
      <c r="U596" s="49"/>
      <c r="V596" s="49"/>
      <c r="W596" s="49"/>
      <c r="X596" s="49"/>
      <c r="Y596" s="49"/>
      <c r="Z596" s="49"/>
      <c r="AA596" s="49"/>
      <c r="AB596" s="49"/>
      <c r="AC596" s="49"/>
    </row>
    <row r="597" spans="1:29" ht="13">
      <c r="A597" s="47"/>
      <c r="B597" s="47"/>
      <c r="C597" s="49"/>
      <c r="D597" s="49"/>
      <c r="E597" s="49"/>
      <c r="F597" s="49"/>
      <c r="G597" s="49"/>
      <c r="H597" s="173"/>
      <c r="I597" s="49"/>
      <c r="J597" s="49"/>
      <c r="K597" s="49"/>
      <c r="L597" s="49"/>
      <c r="M597" s="49"/>
      <c r="N597" s="49"/>
      <c r="O597" s="49"/>
      <c r="P597" s="49"/>
      <c r="Q597" s="49"/>
      <c r="R597" s="49"/>
      <c r="S597" s="49"/>
      <c r="T597" s="49"/>
      <c r="U597" s="49"/>
      <c r="V597" s="49"/>
      <c r="W597" s="49"/>
      <c r="X597" s="49"/>
      <c r="Y597" s="49"/>
      <c r="Z597" s="49"/>
      <c r="AA597" s="49"/>
      <c r="AB597" s="49"/>
      <c r="AC597" s="49"/>
    </row>
    <row r="598" spans="1:29" ht="13">
      <c r="A598" s="47"/>
      <c r="B598" s="47"/>
      <c r="C598" s="49"/>
      <c r="D598" s="49"/>
      <c r="E598" s="49"/>
      <c r="F598" s="49"/>
      <c r="G598" s="49"/>
      <c r="H598" s="173"/>
      <c r="I598" s="49"/>
      <c r="J598" s="49"/>
      <c r="K598" s="49"/>
      <c r="L598" s="49"/>
      <c r="M598" s="49"/>
      <c r="N598" s="49"/>
      <c r="O598" s="49"/>
      <c r="P598" s="49"/>
      <c r="Q598" s="49"/>
      <c r="R598" s="49"/>
      <c r="S598" s="49"/>
      <c r="T598" s="49"/>
      <c r="U598" s="49"/>
      <c r="V598" s="49"/>
      <c r="W598" s="49"/>
      <c r="X598" s="49"/>
      <c r="Y598" s="49"/>
      <c r="Z598" s="49"/>
      <c r="AA598" s="49"/>
      <c r="AB598" s="49"/>
      <c r="AC598" s="49"/>
    </row>
    <row r="599" spans="1:29" ht="13">
      <c r="A599" s="47"/>
      <c r="B599" s="47"/>
      <c r="C599" s="49"/>
      <c r="D599" s="49"/>
      <c r="E599" s="49"/>
      <c r="F599" s="49"/>
      <c r="G599" s="49"/>
      <c r="H599" s="173"/>
      <c r="I599" s="49"/>
      <c r="J599" s="49"/>
      <c r="K599" s="49"/>
      <c r="L599" s="49"/>
      <c r="M599" s="49"/>
      <c r="N599" s="49"/>
      <c r="O599" s="49"/>
      <c r="P599" s="49"/>
      <c r="Q599" s="49"/>
      <c r="R599" s="49"/>
      <c r="S599" s="49"/>
      <c r="T599" s="49"/>
      <c r="U599" s="49"/>
      <c r="V599" s="49"/>
      <c r="W599" s="49"/>
      <c r="X599" s="49"/>
      <c r="Y599" s="49"/>
      <c r="Z599" s="49"/>
      <c r="AA599" s="49"/>
      <c r="AB599" s="49"/>
      <c r="AC599" s="49"/>
    </row>
    <row r="600" spans="1:29" ht="13">
      <c r="A600" s="47"/>
      <c r="B600" s="47"/>
      <c r="C600" s="49"/>
      <c r="D600" s="49"/>
      <c r="E600" s="49"/>
      <c r="F600" s="49"/>
      <c r="G600" s="49"/>
      <c r="H600" s="173"/>
      <c r="I600" s="49"/>
      <c r="J600" s="49"/>
      <c r="K600" s="49"/>
      <c r="L600" s="49"/>
      <c r="M600" s="49"/>
      <c r="N600" s="49"/>
      <c r="O600" s="49"/>
      <c r="P600" s="49"/>
      <c r="Q600" s="49"/>
      <c r="R600" s="49"/>
      <c r="S600" s="49"/>
      <c r="T600" s="49"/>
      <c r="U600" s="49"/>
      <c r="V600" s="49"/>
      <c r="W600" s="49"/>
      <c r="X600" s="49"/>
      <c r="Y600" s="49"/>
      <c r="Z600" s="49"/>
      <c r="AA600" s="49"/>
      <c r="AB600" s="49"/>
      <c r="AC600" s="49"/>
    </row>
    <row r="601" spans="1:29" ht="13">
      <c r="A601" s="47"/>
      <c r="B601" s="47"/>
      <c r="C601" s="49"/>
      <c r="D601" s="49"/>
      <c r="E601" s="49"/>
      <c r="F601" s="49"/>
      <c r="G601" s="49"/>
      <c r="H601" s="173"/>
      <c r="I601" s="49"/>
      <c r="J601" s="49"/>
      <c r="K601" s="49"/>
      <c r="L601" s="49"/>
      <c r="M601" s="49"/>
      <c r="N601" s="49"/>
      <c r="O601" s="49"/>
      <c r="P601" s="49"/>
      <c r="Q601" s="49"/>
      <c r="R601" s="49"/>
      <c r="S601" s="49"/>
      <c r="T601" s="49"/>
      <c r="U601" s="49"/>
      <c r="V601" s="49"/>
      <c r="W601" s="49"/>
      <c r="X601" s="49"/>
      <c r="Y601" s="49"/>
      <c r="Z601" s="49"/>
      <c r="AA601" s="49"/>
      <c r="AB601" s="49"/>
      <c r="AC601" s="49"/>
    </row>
    <row r="602" spans="1:29" ht="13">
      <c r="A602" s="47"/>
      <c r="B602" s="47"/>
      <c r="C602" s="49"/>
      <c r="D602" s="49"/>
      <c r="E602" s="49"/>
      <c r="F602" s="49"/>
      <c r="G602" s="49"/>
      <c r="H602" s="173"/>
      <c r="I602" s="49"/>
      <c r="J602" s="49"/>
      <c r="K602" s="49"/>
      <c r="L602" s="49"/>
      <c r="M602" s="49"/>
      <c r="N602" s="49"/>
      <c r="O602" s="49"/>
      <c r="P602" s="49"/>
      <c r="Q602" s="49"/>
      <c r="R602" s="49"/>
      <c r="S602" s="49"/>
      <c r="T602" s="49"/>
      <c r="U602" s="49"/>
      <c r="V602" s="49"/>
      <c r="W602" s="49"/>
      <c r="X602" s="49"/>
      <c r="Y602" s="49"/>
      <c r="Z602" s="49"/>
      <c r="AA602" s="49"/>
      <c r="AB602" s="49"/>
      <c r="AC602" s="49"/>
    </row>
    <row r="603" spans="1:29" ht="13">
      <c r="A603" s="47"/>
      <c r="B603" s="47"/>
      <c r="C603" s="49"/>
      <c r="D603" s="49"/>
      <c r="E603" s="49"/>
      <c r="F603" s="49"/>
      <c r="G603" s="49"/>
      <c r="H603" s="173"/>
      <c r="I603" s="49"/>
      <c r="J603" s="49"/>
      <c r="K603" s="49"/>
      <c r="L603" s="49"/>
      <c r="M603" s="49"/>
      <c r="N603" s="49"/>
      <c r="O603" s="49"/>
      <c r="P603" s="49"/>
      <c r="Q603" s="49"/>
      <c r="R603" s="49"/>
      <c r="S603" s="49"/>
      <c r="T603" s="49"/>
      <c r="U603" s="49"/>
      <c r="V603" s="49"/>
      <c r="W603" s="49"/>
      <c r="X603" s="49"/>
      <c r="Y603" s="49"/>
      <c r="Z603" s="49"/>
      <c r="AA603" s="49"/>
      <c r="AB603" s="49"/>
      <c r="AC603" s="49"/>
    </row>
    <row r="604" spans="1:29" ht="13">
      <c r="A604" s="47"/>
      <c r="B604" s="47"/>
      <c r="C604" s="49"/>
      <c r="D604" s="49"/>
      <c r="E604" s="49"/>
      <c r="F604" s="49"/>
      <c r="G604" s="49"/>
      <c r="H604" s="173"/>
      <c r="I604" s="49"/>
      <c r="J604" s="49"/>
      <c r="K604" s="49"/>
      <c r="L604" s="49"/>
      <c r="M604" s="49"/>
      <c r="N604" s="49"/>
      <c r="O604" s="49"/>
      <c r="P604" s="49"/>
      <c r="Q604" s="49"/>
      <c r="R604" s="49"/>
      <c r="S604" s="49"/>
      <c r="T604" s="49"/>
      <c r="U604" s="49"/>
      <c r="V604" s="49"/>
      <c r="W604" s="49"/>
      <c r="X604" s="49"/>
      <c r="Y604" s="49"/>
      <c r="Z604" s="49"/>
      <c r="AA604" s="49"/>
      <c r="AB604" s="49"/>
      <c r="AC604" s="49"/>
    </row>
    <row r="605" spans="1:29" ht="13">
      <c r="A605" s="47"/>
      <c r="B605" s="47"/>
      <c r="C605" s="49"/>
      <c r="D605" s="49"/>
      <c r="E605" s="49"/>
      <c r="F605" s="49"/>
      <c r="G605" s="49"/>
      <c r="H605" s="173"/>
      <c r="I605" s="49"/>
      <c r="J605" s="49"/>
      <c r="K605" s="49"/>
      <c r="L605" s="49"/>
      <c r="M605" s="49"/>
      <c r="N605" s="49"/>
      <c r="O605" s="49"/>
      <c r="P605" s="49"/>
      <c r="Q605" s="49"/>
      <c r="R605" s="49"/>
      <c r="S605" s="49"/>
      <c r="T605" s="49"/>
      <c r="U605" s="49"/>
      <c r="V605" s="49"/>
      <c r="W605" s="49"/>
      <c r="X605" s="49"/>
      <c r="Y605" s="49"/>
      <c r="Z605" s="49"/>
      <c r="AA605" s="49"/>
      <c r="AB605" s="49"/>
      <c r="AC605" s="49"/>
    </row>
    <row r="606" spans="1:29" ht="13">
      <c r="A606" s="47"/>
      <c r="B606" s="47"/>
      <c r="C606" s="49"/>
      <c r="D606" s="49"/>
      <c r="E606" s="49"/>
      <c r="F606" s="49"/>
      <c r="G606" s="49"/>
      <c r="H606" s="173"/>
      <c r="I606" s="49"/>
      <c r="J606" s="49"/>
      <c r="K606" s="49"/>
      <c r="L606" s="49"/>
      <c r="M606" s="49"/>
      <c r="N606" s="49"/>
      <c r="O606" s="49"/>
      <c r="P606" s="49"/>
      <c r="Q606" s="49"/>
      <c r="R606" s="49"/>
      <c r="S606" s="49"/>
      <c r="T606" s="49"/>
      <c r="U606" s="49"/>
      <c r="V606" s="49"/>
      <c r="W606" s="49"/>
      <c r="X606" s="49"/>
      <c r="Y606" s="49"/>
      <c r="Z606" s="49"/>
      <c r="AA606" s="49"/>
      <c r="AB606" s="49"/>
      <c r="AC606" s="49"/>
    </row>
    <row r="607" spans="1:29" ht="13">
      <c r="A607" s="47"/>
      <c r="B607" s="47"/>
      <c r="C607" s="49"/>
      <c r="D607" s="49"/>
      <c r="E607" s="49"/>
      <c r="F607" s="49"/>
      <c r="G607" s="49"/>
      <c r="H607" s="173"/>
      <c r="I607" s="49"/>
      <c r="J607" s="49"/>
      <c r="K607" s="49"/>
      <c r="L607" s="49"/>
      <c r="M607" s="49"/>
      <c r="N607" s="49"/>
      <c r="O607" s="49"/>
      <c r="P607" s="49"/>
      <c r="Q607" s="49"/>
      <c r="R607" s="49"/>
      <c r="S607" s="49"/>
      <c r="T607" s="49"/>
      <c r="U607" s="49"/>
      <c r="V607" s="49"/>
      <c r="W607" s="49"/>
      <c r="X607" s="49"/>
      <c r="Y607" s="49"/>
      <c r="Z607" s="49"/>
      <c r="AA607" s="49"/>
      <c r="AB607" s="49"/>
      <c r="AC607" s="49"/>
    </row>
    <row r="608" spans="1:29" ht="13">
      <c r="A608" s="47"/>
      <c r="B608" s="47"/>
      <c r="C608" s="49"/>
      <c r="D608" s="49"/>
      <c r="E608" s="49"/>
      <c r="F608" s="49"/>
      <c r="G608" s="49"/>
      <c r="H608" s="173"/>
      <c r="I608" s="49"/>
      <c r="J608" s="49"/>
      <c r="K608" s="49"/>
      <c r="L608" s="49"/>
      <c r="M608" s="49"/>
      <c r="N608" s="49"/>
      <c r="O608" s="49"/>
      <c r="P608" s="49"/>
      <c r="Q608" s="49"/>
      <c r="R608" s="49"/>
      <c r="S608" s="49"/>
      <c r="T608" s="49"/>
      <c r="U608" s="49"/>
      <c r="V608" s="49"/>
      <c r="W608" s="49"/>
      <c r="X608" s="49"/>
      <c r="Y608" s="49"/>
      <c r="Z608" s="49"/>
      <c r="AA608" s="49"/>
      <c r="AB608" s="49"/>
      <c r="AC608" s="49"/>
    </row>
    <row r="609" spans="1:29" ht="13">
      <c r="A609" s="47"/>
      <c r="B609" s="47"/>
      <c r="C609" s="49"/>
      <c r="D609" s="49"/>
      <c r="E609" s="49"/>
      <c r="F609" s="49"/>
      <c r="G609" s="49"/>
      <c r="H609" s="173"/>
      <c r="I609" s="49"/>
      <c r="J609" s="49"/>
      <c r="K609" s="49"/>
      <c r="L609" s="49"/>
      <c r="M609" s="49"/>
      <c r="N609" s="49"/>
      <c r="O609" s="49"/>
      <c r="P609" s="49"/>
      <c r="Q609" s="49"/>
      <c r="R609" s="49"/>
      <c r="S609" s="49"/>
      <c r="T609" s="49"/>
      <c r="U609" s="49"/>
      <c r="V609" s="49"/>
      <c r="W609" s="49"/>
      <c r="X609" s="49"/>
      <c r="Y609" s="49"/>
      <c r="Z609" s="49"/>
      <c r="AA609" s="49"/>
      <c r="AB609" s="49"/>
      <c r="AC609" s="49"/>
    </row>
    <row r="610" spans="1:29" ht="13">
      <c r="A610" s="47"/>
      <c r="B610" s="47"/>
      <c r="C610" s="49"/>
      <c r="D610" s="49"/>
      <c r="E610" s="49"/>
      <c r="F610" s="49"/>
      <c r="G610" s="49"/>
      <c r="H610" s="173"/>
      <c r="I610" s="49"/>
      <c r="J610" s="49"/>
      <c r="K610" s="49"/>
      <c r="L610" s="49"/>
      <c r="M610" s="49"/>
      <c r="N610" s="49"/>
      <c r="O610" s="49"/>
      <c r="P610" s="49"/>
      <c r="Q610" s="49"/>
      <c r="R610" s="49"/>
      <c r="S610" s="49"/>
      <c r="T610" s="49"/>
      <c r="U610" s="49"/>
      <c r="V610" s="49"/>
      <c r="W610" s="49"/>
      <c r="X610" s="49"/>
      <c r="Y610" s="49"/>
      <c r="Z610" s="49"/>
      <c r="AA610" s="49"/>
      <c r="AB610" s="49"/>
      <c r="AC610" s="49"/>
    </row>
    <row r="611" spans="1:29" ht="13">
      <c r="A611" s="47"/>
      <c r="B611" s="47"/>
      <c r="C611" s="49"/>
      <c r="D611" s="49"/>
      <c r="E611" s="49"/>
      <c r="F611" s="49"/>
      <c r="G611" s="49"/>
      <c r="H611" s="173"/>
      <c r="I611" s="49"/>
      <c r="J611" s="49"/>
      <c r="K611" s="49"/>
      <c r="L611" s="49"/>
      <c r="M611" s="49"/>
      <c r="N611" s="49"/>
      <c r="O611" s="49"/>
      <c r="P611" s="49"/>
      <c r="Q611" s="49"/>
      <c r="R611" s="49"/>
      <c r="S611" s="49"/>
      <c r="T611" s="49"/>
      <c r="U611" s="49"/>
      <c r="V611" s="49"/>
      <c r="W611" s="49"/>
      <c r="X611" s="49"/>
      <c r="Y611" s="49"/>
      <c r="Z611" s="49"/>
      <c r="AA611" s="49"/>
      <c r="AB611" s="49"/>
      <c r="AC611" s="49"/>
    </row>
    <row r="612" spans="1:29" ht="13">
      <c r="A612" s="47"/>
      <c r="B612" s="47"/>
      <c r="C612" s="49"/>
      <c r="D612" s="49"/>
      <c r="E612" s="49"/>
      <c r="F612" s="49"/>
      <c r="G612" s="49"/>
      <c r="H612" s="173"/>
      <c r="I612" s="49"/>
      <c r="J612" s="49"/>
      <c r="K612" s="49"/>
      <c r="L612" s="49"/>
      <c r="M612" s="49"/>
      <c r="N612" s="49"/>
      <c r="O612" s="49"/>
      <c r="P612" s="49"/>
      <c r="Q612" s="49"/>
      <c r="R612" s="49"/>
      <c r="S612" s="49"/>
      <c r="T612" s="49"/>
      <c r="U612" s="49"/>
      <c r="V612" s="49"/>
      <c r="W612" s="49"/>
      <c r="X612" s="49"/>
      <c r="Y612" s="49"/>
      <c r="Z612" s="49"/>
      <c r="AA612" s="49"/>
      <c r="AB612" s="49"/>
      <c r="AC612" s="49"/>
    </row>
    <row r="613" spans="1:29" ht="13">
      <c r="A613" s="47"/>
      <c r="B613" s="47"/>
      <c r="C613" s="49"/>
      <c r="D613" s="49"/>
      <c r="E613" s="49"/>
      <c r="F613" s="49"/>
      <c r="G613" s="49"/>
      <c r="H613" s="173"/>
      <c r="I613" s="49"/>
      <c r="J613" s="49"/>
      <c r="K613" s="49"/>
      <c r="L613" s="49"/>
      <c r="M613" s="49"/>
      <c r="N613" s="49"/>
      <c r="O613" s="49"/>
      <c r="P613" s="49"/>
      <c r="Q613" s="49"/>
      <c r="R613" s="49"/>
      <c r="S613" s="49"/>
      <c r="T613" s="49"/>
      <c r="U613" s="49"/>
      <c r="V613" s="49"/>
      <c r="W613" s="49"/>
      <c r="X613" s="49"/>
      <c r="Y613" s="49"/>
      <c r="Z613" s="49"/>
      <c r="AA613" s="49"/>
      <c r="AB613" s="49"/>
      <c r="AC613" s="49"/>
    </row>
    <row r="614" spans="1:29" ht="13">
      <c r="A614" s="47"/>
      <c r="B614" s="47"/>
      <c r="C614" s="49"/>
      <c r="D614" s="49"/>
      <c r="E614" s="49"/>
      <c r="F614" s="49"/>
      <c r="G614" s="49"/>
      <c r="H614" s="173"/>
      <c r="I614" s="49"/>
      <c r="J614" s="49"/>
      <c r="K614" s="49"/>
      <c r="L614" s="49"/>
      <c r="M614" s="49"/>
      <c r="N614" s="49"/>
      <c r="O614" s="49"/>
      <c r="P614" s="49"/>
      <c r="Q614" s="49"/>
      <c r="R614" s="49"/>
      <c r="S614" s="49"/>
      <c r="T614" s="49"/>
      <c r="U614" s="49"/>
      <c r="V614" s="49"/>
      <c r="W614" s="49"/>
      <c r="X614" s="49"/>
      <c r="Y614" s="49"/>
      <c r="Z614" s="49"/>
      <c r="AA614" s="49"/>
      <c r="AB614" s="49"/>
      <c r="AC614" s="49"/>
    </row>
    <row r="615" spans="1:29" ht="13">
      <c r="A615" s="47"/>
      <c r="B615" s="47"/>
      <c r="C615" s="49"/>
      <c r="D615" s="49"/>
      <c r="E615" s="49"/>
      <c r="F615" s="49"/>
      <c r="G615" s="49"/>
      <c r="H615" s="173"/>
      <c r="I615" s="49"/>
      <c r="J615" s="49"/>
      <c r="K615" s="49"/>
      <c r="L615" s="49"/>
      <c r="M615" s="49"/>
      <c r="N615" s="49"/>
      <c r="O615" s="49"/>
      <c r="P615" s="49"/>
      <c r="Q615" s="49"/>
      <c r="R615" s="49"/>
      <c r="S615" s="49"/>
      <c r="T615" s="49"/>
      <c r="U615" s="49"/>
      <c r="V615" s="49"/>
      <c r="W615" s="49"/>
      <c r="X615" s="49"/>
      <c r="Y615" s="49"/>
      <c r="Z615" s="49"/>
      <c r="AA615" s="49"/>
      <c r="AB615" s="49"/>
      <c r="AC615" s="49"/>
    </row>
    <row r="616" spans="1:29" ht="13">
      <c r="A616" s="47"/>
      <c r="B616" s="47"/>
      <c r="C616" s="49"/>
      <c r="D616" s="49"/>
      <c r="E616" s="49"/>
      <c r="F616" s="49"/>
      <c r="G616" s="49"/>
      <c r="H616" s="173"/>
      <c r="I616" s="49"/>
      <c r="J616" s="49"/>
      <c r="K616" s="49"/>
      <c r="L616" s="49"/>
      <c r="M616" s="49"/>
      <c r="N616" s="49"/>
      <c r="O616" s="49"/>
      <c r="P616" s="49"/>
      <c r="Q616" s="49"/>
      <c r="R616" s="49"/>
      <c r="S616" s="49"/>
      <c r="T616" s="49"/>
      <c r="U616" s="49"/>
      <c r="V616" s="49"/>
      <c r="W616" s="49"/>
      <c r="X616" s="49"/>
      <c r="Y616" s="49"/>
      <c r="Z616" s="49"/>
      <c r="AA616" s="49"/>
      <c r="AB616" s="49"/>
      <c r="AC616" s="49"/>
    </row>
    <row r="617" spans="1:29" ht="13">
      <c r="A617" s="47"/>
      <c r="B617" s="47"/>
      <c r="C617" s="49"/>
      <c r="D617" s="49"/>
      <c r="E617" s="49"/>
      <c r="F617" s="49"/>
      <c r="G617" s="49"/>
      <c r="H617" s="173"/>
      <c r="I617" s="49"/>
      <c r="J617" s="49"/>
      <c r="K617" s="49"/>
      <c r="L617" s="49"/>
      <c r="M617" s="49"/>
      <c r="N617" s="49"/>
      <c r="O617" s="49"/>
      <c r="P617" s="49"/>
      <c r="Q617" s="49"/>
      <c r="R617" s="49"/>
      <c r="S617" s="49"/>
      <c r="T617" s="49"/>
      <c r="U617" s="49"/>
      <c r="V617" s="49"/>
      <c r="W617" s="49"/>
      <c r="X617" s="49"/>
      <c r="Y617" s="49"/>
      <c r="Z617" s="49"/>
      <c r="AA617" s="49"/>
      <c r="AB617" s="49"/>
      <c r="AC617" s="49"/>
    </row>
    <row r="618" spans="1:29" ht="13">
      <c r="A618" s="47"/>
      <c r="B618" s="47"/>
      <c r="C618" s="49"/>
      <c r="D618" s="49"/>
      <c r="E618" s="49"/>
      <c r="F618" s="49"/>
      <c r="G618" s="49"/>
      <c r="H618" s="173"/>
      <c r="I618" s="49"/>
      <c r="J618" s="49"/>
      <c r="K618" s="49"/>
      <c r="L618" s="49"/>
      <c r="M618" s="49"/>
      <c r="N618" s="49"/>
      <c r="O618" s="49"/>
      <c r="P618" s="49"/>
      <c r="Q618" s="49"/>
      <c r="R618" s="49"/>
      <c r="S618" s="49"/>
      <c r="T618" s="49"/>
      <c r="U618" s="49"/>
      <c r="V618" s="49"/>
      <c r="W618" s="49"/>
      <c r="X618" s="49"/>
      <c r="Y618" s="49"/>
      <c r="Z618" s="49"/>
      <c r="AA618" s="49"/>
      <c r="AB618" s="49"/>
      <c r="AC618" s="49"/>
    </row>
    <row r="619" spans="1:29" ht="13">
      <c r="A619" s="47"/>
      <c r="B619" s="47"/>
      <c r="C619" s="49"/>
      <c r="D619" s="49"/>
      <c r="E619" s="49"/>
      <c r="F619" s="49"/>
      <c r="G619" s="49"/>
      <c r="H619" s="173"/>
      <c r="I619" s="49"/>
      <c r="J619" s="49"/>
      <c r="K619" s="49"/>
      <c r="L619" s="49"/>
      <c r="M619" s="49"/>
      <c r="N619" s="49"/>
      <c r="O619" s="49"/>
      <c r="P619" s="49"/>
      <c r="Q619" s="49"/>
      <c r="R619" s="49"/>
      <c r="S619" s="49"/>
      <c r="T619" s="49"/>
      <c r="U619" s="49"/>
      <c r="V619" s="49"/>
      <c r="W619" s="49"/>
      <c r="X619" s="49"/>
      <c r="Y619" s="49"/>
      <c r="Z619" s="49"/>
      <c r="AA619" s="49"/>
      <c r="AB619" s="49"/>
      <c r="AC619" s="49"/>
    </row>
    <row r="620" spans="1:29" ht="13">
      <c r="A620" s="47"/>
      <c r="B620" s="47"/>
      <c r="C620" s="49"/>
      <c r="D620" s="49"/>
      <c r="E620" s="49"/>
      <c r="F620" s="49"/>
      <c r="G620" s="49"/>
      <c r="H620" s="173"/>
      <c r="I620" s="49"/>
      <c r="J620" s="49"/>
      <c r="K620" s="49"/>
      <c r="L620" s="49"/>
      <c r="M620" s="49"/>
      <c r="N620" s="49"/>
      <c r="O620" s="49"/>
      <c r="P620" s="49"/>
      <c r="Q620" s="49"/>
      <c r="R620" s="49"/>
      <c r="S620" s="49"/>
      <c r="T620" s="49"/>
      <c r="U620" s="49"/>
      <c r="V620" s="49"/>
      <c r="W620" s="49"/>
      <c r="X620" s="49"/>
      <c r="Y620" s="49"/>
      <c r="Z620" s="49"/>
      <c r="AA620" s="49"/>
      <c r="AB620" s="49"/>
      <c r="AC620" s="49"/>
    </row>
    <row r="621" spans="1:29" ht="13">
      <c r="A621" s="47"/>
      <c r="B621" s="47"/>
      <c r="C621" s="49"/>
      <c r="D621" s="49"/>
      <c r="E621" s="49"/>
      <c r="F621" s="49"/>
      <c r="G621" s="49"/>
      <c r="H621" s="173"/>
      <c r="I621" s="49"/>
      <c r="J621" s="49"/>
      <c r="K621" s="49"/>
      <c r="L621" s="49"/>
      <c r="M621" s="49"/>
      <c r="N621" s="49"/>
      <c r="O621" s="49"/>
      <c r="P621" s="49"/>
      <c r="Q621" s="49"/>
      <c r="R621" s="49"/>
      <c r="S621" s="49"/>
      <c r="T621" s="49"/>
      <c r="U621" s="49"/>
      <c r="V621" s="49"/>
      <c r="W621" s="49"/>
      <c r="X621" s="49"/>
      <c r="Y621" s="49"/>
      <c r="Z621" s="49"/>
      <c r="AA621" s="49"/>
      <c r="AB621" s="49"/>
      <c r="AC621" s="49"/>
    </row>
    <row r="622" spans="1:29" ht="13">
      <c r="A622" s="47"/>
      <c r="B622" s="47"/>
      <c r="C622" s="49"/>
      <c r="D622" s="49"/>
      <c r="E622" s="49"/>
      <c r="F622" s="49"/>
      <c r="G622" s="49"/>
      <c r="H622" s="173"/>
      <c r="I622" s="49"/>
      <c r="J622" s="49"/>
      <c r="K622" s="49"/>
      <c r="L622" s="49"/>
      <c r="M622" s="49"/>
      <c r="N622" s="49"/>
      <c r="O622" s="49"/>
      <c r="P622" s="49"/>
      <c r="Q622" s="49"/>
      <c r="R622" s="49"/>
      <c r="S622" s="49"/>
      <c r="T622" s="49"/>
      <c r="U622" s="49"/>
      <c r="V622" s="49"/>
      <c r="W622" s="49"/>
      <c r="X622" s="49"/>
      <c r="Y622" s="49"/>
      <c r="Z622" s="49"/>
      <c r="AA622" s="49"/>
      <c r="AB622" s="49"/>
      <c r="AC622" s="49"/>
    </row>
    <row r="623" spans="1:29" ht="13">
      <c r="A623" s="47"/>
      <c r="B623" s="47"/>
      <c r="C623" s="49"/>
      <c r="D623" s="49"/>
      <c r="E623" s="49"/>
      <c r="F623" s="49"/>
      <c r="G623" s="49"/>
      <c r="H623" s="173"/>
      <c r="I623" s="49"/>
      <c r="J623" s="49"/>
      <c r="K623" s="49"/>
      <c r="L623" s="49"/>
      <c r="M623" s="49"/>
      <c r="N623" s="49"/>
      <c r="O623" s="49"/>
      <c r="P623" s="49"/>
      <c r="Q623" s="49"/>
      <c r="R623" s="49"/>
      <c r="S623" s="49"/>
      <c r="T623" s="49"/>
      <c r="U623" s="49"/>
      <c r="V623" s="49"/>
      <c r="W623" s="49"/>
      <c r="X623" s="49"/>
      <c r="Y623" s="49"/>
      <c r="Z623" s="49"/>
      <c r="AA623" s="49"/>
      <c r="AB623" s="49"/>
      <c r="AC623" s="49"/>
    </row>
    <row r="624" spans="1:29" ht="13">
      <c r="A624" s="47"/>
      <c r="B624" s="47"/>
      <c r="C624" s="49"/>
      <c r="D624" s="49"/>
      <c r="E624" s="49"/>
      <c r="F624" s="49"/>
      <c r="G624" s="49"/>
      <c r="H624" s="173"/>
      <c r="I624" s="49"/>
      <c r="J624" s="49"/>
      <c r="K624" s="49"/>
      <c r="L624" s="49"/>
      <c r="M624" s="49"/>
      <c r="N624" s="49"/>
      <c r="O624" s="49"/>
      <c r="P624" s="49"/>
      <c r="Q624" s="49"/>
      <c r="R624" s="49"/>
      <c r="S624" s="49"/>
      <c r="T624" s="49"/>
      <c r="U624" s="49"/>
      <c r="V624" s="49"/>
      <c r="W624" s="49"/>
      <c r="X624" s="49"/>
      <c r="Y624" s="49"/>
      <c r="Z624" s="49"/>
      <c r="AA624" s="49"/>
      <c r="AB624" s="49"/>
      <c r="AC624" s="49"/>
    </row>
    <row r="625" spans="1:29" ht="13">
      <c r="A625" s="47"/>
      <c r="B625" s="47"/>
      <c r="C625" s="49"/>
      <c r="D625" s="49"/>
      <c r="E625" s="49"/>
      <c r="F625" s="49"/>
      <c r="G625" s="49"/>
      <c r="H625" s="173"/>
      <c r="I625" s="49"/>
      <c r="J625" s="49"/>
      <c r="K625" s="49"/>
      <c r="L625" s="49"/>
      <c r="M625" s="49"/>
      <c r="N625" s="49"/>
      <c r="O625" s="49"/>
      <c r="P625" s="49"/>
      <c r="Q625" s="49"/>
      <c r="R625" s="49"/>
      <c r="S625" s="49"/>
      <c r="T625" s="49"/>
      <c r="U625" s="49"/>
      <c r="V625" s="49"/>
      <c r="W625" s="49"/>
      <c r="X625" s="49"/>
      <c r="Y625" s="49"/>
      <c r="Z625" s="49"/>
      <c r="AA625" s="49"/>
      <c r="AB625" s="49"/>
      <c r="AC625" s="49"/>
    </row>
    <row r="626" spans="1:29" ht="13">
      <c r="A626" s="47"/>
      <c r="B626" s="47"/>
      <c r="C626" s="49"/>
      <c r="D626" s="49"/>
      <c r="E626" s="49"/>
      <c r="F626" s="49"/>
      <c r="G626" s="49"/>
      <c r="H626" s="173"/>
      <c r="I626" s="49"/>
      <c r="J626" s="49"/>
      <c r="K626" s="49"/>
      <c r="L626" s="49"/>
      <c r="M626" s="49"/>
      <c r="N626" s="49"/>
      <c r="O626" s="49"/>
      <c r="P626" s="49"/>
      <c r="Q626" s="49"/>
      <c r="R626" s="49"/>
      <c r="S626" s="49"/>
      <c r="T626" s="49"/>
      <c r="U626" s="49"/>
      <c r="V626" s="49"/>
      <c r="W626" s="49"/>
      <c r="X626" s="49"/>
      <c r="Y626" s="49"/>
      <c r="Z626" s="49"/>
      <c r="AA626" s="49"/>
      <c r="AB626" s="49"/>
      <c r="AC626" s="49"/>
    </row>
    <row r="627" spans="1:29" ht="13">
      <c r="A627" s="47"/>
      <c r="B627" s="47"/>
      <c r="C627" s="49"/>
      <c r="D627" s="49"/>
      <c r="E627" s="49"/>
      <c r="F627" s="49"/>
      <c r="G627" s="49"/>
      <c r="H627" s="173"/>
      <c r="I627" s="49"/>
      <c r="J627" s="49"/>
      <c r="K627" s="49"/>
      <c r="L627" s="49"/>
      <c r="M627" s="49"/>
      <c r="N627" s="49"/>
      <c r="O627" s="49"/>
      <c r="P627" s="49"/>
      <c r="Q627" s="49"/>
      <c r="R627" s="49"/>
      <c r="S627" s="49"/>
      <c r="T627" s="49"/>
      <c r="U627" s="49"/>
      <c r="V627" s="49"/>
      <c r="W627" s="49"/>
      <c r="X627" s="49"/>
      <c r="Y627" s="49"/>
      <c r="Z627" s="49"/>
      <c r="AA627" s="49"/>
      <c r="AB627" s="49"/>
      <c r="AC627" s="49"/>
    </row>
    <row r="628" spans="1:29" ht="13">
      <c r="A628" s="47"/>
      <c r="B628" s="47"/>
      <c r="C628" s="49"/>
      <c r="D628" s="49"/>
      <c r="E628" s="49"/>
      <c r="F628" s="49"/>
      <c r="G628" s="49"/>
      <c r="H628" s="173"/>
      <c r="I628" s="49"/>
      <c r="J628" s="49"/>
      <c r="K628" s="49"/>
      <c r="L628" s="49"/>
      <c r="M628" s="49"/>
      <c r="N628" s="49"/>
      <c r="O628" s="49"/>
      <c r="P628" s="49"/>
      <c r="Q628" s="49"/>
      <c r="R628" s="49"/>
      <c r="S628" s="49"/>
      <c r="T628" s="49"/>
      <c r="U628" s="49"/>
      <c r="V628" s="49"/>
      <c r="W628" s="49"/>
      <c r="X628" s="49"/>
      <c r="Y628" s="49"/>
      <c r="Z628" s="49"/>
      <c r="AA628" s="49"/>
      <c r="AB628" s="49"/>
      <c r="AC628" s="49"/>
    </row>
    <row r="629" spans="1:29" ht="13">
      <c r="A629" s="47"/>
      <c r="B629" s="47"/>
      <c r="C629" s="49"/>
      <c r="D629" s="49"/>
      <c r="E629" s="49"/>
      <c r="F629" s="49"/>
      <c r="G629" s="49"/>
      <c r="H629" s="173"/>
      <c r="I629" s="49"/>
      <c r="J629" s="49"/>
      <c r="K629" s="49"/>
      <c r="L629" s="49"/>
      <c r="M629" s="49"/>
      <c r="N629" s="49"/>
      <c r="O629" s="49"/>
      <c r="P629" s="49"/>
      <c r="Q629" s="49"/>
      <c r="R629" s="49"/>
      <c r="S629" s="49"/>
      <c r="T629" s="49"/>
      <c r="U629" s="49"/>
      <c r="V629" s="49"/>
      <c r="W629" s="49"/>
      <c r="X629" s="49"/>
      <c r="Y629" s="49"/>
      <c r="Z629" s="49"/>
      <c r="AA629" s="49"/>
      <c r="AB629" s="49"/>
      <c r="AC629" s="49"/>
    </row>
    <row r="630" spans="1:29" ht="13">
      <c r="A630" s="47"/>
      <c r="B630" s="47"/>
      <c r="C630" s="49"/>
      <c r="D630" s="49"/>
      <c r="E630" s="49"/>
      <c r="F630" s="49"/>
      <c r="G630" s="49"/>
      <c r="H630" s="173"/>
      <c r="I630" s="49"/>
      <c r="J630" s="49"/>
      <c r="K630" s="49"/>
      <c r="L630" s="49"/>
      <c r="M630" s="49"/>
      <c r="N630" s="49"/>
      <c r="O630" s="49"/>
      <c r="P630" s="49"/>
      <c r="Q630" s="49"/>
      <c r="R630" s="49"/>
      <c r="S630" s="49"/>
      <c r="T630" s="49"/>
      <c r="U630" s="49"/>
      <c r="V630" s="49"/>
      <c r="W630" s="49"/>
      <c r="X630" s="49"/>
      <c r="Y630" s="49"/>
      <c r="Z630" s="49"/>
      <c r="AA630" s="49"/>
      <c r="AB630" s="49"/>
      <c r="AC630" s="49"/>
    </row>
    <row r="631" spans="1:29" ht="13">
      <c r="A631" s="47"/>
      <c r="B631" s="47"/>
      <c r="C631" s="49"/>
      <c r="D631" s="49"/>
      <c r="E631" s="49"/>
      <c r="F631" s="49"/>
      <c r="G631" s="49"/>
      <c r="H631" s="173"/>
      <c r="I631" s="49"/>
      <c r="J631" s="49"/>
      <c r="K631" s="49"/>
      <c r="L631" s="49"/>
      <c r="M631" s="49"/>
      <c r="N631" s="49"/>
      <c r="O631" s="49"/>
      <c r="P631" s="49"/>
      <c r="Q631" s="49"/>
      <c r="R631" s="49"/>
      <c r="S631" s="49"/>
      <c r="T631" s="49"/>
      <c r="U631" s="49"/>
      <c r="V631" s="49"/>
      <c r="W631" s="49"/>
      <c r="X631" s="49"/>
      <c r="Y631" s="49"/>
      <c r="Z631" s="49"/>
      <c r="AA631" s="49"/>
      <c r="AB631" s="49"/>
      <c r="AC631" s="49"/>
    </row>
    <row r="632" spans="1:29" ht="13">
      <c r="A632" s="47"/>
      <c r="B632" s="47"/>
      <c r="C632" s="49"/>
      <c r="D632" s="49"/>
      <c r="E632" s="49"/>
      <c r="F632" s="49"/>
      <c r="G632" s="49"/>
      <c r="H632" s="173"/>
      <c r="I632" s="49"/>
      <c r="J632" s="49"/>
      <c r="K632" s="49"/>
      <c r="L632" s="49"/>
      <c r="M632" s="49"/>
      <c r="N632" s="49"/>
      <c r="O632" s="49"/>
      <c r="P632" s="49"/>
      <c r="Q632" s="49"/>
      <c r="R632" s="49"/>
      <c r="S632" s="49"/>
      <c r="T632" s="49"/>
      <c r="U632" s="49"/>
      <c r="V632" s="49"/>
      <c r="W632" s="49"/>
      <c r="X632" s="49"/>
      <c r="Y632" s="49"/>
      <c r="Z632" s="49"/>
      <c r="AA632" s="49"/>
      <c r="AB632" s="49"/>
      <c r="AC632" s="49"/>
    </row>
    <row r="633" spans="1:29" ht="13">
      <c r="A633" s="47"/>
      <c r="B633" s="47"/>
      <c r="C633" s="49"/>
      <c r="D633" s="49"/>
      <c r="E633" s="49"/>
      <c r="F633" s="49"/>
      <c r="G633" s="49"/>
      <c r="H633" s="173"/>
      <c r="I633" s="49"/>
      <c r="J633" s="49"/>
      <c r="K633" s="49"/>
      <c r="L633" s="49"/>
      <c r="M633" s="49"/>
      <c r="N633" s="49"/>
      <c r="O633" s="49"/>
      <c r="P633" s="49"/>
      <c r="Q633" s="49"/>
      <c r="R633" s="49"/>
      <c r="S633" s="49"/>
      <c r="T633" s="49"/>
      <c r="U633" s="49"/>
      <c r="V633" s="49"/>
      <c r="W633" s="49"/>
      <c r="X633" s="49"/>
      <c r="Y633" s="49"/>
      <c r="Z633" s="49"/>
      <c r="AA633" s="49"/>
      <c r="AB633" s="49"/>
      <c r="AC633" s="49"/>
    </row>
    <row r="634" spans="1:29" ht="13">
      <c r="A634" s="47"/>
      <c r="B634" s="47"/>
      <c r="C634" s="49"/>
      <c r="D634" s="49"/>
      <c r="E634" s="49"/>
      <c r="F634" s="49"/>
      <c r="G634" s="49"/>
      <c r="H634" s="173"/>
      <c r="I634" s="49"/>
      <c r="J634" s="49"/>
      <c r="K634" s="49"/>
      <c r="L634" s="49"/>
      <c r="M634" s="49"/>
      <c r="N634" s="49"/>
      <c r="O634" s="49"/>
      <c r="P634" s="49"/>
      <c r="Q634" s="49"/>
      <c r="R634" s="49"/>
      <c r="S634" s="49"/>
      <c r="T634" s="49"/>
      <c r="U634" s="49"/>
      <c r="V634" s="49"/>
      <c r="W634" s="49"/>
      <c r="X634" s="49"/>
      <c r="Y634" s="49"/>
      <c r="Z634" s="49"/>
      <c r="AA634" s="49"/>
      <c r="AB634" s="49"/>
      <c r="AC634" s="49"/>
    </row>
    <row r="635" spans="1:29" ht="13">
      <c r="A635" s="47"/>
      <c r="B635" s="47"/>
      <c r="C635" s="49"/>
      <c r="D635" s="49"/>
      <c r="E635" s="49"/>
      <c r="F635" s="49"/>
      <c r="G635" s="49"/>
      <c r="H635" s="173"/>
      <c r="I635" s="49"/>
      <c r="J635" s="49"/>
      <c r="K635" s="49"/>
      <c r="L635" s="49"/>
      <c r="M635" s="49"/>
      <c r="N635" s="49"/>
      <c r="O635" s="49"/>
      <c r="P635" s="49"/>
      <c r="Q635" s="49"/>
      <c r="R635" s="49"/>
      <c r="S635" s="49"/>
      <c r="T635" s="49"/>
      <c r="U635" s="49"/>
      <c r="V635" s="49"/>
      <c r="W635" s="49"/>
      <c r="X635" s="49"/>
      <c r="Y635" s="49"/>
      <c r="Z635" s="49"/>
      <c r="AA635" s="49"/>
      <c r="AB635" s="49"/>
      <c r="AC635" s="49"/>
    </row>
    <row r="636" spans="1:29" ht="13">
      <c r="A636" s="47"/>
      <c r="B636" s="47"/>
      <c r="C636" s="49"/>
      <c r="D636" s="49"/>
      <c r="E636" s="49"/>
      <c r="F636" s="49"/>
      <c r="G636" s="49"/>
      <c r="H636" s="173"/>
      <c r="I636" s="49"/>
      <c r="J636" s="49"/>
      <c r="K636" s="49"/>
      <c r="L636" s="49"/>
      <c r="M636" s="49"/>
      <c r="N636" s="49"/>
      <c r="O636" s="49"/>
      <c r="P636" s="49"/>
      <c r="Q636" s="49"/>
      <c r="R636" s="49"/>
      <c r="S636" s="49"/>
      <c r="T636" s="49"/>
      <c r="U636" s="49"/>
      <c r="V636" s="49"/>
      <c r="W636" s="49"/>
      <c r="X636" s="49"/>
      <c r="Y636" s="49"/>
      <c r="Z636" s="49"/>
      <c r="AA636" s="49"/>
      <c r="AB636" s="49"/>
      <c r="AC636" s="49"/>
    </row>
    <row r="637" spans="1:29" ht="13">
      <c r="A637" s="47"/>
      <c r="B637" s="47"/>
      <c r="C637" s="49"/>
      <c r="D637" s="49"/>
      <c r="E637" s="49"/>
      <c r="F637" s="49"/>
      <c r="G637" s="49"/>
      <c r="H637" s="173"/>
      <c r="I637" s="49"/>
      <c r="J637" s="49"/>
      <c r="K637" s="49"/>
      <c r="L637" s="49"/>
      <c r="M637" s="49"/>
      <c r="N637" s="49"/>
      <c r="O637" s="49"/>
      <c r="P637" s="49"/>
      <c r="Q637" s="49"/>
      <c r="R637" s="49"/>
      <c r="S637" s="49"/>
      <c r="T637" s="49"/>
      <c r="U637" s="49"/>
      <c r="V637" s="49"/>
      <c r="W637" s="49"/>
      <c r="X637" s="49"/>
      <c r="Y637" s="49"/>
      <c r="Z637" s="49"/>
      <c r="AA637" s="49"/>
      <c r="AB637" s="49"/>
      <c r="AC637" s="49"/>
    </row>
    <row r="638" spans="1:29" ht="13">
      <c r="A638" s="47"/>
      <c r="B638" s="47"/>
      <c r="C638" s="49"/>
      <c r="D638" s="49"/>
      <c r="E638" s="49"/>
      <c r="F638" s="49"/>
      <c r="G638" s="49"/>
      <c r="H638" s="173"/>
      <c r="I638" s="49"/>
      <c r="J638" s="49"/>
      <c r="K638" s="49"/>
      <c r="L638" s="49"/>
      <c r="M638" s="49"/>
      <c r="N638" s="49"/>
      <c r="O638" s="49"/>
      <c r="P638" s="49"/>
      <c r="Q638" s="49"/>
      <c r="R638" s="49"/>
      <c r="S638" s="49"/>
      <c r="T638" s="49"/>
      <c r="U638" s="49"/>
      <c r="V638" s="49"/>
      <c r="W638" s="49"/>
      <c r="X638" s="49"/>
      <c r="Y638" s="49"/>
      <c r="Z638" s="49"/>
      <c r="AA638" s="49"/>
      <c r="AB638" s="49"/>
      <c r="AC638" s="49"/>
    </row>
    <row r="639" spans="1:29" ht="13">
      <c r="A639" s="47"/>
      <c r="B639" s="47"/>
      <c r="C639" s="49"/>
      <c r="D639" s="49"/>
      <c r="E639" s="49"/>
      <c r="F639" s="49"/>
      <c r="G639" s="49"/>
      <c r="H639" s="173"/>
      <c r="I639" s="49"/>
      <c r="J639" s="49"/>
      <c r="K639" s="49"/>
      <c r="L639" s="49"/>
      <c r="M639" s="49"/>
      <c r="N639" s="49"/>
      <c r="O639" s="49"/>
      <c r="P639" s="49"/>
      <c r="Q639" s="49"/>
      <c r="R639" s="49"/>
      <c r="S639" s="49"/>
      <c r="T639" s="49"/>
      <c r="U639" s="49"/>
      <c r="V639" s="49"/>
      <c r="W639" s="49"/>
      <c r="X639" s="49"/>
      <c r="Y639" s="49"/>
      <c r="Z639" s="49"/>
      <c r="AA639" s="49"/>
      <c r="AB639" s="49"/>
      <c r="AC639" s="49"/>
    </row>
    <row r="640" spans="1:29" ht="13">
      <c r="A640" s="47"/>
      <c r="B640" s="47"/>
      <c r="C640" s="49"/>
      <c r="D640" s="49"/>
      <c r="E640" s="49"/>
      <c r="F640" s="49"/>
      <c r="G640" s="49"/>
      <c r="H640" s="173"/>
      <c r="I640" s="49"/>
      <c r="J640" s="49"/>
      <c r="K640" s="49"/>
      <c r="L640" s="49"/>
      <c r="M640" s="49"/>
      <c r="N640" s="49"/>
      <c r="O640" s="49"/>
      <c r="P640" s="49"/>
      <c r="Q640" s="49"/>
      <c r="R640" s="49"/>
      <c r="S640" s="49"/>
      <c r="T640" s="49"/>
      <c r="U640" s="49"/>
      <c r="V640" s="49"/>
      <c r="W640" s="49"/>
      <c r="X640" s="49"/>
      <c r="Y640" s="49"/>
      <c r="Z640" s="49"/>
      <c r="AA640" s="49"/>
      <c r="AB640" s="49"/>
      <c r="AC640" s="49"/>
    </row>
    <row r="641" spans="1:29" ht="13">
      <c r="A641" s="47"/>
      <c r="B641" s="47"/>
      <c r="C641" s="49"/>
      <c r="D641" s="49"/>
      <c r="E641" s="49"/>
      <c r="F641" s="49"/>
      <c r="G641" s="49"/>
      <c r="H641" s="173"/>
      <c r="I641" s="49"/>
      <c r="J641" s="49"/>
      <c r="K641" s="49"/>
      <c r="L641" s="49"/>
      <c r="M641" s="49"/>
      <c r="N641" s="49"/>
      <c r="O641" s="49"/>
      <c r="P641" s="49"/>
      <c r="Q641" s="49"/>
      <c r="R641" s="49"/>
      <c r="S641" s="49"/>
      <c r="T641" s="49"/>
      <c r="U641" s="49"/>
      <c r="V641" s="49"/>
      <c r="W641" s="49"/>
      <c r="X641" s="49"/>
      <c r="Y641" s="49"/>
      <c r="Z641" s="49"/>
      <c r="AA641" s="49"/>
      <c r="AB641" s="49"/>
      <c r="AC641" s="49"/>
    </row>
    <row r="642" spans="1:29" ht="13">
      <c r="A642" s="47"/>
      <c r="B642" s="47"/>
      <c r="C642" s="49"/>
      <c r="D642" s="49"/>
      <c r="E642" s="49"/>
      <c r="F642" s="49"/>
      <c r="G642" s="49"/>
      <c r="H642" s="173"/>
      <c r="I642" s="49"/>
      <c r="J642" s="49"/>
      <c r="K642" s="49"/>
      <c r="L642" s="49"/>
      <c r="M642" s="49"/>
      <c r="N642" s="49"/>
      <c r="O642" s="49"/>
      <c r="P642" s="49"/>
      <c r="Q642" s="49"/>
      <c r="R642" s="49"/>
      <c r="S642" s="49"/>
      <c r="T642" s="49"/>
      <c r="U642" s="49"/>
      <c r="V642" s="49"/>
      <c r="W642" s="49"/>
      <c r="X642" s="49"/>
      <c r="Y642" s="49"/>
      <c r="Z642" s="49"/>
      <c r="AA642" s="49"/>
      <c r="AB642" s="49"/>
      <c r="AC642" s="49"/>
    </row>
    <row r="643" spans="1:29" ht="13">
      <c r="A643" s="47"/>
      <c r="B643" s="47"/>
      <c r="C643" s="49"/>
      <c r="D643" s="49"/>
      <c r="E643" s="49"/>
      <c r="F643" s="49"/>
      <c r="G643" s="49"/>
      <c r="H643" s="173"/>
      <c r="I643" s="49"/>
      <c r="J643" s="49"/>
      <c r="K643" s="49"/>
      <c r="L643" s="49"/>
      <c r="M643" s="49"/>
      <c r="N643" s="49"/>
      <c r="O643" s="49"/>
      <c r="P643" s="49"/>
      <c r="Q643" s="49"/>
      <c r="R643" s="49"/>
      <c r="S643" s="49"/>
      <c r="T643" s="49"/>
      <c r="U643" s="49"/>
      <c r="V643" s="49"/>
      <c r="W643" s="49"/>
      <c r="X643" s="49"/>
      <c r="Y643" s="49"/>
      <c r="Z643" s="49"/>
      <c r="AA643" s="49"/>
      <c r="AB643" s="49"/>
      <c r="AC643" s="49"/>
    </row>
    <row r="644" spans="1:29" ht="13">
      <c r="A644" s="47"/>
      <c r="B644" s="47"/>
      <c r="C644" s="49"/>
      <c r="D644" s="49"/>
      <c r="E644" s="49"/>
      <c r="F644" s="49"/>
      <c r="G644" s="49"/>
      <c r="H644" s="173"/>
      <c r="I644" s="49"/>
      <c r="J644" s="49"/>
      <c r="K644" s="49"/>
      <c r="L644" s="49"/>
      <c r="M644" s="49"/>
      <c r="N644" s="49"/>
      <c r="O644" s="49"/>
      <c r="P644" s="49"/>
      <c r="Q644" s="49"/>
      <c r="R644" s="49"/>
      <c r="S644" s="49"/>
      <c r="T644" s="49"/>
      <c r="U644" s="49"/>
      <c r="V644" s="49"/>
      <c r="W644" s="49"/>
      <c r="X644" s="49"/>
      <c r="Y644" s="49"/>
      <c r="Z644" s="49"/>
      <c r="AA644" s="49"/>
      <c r="AB644" s="49"/>
      <c r="AC644" s="49"/>
    </row>
    <row r="645" spans="1:29" ht="13">
      <c r="A645" s="47"/>
      <c r="B645" s="47"/>
      <c r="C645" s="49"/>
      <c r="D645" s="49"/>
      <c r="E645" s="49"/>
      <c r="F645" s="49"/>
      <c r="G645" s="49"/>
      <c r="H645" s="173"/>
      <c r="I645" s="49"/>
      <c r="J645" s="49"/>
      <c r="K645" s="49"/>
      <c r="L645" s="49"/>
      <c r="M645" s="49"/>
      <c r="N645" s="49"/>
      <c r="O645" s="49"/>
      <c r="P645" s="49"/>
      <c r="Q645" s="49"/>
      <c r="R645" s="49"/>
      <c r="S645" s="49"/>
      <c r="T645" s="49"/>
      <c r="U645" s="49"/>
      <c r="V645" s="49"/>
      <c r="W645" s="49"/>
      <c r="X645" s="49"/>
      <c r="Y645" s="49"/>
      <c r="Z645" s="49"/>
      <c r="AA645" s="49"/>
      <c r="AB645" s="49"/>
      <c r="AC645" s="49"/>
    </row>
    <row r="646" spans="1:29" ht="13">
      <c r="A646" s="47"/>
      <c r="B646" s="47"/>
      <c r="C646" s="49"/>
      <c r="D646" s="49"/>
      <c r="E646" s="49"/>
      <c r="F646" s="49"/>
      <c r="G646" s="49"/>
      <c r="H646" s="173"/>
      <c r="I646" s="49"/>
      <c r="J646" s="49"/>
      <c r="K646" s="49"/>
      <c r="L646" s="49"/>
      <c r="M646" s="49"/>
      <c r="N646" s="49"/>
      <c r="O646" s="49"/>
      <c r="P646" s="49"/>
      <c r="Q646" s="49"/>
      <c r="R646" s="49"/>
      <c r="S646" s="49"/>
      <c r="T646" s="49"/>
      <c r="U646" s="49"/>
      <c r="V646" s="49"/>
      <c r="W646" s="49"/>
      <c r="X646" s="49"/>
      <c r="Y646" s="49"/>
      <c r="Z646" s="49"/>
      <c r="AA646" s="49"/>
      <c r="AB646" s="49"/>
      <c r="AC646" s="49"/>
    </row>
    <row r="647" spans="1:29" ht="13">
      <c r="A647" s="47"/>
      <c r="B647" s="47"/>
      <c r="C647" s="49"/>
      <c r="D647" s="49"/>
      <c r="E647" s="49"/>
      <c r="F647" s="49"/>
      <c r="G647" s="49"/>
      <c r="H647" s="173"/>
      <c r="I647" s="49"/>
      <c r="J647" s="49"/>
      <c r="K647" s="49"/>
      <c r="L647" s="49"/>
      <c r="M647" s="49"/>
      <c r="N647" s="49"/>
      <c r="O647" s="49"/>
      <c r="P647" s="49"/>
      <c r="Q647" s="49"/>
      <c r="R647" s="49"/>
      <c r="S647" s="49"/>
      <c r="T647" s="49"/>
      <c r="U647" s="49"/>
      <c r="V647" s="49"/>
      <c r="W647" s="49"/>
      <c r="X647" s="49"/>
      <c r="Y647" s="49"/>
      <c r="Z647" s="49"/>
      <c r="AA647" s="49"/>
      <c r="AB647" s="49"/>
      <c r="AC647" s="49"/>
    </row>
    <row r="648" spans="1:29" ht="13">
      <c r="A648" s="47"/>
      <c r="B648" s="47"/>
      <c r="C648" s="49"/>
      <c r="D648" s="49"/>
      <c r="E648" s="49"/>
      <c r="F648" s="49"/>
      <c r="G648" s="49"/>
      <c r="H648" s="173"/>
      <c r="I648" s="49"/>
      <c r="J648" s="49"/>
      <c r="K648" s="49"/>
      <c r="L648" s="49"/>
      <c r="M648" s="49"/>
      <c r="N648" s="49"/>
      <c r="O648" s="49"/>
      <c r="P648" s="49"/>
      <c r="Q648" s="49"/>
      <c r="R648" s="49"/>
      <c r="S648" s="49"/>
      <c r="T648" s="49"/>
      <c r="U648" s="49"/>
      <c r="V648" s="49"/>
      <c r="W648" s="49"/>
      <c r="X648" s="49"/>
      <c r="Y648" s="49"/>
      <c r="Z648" s="49"/>
      <c r="AA648" s="49"/>
      <c r="AB648" s="49"/>
      <c r="AC648" s="49"/>
    </row>
    <row r="649" spans="1:29" ht="13">
      <c r="A649" s="47"/>
      <c r="B649" s="47"/>
      <c r="C649" s="49"/>
      <c r="D649" s="49"/>
      <c r="E649" s="49"/>
      <c r="F649" s="49"/>
      <c r="G649" s="49"/>
      <c r="H649" s="173"/>
      <c r="I649" s="49"/>
      <c r="J649" s="49"/>
      <c r="K649" s="49"/>
      <c r="L649" s="49"/>
      <c r="M649" s="49"/>
      <c r="N649" s="49"/>
      <c r="O649" s="49"/>
      <c r="P649" s="49"/>
      <c r="Q649" s="49"/>
      <c r="R649" s="49"/>
      <c r="S649" s="49"/>
      <c r="T649" s="49"/>
      <c r="U649" s="49"/>
      <c r="V649" s="49"/>
      <c r="W649" s="49"/>
      <c r="X649" s="49"/>
      <c r="Y649" s="49"/>
      <c r="Z649" s="49"/>
      <c r="AA649" s="49"/>
      <c r="AB649" s="49"/>
      <c r="AC649" s="49"/>
    </row>
    <row r="650" spans="1:29" ht="13">
      <c r="A650" s="47"/>
      <c r="B650" s="47"/>
      <c r="C650" s="49"/>
      <c r="D650" s="49"/>
      <c r="E650" s="49"/>
      <c r="F650" s="49"/>
      <c r="G650" s="49"/>
      <c r="H650" s="173"/>
      <c r="I650" s="49"/>
      <c r="J650" s="49"/>
      <c r="K650" s="49"/>
      <c r="L650" s="49"/>
      <c r="M650" s="49"/>
      <c r="N650" s="49"/>
      <c r="O650" s="49"/>
      <c r="P650" s="49"/>
      <c r="Q650" s="49"/>
      <c r="R650" s="49"/>
      <c r="S650" s="49"/>
      <c r="T650" s="49"/>
      <c r="U650" s="49"/>
      <c r="V650" s="49"/>
      <c r="W650" s="49"/>
      <c r="X650" s="49"/>
      <c r="Y650" s="49"/>
      <c r="Z650" s="49"/>
      <c r="AA650" s="49"/>
      <c r="AB650" s="49"/>
      <c r="AC650" s="49"/>
    </row>
    <row r="651" spans="1:29" ht="13">
      <c r="A651" s="47"/>
      <c r="B651" s="47"/>
      <c r="C651" s="49"/>
      <c r="D651" s="49"/>
      <c r="E651" s="49"/>
      <c r="F651" s="49"/>
      <c r="G651" s="49"/>
      <c r="H651" s="173"/>
      <c r="I651" s="49"/>
      <c r="J651" s="49"/>
      <c r="K651" s="49"/>
      <c r="L651" s="49"/>
      <c r="M651" s="49"/>
      <c r="N651" s="49"/>
      <c r="O651" s="49"/>
      <c r="P651" s="49"/>
      <c r="Q651" s="49"/>
      <c r="R651" s="49"/>
      <c r="S651" s="49"/>
      <c r="T651" s="49"/>
      <c r="U651" s="49"/>
      <c r="V651" s="49"/>
      <c r="W651" s="49"/>
      <c r="X651" s="49"/>
      <c r="Y651" s="49"/>
      <c r="Z651" s="49"/>
      <c r="AA651" s="49"/>
      <c r="AB651" s="49"/>
      <c r="AC651" s="49"/>
    </row>
    <row r="652" spans="1:29" ht="13">
      <c r="A652" s="47"/>
      <c r="B652" s="47"/>
      <c r="C652" s="49"/>
      <c r="D652" s="49"/>
      <c r="E652" s="49"/>
      <c r="F652" s="49"/>
      <c r="G652" s="49"/>
      <c r="H652" s="173"/>
      <c r="I652" s="49"/>
      <c r="J652" s="49"/>
      <c r="K652" s="49"/>
      <c r="L652" s="49"/>
      <c r="M652" s="49"/>
      <c r="N652" s="49"/>
      <c r="O652" s="49"/>
      <c r="P652" s="49"/>
      <c r="Q652" s="49"/>
      <c r="R652" s="49"/>
      <c r="S652" s="49"/>
      <c r="T652" s="49"/>
      <c r="U652" s="49"/>
      <c r="V652" s="49"/>
      <c r="W652" s="49"/>
      <c r="X652" s="49"/>
      <c r="Y652" s="49"/>
      <c r="Z652" s="49"/>
      <c r="AA652" s="49"/>
      <c r="AB652" s="49"/>
      <c r="AC652" s="49"/>
    </row>
    <row r="653" spans="1:29" ht="13">
      <c r="A653" s="47"/>
      <c r="B653" s="47"/>
      <c r="C653" s="49"/>
      <c r="D653" s="49"/>
      <c r="E653" s="49"/>
      <c r="F653" s="49"/>
      <c r="G653" s="49"/>
      <c r="H653" s="173"/>
      <c r="I653" s="49"/>
      <c r="J653" s="49"/>
      <c r="K653" s="49"/>
      <c r="L653" s="49"/>
      <c r="M653" s="49"/>
      <c r="N653" s="49"/>
      <c r="O653" s="49"/>
      <c r="P653" s="49"/>
      <c r="Q653" s="49"/>
      <c r="R653" s="49"/>
      <c r="S653" s="49"/>
      <c r="T653" s="49"/>
      <c r="U653" s="49"/>
      <c r="V653" s="49"/>
      <c r="W653" s="49"/>
      <c r="X653" s="49"/>
      <c r="Y653" s="49"/>
      <c r="Z653" s="49"/>
      <c r="AA653" s="49"/>
      <c r="AB653" s="49"/>
      <c r="AC653" s="49"/>
    </row>
    <row r="654" spans="1:29" ht="13">
      <c r="A654" s="47"/>
      <c r="B654" s="47"/>
      <c r="C654" s="49"/>
      <c r="D654" s="49"/>
      <c r="E654" s="49"/>
      <c r="F654" s="49"/>
      <c r="G654" s="49"/>
      <c r="H654" s="173"/>
      <c r="I654" s="49"/>
      <c r="J654" s="49"/>
      <c r="K654" s="49"/>
      <c r="L654" s="49"/>
      <c r="M654" s="49"/>
      <c r="N654" s="49"/>
      <c r="O654" s="49"/>
      <c r="P654" s="49"/>
      <c r="Q654" s="49"/>
      <c r="R654" s="49"/>
      <c r="S654" s="49"/>
      <c r="T654" s="49"/>
      <c r="U654" s="49"/>
      <c r="V654" s="49"/>
      <c r="W654" s="49"/>
      <c r="X654" s="49"/>
      <c r="Y654" s="49"/>
      <c r="Z654" s="49"/>
      <c r="AA654" s="49"/>
      <c r="AB654" s="49"/>
      <c r="AC654" s="49"/>
    </row>
    <row r="655" spans="1:29" ht="13">
      <c r="A655" s="47"/>
      <c r="B655" s="47"/>
      <c r="C655" s="49"/>
      <c r="D655" s="49"/>
      <c r="E655" s="49"/>
      <c r="F655" s="49"/>
      <c r="G655" s="49"/>
      <c r="H655" s="173"/>
      <c r="I655" s="49"/>
      <c r="J655" s="49"/>
      <c r="K655" s="49"/>
      <c r="L655" s="49"/>
      <c r="M655" s="49"/>
      <c r="N655" s="49"/>
      <c r="O655" s="49"/>
      <c r="P655" s="49"/>
      <c r="Q655" s="49"/>
      <c r="R655" s="49"/>
      <c r="S655" s="49"/>
      <c r="T655" s="49"/>
      <c r="U655" s="49"/>
      <c r="V655" s="49"/>
      <c r="W655" s="49"/>
      <c r="X655" s="49"/>
      <c r="Y655" s="49"/>
      <c r="Z655" s="49"/>
      <c r="AA655" s="49"/>
      <c r="AB655" s="49"/>
      <c r="AC655" s="49"/>
    </row>
    <row r="656" spans="1:29" ht="13">
      <c r="A656" s="47"/>
      <c r="B656" s="47"/>
      <c r="C656" s="49"/>
      <c r="D656" s="49"/>
      <c r="E656" s="49"/>
      <c r="F656" s="49"/>
      <c r="G656" s="49"/>
      <c r="H656" s="173"/>
      <c r="I656" s="49"/>
      <c r="J656" s="49"/>
      <c r="K656" s="49"/>
      <c r="L656" s="49"/>
      <c r="M656" s="49"/>
      <c r="N656" s="49"/>
      <c r="O656" s="49"/>
      <c r="P656" s="49"/>
      <c r="Q656" s="49"/>
      <c r="R656" s="49"/>
      <c r="S656" s="49"/>
      <c r="T656" s="49"/>
      <c r="U656" s="49"/>
      <c r="V656" s="49"/>
      <c r="W656" s="49"/>
      <c r="X656" s="49"/>
      <c r="Y656" s="49"/>
      <c r="Z656" s="49"/>
      <c r="AA656" s="49"/>
      <c r="AB656" s="49"/>
      <c r="AC656" s="49"/>
    </row>
    <row r="657" spans="1:29" ht="13">
      <c r="A657" s="47"/>
      <c r="B657" s="47"/>
      <c r="C657" s="49"/>
      <c r="D657" s="49"/>
      <c r="E657" s="49"/>
      <c r="F657" s="49"/>
      <c r="G657" s="49"/>
      <c r="H657" s="173"/>
      <c r="I657" s="49"/>
      <c r="J657" s="49"/>
      <c r="K657" s="49"/>
      <c r="L657" s="49"/>
      <c r="M657" s="49"/>
      <c r="N657" s="49"/>
      <c r="O657" s="49"/>
      <c r="P657" s="49"/>
      <c r="Q657" s="49"/>
      <c r="R657" s="49"/>
      <c r="S657" s="49"/>
      <c r="T657" s="49"/>
      <c r="U657" s="49"/>
      <c r="V657" s="49"/>
      <c r="W657" s="49"/>
      <c r="X657" s="49"/>
      <c r="Y657" s="49"/>
      <c r="Z657" s="49"/>
      <c r="AA657" s="49"/>
      <c r="AB657" s="49"/>
      <c r="AC657" s="49"/>
    </row>
    <row r="658" spans="1:29" ht="13">
      <c r="A658" s="47"/>
      <c r="B658" s="47"/>
      <c r="C658" s="49"/>
      <c r="D658" s="49"/>
      <c r="E658" s="49"/>
      <c r="F658" s="49"/>
      <c r="G658" s="49"/>
      <c r="H658" s="173"/>
      <c r="I658" s="49"/>
      <c r="J658" s="49"/>
      <c r="K658" s="49"/>
      <c r="L658" s="49"/>
      <c r="M658" s="49"/>
      <c r="N658" s="49"/>
      <c r="O658" s="49"/>
      <c r="P658" s="49"/>
      <c r="Q658" s="49"/>
      <c r="R658" s="49"/>
      <c r="S658" s="49"/>
      <c r="T658" s="49"/>
      <c r="U658" s="49"/>
      <c r="V658" s="49"/>
      <c r="W658" s="49"/>
      <c r="X658" s="49"/>
      <c r="Y658" s="49"/>
      <c r="Z658" s="49"/>
      <c r="AA658" s="49"/>
      <c r="AB658" s="49"/>
      <c r="AC658" s="49"/>
    </row>
    <row r="659" spans="1:29" ht="13">
      <c r="A659" s="47"/>
      <c r="B659" s="47"/>
      <c r="C659" s="49"/>
      <c r="D659" s="49"/>
      <c r="E659" s="49"/>
      <c r="F659" s="49"/>
      <c r="G659" s="49"/>
      <c r="H659" s="173"/>
      <c r="I659" s="49"/>
      <c r="J659" s="49"/>
      <c r="K659" s="49"/>
      <c r="L659" s="49"/>
      <c r="M659" s="49"/>
      <c r="N659" s="49"/>
      <c r="O659" s="49"/>
      <c r="P659" s="49"/>
      <c r="Q659" s="49"/>
      <c r="R659" s="49"/>
      <c r="S659" s="49"/>
      <c r="T659" s="49"/>
      <c r="U659" s="49"/>
      <c r="V659" s="49"/>
      <c r="W659" s="49"/>
      <c r="X659" s="49"/>
      <c r="Y659" s="49"/>
      <c r="Z659" s="49"/>
      <c r="AA659" s="49"/>
      <c r="AB659" s="49"/>
      <c r="AC659" s="49"/>
    </row>
    <row r="660" spans="1:29" ht="13">
      <c r="A660" s="47"/>
      <c r="B660" s="47"/>
      <c r="C660" s="49"/>
      <c r="D660" s="49"/>
      <c r="E660" s="49"/>
      <c r="F660" s="49"/>
      <c r="G660" s="49"/>
      <c r="H660" s="173"/>
      <c r="I660" s="49"/>
      <c r="J660" s="49"/>
      <c r="K660" s="49"/>
      <c r="L660" s="49"/>
      <c r="M660" s="49"/>
      <c r="N660" s="49"/>
      <c r="O660" s="49"/>
      <c r="P660" s="49"/>
      <c r="Q660" s="49"/>
      <c r="R660" s="49"/>
      <c r="S660" s="49"/>
      <c r="T660" s="49"/>
      <c r="U660" s="49"/>
      <c r="V660" s="49"/>
      <c r="W660" s="49"/>
      <c r="X660" s="49"/>
      <c r="Y660" s="49"/>
      <c r="Z660" s="49"/>
      <c r="AA660" s="49"/>
      <c r="AB660" s="49"/>
      <c r="AC660" s="49"/>
    </row>
    <row r="661" spans="1:29" ht="13">
      <c r="A661" s="47"/>
      <c r="B661" s="47"/>
      <c r="C661" s="49"/>
      <c r="D661" s="49"/>
      <c r="E661" s="49"/>
      <c r="F661" s="49"/>
      <c r="G661" s="49"/>
      <c r="H661" s="173"/>
      <c r="I661" s="49"/>
      <c r="J661" s="49"/>
      <c r="K661" s="49"/>
      <c r="L661" s="49"/>
      <c r="M661" s="49"/>
      <c r="N661" s="49"/>
      <c r="O661" s="49"/>
      <c r="P661" s="49"/>
      <c r="Q661" s="49"/>
      <c r="R661" s="49"/>
      <c r="S661" s="49"/>
      <c r="T661" s="49"/>
      <c r="U661" s="49"/>
      <c r="V661" s="49"/>
      <c r="W661" s="49"/>
      <c r="X661" s="49"/>
      <c r="Y661" s="49"/>
      <c r="Z661" s="49"/>
      <c r="AA661" s="49"/>
      <c r="AB661" s="49"/>
      <c r="AC661" s="49"/>
    </row>
    <row r="662" spans="1:29" ht="13">
      <c r="A662" s="47"/>
      <c r="B662" s="47"/>
      <c r="C662" s="49"/>
      <c r="D662" s="49"/>
      <c r="E662" s="49"/>
      <c r="F662" s="49"/>
      <c r="G662" s="49"/>
      <c r="H662" s="173"/>
      <c r="I662" s="49"/>
      <c r="J662" s="49"/>
      <c r="K662" s="49"/>
      <c r="L662" s="49"/>
      <c r="M662" s="49"/>
      <c r="N662" s="49"/>
      <c r="O662" s="49"/>
      <c r="P662" s="49"/>
      <c r="Q662" s="49"/>
      <c r="R662" s="49"/>
      <c r="S662" s="49"/>
      <c r="T662" s="49"/>
      <c r="U662" s="49"/>
      <c r="V662" s="49"/>
      <c r="W662" s="49"/>
      <c r="X662" s="49"/>
      <c r="Y662" s="49"/>
      <c r="Z662" s="49"/>
      <c r="AA662" s="49"/>
      <c r="AB662" s="49"/>
      <c r="AC662" s="49"/>
    </row>
    <row r="663" spans="1:29" ht="13">
      <c r="A663" s="47"/>
      <c r="B663" s="47"/>
      <c r="C663" s="49"/>
      <c r="D663" s="49"/>
      <c r="E663" s="49"/>
      <c r="F663" s="49"/>
      <c r="G663" s="49"/>
      <c r="H663" s="173"/>
      <c r="I663" s="49"/>
      <c r="J663" s="49"/>
      <c r="K663" s="49"/>
      <c r="L663" s="49"/>
      <c r="M663" s="49"/>
      <c r="N663" s="49"/>
      <c r="O663" s="49"/>
      <c r="P663" s="49"/>
      <c r="Q663" s="49"/>
      <c r="R663" s="49"/>
      <c r="S663" s="49"/>
      <c r="T663" s="49"/>
      <c r="U663" s="49"/>
      <c r="V663" s="49"/>
      <c r="W663" s="49"/>
      <c r="X663" s="49"/>
      <c r="Y663" s="49"/>
      <c r="Z663" s="49"/>
      <c r="AA663" s="49"/>
      <c r="AB663" s="49"/>
      <c r="AC663" s="49"/>
    </row>
    <row r="664" spans="1:29" ht="13">
      <c r="A664" s="47"/>
      <c r="B664" s="47"/>
      <c r="C664" s="49"/>
      <c r="D664" s="49"/>
      <c r="E664" s="49"/>
      <c r="F664" s="49"/>
      <c r="G664" s="49"/>
      <c r="H664" s="173"/>
      <c r="I664" s="49"/>
      <c r="J664" s="49"/>
      <c r="K664" s="49"/>
      <c r="L664" s="49"/>
      <c r="M664" s="49"/>
      <c r="N664" s="49"/>
      <c r="O664" s="49"/>
      <c r="P664" s="49"/>
      <c r="Q664" s="49"/>
      <c r="R664" s="49"/>
      <c r="S664" s="49"/>
      <c r="T664" s="49"/>
      <c r="U664" s="49"/>
      <c r="V664" s="49"/>
      <c r="W664" s="49"/>
      <c r="X664" s="49"/>
      <c r="Y664" s="49"/>
      <c r="Z664" s="49"/>
      <c r="AA664" s="49"/>
      <c r="AB664" s="49"/>
      <c r="AC664" s="49"/>
    </row>
    <row r="665" spans="1:29" ht="13">
      <c r="A665" s="47"/>
      <c r="B665" s="47"/>
      <c r="C665" s="49"/>
      <c r="D665" s="49"/>
      <c r="E665" s="49"/>
      <c r="F665" s="49"/>
      <c r="G665" s="49"/>
      <c r="H665" s="173"/>
      <c r="I665" s="49"/>
      <c r="J665" s="49"/>
      <c r="K665" s="49"/>
      <c r="L665" s="49"/>
      <c r="M665" s="49"/>
      <c r="N665" s="49"/>
      <c r="O665" s="49"/>
      <c r="P665" s="49"/>
      <c r="Q665" s="49"/>
      <c r="R665" s="49"/>
      <c r="S665" s="49"/>
      <c r="T665" s="49"/>
      <c r="U665" s="49"/>
      <c r="V665" s="49"/>
      <c r="W665" s="49"/>
      <c r="X665" s="49"/>
      <c r="Y665" s="49"/>
      <c r="Z665" s="49"/>
      <c r="AA665" s="49"/>
      <c r="AB665" s="49"/>
      <c r="AC665" s="49"/>
    </row>
    <row r="666" spans="1:29" ht="13">
      <c r="A666" s="47"/>
      <c r="B666" s="47"/>
      <c r="C666" s="49"/>
      <c r="D666" s="49"/>
      <c r="E666" s="49"/>
      <c r="F666" s="49"/>
      <c r="G666" s="49"/>
      <c r="H666" s="173"/>
      <c r="I666" s="49"/>
      <c r="J666" s="49"/>
      <c r="K666" s="49"/>
      <c r="L666" s="49"/>
      <c r="M666" s="49"/>
      <c r="N666" s="49"/>
      <c r="O666" s="49"/>
      <c r="P666" s="49"/>
      <c r="Q666" s="49"/>
      <c r="R666" s="49"/>
      <c r="S666" s="49"/>
      <c r="T666" s="49"/>
      <c r="U666" s="49"/>
      <c r="V666" s="49"/>
      <c r="W666" s="49"/>
      <c r="X666" s="49"/>
      <c r="Y666" s="49"/>
      <c r="Z666" s="49"/>
      <c r="AA666" s="49"/>
      <c r="AB666" s="49"/>
      <c r="AC666" s="49"/>
    </row>
    <row r="667" spans="1:29" ht="13">
      <c r="A667" s="47"/>
      <c r="B667" s="47"/>
      <c r="C667" s="49"/>
      <c r="D667" s="49"/>
      <c r="E667" s="49"/>
      <c r="F667" s="49"/>
      <c r="G667" s="49"/>
      <c r="H667" s="173"/>
      <c r="I667" s="49"/>
      <c r="J667" s="49"/>
      <c r="K667" s="49"/>
      <c r="L667" s="49"/>
      <c r="M667" s="49"/>
      <c r="N667" s="49"/>
      <c r="O667" s="49"/>
      <c r="P667" s="49"/>
      <c r="Q667" s="49"/>
      <c r="R667" s="49"/>
      <c r="S667" s="49"/>
      <c r="T667" s="49"/>
      <c r="U667" s="49"/>
      <c r="V667" s="49"/>
      <c r="W667" s="49"/>
      <c r="X667" s="49"/>
      <c r="Y667" s="49"/>
      <c r="Z667" s="49"/>
      <c r="AA667" s="49"/>
      <c r="AB667" s="49"/>
      <c r="AC667" s="49"/>
    </row>
    <row r="668" spans="1:29" ht="13">
      <c r="A668" s="47"/>
      <c r="B668" s="47"/>
      <c r="C668" s="49"/>
      <c r="D668" s="49"/>
      <c r="E668" s="49"/>
      <c r="F668" s="49"/>
      <c r="G668" s="49"/>
      <c r="H668" s="173"/>
      <c r="I668" s="49"/>
      <c r="J668" s="49"/>
      <c r="K668" s="49"/>
      <c r="L668" s="49"/>
      <c r="M668" s="49"/>
      <c r="N668" s="49"/>
      <c r="O668" s="49"/>
      <c r="P668" s="49"/>
      <c r="Q668" s="49"/>
      <c r="R668" s="49"/>
      <c r="S668" s="49"/>
      <c r="T668" s="49"/>
      <c r="U668" s="49"/>
      <c r="V668" s="49"/>
      <c r="W668" s="49"/>
      <c r="X668" s="49"/>
      <c r="Y668" s="49"/>
      <c r="Z668" s="49"/>
      <c r="AA668" s="49"/>
      <c r="AB668" s="49"/>
      <c r="AC668" s="49"/>
    </row>
    <row r="669" spans="1:29" ht="13">
      <c r="A669" s="47"/>
      <c r="B669" s="47"/>
      <c r="C669" s="49"/>
      <c r="D669" s="49"/>
      <c r="E669" s="49"/>
      <c r="F669" s="49"/>
      <c r="G669" s="49"/>
      <c r="H669" s="173"/>
      <c r="I669" s="49"/>
      <c r="J669" s="49"/>
      <c r="K669" s="49"/>
      <c r="L669" s="49"/>
      <c r="M669" s="49"/>
      <c r="N669" s="49"/>
      <c r="O669" s="49"/>
      <c r="P669" s="49"/>
      <c r="Q669" s="49"/>
      <c r="R669" s="49"/>
      <c r="S669" s="49"/>
      <c r="T669" s="49"/>
      <c r="U669" s="49"/>
      <c r="V669" s="49"/>
      <c r="W669" s="49"/>
      <c r="X669" s="49"/>
      <c r="Y669" s="49"/>
      <c r="Z669" s="49"/>
      <c r="AA669" s="49"/>
      <c r="AB669" s="49"/>
      <c r="AC669" s="49"/>
    </row>
    <row r="670" spans="1:29" ht="13">
      <c r="A670" s="47"/>
      <c r="B670" s="47"/>
      <c r="C670" s="49"/>
      <c r="D670" s="49"/>
      <c r="E670" s="49"/>
      <c r="F670" s="49"/>
      <c r="G670" s="49"/>
      <c r="H670" s="173"/>
      <c r="I670" s="49"/>
      <c r="J670" s="49"/>
      <c r="K670" s="49"/>
      <c r="L670" s="49"/>
      <c r="M670" s="49"/>
      <c r="N670" s="49"/>
      <c r="O670" s="49"/>
      <c r="P670" s="49"/>
      <c r="Q670" s="49"/>
      <c r="R670" s="49"/>
      <c r="S670" s="49"/>
      <c r="T670" s="49"/>
      <c r="U670" s="49"/>
      <c r="V670" s="49"/>
      <c r="W670" s="49"/>
      <c r="X670" s="49"/>
      <c r="Y670" s="49"/>
      <c r="Z670" s="49"/>
      <c r="AA670" s="49"/>
      <c r="AB670" s="49"/>
      <c r="AC670" s="49"/>
    </row>
    <row r="671" spans="1:29" ht="13">
      <c r="A671" s="47"/>
      <c r="B671" s="47"/>
      <c r="C671" s="49"/>
      <c r="D671" s="49"/>
      <c r="E671" s="49"/>
      <c r="F671" s="49"/>
      <c r="G671" s="49"/>
      <c r="H671" s="173"/>
      <c r="I671" s="49"/>
      <c r="J671" s="49"/>
      <c r="K671" s="49"/>
      <c r="L671" s="49"/>
      <c r="M671" s="49"/>
      <c r="N671" s="49"/>
      <c r="O671" s="49"/>
      <c r="P671" s="49"/>
      <c r="Q671" s="49"/>
      <c r="R671" s="49"/>
      <c r="S671" s="49"/>
      <c r="T671" s="49"/>
      <c r="U671" s="49"/>
      <c r="V671" s="49"/>
      <c r="W671" s="49"/>
      <c r="X671" s="49"/>
      <c r="Y671" s="49"/>
      <c r="Z671" s="49"/>
      <c r="AA671" s="49"/>
      <c r="AB671" s="49"/>
      <c r="AC671" s="49"/>
    </row>
    <row r="672" spans="1:29" ht="13">
      <c r="A672" s="47"/>
      <c r="B672" s="47"/>
      <c r="C672" s="49"/>
      <c r="D672" s="49"/>
      <c r="E672" s="49"/>
      <c r="F672" s="49"/>
      <c r="G672" s="49"/>
      <c r="H672" s="173"/>
      <c r="I672" s="49"/>
      <c r="J672" s="49"/>
      <c r="K672" s="49"/>
      <c r="L672" s="49"/>
      <c r="M672" s="49"/>
      <c r="N672" s="49"/>
      <c r="O672" s="49"/>
      <c r="P672" s="49"/>
      <c r="Q672" s="49"/>
      <c r="R672" s="49"/>
      <c r="S672" s="49"/>
      <c r="T672" s="49"/>
      <c r="U672" s="49"/>
      <c r="V672" s="49"/>
      <c r="W672" s="49"/>
      <c r="X672" s="49"/>
      <c r="Y672" s="49"/>
      <c r="Z672" s="49"/>
      <c r="AA672" s="49"/>
      <c r="AB672" s="49"/>
      <c r="AC672" s="49"/>
    </row>
    <row r="673" spans="1:29" ht="13">
      <c r="A673" s="47"/>
      <c r="B673" s="47"/>
      <c r="C673" s="49"/>
      <c r="D673" s="49"/>
      <c r="E673" s="49"/>
      <c r="F673" s="49"/>
      <c r="G673" s="49"/>
      <c r="H673" s="173"/>
      <c r="I673" s="49"/>
      <c r="J673" s="49"/>
      <c r="K673" s="49"/>
      <c r="L673" s="49"/>
      <c r="M673" s="49"/>
      <c r="N673" s="49"/>
      <c r="O673" s="49"/>
      <c r="P673" s="49"/>
      <c r="Q673" s="49"/>
      <c r="R673" s="49"/>
      <c r="S673" s="49"/>
      <c r="T673" s="49"/>
      <c r="U673" s="49"/>
      <c r="V673" s="49"/>
      <c r="W673" s="49"/>
      <c r="X673" s="49"/>
      <c r="Y673" s="49"/>
      <c r="Z673" s="49"/>
      <c r="AA673" s="49"/>
      <c r="AB673" s="49"/>
      <c r="AC673" s="49"/>
    </row>
    <row r="674" spans="1:29" ht="13">
      <c r="A674" s="47"/>
      <c r="B674" s="47"/>
      <c r="C674" s="49"/>
      <c r="D674" s="49"/>
      <c r="E674" s="49"/>
      <c r="F674" s="49"/>
      <c r="G674" s="49"/>
      <c r="H674" s="173"/>
      <c r="I674" s="49"/>
      <c r="J674" s="49"/>
      <c r="K674" s="49"/>
      <c r="L674" s="49"/>
      <c r="M674" s="49"/>
      <c r="N674" s="49"/>
      <c r="O674" s="49"/>
      <c r="P674" s="49"/>
      <c r="Q674" s="49"/>
      <c r="R674" s="49"/>
      <c r="S674" s="49"/>
      <c r="T674" s="49"/>
      <c r="U674" s="49"/>
      <c r="V674" s="49"/>
      <c r="W674" s="49"/>
      <c r="X674" s="49"/>
      <c r="Y674" s="49"/>
      <c r="Z674" s="49"/>
      <c r="AA674" s="49"/>
      <c r="AB674" s="49"/>
      <c r="AC674" s="49"/>
    </row>
    <row r="675" spans="1:29" ht="13">
      <c r="A675" s="47"/>
      <c r="B675" s="47"/>
      <c r="C675" s="49"/>
      <c r="D675" s="49"/>
      <c r="E675" s="49"/>
      <c r="F675" s="49"/>
      <c r="G675" s="49"/>
      <c r="H675" s="173"/>
      <c r="I675" s="49"/>
      <c r="J675" s="49"/>
      <c r="K675" s="49"/>
      <c r="L675" s="49"/>
      <c r="M675" s="49"/>
      <c r="N675" s="49"/>
      <c r="O675" s="49"/>
      <c r="P675" s="49"/>
      <c r="Q675" s="49"/>
      <c r="R675" s="49"/>
      <c r="S675" s="49"/>
      <c r="T675" s="49"/>
      <c r="U675" s="49"/>
      <c r="V675" s="49"/>
      <c r="W675" s="49"/>
      <c r="X675" s="49"/>
      <c r="Y675" s="49"/>
      <c r="Z675" s="49"/>
      <c r="AA675" s="49"/>
      <c r="AB675" s="49"/>
      <c r="AC675" s="49"/>
    </row>
    <row r="676" spans="1:29" ht="13">
      <c r="A676" s="47"/>
      <c r="B676" s="47"/>
      <c r="C676" s="49"/>
      <c r="D676" s="49"/>
      <c r="E676" s="49"/>
      <c r="F676" s="49"/>
      <c r="G676" s="49"/>
      <c r="H676" s="173"/>
      <c r="I676" s="49"/>
      <c r="J676" s="49"/>
      <c r="K676" s="49"/>
      <c r="L676" s="49"/>
      <c r="M676" s="49"/>
      <c r="N676" s="49"/>
      <c r="O676" s="49"/>
      <c r="P676" s="49"/>
      <c r="Q676" s="49"/>
      <c r="R676" s="49"/>
      <c r="S676" s="49"/>
      <c r="T676" s="49"/>
      <c r="U676" s="49"/>
      <c r="V676" s="49"/>
      <c r="W676" s="49"/>
      <c r="X676" s="49"/>
      <c r="Y676" s="49"/>
      <c r="Z676" s="49"/>
      <c r="AA676" s="49"/>
      <c r="AB676" s="49"/>
      <c r="AC676" s="49"/>
    </row>
    <row r="677" spans="1:29" ht="13">
      <c r="A677" s="47"/>
      <c r="B677" s="47"/>
      <c r="C677" s="49"/>
      <c r="D677" s="49"/>
      <c r="E677" s="49"/>
      <c r="F677" s="49"/>
      <c r="G677" s="49"/>
      <c r="H677" s="173"/>
      <c r="I677" s="49"/>
      <c r="J677" s="49"/>
      <c r="K677" s="49"/>
      <c r="L677" s="49"/>
      <c r="M677" s="49"/>
      <c r="N677" s="49"/>
      <c r="O677" s="49"/>
      <c r="P677" s="49"/>
      <c r="Q677" s="49"/>
      <c r="R677" s="49"/>
      <c r="S677" s="49"/>
      <c r="T677" s="49"/>
      <c r="U677" s="49"/>
      <c r="V677" s="49"/>
      <c r="W677" s="49"/>
      <c r="X677" s="49"/>
      <c r="Y677" s="49"/>
      <c r="Z677" s="49"/>
      <c r="AA677" s="49"/>
      <c r="AB677" s="49"/>
      <c r="AC677" s="49"/>
    </row>
    <row r="678" spans="1:29" ht="13">
      <c r="A678" s="47"/>
      <c r="B678" s="47"/>
      <c r="C678" s="49"/>
      <c r="D678" s="49"/>
      <c r="E678" s="49"/>
      <c r="F678" s="49"/>
      <c r="G678" s="49"/>
      <c r="H678" s="173"/>
      <c r="I678" s="49"/>
      <c r="J678" s="49"/>
      <c r="K678" s="49"/>
      <c r="L678" s="49"/>
      <c r="M678" s="49"/>
      <c r="N678" s="49"/>
      <c r="O678" s="49"/>
      <c r="P678" s="49"/>
      <c r="Q678" s="49"/>
      <c r="R678" s="49"/>
      <c r="S678" s="49"/>
      <c r="T678" s="49"/>
      <c r="U678" s="49"/>
      <c r="V678" s="49"/>
      <c r="W678" s="49"/>
      <c r="X678" s="49"/>
      <c r="Y678" s="49"/>
      <c r="Z678" s="49"/>
      <c r="AA678" s="49"/>
      <c r="AB678" s="49"/>
      <c r="AC678" s="49"/>
    </row>
    <row r="679" spans="1:29" ht="13">
      <c r="A679" s="47"/>
      <c r="B679" s="47"/>
      <c r="C679" s="49"/>
      <c r="D679" s="49"/>
      <c r="E679" s="49"/>
      <c r="F679" s="49"/>
      <c r="G679" s="49"/>
      <c r="H679" s="173"/>
      <c r="I679" s="49"/>
      <c r="J679" s="49"/>
      <c r="K679" s="49"/>
      <c r="L679" s="49"/>
      <c r="M679" s="49"/>
      <c r="N679" s="49"/>
      <c r="O679" s="49"/>
      <c r="P679" s="49"/>
      <c r="Q679" s="49"/>
      <c r="R679" s="49"/>
      <c r="S679" s="49"/>
      <c r="T679" s="49"/>
      <c r="U679" s="49"/>
      <c r="V679" s="49"/>
      <c r="W679" s="49"/>
      <c r="X679" s="49"/>
      <c r="Y679" s="49"/>
      <c r="Z679" s="49"/>
      <c r="AA679" s="49"/>
      <c r="AB679" s="49"/>
      <c r="AC679" s="49"/>
    </row>
    <row r="680" spans="1:29" ht="13">
      <c r="A680" s="47"/>
      <c r="B680" s="47"/>
      <c r="C680" s="49"/>
      <c r="D680" s="49"/>
      <c r="E680" s="49"/>
      <c r="F680" s="49"/>
      <c r="G680" s="49"/>
      <c r="H680" s="173"/>
      <c r="I680" s="49"/>
      <c r="J680" s="49"/>
      <c r="K680" s="49"/>
      <c r="L680" s="49"/>
      <c r="M680" s="49"/>
      <c r="N680" s="49"/>
      <c r="O680" s="49"/>
      <c r="P680" s="49"/>
      <c r="Q680" s="49"/>
      <c r="R680" s="49"/>
      <c r="S680" s="49"/>
      <c r="T680" s="49"/>
      <c r="U680" s="49"/>
      <c r="V680" s="49"/>
      <c r="W680" s="49"/>
      <c r="X680" s="49"/>
      <c r="Y680" s="49"/>
      <c r="Z680" s="49"/>
      <c r="AA680" s="49"/>
      <c r="AB680" s="49"/>
      <c r="AC680" s="49"/>
    </row>
    <row r="681" spans="1:29" ht="13">
      <c r="A681" s="47"/>
      <c r="B681" s="47"/>
      <c r="C681" s="49"/>
      <c r="D681" s="49"/>
      <c r="E681" s="49"/>
      <c r="F681" s="49"/>
      <c r="G681" s="49"/>
      <c r="H681" s="173"/>
      <c r="I681" s="49"/>
      <c r="J681" s="49"/>
      <c r="K681" s="49"/>
      <c r="L681" s="49"/>
      <c r="M681" s="49"/>
      <c r="N681" s="49"/>
      <c r="O681" s="49"/>
      <c r="P681" s="49"/>
      <c r="Q681" s="49"/>
      <c r="R681" s="49"/>
      <c r="S681" s="49"/>
      <c r="T681" s="49"/>
      <c r="U681" s="49"/>
      <c r="V681" s="49"/>
      <c r="W681" s="49"/>
      <c r="X681" s="49"/>
      <c r="Y681" s="49"/>
      <c r="Z681" s="49"/>
      <c r="AA681" s="49"/>
      <c r="AB681" s="49"/>
      <c r="AC681" s="49"/>
    </row>
    <row r="682" spans="1:29" ht="13">
      <c r="A682" s="47"/>
      <c r="B682" s="47"/>
      <c r="C682" s="49"/>
      <c r="D682" s="49"/>
      <c r="E682" s="49"/>
      <c r="F682" s="49"/>
      <c r="G682" s="49"/>
      <c r="H682" s="173"/>
      <c r="I682" s="49"/>
      <c r="J682" s="49"/>
      <c r="K682" s="49"/>
      <c r="L682" s="49"/>
      <c r="M682" s="49"/>
      <c r="N682" s="49"/>
      <c r="O682" s="49"/>
      <c r="P682" s="49"/>
      <c r="Q682" s="49"/>
      <c r="R682" s="49"/>
      <c r="S682" s="49"/>
      <c r="T682" s="49"/>
      <c r="U682" s="49"/>
      <c r="V682" s="49"/>
      <c r="W682" s="49"/>
      <c r="X682" s="49"/>
      <c r="Y682" s="49"/>
      <c r="Z682" s="49"/>
      <c r="AA682" s="49"/>
      <c r="AB682" s="49"/>
      <c r="AC682" s="49"/>
    </row>
    <row r="683" spans="1:29" ht="13">
      <c r="A683" s="47"/>
      <c r="B683" s="47"/>
      <c r="C683" s="49"/>
      <c r="D683" s="49"/>
      <c r="E683" s="49"/>
      <c r="F683" s="49"/>
      <c r="G683" s="49"/>
      <c r="H683" s="173"/>
      <c r="I683" s="49"/>
      <c r="J683" s="49"/>
      <c r="K683" s="49"/>
      <c r="L683" s="49"/>
      <c r="M683" s="49"/>
      <c r="N683" s="49"/>
      <c r="O683" s="49"/>
      <c r="P683" s="49"/>
      <c r="Q683" s="49"/>
      <c r="R683" s="49"/>
      <c r="S683" s="49"/>
      <c r="T683" s="49"/>
      <c r="U683" s="49"/>
      <c r="V683" s="49"/>
      <c r="W683" s="49"/>
      <c r="X683" s="49"/>
      <c r="Y683" s="49"/>
      <c r="Z683" s="49"/>
      <c r="AA683" s="49"/>
      <c r="AB683" s="49"/>
      <c r="AC683" s="49"/>
    </row>
    <row r="684" spans="1:29" ht="13">
      <c r="A684" s="47"/>
      <c r="B684" s="47"/>
      <c r="C684" s="49"/>
      <c r="D684" s="49"/>
      <c r="E684" s="49"/>
      <c r="F684" s="49"/>
      <c r="G684" s="49"/>
      <c r="H684" s="173"/>
      <c r="I684" s="49"/>
      <c r="J684" s="49"/>
      <c r="K684" s="49"/>
      <c r="L684" s="49"/>
      <c r="M684" s="49"/>
      <c r="N684" s="49"/>
      <c r="O684" s="49"/>
      <c r="P684" s="49"/>
      <c r="Q684" s="49"/>
      <c r="R684" s="49"/>
      <c r="S684" s="49"/>
      <c r="T684" s="49"/>
      <c r="U684" s="49"/>
      <c r="V684" s="49"/>
      <c r="W684" s="49"/>
      <c r="X684" s="49"/>
      <c r="Y684" s="49"/>
      <c r="Z684" s="49"/>
      <c r="AA684" s="49"/>
      <c r="AB684" s="49"/>
      <c r="AC684" s="49"/>
    </row>
    <row r="685" spans="1:29" ht="13">
      <c r="A685" s="47"/>
      <c r="B685" s="47"/>
      <c r="C685" s="49"/>
      <c r="D685" s="49"/>
      <c r="E685" s="49"/>
      <c r="F685" s="49"/>
      <c r="G685" s="49"/>
      <c r="H685" s="173"/>
      <c r="I685" s="49"/>
      <c r="J685" s="49"/>
      <c r="K685" s="49"/>
      <c r="L685" s="49"/>
      <c r="M685" s="49"/>
      <c r="N685" s="49"/>
      <c r="O685" s="49"/>
      <c r="P685" s="49"/>
      <c r="Q685" s="49"/>
      <c r="R685" s="49"/>
      <c r="S685" s="49"/>
      <c r="T685" s="49"/>
      <c r="U685" s="49"/>
      <c r="V685" s="49"/>
      <c r="W685" s="49"/>
      <c r="X685" s="49"/>
      <c r="Y685" s="49"/>
      <c r="Z685" s="49"/>
      <c r="AA685" s="49"/>
      <c r="AB685" s="49"/>
      <c r="AC685" s="49"/>
    </row>
    <row r="686" spans="1:29" ht="13">
      <c r="A686" s="47"/>
      <c r="B686" s="47"/>
      <c r="C686" s="49"/>
      <c r="D686" s="49"/>
      <c r="E686" s="49"/>
      <c r="F686" s="49"/>
      <c r="G686" s="49"/>
      <c r="H686" s="173"/>
      <c r="I686" s="49"/>
      <c r="J686" s="49"/>
      <c r="K686" s="49"/>
      <c r="L686" s="49"/>
      <c r="M686" s="49"/>
      <c r="N686" s="49"/>
      <c r="O686" s="49"/>
      <c r="P686" s="49"/>
      <c r="Q686" s="49"/>
      <c r="R686" s="49"/>
      <c r="S686" s="49"/>
      <c r="T686" s="49"/>
      <c r="U686" s="49"/>
      <c r="V686" s="49"/>
      <c r="W686" s="49"/>
      <c r="X686" s="49"/>
      <c r="Y686" s="49"/>
      <c r="Z686" s="49"/>
      <c r="AA686" s="49"/>
      <c r="AB686" s="49"/>
      <c r="AC686" s="49"/>
    </row>
    <row r="687" spans="1:29" ht="13">
      <c r="A687" s="47"/>
      <c r="B687" s="47"/>
      <c r="C687" s="49"/>
      <c r="D687" s="49"/>
      <c r="E687" s="49"/>
      <c r="F687" s="49"/>
      <c r="G687" s="49"/>
      <c r="H687" s="173"/>
      <c r="I687" s="49"/>
      <c r="J687" s="49"/>
      <c r="K687" s="49"/>
      <c r="L687" s="49"/>
      <c r="M687" s="49"/>
      <c r="N687" s="49"/>
      <c r="O687" s="49"/>
      <c r="P687" s="49"/>
      <c r="Q687" s="49"/>
      <c r="R687" s="49"/>
      <c r="S687" s="49"/>
      <c r="T687" s="49"/>
      <c r="U687" s="49"/>
      <c r="V687" s="49"/>
      <c r="W687" s="49"/>
      <c r="X687" s="49"/>
      <c r="Y687" s="49"/>
      <c r="Z687" s="49"/>
      <c r="AA687" s="49"/>
      <c r="AB687" s="49"/>
      <c r="AC687" s="49"/>
    </row>
    <row r="688" spans="1:29" ht="13">
      <c r="A688" s="47"/>
      <c r="B688" s="47"/>
      <c r="C688" s="49"/>
      <c r="D688" s="49"/>
      <c r="E688" s="49"/>
      <c r="F688" s="49"/>
      <c r="G688" s="49"/>
      <c r="H688" s="173"/>
      <c r="I688" s="49"/>
      <c r="J688" s="49"/>
      <c r="K688" s="49"/>
      <c r="L688" s="49"/>
      <c r="M688" s="49"/>
      <c r="N688" s="49"/>
      <c r="O688" s="49"/>
      <c r="P688" s="49"/>
      <c r="Q688" s="49"/>
      <c r="R688" s="49"/>
      <c r="S688" s="49"/>
      <c r="T688" s="49"/>
      <c r="U688" s="49"/>
      <c r="V688" s="49"/>
      <c r="W688" s="49"/>
      <c r="X688" s="49"/>
      <c r="Y688" s="49"/>
      <c r="Z688" s="49"/>
      <c r="AA688" s="49"/>
      <c r="AB688" s="49"/>
      <c r="AC688" s="49"/>
    </row>
    <row r="689" spans="1:29" ht="13">
      <c r="A689" s="47"/>
      <c r="B689" s="47"/>
      <c r="C689" s="49"/>
      <c r="D689" s="49"/>
      <c r="E689" s="49"/>
      <c r="F689" s="49"/>
      <c r="G689" s="49"/>
      <c r="H689" s="173"/>
      <c r="I689" s="49"/>
      <c r="J689" s="49"/>
      <c r="K689" s="49"/>
      <c r="L689" s="49"/>
      <c r="M689" s="49"/>
      <c r="N689" s="49"/>
      <c r="O689" s="49"/>
      <c r="P689" s="49"/>
      <c r="Q689" s="49"/>
      <c r="R689" s="49"/>
      <c r="S689" s="49"/>
      <c r="T689" s="49"/>
      <c r="U689" s="49"/>
      <c r="V689" s="49"/>
      <c r="W689" s="49"/>
      <c r="X689" s="49"/>
      <c r="Y689" s="49"/>
      <c r="Z689" s="49"/>
      <c r="AA689" s="49"/>
      <c r="AB689" s="49"/>
      <c r="AC689" s="49"/>
    </row>
    <row r="690" spans="1:29" ht="13">
      <c r="A690" s="47"/>
      <c r="B690" s="47"/>
      <c r="C690" s="49"/>
      <c r="D690" s="49"/>
      <c r="E690" s="49"/>
      <c r="F690" s="49"/>
      <c r="G690" s="49"/>
      <c r="H690" s="173"/>
      <c r="I690" s="49"/>
      <c r="J690" s="49"/>
      <c r="K690" s="49"/>
      <c r="L690" s="49"/>
      <c r="M690" s="49"/>
      <c r="N690" s="49"/>
      <c r="O690" s="49"/>
      <c r="P690" s="49"/>
      <c r="Q690" s="49"/>
      <c r="R690" s="49"/>
      <c r="S690" s="49"/>
      <c r="T690" s="49"/>
      <c r="U690" s="49"/>
      <c r="V690" s="49"/>
      <c r="W690" s="49"/>
      <c r="X690" s="49"/>
      <c r="Y690" s="49"/>
      <c r="Z690" s="49"/>
      <c r="AA690" s="49"/>
      <c r="AB690" s="49"/>
      <c r="AC690" s="49"/>
    </row>
    <row r="691" spans="1:29" ht="13">
      <c r="A691" s="47"/>
      <c r="B691" s="47"/>
      <c r="C691" s="49"/>
      <c r="D691" s="49"/>
      <c r="E691" s="49"/>
      <c r="F691" s="49"/>
      <c r="G691" s="49"/>
      <c r="H691" s="173"/>
      <c r="I691" s="49"/>
      <c r="J691" s="49"/>
      <c r="K691" s="49"/>
      <c r="L691" s="49"/>
      <c r="M691" s="49"/>
      <c r="N691" s="49"/>
      <c r="O691" s="49"/>
      <c r="P691" s="49"/>
      <c r="Q691" s="49"/>
      <c r="R691" s="49"/>
      <c r="S691" s="49"/>
      <c r="T691" s="49"/>
      <c r="U691" s="49"/>
      <c r="V691" s="49"/>
      <c r="W691" s="49"/>
      <c r="X691" s="49"/>
      <c r="Y691" s="49"/>
      <c r="Z691" s="49"/>
      <c r="AA691" s="49"/>
      <c r="AB691" s="49"/>
      <c r="AC691" s="49"/>
    </row>
    <row r="692" spans="1:29" ht="13">
      <c r="A692" s="47"/>
      <c r="B692" s="47"/>
      <c r="C692" s="49"/>
      <c r="D692" s="49"/>
      <c r="E692" s="49"/>
      <c r="F692" s="49"/>
      <c r="G692" s="49"/>
      <c r="H692" s="173"/>
      <c r="I692" s="49"/>
      <c r="J692" s="49"/>
      <c r="K692" s="49"/>
      <c r="L692" s="49"/>
      <c r="M692" s="49"/>
      <c r="N692" s="49"/>
      <c r="O692" s="49"/>
      <c r="P692" s="49"/>
      <c r="Q692" s="49"/>
      <c r="R692" s="49"/>
      <c r="S692" s="49"/>
      <c r="T692" s="49"/>
      <c r="U692" s="49"/>
      <c r="V692" s="49"/>
      <c r="W692" s="49"/>
      <c r="X692" s="49"/>
      <c r="Y692" s="49"/>
      <c r="Z692" s="49"/>
      <c r="AA692" s="49"/>
      <c r="AB692" s="49"/>
      <c r="AC692" s="49"/>
    </row>
    <row r="693" spans="1:29" ht="13">
      <c r="A693" s="47"/>
      <c r="B693" s="47"/>
      <c r="C693" s="49"/>
      <c r="D693" s="49"/>
      <c r="E693" s="49"/>
      <c r="F693" s="49"/>
      <c r="G693" s="49"/>
      <c r="H693" s="173"/>
      <c r="I693" s="49"/>
      <c r="J693" s="49"/>
      <c r="K693" s="49"/>
      <c r="L693" s="49"/>
      <c r="M693" s="49"/>
      <c r="N693" s="49"/>
      <c r="O693" s="49"/>
      <c r="P693" s="49"/>
      <c r="Q693" s="49"/>
      <c r="R693" s="49"/>
      <c r="S693" s="49"/>
      <c r="T693" s="49"/>
      <c r="U693" s="49"/>
      <c r="V693" s="49"/>
      <c r="W693" s="49"/>
      <c r="X693" s="49"/>
      <c r="Y693" s="49"/>
      <c r="Z693" s="49"/>
      <c r="AA693" s="49"/>
      <c r="AB693" s="49"/>
      <c r="AC693" s="49"/>
    </row>
    <row r="694" spans="1:29" ht="13">
      <c r="A694" s="47"/>
      <c r="B694" s="47"/>
      <c r="C694" s="49"/>
      <c r="D694" s="49"/>
      <c r="E694" s="49"/>
      <c r="F694" s="49"/>
      <c r="G694" s="49"/>
      <c r="H694" s="173"/>
      <c r="I694" s="49"/>
      <c r="J694" s="49"/>
      <c r="K694" s="49"/>
      <c r="L694" s="49"/>
      <c r="M694" s="49"/>
      <c r="N694" s="49"/>
      <c r="O694" s="49"/>
      <c r="P694" s="49"/>
      <c r="Q694" s="49"/>
      <c r="R694" s="49"/>
      <c r="S694" s="49"/>
      <c r="T694" s="49"/>
      <c r="U694" s="49"/>
      <c r="V694" s="49"/>
      <c r="W694" s="49"/>
      <c r="X694" s="49"/>
      <c r="Y694" s="49"/>
      <c r="Z694" s="49"/>
      <c r="AA694" s="49"/>
      <c r="AB694" s="49"/>
      <c r="AC694" s="49"/>
    </row>
    <row r="695" spans="1:29" ht="13">
      <c r="A695" s="47"/>
      <c r="B695" s="47"/>
      <c r="C695" s="49"/>
      <c r="D695" s="49"/>
      <c r="E695" s="49"/>
      <c r="F695" s="49"/>
      <c r="G695" s="49"/>
      <c r="H695" s="173"/>
      <c r="I695" s="49"/>
      <c r="J695" s="49"/>
      <c r="K695" s="49"/>
      <c r="L695" s="49"/>
      <c r="M695" s="49"/>
      <c r="N695" s="49"/>
      <c r="O695" s="49"/>
      <c r="P695" s="49"/>
      <c r="Q695" s="49"/>
      <c r="R695" s="49"/>
      <c r="S695" s="49"/>
      <c r="T695" s="49"/>
      <c r="U695" s="49"/>
      <c r="V695" s="49"/>
      <c r="W695" s="49"/>
      <c r="X695" s="49"/>
      <c r="Y695" s="49"/>
      <c r="Z695" s="49"/>
      <c r="AA695" s="49"/>
      <c r="AB695" s="49"/>
      <c r="AC695" s="49"/>
    </row>
    <row r="696" spans="1:29" ht="13">
      <c r="A696" s="47"/>
      <c r="B696" s="47"/>
      <c r="C696" s="49"/>
      <c r="D696" s="49"/>
      <c r="E696" s="49"/>
      <c r="F696" s="49"/>
      <c r="G696" s="49"/>
      <c r="H696" s="173"/>
      <c r="I696" s="49"/>
      <c r="J696" s="49"/>
      <c r="K696" s="49"/>
      <c r="L696" s="49"/>
      <c r="M696" s="49"/>
      <c r="N696" s="49"/>
      <c r="O696" s="49"/>
      <c r="P696" s="49"/>
      <c r="Q696" s="49"/>
      <c r="R696" s="49"/>
      <c r="S696" s="49"/>
      <c r="T696" s="49"/>
      <c r="U696" s="49"/>
      <c r="V696" s="49"/>
      <c r="W696" s="49"/>
      <c r="X696" s="49"/>
      <c r="Y696" s="49"/>
      <c r="Z696" s="49"/>
      <c r="AA696" s="49"/>
      <c r="AB696" s="49"/>
      <c r="AC696" s="49"/>
    </row>
    <row r="697" spans="1:29" ht="13">
      <c r="A697" s="47"/>
      <c r="B697" s="47"/>
      <c r="C697" s="49"/>
      <c r="D697" s="49"/>
      <c r="E697" s="49"/>
      <c r="F697" s="49"/>
      <c r="G697" s="49"/>
      <c r="H697" s="173"/>
      <c r="I697" s="49"/>
      <c r="J697" s="49"/>
      <c r="K697" s="49"/>
      <c r="L697" s="49"/>
      <c r="M697" s="49"/>
      <c r="N697" s="49"/>
      <c r="O697" s="49"/>
      <c r="P697" s="49"/>
      <c r="Q697" s="49"/>
      <c r="R697" s="49"/>
      <c r="S697" s="49"/>
      <c r="T697" s="49"/>
      <c r="U697" s="49"/>
      <c r="V697" s="49"/>
      <c r="W697" s="49"/>
      <c r="X697" s="49"/>
      <c r="Y697" s="49"/>
      <c r="Z697" s="49"/>
      <c r="AA697" s="49"/>
      <c r="AB697" s="49"/>
      <c r="AC697" s="49"/>
    </row>
    <row r="698" spans="1:29" ht="13">
      <c r="A698" s="47"/>
      <c r="B698" s="47"/>
      <c r="C698" s="49"/>
      <c r="D698" s="49"/>
      <c r="E698" s="49"/>
      <c r="F698" s="49"/>
      <c r="G698" s="49"/>
      <c r="H698" s="173"/>
      <c r="I698" s="49"/>
      <c r="J698" s="49"/>
      <c r="K698" s="49"/>
      <c r="L698" s="49"/>
      <c r="M698" s="49"/>
      <c r="N698" s="49"/>
      <c r="O698" s="49"/>
      <c r="P698" s="49"/>
      <c r="Q698" s="49"/>
      <c r="R698" s="49"/>
      <c r="S698" s="49"/>
      <c r="T698" s="49"/>
      <c r="U698" s="49"/>
      <c r="V698" s="49"/>
      <c r="W698" s="49"/>
      <c r="X698" s="49"/>
      <c r="Y698" s="49"/>
      <c r="Z698" s="49"/>
      <c r="AA698" s="49"/>
      <c r="AB698" s="49"/>
      <c r="AC698" s="49"/>
    </row>
    <row r="699" spans="1:29" ht="13">
      <c r="A699" s="47"/>
      <c r="B699" s="47"/>
      <c r="C699" s="49"/>
      <c r="D699" s="49"/>
      <c r="E699" s="49"/>
      <c r="F699" s="49"/>
      <c r="G699" s="49"/>
      <c r="H699" s="173"/>
      <c r="I699" s="49"/>
      <c r="J699" s="49"/>
      <c r="K699" s="49"/>
      <c r="L699" s="49"/>
      <c r="M699" s="49"/>
      <c r="N699" s="49"/>
      <c r="O699" s="49"/>
      <c r="P699" s="49"/>
      <c r="Q699" s="49"/>
      <c r="R699" s="49"/>
      <c r="S699" s="49"/>
      <c r="T699" s="49"/>
      <c r="U699" s="49"/>
      <c r="V699" s="49"/>
      <c r="W699" s="49"/>
      <c r="X699" s="49"/>
      <c r="Y699" s="49"/>
      <c r="Z699" s="49"/>
      <c r="AA699" s="49"/>
      <c r="AB699" s="49"/>
      <c r="AC699" s="49"/>
    </row>
    <row r="700" spans="1:29" ht="13">
      <c r="A700" s="47"/>
      <c r="B700" s="47"/>
      <c r="C700" s="49"/>
      <c r="D700" s="49"/>
      <c r="E700" s="49"/>
      <c r="F700" s="49"/>
      <c r="G700" s="49"/>
      <c r="H700" s="173"/>
      <c r="I700" s="49"/>
      <c r="J700" s="49"/>
      <c r="K700" s="49"/>
      <c r="L700" s="49"/>
      <c r="M700" s="49"/>
      <c r="N700" s="49"/>
      <c r="O700" s="49"/>
      <c r="P700" s="49"/>
      <c r="Q700" s="49"/>
      <c r="R700" s="49"/>
      <c r="S700" s="49"/>
      <c r="T700" s="49"/>
      <c r="U700" s="49"/>
      <c r="V700" s="49"/>
      <c r="W700" s="49"/>
      <c r="X700" s="49"/>
      <c r="Y700" s="49"/>
      <c r="Z700" s="49"/>
      <c r="AA700" s="49"/>
      <c r="AB700" s="49"/>
      <c r="AC700" s="49"/>
    </row>
    <row r="701" spans="1:29" ht="13">
      <c r="A701" s="47"/>
      <c r="B701" s="47"/>
      <c r="C701" s="49"/>
      <c r="D701" s="49"/>
      <c r="E701" s="49"/>
      <c r="F701" s="49"/>
      <c r="G701" s="49"/>
      <c r="H701" s="173"/>
      <c r="I701" s="49"/>
      <c r="J701" s="49"/>
      <c r="K701" s="49"/>
      <c r="L701" s="49"/>
      <c r="M701" s="49"/>
      <c r="N701" s="49"/>
      <c r="O701" s="49"/>
      <c r="P701" s="49"/>
      <c r="Q701" s="49"/>
      <c r="R701" s="49"/>
      <c r="S701" s="49"/>
      <c r="T701" s="49"/>
      <c r="U701" s="49"/>
      <c r="V701" s="49"/>
      <c r="W701" s="49"/>
      <c r="X701" s="49"/>
      <c r="Y701" s="49"/>
      <c r="Z701" s="49"/>
      <c r="AA701" s="49"/>
      <c r="AB701" s="49"/>
      <c r="AC701" s="49"/>
    </row>
    <row r="702" spans="1:29" ht="13">
      <c r="A702" s="47"/>
      <c r="B702" s="47"/>
      <c r="C702" s="49"/>
      <c r="D702" s="49"/>
      <c r="E702" s="49"/>
      <c r="F702" s="49"/>
      <c r="G702" s="49"/>
      <c r="H702" s="173"/>
      <c r="I702" s="49"/>
      <c r="J702" s="49"/>
      <c r="K702" s="49"/>
      <c r="L702" s="49"/>
      <c r="M702" s="49"/>
      <c r="N702" s="49"/>
      <c r="O702" s="49"/>
      <c r="P702" s="49"/>
      <c r="Q702" s="49"/>
      <c r="R702" s="49"/>
      <c r="S702" s="49"/>
      <c r="T702" s="49"/>
      <c r="U702" s="49"/>
      <c r="V702" s="49"/>
      <c r="W702" s="49"/>
      <c r="X702" s="49"/>
      <c r="Y702" s="49"/>
      <c r="Z702" s="49"/>
      <c r="AA702" s="49"/>
      <c r="AB702" s="49"/>
      <c r="AC702" s="49"/>
    </row>
    <row r="703" spans="1:29" ht="13">
      <c r="A703" s="47"/>
      <c r="B703" s="47"/>
      <c r="C703" s="49"/>
      <c r="D703" s="49"/>
      <c r="E703" s="49"/>
      <c r="F703" s="49"/>
      <c r="G703" s="49"/>
      <c r="H703" s="173"/>
      <c r="I703" s="49"/>
      <c r="J703" s="49"/>
      <c r="K703" s="49"/>
      <c r="L703" s="49"/>
      <c r="M703" s="49"/>
      <c r="N703" s="49"/>
      <c r="O703" s="49"/>
      <c r="P703" s="49"/>
      <c r="Q703" s="49"/>
      <c r="R703" s="49"/>
      <c r="S703" s="49"/>
      <c r="T703" s="49"/>
      <c r="U703" s="49"/>
      <c r="V703" s="49"/>
      <c r="W703" s="49"/>
      <c r="X703" s="49"/>
      <c r="Y703" s="49"/>
      <c r="Z703" s="49"/>
      <c r="AA703" s="49"/>
      <c r="AB703" s="49"/>
      <c r="AC703" s="49"/>
    </row>
    <row r="704" spans="1:29" ht="13">
      <c r="A704" s="47"/>
      <c r="B704" s="47"/>
      <c r="C704" s="49"/>
      <c r="D704" s="49"/>
      <c r="E704" s="49"/>
      <c r="F704" s="49"/>
      <c r="G704" s="49"/>
      <c r="H704" s="173"/>
      <c r="I704" s="49"/>
      <c r="J704" s="49"/>
      <c r="K704" s="49"/>
      <c r="L704" s="49"/>
      <c r="M704" s="49"/>
      <c r="N704" s="49"/>
      <c r="O704" s="49"/>
      <c r="P704" s="49"/>
      <c r="Q704" s="49"/>
      <c r="R704" s="49"/>
      <c r="S704" s="49"/>
      <c r="T704" s="49"/>
      <c r="U704" s="49"/>
      <c r="V704" s="49"/>
      <c r="W704" s="49"/>
      <c r="X704" s="49"/>
      <c r="Y704" s="49"/>
      <c r="Z704" s="49"/>
      <c r="AA704" s="49"/>
      <c r="AB704" s="49"/>
      <c r="AC704" s="49"/>
    </row>
    <row r="705" spans="1:29" ht="13">
      <c r="A705" s="47"/>
      <c r="B705" s="47"/>
      <c r="C705" s="49"/>
      <c r="D705" s="49"/>
      <c r="E705" s="49"/>
      <c r="F705" s="49"/>
      <c r="G705" s="49"/>
      <c r="H705" s="173"/>
      <c r="I705" s="49"/>
      <c r="J705" s="49"/>
      <c r="K705" s="49"/>
      <c r="L705" s="49"/>
      <c r="M705" s="49"/>
      <c r="N705" s="49"/>
      <c r="O705" s="49"/>
      <c r="P705" s="49"/>
      <c r="Q705" s="49"/>
      <c r="R705" s="49"/>
      <c r="S705" s="49"/>
      <c r="T705" s="49"/>
      <c r="U705" s="49"/>
      <c r="V705" s="49"/>
      <c r="W705" s="49"/>
      <c r="X705" s="49"/>
      <c r="Y705" s="49"/>
      <c r="Z705" s="49"/>
      <c r="AA705" s="49"/>
      <c r="AB705" s="49"/>
      <c r="AC705" s="49"/>
    </row>
    <row r="706" spans="1:29" ht="13">
      <c r="A706" s="47"/>
      <c r="B706" s="47"/>
      <c r="C706" s="49"/>
      <c r="D706" s="49"/>
      <c r="E706" s="49"/>
      <c r="F706" s="49"/>
      <c r="G706" s="49"/>
      <c r="H706" s="173"/>
      <c r="I706" s="49"/>
      <c r="J706" s="49"/>
      <c r="K706" s="49"/>
      <c r="L706" s="49"/>
      <c r="M706" s="49"/>
      <c r="N706" s="49"/>
      <c r="O706" s="49"/>
      <c r="P706" s="49"/>
      <c r="Q706" s="49"/>
      <c r="R706" s="49"/>
      <c r="S706" s="49"/>
      <c r="T706" s="49"/>
      <c r="U706" s="49"/>
      <c r="V706" s="49"/>
      <c r="W706" s="49"/>
      <c r="X706" s="49"/>
      <c r="Y706" s="49"/>
      <c r="Z706" s="49"/>
      <c r="AA706" s="49"/>
      <c r="AB706" s="49"/>
      <c r="AC706" s="49"/>
    </row>
    <row r="707" spans="1:29" ht="13">
      <c r="A707" s="47"/>
      <c r="B707" s="47"/>
      <c r="C707" s="49"/>
      <c r="D707" s="49"/>
      <c r="E707" s="49"/>
      <c r="F707" s="49"/>
      <c r="G707" s="49"/>
      <c r="H707" s="173"/>
      <c r="I707" s="49"/>
      <c r="J707" s="49"/>
      <c r="K707" s="49"/>
      <c r="L707" s="49"/>
      <c r="M707" s="49"/>
      <c r="N707" s="49"/>
      <c r="O707" s="49"/>
      <c r="P707" s="49"/>
      <c r="Q707" s="49"/>
      <c r="R707" s="49"/>
      <c r="S707" s="49"/>
      <c r="T707" s="49"/>
      <c r="U707" s="49"/>
      <c r="V707" s="49"/>
      <c r="W707" s="49"/>
      <c r="X707" s="49"/>
      <c r="Y707" s="49"/>
      <c r="Z707" s="49"/>
      <c r="AA707" s="49"/>
      <c r="AB707" s="49"/>
      <c r="AC707" s="49"/>
    </row>
    <row r="708" spans="1:29" ht="13">
      <c r="A708" s="47"/>
      <c r="B708" s="47"/>
      <c r="C708" s="49"/>
      <c r="D708" s="49"/>
      <c r="E708" s="49"/>
      <c r="F708" s="49"/>
      <c r="G708" s="49"/>
      <c r="H708" s="173"/>
      <c r="I708" s="49"/>
      <c r="J708" s="49"/>
      <c r="K708" s="49"/>
      <c r="L708" s="49"/>
      <c r="M708" s="49"/>
      <c r="N708" s="49"/>
      <c r="O708" s="49"/>
      <c r="P708" s="49"/>
      <c r="Q708" s="49"/>
      <c r="R708" s="49"/>
      <c r="S708" s="49"/>
      <c r="T708" s="49"/>
      <c r="U708" s="49"/>
      <c r="V708" s="49"/>
      <c r="W708" s="49"/>
      <c r="X708" s="49"/>
      <c r="Y708" s="49"/>
      <c r="Z708" s="49"/>
      <c r="AA708" s="49"/>
      <c r="AB708" s="49"/>
      <c r="AC708" s="49"/>
    </row>
    <row r="709" spans="1:29" ht="13">
      <c r="A709" s="47"/>
      <c r="B709" s="47"/>
      <c r="C709" s="49"/>
      <c r="D709" s="49"/>
      <c r="E709" s="49"/>
      <c r="F709" s="49"/>
      <c r="G709" s="49"/>
      <c r="H709" s="173"/>
      <c r="I709" s="49"/>
      <c r="J709" s="49"/>
      <c r="K709" s="49"/>
      <c r="L709" s="49"/>
      <c r="M709" s="49"/>
      <c r="N709" s="49"/>
      <c r="O709" s="49"/>
      <c r="P709" s="49"/>
      <c r="Q709" s="49"/>
      <c r="R709" s="49"/>
      <c r="S709" s="49"/>
      <c r="T709" s="49"/>
      <c r="U709" s="49"/>
      <c r="V709" s="49"/>
      <c r="W709" s="49"/>
      <c r="X709" s="49"/>
      <c r="Y709" s="49"/>
      <c r="Z709" s="49"/>
      <c r="AA709" s="49"/>
      <c r="AB709" s="49"/>
      <c r="AC709" s="49"/>
    </row>
    <row r="710" spans="1:29" ht="13">
      <c r="A710" s="47"/>
      <c r="B710" s="47"/>
      <c r="C710" s="49"/>
      <c r="D710" s="49"/>
      <c r="E710" s="49"/>
      <c r="F710" s="49"/>
      <c r="G710" s="49"/>
      <c r="H710" s="173"/>
      <c r="I710" s="49"/>
      <c r="J710" s="49"/>
      <c r="K710" s="49"/>
      <c r="L710" s="49"/>
      <c r="M710" s="49"/>
      <c r="N710" s="49"/>
      <c r="O710" s="49"/>
      <c r="P710" s="49"/>
      <c r="Q710" s="49"/>
      <c r="R710" s="49"/>
      <c r="S710" s="49"/>
      <c r="T710" s="49"/>
      <c r="U710" s="49"/>
      <c r="V710" s="49"/>
      <c r="W710" s="49"/>
      <c r="X710" s="49"/>
      <c r="Y710" s="49"/>
      <c r="Z710" s="49"/>
      <c r="AA710" s="49"/>
      <c r="AB710" s="49"/>
      <c r="AC710" s="49"/>
    </row>
    <row r="711" spans="1:29" ht="13">
      <c r="A711" s="47"/>
      <c r="B711" s="47"/>
      <c r="C711" s="49"/>
      <c r="D711" s="49"/>
      <c r="E711" s="49"/>
      <c r="F711" s="49"/>
      <c r="G711" s="49"/>
      <c r="H711" s="173"/>
      <c r="I711" s="49"/>
      <c r="J711" s="49"/>
      <c r="K711" s="49"/>
      <c r="L711" s="49"/>
      <c r="M711" s="49"/>
      <c r="N711" s="49"/>
      <c r="O711" s="49"/>
      <c r="P711" s="49"/>
      <c r="Q711" s="49"/>
      <c r="R711" s="49"/>
      <c r="S711" s="49"/>
      <c r="T711" s="49"/>
      <c r="U711" s="49"/>
      <c r="V711" s="49"/>
      <c r="W711" s="49"/>
      <c r="X711" s="49"/>
      <c r="Y711" s="49"/>
      <c r="Z711" s="49"/>
      <c r="AA711" s="49"/>
      <c r="AB711" s="49"/>
      <c r="AC711" s="49"/>
    </row>
    <row r="712" spans="1:29" ht="13">
      <c r="A712" s="47"/>
      <c r="B712" s="47"/>
      <c r="C712" s="49"/>
      <c r="D712" s="49"/>
      <c r="E712" s="49"/>
      <c r="F712" s="49"/>
      <c r="G712" s="49"/>
      <c r="H712" s="173"/>
      <c r="I712" s="49"/>
      <c r="J712" s="49"/>
      <c r="K712" s="49"/>
      <c r="L712" s="49"/>
      <c r="M712" s="49"/>
      <c r="N712" s="49"/>
      <c r="O712" s="49"/>
      <c r="P712" s="49"/>
      <c r="Q712" s="49"/>
      <c r="R712" s="49"/>
      <c r="S712" s="49"/>
      <c r="T712" s="49"/>
      <c r="U712" s="49"/>
      <c r="V712" s="49"/>
      <c r="W712" s="49"/>
      <c r="X712" s="49"/>
      <c r="Y712" s="49"/>
      <c r="Z712" s="49"/>
      <c r="AA712" s="49"/>
      <c r="AB712" s="49"/>
      <c r="AC712" s="49"/>
    </row>
    <row r="713" spans="1:29" ht="13">
      <c r="A713" s="47"/>
      <c r="B713" s="47"/>
      <c r="C713" s="49"/>
      <c r="D713" s="49"/>
      <c r="E713" s="49"/>
      <c r="F713" s="49"/>
      <c r="G713" s="49"/>
      <c r="H713" s="173"/>
      <c r="I713" s="49"/>
      <c r="J713" s="49"/>
      <c r="K713" s="49"/>
      <c r="L713" s="49"/>
      <c r="M713" s="49"/>
      <c r="N713" s="49"/>
      <c r="O713" s="49"/>
      <c r="P713" s="49"/>
      <c r="Q713" s="49"/>
      <c r="R713" s="49"/>
      <c r="S713" s="49"/>
      <c r="T713" s="49"/>
      <c r="U713" s="49"/>
      <c r="V713" s="49"/>
      <c r="W713" s="49"/>
      <c r="X713" s="49"/>
      <c r="Y713" s="49"/>
      <c r="Z713" s="49"/>
      <c r="AA713" s="49"/>
      <c r="AB713" s="49"/>
      <c r="AC713" s="49"/>
    </row>
    <row r="714" spans="1:29" ht="13">
      <c r="A714" s="47"/>
      <c r="B714" s="47"/>
      <c r="C714" s="49"/>
      <c r="D714" s="49"/>
      <c r="E714" s="49"/>
      <c r="F714" s="49"/>
      <c r="G714" s="49"/>
      <c r="H714" s="173"/>
      <c r="I714" s="49"/>
      <c r="J714" s="49"/>
      <c r="K714" s="49"/>
      <c r="L714" s="49"/>
      <c r="M714" s="49"/>
      <c r="N714" s="49"/>
      <c r="O714" s="49"/>
      <c r="P714" s="49"/>
      <c r="Q714" s="49"/>
      <c r="R714" s="49"/>
      <c r="S714" s="49"/>
      <c r="T714" s="49"/>
      <c r="U714" s="49"/>
      <c r="V714" s="49"/>
      <c r="W714" s="49"/>
      <c r="X714" s="49"/>
      <c r="Y714" s="49"/>
      <c r="Z714" s="49"/>
      <c r="AA714" s="49"/>
      <c r="AB714" s="49"/>
      <c r="AC714" s="49"/>
    </row>
    <row r="715" spans="1:29" ht="13">
      <c r="A715" s="47"/>
      <c r="B715" s="47"/>
      <c r="C715" s="49"/>
      <c r="D715" s="49"/>
      <c r="E715" s="49"/>
      <c r="F715" s="49"/>
      <c r="G715" s="49"/>
      <c r="H715" s="173"/>
      <c r="I715" s="49"/>
      <c r="J715" s="49"/>
      <c r="K715" s="49"/>
      <c r="L715" s="49"/>
      <c r="M715" s="49"/>
      <c r="N715" s="49"/>
      <c r="O715" s="49"/>
      <c r="P715" s="49"/>
      <c r="Q715" s="49"/>
      <c r="R715" s="49"/>
      <c r="S715" s="49"/>
      <c r="T715" s="49"/>
      <c r="U715" s="49"/>
      <c r="V715" s="49"/>
      <c r="W715" s="49"/>
      <c r="X715" s="49"/>
      <c r="Y715" s="49"/>
      <c r="Z715" s="49"/>
      <c r="AA715" s="49"/>
      <c r="AB715" s="49"/>
      <c r="AC715" s="49"/>
    </row>
    <row r="716" spans="1:29" ht="13">
      <c r="A716" s="47"/>
      <c r="B716" s="47"/>
      <c r="C716" s="49"/>
      <c r="D716" s="49"/>
      <c r="E716" s="49"/>
      <c r="F716" s="49"/>
      <c r="G716" s="49"/>
      <c r="H716" s="173"/>
      <c r="I716" s="49"/>
      <c r="J716" s="49"/>
      <c r="K716" s="49"/>
      <c r="L716" s="49"/>
      <c r="M716" s="49"/>
      <c r="N716" s="49"/>
      <c r="O716" s="49"/>
      <c r="P716" s="49"/>
      <c r="Q716" s="49"/>
      <c r="R716" s="49"/>
      <c r="S716" s="49"/>
      <c r="T716" s="49"/>
      <c r="U716" s="49"/>
      <c r="V716" s="49"/>
      <c r="W716" s="49"/>
      <c r="X716" s="49"/>
      <c r="Y716" s="49"/>
      <c r="Z716" s="49"/>
      <c r="AA716" s="49"/>
      <c r="AB716" s="49"/>
      <c r="AC716" s="49"/>
    </row>
    <row r="717" spans="1:29" ht="13">
      <c r="A717" s="47"/>
      <c r="B717" s="47"/>
      <c r="C717" s="49"/>
      <c r="D717" s="49"/>
      <c r="E717" s="49"/>
      <c r="F717" s="49"/>
      <c r="G717" s="49"/>
      <c r="H717" s="173"/>
      <c r="I717" s="49"/>
      <c r="J717" s="49"/>
      <c r="K717" s="49"/>
      <c r="L717" s="49"/>
      <c r="M717" s="49"/>
      <c r="N717" s="49"/>
      <c r="O717" s="49"/>
      <c r="P717" s="49"/>
      <c r="Q717" s="49"/>
      <c r="R717" s="49"/>
      <c r="S717" s="49"/>
      <c r="T717" s="49"/>
      <c r="U717" s="49"/>
      <c r="V717" s="49"/>
      <c r="W717" s="49"/>
      <c r="X717" s="49"/>
      <c r="Y717" s="49"/>
      <c r="Z717" s="49"/>
      <c r="AA717" s="49"/>
      <c r="AB717" s="49"/>
      <c r="AC717" s="49"/>
    </row>
    <row r="718" spans="1:29" ht="13">
      <c r="A718" s="47"/>
      <c r="B718" s="47"/>
      <c r="C718" s="49"/>
      <c r="D718" s="49"/>
      <c r="E718" s="49"/>
      <c r="F718" s="49"/>
      <c r="G718" s="49"/>
      <c r="H718" s="173"/>
      <c r="I718" s="49"/>
      <c r="J718" s="49"/>
      <c r="K718" s="49"/>
      <c r="L718" s="49"/>
      <c r="M718" s="49"/>
      <c r="N718" s="49"/>
      <c r="O718" s="49"/>
      <c r="P718" s="49"/>
      <c r="Q718" s="49"/>
      <c r="R718" s="49"/>
      <c r="S718" s="49"/>
      <c r="T718" s="49"/>
      <c r="U718" s="49"/>
      <c r="V718" s="49"/>
      <c r="W718" s="49"/>
      <c r="X718" s="49"/>
      <c r="Y718" s="49"/>
      <c r="Z718" s="49"/>
      <c r="AA718" s="49"/>
      <c r="AB718" s="49"/>
      <c r="AC718" s="49"/>
    </row>
    <row r="719" spans="1:29" ht="13">
      <c r="A719" s="47"/>
      <c r="B719" s="47"/>
      <c r="C719" s="49"/>
      <c r="D719" s="49"/>
      <c r="E719" s="49"/>
      <c r="F719" s="49"/>
      <c r="G719" s="49"/>
      <c r="H719" s="173"/>
      <c r="I719" s="49"/>
      <c r="J719" s="49"/>
      <c r="K719" s="49"/>
      <c r="L719" s="49"/>
      <c r="M719" s="49"/>
      <c r="N719" s="49"/>
      <c r="O719" s="49"/>
      <c r="P719" s="49"/>
      <c r="Q719" s="49"/>
      <c r="R719" s="49"/>
      <c r="S719" s="49"/>
      <c r="T719" s="49"/>
      <c r="U719" s="49"/>
      <c r="V719" s="49"/>
      <c r="W719" s="49"/>
      <c r="X719" s="49"/>
      <c r="Y719" s="49"/>
      <c r="Z719" s="49"/>
      <c r="AA719" s="49"/>
      <c r="AB719" s="49"/>
      <c r="AC719" s="49"/>
    </row>
    <row r="720" spans="1:29" ht="13">
      <c r="A720" s="47"/>
      <c r="B720" s="47"/>
      <c r="C720" s="49"/>
      <c r="D720" s="49"/>
      <c r="E720" s="49"/>
      <c r="F720" s="49"/>
      <c r="G720" s="49"/>
      <c r="H720" s="173"/>
      <c r="I720" s="49"/>
      <c r="J720" s="49"/>
      <c r="K720" s="49"/>
      <c r="L720" s="49"/>
      <c r="M720" s="49"/>
      <c r="N720" s="49"/>
      <c r="O720" s="49"/>
      <c r="P720" s="49"/>
      <c r="Q720" s="49"/>
      <c r="R720" s="49"/>
      <c r="S720" s="49"/>
      <c r="T720" s="49"/>
      <c r="U720" s="49"/>
      <c r="V720" s="49"/>
      <c r="W720" s="49"/>
      <c r="X720" s="49"/>
      <c r="Y720" s="49"/>
      <c r="Z720" s="49"/>
      <c r="AA720" s="49"/>
      <c r="AB720" s="49"/>
      <c r="AC720" s="49"/>
    </row>
    <row r="721" spans="1:29" ht="13">
      <c r="A721" s="47"/>
      <c r="B721" s="47"/>
      <c r="C721" s="49"/>
      <c r="D721" s="49"/>
      <c r="E721" s="49"/>
      <c r="F721" s="49"/>
      <c r="G721" s="49"/>
      <c r="H721" s="173"/>
      <c r="I721" s="49"/>
      <c r="J721" s="49"/>
      <c r="K721" s="49"/>
      <c r="L721" s="49"/>
      <c r="M721" s="49"/>
      <c r="N721" s="49"/>
      <c r="O721" s="49"/>
      <c r="P721" s="49"/>
      <c r="Q721" s="49"/>
      <c r="R721" s="49"/>
      <c r="S721" s="49"/>
      <c r="T721" s="49"/>
      <c r="U721" s="49"/>
      <c r="V721" s="49"/>
      <c r="W721" s="49"/>
      <c r="X721" s="49"/>
      <c r="Y721" s="49"/>
      <c r="Z721" s="49"/>
      <c r="AA721" s="49"/>
      <c r="AB721" s="49"/>
      <c r="AC721" s="49"/>
    </row>
    <row r="722" spans="1:29" ht="13">
      <c r="A722" s="47"/>
      <c r="B722" s="47"/>
      <c r="C722" s="49"/>
      <c r="D722" s="49"/>
      <c r="E722" s="49"/>
      <c r="F722" s="49"/>
      <c r="G722" s="49"/>
      <c r="H722" s="173"/>
      <c r="I722" s="49"/>
      <c r="J722" s="49"/>
      <c r="K722" s="49"/>
      <c r="L722" s="49"/>
      <c r="M722" s="49"/>
      <c r="N722" s="49"/>
      <c r="O722" s="49"/>
      <c r="P722" s="49"/>
      <c r="Q722" s="49"/>
      <c r="R722" s="49"/>
      <c r="S722" s="49"/>
      <c r="T722" s="49"/>
      <c r="U722" s="49"/>
      <c r="V722" s="49"/>
      <c r="W722" s="49"/>
      <c r="X722" s="49"/>
      <c r="Y722" s="49"/>
      <c r="Z722" s="49"/>
      <c r="AA722" s="49"/>
      <c r="AB722" s="49"/>
      <c r="AC722" s="49"/>
    </row>
    <row r="723" spans="1:29" ht="13">
      <c r="A723" s="47"/>
      <c r="B723" s="47"/>
      <c r="C723" s="49"/>
      <c r="D723" s="49"/>
      <c r="E723" s="49"/>
      <c r="F723" s="49"/>
      <c r="G723" s="49"/>
      <c r="H723" s="173"/>
      <c r="I723" s="49"/>
      <c r="J723" s="49"/>
      <c r="K723" s="49"/>
      <c r="L723" s="49"/>
      <c r="M723" s="49"/>
      <c r="N723" s="49"/>
      <c r="O723" s="49"/>
      <c r="P723" s="49"/>
      <c r="Q723" s="49"/>
      <c r="R723" s="49"/>
      <c r="S723" s="49"/>
      <c r="T723" s="49"/>
      <c r="U723" s="49"/>
      <c r="V723" s="49"/>
      <c r="W723" s="49"/>
      <c r="X723" s="49"/>
      <c r="Y723" s="49"/>
      <c r="Z723" s="49"/>
      <c r="AA723" s="49"/>
      <c r="AB723" s="49"/>
      <c r="AC723" s="49"/>
    </row>
    <row r="724" spans="1:29" ht="13">
      <c r="A724" s="47"/>
      <c r="B724" s="47"/>
      <c r="C724" s="49"/>
      <c r="D724" s="49"/>
      <c r="E724" s="49"/>
      <c r="F724" s="49"/>
      <c r="G724" s="49"/>
      <c r="H724" s="173"/>
      <c r="I724" s="49"/>
      <c r="J724" s="49"/>
      <c r="K724" s="49"/>
      <c r="L724" s="49"/>
      <c r="M724" s="49"/>
      <c r="N724" s="49"/>
      <c r="O724" s="49"/>
      <c r="P724" s="49"/>
      <c r="Q724" s="49"/>
      <c r="R724" s="49"/>
      <c r="S724" s="49"/>
      <c r="T724" s="49"/>
      <c r="U724" s="49"/>
      <c r="V724" s="49"/>
      <c r="W724" s="49"/>
      <c r="X724" s="49"/>
      <c r="Y724" s="49"/>
      <c r="Z724" s="49"/>
      <c r="AA724" s="49"/>
      <c r="AB724" s="49"/>
      <c r="AC724" s="49"/>
    </row>
    <row r="725" spans="1:29" ht="13">
      <c r="A725" s="47"/>
      <c r="B725" s="47"/>
      <c r="C725" s="49"/>
      <c r="D725" s="49"/>
      <c r="E725" s="49"/>
      <c r="F725" s="49"/>
      <c r="G725" s="49"/>
      <c r="H725" s="173"/>
      <c r="I725" s="49"/>
      <c r="J725" s="49"/>
      <c r="K725" s="49"/>
      <c r="L725" s="49"/>
      <c r="M725" s="49"/>
      <c r="N725" s="49"/>
      <c r="O725" s="49"/>
      <c r="P725" s="49"/>
      <c r="Q725" s="49"/>
      <c r="R725" s="49"/>
      <c r="S725" s="49"/>
      <c r="T725" s="49"/>
      <c r="U725" s="49"/>
      <c r="V725" s="49"/>
      <c r="W725" s="49"/>
      <c r="X725" s="49"/>
      <c r="Y725" s="49"/>
      <c r="Z725" s="49"/>
      <c r="AA725" s="49"/>
      <c r="AB725" s="49"/>
      <c r="AC725" s="49"/>
    </row>
    <row r="726" spans="1:29" ht="13">
      <c r="A726" s="47"/>
      <c r="B726" s="47"/>
      <c r="C726" s="49"/>
      <c r="D726" s="49"/>
      <c r="E726" s="49"/>
      <c r="F726" s="49"/>
      <c r="G726" s="49"/>
      <c r="H726" s="173"/>
      <c r="I726" s="49"/>
      <c r="J726" s="49"/>
      <c r="K726" s="49"/>
      <c r="L726" s="49"/>
      <c r="M726" s="49"/>
      <c r="N726" s="49"/>
      <c r="O726" s="49"/>
      <c r="P726" s="49"/>
      <c r="Q726" s="49"/>
      <c r="R726" s="49"/>
      <c r="S726" s="49"/>
      <c r="T726" s="49"/>
      <c r="U726" s="49"/>
      <c r="V726" s="49"/>
      <c r="W726" s="49"/>
      <c r="X726" s="49"/>
      <c r="Y726" s="49"/>
      <c r="Z726" s="49"/>
      <c r="AA726" s="49"/>
      <c r="AB726" s="49"/>
      <c r="AC726" s="49"/>
    </row>
    <row r="727" spans="1:29" ht="13">
      <c r="A727" s="47"/>
      <c r="B727" s="47"/>
      <c r="C727" s="49"/>
      <c r="D727" s="49"/>
      <c r="E727" s="49"/>
      <c r="F727" s="49"/>
      <c r="G727" s="49"/>
      <c r="H727" s="173"/>
      <c r="I727" s="49"/>
      <c r="J727" s="49"/>
      <c r="K727" s="49"/>
      <c r="L727" s="49"/>
      <c r="M727" s="49"/>
      <c r="N727" s="49"/>
      <c r="O727" s="49"/>
      <c r="P727" s="49"/>
      <c r="Q727" s="49"/>
      <c r="R727" s="49"/>
      <c r="S727" s="49"/>
      <c r="T727" s="49"/>
      <c r="U727" s="49"/>
      <c r="V727" s="49"/>
      <c r="W727" s="49"/>
      <c r="X727" s="49"/>
      <c r="Y727" s="49"/>
      <c r="Z727" s="49"/>
      <c r="AA727" s="49"/>
      <c r="AB727" s="49"/>
      <c r="AC727" s="49"/>
    </row>
    <row r="728" spans="1:29" ht="13">
      <c r="A728" s="47"/>
      <c r="B728" s="47"/>
      <c r="C728" s="49"/>
      <c r="D728" s="49"/>
      <c r="E728" s="49"/>
      <c r="F728" s="49"/>
      <c r="G728" s="49"/>
      <c r="H728" s="173"/>
      <c r="I728" s="49"/>
      <c r="J728" s="49"/>
      <c r="K728" s="49"/>
      <c r="L728" s="49"/>
      <c r="M728" s="49"/>
      <c r="N728" s="49"/>
      <c r="O728" s="49"/>
      <c r="P728" s="49"/>
      <c r="Q728" s="49"/>
      <c r="R728" s="49"/>
      <c r="S728" s="49"/>
      <c r="T728" s="49"/>
      <c r="U728" s="49"/>
      <c r="V728" s="49"/>
      <c r="W728" s="49"/>
      <c r="X728" s="49"/>
      <c r="Y728" s="49"/>
      <c r="Z728" s="49"/>
      <c r="AA728" s="49"/>
      <c r="AB728" s="49"/>
      <c r="AC728" s="49"/>
    </row>
    <row r="729" spans="1:29" ht="13">
      <c r="A729" s="47"/>
      <c r="B729" s="47"/>
      <c r="C729" s="49"/>
      <c r="D729" s="49"/>
      <c r="E729" s="49"/>
      <c r="F729" s="49"/>
      <c r="G729" s="49"/>
      <c r="H729" s="173"/>
      <c r="I729" s="49"/>
      <c r="J729" s="49"/>
      <c r="K729" s="49"/>
      <c r="L729" s="49"/>
      <c r="M729" s="49"/>
      <c r="N729" s="49"/>
      <c r="O729" s="49"/>
      <c r="P729" s="49"/>
      <c r="Q729" s="49"/>
      <c r="R729" s="49"/>
      <c r="S729" s="49"/>
      <c r="T729" s="49"/>
      <c r="U729" s="49"/>
      <c r="V729" s="49"/>
      <c r="W729" s="49"/>
      <c r="X729" s="49"/>
      <c r="Y729" s="49"/>
      <c r="Z729" s="49"/>
      <c r="AA729" s="49"/>
      <c r="AB729" s="49"/>
      <c r="AC729" s="49"/>
    </row>
    <row r="730" spans="1:29" ht="13">
      <c r="A730" s="47"/>
      <c r="B730" s="47"/>
      <c r="C730" s="49"/>
      <c r="D730" s="49"/>
      <c r="E730" s="49"/>
      <c r="F730" s="49"/>
      <c r="G730" s="49"/>
      <c r="H730" s="173"/>
      <c r="I730" s="49"/>
      <c r="J730" s="49"/>
      <c r="K730" s="49"/>
      <c r="L730" s="49"/>
      <c r="M730" s="49"/>
      <c r="N730" s="49"/>
      <c r="O730" s="49"/>
      <c r="P730" s="49"/>
      <c r="Q730" s="49"/>
      <c r="R730" s="49"/>
      <c r="S730" s="49"/>
      <c r="T730" s="49"/>
      <c r="U730" s="49"/>
      <c r="V730" s="49"/>
      <c r="W730" s="49"/>
      <c r="X730" s="49"/>
      <c r="Y730" s="49"/>
      <c r="Z730" s="49"/>
      <c r="AA730" s="49"/>
      <c r="AB730" s="49"/>
      <c r="AC730" s="49"/>
    </row>
    <row r="731" spans="1:29" ht="13">
      <c r="A731" s="47"/>
      <c r="B731" s="47"/>
      <c r="C731" s="49"/>
      <c r="D731" s="49"/>
      <c r="E731" s="49"/>
      <c r="F731" s="49"/>
      <c r="G731" s="49"/>
      <c r="H731" s="173"/>
      <c r="I731" s="49"/>
      <c r="J731" s="49"/>
      <c r="K731" s="49"/>
      <c r="L731" s="49"/>
      <c r="M731" s="49"/>
      <c r="N731" s="49"/>
      <c r="O731" s="49"/>
      <c r="P731" s="49"/>
      <c r="Q731" s="49"/>
      <c r="R731" s="49"/>
      <c r="S731" s="49"/>
      <c r="T731" s="49"/>
      <c r="U731" s="49"/>
      <c r="V731" s="49"/>
      <c r="W731" s="49"/>
      <c r="X731" s="49"/>
      <c r="Y731" s="49"/>
      <c r="Z731" s="49"/>
      <c r="AA731" s="49"/>
      <c r="AB731" s="49"/>
      <c r="AC731" s="49"/>
    </row>
    <row r="732" spans="1:29" ht="13">
      <c r="A732" s="47"/>
      <c r="B732" s="47"/>
      <c r="C732" s="49"/>
      <c r="D732" s="49"/>
      <c r="E732" s="49"/>
      <c r="F732" s="49"/>
      <c r="G732" s="49"/>
      <c r="H732" s="173"/>
      <c r="I732" s="49"/>
      <c r="J732" s="49"/>
      <c r="K732" s="49"/>
      <c r="L732" s="49"/>
      <c r="M732" s="49"/>
      <c r="N732" s="49"/>
      <c r="O732" s="49"/>
      <c r="P732" s="49"/>
      <c r="Q732" s="49"/>
      <c r="R732" s="49"/>
      <c r="S732" s="49"/>
      <c r="T732" s="49"/>
      <c r="U732" s="49"/>
      <c r="V732" s="49"/>
      <c r="W732" s="49"/>
      <c r="X732" s="49"/>
      <c r="Y732" s="49"/>
      <c r="Z732" s="49"/>
      <c r="AA732" s="49"/>
      <c r="AB732" s="49"/>
      <c r="AC732" s="49"/>
    </row>
    <row r="733" spans="1:29" ht="13">
      <c r="A733" s="47"/>
      <c r="B733" s="47"/>
      <c r="C733" s="49"/>
      <c r="D733" s="49"/>
      <c r="E733" s="49"/>
      <c r="F733" s="49"/>
      <c r="G733" s="49"/>
      <c r="H733" s="173"/>
      <c r="I733" s="49"/>
      <c r="J733" s="49"/>
      <c r="K733" s="49"/>
      <c r="L733" s="49"/>
      <c r="M733" s="49"/>
      <c r="N733" s="49"/>
      <c r="O733" s="49"/>
      <c r="P733" s="49"/>
      <c r="Q733" s="49"/>
      <c r="R733" s="49"/>
      <c r="S733" s="49"/>
      <c r="T733" s="49"/>
      <c r="U733" s="49"/>
      <c r="V733" s="49"/>
      <c r="W733" s="49"/>
      <c r="X733" s="49"/>
      <c r="Y733" s="49"/>
      <c r="Z733" s="49"/>
      <c r="AA733" s="49"/>
      <c r="AB733" s="49"/>
      <c r="AC733" s="49"/>
    </row>
    <row r="734" spans="1:29" ht="13">
      <c r="A734" s="47"/>
      <c r="B734" s="47"/>
      <c r="C734" s="49"/>
      <c r="D734" s="49"/>
      <c r="E734" s="49"/>
      <c r="F734" s="49"/>
      <c r="G734" s="49"/>
      <c r="H734" s="173"/>
      <c r="I734" s="49"/>
      <c r="J734" s="49"/>
      <c r="K734" s="49"/>
      <c r="L734" s="49"/>
      <c r="M734" s="49"/>
      <c r="N734" s="49"/>
      <c r="O734" s="49"/>
      <c r="P734" s="49"/>
      <c r="Q734" s="49"/>
      <c r="R734" s="49"/>
      <c r="S734" s="49"/>
      <c r="T734" s="49"/>
      <c r="U734" s="49"/>
      <c r="V734" s="49"/>
      <c r="W734" s="49"/>
      <c r="X734" s="49"/>
      <c r="Y734" s="49"/>
      <c r="Z734" s="49"/>
      <c r="AA734" s="49"/>
      <c r="AB734" s="49"/>
      <c r="AC734" s="49"/>
    </row>
    <row r="735" spans="1:29" ht="13">
      <c r="A735" s="47"/>
      <c r="B735" s="47"/>
      <c r="C735" s="49"/>
      <c r="D735" s="49"/>
      <c r="E735" s="49"/>
      <c r="F735" s="49"/>
      <c r="G735" s="49"/>
      <c r="H735" s="173"/>
      <c r="I735" s="49"/>
      <c r="J735" s="49"/>
      <c r="K735" s="49"/>
      <c r="L735" s="49"/>
      <c r="M735" s="49"/>
      <c r="N735" s="49"/>
      <c r="O735" s="49"/>
      <c r="P735" s="49"/>
      <c r="Q735" s="49"/>
      <c r="R735" s="49"/>
      <c r="S735" s="49"/>
      <c r="T735" s="49"/>
      <c r="U735" s="49"/>
      <c r="V735" s="49"/>
      <c r="W735" s="49"/>
      <c r="X735" s="49"/>
      <c r="Y735" s="49"/>
      <c r="Z735" s="49"/>
      <c r="AA735" s="49"/>
      <c r="AB735" s="49"/>
      <c r="AC735" s="49"/>
    </row>
    <row r="736" spans="1:29" ht="13">
      <c r="A736" s="47"/>
      <c r="B736" s="47"/>
      <c r="C736" s="49"/>
      <c r="D736" s="49"/>
      <c r="E736" s="49"/>
      <c r="F736" s="49"/>
      <c r="G736" s="49"/>
      <c r="H736" s="173"/>
      <c r="I736" s="49"/>
      <c r="J736" s="49"/>
      <c r="K736" s="49"/>
      <c r="L736" s="49"/>
      <c r="M736" s="49"/>
      <c r="N736" s="49"/>
      <c r="O736" s="49"/>
      <c r="P736" s="49"/>
      <c r="Q736" s="49"/>
      <c r="R736" s="49"/>
      <c r="S736" s="49"/>
      <c r="T736" s="49"/>
      <c r="U736" s="49"/>
      <c r="V736" s="49"/>
      <c r="W736" s="49"/>
      <c r="X736" s="49"/>
      <c r="Y736" s="49"/>
      <c r="Z736" s="49"/>
      <c r="AA736" s="49"/>
      <c r="AB736" s="49"/>
      <c r="AC736" s="49"/>
    </row>
    <row r="737" spans="1:29" ht="13">
      <c r="A737" s="47"/>
      <c r="B737" s="47"/>
      <c r="C737" s="49"/>
      <c r="D737" s="49"/>
      <c r="E737" s="49"/>
      <c r="F737" s="49"/>
      <c r="G737" s="49"/>
      <c r="H737" s="173"/>
      <c r="I737" s="49"/>
      <c r="J737" s="49"/>
      <c r="K737" s="49"/>
      <c r="L737" s="49"/>
      <c r="M737" s="49"/>
      <c r="N737" s="49"/>
      <c r="O737" s="49"/>
      <c r="P737" s="49"/>
      <c r="Q737" s="49"/>
      <c r="R737" s="49"/>
      <c r="S737" s="49"/>
      <c r="T737" s="49"/>
      <c r="U737" s="49"/>
      <c r="V737" s="49"/>
      <c r="W737" s="49"/>
      <c r="X737" s="49"/>
      <c r="Y737" s="49"/>
      <c r="Z737" s="49"/>
      <c r="AA737" s="49"/>
      <c r="AB737" s="49"/>
      <c r="AC737" s="49"/>
    </row>
    <row r="738" spans="1:29" ht="13">
      <c r="A738" s="47"/>
      <c r="B738" s="47"/>
      <c r="C738" s="49"/>
      <c r="D738" s="49"/>
      <c r="E738" s="49"/>
      <c r="F738" s="49"/>
      <c r="G738" s="49"/>
      <c r="H738" s="173"/>
      <c r="I738" s="49"/>
      <c r="J738" s="49"/>
      <c r="K738" s="49"/>
      <c r="L738" s="49"/>
      <c r="M738" s="49"/>
      <c r="N738" s="49"/>
      <c r="O738" s="49"/>
      <c r="P738" s="49"/>
      <c r="Q738" s="49"/>
      <c r="R738" s="49"/>
      <c r="S738" s="49"/>
      <c r="T738" s="49"/>
      <c r="U738" s="49"/>
      <c r="V738" s="49"/>
      <c r="W738" s="49"/>
      <c r="X738" s="49"/>
      <c r="Y738" s="49"/>
      <c r="Z738" s="49"/>
      <c r="AA738" s="49"/>
      <c r="AB738" s="49"/>
      <c r="AC738" s="49"/>
    </row>
    <row r="739" spans="1:29" ht="13">
      <c r="A739" s="47"/>
      <c r="B739" s="47"/>
      <c r="C739" s="49"/>
      <c r="D739" s="49"/>
      <c r="E739" s="49"/>
      <c r="F739" s="49"/>
      <c r="G739" s="49"/>
      <c r="H739" s="173"/>
      <c r="I739" s="49"/>
      <c r="J739" s="49"/>
      <c r="K739" s="49"/>
      <c r="L739" s="49"/>
      <c r="M739" s="49"/>
      <c r="N739" s="49"/>
      <c r="O739" s="49"/>
      <c r="P739" s="49"/>
      <c r="Q739" s="49"/>
      <c r="R739" s="49"/>
      <c r="S739" s="49"/>
      <c r="T739" s="49"/>
      <c r="U739" s="49"/>
      <c r="V739" s="49"/>
      <c r="W739" s="49"/>
      <c r="X739" s="49"/>
      <c r="Y739" s="49"/>
      <c r="Z739" s="49"/>
      <c r="AA739" s="49"/>
      <c r="AB739" s="49"/>
      <c r="AC739" s="49"/>
    </row>
    <row r="740" spans="1:29" ht="13">
      <c r="A740" s="47"/>
      <c r="B740" s="47"/>
      <c r="C740" s="49"/>
      <c r="D740" s="49"/>
      <c r="E740" s="49"/>
      <c r="F740" s="49"/>
      <c r="G740" s="49"/>
      <c r="H740" s="173"/>
      <c r="I740" s="49"/>
      <c r="J740" s="49"/>
      <c r="K740" s="49"/>
      <c r="L740" s="49"/>
      <c r="M740" s="49"/>
      <c r="N740" s="49"/>
      <c r="O740" s="49"/>
      <c r="P740" s="49"/>
      <c r="Q740" s="49"/>
      <c r="R740" s="49"/>
      <c r="S740" s="49"/>
      <c r="T740" s="49"/>
      <c r="U740" s="49"/>
      <c r="V740" s="49"/>
      <c r="W740" s="49"/>
      <c r="X740" s="49"/>
      <c r="Y740" s="49"/>
      <c r="Z740" s="49"/>
      <c r="AA740" s="49"/>
      <c r="AB740" s="49"/>
      <c r="AC740" s="49"/>
    </row>
    <row r="741" spans="1:29" ht="13">
      <c r="A741" s="47"/>
      <c r="B741" s="47"/>
      <c r="C741" s="49"/>
      <c r="D741" s="49"/>
      <c r="E741" s="49"/>
      <c r="F741" s="49"/>
      <c r="G741" s="49"/>
      <c r="H741" s="173"/>
      <c r="I741" s="49"/>
      <c r="J741" s="49"/>
      <c r="K741" s="49"/>
      <c r="L741" s="49"/>
      <c r="M741" s="49"/>
      <c r="N741" s="49"/>
      <c r="O741" s="49"/>
      <c r="P741" s="49"/>
      <c r="Q741" s="49"/>
      <c r="R741" s="49"/>
      <c r="S741" s="49"/>
      <c r="T741" s="49"/>
      <c r="U741" s="49"/>
      <c r="V741" s="49"/>
      <c r="W741" s="49"/>
      <c r="X741" s="49"/>
      <c r="Y741" s="49"/>
      <c r="Z741" s="49"/>
      <c r="AA741" s="49"/>
      <c r="AB741" s="49"/>
      <c r="AC741" s="49"/>
    </row>
    <row r="742" spans="1:29" ht="13">
      <c r="A742" s="47"/>
      <c r="B742" s="47"/>
      <c r="C742" s="49"/>
      <c r="D742" s="49"/>
      <c r="E742" s="49"/>
      <c r="F742" s="49"/>
      <c r="G742" s="49"/>
      <c r="H742" s="173"/>
      <c r="I742" s="49"/>
      <c r="J742" s="49"/>
      <c r="K742" s="49"/>
      <c r="L742" s="49"/>
      <c r="M742" s="49"/>
      <c r="N742" s="49"/>
      <c r="O742" s="49"/>
      <c r="P742" s="49"/>
      <c r="Q742" s="49"/>
      <c r="R742" s="49"/>
      <c r="S742" s="49"/>
      <c r="T742" s="49"/>
      <c r="U742" s="49"/>
      <c r="V742" s="49"/>
      <c r="W742" s="49"/>
      <c r="X742" s="49"/>
      <c r="Y742" s="49"/>
      <c r="Z742" s="49"/>
      <c r="AA742" s="49"/>
      <c r="AB742" s="49"/>
      <c r="AC742" s="49"/>
    </row>
    <row r="743" spans="1:29" ht="13">
      <c r="A743" s="47"/>
      <c r="B743" s="47"/>
      <c r="C743" s="49"/>
      <c r="D743" s="49"/>
      <c r="E743" s="49"/>
      <c r="F743" s="49"/>
      <c r="G743" s="49"/>
      <c r="H743" s="173"/>
      <c r="I743" s="49"/>
      <c r="J743" s="49"/>
      <c r="K743" s="49"/>
      <c r="L743" s="49"/>
      <c r="M743" s="49"/>
      <c r="N743" s="49"/>
      <c r="O743" s="49"/>
      <c r="P743" s="49"/>
      <c r="Q743" s="49"/>
      <c r="R743" s="49"/>
      <c r="S743" s="49"/>
      <c r="T743" s="49"/>
      <c r="U743" s="49"/>
      <c r="V743" s="49"/>
      <c r="W743" s="49"/>
      <c r="X743" s="49"/>
      <c r="Y743" s="49"/>
      <c r="Z743" s="49"/>
      <c r="AA743" s="49"/>
      <c r="AB743" s="49"/>
      <c r="AC743" s="49"/>
    </row>
    <row r="744" spans="1:29" ht="13">
      <c r="A744" s="47"/>
      <c r="B744" s="47"/>
      <c r="C744" s="49"/>
      <c r="D744" s="49"/>
      <c r="E744" s="49"/>
      <c r="F744" s="49"/>
      <c r="G744" s="49"/>
      <c r="H744" s="173"/>
      <c r="I744" s="49"/>
      <c r="J744" s="49"/>
      <c r="K744" s="49"/>
      <c r="L744" s="49"/>
      <c r="M744" s="49"/>
      <c r="N744" s="49"/>
      <c r="O744" s="49"/>
      <c r="P744" s="49"/>
      <c r="Q744" s="49"/>
      <c r="R744" s="49"/>
      <c r="S744" s="49"/>
      <c r="T744" s="49"/>
      <c r="U744" s="49"/>
      <c r="V744" s="49"/>
      <c r="W744" s="49"/>
      <c r="X744" s="49"/>
      <c r="Y744" s="49"/>
      <c r="Z744" s="49"/>
      <c r="AA744" s="49"/>
      <c r="AB744" s="49"/>
      <c r="AC744" s="49"/>
    </row>
    <row r="745" spans="1:29" ht="13">
      <c r="A745" s="47"/>
      <c r="B745" s="47"/>
      <c r="C745" s="49"/>
      <c r="D745" s="49"/>
      <c r="E745" s="49"/>
      <c r="F745" s="49"/>
      <c r="G745" s="49"/>
      <c r="H745" s="173"/>
      <c r="I745" s="49"/>
      <c r="J745" s="49"/>
      <c r="K745" s="49"/>
      <c r="L745" s="49"/>
      <c r="M745" s="49"/>
      <c r="N745" s="49"/>
      <c r="O745" s="49"/>
      <c r="P745" s="49"/>
      <c r="Q745" s="49"/>
      <c r="R745" s="49"/>
      <c r="S745" s="49"/>
      <c r="T745" s="49"/>
      <c r="U745" s="49"/>
      <c r="V745" s="49"/>
      <c r="W745" s="49"/>
      <c r="X745" s="49"/>
      <c r="Y745" s="49"/>
      <c r="Z745" s="49"/>
      <c r="AA745" s="49"/>
      <c r="AB745" s="49"/>
      <c r="AC745" s="49"/>
    </row>
    <row r="746" spans="1:29" ht="13">
      <c r="A746" s="47"/>
      <c r="B746" s="47"/>
      <c r="C746" s="49"/>
      <c r="D746" s="49"/>
      <c r="E746" s="49"/>
      <c r="F746" s="49"/>
      <c r="G746" s="49"/>
      <c r="H746" s="173"/>
      <c r="I746" s="49"/>
      <c r="J746" s="49"/>
      <c r="K746" s="49"/>
      <c r="L746" s="49"/>
      <c r="M746" s="49"/>
      <c r="N746" s="49"/>
      <c r="O746" s="49"/>
      <c r="P746" s="49"/>
      <c r="Q746" s="49"/>
      <c r="R746" s="49"/>
      <c r="S746" s="49"/>
      <c r="T746" s="49"/>
      <c r="U746" s="49"/>
      <c r="V746" s="49"/>
      <c r="W746" s="49"/>
      <c r="X746" s="49"/>
      <c r="Y746" s="49"/>
      <c r="Z746" s="49"/>
      <c r="AA746" s="49"/>
      <c r="AB746" s="49"/>
      <c r="AC746" s="49"/>
    </row>
    <row r="747" spans="1:29" ht="13">
      <c r="A747" s="47"/>
      <c r="B747" s="47"/>
      <c r="C747" s="49"/>
      <c r="D747" s="49"/>
      <c r="E747" s="49"/>
      <c r="F747" s="49"/>
      <c r="G747" s="49"/>
      <c r="H747" s="173"/>
      <c r="I747" s="49"/>
      <c r="J747" s="49"/>
      <c r="K747" s="49"/>
      <c r="L747" s="49"/>
      <c r="M747" s="49"/>
      <c r="N747" s="49"/>
      <c r="O747" s="49"/>
      <c r="P747" s="49"/>
      <c r="Q747" s="49"/>
      <c r="R747" s="49"/>
      <c r="S747" s="49"/>
      <c r="T747" s="49"/>
      <c r="U747" s="49"/>
      <c r="V747" s="49"/>
      <c r="W747" s="49"/>
      <c r="X747" s="49"/>
      <c r="Y747" s="49"/>
      <c r="Z747" s="49"/>
      <c r="AA747" s="49"/>
      <c r="AB747" s="49"/>
      <c r="AC747" s="49"/>
    </row>
    <row r="748" spans="1:29" ht="13">
      <c r="A748" s="47"/>
      <c r="B748" s="47"/>
      <c r="C748" s="49"/>
      <c r="D748" s="49"/>
      <c r="E748" s="49"/>
      <c r="F748" s="49"/>
      <c r="G748" s="49"/>
      <c r="H748" s="173"/>
      <c r="I748" s="49"/>
      <c r="J748" s="49"/>
      <c r="K748" s="49"/>
      <c r="L748" s="49"/>
      <c r="M748" s="49"/>
      <c r="N748" s="49"/>
      <c r="O748" s="49"/>
      <c r="P748" s="49"/>
      <c r="Q748" s="49"/>
      <c r="R748" s="49"/>
      <c r="S748" s="49"/>
      <c r="T748" s="49"/>
      <c r="U748" s="49"/>
      <c r="V748" s="49"/>
      <c r="W748" s="49"/>
      <c r="X748" s="49"/>
      <c r="Y748" s="49"/>
      <c r="Z748" s="49"/>
      <c r="AA748" s="49"/>
      <c r="AB748" s="49"/>
      <c r="AC748" s="49"/>
    </row>
    <row r="749" spans="1:29" ht="13">
      <c r="A749" s="47"/>
      <c r="B749" s="47"/>
      <c r="C749" s="49"/>
      <c r="D749" s="49"/>
      <c r="E749" s="49"/>
      <c r="F749" s="49"/>
      <c r="G749" s="49"/>
      <c r="H749" s="173"/>
      <c r="I749" s="49"/>
      <c r="J749" s="49"/>
      <c r="K749" s="49"/>
      <c r="L749" s="49"/>
      <c r="M749" s="49"/>
      <c r="N749" s="49"/>
      <c r="O749" s="49"/>
      <c r="P749" s="49"/>
      <c r="Q749" s="49"/>
      <c r="R749" s="49"/>
      <c r="S749" s="49"/>
      <c r="T749" s="49"/>
      <c r="U749" s="49"/>
      <c r="V749" s="49"/>
      <c r="W749" s="49"/>
      <c r="X749" s="49"/>
      <c r="Y749" s="49"/>
      <c r="Z749" s="49"/>
      <c r="AA749" s="49"/>
      <c r="AB749" s="49"/>
      <c r="AC749" s="49"/>
    </row>
    <row r="750" spans="1:29" ht="13">
      <c r="A750" s="47"/>
      <c r="B750" s="47"/>
      <c r="C750" s="49"/>
      <c r="D750" s="49"/>
      <c r="E750" s="49"/>
      <c r="F750" s="49"/>
      <c r="G750" s="49"/>
      <c r="H750" s="173"/>
      <c r="I750" s="49"/>
      <c r="J750" s="49"/>
      <c r="K750" s="49"/>
      <c r="L750" s="49"/>
      <c r="M750" s="49"/>
      <c r="N750" s="49"/>
      <c r="O750" s="49"/>
      <c r="P750" s="49"/>
      <c r="Q750" s="49"/>
      <c r="R750" s="49"/>
      <c r="S750" s="49"/>
      <c r="T750" s="49"/>
      <c r="U750" s="49"/>
      <c r="V750" s="49"/>
      <c r="W750" s="49"/>
      <c r="X750" s="49"/>
      <c r="Y750" s="49"/>
      <c r="Z750" s="49"/>
      <c r="AA750" s="49"/>
      <c r="AB750" s="49"/>
      <c r="AC750" s="49"/>
    </row>
    <row r="751" spans="1:29" ht="13">
      <c r="A751" s="47"/>
      <c r="B751" s="47"/>
      <c r="C751" s="49"/>
      <c r="D751" s="49"/>
      <c r="E751" s="49"/>
      <c r="F751" s="49"/>
      <c r="G751" s="49"/>
      <c r="H751" s="173"/>
      <c r="I751" s="49"/>
      <c r="J751" s="49"/>
      <c r="K751" s="49"/>
      <c r="L751" s="49"/>
      <c r="M751" s="49"/>
      <c r="N751" s="49"/>
      <c r="O751" s="49"/>
      <c r="P751" s="49"/>
      <c r="Q751" s="49"/>
      <c r="R751" s="49"/>
      <c r="S751" s="49"/>
      <c r="T751" s="49"/>
      <c r="U751" s="49"/>
      <c r="V751" s="49"/>
      <c r="W751" s="49"/>
      <c r="X751" s="49"/>
      <c r="Y751" s="49"/>
      <c r="Z751" s="49"/>
      <c r="AA751" s="49"/>
      <c r="AB751" s="49"/>
      <c r="AC751" s="49"/>
    </row>
    <row r="752" spans="1:29" ht="13">
      <c r="A752" s="47"/>
      <c r="B752" s="47"/>
      <c r="C752" s="49"/>
      <c r="D752" s="49"/>
      <c r="E752" s="49"/>
      <c r="F752" s="49"/>
      <c r="G752" s="49"/>
      <c r="H752" s="173"/>
      <c r="I752" s="49"/>
      <c r="J752" s="49"/>
      <c r="K752" s="49"/>
      <c r="L752" s="49"/>
      <c r="M752" s="49"/>
      <c r="N752" s="49"/>
      <c r="O752" s="49"/>
      <c r="P752" s="49"/>
      <c r="Q752" s="49"/>
      <c r="R752" s="49"/>
      <c r="S752" s="49"/>
      <c r="T752" s="49"/>
      <c r="U752" s="49"/>
      <c r="V752" s="49"/>
      <c r="W752" s="49"/>
      <c r="X752" s="49"/>
      <c r="Y752" s="49"/>
      <c r="Z752" s="49"/>
      <c r="AA752" s="49"/>
      <c r="AB752" s="49"/>
      <c r="AC752" s="49"/>
    </row>
    <row r="753" spans="1:29" ht="13">
      <c r="A753" s="47"/>
      <c r="B753" s="47"/>
      <c r="C753" s="49"/>
      <c r="D753" s="49"/>
      <c r="E753" s="49"/>
      <c r="F753" s="49"/>
      <c r="G753" s="49"/>
      <c r="H753" s="173"/>
      <c r="I753" s="49"/>
      <c r="J753" s="49"/>
      <c r="K753" s="49"/>
      <c r="L753" s="49"/>
      <c r="M753" s="49"/>
      <c r="N753" s="49"/>
      <c r="O753" s="49"/>
      <c r="P753" s="49"/>
      <c r="Q753" s="49"/>
      <c r="R753" s="49"/>
      <c r="S753" s="49"/>
      <c r="T753" s="49"/>
      <c r="U753" s="49"/>
      <c r="V753" s="49"/>
      <c r="W753" s="49"/>
      <c r="X753" s="49"/>
      <c r="Y753" s="49"/>
      <c r="Z753" s="49"/>
      <c r="AA753" s="49"/>
      <c r="AB753" s="49"/>
      <c r="AC753" s="49"/>
    </row>
    <row r="754" spans="1:29" ht="13">
      <c r="A754" s="47"/>
      <c r="B754" s="47"/>
      <c r="C754" s="49"/>
      <c r="D754" s="49"/>
      <c r="E754" s="49"/>
      <c r="F754" s="49"/>
      <c r="G754" s="49"/>
      <c r="H754" s="173"/>
      <c r="I754" s="49"/>
      <c r="J754" s="49"/>
      <c r="K754" s="49"/>
      <c r="L754" s="49"/>
      <c r="M754" s="49"/>
      <c r="N754" s="49"/>
      <c r="O754" s="49"/>
      <c r="P754" s="49"/>
      <c r="Q754" s="49"/>
      <c r="R754" s="49"/>
      <c r="S754" s="49"/>
      <c r="T754" s="49"/>
      <c r="U754" s="49"/>
      <c r="V754" s="49"/>
      <c r="W754" s="49"/>
      <c r="X754" s="49"/>
      <c r="Y754" s="49"/>
      <c r="Z754" s="49"/>
      <c r="AA754" s="49"/>
      <c r="AB754" s="49"/>
      <c r="AC754" s="49"/>
    </row>
    <row r="755" spans="1:29" ht="13">
      <c r="A755" s="47"/>
      <c r="B755" s="47"/>
      <c r="C755" s="49"/>
      <c r="D755" s="49"/>
      <c r="E755" s="49"/>
      <c r="F755" s="49"/>
      <c r="G755" s="49"/>
      <c r="H755" s="173"/>
      <c r="I755" s="49"/>
      <c r="J755" s="49"/>
      <c r="K755" s="49"/>
      <c r="L755" s="49"/>
      <c r="M755" s="49"/>
      <c r="N755" s="49"/>
      <c r="O755" s="49"/>
      <c r="P755" s="49"/>
      <c r="Q755" s="49"/>
      <c r="R755" s="49"/>
      <c r="S755" s="49"/>
      <c r="T755" s="49"/>
      <c r="U755" s="49"/>
      <c r="V755" s="49"/>
      <c r="W755" s="49"/>
      <c r="X755" s="49"/>
      <c r="Y755" s="49"/>
      <c r="Z755" s="49"/>
      <c r="AA755" s="49"/>
      <c r="AB755" s="49"/>
      <c r="AC755" s="49"/>
    </row>
    <row r="756" spans="1:29" ht="13">
      <c r="A756" s="47"/>
      <c r="B756" s="47"/>
      <c r="C756" s="49"/>
      <c r="D756" s="49"/>
      <c r="E756" s="49"/>
      <c r="F756" s="49"/>
      <c r="G756" s="49"/>
      <c r="H756" s="173"/>
      <c r="I756" s="49"/>
      <c r="J756" s="49"/>
      <c r="K756" s="49"/>
      <c r="L756" s="49"/>
      <c r="M756" s="49"/>
      <c r="N756" s="49"/>
      <c r="O756" s="49"/>
      <c r="P756" s="49"/>
      <c r="Q756" s="49"/>
      <c r="R756" s="49"/>
      <c r="S756" s="49"/>
      <c r="T756" s="49"/>
      <c r="U756" s="49"/>
      <c r="V756" s="49"/>
      <c r="W756" s="49"/>
      <c r="X756" s="49"/>
      <c r="Y756" s="49"/>
      <c r="Z756" s="49"/>
      <c r="AA756" s="49"/>
      <c r="AB756" s="49"/>
      <c r="AC756" s="49"/>
    </row>
    <row r="757" spans="1:29" ht="13">
      <c r="A757" s="47"/>
      <c r="B757" s="47"/>
      <c r="C757" s="49"/>
      <c r="D757" s="49"/>
      <c r="E757" s="49"/>
      <c r="F757" s="49"/>
      <c r="G757" s="49"/>
      <c r="H757" s="173"/>
      <c r="I757" s="49"/>
      <c r="J757" s="49"/>
      <c r="K757" s="49"/>
      <c r="L757" s="49"/>
      <c r="M757" s="49"/>
      <c r="N757" s="49"/>
      <c r="O757" s="49"/>
      <c r="P757" s="49"/>
      <c r="Q757" s="49"/>
      <c r="R757" s="49"/>
      <c r="S757" s="49"/>
      <c r="T757" s="49"/>
      <c r="U757" s="49"/>
      <c r="V757" s="49"/>
      <c r="W757" s="49"/>
      <c r="X757" s="49"/>
      <c r="Y757" s="49"/>
      <c r="Z757" s="49"/>
      <c r="AA757" s="49"/>
      <c r="AB757" s="49"/>
      <c r="AC757" s="49"/>
    </row>
    <row r="758" spans="1:29" ht="13">
      <c r="A758" s="47"/>
      <c r="B758" s="47"/>
      <c r="C758" s="49"/>
      <c r="D758" s="49"/>
      <c r="E758" s="49"/>
      <c r="F758" s="49"/>
      <c r="G758" s="49"/>
      <c r="H758" s="173"/>
      <c r="I758" s="49"/>
      <c r="J758" s="49"/>
      <c r="K758" s="49"/>
      <c r="L758" s="49"/>
      <c r="M758" s="49"/>
      <c r="N758" s="49"/>
      <c r="O758" s="49"/>
      <c r="P758" s="49"/>
      <c r="Q758" s="49"/>
      <c r="R758" s="49"/>
      <c r="S758" s="49"/>
      <c r="T758" s="49"/>
      <c r="U758" s="49"/>
      <c r="V758" s="49"/>
      <c r="W758" s="49"/>
      <c r="X758" s="49"/>
      <c r="Y758" s="49"/>
      <c r="Z758" s="49"/>
      <c r="AA758" s="49"/>
      <c r="AB758" s="49"/>
      <c r="AC758" s="49"/>
    </row>
    <row r="759" spans="1:29" ht="13">
      <c r="A759" s="47"/>
      <c r="B759" s="47"/>
      <c r="C759" s="49"/>
      <c r="D759" s="49"/>
      <c r="E759" s="49"/>
      <c r="F759" s="49"/>
      <c r="G759" s="49"/>
      <c r="H759" s="173"/>
      <c r="I759" s="49"/>
      <c r="J759" s="49"/>
      <c r="K759" s="49"/>
      <c r="L759" s="49"/>
      <c r="M759" s="49"/>
      <c r="N759" s="49"/>
      <c r="O759" s="49"/>
      <c r="P759" s="49"/>
      <c r="Q759" s="49"/>
      <c r="R759" s="49"/>
      <c r="S759" s="49"/>
      <c r="T759" s="49"/>
      <c r="U759" s="49"/>
      <c r="V759" s="49"/>
      <c r="W759" s="49"/>
      <c r="X759" s="49"/>
      <c r="Y759" s="49"/>
      <c r="Z759" s="49"/>
      <c r="AA759" s="49"/>
      <c r="AB759" s="49"/>
      <c r="AC759" s="49"/>
    </row>
    <row r="760" spans="1:29" ht="13">
      <c r="A760" s="47"/>
      <c r="B760" s="47"/>
      <c r="C760" s="49"/>
      <c r="D760" s="49"/>
      <c r="E760" s="49"/>
      <c r="F760" s="49"/>
      <c r="G760" s="49"/>
      <c r="H760" s="173"/>
      <c r="I760" s="49"/>
      <c r="J760" s="49"/>
      <c r="K760" s="49"/>
      <c r="L760" s="49"/>
      <c r="M760" s="49"/>
      <c r="N760" s="49"/>
      <c r="O760" s="49"/>
      <c r="P760" s="49"/>
      <c r="Q760" s="49"/>
      <c r="R760" s="49"/>
      <c r="S760" s="49"/>
      <c r="T760" s="49"/>
      <c r="U760" s="49"/>
      <c r="V760" s="49"/>
      <c r="W760" s="49"/>
      <c r="X760" s="49"/>
      <c r="Y760" s="49"/>
      <c r="Z760" s="49"/>
      <c r="AA760" s="49"/>
      <c r="AB760" s="49"/>
      <c r="AC760" s="49"/>
    </row>
    <row r="761" spans="1:29" ht="13">
      <c r="A761" s="47"/>
      <c r="B761" s="47"/>
      <c r="C761" s="49"/>
      <c r="D761" s="49"/>
      <c r="E761" s="49"/>
      <c r="F761" s="49"/>
      <c r="G761" s="49"/>
      <c r="H761" s="173"/>
      <c r="I761" s="49"/>
      <c r="J761" s="49"/>
      <c r="K761" s="49"/>
      <c r="L761" s="49"/>
      <c r="M761" s="49"/>
      <c r="N761" s="49"/>
      <c r="O761" s="49"/>
      <c r="P761" s="49"/>
      <c r="Q761" s="49"/>
      <c r="R761" s="49"/>
      <c r="S761" s="49"/>
      <c r="T761" s="49"/>
      <c r="U761" s="49"/>
      <c r="V761" s="49"/>
      <c r="W761" s="49"/>
      <c r="X761" s="49"/>
      <c r="Y761" s="49"/>
      <c r="Z761" s="49"/>
      <c r="AA761" s="49"/>
      <c r="AB761" s="49"/>
      <c r="AC761" s="49"/>
    </row>
    <row r="762" spans="1:29" ht="13">
      <c r="A762" s="47"/>
      <c r="B762" s="47"/>
      <c r="C762" s="49"/>
      <c r="D762" s="49"/>
      <c r="E762" s="49"/>
      <c r="F762" s="49"/>
      <c r="G762" s="49"/>
      <c r="H762" s="173"/>
      <c r="I762" s="49"/>
      <c r="J762" s="49"/>
      <c r="K762" s="49"/>
      <c r="L762" s="49"/>
      <c r="M762" s="49"/>
      <c r="N762" s="49"/>
      <c r="O762" s="49"/>
      <c r="P762" s="49"/>
      <c r="Q762" s="49"/>
      <c r="R762" s="49"/>
      <c r="S762" s="49"/>
      <c r="T762" s="49"/>
      <c r="U762" s="49"/>
      <c r="V762" s="49"/>
      <c r="W762" s="49"/>
      <c r="X762" s="49"/>
      <c r="Y762" s="49"/>
      <c r="Z762" s="49"/>
      <c r="AA762" s="49"/>
      <c r="AB762" s="49"/>
      <c r="AC762" s="49"/>
    </row>
    <row r="763" spans="1:29" ht="13">
      <c r="A763" s="47"/>
      <c r="B763" s="47"/>
      <c r="C763" s="49"/>
      <c r="D763" s="49"/>
      <c r="E763" s="49"/>
      <c r="F763" s="49"/>
      <c r="G763" s="49"/>
      <c r="H763" s="173"/>
      <c r="I763" s="49"/>
      <c r="J763" s="49"/>
      <c r="K763" s="49"/>
      <c r="L763" s="49"/>
      <c r="M763" s="49"/>
      <c r="N763" s="49"/>
      <c r="O763" s="49"/>
      <c r="P763" s="49"/>
      <c r="Q763" s="49"/>
      <c r="R763" s="49"/>
      <c r="S763" s="49"/>
      <c r="T763" s="49"/>
      <c r="U763" s="49"/>
      <c r="V763" s="49"/>
      <c r="W763" s="49"/>
      <c r="X763" s="49"/>
      <c r="Y763" s="49"/>
      <c r="Z763" s="49"/>
      <c r="AA763" s="49"/>
      <c r="AB763" s="49"/>
      <c r="AC763" s="49"/>
    </row>
    <row r="764" spans="1:29" ht="13">
      <c r="A764" s="47"/>
      <c r="B764" s="47"/>
      <c r="C764" s="49"/>
      <c r="D764" s="49"/>
      <c r="E764" s="49"/>
      <c r="F764" s="49"/>
      <c r="G764" s="49"/>
      <c r="H764" s="173"/>
      <c r="I764" s="49"/>
      <c r="J764" s="49"/>
      <c r="K764" s="49"/>
      <c r="L764" s="49"/>
      <c r="M764" s="49"/>
      <c r="N764" s="49"/>
      <c r="O764" s="49"/>
      <c r="P764" s="49"/>
      <c r="Q764" s="49"/>
      <c r="R764" s="49"/>
      <c r="S764" s="49"/>
      <c r="T764" s="49"/>
      <c r="U764" s="49"/>
      <c r="V764" s="49"/>
      <c r="W764" s="49"/>
      <c r="X764" s="49"/>
      <c r="Y764" s="49"/>
      <c r="Z764" s="49"/>
      <c r="AA764" s="49"/>
      <c r="AB764" s="49"/>
      <c r="AC764" s="49"/>
    </row>
    <row r="765" spans="1:29" ht="13">
      <c r="A765" s="47"/>
      <c r="B765" s="47"/>
      <c r="C765" s="49"/>
      <c r="D765" s="49"/>
      <c r="E765" s="49"/>
      <c r="F765" s="49"/>
      <c r="G765" s="49"/>
      <c r="H765" s="173"/>
      <c r="I765" s="49"/>
      <c r="J765" s="49"/>
      <c r="K765" s="49"/>
      <c r="L765" s="49"/>
      <c r="M765" s="49"/>
      <c r="N765" s="49"/>
      <c r="O765" s="49"/>
      <c r="P765" s="49"/>
      <c r="Q765" s="49"/>
      <c r="R765" s="49"/>
      <c r="S765" s="49"/>
      <c r="T765" s="49"/>
      <c r="U765" s="49"/>
      <c r="V765" s="49"/>
      <c r="W765" s="49"/>
      <c r="X765" s="49"/>
      <c r="Y765" s="49"/>
      <c r="Z765" s="49"/>
      <c r="AA765" s="49"/>
      <c r="AB765" s="49"/>
      <c r="AC765" s="49"/>
    </row>
    <row r="766" spans="1:29" ht="13">
      <c r="A766" s="47"/>
      <c r="B766" s="47"/>
      <c r="C766" s="49"/>
      <c r="D766" s="49"/>
      <c r="E766" s="49"/>
      <c r="F766" s="49"/>
      <c r="G766" s="49"/>
      <c r="H766" s="173"/>
      <c r="I766" s="49"/>
      <c r="J766" s="49"/>
      <c r="K766" s="49"/>
      <c r="L766" s="49"/>
      <c r="M766" s="49"/>
      <c r="N766" s="49"/>
      <c r="O766" s="49"/>
      <c r="P766" s="49"/>
      <c r="Q766" s="49"/>
      <c r="R766" s="49"/>
      <c r="S766" s="49"/>
      <c r="T766" s="49"/>
      <c r="U766" s="49"/>
      <c r="V766" s="49"/>
      <c r="W766" s="49"/>
      <c r="X766" s="49"/>
      <c r="Y766" s="49"/>
      <c r="Z766" s="49"/>
      <c r="AA766" s="49"/>
      <c r="AB766" s="49"/>
      <c r="AC766" s="49"/>
    </row>
    <row r="767" spans="1:29" ht="13">
      <c r="A767" s="47"/>
      <c r="B767" s="47"/>
      <c r="C767" s="49"/>
      <c r="D767" s="49"/>
      <c r="E767" s="49"/>
      <c r="F767" s="49"/>
      <c r="G767" s="49"/>
      <c r="H767" s="173"/>
      <c r="I767" s="49"/>
      <c r="J767" s="49"/>
      <c r="K767" s="49"/>
      <c r="L767" s="49"/>
      <c r="M767" s="49"/>
      <c r="N767" s="49"/>
      <c r="O767" s="49"/>
      <c r="P767" s="49"/>
      <c r="Q767" s="49"/>
      <c r="R767" s="49"/>
      <c r="S767" s="49"/>
      <c r="T767" s="49"/>
      <c r="U767" s="49"/>
      <c r="V767" s="49"/>
      <c r="W767" s="49"/>
      <c r="X767" s="49"/>
      <c r="Y767" s="49"/>
      <c r="Z767" s="49"/>
      <c r="AA767" s="49"/>
      <c r="AB767" s="49"/>
      <c r="AC767" s="49"/>
    </row>
    <row r="768" spans="1:29" ht="13">
      <c r="A768" s="47"/>
      <c r="B768" s="47"/>
      <c r="C768" s="49"/>
      <c r="D768" s="49"/>
      <c r="E768" s="49"/>
      <c r="F768" s="49"/>
      <c r="G768" s="49"/>
      <c r="H768" s="173"/>
      <c r="I768" s="49"/>
      <c r="J768" s="49"/>
      <c r="K768" s="49"/>
      <c r="L768" s="49"/>
      <c r="M768" s="49"/>
      <c r="N768" s="49"/>
      <c r="O768" s="49"/>
      <c r="P768" s="49"/>
      <c r="Q768" s="49"/>
      <c r="R768" s="49"/>
      <c r="S768" s="49"/>
      <c r="T768" s="49"/>
      <c r="U768" s="49"/>
      <c r="V768" s="49"/>
      <c r="W768" s="49"/>
      <c r="X768" s="49"/>
      <c r="Y768" s="49"/>
      <c r="Z768" s="49"/>
      <c r="AA768" s="49"/>
      <c r="AB768" s="49"/>
      <c r="AC768" s="49"/>
    </row>
    <row r="769" spans="1:29" ht="13">
      <c r="A769" s="47"/>
      <c r="B769" s="47"/>
      <c r="C769" s="49"/>
      <c r="D769" s="49"/>
      <c r="E769" s="49"/>
      <c r="F769" s="49"/>
      <c r="G769" s="49"/>
      <c r="H769" s="173"/>
      <c r="I769" s="49"/>
      <c r="J769" s="49"/>
      <c r="K769" s="49"/>
      <c r="L769" s="49"/>
      <c r="M769" s="49"/>
      <c r="N769" s="49"/>
      <c r="O769" s="49"/>
      <c r="P769" s="49"/>
      <c r="Q769" s="49"/>
      <c r="R769" s="49"/>
      <c r="S769" s="49"/>
      <c r="T769" s="49"/>
      <c r="U769" s="49"/>
      <c r="V769" s="49"/>
      <c r="W769" s="49"/>
      <c r="X769" s="49"/>
      <c r="Y769" s="49"/>
      <c r="Z769" s="49"/>
      <c r="AA769" s="49"/>
      <c r="AB769" s="49"/>
      <c r="AC769" s="49"/>
    </row>
    <row r="770" spans="1:29" ht="13">
      <c r="A770" s="47"/>
      <c r="B770" s="47"/>
      <c r="C770" s="49"/>
      <c r="D770" s="49"/>
      <c r="E770" s="49"/>
      <c r="F770" s="49"/>
      <c r="G770" s="49"/>
      <c r="H770" s="173"/>
      <c r="I770" s="49"/>
      <c r="J770" s="49"/>
      <c r="K770" s="49"/>
      <c r="L770" s="49"/>
      <c r="M770" s="49"/>
      <c r="N770" s="49"/>
      <c r="O770" s="49"/>
      <c r="P770" s="49"/>
      <c r="Q770" s="49"/>
      <c r="R770" s="49"/>
      <c r="S770" s="49"/>
      <c r="T770" s="49"/>
      <c r="U770" s="49"/>
      <c r="V770" s="49"/>
      <c r="W770" s="49"/>
      <c r="X770" s="49"/>
      <c r="Y770" s="49"/>
      <c r="Z770" s="49"/>
      <c r="AA770" s="49"/>
      <c r="AB770" s="49"/>
      <c r="AC770" s="49"/>
    </row>
    <row r="771" spans="1:29" ht="13">
      <c r="A771" s="47"/>
      <c r="B771" s="47"/>
      <c r="C771" s="49"/>
      <c r="D771" s="49"/>
      <c r="E771" s="49"/>
      <c r="F771" s="49"/>
      <c r="G771" s="49"/>
      <c r="H771" s="173"/>
      <c r="I771" s="49"/>
      <c r="J771" s="49"/>
      <c r="K771" s="49"/>
      <c r="L771" s="49"/>
      <c r="M771" s="49"/>
      <c r="N771" s="49"/>
      <c r="O771" s="49"/>
      <c r="P771" s="49"/>
      <c r="Q771" s="49"/>
      <c r="R771" s="49"/>
      <c r="S771" s="49"/>
      <c r="T771" s="49"/>
      <c r="U771" s="49"/>
      <c r="V771" s="49"/>
      <c r="W771" s="49"/>
      <c r="X771" s="49"/>
      <c r="Y771" s="49"/>
      <c r="Z771" s="49"/>
      <c r="AA771" s="49"/>
      <c r="AB771" s="49"/>
      <c r="AC771" s="49"/>
    </row>
    <row r="772" spans="1:29" ht="13">
      <c r="A772" s="47"/>
      <c r="B772" s="47"/>
      <c r="C772" s="49"/>
      <c r="D772" s="49"/>
      <c r="E772" s="49"/>
      <c r="F772" s="49"/>
      <c r="G772" s="49"/>
      <c r="H772" s="173"/>
      <c r="I772" s="49"/>
      <c r="J772" s="49"/>
      <c r="K772" s="49"/>
      <c r="L772" s="49"/>
      <c r="M772" s="49"/>
      <c r="N772" s="49"/>
      <c r="O772" s="49"/>
      <c r="P772" s="49"/>
      <c r="Q772" s="49"/>
      <c r="R772" s="49"/>
      <c r="S772" s="49"/>
      <c r="T772" s="49"/>
      <c r="U772" s="49"/>
      <c r="V772" s="49"/>
      <c r="W772" s="49"/>
      <c r="X772" s="49"/>
      <c r="Y772" s="49"/>
      <c r="Z772" s="49"/>
      <c r="AA772" s="49"/>
      <c r="AB772" s="49"/>
      <c r="AC772" s="49"/>
    </row>
    <row r="773" spans="1:29" ht="13">
      <c r="A773" s="47"/>
      <c r="B773" s="47"/>
      <c r="C773" s="49"/>
      <c r="D773" s="49"/>
      <c r="E773" s="49"/>
      <c r="F773" s="49"/>
      <c r="G773" s="49"/>
      <c r="H773" s="173"/>
      <c r="I773" s="49"/>
      <c r="J773" s="49"/>
      <c r="K773" s="49"/>
      <c r="L773" s="49"/>
      <c r="M773" s="49"/>
      <c r="N773" s="49"/>
      <c r="O773" s="49"/>
      <c r="P773" s="49"/>
      <c r="Q773" s="49"/>
      <c r="R773" s="49"/>
      <c r="S773" s="49"/>
      <c r="T773" s="49"/>
      <c r="U773" s="49"/>
      <c r="V773" s="49"/>
      <c r="W773" s="49"/>
      <c r="X773" s="49"/>
      <c r="Y773" s="49"/>
      <c r="Z773" s="49"/>
      <c r="AA773" s="49"/>
      <c r="AB773" s="49"/>
      <c r="AC773" s="49"/>
    </row>
    <row r="774" spans="1:29" ht="13">
      <c r="A774" s="47"/>
      <c r="B774" s="47"/>
      <c r="C774" s="49"/>
      <c r="D774" s="49"/>
      <c r="E774" s="49"/>
      <c r="F774" s="49"/>
      <c r="G774" s="49"/>
      <c r="H774" s="173"/>
      <c r="I774" s="49"/>
      <c r="J774" s="49"/>
      <c r="K774" s="49"/>
      <c r="L774" s="49"/>
      <c r="M774" s="49"/>
      <c r="N774" s="49"/>
      <c r="O774" s="49"/>
      <c r="P774" s="49"/>
      <c r="Q774" s="49"/>
      <c r="R774" s="49"/>
      <c r="S774" s="49"/>
      <c r="T774" s="49"/>
      <c r="U774" s="49"/>
      <c r="V774" s="49"/>
      <c r="W774" s="49"/>
      <c r="X774" s="49"/>
      <c r="Y774" s="49"/>
      <c r="Z774" s="49"/>
      <c r="AA774" s="49"/>
      <c r="AB774" s="49"/>
      <c r="AC774" s="49"/>
    </row>
    <row r="775" spans="1:29" ht="13">
      <c r="A775" s="47"/>
      <c r="B775" s="47"/>
      <c r="C775" s="49"/>
      <c r="D775" s="49"/>
      <c r="E775" s="49"/>
      <c r="F775" s="49"/>
      <c r="G775" s="49"/>
      <c r="H775" s="173"/>
      <c r="I775" s="49"/>
      <c r="J775" s="49"/>
      <c r="K775" s="49"/>
      <c r="L775" s="49"/>
      <c r="M775" s="49"/>
      <c r="N775" s="49"/>
      <c r="O775" s="49"/>
      <c r="P775" s="49"/>
      <c r="Q775" s="49"/>
      <c r="R775" s="49"/>
      <c r="S775" s="49"/>
      <c r="T775" s="49"/>
      <c r="U775" s="49"/>
      <c r="V775" s="49"/>
      <c r="W775" s="49"/>
      <c r="X775" s="49"/>
      <c r="Y775" s="49"/>
      <c r="Z775" s="49"/>
      <c r="AA775" s="49"/>
      <c r="AB775" s="49"/>
      <c r="AC775" s="49"/>
    </row>
    <row r="776" spans="1:29" ht="13">
      <c r="A776" s="47"/>
      <c r="B776" s="47"/>
      <c r="C776" s="49"/>
      <c r="D776" s="49"/>
      <c r="E776" s="49"/>
      <c r="F776" s="49"/>
      <c r="G776" s="49"/>
      <c r="H776" s="173"/>
      <c r="I776" s="49"/>
      <c r="J776" s="49"/>
      <c r="K776" s="49"/>
      <c r="L776" s="49"/>
      <c r="M776" s="49"/>
      <c r="N776" s="49"/>
      <c r="O776" s="49"/>
      <c r="P776" s="49"/>
      <c r="Q776" s="49"/>
      <c r="R776" s="49"/>
      <c r="S776" s="49"/>
      <c r="T776" s="49"/>
      <c r="U776" s="49"/>
      <c r="V776" s="49"/>
      <c r="W776" s="49"/>
      <c r="X776" s="49"/>
      <c r="Y776" s="49"/>
      <c r="Z776" s="49"/>
      <c r="AA776" s="49"/>
      <c r="AB776" s="49"/>
      <c r="AC776" s="49"/>
    </row>
    <row r="777" spans="1:29" ht="13">
      <c r="A777" s="47"/>
      <c r="B777" s="47"/>
      <c r="C777" s="49"/>
      <c r="D777" s="49"/>
      <c r="E777" s="49"/>
      <c r="F777" s="49"/>
      <c r="G777" s="49"/>
      <c r="H777" s="173"/>
      <c r="I777" s="49"/>
      <c r="J777" s="49"/>
      <c r="K777" s="49"/>
      <c r="L777" s="49"/>
      <c r="M777" s="49"/>
      <c r="N777" s="49"/>
      <c r="O777" s="49"/>
      <c r="P777" s="49"/>
      <c r="Q777" s="49"/>
      <c r="R777" s="49"/>
      <c r="S777" s="49"/>
      <c r="T777" s="49"/>
      <c r="U777" s="49"/>
      <c r="V777" s="49"/>
      <c r="W777" s="49"/>
      <c r="X777" s="49"/>
      <c r="Y777" s="49"/>
      <c r="Z777" s="49"/>
      <c r="AA777" s="49"/>
      <c r="AB777" s="49"/>
      <c r="AC777" s="49"/>
    </row>
    <row r="778" spans="1:29" ht="13">
      <c r="A778" s="47"/>
      <c r="B778" s="47"/>
      <c r="C778" s="49"/>
      <c r="D778" s="49"/>
      <c r="E778" s="49"/>
      <c r="F778" s="49"/>
      <c r="G778" s="49"/>
      <c r="H778" s="173"/>
      <c r="I778" s="49"/>
      <c r="J778" s="49"/>
      <c r="K778" s="49"/>
      <c r="L778" s="49"/>
      <c r="M778" s="49"/>
      <c r="N778" s="49"/>
      <c r="O778" s="49"/>
      <c r="P778" s="49"/>
      <c r="Q778" s="49"/>
      <c r="R778" s="49"/>
      <c r="S778" s="49"/>
      <c r="T778" s="49"/>
      <c r="U778" s="49"/>
      <c r="V778" s="49"/>
      <c r="W778" s="49"/>
      <c r="X778" s="49"/>
      <c r="Y778" s="49"/>
      <c r="Z778" s="49"/>
      <c r="AA778" s="49"/>
      <c r="AB778" s="49"/>
      <c r="AC778" s="49"/>
    </row>
    <row r="779" spans="1:29" ht="13">
      <c r="A779" s="47"/>
      <c r="B779" s="47"/>
      <c r="C779" s="49"/>
      <c r="D779" s="49"/>
      <c r="E779" s="49"/>
      <c r="F779" s="49"/>
      <c r="G779" s="49"/>
      <c r="H779" s="173"/>
      <c r="I779" s="49"/>
      <c r="J779" s="49"/>
      <c r="K779" s="49"/>
      <c r="L779" s="49"/>
      <c r="M779" s="49"/>
      <c r="N779" s="49"/>
      <c r="O779" s="49"/>
      <c r="P779" s="49"/>
      <c r="Q779" s="49"/>
      <c r="R779" s="49"/>
      <c r="S779" s="49"/>
      <c r="T779" s="49"/>
      <c r="U779" s="49"/>
      <c r="V779" s="49"/>
      <c r="W779" s="49"/>
      <c r="X779" s="49"/>
      <c r="Y779" s="49"/>
      <c r="Z779" s="49"/>
      <c r="AA779" s="49"/>
      <c r="AB779" s="49"/>
      <c r="AC779" s="49"/>
    </row>
    <row r="780" spans="1:29" ht="13">
      <c r="A780" s="47"/>
      <c r="B780" s="47"/>
      <c r="C780" s="49"/>
      <c r="D780" s="49"/>
      <c r="E780" s="49"/>
      <c r="F780" s="49"/>
      <c r="G780" s="49"/>
      <c r="H780" s="173"/>
      <c r="I780" s="49"/>
      <c r="J780" s="49"/>
      <c r="K780" s="49"/>
      <c r="L780" s="49"/>
      <c r="M780" s="49"/>
      <c r="N780" s="49"/>
      <c r="O780" s="49"/>
      <c r="P780" s="49"/>
      <c r="Q780" s="49"/>
      <c r="R780" s="49"/>
      <c r="S780" s="49"/>
      <c r="T780" s="49"/>
      <c r="U780" s="49"/>
      <c r="V780" s="49"/>
      <c r="W780" s="49"/>
      <c r="X780" s="49"/>
      <c r="Y780" s="49"/>
      <c r="Z780" s="49"/>
      <c r="AA780" s="49"/>
      <c r="AB780" s="49"/>
      <c r="AC780" s="49"/>
    </row>
    <row r="781" spans="1:29" ht="13">
      <c r="A781" s="47"/>
      <c r="B781" s="47"/>
      <c r="C781" s="49"/>
      <c r="D781" s="49"/>
      <c r="E781" s="49"/>
      <c r="F781" s="49"/>
      <c r="G781" s="49"/>
      <c r="H781" s="173"/>
      <c r="I781" s="49"/>
      <c r="J781" s="49"/>
      <c r="K781" s="49"/>
      <c r="L781" s="49"/>
      <c r="M781" s="49"/>
      <c r="N781" s="49"/>
      <c r="O781" s="49"/>
      <c r="P781" s="49"/>
      <c r="Q781" s="49"/>
      <c r="R781" s="49"/>
      <c r="S781" s="49"/>
      <c r="T781" s="49"/>
      <c r="U781" s="49"/>
      <c r="V781" s="49"/>
      <c r="W781" s="49"/>
      <c r="X781" s="49"/>
      <c r="Y781" s="49"/>
      <c r="Z781" s="49"/>
      <c r="AA781" s="49"/>
      <c r="AB781" s="49"/>
      <c r="AC781" s="49"/>
    </row>
    <row r="782" spans="1:29" ht="13">
      <c r="A782" s="47"/>
      <c r="B782" s="47"/>
      <c r="C782" s="49"/>
      <c r="D782" s="49"/>
      <c r="E782" s="49"/>
      <c r="F782" s="49"/>
      <c r="G782" s="49"/>
      <c r="H782" s="173"/>
      <c r="I782" s="49"/>
      <c r="J782" s="49"/>
      <c r="K782" s="49"/>
      <c r="L782" s="49"/>
      <c r="M782" s="49"/>
      <c r="N782" s="49"/>
      <c r="O782" s="49"/>
      <c r="P782" s="49"/>
      <c r="Q782" s="49"/>
      <c r="R782" s="49"/>
      <c r="S782" s="49"/>
      <c r="T782" s="49"/>
      <c r="U782" s="49"/>
      <c r="V782" s="49"/>
      <c r="W782" s="49"/>
      <c r="X782" s="49"/>
      <c r="Y782" s="49"/>
      <c r="Z782" s="49"/>
      <c r="AA782" s="49"/>
      <c r="AB782" s="49"/>
      <c r="AC782" s="49"/>
    </row>
    <row r="783" spans="1:29" ht="13">
      <c r="A783" s="47"/>
      <c r="B783" s="47"/>
      <c r="C783" s="49"/>
      <c r="D783" s="49"/>
      <c r="E783" s="49"/>
      <c r="F783" s="49"/>
      <c r="G783" s="49"/>
      <c r="H783" s="173"/>
      <c r="I783" s="49"/>
      <c r="J783" s="49"/>
      <c r="K783" s="49"/>
      <c r="L783" s="49"/>
      <c r="M783" s="49"/>
      <c r="N783" s="49"/>
      <c r="O783" s="49"/>
      <c r="P783" s="49"/>
      <c r="Q783" s="49"/>
      <c r="R783" s="49"/>
      <c r="S783" s="49"/>
      <c r="T783" s="49"/>
      <c r="U783" s="49"/>
      <c r="V783" s="49"/>
      <c r="W783" s="49"/>
      <c r="X783" s="49"/>
      <c r="Y783" s="49"/>
      <c r="Z783" s="49"/>
      <c r="AA783" s="49"/>
      <c r="AB783" s="49"/>
      <c r="AC783" s="49"/>
    </row>
    <row r="784" spans="1:29" ht="13">
      <c r="A784" s="47"/>
      <c r="B784" s="47"/>
      <c r="C784" s="49"/>
      <c r="D784" s="49"/>
      <c r="E784" s="49"/>
      <c r="F784" s="49"/>
      <c r="G784" s="49"/>
      <c r="H784" s="173"/>
      <c r="I784" s="49"/>
      <c r="J784" s="49"/>
      <c r="K784" s="49"/>
      <c r="L784" s="49"/>
      <c r="M784" s="49"/>
      <c r="N784" s="49"/>
      <c r="O784" s="49"/>
      <c r="P784" s="49"/>
      <c r="Q784" s="49"/>
      <c r="R784" s="49"/>
      <c r="S784" s="49"/>
      <c r="T784" s="49"/>
      <c r="U784" s="49"/>
      <c r="V784" s="49"/>
      <c r="W784" s="49"/>
      <c r="X784" s="49"/>
      <c r="Y784" s="49"/>
      <c r="Z784" s="49"/>
      <c r="AA784" s="49"/>
      <c r="AB784" s="49"/>
      <c r="AC784" s="49"/>
    </row>
    <row r="785" spans="1:29" ht="13">
      <c r="A785" s="47"/>
      <c r="B785" s="47"/>
      <c r="C785" s="49"/>
      <c r="D785" s="49"/>
      <c r="E785" s="49"/>
      <c r="F785" s="49"/>
      <c r="G785" s="49"/>
      <c r="H785" s="173"/>
      <c r="I785" s="49"/>
      <c r="J785" s="49"/>
      <c r="K785" s="49"/>
      <c r="L785" s="49"/>
      <c r="M785" s="49"/>
      <c r="N785" s="49"/>
      <c r="O785" s="49"/>
      <c r="P785" s="49"/>
      <c r="Q785" s="49"/>
      <c r="R785" s="49"/>
      <c r="S785" s="49"/>
      <c r="T785" s="49"/>
      <c r="U785" s="49"/>
      <c r="V785" s="49"/>
      <c r="W785" s="49"/>
      <c r="X785" s="49"/>
      <c r="Y785" s="49"/>
      <c r="Z785" s="49"/>
      <c r="AA785" s="49"/>
      <c r="AB785" s="49"/>
      <c r="AC785" s="49"/>
    </row>
    <row r="786" spans="1:29" ht="13">
      <c r="A786" s="47"/>
      <c r="B786" s="47"/>
      <c r="C786" s="49"/>
      <c r="D786" s="49"/>
      <c r="E786" s="49"/>
      <c r="F786" s="49"/>
      <c r="G786" s="49"/>
      <c r="H786" s="173"/>
      <c r="I786" s="49"/>
      <c r="J786" s="49"/>
      <c r="K786" s="49"/>
      <c r="L786" s="49"/>
      <c r="M786" s="49"/>
      <c r="N786" s="49"/>
      <c r="O786" s="49"/>
      <c r="P786" s="49"/>
      <c r="Q786" s="49"/>
      <c r="R786" s="49"/>
      <c r="S786" s="49"/>
      <c r="T786" s="49"/>
      <c r="U786" s="49"/>
      <c r="V786" s="49"/>
      <c r="W786" s="49"/>
      <c r="X786" s="49"/>
      <c r="Y786" s="49"/>
      <c r="Z786" s="49"/>
      <c r="AA786" s="49"/>
      <c r="AB786" s="49"/>
      <c r="AC786" s="49"/>
    </row>
    <row r="787" spans="1:29" ht="13">
      <c r="A787" s="47"/>
      <c r="B787" s="47"/>
      <c r="C787" s="49"/>
      <c r="D787" s="49"/>
      <c r="E787" s="49"/>
      <c r="F787" s="49"/>
      <c r="G787" s="49"/>
      <c r="H787" s="173"/>
      <c r="I787" s="49"/>
      <c r="J787" s="49"/>
      <c r="K787" s="49"/>
      <c r="L787" s="49"/>
      <c r="M787" s="49"/>
      <c r="N787" s="49"/>
      <c r="O787" s="49"/>
      <c r="P787" s="49"/>
      <c r="Q787" s="49"/>
      <c r="R787" s="49"/>
      <c r="S787" s="49"/>
      <c r="T787" s="49"/>
      <c r="U787" s="49"/>
      <c r="V787" s="49"/>
      <c r="W787" s="49"/>
      <c r="X787" s="49"/>
      <c r="Y787" s="49"/>
      <c r="Z787" s="49"/>
      <c r="AA787" s="49"/>
      <c r="AB787" s="49"/>
      <c r="AC787" s="49"/>
    </row>
    <row r="788" spans="1:29" ht="13">
      <c r="A788" s="47"/>
      <c r="B788" s="47"/>
      <c r="C788" s="49"/>
      <c r="D788" s="49"/>
      <c r="E788" s="49"/>
      <c r="F788" s="49"/>
      <c r="G788" s="49"/>
      <c r="H788" s="173"/>
      <c r="I788" s="49"/>
      <c r="J788" s="49"/>
      <c r="K788" s="49"/>
      <c r="L788" s="49"/>
      <c r="M788" s="49"/>
      <c r="N788" s="49"/>
      <c r="O788" s="49"/>
      <c r="P788" s="49"/>
      <c r="Q788" s="49"/>
      <c r="R788" s="49"/>
      <c r="S788" s="49"/>
      <c r="T788" s="49"/>
      <c r="U788" s="49"/>
      <c r="V788" s="49"/>
      <c r="W788" s="49"/>
      <c r="X788" s="49"/>
      <c r="Y788" s="49"/>
      <c r="Z788" s="49"/>
      <c r="AA788" s="49"/>
      <c r="AB788" s="49"/>
      <c r="AC788" s="49"/>
    </row>
    <row r="789" spans="1:29" ht="13">
      <c r="A789" s="47"/>
      <c r="B789" s="47"/>
      <c r="C789" s="49"/>
      <c r="D789" s="49"/>
      <c r="E789" s="49"/>
      <c r="F789" s="49"/>
      <c r="G789" s="49"/>
      <c r="H789" s="173"/>
      <c r="I789" s="49"/>
      <c r="J789" s="49"/>
      <c r="K789" s="49"/>
      <c r="L789" s="49"/>
      <c r="M789" s="49"/>
      <c r="N789" s="49"/>
      <c r="O789" s="49"/>
      <c r="P789" s="49"/>
      <c r="Q789" s="49"/>
      <c r="R789" s="49"/>
      <c r="S789" s="49"/>
      <c r="T789" s="49"/>
      <c r="U789" s="49"/>
      <c r="V789" s="49"/>
      <c r="W789" s="49"/>
      <c r="X789" s="49"/>
      <c r="Y789" s="49"/>
      <c r="Z789" s="49"/>
      <c r="AA789" s="49"/>
      <c r="AB789" s="49"/>
      <c r="AC789" s="49"/>
    </row>
    <row r="790" spans="1:29" ht="13">
      <c r="A790" s="47"/>
      <c r="B790" s="47"/>
      <c r="C790" s="49"/>
      <c r="D790" s="49"/>
      <c r="E790" s="49"/>
      <c r="F790" s="49"/>
      <c r="G790" s="49"/>
      <c r="H790" s="173"/>
      <c r="I790" s="49"/>
      <c r="J790" s="49"/>
      <c r="K790" s="49"/>
      <c r="L790" s="49"/>
      <c r="M790" s="49"/>
      <c r="N790" s="49"/>
      <c r="O790" s="49"/>
      <c r="P790" s="49"/>
      <c r="Q790" s="49"/>
      <c r="R790" s="49"/>
      <c r="S790" s="49"/>
      <c r="T790" s="49"/>
      <c r="U790" s="49"/>
      <c r="V790" s="49"/>
      <c r="W790" s="49"/>
      <c r="X790" s="49"/>
      <c r="Y790" s="49"/>
      <c r="Z790" s="49"/>
      <c r="AA790" s="49"/>
      <c r="AB790" s="49"/>
      <c r="AC790" s="49"/>
    </row>
    <row r="791" spans="1:29" ht="13">
      <c r="A791" s="47"/>
      <c r="B791" s="47"/>
      <c r="C791" s="49"/>
      <c r="D791" s="49"/>
      <c r="E791" s="49"/>
      <c r="F791" s="49"/>
      <c r="G791" s="49"/>
      <c r="H791" s="173"/>
      <c r="I791" s="49"/>
      <c r="J791" s="49"/>
      <c r="K791" s="49"/>
      <c r="L791" s="49"/>
      <c r="M791" s="49"/>
      <c r="N791" s="49"/>
      <c r="O791" s="49"/>
      <c r="P791" s="49"/>
      <c r="Q791" s="49"/>
      <c r="R791" s="49"/>
      <c r="S791" s="49"/>
      <c r="T791" s="49"/>
      <c r="U791" s="49"/>
      <c r="V791" s="49"/>
      <c r="W791" s="49"/>
      <c r="X791" s="49"/>
      <c r="Y791" s="49"/>
      <c r="Z791" s="49"/>
      <c r="AA791" s="49"/>
      <c r="AB791" s="49"/>
      <c r="AC791" s="49"/>
    </row>
    <row r="792" spans="1:29" ht="13">
      <c r="A792" s="47"/>
      <c r="B792" s="47"/>
      <c r="C792" s="49"/>
      <c r="D792" s="49"/>
      <c r="E792" s="49"/>
      <c r="F792" s="49"/>
      <c r="G792" s="49"/>
      <c r="H792" s="173"/>
      <c r="I792" s="49"/>
      <c r="J792" s="49"/>
      <c r="K792" s="49"/>
      <c r="L792" s="49"/>
      <c r="M792" s="49"/>
      <c r="N792" s="49"/>
      <c r="O792" s="49"/>
      <c r="P792" s="49"/>
      <c r="Q792" s="49"/>
      <c r="R792" s="49"/>
      <c r="S792" s="49"/>
      <c r="T792" s="49"/>
      <c r="U792" s="49"/>
      <c r="V792" s="49"/>
      <c r="W792" s="49"/>
      <c r="X792" s="49"/>
      <c r="Y792" s="49"/>
      <c r="Z792" s="49"/>
      <c r="AA792" s="49"/>
      <c r="AB792" s="49"/>
      <c r="AC792" s="49"/>
    </row>
    <row r="793" spans="1:29" ht="13">
      <c r="A793" s="47"/>
      <c r="B793" s="47"/>
      <c r="C793" s="49"/>
      <c r="D793" s="49"/>
      <c r="E793" s="49"/>
      <c r="F793" s="49"/>
      <c r="G793" s="49"/>
      <c r="H793" s="173"/>
      <c r="I793" s="49"/>
      <c r="J793" s="49"/>
      <c r="K793" s="49"/>
      <c r="L793" s="49"/>
      <c r="M793" s="49"/>
      <c r="N793" s="49"/>
      <c r="O793" s="49"/>
      <c r="P793" s="49"/>
      <c r="Q793" s="49"/>
      <c r="R793" s="49"/>
      <c r="S793" s="49"/>
      <c r="T793" s="49"/>
      <c r="U793" s="49"/>
      <c r="V793" s="49"/>
      <c r="W793" s="49"/>
      <c r="X793" s="49"/>
      <c r="Y793" s="49"/>
      <c r="Z793" s="49"/>
      <c r="AA793" s="49"/>
      <c r="AB793" s="49"/>
      <c r="AC793" s="49"/>
    </row>
    <row r="794" spans="1:29" ht="13">
      <c r="A794" s="47"/>
      <c r="B794" s="47"/>
      <c r="C794" s="49"/>
      <c r="D794" s="49"/>
      <c r="E794" s="49"/>
      <c r="F794" s="49"/>
      <c r="G794" s="49"/>
      <c r="H794" s="173"/>
      <c r="I794" s="49"/>
      <c r="J794" s="49"/>
      <c r="K794" s="49"/>
      <c r="L794" s="49"/>
      <c r="M794" s="49"/>
      <c r="N794" s="49"/>
      <c r="O794" s="49"/>
      <c r="P794" s="49"/>
      <c r="Q794" s="49"/>
      <c r="R794" s="49"/>
      <c r="S794" s="49"/>
      <c r="T794" s="49"/>
      <c r="U794" s="49"/>
      <c r="V794" s="49"/>
      <c r="W794" s="49"/>
      <c r="X794" s="49"/>
      <c r="Y794" s="49"/>
      <c r="Z794" s="49"/>
      <c r="AA794" s="49"/>
      <c r="AB794" s="49"/>
      <c r="AC794" s="49"/>
    </row>
    <row r="795" spans="1:29" ht="13">
      <c r="A795" s="47"/>
      <c r="B795" s="47"/>
      <c r="C795" s="49"/>
      <c r="D795" s="49"/>
      <c r="E795" s="49"/>
      <c r="F795" s="49"/>
      <c r="G795" s="49"/>
      <c r="H795" s="173"/>
      <c r="I795" s="49"/>
      <c r="J795" s="49"/>
      <c r="K795" s="49"/>
      <c r="L795" s="49"/>
      <c r="M795" s="49"/>
      <c r="N795" s="49"/>
      <c r="O795" s="49"/>
      <c r="P795" s="49"/>
      <c r="Q795" s="49"/>
      <c r="R795" s="49"/>
      <c r="S795" s="49"/>
      <c r="T795" s="49"/>
      <c r="U795" s="49"/>
      <c r="V795" s="49"/>
      <c r="W795" s="49"/>
      <c r="X795" s="49"/>
      <c r="Y795" s="49"/>
      <c r="Z795" s="49"/>
      <c r="AA795" s="49"/>
      <c r="AB795" s="49"/>
      <c r="AC795" s="49"/>
    </row>
    <row r="796" spans="1:29" ht="13">
      <c r="A796" s="47"/>
      <c r="B796" s="47"/>
      <c r="C796" s="49"/>
      <c r="D796" s="49"/>
      <c r="E796" s="49"/>
      <c r="F796" s="49"/>
      <c r="G796" s="49"/>
      <c r="H796" s="173"/>
      <c r="I796" s="49"/>
      <c r="J796" s="49"/>
      <c r="K796" s="49"/>
      <c r="L796" s="49"/>
      <c r="M796" s="49"/>
      <c r="N796" s="49"/>
      <c r="O796" s="49"/>
      <c r="P796" s="49"/>
      <c r="Q796" s="49"/>
      <c r="R796" s="49"/>
      <c r="S796" s="49"/>
      <c r="T796" s="49"/>
      <c r="U796" s="49"/>
      <c r="V796" s="49"/>
      <c r="W796" s="49"/>
      <c r="X796" s="49"/>
      <c r="Y796" s="49"/>
      <c r="Z796" s="49"/>
      <c r="AA796" s="49"/>
      <c r="AB796" s="49"/>
      <c r="AC796" s="49"/>
    </row>
    <row r="797" spans="1:29" ht="13">
      <c r="A797" s="47"/>
      <c r="B797" s="47"/>
      <c r="C797" s="49"/>
      <c r="D797" s="49"/>
      <c r="E797" s="49"/>
      <c r="F797" s="49"/>
      <c r="G797" s="49"/>
      <c r="H797" s="173"/>
      <c r="I797" s="49"/>
      <c r="J797" s="49"/>
      <c r="K797" s="49"/>
      <c r="L797" s="49"/>
      <c r="M797" s="49"/>
      <c r="N797" s="49"/>
      <c r="O797" s="49"/>
      <c r="P797" s="49"/>
      <c r="Q797" s="49"/>
      <c r="R797" s="49"/>
      <c r="S797" s="49"/>
      <c r="T797" s="49"/>
      <c r="U797" s="49"/>
      <c r="V797" s="49"/>
      <c r="W797" s="49"/>
      <c r="X797" s="49"/>
      <c r="Y797" s="49"/>
      <c r="Z797" s="49"/>
      <c r="AA797" s="49"/>
      <c r="AB797" s="49"/>
      <c r="AC797" s="49"/>
    </row>
    <row r="798" spans="1:29" ht="13">
      <c r="A798" s="47"/>
      <c r="B798" s="47"/>
      <c r="C798" s="49"/>
      <c r="D798" s="49"/>
      <c r="E798" s="49"/>
      <c r="F798" s="49"/>
      <c r="G798" s="49"/>
      <c r="H798" s="173"/>
      <c r="I798" s="49"/>
      <c r="J798" s="49"/>
      <c r="K798" s="49"/>
      <c r="L798" s="49"/>
      <c r="M798" s="49"/>
      <c r="N798" s="49"/>
      <c r="O798" s="49"/>
      <c r="P798" s="49"/>
      <c r="Q798" s="49"/>
      <c r="R798" s="49"/>
      <c r="S798" s="49"/>
      <c r="T798" s="49"/>
      <c r="U798" s="49"/>
      <c r="V798" s="49"/>
      <c r="W798" s="49"/>
      <c r="X798" s="49"/>
      <c r="Y798" s="49"/>
      <c r="Z798" s="49"/>
      <c r="AA798" s="49"/>
      <c r="AB798" s="49"/>
      <c r="AC798" s="49"/>
    </row>
    <row r="799" spans="1:29" ht="13">
      <c r="A799" s="47"/>
      <c r="B799" s="47"/>
      <c r="C799" s="49"/>
      <c r="D799" s="49"/>
      <c r="E799" s="49"/>
      <c r="F799" s="49"/>
      <c r="G799" s="49"/>
      <c r="H799" s="173"/>
      <c r="I799" s="49"/>
      <c r="J799" s="49"/>
      <c r="K799" s="49"/>
      <c r="L799" s="49"/>
      <c r="M799" s="49"/>
      <c r="N799" s="49"/>
      <c r="O799" s="49"/>
      <c r="P799" s="49"/>
      <c r="Q799" s="49"/>
      <c r="R799" s="49"/>
      <c r="S799" s="49"/>
      <c r="T799" s="49"/>
      <c r="U799" s="49"/>
      <c r="V799" s="49"/>
      <c r="W799" s="49"/>
      <c r="X799" s="49"/>
      <c r="Y799" s="49"/>
      <c r="Z799" s="49"/>
      <c r="AA799" s="49"/>
      <c r="AB799" s="49"/>
      <c r="AC799" s="49"/>
    </row>
    <row r="800" spans="1:29" ht="13">
      <c r="A800" s="47"/>
      <c r="B800" s="47"/>
      <c r="C800" s="49"/>
      <c r="D800" s="49"/>
      <c r="E800" s="49"/>
      <c r="F800" s="49"/>
      <c r="G800" s="49"/>
      <c r="H800" s="173"/>
      <c r="I800" s="49"/>
      <c r="J800" s="49"/>
      <c r="K800" s="49"/>
      <c r="L800" s="49"/>
      <c r="M800" s="49"/>
      <c r="N800" s="49"/>
      <c r="O800" s="49"/>
      <c r="P800" s="49"/>
      <c r="Q800" s="49"/>
      <c r="R800" s="49"/>
      <c r="S800" s="49"/>
      <c r="T800" s="49"/>
      <c r="U800" s="49"/>
      <c r="V800" s="49"/>
      <c r="W800" s="49"/>
      <c r="X800" s="49"/>
      <c r="Y800" s="49"/>
      <c r="Z800" s="49"/>
      <c r="AA800" s="49"/>
      <c r="AB800" s="49"/>
      <c r="AC800" s="49"/>
    </row>
    <row r="801" spans="1:29" ht="13">
      <c r="A801" s="47"/>
      <c r="B801" s="47"/>
      <c r="C801" s="49"/>
      <c r="D801" s="49"/>
      <c r="E801" s="49"/>
      <c r="F801" s="49"/>
      <c r="G801" s="49"/>
      <c r="H801" s="173"/>
      <c r="I801" s="49"/>
      <c r="J801" s="49"/>
      <c r="K801" s="49"/>
      <c r="L801" s="49"/>
      <c r="M801" s="49"/>
      <c r="N801" s="49"/>
      <c r="O801" s="49"/>
      <c r="P801" s="49"/>
      <c r="Q801" s="49"/>
      <c r="R801" s="49"/>
      <c r="S801" s="49"/>
      <c r="T801" s="49"/>
      <c r="U801" s="49"/>
      <c r="V801" s="49"/>
      <c r="W801" s="49"/>
      <c r="X801" s="49"/>
      <c r="Y801" s="49"/>
      <c r="Z801" s="49"/>
      <c r="AA801" s="49"/>
      <c r="AB801" s="49"/>
      <c r="AC801" s="49"/>
    </row>
    <row r="802" spans="1:29" ht="13">
      <c r="A802" s="47"/>
      <c r="B802" s="47"/>
      <c r="C802" s="49"/>
      <c r="D802" s="49"/>
      <c r="E802" s="49"/>
      <c r="F802" s="49"/>
      <c r="G802" s="49"/>
      <c r="H802" s="173"/>
      <c r="I802" s="49"/>
      <c r="J802" s="49"/>
      <c r="K802" s="49"/>
      <c r="L802" s="49"/>
      <c r="M802" s="49"/>
      <c r="N802" s="49"/>
      <c r="O802" s="49"/>
      <c r="P802" s="49"/>
      <c r="Q802" s="49"/>
      <c r="R802" s="49"/>
      <c r="S802" s="49"/>
      <c r="T802" s="49"/>
      <c r="U802" s="49"/>
      <c r="V802" s="49"/>
      <c r="W802" s="49"/>
      <c r="X802" s="49"/>
      <c r="Y802" s="49"/>
      <c r="Z802" s="49"/>
      <c r="AA802" s="49"/>
      <c r="AB802" s="49"/>
      <c r="AC802" s="49"/>
    </row>
    <row r="803" spans="1:29" ht="13">
      <c r="A803" s="47"/>
      <c r="B803" s="47"/>
      <c r="C803" s="49"/>
      <c r="D803" s="49"/>
      <c r="E803" s="49"/>
      <c r="F803" s="49"/>
      <c r="G803" s="49"/>
      <c r="H803" s="173"/>
      <c r="I803" s="49"/>
      <c r="J803" s="49"/>
      <c r="K803" s="49"/>
      <c r="L803" s="49"/>
      <c r="M803" s="49"/>
      <c r="N803" s="49"/>
      <c r="O803" s="49"/>
      <c r="P803" s="49"/>
      <c r="Q803" s="49"/>
      <c r="R803" s="49"/>
      <c r="S803" s="49"/>
      <c r="T803" s="49"/>
      <c r="U803" s="49"/>
      <c r="V803" s="49"/>
      <c r="W803" s="49"/>
      <c r="X803" s="49"/>
      <c r="Y803" s="49"/>
      <c r="Z803" s="49"/>
      <c r="AA803" s="49"/>
      <c r="AB803" s="49"/>
      <c r="AC803" s="49"/>
    </row>
    <row r="804" spans="1:29" ht="13">
      <c r="A804" s="47"/>
      <c r="B804" s="47"/>
      <c r="C804" s="49"/>
      <c r="D804" s="49"/>
      <c r="E804" s="49"/>
      <c r="F804" s="49"/>
      <c r="G804" s="49"/>
      <c r="H804" s="173"/>
      <c r="I804" s="49"/>
      <c r="J804" s="49"/>
      <c r="K804" s="49"/>
      <c r="L804" s="49"/>
      <c r="M804" s="49"/>
      <c r="N804" s="49"/>
      <c r="O804" s="49"/>
      <c r="P804" s="49"/>
      <c r="Q804" s="49"/>
      <c r="R804" s="49"/>
      <c r="S804" s="49"/>
      <c r="T804" s="49"/>
      <c r="U804" s="49"/>
      <c r="V804" s="49"/>
      <c r="W804" s="49"/>
      <c r="X804" s="49"/>
      <c r="Y804" s="49"/>
      <c r="Z804" s="49"/>
      <c r="AA804" s="49"/>
      <c r="AB804" s="49"/>
      <c r="AC804" s="49"/>
    </row>
    <row r="805" spans="1:29" ht="13">
      <c r="A805" s="47"/>
      <c r="B805" s="47"/>
      <c r="C805" s="49"/>
      <c r="D805" s="49"/>
      <c r="E805" s="49"/>
      <c r="F805" s="49"/>
      <c r="G805" s="49"/>
      <c r="H805" s="173"/>
      <c r="I805" s="49"/>
      <c r="J805" s="49"/>
      <c r="K805" s="49"/>
      <c r="L805" s="49"/>
      <c r="M805" s="49"/>
      <c r="N805" s="49"/>
      <c r="O805" s="49"/>
      <c r="P805" s="49"/>
      <c r="Q805" s="49"/>
      <c r="R805" s="49"/>
      <c r="S805" s="49"/>
      <c r="T805" s="49"/>
      <c r="U805" s="49"/>
      <c r="V805" s="49"/>
      <c r="W805" s="49"/>
      <c r="X805" s="49"/>
      <c r="Y805" s="49"/>
      <c r="Z805" s="49"/>
      <c r="AA805" s="49"/>
      <c r="AB805" s="49"/>
      <c r="AC805" s="49"/>
    </row>
    <row r="806" spans="1:29" ht="13">
      <c r="A806" s="47"/>
      <c r="B806" s="47"/>
      <c r="C806" s="49"/>
      <c r="D806" s="49"/>
      <c r="E806" s="49"/>
      <c r="F806" s="49"/>
      <c r="G806" s="49"/>
      <c r="H806" s="173"/>
      <c r="I806" s="49"/>
      <c r="J806" s="49"/>
      <c r="K806" s="49"/>
      <c r="L806" s="49"/>
      <c r="M806" s="49"/>
      <c r="N806" s="49"/>
      <c r="O806" s="49"/>
      <c r="P806" s="49"/>
      <c r="Q806" s="49"/>
      <c r="R806" s="49"/>
      <c r="S806" s="49"/>
      <c r="T806" s="49"/>
      <c r="U806" s="49"/>
      <c r="V806" s="49"/>
      <c r="W806" s="49"/>
      <c r="X806" s="49"/>
      <c r="Y806" s="49"/>
      <c r="Z806" s="49"/>
      <c r="AA806" s="49"/>
      <c r="AB806" s="49"/>
      <c r="AC806" s="49"/>
    </row>
    <row r="807" spans="1:29" ht="13">
      <c r="A807" s="47"/>
      <c r="B807" s="47"/>
      <c r="C807" s="49"/>
      <c r="D807" s="49"/>
      <c r="E807" s="49"/>
      <c r="F807" s="49"/>
      <c r="G807" s="49"/>
      <c r="H807" s="173"/>
      <c r="I807" s="49"/>
      <c r="J807" s="49"/>
      <c r="K807" s="49"/>
      <c r="L807" s="49"/>
      <c r="M807" s="49"/>
      <c r="N807" s="49"/>
      <c r="O807" s="49"/>
      <c r="P807" s="49"/>
      <c r="Q807" s="49"/>
      <c r="R807" s="49"/>
      <c r="S807" s="49"/>
      <c r="T807" s="49"/>
      <c r="U807" s="49"/>
      <c r="V807" s="49"/>
      <c r="W807" s="49"/>
      <c r="X807" s="49"/>
      <c r="Y807" s="49"/>
      <c r="Z807" s="49"/>
      <c r="AA807" s="49"/>
      <c r="AB807" s="49"/>
      <c r="AC807" s="49"/>
    </row>
    <row r="808" spans="1:29" ht="13">
      <c r="A808" s="47"/>
      <c r="B808" s="47"/>
      <c r="C808" s="49"/>
      <c r="D808" s="49"/>
      <c r="E808" s="49"/>
      <c r="F808" s="49"/>
      <c r="G808" s="49"/>
      <c r="H808" s="173"/>
      <c r="I808" s="49"/>
      <c r="J808" s="49"/>
      <c r="K808" s="49"/>
      <c r="L808" s="49"/>
      <c r="M808" s="49"/>
      <c r="N808" s="49"/>
      <c r="O808" s="49"/>
      <c r="P808" s="49"/>
      <c r="Q808" s="49"/>
      <c r="R808" s="49"/>
      <c r="S808" s="49"/>
      <c r="T808" s="49"/>
      <c r="U808" s="49"/>
      <c r="V808" s="49"/>
      <c r="W808" s="49"/>
      <c r="X808" s="49"/>
      <c r="Y808" s="49"/>
      <c r="Z808" s="49"/>
      <c r="AA808" s="49"/>
      <c r="AB808" s="49"/>
      <c r="AC808" s="49"/>
    </row>
    <row r="809" spans="1:29" ht="13">
      <c r="A809" s="47"/>
      <c r="B809" s="47"/>
      <c r="C809" s="49"/>
      <c r="D809" s="49"/>
      <c r="E809" s="49"/>
      <c r="F809" s="49"/>
      <c r="G809" s="49"/>
      <c r="H809" s="173"/>
      <c r="I809" s="49"/>
      <c r="J809" s="49"/>
      <c r="K809" s="49"/>
      <c r="L809" s="49"/>
      <c r="M809" s="49"/>
      <c r="N809" s="49"/>
      <c r="O809" s="49"/>
      <c r="P809" s="49"/>
      <c r="Q809" s="49"/>
      <c r="R809" s="49"/>
      <c r="S809" s="49"/>
      <c r="T809" s="49"/>
      <c r="U809" s="49"/>
      <c r="V809" s="49"/>
      <c r="W809" s="49"/>
      <c r="X809" s="49"/>
      <c r="Y809" s="49"/>
      <c r="Z809" s="49"/>
      <c r="AA809" s="49"/>
      <c r="AB809" s="49"/>
      <c r="AC809" s="49"/>
    </row>
    <row r="810" spans="1:29" ht="13">
      <c r="A810" s="47"/>
      <c r="B810" s="47"/>
      <c r="C810" s="49"/>
      <c r="D810" s="49"/>
      <c r="E810" s="49"/>
      <c r="F810" s="49"/>
      <c r="G810" s="49"/>
      <c r="H810" s="173"/>
      <c r="I810" s="49"/>
      <c r="J810" s="49"/>
      <c r="K810" s="49"/>
      <c r="L810" s="49"/>
      <c r="M810" s="49"/>
      <c r="N810" s="49"/>
      <c r="O810" s="49"/>
      <c r="P810" s="49"/>
      <c r="Q810" s="49"/>
      <c r="R810" s="49"/>
      <c r="S810" s="49"/>
      <c r="T810" s="49"/>
      <c r="U810" s="49"/>
      <c r="V810" s="49"/>
      <c r="W810" s="49"/>
      <c r="X810" s="49"/>
      <c r="Y810" s="49"/>
      <c r="Z810" s="49"/>
      <c r="AA810" s="49"/>
      <c r="AB810" s="49"/>
      <c r="AC810" s="49"/>
    </row>
    <row r="811" spans="1:29" ht="13">
      <c r="A811" s="47"/>
      <c r="B811" s="47"/>
      <c r="C811" s="49"/>
      <c r="D811" s="49"/>
      <c r="E811" s="49"/>
      <c r="F811" s="49"/>
      <c r="G811" s="49"/>
      <c r="H811" s="173"/>
      <c r="I811" s="49"/>
      <c r="J811" s="49"/>
      <c r="K811" s="49"/>
      <c r="L811" s="49"/>
      <c r="M811" s="49"/>
      <c r="N811" s="49"/>
      <c r="O811" s="49"/>
      <c r="P811" s="49"/>
      <c r="Q811" s="49"/>
      <c r="R811" s="49"/>
      <c r="S811" s="49"/>
      <c r="T811" s="49"/>
      <c r="U811" s="49"/>
      <c r="V811" s="49"/>
      <c r="W811" s="49"/>
      <c r="X811" s="49"/>
      <c r="Y811" s="49"/>
      <c r="Z811" s="49"/>
      <c r="AA811" s="49"/>
      <c r="AB811" s="49"/>
      <c r="AC811" s="49"/>
    </row>
    <row r="812" spans="1:29" ht="13">
      <c r="A812" s="47"/>
      <c r="B812" s="47"/>
      <c r="C812" s="49"/>
      <c r="D812" s="49"/>
      <c r="E812" s="49"/>
      <c r="F812" s="49"/>
      <c r="G812" s="49"/>
      <c r="H812" s="173"/>
      <c r="I812" s="49"/>
      <c r="J812" s="49"/>
      <c r="K812" s="49"/>
      <c r="L812" s="49"/>
      <c r="M812" s="49"/>
      <c r="N812" s="49"/>
      <c r="O812" s="49"/>
      <c r="P812" s="49"/>
      <c r="Q812" s="49"/>
      <c r="R812" s="49"/>
      <c r="S812" s="49"/>
      <c r="T812" s="49"/>
      <c r="U812" s="49"/>
      <c r="V812" s="49"/>
      <c r="W812" s="49"/>
      <c r="X812" s="49"/>
      <c r="Y812" s="49"/>
      <c r="Z812" s="49"/>
      <c r="AA812" s="49"/>
      <c r="AB812" s="49"/>
      <c r="AC812" s="49"/>
    </row>
    <row r="813" spans="1:29" ht="13">
      <c r="A813" s="47"/>
      <c r="B813" s="47"/>
      <c r="C813" s="49"/>
      <c r="D813" s="49"/>
      <c r="E813" s="49"/>
      <c r="F813" s="49"/>
      <c r="G813" s="49"/>
      <c r="H813" s="173"/>
      <c r="I813" s="49"/>
      <c r="J813" s="49"/>
      <c r="K813" s="49"/>
      <c r="L813" s="49"/>
      <c r="M813" s="49"/>
      <c r="N813" s="49"/>
      <c r="O813" s="49"/>
      <c r="P813" s="49"/>
      <c r="Q813" s="49"/>
      <c r="R813" s="49"/>
      <c r="S813" s="49"/>
      <c r="T813" s="49"/>
      <c r="U813" s="49"/>
      <c r="V813" s="49"/>
      <c r="W813" s="49"/>
      <c r="X813" s="49"/>
      <c r="Y813" s="49"/>
      <c r="Z813" s="49"/>
      <c r="AA813" s="49"/>
      <c r="AB813" s="49"/>
      <c r="AC813" s="49"/>
    </row>
    <row r="814" spans="1:29" ht="13">
      <c r="A814" s="47"/>
      <c r="B814" s="47"/>
      <c r="C814" s="49"/>
      <c r="D814" s="49"/>
      <c r="E814" s="49"/>
      <c r="F814" s="49"/>
      <c r="G814" s="49"/>
      <c r="H814" s="173"/>
      <c r="I814" s="49"/>
      <c r="J814" s="49"/>
      <c r="K814" s="49"/>
      <c r="L814" s="49"/>
      <c r="M814" s="49"/>
      <c r="N814" s="49"/>
      <c r="O814" s="49"/>
      <c r="P814" s="49"/>
      <c r="Q814" s="49"/>
      <c r="R814" s="49"/>
      <c r="S814" s="49"/>
      <c r="T814" s="49"/>
      <c r="U814" s="49"/>
      <c r="V814" s="49"/>
      <c r="W814" s="49"/>
      <c r="X814" s="49"/>
      <c r="Y814" s="49"/>
      <c r="Z814" s="49"/>
      <c r="AA814" s="49"/>
      <c r="AB814" s="49"/>
      <c r="AC814" s="49"/>
    </row>
    <row r="815" spans="1:29" ht="13">
      <c r="A815" s="47"/>
      <c r="B815" s="47"/>
      <c r="C815" s="49"/>
      <c r="D815" s="49"/>
      <c r="E815" s="49"/>
      <c r="F815" s="49"/>
      <c r="G815" s="49"/>
      <c r="H815" s="173"/>
      <c r="I815" s="49"/>
      <c r="J815" s="49"/>
      <c r="K815" s="49"/>
      <c r="L815" s="49"/>
      <c r="M815" s="49"/>
      <c r="N815" s="49"/>
      <c r="O815" s="49"/>
      <c r="P815" s="49"/>
      <c r="Q815" s="49"/>
      <c r="R815" s="49"/>
      <c r="S815" s="49"/>
      <c r="T815" s="49"/>
      <c r="U815" s="49"/>
      <c r="V815" s="49"/>
      <c r="W815" s="49"/>
      <c r="X815" s="49"/>
      <c r="Y815" s="49"/>
      <c r="Z815" s="49"/>
      <c r="AA815" s="49"/>
      <c r="AB815" s="49"/>
      <c r="AC815" s="49"/>
    </row>
    <row r="816" spans="1:29" ht="13">
      <c r="A816" s="47"/>
      <c r="B816" s="47"/>
      <c r="C816" s="49"/>
      <c r="D816" s="49"/>
      <c r="E816" s="49"/>
      <c r="F816" s="49"/>
      <c r="G816" s="49"/>
      <c r="H816" s="173"/>
      <c r="I816" s="49"/>
      <c r="J816" s="49"/>
      <c r="K816" s="49"/>
      <c r="L816" s="49"/>
      <c r="M816" s="49"/>
      <c r="N816" s="49"/>
      <c r="O816" s="49"/>
      <c r="P816" s="49"/>
      <c r="Q816" s="49"/>
      <c r="R816" s="49"/>
      <c r="S816" s="49"/>
      <c r="T816" s="49"/>
      <c r="U816" s="49"/>
      <c r="V816" s="49"/>
      <c r="W816" s="49"/>
      <c r="X816" s="49"/>
      <c r="Y816" s="49"/>
      <c r="Z816" s="49"/>
      <c r="AA816" s="49"/>
      <c r="AB816" s="49"/>
      <c r="AC816" s="49"/>
    </row>
    <row r="817" spans="1:29" ht="13">
      <c r="A817" s="47"/>
      <c r="B817" s="47"/>
      <c r="C817" s="49"/>
      <c r="D817" s="49"/>
      <c r="E817" s="49"/>
      <c r="F817" s="49"/>
      <c r="G817" s="49"/>
      <c r="H817" s="173"/>
      <c r="I817" s="49"/>
      <c r="J817" s="49"/>
      <c r="K817" s="49"/>
      <c r="L817" s="49"/>
      <c r="M817" s="49"/>
      <c r="N817" s="49"/>
      <c r="O817" s="49"/>
      <c r="P817" s="49"/>
      <c r="Q817" s="49"/>
      <c r="R817" s="49"/>
      <c r="S817" s="49"/>
      <c r="T817" s="49"/>
      <c r="U817" s="49"/>
      <c r="V817" s="49"/>
      <c r="W817" s="49"/>
      <c r="X817" s="49"/>
      <c r="Y817" s="49"/>
      <c r="Z817" s="49"/>
      <c r="AA817" s="49"/>
      <c r="AB817" s="49"/>
      <c r="AC817" s="49"/>
    </row>
    <row r="818" spans="1:29" ht="13">
      <c r="A818" s="47"/>
      <c r="B818" s="47"/>
      <c r="C818" s="49"/>
      <c r="D818" s="49"/>
      <c r="E818" s="49"/>
      <c r="F818" s="49"/>
      <c r="G818" s="49"/>
      <c r="H818" s="173"/>
      <c r="I818" s="49"/>
      <c r="J818" s="49"/>
      <c r="K818" s="49"/>
      <c r="L818" s="49"/>
      <c r="M818" s="49"/>
      <c r="N818" s="49"/>
      <c r="O818" s="49"/>
      <c r="P818" s="49"/>
      <c r="Q818" s="49"/>
      <c r="R818" s="49"/>
      <c r="S818" s="49"/>
      <c r="T818" s="49"/>
      <c r="U818" s="49"/>
      <c r="V818" s="49"/>
      <c r="W818" s="49"/>
      <c r="X818" s="49"/>
      <c r="Y818" s="49"/>
      <c r="Z818" s="49"/>
      <c r="AA818" s="49"/>
      <c r="AB818" s="49"/>
      <c r="AC818" s="49"/>
    </row>
    <row r="819" spans="1:29" ht="13">
      <c r="A819" s="47"/>
      <c r="B819" s="47"/>
      <c r="C819" s="49"/>
      <c r="D819" s="49"/>
      <c r="E819" s="49"/>
      <c r="F819" s="49"/>
      <c r="G819" s="49"/>
      <c r="H819" s="173"/>
      <c r="I819" s="49"/>
      <c r="J819" s="49"/>
      <c r="K819" s="49"/>
      <c r="L819" s="49"/>
      <c r="M819" s="49"/>
      <c r="N819" s="49"/>
      <c r="O819" s="49"/>
      <c r="P819" s="49"/>
      <c r="Q819" s="49"/>
      <c r="R819" s="49"/>
      <c r="S819" s="49"/>
      <c r="T819" s="49"/>
      <c r="U819" s="49"/>
      <c r="V819" s="49"/>
      <c r="W819" s="49"/>
      <c r="X819" s="49"/>
      <c r="Y819" s="49"/>
      <c r="Z819" s="49"/>
      <c r="AA819" s="49"/>
      <c r="AB819" s="49"/>
      <c r="AC819" s="49"/>
    </row>
    <row r="820" spans="1:29" ht="13">
      <c r="A820" s="47"/>
      <c r="B820" s="47"/>
      <c r="C820" s="49"/>
      <c r="D820" s="49"/>
      <c r="E820" s="49"/>
      <c r="F820" s="49"/>
      <c r="G820" s="49"/>
      <c r="H820" s="173"/>
      <c r="I820" s="49"/>
      <c r="J820" s="49"/>
      <c r="K820" s="49"/>
      <c r="L820" s="49"/>
      <c r="M820" s="49"/>
      <c r="N820" s="49"/>
      <c r="O820" s="49"/>
      <c r="P820" s="49"/>
      <c r="Q820" s="49"/>
      <c r="R820" s="49"/>
      <c r="S820" s="49"/>
      <c r="T820" s="49"/>
      <c r="U820" s="49"/>
      <c r="V820" s="49"/>
      <c r="W820" s="49"/>
      <c r="X820" s="49"/>
      <c r="Y820" s="49"/>
      <c r="Z820" s="49"/>
      <c r="AA820" s="49"/>
      <c r="AB820" s="49"/>
      <c r="AC820" s="49"/>
    </row>
    <row r="821" spans="1:29" ht="13">
      <c r="A821" s="47"/>
      <c r="B821" s="47"/>
      <c r="C821" s="49"/>
      <c r="D821" s="49"/>
      <c r="E821" s="49"/>
      <c r="F821" s="49"/>
      <c r="G821" s="49"/>
      <c r="H821" s="173"/>
      <c r="I821" s="49"/>
      <c r="J821" s="49"/>
      <c r="K821" s="49"/>
      <c r="L821" s="49"/>
      <c r="M821" s="49"/>
      <c r="N821" s="49"/>
      <c r="O821" s="49"/>
      <c r="P821" s="49"/>
      <c r="Q821" s="49"/>
      <c r="R821" s="49"/>
      <c r="S821" s="49"/>
      <c r="T821" s="49"/>
      <c r="U821" s="49"/>
      <c r="V821" s="49"/>
      <c r="W821" s="49"/>
      <c r="X821" s="49"/>
      <c r="Y821" s="49"/>
      <c r="Z821" s="49"/>
      <c r="AA821" s="49"/>
      <c r="AB821" s="49"/>
      <c r="AC821" s="49"/>
    </row>
    <row r="822" spans="1:29" ht="13">
      <c r="A822" s="47"/>
      <c r="B822" s="47"/>
      <c r="C822" s="49"/>
      <c r="D822" s="49"/>
      <c r="E822" s="49"/>
      <c r="F822" s="49"/>
      <c r="G822" s="49"/>
      <c r="H822" s="173"/>
      <c r="I822" s="49"/>
      <c r="J822" s="49"/>
      <c r="K822" s="49"/>
      <c r="L822" s="49"/>
      <c r="M822" s="49"/>
      <c r="N822" s="49"/>
      <c r="O822" s="49"/>
      <c r="P822" s="49"/>
      <c r="Q822" s="49"/>
      <c r="R822" s="49"/>
      <c r="S822" s="49"/>
      <c r="T822" s="49"/>
      <c r="U822" s="49"/>
      <c r="V822" s="49"/>
      <c r="W822" s="49"/>
      <c r="X822" s="49"/>
      <c r="Y822" s="49"/>
      <c r="Z822" s="49"/>
      <c r="AA822" s="49"/>
      <c r="AB822" s="49"/>
      <c r="AC822" s="49"/>
    </row>
    <row r="823" spans="1:29" ht="13">
      <c r="A823" s="47"/>
      <c r="B823" s="47"/>
      <c r="C823" s="49"/>
      <c r="D823" s="49"/>
      <c r="E823" s="49"/>
      <c r="F823" s="49"/>
      <c r="G823" s="49"/>
      <c r="H823" s="173"/>
      <c r="I823" s="49"/>
      <c r="J823" s="49"/>
      <c r="K823" s="49"/>
      <c r="L823" s="49"/>
      <c r="M823" s="49"/>
      <c r="N823" s="49"/>
      <c r="O823" s="49"/>
      <c r="P823" s="49"/>
      <c r="Q823" s="49"/>
      <c r="R823" s="49"/>
      <c r="S823" s="49"/>
      <c r="T823" s="49"/>
      <c r="U823" s="49"/>
      <c r="V823" s="49"/>
      <c r="W823" s="49"/>
      <c r="X823" s="49"/>
      <c r="Y823" s="49"/>
      <c r="Z823" s="49"/>
      <c r="AA823" s="49"/>
      <c r="AB823" s="49"/>
      <c r="AC823" s="49"/>
    </row>
    <row r="824" spans="1:29" ht="13">
      <c r="A824" s="47"/>
      <c r="B824" s="47"/>
      <c r="C824" s="49"/>
      <c r="D824" s="49"/>
      <c r="E824" s="49"/>
      <c r="F824" s="49"/>
      <c r="G824" s="49"/>
      <c r="H824" s="173"/>
      <c r="I824" s="49"/>
      <c r="J824" s="49"/>
      <c r="K824" s="49"/>
      <c r="L824" s="49"/>
      <c r="M824" s="49"/>
      <c r="N824" s="49"/>
      <c r="O824" s="49"/>
      <c r="P824" s="49"/>
      <c r="Q824" s="49"/>
      <c r="R824" s="49"/>
      <c r="S824" s="49"/>
      <c r="T824" s="49"/>
      <c r="U824" s="49"/>
      <c r="V824" s="49"/>
      <c r="W824" s="49"/>
      <c r="X824" s="49"/>
      <c r="Y824" s="49"/>
      <c r="Z824" s="49"/>
      <c r="AA824" s="49"/>
      <c r="AB824" s="49"/>
      <c r="AC824" s="49"/>
    </row>
    <row r="825" spans="1:29" ht="13">
      <c r="A825" s="47"/>
      <c r="B825" s="47"/>
      <c r="C825" s="49"/>
      <c r="D825" s="49"/>
      <c r="E825" s="49"/>
      <c r="F825" s="49"/>
      <c r="G825" s="49"/>
      <c r="H825" s="173"/>
      <c r="I825" s="49"/>
      <c r="J825" s="49"/>
      <c r="K825" s="49"/>
      <c r="L825" s="49"/>
      <c r="M825" s="49"/>
      <c r="N825" s="49"/>
      <c r="O825" s="49"/>
      <c r="P825" s="49"/>
      <c r="Q825" s="49"/>
      <c r="R825" s="49"/>
      <c r="S825" s="49"/>
      <c r="T825" s="49"/>
      <c r="U825" s="49"/>
      <c r="V825" s="49"/>
      <c r="W825" s="49"/>
      <c r="X825" s="49"/>
      <c r="Y825" s="49"/>
      <c r="Z825" s="49"/>
      <c r="AA825" s="49"/>
      <c r="AB825" s="49"/>
      <c r="AC825" s="49"/>
    </row>
    <row r="826" spans="1:29" ht="13">
      <c r="A826" s="47"/>
      <c r="B826" s="47"/>
      <c r="C826" s="49"/>
      <c r="D826" s="49"/>
      <c r="E826" s="49"/>
      <c r="F826" s="49"/>
      <c r="G826" s="49"/>
      <c r="H826" s="173"/>
      <c r="I826" s="49"/>
      <c r="J826" s="49"/>
      <c r="K826" s="49"/>
      <c r="L826" s="49"/>
      <c r="M826" s="49"/>
      <c r="N826" s="49"/>
      <c r="O826" s="49"/>
      <c r="P826" s="49"/>
      <c r="Q826" s="49"/>
      <c r="R826" s="49"/>
      <c r="S826" s="49"/>
      <c r="T826" s="49"/>
      <c r="U826" s="49"/>
      <c r="V826" s="49"/>
      <c r="W826" s="49"/>
      <c r="X826" s="49"/>
      <c r="Y826" s="49"/>
      <c r="Z826" s="49"/>
      <c r="AA826" s="49"/>
      <c r="AB826" s="49"/>
      <c r="AC826" s="49"/>
    </row>
    <row r="827" spans="1:29" ht="13">
      <c r="A827" s="47"/>
      <c r="B827" s="47"/>
      <c r="C827" s="49"/>
      <c r="D827" s="49"/>
      <c r="E827" s="49"/>
      <c r="F827" s="49"/>
      <c r="G827" s="49"/>
      <c r="H827" s="173"/>
      <c r="I827" s="49"/>
      <c r="J827" s="49"/>
      <c r="K827" s="49"/>
      <c r="L827" s="49"/>
      <c r="M827" s="49"/>
      <c r="N827" s="49"/>
      <c r="O827" s="49"/>
      <c r="P827" s="49"/>
      <c r="Q827" s="49"/>
      <c r="R827" s="49"/>
      <c r="S827" s="49"/>
      <c r="T827" s="49"/>
      <c r="U827" s="49"/>
      <c r="V827" s="49"/>
      <c r="W827" s="49"/>
      <c r="X827" s="49"/>
      <c r="Y827" s="49"/>
      <c r="Z827" s="49"/>
      <c r="AA827" s="49"/>
      <c r="AB827" s="49"/>
      <c r="AC827" s="49"/>
    </row>
    <row r="828" spans="1:29" ht="13">
      <c r="A828" s="47"/>
      <c r="B828" s="47"/>
      <c r="C828" s="49"/>
      <c r="D828" s="49"/>
      <c r="E828" s="49"/>
      <c r="F828" s="49"/>
      <c r="G828" s="49"/>
      <c r="H828" s="173"/>
      <c r="I828" s="49"/>
      <c r="J828" s="49"/>
      <c r="K828" s="49"/>
      <c r="L828" s="49"/>
      <c r="M828" s="49"/>
      <c r="N828" s="49"/>
      <c r="O828" s="49"/>
      <c r="P828" s="49"/>
      <c r="Q828" s="49"/>
      <c r="R828" s="49"/>
      <c r="S828" s="49"/>
      <c r="T828" s="49"/>
      <c r="U828" s="49"/>
      <c r="V828" s="49"/>
      <c r="W828" s="49"/>
      <c r="X828" s="49"/>
      <c r="Y828" s="49"/>
      <c r="Z828" s="49"/>
      <c r="AA828" s="49"/>
      <c r="AB828" s="49"/>
      <c r="AC828" s="49"/>
    </row>
    <row r="829" spans="1:29" ht="13">
      <c r="A829" s="47"/>
      <c r="B829" s="47"/>
      <c r="C829" s="49"/>
      <c r="D829" s="49"/>
      <c r="E829" s="49"/>
      <c r="F829" s="49"/>
      <c r="G829" s="49"/>
      <c r="H829" s="173"/>
      <c r="I829" s="49"/>
      <c r="J829" s="49"/>
      <c r="K829" s="49"/>
      <c r="L829" s="49"/>
      <c r="M829" s="49"/>
      <c r="N829" s="49"/>
      <c r="O829" s="49"/>
      <c r="P829" s="49"/>
      <c r="Q829" s="49"/>
      <c r="R829" s="49"/>
      <c r="S829" s="49"/>
      <c r="T829" s="49"/>
      <c r="U829" s="49"/>
      <c r="V829" s="49"/>
      <c r="W829" s="49"/>
      <c r="X829" s="49"/>
      <c r="Y829" s="49"/>
      <c r="Z829" s="49"/>
      <c r="AA829" s="49"/>
      <c r="AB829" s="49"/>
      <c r="AC829" s="49"/>
    </row>
    <row r="830" spans="1:29" ht="13">
      <c r="A830" s="47"/>
      <c r="B830" s="47"/>
      <c r="C830" s="49"/>
      <c r="D830" s="49"/>
      <c r="E830" s="49"/>
      <c r="F830" s="49"/>
      <c r="G830" s="49"/>
      <c r="H830" s="173"/>
      <c r="I830" s="49"/>
      <c r="J830" s="49"/>
      <c r="K830" s="49"/>
      <c r="L830" s="49"/>
      <c r="M830" s="49"/>
      <c r="N830" s="49"/>
      <c r="O830" s="49"/>
      <c r="P830" s="49"/>
      <c r="Q830" s="49"/>
      <c r="R830" s="49"/>
      <c r="S830" s="49"/>
      <c r="T830" s="49"/>
      <c r="U830" s="49"/>
      <c r="V830" s="49"/>
      <c r="W830" s="49"/>
      <c r="X830" s="49"/>
      <c r="Y830" s="49"/>
      <c r="Z830" s="49"/>
      <c r="AA830" s="49"/>
      <c r="AB830" s="49"/>
      <c r="AC830" s="49"/>
    </row>
    <row r="831" spans="1:29" ht="13">
      <c r="A831" s="47"/>
      <c r="B831" s="47"/>
      <c r="C831" s="49"/>
      <c r="D831" s="49"/>
      <c r="E831" s="49"/>
      <c r="F831" s="49"/>
      <c r="G831" s="49"/>
      <c r="H831" s="173"/>
      <c r="I831" s="49"/>
      <c r="J831" s="49"/>
      <c r="K831" s="49"/>
      <c r="L831" s="49"/>
      <c r="M831" s="49"/>
      <c r="N831" s="49"/>
      <c r="O831" s="49"/>
      <c r="P831" s="49"/>
      <c r="Q831" s="49"/>
      <c r="R831" s="49"/>
      <c r="S831" s="49"/>
      <c r="T831" s="49"/>
      <c r="U831" s="49"/>
      <c r="V831" s="49"/>
      <c r="W831" s="49"/>
      <c r="X831" s="49"/>
      <c r="Y831" s="49"/>
      <c r="Z831" s="49"/>
      <c r="AA831" s="49"/>
      <c r="AB831" s="49"/>
      <c r="AC831" s="49"/>
    </row>
    <row r="832" spans="1:29" ht="13">
      <c r="A832" s="47"/>
      <c r="B832" s="47"/>
      <c r="C832" s="49"/>
      <c r="D832" s="49"/>
      <c r="E832" s="49"/>
      <c r="F832" s="49"/>
      <c r="G832" s="49"/>
      <c r="H832" s="173"/>
      <c r="I832" s="49"/>
      <c r="J832" s="49"/>
      <c r="K832" s="49"/>
      <c r="L832" s="49"/>
      <c r="M832" s="49"/>
      <c r="N832" s="49"/>
      <c r="O832" s="49"/>
      <c r="P832" s="49"/>
      <c r="Q832" s="49"/>
      <c r="R832" s="49"/>
      <c r="S832" s="49"/>
      <c r="T832" s="49"/>
      <c r="U832" s="49"/>
      <c r="V832" s="49"/>
      <c r="W832" s="49"/>
      <c r="X832" s="49"/>
      <c r="Y832" s="49"/>
      <c r="Z832" s="49"/>
      <c r="AA832" s="49"/>
      <c r="AB832" s="49"/>
      <c r="AC832" s="49"/>
    </row>
    <row r="833" spans="1:29" ht="13">
      <c r="A833" s="47"/>
      <c r="B833" s="47"/>
      <c r="C833" s="49"/>
      <c r="D833" s="49"/>
      <c r="E833" s="49"/>
      <c r="F833" s="49"/>
      <c r="G833" s="49"/>
      <c r="H833" s="173"/>
      <c r="I833" s="49"/>
      <c r="J833" s="49"/>
      <c r="K833" s="49"/>
      <c r="L833" s="49"/>
      <c r="M833" s="49"/>
      <c r="N833" s="49"/>
      <c r="O833" s="49"/>
      <c r="P833" s="49"/>
      <c r="Q833" s="49"/>
      <c r="R833" s="49"/>
      <c r="S833" s="49"/>
      <c r="T833" s="49"/>
      <c r="U833" s="49"/>
      <c r="V833" s="49"/>
      <c r="W833" s="49"/>
      <c r="X833" s="49"/>
      <c r="Y833" s="49"/>
      <c r="Z833" s="49"/>
      <c r="AA833" s="49"/>
      <c r="AB833" s="49"/>
      <c r="AC833" s="49"/>
    </row>
    <row r="834" spans="1:29" ht="13">
      <c r="A834" s="47"/>
      <c r="B834" s="47"/>
      <c r="C834" s="49"/>
      <c r="D834" s="49"/>
      <c r="E834" s="49"/>
      <c r="F834" s="49"/>
      <c r="G834" s="49"/>
      <c r="H834" s="173"/>
      <c r="I834" s="49"/>
      <c r="J834" s="49"/>
      <c r="K834" s="49"/>
      <c r="L834" s="49"/>
      <c r="M834" s="49"/>
      <c r="N834" s="49"/>
      <c r="O834" s="49"/>
      <c r="P834" s="49"/>
      <c r="Q834" s="49"/>
      <c r="R834" s="49"/>
      <c r="S834" s="49"/>
      <c r="T834" s="49"/>
      <c r="U834" s="49"/>
      <c r="V834" s="49"/>
      <c r="W834" s="49"/>
      <c r="X834" s="49"/>
      <c r="Y834" s="49"/>
      <c r="Z834" s="49"/>
      <c r="AA834" s="49"/>
      <c r="AB834" s="49"/>
      <c r="AC834" s="49"/>
    </row>
    <row r="835" spans="1:29" ht="13">
      <c r="A835" s="47"/>
      <c r="B835" s="47"/>
      <c r="C835" s="49"/>
      <c r="D835" s="49"/>
      <c r="E835" s="49"/>
      <c r="F835" s="49"/>
      <c r="G835" s="49"/>
      <c r="H835" s="173"/>
      <c r="I835" s="49"/>
      <c r="J835" s="49"/>
      <c r="K835" s="49"/>
      <c r="L835" s="49"/>
      <c r="M835" s="49"/>
      <c r="N835" s="49"/>
      <c r="O835" s="49"/>
      <c r="P835" s="49"/>
      <c r="Q835" s="49"/>
      <c r="R835" s="49"/>
      <c r="S835" s="49"/>
      <c r="T835" s="49"/>
      <c r="U835" s="49"/>
      <c r="V835" s="49"/>
      <c r="W835" s="49"/>
      <c r="X835" s="49"/>
      <c r="Y835" s="49"/>
      <c r="Z835" s="49"/>
      <c r="AA835" s="49"/>
      <c r="AB835" s="49"/>
      <c r="AC835" s="49"/>
    </row>
    <row r="836" spans="1:29" ht="13">
      <c r="A836" s="47"/>
      <c r="B836" s="47"/>
      <c r="C836" s="49"/>
      <c r="D836" s="49"/>
      <c r="E836" s="49"/>
      <c r="F836" s="49"/>
      <c r="G836" s="49"/>
      <c r="H836" s="173"/>
      <c r="I836" s="49"/>
      <c r="J836" s="49"/>
      <c r="K836" s="49"/>
      <c r="L836" s="49"/>
      <c r="M836" s="49"/>
      <c r="N836" s="49"/>
      <c r="O836" s="49"/>
      <c r="P836" s="49"/>
      <c r="Q836" s="49"/>
      <c r="R836" s="49"/>
      <c r="S836" s="49"/>
      <c r="T836" s="49"/>
      <c r="U836" s="49"/>
      <c r="V836" s="49"/>
      <c r="W836" s="49"/>
      <c r="X836" s="49"/>
      <c r="Y836" s="49"/>
      <c r="Z836" s="49"/>
      <c r="AA836" s="49"/>
      <c r="AB836" s="49"/>
      <c r="AC836" s="49"/>
    </row>
    <row r="837" spans="1:29" ht="13">
      <c r="A837" s="47"/>
      <c r="B837" s="47"/>
      <c r="C837" s="49"/>
      <c r="D837" s="49"/>
      <c r="E837" s="49"/>
      <c r="F837" s="49"/>
      <c r="G837" s="49"/>
      <c r="H837" s="173"/>
      <c r="I837" s="49"/>
      <c r="J837" s="49"/>
      <c r="K837" s="49"/>
      <c r="L837" s="49"/>
      <c r="M837" s="49"/>
      <c r="N837" s="49"/>
      <c r="O837" s="49"/>
      <c r="P837" s="49"/>
      <c r="Q837" s="49"/>
      <c r="R837" s="49"/>
      <c r="S837" s="49"/>
      <c r="T837" s="49"/>
      <c r="U837" s="49"/>
      <c r="V837" s="49"/>
      <c r="W837" s="49"/>
      <c r="X837" s="49"/>
      <c r="Y837" s="49"/>
      <c r="Z837" s="49"/>
      <c r="AA837" s="49"/>
      <c r="AB837" s="49"/>
      <c r="AC837" s="49"/>
    </row>
    <row r="838" spans="1:29" ht="13">
      <c r="A838" s="47"/>
      <c r="B838" s="47"/>
      <c r="C838" s="49"/>
      <c r="D838" s="49"/>
      <c r="E838" s="49"/>
      <c r="F838" s="49"/>
      <c r="G838" s="49"/>
      <c r="H838" s="173"/>
      <c r="I838" s="49"/>
      <c r="J838" s="49"/>
      <c r="K838" s="49"/>
      <c r="L838" s="49"/>
      <c r="M838" s="49"/>
      <c r="N838" s="49"/>
      <c r="O838" s="49"/>
      <c r="P838" s="49"/>
      <c r="Q838" s="49"/>
      <c r="R838" s="49"/>
      <c r="S838" s="49"/>
      <c r="T838" s="49"/>
      <c r="U838" s="49"/>
      <c r="V838" s="49"/>
      <c r="W838" s="49"/>
      <c r="X838" s="49"/>
      <c r="Y838" s="49"/>
      <c r="Z838" s="49"/>
      <c r="AA838" s="49"/>
      <c r="AB838" s="49"/>
      <c r="AC838" s="49"/>
    </row>
    <row r="839" spans="1:29" ht="13">
      <c r="A839" s="47"/>
      <c r="B839" s="47"/>
      <c r="C839" s="49"/>
      <c r="D839" s="49"/>
      <c r="E839" s="49"/>
      <c r="F839" s="49"/>
      <c r="G839" s="49"/>
      <c r="H839" s="173"/>
      <c r="I839" s="49"/>
      <c r="J839" s="49"/>
      <c r="K839" s="49"/>
      <c r="L839" s="49"/>
      <c r="M839" s="49"/>
      <c r="N839" s="49"/>
      <c r="O839" s="49"/>
      <c r="P839" s="49"/>
      <c r="Q839" s="49"/>
      <c r="R839" s="49"/>
      <c r="S839" s="49"/>
      <c r="T839" s="49"/>
      <c r="U839" s="49"/>
      <c r="V839" s="49"/>
      <c r="W839" s="49"/>
      <c r="X839" s="49"/>
      <c r="Y839" s="49"/>
      <c r="Z839" s="49"/>
      <c r="AA839" s="49"/>
      <c r="AB839" s="49"/>
      <c r="AC839" s="49"/>
    </row>
    <row r="840" spans="1:29" ht="13">
      <c r="A840" s="47"/>
      <c r="B840" s="47"/>
      <c r="C840" s="49"/>
      <c r="D840" s="49"/>
      <c r="E840" s="49"/>
      <c r="F840" s="49"/>
      <c r="G840" s="49"/>
      <c r="H840" s="173"/>
      <c r="I840" s="49"/>
      <c r="J840" s="49"/>
      <c r="K840" s="49"/>
      <c r="L840" s="49"/>
      <c r="M840" s="49"/>
      <c r="N840" s="49"/>
      <c r="O840" s="49"/>
      <c r="P840" s="49"/>
      <c r="Q840" s="49"/>
      <c r="R840" s="49"/>
      <c r="S840" s="49"/>
      <c r="T840" s="49"/>
      <c r="U840" s="49"/>
      <c r="V840" s="49"/>
      <c r="W840" s="49"/>
      <c r="X840" s="49"/>
      <c r="Y840" s="49"/>
      <c r="Z840" s="49"/>
      <c r="AA840" s="49"/>
      <c r="AB840" s="49"/>
      <c r="AC840" s="49"/>
    </row>
    <row r="841" spans="1:29" ht="13">
      <c r="A841" s="47"/>
      <c r="B841" s="47"/>
      <c r="C841" s="49"/>
      <c r="D841" s="49"/>
      <c r="E841" s="49"/>
      <c r="F841" s="49"/>
      <c r="G841" s="49"/>
      <c r="H841" s="173"/>
      <c r="I841" s="49"/>
      <c r="J841" s="49"/>
      <c r="K841" s="49"/>
      <c r="L841" s="49"/>
      <c r="M841" s="49"/>
      <c r="N841" s="49"/>
      <c r="O841" s="49"/>
      <c r="P841" s="49"/>
      <c r="Q841" s="49"/>
      <c r="R841" s="49"/>
      <c r="S841" s="49"/>
      <c r="T841" s="49"/>
      <c r="U841" s="49"/>
      <c r="V841" s="49"/>
      <c r="W841" s="49"/>
      <c r="X841" s="49"/>
      <c r="Y841" s="49"/>
      <c r="Z841" s="49"/>
      <c r="AA841" s="49"/>
      <c r="AB841" s="49"/>
      <c r="AC841" s="49"/>
    </row>
    <row r="842" spans="1:29" ht="13">
      <c r="A842" s="47"/>
      <c r="B842" s="47"/>
      <c r="C842" s="49"/>
      <c r="D842" s="49"/>
      <c r="E842" s="49"/>
      <c r="F842" s="49"/>
      <c r="G842" s="49"/>
      <c r="H842" s="173"/>
      <c r="I842" s="49"/>
      <c r="J842" s="49"/>
      <c r="K842" s="49"/>
      <c r="L842" s="49"/>
      <c r="M842" s="49"/>
      <c r="N842" s="49"/>
      <c r="O842" s="49"/>
      <c r="P842" s="49"/>
      <c r="Q842" s="49"/>
      <c r="R842" s="49"/>
      <c r="S842" s="49"/>
      <c r="T842" s="49"/>
      <c r="U842" s="49"/>
      <c r="V842" s="49"/>
      <c r="W842" s="49"/>
      <c r="X842" s="49"/>
      <c r="Y842" s="49"/>
      <c r="Z842" s="49"/>
      <c r="AA842" s="49"/>
      <c r="AB842" s="49"/>
      <c r="AC842" s="49"/>
    </row>
    <row r="843" spans="1:29" ht="13">
      <c r="A843" s="47"/>
      <c r="B843" s="47"/>
      <c r="C843" s="49"/>
      <c r="D843" s="49"/>
      <c r="E843" s="49"/>
      <c r="F843" s="49"/>
      <c r="G843" s="49"/>
      <c r="H843" s="173"/>
      <c r="I843" s="49"/>
      <c r="J843" s="49"/>
      <c r="K843" s="49"/>
      <c r="L843" s="49"/>
      <c r="M843" s="49"/>
      <c r="N843" s="49"/>
      <c r="O843" s="49"/>
      <c r="P843" s="49"/>
      <c r="Q843" s="49"/>
      <c r="R843" s="49"/>
      <c r="S843" s="49"/>
      <c r="T843" s="49"/>
      <c r="U843" s="49"/>
      <c r="V843" s="49"/>
      <c r="W843" s="49"/>
      <c r="X843" s="49"/>
      <c r="Y843" s="49"/>
      <c r="Z843" s="49"/>
      <c r="AA843" s="49"/>
      <c r="AB843" s="49"/>
      <c r="AC843" s="49"/>
    </row>
    <row r="844" spans="1:29" ht="13">
      <c r="A844" s="47"/>
      <c r="B844" s="47"/>
      <c r="C844" s="49"/>
      <c r="D844" s="49"/>
      <c r="E844" s="49"/>
      <c r="F844" s="49"/>
      <c r="G844" s="49"/>
      <c r="H844" s="173"/>
      <c r="I844" s="49"/>
      <c r="J844" s="49"/>
      <c r="K844" s="49"/>
      <c r="L844" s="49"/>
      <c r="M844" s="49"/>
      <c r="N844" s="49"/>
      <c r="O844" s="49"/>
      <c r="P844" s="49"/>
      <c r="Q844" s="49"/>
      <c r="R844" s="49"/>
      <c r="S844" s="49"/>
      <c r="T844" s="49"/>
      <c r="U844" s="49"/>
      <c r="V844" s="49"/>
      <c r="W844" s="49"/>
      <c r="X844" s="49"/>
      <c r="Y844" s="49"/>
      <c r="Z844" s="49"/>
      <c r="AA844" s="49"/>
      <c r="AB844" s="49"/>
      <c r="AC844" s="49"/>
    </row>
    <row r="845" spans="1:29" ht="13">
      <c r="A845" s="47"/>
      <c r="B845" s="47"/>
      <c r="C845" s="49"/>
      <c r="D845" s="49"/>
      <c r="E845" s="49"/>
      <c r="F845" s="49"/>
      <c r="G845" s="49"/>
      <c r="H845" s="173"/>
      <c r="I845" s="49"/>
      <c r="J845" s="49"/>
      <c r="K845" s="49"/>
      <c r="L845" s="49"/>
      <c r="M845" s="49"/>
      <c r="N845" s="49"/>
      <c r="O845" s="49"/>
      <c r="P845" s="49"/>
      <c r="Q845" s="49"/>
      <c r="R845" s="49"/>
      <c r="S845" s="49"/>
      <c r="T845" s="49"/>
      <c r="U845" s="49"/>
      <c r="V845" s="49"/>
      <c r="W845" s="49"/>
      <c r="X845" s="49"/>
      <c r="Y845" s="49"/>
      <c r="Z845" s="49"/>
      <c r="AA845" s="49"/>
      <c r="AB845" s="49"/>
      <c r="AC845" s="49"/>
    </row>
    <row r="846" spans="1:29" ht="13">
      <c r="A846" s="47"/>
      <c r="B846" s="47"/>
      <c r="C846" s="49"/>
      <c r="D846" s="49"/>
      <c r="E846" s="49"/>
      <c r="F846" s="49"/>
      <c r="G846" s="49"/>
      <c r="H846" s="173"/>
      <c r="I846" s="49"/>
      <c r="J846" s="49"/>
      <c r="K846" s="49"/>
      <c r="L846" s="49"/>
      <c r="M846" s="49"/>
      <c r="N846" s="49"/>
      <c r="O846" s="49"/>
      <c r="P846" s="49"/>
      <c r="Q846" s="49"/>
      <c r="R846" s="49"/>
      <c r="S846" s="49"/>
      <c r="T846" s="49"/>
      <c r="U846" s="49"/>
      <c r="V846" s="49"/>
      <c r="W846" s="49"/>
      <c r="X846" s="49"/>
      <c r="Y846" s="49"/>
      <c r="Z846" s="49"/>
      <c r="AA846" s="49"/>
      <c r="AB846" s="49"/>
      <c r="AC846" s="49"/>
    </row>
    <row r="847" spans="1:29" ht="13">
      <c r="A847" s="47"/>
      <c r="B847" s="47"/>
      <c r="C847" s="49"/>
      <c r="D847" s="49"/>
      <c r="E847" s="49"/>
      <c r="F847" s="49"/>
      <c r="G847" s="49"/>
      <c r="H847" s="173"/>
      <c r="I847" s="49"/>
      <c r="J847" s="49"/>
      <c r="K847" s="49"/>
      <c r="L847" s="49"/>
      <c r="M847" s="49"/>
      <c r="N847" s="49"/>
      <c r="O847" s="49"/>
      <c r="P847" s="49"/>
      <c r="Q847" s="49"/>
      <c r="R847" s="49"/>
      <c r="S847" s="49"/>
      <c r="T847" s="49"/>
      <c r="U847" s="49"/>
      <c r="V847" s="49"/>
      <c r="W847" s="49"/>
      <c r="X847" s="49"/>
      <c r="Y847" s="49"/>
      <c r="Z847" s="49"/>
      <c r="AA847" s="49"/>
      <c r="AB847" s="49"/>
      <c r="AC847" s="49"/>
    </row>
    <row r="848" spans="1:29" ht="13">
      <c r="A848" s="47"/>
      <c r="B848" s="47"/>
      <c r="C848" s="49"/>
      <c r="D848" s="49"/>
      <c r="E848" s="49"/>
      <c r="F848" s="49"/>
      <c r="G848" s="49"/>
      <c r="H848" s="173"/>
      <c r="I848" s="49"/>
      <c r="J848" s="49"/>
      <c r="K848" s="49"/>
      <c r="L848" s="49"/>
      <c r="M848" s="49"/>
      <c r="N848" s="49"/>
      <c r="O848" s="49"/>
      <c r="P848" s="49"/>
      <c r="Q848" s="49"/>
      <c r="R848" s="49"/>
      <c r="S848" s="49"/>
      <c r="T848" s="49"/>
      <c r="U848" s="49"/>
      <c r="V848" s="49"/>
      <c r="W848" s="49"/>
      <c r="X848" s="49"/>
      <c r="Y848" s="49"/>
      <c r="Z848" s="49"/>
      <c r="AA848" s="49"/>
      <c r="AB848" s="49"/>
      <c r="AC848" s="49"/>
    </row>
    <row r="849" spans="1:29" ht="13">
      <c r="A849" s="47"/>
      <c r="B849" s="47"/>
      <c r="C849" s="49"/>
      <c r="D849" s="49"/>
      <c r="E849" s="49"/>
      <c r="F849" s="49"/>
      <c r="G849" s="49"/>
      <c r="H849" s="173"/>
      <c r="I849" s="49"/>
      <c r="J849" s="49"/>
      <c r="K849" s="49"/>
      <c r="L849" s="49"/>
      <c r="M849" s="49"/>
      <c r="N849" s="49"/>
      <c r="O849" s="49"/>
      <c r="P849" s="49"/>
      <c r="Q849" s="49"/>
      <c r="R849" s="49"/>
      <c r="S849" s="49"/>
      <c r="T849" s="49"/>
      <c r="U849" s="49"/>
      <c r="V849" s="49"/>
      <c r="W849" s="49"/>
      <c r="X849" s="49"/>
      <c r="Y849" s="49"/>
      <c r="Z849" s="49"/>
      <c r="AA849" s="49"/>
      <c r="AB849" s="49"/>
      <c r="AC849" s="49"/>
    </row>
    <row r="850" spans="1:29" ht="13">
      <c r="A850" s="47"/>
      <c r="B850" s="47"/>
      <c r="C850" s="49"/>
      <c r="D850" s="49"/>
      <c r="E850" s="49"/>
      <c r="F850" s="49"/>
      <c r="G850" s="49"/>
      <c r="H850" s="173"/>
      <c r="I850" s="49"/>
      <c r="J850" s="49"/>
      <c r="K850" s="49"/>
      <c r="L850" s="49"/>
      <c r="M850" s="49"/>
      <c r="N850" s="49"/>
      <c r="O850" s="49"/>
      <c r="P850" s="49"/>
      <c r="Q850" s="49"/>
      <c r="R850" s="49"/>
      <c r="S850" s="49"/>
      <c r="T850" s="49"/>
      <c r="U850" s="49"/>
      <c r="V850" s="49"/>
      <c r="W850" s="49"/>
      <c r="X850" s="49"/>
      <c r="Y850" s="49"/>
      <c r="Z850" s="49"/>
      <c r="AA850" s="49"/>
      <c r="AB850" s="49"/>
      <c r="AC850" s="49"/>
    </row>
    <row r="851" spans="1:29" ht="13">
      <c r="A851" s="47"/>
      <c r="B851" s="47"/>
      <c r="C851" s="49"/>
      <c r="D851" s="49"/>
      <c r="E851" s="49"/>
      <c r="F851" s="49"/>
      <c r="G851" s="49"/>
      <c r="H851" s="173"/>
      <c r="I851" s="49"/>
      <c r="J851" s="49"/>
      <c r="K851" s="49"/>
      <c r="L851" s="49"/>
      <c r="M851" s="49"/>
      <c r="N851" s="49"/>
      <c r="O851" s="49"/>
      <c r="P851" s="49"/>
      <c r="Q851" s="49"/>
      <c r="R851" s="49"/>
      <c r="S851" s="49"/>
      <c r="T851" s="49"/>
      <c r="U851" s="49"/>
      <c r="V851" s="49"/>
      <c r="W851" s="49"/>
      <c r="X851" s="49"/>
      <c r="Y851" s="49"/>
      <c r="Z851" s="49"/>
      <c r="AA851" s="49"/>
      <c r="AB851" s="49"/>
      <c r="AC851" s="49"/>
    </row>
    <row r="852" spans="1:29" ht="13">
      <c r="A852" s="47"/>
      <c r="B852" s="47"/>
      <c r="C852" s="49"/>
      <c r="D852" s="49"/>
      <c r="E852" s="49"/>
      <c r="F852" s="49"/>
      <c r="G852" s="49"/>
      <c r="H852" s="173"/>
      <c r="I852" s="49"/>
      <c r="J852" s="49"/>
      <c r="K852" s="49"/>
      <c r="L852" s="49"/>
      <c r="M852" s="49"/>
      <c r="N852" s="49"/>
      <c r="O852" s="49"/>
      <c r="P852" s="49"/>
      <c r="Q852" s="49"/>
      <c r="R852" s="49"/>
      <c r="S852" s="49"/>
      <c r="T852" s="49"/>
      <c r="U852" s="49"/>
      <c r="V852" s="49"/>
      <c r="W852" s="49"/>
      <c r="X852" s="49"/>
      <c r="Y852" s="49"/>
      <c r="Z852" s="49"/>
      <c r="AA852" s="49"/>
      <c r="AB852" s="49"/>
      <c r="AC852" s="49"/>
    </row>
    <row r="853" spans="1:29" ht="13">
      <c r="A853" s="47"/>
      <c r="B853" s="47"/>
      <c r="C853" s="49"/>
      <c r="D853" s="49"/>
      <c r="E853" s="49"/>
      <c r="F853" s="49"/>
      <c r="G853" s="49"/>
      <c r="H853" s="173"/>
      <c r="I853" s="49"/>
      <c r="J853" s="49"/>
      <c r="K853" s="49"/>
      <c r="L853" s="49"/>
      <c r="M853" s="49"/>
      <c r="N853" s="49"/>
      <c r="O853" s="49"/>
      <c r="P853" s="49"/>
      <c r="Q853" s="49"/>
      <c r="R853" s="49"/>
      <c r="S853" s="49"/>
      <c r="T853" s="49"/>
      <c r="U853" s="49"/>
      <c r="V853" s="49"/>
      <c r="W853" s="49"/>
      <c r="X853" s="49"/>
      <c r="Y853" s="49"/>
      <c r="Z853" s="49"/>
      <c r="AA853" s="49"/>
      <c r="AB853" s="49"/>
      <c r="AC853" s="49"/>
    </row>
    <row r="854" spans="1:29" ht="13">
      <c r="A854" s="47"/>
      <c r="B854" s="47"/>
      <c r="C854" s="49"/>
      <c r="D854" s="49"/>
      <c r="E854" s="49"/>
      <c r="F854" s="49"/>
      <c r="G854" s="49"/>
      <c r="H854" s="173"/>
      <c r="I854" s="49"/>
      <c r="J854" s="49"/>
      <c r="K854" s="49"/>
      <c r="L854" s="49"/>
      <c r="M854" s="49"/>
      <c r="N854" s="49"/>
      <c r="O854" s="49"/>
      <c r="P854" s="49"/>
      <c r="Q854" s="49"/>
      <c r="R854" s="49"/>
      <c r="S854" s="49"/>
      <c r="T854" s="49"/>
      <c r="U854" s="49"/>
      <c r="V854" s="49"/>
      <c r="W854" s="49"/>
      <c r="X854" s="49"/>
      <c r="Y854" s="49"/>
      <c r="Z854" s="49"/>
      <c r="AA854" s="49"/>
      <c r="AB854" s="49"/>
      <c r="AC854" s="49"/>
    </row>
    <row r="855" spans="1:29" ht="13">
      <c r="A855" s="47"/>
      <c r="B855" s="47"/>
      <c r="C855" s="49"/>
      <c r="D855" s="49"/>
      <c r="E855" s="49"/>
      <c r="F855" s="49"/>
      <c r="G855" s="49"/>
      <c r="H855" s="173"/>
      <c r="I855" s="49"/>
      <c r="J855" s="49"/>
      <c r="K855" s="49"/>
      <c r="L855" s="49"/>
      <c r="M855" s="49"/>
      <c r="N855" s="49"/>
      <c r="O855" s="49"/>
      <c r="P855" s="49"/>
      <c r="Q855" s="49"/>
      <c r="R855" s="49"/>
      <c r="S855" s="49"/>
      <c r="T855" s="49"/>
      <c r="U855" s="49"/>
      <c r="V855" s="49"/>
      <c r="W855" s="49"/>
      <c r="X855" s="49"/>
      <c r="Y855" s="49"/>
      <c r="Z855" s="49"/>
      <c r="AA855" s="49"/>
      <c r="AB855" s="49"/>
      <c r="AC855" s="49"/>
    </row>
    <row r="856" spans="1:29" ht="13">
      <c r="A856" s="47"/>
      <c r="B856" s="47"/>
      <c r="C856" s="49"/>
      <c r="D856" s="49"/>
      <c r="E856" s="49"/>
      <c r="F856" s="49"/>
      <c r="G856" s="49"/>
      <c r="H856" s="173"/>
      <c r="I856" s="49"/>
      <c r="J856" s="49"/>
      <c r="K856" s="49"/>
      <c r="L856" s="49"/>
      <c r="M856" s="49"/>
      <c r="N856" s="49"/>
      <c r="O856" s="49"/>
      <c r="P856" s="49"/>
      <c r="Q856" s="49"/>
      <c r="R856" s="49"/>
      <c r="S856" s="49"/>
      <c r="T856" s="49"/>
      <c r="U856" s="49"/>
      <c r="V856" s="49"/>
      <c r="W856" s="49"/>
      <c r="X856" s="49"/>
      <c r="Y856" s="49"/>
      <c r="Z856" s="49"/>
      <c r="AA856" s="49"/>
      <c r="AB856" s="49"/>
      <c r="AC856" s="49"/>
    </row>
    <row r="857" spans="1:29" ht="13">
      <c r="A857" s="47"/>
      <c r="B857" s="47"/>
      <c r="C857" s="49"/>
      <c r="D857" s="49"/>
      <c r="E857" s="49"/>
      <c r="F857" s="49"/>
      <c r="G857" s="49"/>
      <c r="H857" s="173"/>
      <c r="I857" s="49"/>
      <c r="J857" s="49"/>
      <c r="K857" s="49"/>
      <c r="L857" s="49"/>
      <c r="M857" s="49"/>
      <c r="N857" s="49"/>
      <c r="O857" s="49"/>
      <c r="P857" s="49"/>
      <c r="Q857" s="49"/>
      <c r="R857" s="49"/>
      <c r="S857" s="49"/>
      <c r="T857" s="49"/>
      <c r="U857" s="49"/>
      <c r="V857" s="49"/>
      <c r="W857" s="49"/>
      <c r="X857" s="49"/>
      <c r="Y857" s="49"/>
      <c r="Z857" s="49"/>
      <c r="AA857" s="49"/>
      <c r="AB857" s="49"/>
      <c r="AC857" s="49"/>
    </row>
    <row r="858" spans="1:29" ht="13">
      <c r="A858" s="47"/>
      <c r="B858" s="47"/>
      <c r="C858" s="49"/>
      <c r="D858" s="49"/>
      <c r="E858" s="49"/>
      <c r="F858" s="49"/>
      <c r="G858" s="49"/>
      <c r="H858" s="173"/>
      <c r="I858" s="49"/>
      <c r="J858" s="49"/>
      <c r="K858" s="49"/>
      <c r="L858" s="49"/>
      <c r="M858" s="49"/>
      <c r="N858" s="49"/>
      <c r="O858" s="49"/>
      <c r="P858" s="49"/>
      <c r="Q858" s="49"/>
      <c r="R858" s="49"/>
      <c r="S858" s="49"/>
      <c r="T858" s="49"/>
      <c r="U858" s="49"/>
      <c r="V858" s="49"/>
      <c r="W858" s="49"/>
      <c r="X858" s="49"/>
      <c r="Y858" s="49"/>
      <c r="Z858" s="49"/>
      <c r="AA858" s="49"/>
      <c r="AB858" s="49"/>
      <c r="AC858" s="49"/>
    </row>
    <row r="859" spans="1:29" ht="13">
      <c r="A859" s="47"/>
      <c r="B859" s="47"/>
      <c r="C859" s="49"/>
      <c r="D859" s="49"/>
      <c r="E859" s="49"/>
      <c r="F859" s="49"/>
      <c r="G859" s="49"/>
      <c r="H859" s="173"/>
      <c r="I859" s="49"/>
      <c r="J859" s="49"/>
      <c r="K859" s="49"/>
      <c r="L859" s="49"/>
      <c r="M859" s="49"/>
      <c r="N859" s="49"/>
      <c r="O859" s="49"/>
      <c r="P859" s="49"/>
      <c r="Q859" s="49"/>
      <c r="R859" s="49"/>
      <c r="S859" s="49"/>
      <c r="T859" s="49"/>
      <c r="U859" s="49"/>
      <c r="V859" s="49"/>
      <c r="W859" s="49"/>
      <c r="X859" s="49"/>
      <c r="Y859" s="49"/>
      <c r="Z859" s="49"/>
      <c r="AA859" s="49"/>
      <c r="AB859" s="49"/>
      <c r="AC859" s="49"/>
    </row>
    <row r="860" spans="1:29" ht="13">
      <c r="A860" s="47"/>
      <c r="B860" s="47"/>
      <c r="C860" s="49"/>
      <c r="D860" s="49"/>
      <c r="E860" s="49"/>
      <c r="F860" s="49"/>
      <c r="G860" s="49"/>
      <c r="H860" s="173"/>
      <c r="I860" s="49"/>
      <c r="J860" s="49"/>
      <c r="K860" s="49"/>
      <c r="L860" s="49"/>
      <c r="M860" s="49"/>
      <c r="N860" s="49"/>
      <c r="O860" s="49"/>
      <c r="P860" s="49"/>
      <c r="Q860" s="49"/>
      <c r="R860" s="49"/>
      <c r="S860" s="49"/>
      <c r="T860" s="49"/>
      <c r="U860" s="49"/>
      <c r="V860" s="49"/>
      <c r="W860" s="49"/>
      <c r="X860" s="49"/>
      <c r="Y860" s="49"/>
      <c r="Z860" s="49"/>
      <c r="AA860" s="49"/>
      <c r="AB860" s="49"/>
      <c r="AC860" s="49"/>
    </row>
    <row r="861" spans="1:29" ht="13">
      <c r="A861" s="47"/>
      <c r="B861" s="47"/>
      <c r="C861" s="49"/>
      <c r="D861" s="49"/>
      <c r="E861" s="49"/>
      <c r="F861" s="49"/>
      <c r="G861" s="49"/>
      <c r="H861" s="173"/>
      <c r="I861" s="49"/>
      <c r="J861" s="49"/>
      <c r="K861" s="49"/>
      <c r="L861" s="49"/>
      <c r="M861" s="49"/>
      <c r="N861" s="49"/>
      <c r="O861" s="49"/>
      <c r="P861" s="49"/>
      <c r="Q861" s="49"/>
      <c r="R861" s="49"/>
      <c r="S861" s="49"/>
      <c r="T861" s="49"/>
      <c r="U861" s="49"/>
      <c r="V861" s="49"/>
      <c r="W861" s="49"/>
      <c r="X861" s="49"/>
      <c r="Y861" s="49"/>
      <c r="Z861" s="49"/>
      <c r="AA861" s="49"/>
      <c r="AB861" s="49"/>
      <c r="AC861" s="49"/>
    </row>
    <row r="862" spans="1:29" ht="13">
      <c r="A862" s="47"/>
      <c r="B862" s="47"/>
      <c r="C862" s="49"/>
      <c r="D862" s="49"/>
      <c r="E862" s="49"/>
      <c r="F862" s="49"/>
      <c r="G862" s="49"/>
      <c r="H862" s="173"/>
      <c r="I862" s="49"/>
      <c r="J862" s="49"/>
      <c r="K862" s="49"/>
      <c r="L862" s="49"/>
      <c r="M862" s="49"/>
      <c r="N862" s="49"/>
      <c r="O862" s="49"/>
      <c r="P862" s="49"/>
      <c r="Q862" s="49"/>
      <c r="R862" s="49"/>
      <c r="S862" s="49"/>
      <c r="T862" s="49"/>
      <c r="U862" s="49"/>
      <c r="V862" s="49"/>
      <c r="W862" s="49"/>
      <c r="X862" s="49"/>
      <c r="Y862" s="49"/>
      <c r="Z862" s="49"/>
      <c r="AA862" s="49"/>
      <c r="AB862" s="49"/>
      <c r="AC862" s="49"/>
    </row>
    <row r="863" spans="1:29" ht="13">
      <c r="A863" s="47"/>
      <c r="B863" s="47"/>
      <c r="C863" s="49"/>
      <c r="D863" s="49"/>
      <c r="E863" s="49"/>
      <c r="F863" s="49"/>
      <c r="G863" s="49"/>
      <c r="H863" s="173"/>
      <c r="I863" s="49"/>
      <c r="J863" s="49"/>
      <c r="K863" s="49"/>
      <c r="L863" s="49"/>
      <c r="M863" s="49"/>
      <c r="N863" s="49"/>
      <c r="O863" s="49"/>
      <c r="P863" s="49"/>
      <c r="Q863" s="49"/>
      <c r="R863" s="49"/>
      <c r="S863" s="49"/>
      <c r="T863" s="49"/>
      <c r="U863" s="49"/>
      <c r="V863" s="49"/>
      <c r="W863" s="49"/>
      <c r="X863" s="49"/>
      <c r="Y863" s="49"/>
      <c r="Z863" s="49"/>
      <c r="AA863" s="49"/>
      <c r="AB863" s="49"/>
      <c r="AC863" s="49"/>
    </row>
    <row r="864" spans="1:29" ht="13">
      <c r="A864" s="47"/>
      <c r="B864" s="47"/>
      <c r="C864" s="49"/>
      <c r="D864" s="49"/>
      <c r="E864" s="49"/>
      <c r="F864" s="49"/>
      <c r="G864" s="49"/>
      <c r="H864" s="173"/>
      <c r="I864" s="49"/>
      <c r="J864" s="49"/>
      <c r="K864" s="49"/>
      <c r="L864" s="49"/>
      <c r="M864" s="49"/>
      <c r="N864" s="49"/>
      <c r="O864" s="49"/>
      <c r="P864" s="49"/>
      <c r="Q864" s="49"/>
      <c r="R864" s="49"/>
      <c r="S864" s="49"/>
      <c r="T864" s="49"/>
      <c r="U864" s="49"/>
      <c r="V864" s="49"/>
      <c r="W864" s="49"/>
      <c r="X864" s="49"/>
      <c r="Y864" s="49"/>
      <c r="Z864" s="49"/>
      <c r="AA864" s="49"/>
      <c r="AB864" s="49"/>
      <c r="AC864" s="49"/>
    </row>
    <row r="865" spans="1:29" ht="13">
      <c r="A865" s="47"/>
      <c r="B865" s="47"/>
      <c r="C865" s="49"/>
      <c r="D865" s="49"/>
      <c r="E865" s="49"/>
      <c r="F865" s="49"/>
      <c r="G865" s="49"/>
      <c r="H865" s="173"/>
      <c r="I865" s="49"/>
      <c r="J865" s="49"/>
      <c r="K865" s="49"/>
      <c r="L865" s="49"/>
      <c r="M865" s="49"/>
      <c r="N865" s="49"/>
      <c r="O865" s="49"/>
      <c r="P865" s="49"/>
      <c r="Q865" s="49"/>
      <c r="R865" s="49"/>
      <c r="S865" s="49"/>
      <c r="T865" s="49"/>
      <c r="U865" s="49"/>
      <c r="V865" s="49"/>
      <c r="W865" s="49"/>
      <c r="X865" s="49"/>
      <c r="Y865" s="49"/>
      <c r="Z865" s="49"/>
      <c r="AA865" s="49"/>
      <c r="AB865" s="49"/>
      <c r="AC865" s="49"/>
    </row>
    <row r="866" spans="1:29" ht="13">
      <c r="A866" s="47"/>
      <c r="B866" s="47"/>
      <c r="C866" s="49"/>
      <c r="D866" s="49"/>
      <c r="E866" s="49"/>
      <c r="F866" s="49"/>
      <c r="G866" s="49"/>
      <c r="H866" s="173"/>
      <c r="I866" s="49"/>
      <c r="J866" s="49"/>
      <c r="K866" s="49"/>
      <c r="L866" s="49"/>
      <c r="M866" s="49"/>
      <c r="N866" s="49"/>
      <c r="O866" s="49"/>
      <c r="P866" s="49"/>
      <c r="Q866" s="49"/>
      <c r="R866" s="49"/>
      <c r="S866" s="49"/>
      <c r="T866" s="49"/>
      <c r="U866" s="49"/>
      <c r="V866" s="49"/>
      <c r="W866" s="49"/>
      <c r="X866" s="49"/>
      <c r="Y866" s="49"/>
      <c r="Z866" s="49"/>
      <c r="AA866" s="49"/>
      <c r="AB866" s="49"/>
      <c r="AC866" s="49"/>
    </row>
    <row r="867" spans="1:29" ht="13">
      <c r="A867" s="47"/>
      <c r="B867" s="47"/>
      <c r="C867" s="49"/>
      <c r="D867" s="49"/>
      <c r="E867" s="49"/>
      <c r="F867" s="49"/>
      <c r="G867" s="49"/>
      <c r="H867" s="173"/>
      <c r="I867" s="49"/>
      <c r="J867" s="49"/>
      <c r="K867" s="49"/>
      <c r="L867" s="49"/>
      <c r="M867" s="49"/>
      <c r="N867" s="49"/>
      <c r="O867" s="49"/>
      <c r="P867" s="49"/>
      <c r="Q867" s="49"/>
      <c r="R867" s="49"/>
      <c r="S867" s="49"/>
      <c r="T867" s="49"/>
      <c r="U867" s="49"/>
      <c r="V867" s="49"/>
      <c r="W867" s="49"/>
      <c r="X867" s="49"/>
      <c r="Y867" s="49"/>
      <c r="Z867" s="49"/>
      <c r="AA867" s="49"/>
      <c r="AB867" s="49"/>
      <c r="AC867" s="49"/>
    </row>
    <row r="868" spans="1:29" ht="13">
      <c r="A868" s="47"/>
      <c r="B868" s="47"/>
      <c r="C868" s="49"/>
      <c r="D868" s="49"/>
      <c r="E868" s="49"/>
      <c r="F868" s="49"/>
      <c r="G868" s="49"/>
      <c r="H868" s="173"/>
      <c r="I868" s="49"/>
      <c r="J868" s="49"/>
      <c r="K868" s="49"/>
      <c r="L868" s="49"/>
      <c r="M868" s="49"/>
      <c r="N868" s="49"/>
      <c r="O868" s="49"/>
      <c r="P868" s="49"/>
      <c r="Q868" s="49"/>
      <c r="R868" s="49"/>
      <c r="S868" s="49"/>
      <c r="T868" s="49"/>
      <c r="U868" s="49"/>
      <c r="V868" s="49"/>
      <c r="W868" s="49"/>
      <c r="X868" s="49"/>
      <c r="Y868" s="49"/>
      <c r="Z868" s="49"/>
      <c r="AA868" s="49"/>
      <c r="AB868" s="49"/>
      <c r="AC868" s="49"/>
    </row>
    <row r="869" spans="1:29" ht="13">
      <c r="A869" s="47"/>
      <c r="B869" s="47"/>
      <c r="C869" s="49"/>
      <c r="D869" s="49"/>
      <c r="E869" s="49"/>
      <c r="F869" s="49"/>
      <c r="G869" s="49"/>
      <c r="H869" s="173"/>
      <c r="I869" s="49"/>
      <c r="J869" s="49"/>
      <c r="K869" s="49"/>
      <c r="L869" s="49"/>
      <c r="M869" s="49"/>
      <c r="N869" s="49"/>
      <c r="O869" s="49"/>
      <c r="P869" s="49"/>
      <c r="Q869" s="49"/>
      <c r="R869" s="49"/>
      <c r="S869" s="49"/>
      <c r="T869" s="49"/>
      <c r="U869" s="49"/>
      <c r="V869" s="49"/>
      <c r="W869" s="49"/>
      <c r="X869" s="49"/>
      <c r="Y869" s="49"/>
      <c r="Z869" s="49"/>
      <c r="AA869" s="49"/>
      <c r="AB869" s="49"/>
      <c r="AC869" s="49"/>
    </row>
    <row r="870" spans="1:29" ht="13">
      <c r="A870" s="47"/>
      <c r="B870" s="47"/>
      <c r="C870" s="49"/>
      <c r="D870" s="49"/>
      <c r="E870" s="49"/>
      <c r="F870" s="49"/>
      <c r="G870" s="49"/>
      <c r="H870" s="173"/>
      <c r="I870" s="49"/>
      <c r="J870" s="49"/>
      <c r="K870" s="49"/>
      <c r="L870" s="49"/>
      <c r="M870" s="49"/>
      <c r="N870" s="49"/>
      <c r="O870" s="49"/>
      <c r="P870" s="49"/>
      <c r="Q870" s="49"/>
      <c r="R870" s="49"/>
      <c r="S870" s="49"/>
      <c r="T870" s="49"/>
      <c r="U870" s="49"/>
      <c r="V870" s="49"/>
      <c r="W870" s="49"/>
      <c r="X870" s="49"/>
      <c r="Y870" s="49"/>
      <c r="Z870" s="49"/>
      <c r="AA870" s="49"/>
      <c r="AB870" s="49"/>
      <c r="AC870" s="49"/>
    </row>
    <row r="871" spans="1:29" ht="13">
      <c r="A871" s="47"/>
      <c r="B871" s="47"/>
      <c r="C871" s="49"/>
      <c r="D871" s="49"/>
      <c r="E871" s="49"/>
      <c r="F871" s="49"/>
      <c r="G871" s="49"/>
      <c r="H871" s="173"/>
      <c r="I871" s="49"/>
      <c r="J871" s="49"/>
      <c r="K871" s="49"/>
      <c r="L871" s="49"/>
      <c r="M871" s="49"/>
      <c r="N871" s="49"/>
      <c r="O871" s="49"/>
      <c r="P871" s="49"/>
      <c r="Q871" s="49"/>
      <c r="R871" s="49"/>
      <c r="S871" s="49"/>
      <c r="T871" s="49"/>
      <c r="U871" s="49"/>
      <c r="V871" s="49"/>
      <c r="W871" s="49"/>
      <c r="X871" s="49"/>
      <c r="Y871" s="49"/>
      <c r="Z871" s="49"/>
      <c r="AA871" s="49"/>
      <c r="AB871" s="49"/>
      <c r="AC871" s="49"/>
    </row>
    <row r="872" spans="1:29" ht="13">
      <c r="A872" s="47"/>
      <c r="B872" s="47"/>
      <c r="C872" s="49"/>
      <c r="D872" s="49"/>
      <c r="E872" s="49"/>
      <c r="F872" s="49"/>
      <c r="G872" s="49"/>
      <c r="H872" s="173"/>
      <c r="I872" s="49"/>
      <c r="J872" s="49"/>
      <c r="K872" s="49"/>
      <c r="L872" s="49"/>
      <c r="M872" s="49"/>
      <c r="N872" s="49"/>
      <c r="O872" s="49"/>
      <c r="P872" s="49"/>
      <c r="Q872" s="49"/>
      <c r="R872" s="49"/>
      <c r="S872" s="49"/>
      <c r="T872" s="49"/>
      <c r="U872" s="49"/>
      <c r="V872" s="49"/>
      <c r="W872" s="49"/>
      <c r="X872" s="49"/>
      <c r="Y872" s="49"/>
      <c r="Z872" s="49"/>
      <c r="AA872" s="49"/>
      <c r="AB872" s="49"/>
      <c r="AC872" s="49"/>
    </row>
    <row r="873" spans="1:29" ht="13">
      <c r="A873" s="47"/>
      <c r="B873" s="47"/>
      <c r="C873" s="49"/>
      <c r="D873" s="49"/>
      <c r="E873" s="49"/>
      <c r="F873" s="49"/>
      <c r="G873" s="49"/>
      <c r="H873" s="173"/>
      <c r="I873" s="49"/>
      <c r="J873" s="49"/>
      <c r="K873" s="49"/>
      <c r="L873" s="49"/>
      <c r="M873" s="49"/>
      <c r="N873" s="49"/>
      <c r="O873" s="49"/>
      <c r="P873" s="49"/>
      <c r="Q873" s="49"/>
      <c r="R873" s="49"/>
      <c r="S873" s="49"/>
      <c r="T873" s="49"/>
      <c r="U873" s="49"/>
      <c r="V873" s="49"/>
      <c r="W873" s="49"/>
      <c r="X873" s="49"/>
      <c r="Y873" s="49"/>
      <c r="Z873" s="49"/>
      <c r="AA873" s="49"/>
      <c r="AB873" s="49"/>
      <c r="AC873" s="49"/>
    </row>
    <row r="874" spans="1:29" ht="13">
      <c r="A874" s="47"/>
      <c r="B874" s="47"/>
      <c r="C874" s="49"/>
      <c r="D874" s="49"/>
      <c r="E874" s="49"/>
      <c r="F874" s="49"/>
      <c r="G874" s="49"/>
      <c r="H874" s="173"/>
      <c r="I874" s="49"/>
      <c r="J874" s="49"/>
      <c r="K874" s="49"/>
      <c r="L874" s="49"/>
      <c r="M874" s="49"/>
      <c r="N874" s="49"/>
      <c r="O874" s="49"/>
      <c r="P874" s="49"/>
      <c r="Q874" s="49"/>
      <c r="R874" s="49"/>
      <c r="S874" s="49"/>
      <c r="T874" s="49"/>
      <c r="U874" s="49"/>
      <c r="V874" s="49"/>
      <c r="W874" s="49"/>
      <c r="X874" s="49"/>
      <c r="Y874" s="49"/>
      <c r="Z874" s="49"/>
      <c r="AA874" s="49"/>
      <c r="AB874" s="49"/>
      <c r="AC874" s="49"/>
    </row>
    <row r="875" spans="1:29" ht="13">
      <c r="A875" s="47"/>
      <c r="B875" s="47"/>
      <c r="C875" s="49"/>
      <c r="D875" s="49"/>
      <c r="E875" s="49"/>
      <c r="F875" s="49"/>
      <c r="G875" s="49"/>
      <c r="H875" s="173"/>
      <c r="I875" s="49"/>
      <c r="J875" s="49"/>
      <c r="K875" s="49"/>
      <c r="L875" s="49"/>
      <c r="M875" s="49"/>
      <c r="N875" s="49"/>
      <c r="O875" s="49"/>
      <c r="P875" s="49"/>
      <c r="Q875" s="49"/>
      <c r="R875" s="49"/>
      <c r="S875" s="49"/>
      <c r="T875" s="49"/>
      <c r="U875" s="49"/>
      <c r="V875" s="49"/>
      <c r="W875" s="49"/>
      <c r="X875" s="49"/>
      <c r="Y875" s="49"/>
      <c r="Z875" s="49"/>
      <c r="AA875" s="49"/>
      <c r="AB875" s="49"/>
      <c r="AC875" s="49"/>
    </row>
    <row r="876" spans="1:29" ht="13">
      <c r="A876" s="47"/>
      <c r="B876" s="47"/>
      <c r="C876" s="49"/>
      <c r="D876" s="49"/>
      <c r="E876" s="49"/>
      <c r="F876" s="49"/>
      <c r="G876" s="49"/>
      <c r="H876" s="173"/>
      <c r="I876" s="49"/>
      <c r="J876" s="49"/>
      <c r="K876" s="49"/>
      <c r="L876" s="49"/>
      <c r="M876" s="49"/>
      <c r="N876" s="49"/>
      <c r="O876" s="49"/>
      <c r="P876" s="49"/>
      <c r="Q876" s="49"/>
      <c r="R876" s="49"/>
      <c r="S876" s="49"/>
      <c r="T876" s="49"/>
      <c r="U876" s="49"/>
      <c r="V876" s="49"/>
      <c r="W876" s="49"/>
      <c r="X876" s="49"/>
      <c r="Y876" s="49"/>
      <c r="Z876" s="49"/>
      <c r="AA876" s="49"/>
      <c r="AB876" s="49"/>
      <c r="AC876" s="49"/>
    </row>
    <row r="877" spans="1:29" ht="13">
      <c r="A877" s="47"/>
      <c r="B877" s="47"/>
      <c r="C877" s="49"/>
      <c r="D877" s="49"/>
      <c r="E877" s="49"/>
      <c r="F877" s="49"/>
      <c r="G877" s="49"/>
      <c r="H877" s="173"/>
      <c r="I877" s="49"/>
      <c r="J877" s="49"/>
      <c r="K877" s="49"/>
      <c r="L877" s="49"/>
      <c r="M877" s="49"/>
      <c r="N877" s="49"/>
      <c r="O877" s="49"/>
      <c r="P877" s="49"/>
      <c r="Q877" s="49"/>
      <c r="R877" s="49"/>
      <c r="S877" s="49"/>
      <c r="T877" s="49"/>
      <c r="U877" s="49"/>
      <c r="V877" s="49"/>
      <c r="W877" s="49"/>
      <c r="X877" s="49"/>
      <c r="Y877" s="49"/>
      <c r="Z877" s="49"/>
      <c r="AA877" s="49"/>
      <c r="AB877" s="49"/>
      <c r="AC877" s="49"/>
    </row>
    <row r="878" spans="1:29" ht="13">
      <c r="A878" s="47"/>
      <c r="B878" s="47"/>
      <c r="C878" s="49"/>
      <c r="D878" s="49"/>
      <c r="E878" s="49"/>
      <c r="F878" s="49"/>
      <c r="G878" s="49"/>
      <c r="H878" s="173"/>
      <c r="I878" s="49"/>
      <c r="J878" s="49"/>
      <c r="K878" s="49"/>
      <c r="L878" s="49"/>
      <c r="M878" s="49"/>
      <c r="N878" s="49"/>
      <c r="O878" s="49"/>
      <c r="P878" s="49"/>
      <c r="Q878" s="49"/>
      <c r="R878" s="49"/>
      <c r="S878" s="49"/>
      <c r="T878" s="49"/>
      <c r="U878" s="49"/>
      <c r="V878" s="49"/>
      <c r="W878" s="49"/>
      <c r="X878" s="49"/>
      <c r="Y878" s="49"/>
      <c r="Z878" s="49"/>
      <c r="AA878" s="49"/>
      <c r="AB878" s="49"/>
      <c r="AC878" s="49"/>
    </row>
    <row r="879" spans="1:29" ht="13">
      <c r="A879" s="47"/>
      <c r="B879" s="47"/>
      <c r="C879" s="49"/>
      <c r="D879" s="49"/>
      <c r="E879" s="49"/>
      <c r="F879" s="49"/>
      <c r="G879" s="49"/>
      <c r="H879" s="173"/>
      <c r="I879" s="49"/>
      <c r="J879" s="49"/>
      <c r="K879" s="49"/>
      <c r="L879" s="49"/>
      <c r="M879" s="49"/>
      <c r="N879" s="49"/>
      <c r="O879" s="49"/>
      <c r="P879" s="49"/>
      <c r="Q879" s="49"/>
      <c r="R879" s="49"/>
      <c r="S879" s="49"/>
      <c r="T879" s="49"/>
      <c r="U879" s="49"/>
      <c r="V879" s="49"/>
      <c r="W879" s="49"/>
      <c r="X879" s="49"/>
      <c r="Y879" s="49"/>
      <c r="Z879" s="49"/>
      <c r="AA879" s="49"/>
      <c r="AB879" s="49"/>
      <c r="AC879" s="49"/>
    </row>
    <row r="880" spans="1:29" ht="13">
      <c r="A880" s="47"/>
      <c r="B880" s="47"/>
      <c r="C880" s="49"/>
      <c r="D880" s="49"/>
      <c r="E880" s="49"/>
      <c r="F880" s="49"/>
      <c r="G880" s="49"/>
      <c r="H880" s="173"/>
      <c r="I880" s="49"/>
      <c r="J880" s="49"/>
      <c r="K880" s="49"/>
      <c r="L880" s="49"/>
      <c r="M880" s="49"/>
      <c r="N880" s="49"/>
      <c r="O880" s="49"/>
      <c r="P880" s="49"/>
      <c r="Q880" s="49"/>
      <c r="R880" s="49"/>
      <c r="S880" s="49"/>
      <c r="T880" s="49"/>
      <c r="U880" s="49"/>
      <c r="V880" s="49"/>
      <c r="W880" s="49"/>
      <c r="X880" s="49"/>
      <c r="Y880" s="49"/>
      <c r="Z880" s="49"/>
      <c r="AA880" s="49"/>
      <c r="AB880" s="49"/>
      <c r="AC880" s="49"/>
    </row>
    <row r="881" spans="1:29" ht="13">
      <c r="A881" s="47"/>
      <c r="B881" s="47"/>
      <c r="C881" s="49"/>
      <c r="D881" s="49"/>
      <c r="E881" s="49"/>
      <c r="F881" s="49"/>
      <c r="G881" s="49"/>
      <c r="H881" s="173"/>
      <c r="I881" s="49"/>
      <c r="J881" s="49"/>
      <c r="K881" s="49"/>
      <c r="L881" s="49"/>
      <c r="M881" s="49"/>
      <c r="N881" s="49"/>
      <c r="O881" s="49"/>
      <c r="P881" s="49"/>
      <c r="Q881" s="49"/>
      <c r="R881" s="49"/>
      <c r="S881" s="49"/>
      <c r="T881" s="49"/>
      <c r="U881" s="49"/>
      <c r="V881" s="49"/>
      <c r="W881" s="49"/>
      <c r="X881" s="49"/>
      <c r="Y881" s="49"/>
      <c r="Z881" s="49"/>
      <c r="AA881" s="49"/>
      <c r="AB881" s="49"/>
      <c r="AC881" s="49"/>
    </row>
    <row r="882" spans="1:29" ht="13">
      <c r="A882" s="47"/>
      <c r="B882" s="47"/>
      <c r="C882" s="49"/>
      <c r="D882" s="49"/>
      <c r="E882" s="49"/>
      <c r="F882" s="49"/>
      <c r="G882" s="49"/>
      <c r="H882" s="173"/>
      <c r="I882" s="49"/>
      <c r="J882" s="49"/>
      <c r="K882" s="49"/>
      <c r="L882" s="49"/>
      <c r="M882" s="49"/>
      <c r="N882" s="49"/>
      <c r="O882" s="49"/>
      <c r="P882" s="49"/>
      <c r="Q882" s="49"/>
      <c r="R882" s="49"/>
      <c r="S882" s="49"/>
      <c r="T882" s="49"/>
      <c r="U882" s="49"/>
      <c r="V882" s="49"/>
      <c r="W882" s="49"/>
      <c r="X882" s="49"/>
      <c r="Y882" s="49"/>
      <c r="Z882" s="49"/>
      <c r="AA882" s="49"/>
      <c r="AB882" s="49"/>
      <c r="AC882" s="49"/>
    </row>
    <row r="883" spans="1:29" ht="13">
      <c r="A883" s="47"/>
      <c r="B883" s="47"/>
      <c r="C883" s="49"/>
      <c r="D883" s="49"/>
      <c r="E883" s="49"/>
      <c r="F883" s="49"/>
      <c r="G883" s="49"/>
      <c r="H883" s="173"/>
      <c r="I883" s="49"/>
      <c r="J883" s="49"/>
      <c r="K883" s="49"/>
      <c r="L883" s="49"/>
      <c r="M883" s="49"/>
      <c r="N883" s="49"/>
      <c r="O883" s="49"/>
      <c r="P883" s="49"/>
      <c r="Q883" s="49"/>
      <c r="R883" s="49"/>
      <c r="S883" s="49"/>
      <c r="T883" s="49"/>
      <c r="U883" s="49"/>
      <c r="V883" s="49"/>
      <c r="W883" s="49"/>
      <c r="X883" s="49"/>
      <c r="Y883" s="49"/>
      <c r="Z883" s="49"/>
      <c r="AA883" s="49"/>
      <c r="AB883" s="49"/>
      <c r="AC883" s="49"/>
    </row>
    <row r="884" spans="1:29" ht="13">
      <c r="A884" s="47"/>
      <c r="B884" s="47"/>
      <c r="C884" s="49"/>
      <c r="D884" s="49"/>
      <c r="E884" s="49"/>
      <c r="F884" s="49"/>
      <c r="G884" s="49"/>
      <c r="H884" s="173"/>
      <c r="I884" s="49"/>
      <c r="J884" s="49"/>
      <c r="K884" s="49"/>
      <c r="L884" s="49"/>
      <c r="M884" s="49"/>
      <c r="N884" s="49"/>
      <c r="O884" s="49"/>
      <c r="P884" s="49"/>
      <c r="Q884" s="49"/>
      <c r="R884" s="49"/>
      <c r="S884" s="49"/>
      <c r="T884" s="49"/>
      <c r="U884" s="49"/>
      <c r="V884" s="49"/>
      <c r="W884" s="49"/>
      <c r="X884" s="49"/>
      <c r="Y884" s="49"/>
      <c r="Z884" s="49"/>
      <c r="AA884" s="49"/>
      <c r="AB884" s="49"/>
      <c r="AC884" s="49"/>
    </row>
    <row r="885" spans="1:29" ht="13">
      <c r="A885" s="47"/>
      <c r="B885" s="47"/>
      <c r="C885" s="49"/>
      <c r="D885" s="49"/>
      <c r="E885" s="49"/>
      <c r="F885" s="49"/>
      <c r="G885" s="49"/>
      <c r="H885" s="173"/>
      <c r="I885" s="49"/>
      <c r="J885" s="49"/>
      <c r="K885" s="49"/>
      <c r="L885" s="49"/>
      <c r="M885" s="49"/>
      <c r="N885" s="49"/>
      <c r="O885" s="49"/>
      <c r="P885" s="49"/>
      <c r="Q885" s="49"/>
      <c r="R885" s="49"/>
      <c r="S885" s="49"/>
      <c r="T885" s="49"/>
      <c r="U885" s="49"/>
      <c r="V885" s="49"/>
      <c r="W885" s="49"/>
      <c r="X885" s="49"/>
      <c r="Y885" s="49"/>
      <c r="Z885" s="49"/>
      <c r="AA885" s="49"/>
      <c r="AB885" s="49"/>
      <c r="AC885" s="49"/>
    </row>
    <row r="886" spans="1:29" ht="13">
      <c r="A886" s="47"/>
      <c r="B886" s="47"/>
      <c r="C886" s="49"/>
      <c r="D886" s="49"/>
      <c r="E886" s="49"/>
      <c r="F886" s="49"/>
      <c r="G886" s="49"/>
      <c r="H886" s="173"/>
      <c r="I886" s="49"/>
      <c r="J886" s="49"/>
      <c r="K886" s="49"/>
      <c r="L886" s="49"/>
      <c r="M886" s="49"/>
      <c r="N886" s="49"/>
      <c r="O886" s="49"/>
      <c r="P886" s="49"/>
      <c r="Q886" s="49"/>
      <c r="R886" s="49"/>
      <c r="S886" s="49"/>
      <c r="T886" s="49"/>
      <c r="U886" s="49"/>
      <c r="V886" s="49"/>
      <c r="W886" s="49"/>
      <c r="X886" s="49"/>
      <c r="Y886" s="49"/>
      <c r="Z886" s="49"/>
      <c r="AA886" s="49"/>
      <c r="AB886" s="49"/>
      <c r="AC886" s="49"/>
    </row>
    <row r="887" spans="1:29" ht="13">
      <c r="A887" s="47"/>
      <c r="B887" s="47"/>
      <c r="C887" s="49"/>
      <c r="D887" s="49"/>
      <c r="E887" s="49"/>
      <c r="F887" s="49"/>
      <c r="G887" s="49"/>
      <c r="H887" s="173"/>
      <c r="I887" s="49"/>
      <c r="J887" s="49"/>
      <c r="K887" s="49"/>
      <c r="L887" s="49"/>
      <c r="M887" s="49"/>
      <c r="N887" s="49"/>
      <c r="O887" s="49"/>
      <c r="P887" s="49"/>
      <c r="Q887" s="49"/>
      <c r="R887" s="49"/>
      <c r="S887" s="49"/>
      <c r="T887" s="49"/>
      <c r="U887" s="49"/>
      <c r="V887" s="49"/>
      <c r="W887" s="49"/>
      <c r="X887" s="49"/>
      <c r="Y887" s="49"/>
      <c r="Z887" s="49"/>
      <c r="AA887" s="49"/>
      <c r="AB887" s="49"/>
      <c r="AC887" s="49"/>
    </row>
    <row r="888" spans="1:29" ht="13">
      <c r="A888" s="47"/>
      <c r="B888" s="47"/>
      <c r="C888" s="49"/>
      <c r="D888" s="49"/>
      <c r="E888" s="49"/>
      <c r="F888" s="49"/>
      <c r="G888" s="49"/>
      <c r="H888" s="173"/>
      <c r="I888" s="49"/>
      <c r="J888" s="49"/>
      <c r="K888" s="49"/>
      <c r="L888" s="49"/>
      <c r="M888" s="49"/>
      <c r="N888" s="49"/>
      <c r="O888" s="49"/>
      <c r="P888" s="49"/>
      <c r="Q888" s="49"/>
      <c r="R888" s="49"/>
      <c r="S888" s="49"/>
      <c r="T888" s="49"/>
      <c r="U888" s="49"/>
      <c r="V888" s="49"/>
      <c r="W888" s="49"/>
      <c r="X888" s="49"/>
      <c r="Y888" s="49"/>
      <c r="Z888" s="49"/>
      <c r="AA888" s="49"/>
      <c r="AB888" s="49"/>
      <c r="AC888" s="49"/>
    </row>
    <row r="889" spans="1:29" ht="13">
      <c r="A889" s="47"/>
      <c r="B889" s="47"/>
      <c r="C889" s="49"/>
      <c r="D889" s="49"/>
      <c r="E889" s="49"/>
      <c r="F889" s="49"/>
      <c r="G889" s="49"/>
      <c r="H889" s="173"/>
      <c r="I889" s="49"/>
      <c r="J889" s="49"/>
      <c r="K889" s="49"/>
      <c r="L889" s="49"/>
      <c r="M889" s="49"/>
      <c r="N889" s="49"/>
      <c r="O889" s="49"/>
      <c r="P889" s="49"/>
      <c r="Q889" s="49"/>
      <c r="R889" s="49"/>
      <c r="S889" s="49"/>
      <c r="T889" s="49"/>
      <c r="U889" s="49"/>
      <c r="V889" s="49"/>
      <c r="W889" s="49"/>
      <c r="X889" s="49"/>
      <c r="Y889" s="49"/>
      <c r="Z889" s="49"/>
      <c r="AA889" s="49"/>
      <c r="AB889" s="49"/>
      <c r="AC889" s="49"/>
    </row>
    <row r="890" spans="1:29" ht="13">
      <c r="A890" s="47"/>
      <c r="B890" s="47"/>
      <c r="C890" s="49"/>
      <c r="D890" s="49"/>
      <c r="E890" s="49"/>
      <c r="F890" s="49"/>
      <c r="G890" s="49"/>
      <c r="H890" s="173"/>
      <c r="I890" s="49"/>
      <c r="J890" s="49"/>
      <c r="K890" s="49"/>
      <c r="L890" s="49"/>
      <c r="M890" s="49"/>
      <c r="N890" s="49"/>
      <c r="O890" s="49"/>
      <c r="P890" s="49"/>
      <c r="Q890" s="49"/>
      <c r="R890" s="49"/>
      <c r="S890" s="49"/>
      <c r="T890" s="49"/>
      <c r="U890" s="49"/>
      <c r="V890" s="49"/>
      <c r="W890" s="49"/>
      <c r="X890" s="49"/>
      <c r="Y890" s="49"/>
      <c r="Z890" s="49"/>
      <c r="AA890" s="49"/>
      <c r="AB890" s="49"/>
      <c r="AC890" s="49"/>
    </row>
    <row r="891" spans="1:29" ht="13">
      <c r="A891" s="47"/>
      <c r="B891" s="47"/>
      <c r="C891" s="49"/>
      <c r="D891" s="49"/>
      <c r="E891" s="49"/>
      <c r="F891" s="49"/>
      <c r="G891" s="49"/>
      <c r="H891" s="173"/>
      <c r="I891" s="49"/>
      <c r="J891" s="49"/>
      <c r="K891" s="49"/>
      <c r="L891" s="49"/>
      <c r="M891" s="49"/>
      <c r="N891" s="49"/>
      <c r="O891" s="49"/>
      <c r="P891" s="49"/>
      <c r="Q891" s="49"/>
      <c r="R891" s="49"/>
      <c r="S891" s="49"/>
      <c r="T891" s="49"/>
      <c r="U891" s="49"/>
      <c r="V891" s="49"/>
      <c r="W891" s="49"/>
      <c r="X891" s="49"/>
      <c r="Y891" s="49"/>
      <c r="Z891" s="49"/>
      <c r="AA891" s="49"/>
      <c r="AB891" s="49"/>
      <c r="AC891" s="49"/>
    </row>
    <row r="892" spans="1:29" ht="13">
      <c r="A892" s="47"/>
      <c r="B892" s="47"/>
      <c r="C892" s="49"/>
      <c r="D892" s="49"/>
      <c r="E892" s="49"/>
      <c r="F892" s="49"/>
      <c r="G892" s="49"/>
      <c r="H892" s="173"/>
      <c r="I892" s="49"/>
      <c r="J892" s="49"/>
      <c r="K892" s="49"/>
      <c r="L892" s="49"/>
      <c r="M892" s="49"/>
      <c r="N892" s="49"/>
      <c r="O892" s="49"/>
      <c r="P892" s="49"/>
      <c r="Q892" s="49"/>
      <c r="R892" s="49"/>
      <c r="S892" s="49"/>
      <c r="T892" s="49"/>
      <c r="U892" s="49"/>
      <c r="V892" s="49"/>
      <c r="W892" s="49"/>
      <c r="X892" s="49"/>
      <c r="Y892" s="49"/>
      <c r="Z892" s="49"/>
      <c r="AA892" s="49"/>
      <c r="AB892" s="49"/>
      <c r="AC892" s="49"/>
    </row>
    <row r="893" spans="1:29" ht="13">
      <c r="A893" s="47"/>
      <c r="B893" s="47"/>
      <c r="C893" s="49"/>
      <c r="D893" s="49"/>
      <c r="E893" s="49"/>
      <c r="F893" s="49"/>
      <c r="G893" s="49"/>
      <c r="H893" s="173"/>
      <c r="I893" s="49"/>
      <c r="J893" s="49"/>
      <c r="K893" s="49"/>
      <c r="L893" s="49"/>
      <c r="M893" s="49"/>
      <c r="N893" s="49"/>
      <c r="O893" s="49"/>
      <c r="P893" s="49"/>
      <c r="Q893" s="49"/>
      <c r="R893" s="49"/>
      <c r="S893" s="49"/>
      <c r="T893" s="49"/>
      <c r="U893" s="49"/>
      <c r="V893" s="49"/>
      <c r="W893" s="49"/>
      <c r="X893" s="49"/>
      <c r="Y893" s="49"/>
      <c r="Z893" s="49"/>
      <c r="AA893" s="49"/>
      <c r="AB893" s="49"/>
      <c r="AC893" s="49"/>
    </row>
    <row r="894" spans="1:29" ht="13">
      <c r="A894" s="47"/>
      <c r="B894" s="47"/>
      <c r="C894" s="49"/>
      <c r="D894" s="49"/>
      <c r="E894" s="49"/>
      <c r="F894" s="49"/>
      <c r="G894" s="49"/>
      <c r="H894" s="173"/>
      <c r="I894" s="49"/>
      <c r="J894" s="49"/>
      <c r="K894" s="49"/>
      <c r="L894" s="49"/>
      <c r="M894" s="49"/>
      <c r="N894" s="49"/>
      <c r="O894" s="49"/>
      <c r="P894" s="49"/>
      <c r="Q894" s="49"/>
      <c r="R894" s="49"/>
      <c r="S894" s="49"/>
      <c r="T894" s="49"/>
      <c r="U894" s="49"/>
      <c r="V894" s="49"/>
      <c r="W894" s="49"/>
      <c r="X894" s="49"/>
      <c r="Y894" s="49"/>
      <c r="Z894" s="49"/>
      <c r="AA894" s="49"/>
      <c r="AB894" s="49"/>
      <c r="AC894" s="49"/>
    </row>
    <row r="895" spans="1:29" ht="13">
      <c r="A895" s="47"/>
      <c r="B895" s="47"/>
      <c r="C895" s="49"/>
      <c r="D895" s="49"/>
      <c r="E895" s="49"/>
      <c r="F895" s="49"/>
      <c r="G895" s="49"/>
      <c r="H895" s="173"/>
      <c r="I895" s="49"/>
      <c r="J895" s="49"/>
      <c r="K895" s="49"/>
      <c r="L895" s="49"/>
      <c r="M895" s="49"/>
      <c r="N895" s="49"/>
      <c r="O895" s="49"/>
      <c r="P895" s="49"/>
      <c r="Q895" s="49"/>
      <c r="R895" s="49"/>
      <c r="S895" s="49"/>
      <c r="T895" s="49"/>
      <c r="U895" s="49"/>
      <c r="V895" s="49"/>
      <c r="W895" s="49"/>
      <c r="X895" s="49"/>
      <c r="Y895" s="49"/>
      <c r="Z895" s="49"/>
      <c r="AA895" s="49"/>
      <c r="AB895" s="49"/>
      <c r="AC895" s="49"/>
    </row>
    <row r="896" spans="1:29" ht="13">
      <c r="A896" s="47"/>
      <c r="B896" s="47"/>
      <c r="C896" s="49"/>
      <c r="D896" s="49"/>
      <c r="E896" s="49"/>
      <c r="F896" s="49"/>
      <c r="G896" s="49"/>
      <c r="H896" s="173"/>
      <c r="I896" s="49"/>
      <c r="J896" s="49"/>
      <c r="K896" s="49"/>
      <c r="L896" s="49"/>
      <c r="M896" s="49"/>
      <c r="N896" s="49"/>
      <c r="O896" s="49"/>
      <c r="P896" s="49"/>
      <c r="Q896" s="49"/>
      <c r="R896" s="49"/>
      <c r="S896" s="49"/>
      <c r="T896" s="49"/>
      <c r="U896" s="49"/>
      <c r="V896" s="49"/>
      <c r="W896" s="49"/>
      <c r="X896" s="49"/>
      <c r="Y896" s="49"/>
      <c r="Z896" s="49"/>
      <c r="AA896" s="49"/>
      <c r="AB896" s="49"/>
      <c r="AC896" s="49"/>
    </row>
    <row r="897" spans="1:29" ht="13">
      <c r="A897" s="47"/>
      <c r="B897" s="47"/>
      <c r="C897" s="49"/>
      <c r="D897" s="49"/>
      <c r="E897" s="49"/>
      <c r="F897" s="49"/>
      <c r="G897" s="49"/>
      <c r="H897" s="173"/>
      <c r="I897" s="49"/>
      <c r="J897" s="49"/>
      <c r="K897" s="49"/>
      <c r="L897" s="49"/>
      <c r="M897" s="49"/>
      <c r="N897" s="49"/>
      <c r="O897" s="49"/>
      <c r="P897" s="49"/>
      <c r="Q897" s="49"/>
      <c r="R897" s="49"/>
      <c r="S897" s="49"/>
      <c r="T897" s="49"/>
      <c r="U897" s="49"/>
      <c r="V897" s="49"/>
      <c r="W897" s="49"/>
      <c r="X897" s="49"/>
      <c r="Y897" s="49"/>
      <c r="Z897" s="49"/>
      <c r="AA897" s="49"/>
      <c r="AB897" s="49"/>
      <c r="AC897" s="49"/>
    </row>
    <row r="898" spans="1:29" ht="13">
      <c r="A898" s="47"/>
      <c r="B898" s="47"/>
      <c r="C898" s="49"/>
      <c r="D898" s="49"/>
      <c r="E898" s="49"/>
      <c r="F898" s="49"/>
      <c r="G898" s="49"/>
      <c r="H898" s="173"/>
      <c r="I898" s="49"/>
      <c r="J898" s="49"/>
      <c r="K898" s="49"/>
      <c r="L898" s="49"/>
      <c r="M898" s="49"/>
      <c r="N898" s="49"/>
      <c r="O898" s="49"/>
      <c r="P898" s="49"/>
      <c r="Q898" s="49"/>
      <c r="R898" s="49"/>
      <c r="S898" s="49"/>
      <c r="T898" s="49"/>
      <c r="U898" s="49"/>
      <c r="V898" s="49"/>
      <c r="W898" s="49"/>
      <c r="X898" s="49"/>
      <c r="Y898" s="49"/>
      <c r="Z898" s="49"/>
      <c r="AA898" s="49"/>
      <c r="AB898" s="49"/>
      <c r="AC898" s="49"/>
    </row>
    <row r="899" spans="1:29" ht="13">
      <c r="A899" s="47"/>
      <c r="B899" s="47"/>
      <c r="C899" s="49"/>
      <c r="D899" s="49"/>
      <c r="E899" s="49"/>
      <c r="F899" s="49"/>
      <c r="G899" s="49"/>
      <c r="H899" s="173"/>
      <c r="I899" s="49"/>
      <c r="J899" s="49"/>
      <c r="K899" s="49"/>
      <c r="L899" s="49"/>
      <c r="M899" s="49"/>
      <c r="N899" s="49"/>
      <c r="O899" s="49"/>
      <c r="P899" s="49"/>
      <c r="Q899" s="49"/>
      <c r="R899" s="49"/>
      <c r="S899" s="49"/>
      <c r="T899" s="49"/>
      <c r="U899" s="49"/>
      <c r="V899" s="49"/>
      <c r="W899" s="49"/>
      <c r="X899" s="49"/>
      <c r="Y899" s="49"/>
      <c r="Z899" s="49"/>
      <c r="AA899" s="49"/>
      <c r="AB899" s="49"/>
      <c r="AC899" s="49"/>
    </row>
    <row r="900" spans="1:29" ht="13">
      <c r="A900" s="47"/>
      <c r="B900" s="47"/>
      <c r="C900" s="49"/>
      <c r="D900" s="49"/>
      <c r="E900" s="49"/>
      <c r="F900" s="49"/>
      <c r="G900" s="49"/>
      <c r="H900" s="173"/>
      <c r="I900" s="49"/>
      <c r="J900" s="49"/>
      <c r="K900" s="49"/>
      <c r="L900" s="49"/>
      <c r="M900" s="49"/>
      <c r="N900" s="49"/>
      <c r="O900" s="49"/>
      <c r="P900" s="49"/>
      <c r="Q900" s="49"/>
      <c r="R900" s="49"/>
      <c r="S900" s="49"/>
      <c r="T900" s="49"/>
      <c r="U900" s="49"/>
      <c r="V900" s="49"/>
      <c r="W900" s="49"/>
      <c r="X900" s="49"/>
      <c r="Y900" s="49"/>
      <c r="Z900" s="49"/>
      <c r="AA900" s="49"/>
      <c r="AB900" s="49"/>
      <c r="AC900" s="49"/>
    </row>
    <row r="901" spans="1:29" ht="13">
      <c r="A901" s="47"/>
      <c r="B901" s="47"/>
      <c r="C901" s="49"/>
      <c r="D901" s="49"/>
      <c r="E901" s="49"/>
      <c r="F901" s="49"/>
      <c r="G901" s="49"/>
      <c r="H901" s="173"/>
      <c r="I901" s="49"/>
      <c r="J901" s="49"/>
      <c r="K901" s="49"/>
      <c r="L901" s="49"/>
      <c r="M901" s="49"/>
      <c r="N901" s="49"/>
      <c r="O901" s="49"/>
      <c r="P901" s="49"/>
      <c r="Q901" s="49"/>
      <c r="R901" s="49"/>
      <c r="S901" s="49"/>
      <c r="T901" s="49"/>
      <c r="U901" s="49"/>
      <c r="V901" s="49"/>
      <c r="W901" s="49"/>
      <c r="X901" s="49"/>
      <c r="Y901" s="49"/>
      <c r="Z901" s="49"/>
      <c r="AA901" s="49"/>
      <c r="AB901" s="49"/>
      <c r="AC901" s="49"/>
    </row>
    <row r="902" spans="1:29" ht="13">
      <c r="A902" s="47"/>
      <c r="B902" s="47"/>
      <c r="C902" s="49"/>
      <c r="D902" s="49"/>
      <c r="E902" s="49"/>
      <c r="F902" s="49"/>
      <c r="G902" s="49"/>
      <c r="H902" s="173"/>
      <c r="I902" s="49"/>
      <c r="J902" s="49"/>
      <c r="K902" s="49"/>
      <c r="L902" s="49"/>
      <c r="M902" s="49"/>
      <c r="N902" s="49"/>
      <c r="O902" s="49"/>
      <c r="P902" s="49"/>
      <c r="Q902" s="49"/>
      <c r="R902" s="49"/>
      <c r="S902" s="49"/>
      <c r="T902" s="49"/>
      <c r="U902" s="49"/>
      <c r="V902" s="49"/>
      <c r="W902" s="49"/>
      <c r="X902" s="49"/>
      <c r="Y902" s="49"/>
      <c r="Z902" s="49"/>
      <c r="AA902" s="49"/>
      <c r="AB902" s="49"/>
      <c r="AC902" s="49"/>
    </row>
    <row r="903" spans="1:29" ht="13">
      <c r="A903" s="47"/>
      <c r="B903" s="47"/>
      <c r="C903" s="49"/>
      <c r="D903" s="49"/>
      <c r="E903" s="49"/>
      <c r="F903" s="49"/>
      <c r="G903" s="49"/>
      <c r="H903" s="173"/>
      <c r="I903" s="49"/>
      <c r="J903" s="49"/>
      <c r="K903" s="49"/>
      <c r="L903" s="49"/>
      <c r="M903" s="49"/>
      <c r="N903" s="49"/>
      <c r="O903" s="49"/>
      <c r="P903" s="49"/>
      <c r="Q903" s="49"/>
      <c r="R903" s="49"/>
      <c r="S903" s="49"/>
      <c r="T903" s="49"/>
      <c r="U903" s="49"/>
      <c r="V903" s="49"/>
      <c r="W903" s="49"/>
      <c r="X903" s="49"/>
      <c r="Y903" s="49"/>
      <c r="Z903" s="49"/>
      <c r="AA903" s="49"/>
      <c r="AB903" s="49"/>
      <c r="AC903" s="49"/>
    </row>
    <row r="904" spans="1:29" ht="13">
      <c r="A904" s="47"/>
      <c r="B904" s="47"/>
      <c r="C904" s="49"/>
      <c r="D904" s="49"/>
      <c r="E904" s="49"/>
      <c r="F904" s="49"/>
      <c r="G904" s="49"/>
      <c r="H904" s="173"/>
      <c r="I904" s="49"/>
      <c r="J904" s="49"/>
      <c r="K904" s="49"/>
      <c r="L904" s="49"/>
      <c r="M904" s="49"/>
      <c r="N904" s="49"/>
      <c r="O904" s="49"/>
      <c r="P904" s="49"/>
      <c r="Q904" s="49"/>
      <c r="R904" s="49"/>
      <c r="S904" s="49"/>
      <c r="T904" s="49"/>
      <c r="U904" s="49"/>
      <c r="V904" s="49"/>
      <c r="W904" s="49"/>
      <c r="X904" s="49"/>
      <c r="Y904" s="49"/>
      <c r="Z904" s="49"/>
      <c r="AA904" s="49"/>
      <c r="AB904" s="49"/>
      <c r="AC904" s="49"/>
    </row>
    <row r="905" spans="1:29" ht="13">
      <c r="A905" s="47"/>
      <c r="B905" s="47"/>
      <c r="C905" s="49"/>
      <c r="D905" s="49"/>
      <c r="E905" s="49"/>
      <c r="F905" s="49"/>
      <c r="G905" s="49"/>
      <c r="H905" s="173"/>
      <c r="I905" s="49"/>
      <c r="J905" s="49"/>
      <c r="K905" s="49"/>
      <c r="L905" s="49"/>
      <c r="M905" s="49"/>
      <c r="N905" s="49"/>
      <c r="O905" s="49"/>
      <c r="P905" s="49"/>
      <c r="Q905" s="49"/>
      <c r="R905" s="49"/>
      <c r="S905" s="49"/>
      <c r="T905" s="49"/>
      <c r="U905" s="49"/>
      <c r="V905" s="49"/>
      <c r="W905" s="49"/>
      <c r="X905" s="49"/>
      <c r="Y905" s="49"/>
      <c r="Z905" s="49"/>
      <c r="AA905" s="49"/>
      <c r="AB905" s="49"/>
      <c r="AC905" s="49"/>
    </row>
    <row r="906" spans="1:29" ht="13">
      <c r="A906" s="47"/>
      <c r="B906" s="47"/>
      <c r="C906" s="49"/>
      <c r="D906" s="49"/>
      <c r="E906" s="49"/>
      <c r="F906" s="49"/>
      <c r="G906" s="49"/>
      <c r="H906" s="173"/>
      <c r="I906" s="49"/>
      <c r="J906" s="49"/>
      <c r="K906" s="49"/>
      <c r="L906" s="49"/>
      <c r="M906" s="49"/>
      <c r="N906" s="49"/>
      <c r="O906" s="49"/>
      <c r="P906" s="49"/>
      <c r="Q906" s="49"/>
      <c r="R906" s="49"/>
      <c r="S906" s="49"/>
      <c r="T906" s="49"/>
      <c r="U906" s="49"/>
      <c r="V906" s="49"/>
      <c r="W906" s="49"/>
      <c r="X906" s="49"/>
      <c r="Y906" s="49"/>
      <c r="Z906" s="49"/>
      <c r="AA906" s="49"/>
      <c r="AB906" s="49"/>
      <c r="AC906" s="49"/>
    </row>
    <row r="907" spans="1:29" ht="13">
      <c r="A907" s="47"/>
      <c r="B907" s="47"/>
      <c r="C907" s="49"/>
      <c r="D907" s="49"/>
      <c r="E907" s="49"/>
      <c r="F907" s="49"/>
      <c r="G907" s="49"/>
      <c r="H907" s="173"/>
      <c r="I907" s="49"/>
      <c r="J907" s="49"/>
      <c r="K907" s="49"/>
      <c r="L907" s="49"/>
      <c r="M907" s="49"/>
      <c r="N907" s="49"/>
      <c r="O907" s="49"/>
      <c r="P907" s="49"/>
      <c r="Q907" s="49"/>
      <c r="R907" s="49"/>
      <c r="S907" s="49"/>
      <c r="T907" s="49"/>
      <c r="U907" s="49"/>
      <c r="V907" s="49"/>
      <c r="W907" s="49"/>
      <c r="X907" s="49"/>
      <c r="Y907" s="49"/>
      <c r="Z907" s="49"/>
      <c r="AA907" s="49"/>
      <c r="AB907" s="49"/>
      <c r="AC907" s="49"/>
    </row>
    <row r="908" spans="1:29" ht="13">
      <c r="A908" s="47"/>
      <c r="B908" s="47"/>
      <c r="C908" s="49"/>
      <c r="D908" s="49"/>
      <c r="E908" s="49"/>
      <c r="F908" s="49"/>
      <c r="G908" s="49"/>
      <c r="H908" s="173"/>
      <c r="I908" s="49"/>
      <c r="J908" s="49"/>
      <c r="K908" s="49"/>
      <c r="L908" s="49"/>
      <c r="M908" s="49"/>
      <c r="N908" s="49"/>
      <c r="O908" s="49"/>
      <c r="P908" s="49"/>
      <c r="Q908" s="49"/>
      <c r="R908" s="49"/>
      <c r="S908" s="49"/>
      <c r="T908" s="49"/>
      <c r="U908" s="49"/>
      <c r="V908" s="49"/>
      <c r="W908" s="49"/>
      <c r="X908" s="49"/>
      <c r="Y908" s="49"/>
      <c r="Z908" s="49"/>
      <c r="AA908" s="49"/>
      <c r="AB908" s="49"/>
      <c r="AC908" s="49"/>
    </row>
    <row r="909" spans="1:29" ht="13">
      <c r="A909" s="47"/>
      <c r="B909" s="47"/>
      <c r="C909" s="49"/>
      <c r="D909" s="49"/>
      <c r="E909" s="49"/>
      <c r="F909" s="49"/>
      <c r="G909" s="49"/>
      <c r="H909" s="173"/>
      <c r="I909" s="49"/>
      <c r="J909" s="49"/>
      <c r="K909" s="49"/>
      <c r="L909" s="49"/>
      <c r="M909" s="49"/>
      <c r="N909" s="49"/>
      <c r="O909" s="49"/>
      <c r="P909" s="49"/>
      <c r="Q909" s="49"/>
      <c r="R909" s="49"/>
      <c r="S909" s="49"/>
      <c r="T909" s="49"/>
      <c r="U909" s="49"/>
      <c r="V909" s="49"/>
      <c r="W909" s="49"/>
      <c r="X909" s="49"/>
      <c r="Y909" s="49"/>
      <c r="Z909" s="49"/>
      <c r="AA909" s="49"/>
      <c r="AB909" s="49"/>
      <c r="AC909" s="49"/>
    </row>
    <row r="910" spans="1:29" ht="13">
      <c r="A910" s="47"/>
      <c r="B910" s="47"/>
      <c r="C910" s="49"/>
      <c r="D910" s="49"/>
      <c r="E910" s="49"/>
      <c r="F910" s="49"/>
      <c r="G910" s="49"/>
      <c r="H910" s="173"/>
      <c r="I910" s="49"/>
      <c r="J910" s="49"/>
      <c r="K910" s="49"/>
      <c r="L910" s="49"/>
      <c r="M910" s="49"/>
      <c r="N910" s="49"/>
      <c r="O910" s="49"/>
      <c r="P910" s="49"/>
      <c r="Q910" s="49"/>
      <c r="R910" s="49"/>
      <c r="S910" s="49"/>
      <c r="T910" s="49"/>
      <c r="U910" s="49"/>
      <c r="V910" s="49"/>
      <c r="W910" s="49"/>
      <c r="X910" s="49"/>
      <c r="Y910" s="49"/>
      <c r="Z910" s="49"/>
      <c r="AA910" s="49"/>
      <c r="AB910" s="49"/>
      <c r="AC910" s="49"/>
    </row>
    <row r="911" spans="1:29" ht="13">
      <c r="A911" s="47"/>
      <c r="B911" s="47"/>
      <c r="C911" s="49"/>
      <c r="D911" s="49"/>
      <c r="E911" s="49"/>
      <c r="F911" s="49"/>
      <c r="G911" s="49"/>
      <c r="H911" s="173"/>
      <c r="I911" s="49"/>
      <c r="J911" s="49"/>
      <c r="K911" s="49"/>
      <c r="L911" s="49"/>
      <c r="M911" s="49"/>
      <c r="N911" s="49"/>
      <c r="O911" s="49"/>
      <c r="P911" s="49"/>
      <c r="Q911" s="49"/>
      <c r="R911" s="49"/>
      <c r="S911" s="49"/>
      <c r="T911" s="49"/>
      <c r="U911" s="49"/>
      <c r="V911" s="49"/>
      <c r="W911" s="49"/>
      <c r="X911" s="49"/>
      <c r="Y911" s="49"/>
      <c r="Z911" s="49"/>
      <c r="AA911" s="49"/>
      <c r="AB911" s="49"/>
      <c r="AC911" s="49"/>
    </row>
    <row r="912" spans="1:29" ht="13">
      <c r="A912" s="47"/>
      <c r="B912" s="47"/>
      <c r="C912" s="49"/>
      <c r="D912" s="49"/>
      <c r="E912" s="49"/>
      <c r="F912" s="49"/>
      <c r="G912" s="49"/>
      <c r="H912" s="173"/>
      <c r="I912" s="49"/>
      <c r="J912" s="49"/>
      <c r="K912" s="49"/>
      <c r="L912" s="49"/>
      <c r="M912" s="49"/>
      <c r="N912" s="49"/>
      <c r="O912" s="49"/>
      <c r="P912" s="49"/>
      <c r="Q912" s="49"/>
      <c r="R912" s="49"/>
      <c r="S912" s="49"/>
      <c r="T912" s="49"/>
      <c r="U912" s="49"/>
      <c r="V912" s="49"/>
      <c r="W912" s="49"/>
      <c r="X912" s="49"/>
      <c r="Y912" s="49"/>
      <c r="Z912" s="49"/>
      <c r="AA912" s="49"/>
      <c r="AB912" s="49"/>
      <c r="AC912" s="49"/>
    </row>
    <row r="913" spans="1:29" ht="13">
      <c r="A913" s="47"/>
      <c r="B913" s="47"/>
      <c r="C913" s="49"/>
      <c r="D913" s="49"/>
      <c r="E913" s="49"/>
      <c r="F913" s="49"/>
      <c r="G913" s="49"/>
      <c r="H913" s="173"/>
      <c r="I913" s="49"/>
      <c r="J913" s="49"/>
      <c r="K913" s="49"/>
      <c r="L913" s="49"/>
      <c r="M913" s="49"/>
      <c r="N913" s="49"/>
      <c r="O913" s="49"/>
      <c r="P913" s="49"/>
      <c r="Q913" s="49"/>
      <c r="R913" s="49"/>
      <c r="S913" s="49"/>
      <c r="T913" s="49"/>
      <c r="U913" s="49"/>
      <c r="V913" s="49"/>
      <c r="W913" s="49"/>
      <c r="X913" s="49"/>
      <c r="Y913" s="49"/>
      <c r="Z913" s="49"/>
      <c r="AA913" s="49"/>
      <c r="AB913" s="49"/>
      <c r="AC913" s="49"/>
    </row>
    <row r="914" spans="1:29" ht="13">
      <c r="A914" s="47"/>
      <c r="B914" s="47"/>
      <c r="C914" s="49"/>
      <c r="D914" s="49"/>
      <c r="E914" s="49"/>
      <c r="F914" s="49"/>
      <c r="G914" s="49"/>
      <c r="H914" s="173"/>
      <c r="I914" s="49"/>
      <c r="J914" s="49"/>
      <c r="K914" s="49"/>
      <c r="L914" s="49"/>
      <c r="M914" s="49"/>
      <c r="N914" s="49"/>
      <c r="O914" s="49"/>
      <c r="P914" s="49"/>
      <c r="Q914" s="49"/>
      <c r="R914" s="49"/>
      <c r="S914" s="49"/>
      <c r="T914" s="49"/>
      <c r="U914" s="49"/>
      <c r="V914" s="49"/>
      <c r="W914" s="49"/>
      <c r="X914" s="49"/>
      <c r="Y914" s="49"/>
      <c r="Z914" s="49"/>
      <c r="AA914" s="49"/>
      <c r="AB914" s="49"/>
      <c r="AC914" s="49"/>
    </row>
    <row r="915" spans="1:29" ht="13">
      <c r="A915" s="47"/>
      <c r="B915" s="47"/>
      <c r="C915" s="49"/>
      <c r="D915" s="49"/>
      <c r="E915" s="49"/>
      <c r="F915" s="49"/>
      <c r="G915" s="49"/>
      <c r="H915" s="173"/>
      <c r="I915" s="49"/>
      <c r="J915" s="49"/>
      <c r="K915" s="49"/>
      <c r="L915" s="49"/>
      <c r="M915" s="49"/>
      <c r="N915" s="49"/>
      <c r="O915" s="49"/>
      <c r="P915" s="49"/>
      <c r="Q915" s="49"/>
      <c r="R915" s="49"/>
      <c r="S915" s="49"/>
      <c r="T915" s="49"/>
      <c r="U915" s="49"/>
      <c r="V915" s="49"/>
      <c r="W915" s="49"/>
      <c r="X915" s="49"/>
      <c r="Y915" s="49"/>
      <c r="Z915" s="49"/>
      <c r="AA915" s="49"/>
      <c r="AB915" s="49"/>
      <c r="AC915" s="49"/>
    </row>
    <row r="916" spans="1:29" ht="13">
      <c r="A916" s="47"/>
      <c r="B916" s="47"/>
      <c r="C916" s="49"/>
      <c r="D916" s="49"/>
      <c r="E916" s="49"/>
      <c r="F916" s="49"/>
      <c r="G916" s="49"/>
      <c r="H916" s="173"/>
      <c r="I916" s="49"/>
      <c r="J916" s="49"/>
      <c r="K916" s="49"/>
      <c r="L916" s="49"/>
      <c r="M916" s="49"/>
      <c r="N916" s="49"/>
      <c r="O916" s="49"/>
      <c r="P916" s="49"/>
      <c r="Q916" s="49"/>
      <c r="R916" s="49"/>
      <c r="S916" s="49"/>
      <c r="T916" s="49"/>
      <c r="U916" s="49"/>
      <c r="V916" s="49"/>
      <c r="W916" s="49"/>
      <c r="X916" s="49"/>
      <c r="Y916" s="49"/>
      <c r="Z916" s="49"/>
      <c r="AA916" s="49"/>
      <c r="AB916" s="49"/>
      <c r="AC916" s="49"/>
    </row>
    <row r="917" spans="1:29" ht="13">
      <c r="A917" s="47"/>
      <c r="B917" s="47"/>
      <c r="C917" s="49"/>
      <c r="D917" s="49"/>
      <c r="E917" s="49"/>
      <c r="F917" s="49"/>
      <c r="G917" s="49"/>
      <c r="H917" s="173"/>
      <c r="I917" s="49"/>
      <c r="J917" s="49"/>
      <c r="K917" s="49"/>
      <c r="L917" s="49"/>
      <c r="M917" s="49"/>
      <c r="N917" s="49"/>
      <c r="O917" s="49"/>
      <c r="P917" s="49"/>
      <c r="Q917" s="49"/>
      <c r="R917" s="49"/>
      <c r="S917" s="49"/>
      <c r="T917" s="49"/>
      <c r="U917" s="49"/>
      <c r="V917" s="49"/>
      <c r="W917" s="49"/>
      <c r="X917" s="49"/>
      <c r="Y917" s="49"/>
      <c r="Z917" s="49"/>
      <c r="AA917" s="49"/>
      <c r="AB917" s="49"/>
      <c r="AC917" s="49"/>
    </row>
    <row r="918" spans="1:29" ht="13">
      <c r="A918" s="47"/>
      <c r="B918" s="47"/>
      <c r="C918" s="49"/>
      <c r="D918" s="49"/>
      <c r="E918" s="49"/>
      <c r="F918" s="49"/>
      <c r="G918" s="49"/>
      <c r="H918" s="173"/>
      <c r="I918" s="49"/>
      <c r="J918" s="49"/>
      <c r="K918" s="49"/>
      <c r="L918" s="49"/>
      <c r="M918" s="49"/>
      <c r="N918" s="49"/>
      <c r="O918" s="49"/>
      <c r="P918" s="49"/>
      <c r="Q918" s="49"/>
      <c r="R918" s="49"/>
      <c r="S918" s="49"/>
      <c r="T918" s="49"/>
      <c r="U918" s="49"/>
      <c r="V918" s="49"/>
      <c r="W918" s="49"/>
      <c r="X918" s="49"/>
      <c r="Y918" s="49"/>
      <c r="Z918" s="49"/>
      <c r="AA918" s="49"/>
      <c r="AB918" s="49"/>
      <c r="AC918" s="49"/>
    </row>
    <row r="919" spans="1:29" ht="13">
      <c r="A919" s="47"/>
      <c r="B919" s="47"/>
      <c r="C919" s="49"/>
      <c r="D919" s="49"/>
      <c r="E919" s="49"/>
      <c r="F919" s="49"/>
      <c r="G919" s="49"/>
      <c r="H919" s="173"/>
      <c r="I919" s="49"/>
      <c r="J919" s="49"/>
      <c r="K919" s="49"/>
      <c r="L919" s="49"/>
      <c r="M919" s="49"/>
      <c r="N919" s="49"/>
      <c r="O919" s="49"/>
      <c r="P919" s="49"/>
      <c r="Q919" s="49"/>
      <c r="R919" s="49"/>
      <c r="S919" s="49"/>
      <c r="T919" s="49"/>
      <c r="U919" s="49"/>
      <c r="V919" s="49"/>
      <c r="W919" s="49"/>
      <c r="X919" s="49"/>
      <c r="Y919" s="49"/>
      <c r="Z919" s="49"/>
      <c r="AA919" s="49"/>
      <c r="AB919" s="49"/>
      <c r="AC919" s="49"/>
    </row>
    <row r="920" spans="1:29" ht="13">
      <c r="A920" s="47"/>
      <c r="B920" s="47"/>
      <c r="C920" s="49"/>
      <c r="D920" s="49"/>
      <c r="E920" s="49"/>
      <c r="F920" s="49"/>
      <c r="G920" s="49"/>
      <c r="H920" s="173"/>
      <c r="I920" s="49"/>
      <c r="J920" s="49"/>
      <c r="K920" s="49"/>
      <c r="L920" s="49"/>
      <c r="M920" s="49"/>
      <c r="N920" s="49"/>
      <c r="O920" s="49"/>
      <c r="P920" s="49"/>
      <c r="Q920" s="49"/>
      <c r="R920" s="49"/>
      <c r="S920" s="49"/>
      <c r="T920" s="49"/>
      <c r="U920" s="49"/>
      <c r="V920" s="49"/>
      <c r="W920" s="49"/>
      <c r="X920" s="49"/>
      <c r="Y920" s="49"/>
      <c r="Z920" s="49"/>
      <c r="AA920" s="49"/>
      <c r="AB920" s="49"/>
      <c r="AC920" s="49"/>
    </row>
    <row r="921" spans="1:29" ht="13">
      <c r="A921" s="47"/>
      <c r="B921" s="47"/>
      <c r="C921" s="49"/>
      <c r="D921" s="49"/>
      <c r="E921" s="49"/>
      <c r="F921" s="49"/>
      <c r="G921" s="49"/>
      <c r="H921" s="173"/>
      <c r="I921" s="49"/>
      <c r="J921" s="49"/>
      <c r="K921" s="49"/>
      <c r="L921" s="49"/>
      <c r="M921" s="49"/>
      <c r="N921" s="49"/>
      <c r="O921" s="49"/>
      <c r="P921" s="49"/>
      <c r="Q921" s="49"/>
      <c r="R921" s="49"/>
      <c r="S921" s="49"/>
      <c r="T921" s="49"/>
      <c r="U921" s="49"/>
      <c r="V921" s="49"/>
      <c r="W921" s="49"/>
      <c r="X921" s="49"/>
      <c r="Y921" s="49"/>
      <c r="Z921" s="49"/>
      <c r="AA921" s="49"/>
      <c r="AB921" s="49"/>
      <c r="AC921" s="49"/>
    </row>
    <row r="922" spans="1:29" ht="13">
      <c r="A922" s="47"/>
      <c r="B922" s="47"/>
      <c r="C922" s="49"/>
      <c r="D922" s="49"/>
      <c r="E922" s="49"/>
      <c r="F922" s="49"/>
      <c r="G922" s="49"/>
      <c r="H922" s="173"/>
      <c r="I922" s="49"/>
      <c r="J922" s="49"/>
      <c r="K922" s="49"/>
      <c r="L922" s="49"/>
      <c r="M922" s="49"/>
      <c r="N922" s="49"/>
      <c r="O922" s="49"/>
      <c r="P922" s="49"/>
      <c r="Q922" s="49"/>
      <c r="R922" s="49"/>
      <c r="S922" s="49"/>
      <c r="T922" s="49"/>
      <c r="U922" s="49"/>
      <c r="V922" s="49"/>
      <c r="W922" s="49"/>
      <c r="X922" s="49"/>
      <c r="Y922" s="49"/>
      <c r="Z922" s="49"/>
      <c r="AA922" s="49"/>
      <c r="AB922" s="49"/>
      <c r="AC922" s="49"/>
    </row>
    <row r="923" spans="1:29" ht="13">
      <c r="A923" s="47"/>
      <c r="B923" s="47"/>
      <c r="C923" s="49"/>
      <c r="D923" s="49"/>
      <c r="E923" s="49"/>
      <c r="F923" s="49"/>
      <c r="G923" s="49"/>
      <c r="H923" s="173"/>
      <c r="I923" s="49"/>
      <c r="J923" s="49"/>
      <c r="K923" s="49"/>
      <c r="L923" s="49"/>
      <c r="M923" s="49"/>
      <c r="N923" s="49"/>
      <c r="O923" s="49"/>
      <c r="P923" s="49"/>
      <c r="Q923" s="49"/>
      <c r="R923" s="49"/>
      <c r="S923" s="49"/>
      <c r="T923" s="49"/>
      <c r="U923" s="49"/>
      <c r="V923" s="49"/>
      <c r="W923" s="49"/>
      <c r="X923" s="49"/>
      <c r="Y923" s="49"/>
      <c r="Z923" s="49"/>
      <c r="AA923" s="49"/>
      <c r="AB923" s="49"/>
      <c r="AC923" s="49"/>
    </row>
    <row r="924" spans="1:29" ht="13">
      <c r="A924" s="47"/>
      <c r="B924" s="47"/>
      <c r="C924" s="49"/>
      <c r="D924" s="49"/>
      <c r="E924" s="49"/>
      <c r="F924" s="49"/>
      <c r="G924" s="49"/>
      <c r="H924" s="173"/>
      <c r="I924" s="49"/>
      <c r="J924" s="49"/>
      <c r="K924" s="49"/>
      <c r="L924" s="49"/>
      <c r="M924" s="49"/>
      <c r="N924" s="49"/>
      <c r="O924" s="49"/>
      <c r="P924" s="49"/>
      <c r="Q924" s="49"/>
      <c r="R924" s="49"/>
      <c r="S924" s="49"/>
      <c r="T924" s="49"/>
      <c r="U924" s="49"/>
      <c r="V924" s="49"/>
      <c r="W924" s="49"/>
      <c r="X924" s="49"/>
      <c r="Y924" s="49"/>
      <c r="Z924" s="49"/>
      <c r="AA924" s="49"/>
      <c r="AB924" s="49"/>
      <c r="AC924" s="49"/>
    </row>
    <row r="925" spans="1:29" ht="13">
      <c r="A925" s="47"/>
      <c r="B925" s="47"/>
      <c r="C925" s="49"/>
      <c r="D925" s="49"/>
      <c r="E925" s="49"/>
      <c r="F925" s="49"/>
      <c r="G925" s="49"/>
      <c r="H925" s="173"/>
      <c r="I925" s="49"/>
      <c r="J925" s="49"/>
      <c r="K925" s="49"/>
      <c r="L925" s="49"/>
      <c r="M925" s="49"/>
      <c r="N925" s="49"/>
      <c r="O925" s="49"/>
      <c r="P925" s="49"/>
      <c r="Q925" s="49"/>
      <c r="R925" s="49"/>
      <c r="S925" s="49"/>
      <c r="T925" s="49"/>
      <c r="U925" s="49"/>
      <c r="V925" s="49"/>
      <c r="W925" s="49"/>
      <c r="X925" s="49"/>
      <c r="Y925" s="49"/>
      <c r="Z925" s="49"/>
      <c r="AA925" s="49"/>
      <c r="AB925" s="49"/>
      <c r="AC925" s="49"/>
    </row>
    <row r="926" spans="1:29" ht="13">
      <c r="A926" s="47"/>
      <c r="B926" s="47"/>
      <c r="C926" s="49"/>
      <c r="D926" s="49"/>
      <c r="E926" s="49"/>
      <c r="F926" s="49"/>
      <c r="G926" s="49"/>
      <c r="H926" s="173"/>
      <c r="I926" s="49"/>
      <c r="J926" s="49"/>
      <c r="K926" s="49"/>
      <c r="L926" s="49"/>
      <c r="M926" s="49"/>
      <c r="N926" s="49"/>
      <c r="O926" s="49"/>
      <c r="P926" s="49"/>
      <c r="Q926" s="49"/>
      <c r="R926" s="49"/>
      <c r="S926" s="49"/>
      <c r="T926" s="49"/>
      <c r="U926" s="49"/>
      <c r="V926" s="49"/>
      <c r="W926" s="49"/>
      <c r="X926" s="49"/>
      <c r="Y926" s="49"/>
      <c r="Z926" s="49"/>
      <c r="AA926" s="49"/>
      <c r="AB926" s="49"/>
      <c r="AC926" s="49"/>
    </row>
    <row r="927" spans="1:29" ht="13">
      <c r="A927" s="47"/>
      <c r="B927" s="47"/>
      <c r="C927" s="49"/>
      <c r="D927" s="49"/>
      <c r="E927" s="49"/>
      <c r="F927" s="49"/>
      <c r="G927" s="49"/>
      <c r="H927" s="173"/>
      <c r="I927" s="49"/>
      <c r="J927" s="49"/>
      <c r="K927" s="49"/>
      <c r="L927" s="49"/>
      <c r="M927" s="49"/>
      <c r="N927" s="49"/>
      <c r="O927" s="49"/>
      <c r="P927" s="49"/>
      <c r="Q927" s="49"/>
      <c r="R927" s="49"/>
      <c r="S927" s="49"/>
      <c r="T927" s="49"/>
      <c r="U927" s="49"/>
      <c r="V927" s="49"/>
      <c r="W927" s="49"/>
      <c r="X927" s="49"/>
      <c r="Y927" s="49"/>
      <c r="Z927" s="49"/>
      <c r="AA927" s="49"/>
      <c r="AB927" s="49"/>
      <c r="AC927" s="49"/>
    </row>
    <row r="928" spans="1:29" ht="13">
      <c r="A928" s="47"/>
      <c r="B928" s="47"/>
      <c r="C928" s="49"/>
      <c r="D928" s="49"/>
      <c r="E928" s="49"/>
      <c r="F928" s="49"/>
      <c r="G928" s="49"/>
      <c r="H928" s="173"/>
      <c r="I928" s="49"/>
      <c r="J928" s="49"/>
      <c r="K928" s="49"/>
      <c r="L928" s="49"/>
      <c r="M928" s="49"/>
      <c r="N928" s="49"/>
      <c r="O928" s="49"/>
      <c r="P928" s="49"/>
      <c r="Q928" s="49"/>
      <c r="R928" s="49"/>
      <c r="S928" s="49"/>
      <c r="T928" s="49"/>
      <c r="U928" s="49"/>
      <c r="V928" s="49"/>
      <c r="W928" s="49"/>
      <c r="X928" s="49"/>
      <c r="Y928" s="49"/>
      <c r="Z928" s="49"/>
      <c r="AA928" s="49"/>
      <c r="AB928" s="49"/>
      <c r="AC928" s="49"/>
    </row>
    <row r="929" spans="1:29" ht="13">
      <c r="A929" s="47"/>
      <c r="B929" s="47"/>
      <c r="C929" s="49"/>
      <c r="D929" s="49"/>
      <c r="E929" s="49"/>
      <c r="F929" s="49"/>
      <c r="G929" s="49"/>
      <c r="H929" s="173"/>
      <c r="I929" s="49"/>
      <c r="J929" s="49"/>
      <c r="K929" s="49"/>
      <c r="L929" s="49"/>
      <c r="M929" s="49"/>
      <c r="N929" s="49"/>
      <c r="O929" s="49"/>
      <c r="P929" s="49"/>
      <c r="Q929" s="49"/>
      <c r="R929" s="49"/>
      <c r="S929" s="49"/>
      <c r="T929" s="49"/>
      <c r="U929" s="49"/>
      <c r="V929" s="49"/>
      <c r="W929" s="49"/>
      <c r="X929" s="49"/>
      <c r="Y929" s="49"/>
      <c r="Z929" s="49"/>
      <c r="AA929" s="49"/>
      <c r="AB929" s="49"/>
      <c r="AC929" s="49"/>
    </row>
    <row r="930" spans="1:29" ht="13">
      <c r="A930" s="47"/>
      <c r="B930" s="47"/>
      <c r="C930" s="49"/>
      <c r="D930" s="49"/>
      <c r="E930" s="49"/>
      <c r="F930" s="49"/>
      <c r="G930" s="49"/>
      <c r="H930" s="173"/>
      <c r="I930" s="49"/>
      <c r="J930" s="49"/>
      <c r="K930" s="49"/>
      <c r="L930" s="49"/>
      <c r="M930" s="49"/>
      <c r="N930" s="49"/>
      <c r="O930" s="49"/>
      <c r="P930" s="49"/>
      <c r="Q930" s="49"/>
      <c r="R930" s="49"/>
      <c r="S930" s="49"/>
      <c r="T930" s="49"/>
      <c r="U930" s="49"/>
      <c r="V930" s="49"/>
      <c r="W930" s="49"/>
      <c r="X930" s="49"/>
      <c r="Y930" s="49"/>
      <c r="Z930" s="49"/>
      <c r="AA930" s="49"/>
      <c r="AB930" s="49"/>
      <c r="AC930" s="49"/>
    </row>
    <row r="931" spans="1:29" ht="13">
      <c r="A931" s="47"/>
      <c r="B931" s="47"/>
      <c r="C931" s="49"/>
      <c r="D931" s="49"/>
      <c r="E931" s="49"/>
      <c r="F931" s="49"/>
      <c r="G931" s="49"/>
      <c r="H931" s="173"/>
      <c r="I931" s="49"/>
      <c r="J931" s="49"/>
      <c r="K931" s="49"/>
      <c r="L931" s="49"/>
      <c r="M931" s="49"/>
      <c r="N931" s="49"/>
      <c r="O931" s="49"/>
      <c r="P931" s="49"/>
      <c r="Q931" s="49"/>
      <c r="R931" s="49"/>
      <c r="S931" s="49"/>
      <c r="T931" s="49"/>
      <c r="U931" s="49"/>
      <c r="V931" s="49"/>
      <c r="W931" s="49"/>
      <c r="X931" s="49"/>
      <c r="Y931" s="49"/>
      <c r="Z931" s="49"/>
      <c r="AA931" s="49"/>
      <c r="AB931" s="49"/>
      <c r="AC931" s="49"/>
    </row>
    <row r="932" spans="1:29" ht="13">
      <c r="A932" s="47"/>
      <c r="B932" s="47"/>
      <c r="C932" s="49"/>
      <c r="D932" s="49"/>
      <c r="E932" s="49"/>
      <c r="F932" s="49"/>
      <c r="G932" s="49"/>
      <c r="H932" s="173"/>
      <c r="I932" s="49"/>
      <c r="J932" s="49"/>
      <c r="K932" s="49"/>
      <c r="L932" s="49"/>
      <c r="M932" s="49"/>
      <c r="N932" s="49"/>
      <c r="O932" s="49"/>
      <c r="P932" s="49"/>
      <c r="Q932" s="49"/>
      <c r="R932" s="49"/>
      <c r="S932" s="49"/>
      <c r="T932" s="49"/>
      <c r="U932" s="49"/>
      <c r="V932" s="49"/>
      <c r="W932" s="49"/>
      <c r="X932" s="49"/>
      <c r="Y932" s="49"/>
      <c r="Z932" s="49"/>
      <c r="AA932" s="49"/>
      <c r="AB932" s="49"/>
      <c r="AC932" s="49"/>
    </row>
    <row r="933" spans="1:29" ht="13">
      <c r="A933" s="47"/>
      <c r="B933" s="47"/>
      <c r="C933" s="49"/>
      <c r="D933" s="49"/>
      <c r="E933" s="49"/>
      <c r="F933" s="49"/>
      <c r="G933" s="49"/>
      <c r="H933" s="173"/>
      <c r="I933" s="49"/>
      <c r="J933" s="49"/>
      <c r="K933" s="49"/>
      <c r="L933" s="49"/>
      <c r="M933" s="49"/>
      <c r="N933" s="49"/>
      <c r="O933" s="49"/>
      <c r="P933" s="49"/>
      <c r="Q933" s="49"/>
      <c r="R933" s="49"/>
      <c r="S933" s="49"/>
      <c r="T933" s="49"/>
      <c r="U933" s="49"/>
      <c r="V933" s="49"/>
      <c r="W933" s="49"/>
      <c r="X933" s="49"/>
      <c r="Y933" s="49"/>
      <c r="Z933" s="49"/>
      <c r="AA933" s="49"/>
      <c r="AB933" s="49"/>
      <c r="AC933" s="49"/>
    </row>
    <row r="934" spans="1:29" ht="13">
      <c r="A934" s="47"/>
      <c r="B934" s="47"/>
      <c r="C934" s="49"/>
      <c r="D934" s="49"/>
      <c r="E934" s="49"/>
      <c r="F934" s="49"/>
      <c r="G934" s="49"/>
      <c r="H934" s="173"/>
      <c r="I934" s="49"/>
      <c r="J934" s="49"/>
      <c r="K934" s="49"/>
      <c r="L934" s="49"/>
      <c r="M934" s="49"/>
      <c r="N934" s="49"/>
      <c r="O934" s="49"/>
      <c r="P934" s="49"/>
      <c r="Q934" s="49"/>
      <c r="R934" s="49"/>
      <c r="S934" s="49"/>
      <c r="T934" s="49"/>
      <c r="U934" s="49"/>
      <c r="V934" s="49"/>
      <c r="W934" s="49"/>
      <c r="X934" s="49"/>
      <c r="Y934" s="49"/>
      <c r="Z934" s="49"/>
      <c r="AA934" s="49"/>
      <c r="AB934" s="49"/>
      <c r="AC934" s="49"/>
    </row>
    <row r="935" spans="1:29" ht="13">
      <c r="A935" s="47"/>
      <c r="B935" s="47"/>
      <c r="C935" s="49"/>
      <c r="D935" s="49"/>
      <c r="E935" s="49"/>
      <c r="F935" s="49"/>
      <c r="G935" s="49"/>
      <c r="H935" s="173"/>
      <c r="I935" s="49"/>
      <c r="J935" s="49"/>
      <c r="K935" s="49"/>
      <c r="L935" s="49"/>
      <c r="M935" s="49"/>
      <c r="N935" s="49"/>
      <c r="O935" s="49"/>
      <c r="P935" s="49"/>
      <c r="Q935" s="49"/>
      <c r="R935" s="49"/>
      <c r="S935" s="49"/>
      <c r="T935" s="49"/>
      <c r="U935" s="49"/>
      <c r="V935" s="49"/>
      <c r="W935" s="49"/>
      <c r="X935" s="49"/>
      <c r="Y935" s="49"/>
      <c r="Z935" s="49"/>
      <c r="AA935" s="49"/>
      <c r="AB935" s="49"/>
      <c r="AC935" s="49"/>
    </row>
    <row r="936" spans="1:29" ht="13">
      <c r="A936" s="47"/>
      <c r="B936" s="47"/>
      <c r="C936" s="49"/>
      <c r="D936" s="49"/>
      <c r="E936" s="49"/>
      <c r="F936" s="49"/>
      <c r="G936" s="49"/>
      <c r="H936" s="173"/>
      <c r="I936" s="49"/>
      <c r="J936" s="49"/>
      <c r="K936" s="49"/>
      <c r="L936" s="49"/>
      <c r="M936" s="49"/>
      <c r="N936" s="49"/>
      <c r="O936" s="49"/>
      <c r="P936" s="49"/>
      <c r="Q936" s="49"/>
      <c r="R936" s="49"/>
      <c r="S936" s="49"/>
      <c r="T936" s="49"/>
      <c r="U936" s="49"/>
      <c r="V936" s="49"/>
      <c r="W936" s="49"/>
      <c r="X936" s="49"/>
      <c r="Y936" s="49"/>
      <c r="Z936" s="49"/>
      <c r="AA936" s="49"/>
      <c r="AB936" s="49"/>
      <c r="AC936" s="49"/>
    </row>
    <row r="937" spans="1:29" ht="13">
      <c r="A937" s="47"/>
      <c r="B937" s="47"/>
      <c r="C937" s="49"/>
      <c r="D937" s="49"/>
      <c r="E937" s="49"/>
      <c r="F937" s="49"/>
      <c r="G937" s="49"/>
      <c r="H937" s="173"/>
      <c r="I937" s="49"/>
      <c r="J937" s="49"/>
      <c r="K937" s="49"/>
      <c r="L937" s="49"/>
      <c r="M937" s="49"/>
      <c r="N937" s="49"/>
      <c r="O937" s="49"/>
      <c r="P937" s="49"/>
      <c r="Q937" s="49"/>
      <c r="R937" s="49"/>
      <c r="S937" s="49"/>
      <c r="T937" s="49"/>
      <c r="U937" s="49"/>
      <c r="V937" s="49"/>
      <c r="W937" s="49"/>
      <c r="X937" s="49"/>
      <c r="Y937" s="49"/>
      <c r="Z937" s="49"/>
      <c r="AA937" s="49"/>
      <c r="AB937" s="49"/>
      <c r="AC937" s="49"/>
    </row>
    <row r="938" spans="1:29" ht="13">
      <c r="A938" s="47"/>
      <c r="B938" s="47"/>
      <c r="C938" s="49"/>
      <c r="D938" s="49"/>
      <c r="E938" s="49"/>
      <c r="F938" s="49"/>
      <c r="G938" s="49"/>
      <c r="H938" s="173"/>
      <c r="I938" s="49"/>
      <c r="J938" s="49"/>
      <c r="K938" s="49"/>
      <c r="L938" s="49"/>
      <c r="M938" s="49"/>
      <c r="N938" s="49"/>
      <c r="O938" s="49"/>
      <c r="P938" s="49"/>
      <c r="Q938" s="49"/>
      <c r="R938" s="49"/>
      <c r="S938" s="49"/>
      <c r="T938" s="49"/>
      <c r="U938" s="49"/>
      <c r="V938" s="49"/>
      <c r="W938" s="49"/>
      <c r="X938" s="49"/>
      <c r="Y938" s="49"/>
      <c r="Z938" s="49"/>
      <c r="AA938" s="49"/>
      <c r="AB938" s="49"/>
      <c r="AC938" s="49"/>
    </row>
    <row r="939" spans="1:29" ht="13">
      <c r="A939" s="47"/>
      <c r="B939" s="47"/>
      <c r="C939" s="49"/>
      <c r="D939" s="49"/>
      <c r="E939" s="49"/>
      <c r="F939" s="49"/>
      <c r="G939" s="49"/>
      <c r="H939" s="173"/>
      <c r="I939" s="49"/>
      <c r="J939" s="49"/>
      <c r="K939" s="49"/>
      <c r="L939" s="49"/>
      <c r="M939" s="49"/>
      <c r="N939" s="49"/>
      <c r="O939" s="49"/>
      <c r="P939" s="49"/>
      <c r="Q939" s="49"/>
      <c r="R939" s="49"/>
      <c r="S939" s="49"/>
      <c r="T939" s="49"/>
      <c r="U939" s="49"/>
      <c r="V939" s="49"/>
      <c r="W939" s="49"/>
      <c r="X939" s="49"/>
      <c r="Y939" s="49"/>
      <c r="Z939" s="49"/>
      <c r="AA939" s="49"/>
      <c r="AB939" s="49"/>
      <c r="AC939" s="49"/>
    </row>
    <row r="940" spans="1:29" ht="13">
      <c r="A940" s="47"/>
      <c r="B940" s="47"/>
      <c r="C940" s="49"/>
      <c r="D940" s="49"/>
      <c r="E940" s="49"/>
      <c r="F940" s="49"/>
      <c r="G940" s="49"/>
      <c r="H940" s="173"/>
      <c r="I940" s="49"/>
      <c r="J940" s="49"/>
      <c r="K940" s="49"/>
      <c r="L940" s="49"/>
      <c r="M940" s="49"/>
      <c r="N940" s="49"/>
      <c r="O940" s="49"/>
      <c r="P940" s="49"/>
      <c r="Q940" s="49"/>
      <c r="R940" s="49"/>
      <c r="S940" s="49"/>
      <c r="T940" s="49"/>
      <c r="U940" s="49"/>
      <c r="V940" s="49"/>
      <c r="W940" s="49"/>
      <c r="X940" s="49"/>
      <c r="Y940" s="49"/>
      <c r="Z940" s="49"/>
      <c r="AA940" s="49"/>
      <c r="AB940" s="49"/>
      <c r="AC940" s="49"/>
    </row>
    <row r="941" spans="1:29" ht="13">
      <c r="A941" s="47"/>
      <c r="B941" s="47"/>
      <c r="C941" s="49"/>
      <c r="D941" s="49"/>
      <c r="E941" s="49"/>
      <c r="F941" s="49"/>
      <c r="G941" s="49"/>
      <c r="H941" s="173"/>
      <c r="I941" s="49"/>
      <c r="J941" s="49"/>
      <c r="K941" s="49"/>
      <c r="L941" s="49"/>
      <c r="M941" s="49"/>
      <c r="N941" s="49"/>
      <c r="O941" s="49"/>
      <c r="P941" s="49"/>
      <c r="Q941" s="49"/>
      <c r="R941" s="49"/>
      <c r="S941" s="49"/>
      <c r="T941" s="49"/>
      <c r="U941" s="49"/>
      <c r="V941" s="49"/>
      <c r="W941" s="49"/>
      <c r="X941" s="49"/>
      <c r="Y941" s="49"/>
      <c r="Z941" s="49"/>
      <c r="AA941" s="49"/>
      <c r="AB941" s="49"/>
      <c r="AC941" s="49"/>
    </row>
    <row r="942" spans="1:29" ht="13">
      <c r="A942" s="47"/>
      <c r="B942" s="47"/>
      <c r="C942" s="49"/>
      <c r="D942" s="49"/>
      <c r="E942" s="49"/>
      <c r="F942" s="49"/>
      <c r="G942" s="49"/>
      <c r="H942" s="173"/>
      <c r="I942" s="49"/>
      <c r="J942" s="49"/>
      <c r="K942" s="49"/>
      <c r="L942" s="49"/>
      <c r="M942" s="49"/>
      <c r="N942" s="49"/>
      <c r="O942" s="49"/>
      <c r="P942" s="49"/>
      <c r="Q942" s="49"/>
      <c r="R942" s="49"/>
      <c r="S942" s="49"/>
      <c r="T942" s="49"/>
      <c r="U942" s="49"/>
      <c r="V942" s="49"/>
      <c r="W942" s="49"/>
      <c r="X942" s="49"/>
      <c r="Y942" s="49"/>
      <c r="Z942" s="49"/>
      <c r="AA942" s="49"/>
      <c r="AB942" s="49"/>
      <c r="AC942" s="49"/>
    </row>
    <row r="943" spans="1:29" ht="13">
      <c r="A943" s="47"/>
      <c r="B943" s="47"/>
      <c r="C943" s="49"/>
      <c r="D943" s="49"/>
      <c r="E943" s="49"/>
      <c r="F943" s="49"/>
      <c r="G943" s="49"/>
      <c r="H943" s="173"/>
      <c r="I943" s="49"/>
      <c r="J943" s="49"/>
      <c r="K943" s="49"/>
      <c r="L943" s="49"/>
      <c r="M943" s="49"/>
      <c r="N943" s="49"/>
      <c r="O943" s="49"/>
      <c r="P943" s="49"/>
      <c r="Q943" s="49"/>
      <c r="R943" s="49"/>
      <c r="S943" s="49"/>
      <c r="T943" s="49"/>
      <c r="U943" s="49"/>
      <c r="V943" s="49"/>
      <c r="W943" s="49"/>
      <c r="X943" s="49"/>
      <c r="Y943" s="49"/>
      <c r="Z943" s="49"/>
      <c r="AA943" s="49"/>
      <c r="AB943" s="49"/>
      <c r="AC943" s="49"/>
    </row>
    <row r="944" spans="1:29" ht="13">
      <c r="A944" s="47"/>
      <c r="B944" s="47"/>
      <c r="C944" s="49"/>
      <c r="D944" s="49"/>
      <c r="E944" s="49"/>
      <c r="F944" s="49"/>
      <c r="G944" s="49"/>
      <c r="H944" s="173"/>
      <c r="I944" s="49"/>
      <c r="J944" s="49"/>
      <c r="K944" s="49"/>
      <c r="L944" s="49"/>
      <c r="M944" s="49"/>
      <c r="N944" s="49"/>
      <c r="O944" s="49"/>
      <c r="P944" s="49"/>
      <c r="Q944" s="49"/>
      <c r="R944" s="49"/>
      <c r="S944" s="49"/>
      <c r="T944" s="49"/>
      <c r="U944" s="49"/>
      <c r="V944" s="49"/>
      <c r="W944" s="49"/>
      <c r="X944" s="49"/>
      <c r="Y944" s="49"/>
      <c r="Z944" s="49"/>
      <c r="AA944" s="49"/>
      <c r="AB944" s="49"/>
      <c r="AC944" s="49"/>
    </row>
    <row r="945" spans="1:29" ht="13">
      <c r="A945" s="47"/>
      <c r="B945" s="47"/>
      <c r="C945" s="49"/>
      <c r="D945" s="49"/>
      <c r="E945" s="49"/>
      <c r="F945" s="49"/>
      <c r="G945" s="49"/>
      <c r="H945" s="173"/>
      <c r="I945" s="49"/>
      <c r="J945" s="49"/>
      <c r="K945" s="49"/>
      <c r="L945" s="49"/>
      <c r="M945" s="49"/>
      <c r="N945" s="49"/>
      <c r="O945" s="49"/>
      <c r="P945" s="49"/>
      <c r="Q945" s="49"/>
      <c r="R945" s="49"/>
      <c r="S945" s="49"/>
      <c r="T945" s="49"/>
      <c r="U945" s="49"/>
      <c r="V945" s="49"/>
      <c r="W945" s="49"/>
      <c r="X945" s="49"/>
      <c r="Y945" s="49"/>
      <c r="Z945" s="49"/>
      <c r="AA945" s="49"/>
      <c r="AB945" s="49"/>
      <c r="AC945" s="49"/>
    </row>
    <row r="946" spans="1:29" ht="13">
      <c r="A946" s="47"/>
      <c r="B946" s="47"/>
      <c r="C946" s="49"/>
      <c r="D946" s="49"/>
      <c r="E946" s="49"/>
      <c r="F946" s="49"/>
      <c r="G946" s="49"/>
      <c r="H946" s="173"/>
      <c r="I946" s="49"/>
      <c r="J946" s="49"/>
      <c r="K946" s="49"/>
      <c r="L946" s="49"/>
      <c r="M946" s="49"/>
      <c r="N946" s="49"/>
      <c r="O946" s="49"/>
      <c r="P946" s="49"/>
      <c r="Q946" s="49"/>
      <c r="R946" s="49"/>
      <c r="S946" s="49"/>
      <c r="T946" s="49"/>
      <c r="U946" s="49"/>
      <c r="V946" s="49"/>
      <c r="W946" s="49"/>
      <c r="X946" s="49"/>
      <c r="Y946" s="49"/>
      <c r="Z946" s="49"/>
      <c r="AA946" s="49"/>
      <c r="AB946" s="49"/>
      <c r="AC946" s="49"/>
    </row>
    <row r="947" spans="1:29" ht="13">
      <c r="A947" s="47"/>
      <c r="B947" s="47"/>
      <c r="C947" s="49"/>
      <c r="D947" s="49"/>
      <c r="E947" s="49"/>
      <c r="F947" s="49"/>
      <c r="G947" s="49"/>
      <c r="H947" s="173"/>
      <c r="I947" s="49"/>
      <c r="J947" s="49"/>
      <c r="K947" s="49"/>
      <c r="L947" s="49"/>
      <c r="M947" s="49"/>
      <c r="N947" s="49"/>
      <c r="O947" s="49"/>
      <c r="P947" s="49"/>
      <c r="Q947" s="49"/>
      <c r="R947" s="49"/>
      <c r="S947" s="49"/>
      <c r="T947" s="49"/>
      <c r="U947" s="49"/>
      <c r="V947" s="49"/>
      <c r="W947" s="49"/>
      <c r="X947" s="49"/>
      <c r="Y947" s="49"/>
      <c r="Z947" s="49"/>
      <c r="AA947" s="49"/>
      <c r="AB947" s="49"/>
      <c r="AC947" s="49"/>
    </row>
    <row r="948" spans="1:29" ht="13">
      <c r="A948" s="47"/>
      <c r="B948" s="47"/>
      <c r="C948" s="49"/>
      <c r="D948" s="49"/>
      <c r="E948" s="49"/>
      <c r="F948" s="49"/>
      <c r="G948" s="49"/>
      <c r="H948" s="173"/>
      <c r="I948" s="49"/>
      <c r="J948" s="49"/>
      <c r="K948" s="49"/>
      <c r="L948" s="49"/>
      <c r="M948" s="49"/>
      <c r="N948" s="49"/>
      <c r="O948" s="49"/>
      <c r="P948" s="49"/>
      <c r="Q948" s="49"/>
      <c r="R948" s="49"/>
      <c r="S948" s="49"/>
      <c r="T948" s="49"/>
      <c r="U948" s="49"/>
      <c r="V948" s="49"/>
      <c r="W948" s="49"/>
      <c r="X948" s="49"/>
      <c r="Y948" s="49"/>
      <c r="Z948" s="49"/>
      <c r="AA948" s="49"/>
      <c r="AB948" s="49"/>
      <c r="AC948" s="49"/>
    </row>
    <row r="949" spans="1:29" ht="13">
      <c r="A949" s="47"/>
      <c r="B949" s="47"/>
      <c r="C949" s="49"/>
      <c r="D949" s="49"/>
      <c r="E949" s="49"/>
      <c r="F949" s="49"/>
      <c r="G949" s="49"/>
      <c r="H949" s="173"/>
      <c r="I949" s="49"/>
      <c r="J949" s="49"/>
      <c r="K949" s="49"/>
      <c r="L949" s="49"/>
      <c r="M949" s="49"/>
      <c r="N949" s="49"/>
      <c r="O949" s="49"/>
      <c r="P949" s="49"/>
      <c r="Q949" s="49"/>
      <c r="R949" s="49"/>
      <c r="S949" s="49"/>
      <c r="T949" s="49"/>
      <c r="U949" s="49"/>
      <c r="V949" s="49"/>
      <c r="W949" s="49"/>
      <c r="X949" s="49"/>
      <c r="Y949" s="49"/>
      <c r="Z949" s="49"/>
      <c r="AA949" s="49"/>
      <c r="AB949" s="49"/>
      <c r="AC949" s="49"/>
    </row>
    <row r="950" spans="1:29" ht="13">
      <c r="A950" s="47"/>
      <c r="B950" s="47"/>
      <c r="C950" s="49"/>
      <c r="D950" s="49"/>
      <c r="E950" s="49"/>
      <c r="F950" s="49"/>
      <c r="G950" s="49"/>
      <c r="H950" s="173"/>
      <c r="I950" s="49"/>
      <c r="J950" s="49"/>
      <c r="K950" s="49"/>
      <c r="L950" s="49"/>
      <c r="M950" s="49"/>
      <c r="N950" s="49"/>
      <c r="O950" s="49"/>
      <c r="P950" s="49"/>
      <c r="Q950" s="49"/>
      <c r="R950" s="49"/>
      <c r="S950" s="49"/>
      <c r="T950" s="49"/>
      <c r="U950" s="49"/>
      <c r="V950" s="49"/>
      <c r="W950" s="49"/>
      <c r="X950" s="49"/>
      <c r="Y950" s="49"/>
      <c r="Z950" s="49"/>
      <c r="AA950" s="49"/>
      <c r="AB950" s="49"/>
      <c r="AC950" s="49"/>
    </row>
    <row r="951" spans="1:29" ht="13">
      <c r="A951" s="47"/>
      <c r="B951" s="47"/>
      <c r="C951" s="49"/>
      <c r="D951" s="49"/>
      <c r="E951" s="49"/>
      <c r="F951" s="49"/>
      <c r="G951" s="49"/>
      <c r="H951" s="173"/>
      <c r="I951" s="49"/>
      <c r="J951" s="49"/>
      <c r="K951" s="49"/>
      <c r="L951" s="49"/>
      <c r="M951" s="49"/>
      <c r="N951" s="49"/>
      <c r="O951" s="49"/>
      <c r="P951" s="49"/>
      <c r="Q951" s="49"/>
      <c r="R951" s="49"/>
      <c r="S951" s="49"/>
      <c r="T951" s="49"/>
      <c r="U951" s="49"/>
      <c r="V951" s="49"/>
      <c r="W951" s="49"/>
      <c r="X951" s="49"/>
      <c r="Y951" s="49"/>
      <c r="Z951" s="49"/>
      <c r="AA951" s="49"/>
      <c r="AB951" s="49"/>
      <c r="AC951" s="49"/>
    </row>
    <row r="952" spans="1:29" ht="13">
      <c r="A952" s="47"/>
      <c r="B952" s="47"/>
      <c r="C952" s="49"/>
      <c r="D952" s="49"/>
      <c r="E952" s="49"/>
      <c r="F952" s="49"/>
      <c r="G952" s="49"/>
      <c r="H952" s="173"/>
      <c r="I952" s="49"/>
      <c r="J952" s="49"/>
      <c r="K952" s="49"/>
      <c r="L952" s="49"/>
      <c r="M952" s="49"/>
      <c r="N952" s="49"/>
      <c r="O952" s="49"/>
      <c r="P952" s="49"/>
      <c r="Q952" s="49"/>
      <c r="R952" s="49"/>
      <c r="S952" s="49"/>
      <c r="T952" s="49"/>
      <c r="U952" s="49"/>
      <c r="V952" s="49"/>
      <c r="W952" s="49"/>
      <c r="X952" s="49"/>
      <c r="Y952" s="49"/>
      <c r="Z952" s="49"/>
      <c r="AA952" s="49"/>
      <c r="AB952" s="49"/>
      <c r="AC952" s="49"/>
    </row>
    <row r="953" spans="1:29" ht="13">
      <c r="A953" s="47"/>
      <c r="B953" s="47"/>
      <c r="C953" s="49"/>
      <c r="D953" s="49"/>
      <c r="E953" s="49"/>
      <c r="F953" s="49"/>
      <c r="G953" s="49"/>
      <c r="H953" s="173"/>
      <c r="I953" s="49"/>
      <c r="J953" s="49"/>
      <c r="K953" s="49"/>
      <c r="L953" s="49"/>
      <c r="M953" s="49"/>
      <c r="N953" s="49"/>
      <c r="O953" s="49"/>
      <c r="P953" s="49"/>
      <c r="Q953" s="49"/>
      <c r="R953" s="49"/>
      <c r="S953" s="49"/>
      <c r="T953" s="49"/>
      <c r="U953" s="49"/>
      <c r="V953" s="49"/>
      <c r="W953" s="49"/>
      <c r="X953" s="49"/>
      <c r="Y953" s="49"/>
      <c r="Z953" s="49"/>
      <c r="AA953" s="49"/>
      <c r="AB953" s="49"/>
      <c r="AC953" s="49"/>
    </row>
    <row r="954" spans="1:29" ht="13">
      <c r="A954" s="47"/>
      <c r="B954" s="47"/>
      <c r="C954" s="49"/>
      <c r="D954" s="49"/>
      <c r="E954" s="49"/>
      <c r="F954" s="49"/>
      <c r="G954" s="49"/>
      <c r="H954" s="173"/>
      <c r="I954" s="49"/>
      <c r="J954" s="49"/>
      <c r="K954" s="49"/>
      <c r="L954" s="49"/>
      <c r="M954" s="49"/>
      <c r="N954" s="49"/>
      <c r="O954" s="49"/>
      <c r="P954" s="49"/>
      <c r="Q954" s="49"/>
      <c r="R954" s="49"/>
      <c r="S954" s="49"/>
      <c r="T954" s="49"/>
      <c r="U954" s="49"/>
      <c r="V954" s="49"/>
      <c r="W954" s="49"/>
      <c r="X954" s="49"/>
      <c r="Y954" s="49"/>
      <c r="Z954" s="49"/>
      <c r="AA954" s="49"/>
      <c r="AB954" s="49"/>
      <c r="AC954" s="49"/>
    </row>
    <row r="955" spans="1:29" ht="13">
      <c r="A955" s="47"/>
      <c r="B955" s="47"/>
      <c r="C955" s="49"/>
      <c r="D955" s="49"/>
      <c r="E955" s="49"/>
      <c r="F955" s="49"/>
      <c r="G955" s="49"/>
      <c r="H955" s="173"/>
      <c r="I955" s="49"/>
      <c r="J955" s="49"/>
      <c r="K955" s="49"/>
      <c r="L955" s="49"/>
      <c r="M955" s="49"/>
      <c r="N955" s="49"/>
      <c r="O955" s="49"/>
      <c r="P955" s="49"/>
      <c r="Q955" s="49"/>
      <c r="R955" s="49"/>
      <c r="S955" s="49"/>
      <c r="T955" s="49"/>
      <c r="U955" s="49"/>
      <c r="V955" s="49"/>
      <c r="W955" s="49"/>
      <c r="X955" s="49"/>
      <c r="Y955" s="49"/>
      <c r="Z955" s="49"/>
      <c r="AA955" s="49"/>
      <c r="AB955" s="49"/>
      <c r="AC955" s="49"/>
    </row>
    <row r="956" spans="1:29" ht="13">
      <c r="A956" s="47"/>
      <c r="B956" s="47"/>
      <c r="C956" s="49"/>
      <c r="D956" s="49"/>
      <c r="E956" s="49"/>
      <c r="F956" s="49"/>
      <c r="G956" s="49"/>
      <c r="H956" s="173"/>
      <c r="I956" s="49"/>
      <c r="J956" s="49"/>
      <c r="K956" s="49"/>
      <c r="L956" s="49"/>
      <c r="M956" s="49"/>
      <c r="N956" s="49"/>
      <c r="O956" s="49"/>
      <c r="P956" s="49"/>
      <c r="Q956" s="49"/>
      <c r="R956" s="49"/>
      <c r="S956" s="49"/>
      <c r="T956" s="49"/>
      <c r="U956" s="49"/>
      <c r="V956" s="49"/>
      <c r="W956" s="49"/>
      <c r="X956" s="49"/>
      <c r="Y956" s="49"/>
      <c r="Z956" s="49"/>
      <c r="AA956" s="49"/>
      <c r="AB956" s="49"/>
      <c r="AC956" s="49"/>
    </row>
    <row r="957" spans="1:29" ht="13">
      <c r="A957" s="47"/>
      <c r="B957" s="47"/>
      <c r="C957" s="49"/>
      <c r="D957" s="49"/>
      <c r="E957" s="49"/>
      <c r="F957" s="49"/>
      <c r="G957" s="49"/>
      <c r="H957" s="173"/>
      <c r="I957" s="49"/>
      <c r="J957" s="49"/>
      <c r="K957" s="49"/>
      <c r="L957" s="49"/>
      <c r="M957" s="49"/>
      <c r="N957" s="49"/>
      <c r="O957" s="49"/>
      <c r="P957" s="49"/>
      <c r="Q957" s="49"/>
      <c r="R957" s="49"/>
      <c r="S957" s="49"/>
      <c r="T957" s="49"/>
      <c r="U957" s="49"/>
      <c r="V957" s="49"/>
      <c r="W957" s="49"/>
      <c r="X957" s="49"/>
      <c r="Y957" s="49"/>
      <c r="Z957" s="49"/>
      <c r="AA957" s="49"/>
      <c r="AB957" s="49"/>
      <c r="AC957" s="49"/>
    </row>
    <row r="958" spans="1:29" ht="13">
      <c r="A958" s="47"/>
      <c r="B958" s="47"/>
      <c r="C958" s="49"/>
      <c r="D958" s="49"/>
      <c r="E958" s="49"/>
      <c r="F958" s="49"/>
      <c r="G958" s="49"/>
      <c r="H958" s="173"/>
      <c r="I958" s="49"/>
      <c r="J958" s="49"/>
      <c r="K958" s="49"/>
      <c r="L958" s="49"/>
      <c r="M958" s="49"/>
      <c r="N958" s="49"/>
      <c r="O958" s="49"/>
      <c r="P958" s="49"/>
      <c r="Q958" s="49"/>
      <c r="R958" s="49"/>
      <c r="S958" s="49"/>
      <c r="T958" s="49"/>
      <c r="U958" s="49"/>
      <c r="V958" s="49"/>
      <c r="W958" s="49"/>
      <c r="X958" s="49"/>
      <c r="Y958" s="49"/>
      <c r="Z958" s="49"/>
      <c r="AA958" s="49"/>
      <c r="AB958" s="49"/>
      <c r="AC958" s="49"/>
    </row>
    <row r="959" spans="1:29" ht="13">
      <c r="A959" s="47"/>
      <c r="B959" s="47"/>
      <c r="C959" s="49"/>
      <c r="D959" s="49"/>
      <c r="E959" s="49"/>
      <c r="F959" s="49"/>
      <c r="G959" s="49"/>
      <c r="H959" s="173"/>
      <c r="I959" s="49"/>
      <c r="J959" s="49"/>
      <c r="K959" s="49"/>
      <c r="L959" s="49"/>
      <c r="M959" s="49"/>
      <c r="N959" s="49"/>
      <c r="O959" s="49"/>
      <c r="P959" s="49"/>
      <c r="Q959" s="49"/>
      <c r="R959" s="49"/>
      <c r="S959" s="49"/>
      <c r="T959" s="49"/>
      <c r="U959" s="49"/>
      <c r="V959" s="49"/>
      <c r="W959" s="49"/>
      <c r="X959" s="49"/>
      <c r="Y959" s="49"/>
      <c r="Z959" s="49"/>
      <c r="AA959" s="49"/>
      <c r="AB959" s="49"/>
      <c r="AC959" s="49"/>
    </row>
    <row r="960" spans="1:29" ht="13">
      <c r="A960" s="47"/>
      <c r="B960" s="47"/>
      <c r="C960" s="49"/>
      <c r="D960" s="49"/>
      <c r="E960" s="49"/>
      <c r="F960" s="49"/>
      <c r="G960" s="49"/>
      <c r="H960" s="173"/>
      <c r="I960" s="49"/>
      <c r="J960" s="49"/>
      <c r="K960" s="49"/>
      <c r="L960" s="49"/>
      <c r="M960" s="49"/>
      <c r="N960" s="49"/>
      <c r="O960" s="49"/>
      <c r="P960" s="49"/>
      <c r="Q960" s="49"/>
      <c r="R960" s="49"/>
      <c r="S960" s="49"/>
      <c r="T960" s="49"/>
      <c r="U960" s="49"/>
      <c r="V960" s="49"/>
      <c r="W960" s="49"/>
      <c r="X960" s="49"/>
      <c r="Y960" s="49"/>
      <c r="Z960" s="49"/>
      <c r="AA960" s="49"/>
      <c r="AB960" s="49"/>
      <c r="AC960" s="49"/>
    </row>
    <row r="961" spans="1:29" ht="13">
      <c r="A961" s="47"/>
      <c r="B961" s="47"/>
      <c r="C961" s="49"/>
      <c r="D961" s="49"/>
      <c r="E961" s="49"/>
      <c r="F961" s="49"/>
      <c r="G961" s="49"/>
      <c r="H961" s="173"/>
      <c r="I961" s="49"/>
      <c r="J961" s="49"/>
      <c r="K961" s="49"/>
      <c r="L961" s="49"/>
      <c r="M961" s="49"/>
      <c r="N961" s="49"/>
      <c r="O961" s="49"/>
      <c r="P961" s="49"/>
      <c r="Q961" s="49"/>
      <c r="R961" s="49"/>
      <c r="S961" s="49"/>
      <c r="T961" s="49"/>
      <c r="U961" s="49"/>
      <c r="V961" s="49"/>
      <c r="W961" s="49"/>
      <c r="X961" s="49"/>
      <c r="Y961" s="49"/>
      <c r="Z961" s="49"/>
      <c r="AA961" s="49"/>
      <c r="AB961" s="49"/>
      <c r="AC961" s="49"/>
    </row>
    <row r="962" spans="1:29" ht="13">
      <c r="A962" s="47"/>
      <c r="B962" s="47"/>
      <c r="C962" s="49"/>
      <c r="D962" s="49"/>
      <c r="E962" s="49"/>
      <c r="F962" s="49"/>
      <c r="G962" s="49"/>
      <c r="H962" s="173"/>
      <c r="I962" s="49"/>
      <c r="J962" s="49"/>
      <c r="K962" s="49"/>
      <c r="L962" s="49"/>
      <c r="M962" s="49"/>
      <c r="N962" s="49"/>
      <c r="O962" s="49"/>
      <c r="P962" s="49"/>
      <c r="Q962" s="49"/>
      <c r="R962" s="49"/>
      <c r="S962" s="49"/>
      <c r="T962" s="49"/>
      <c r="U962" s="49"/>
      <c r="V962" s="49"/>
      <c r="W962" s="49"/>
      <c r="X962" s="49"/>
      <c r="Y962" s="49"/>
      <c r="Z962" s="49"/>
      <c r="AA962" s="49"/>
      <c r="AB962" s="49"/>
      <c r="AC962" s="49"/>
    </row>
    <row r="963" spans="1:29" ht="13">
      <c r="A963" s="47"/>
      <c r="B963" s="47"/>
      <c r="C963" s="49"/>
      <c r="D963" s="49"/>
      <c r="E963" s="49"/>
      <c r="F963" s="49"/>
      <c r="G963" s="49"/>
      <c r="H963" s="173"/>
      <c r="I963" s="49"/>
      <c r="J963" s="49"/>
      <c r="K963" s="49"/>
      <c r="L963" s="49"/>
      <c r="M963" s="49"/>
      <c r="N963" s="49"/>
      <c r="O963" s="49"/>
      <c r="P963" s="49"/>
      <c r="Q963" s="49"/>
      <c r="R963" s="49"/>
      <c r="S963" s="49"/>
      <c r="T963" s="49"/>
      <c r="U963" s="49"/>
      <c r="V963" s="49"/>
      <c r="W963" s="49"/>
      <c r="X963" s="49"/>
      <c r="Y963" s="49"/>
      <c r="Z963" s="49"/>
      <c r="AA963" s="49"/>
      <c r="AB963" s="49"/>
      <c r="AC963" s="49"/>
    </row>
    <row r="964" spans="1:29" ht="13">
      <c r="A964" s="47"/>
      <c r="B964" s="47"/>
      <c r="C964" s="49"/>
      <c r="D964" s="49"/>
      <c r="E964" s="49"/>
      <c r="F964" s="49"/>
      <c r="G964" s="49"/>
      <c r="H964" s="173"/>
      <c r="I964" s="49"/>
      <c r="J964" s="49"/>
      <c r="K964" s="49"/>
      <c r="L964" s="49"/>
      <c r="M964" s="49"/>
      <c r="N964" s="49"/>
      <c r="O964" s="49"/>
      <c r="P964" s="49"/>
      <c r="Q964" s="49"/>
      <c r="R964" s="49"/>
      <c r="S964" s="49"/>
      <c r="T964" s="49"/>
      <c r="U964" s="49"/>
      <c r="V964" s="49"/>
      <c r="W964" s="49"/>
      <c r="X964" s="49"/>
      <c r="Y964" s="49"/>
      <c r="Z964" s="49"/>
      <c r="AA964" s="49"/>
      <c r="AB964" s="49"/>
      <c r="AC964" s="49"/>
    </row>
    <row r="965" spans="1:29" ht="13">
      <c r="A965" s="47"/>
      <c r="B965" s="47"/>
      <c r="C965" s="49"/>
      <c r="D965" s="49"/>
      <c r="E965" s="49"/>
      <c r="F965" s="49"/>
      <c r="G965" s="49"/>
      <c r="H965" s="173"/>
      <c r="I965" s="49"/>
      <c r="J965" s="49"/>
      <c r="K965" s="49"/>
      <c r="L965" s="49"/>
      <c r="M965" s="49"/>
      <c r="N965" s="49"/>
      <c r="O965" s="49"/>
      <c r="P965" s="49"/>
      <c r="Q965" s="49"/>
      <c r="R965" s="49"/>
      <c r="S965" s="49"/>
      <c r="T965" s="49"/>
      <c r="U965" s="49"/>
      <c r="V965" s="49"/>
      <c r="W965" s="49"/>
      <c r="X965" s="49"/>
      <c r="Y965" s="49"/>
      <c r="Z965" s="49"/>
      <c r="AA965" s="49"/>
      <c r="AB965" s="49"/>
      <c r="AC965" s="49"/>
    </row>
    <row r="966" spans="1:29" ht="13">
      <c r="A966" s="47"/>
      <c r="B966" s="47"/>
      <c r="C966" s="49"/>
      <c r="D966" s="49"/>
      <c r="E966" s="49"/>
      <c r="F966" s="49"/>
      <c r="G966" s="49"/>
      <c r="H966" s="173"/>
      <c r="I966" s="49"/>
      <c r="J966" s="49"/>
      <c r="K966" s="49"/>
      <c r="L966" s="49"/>
      <c r="M966" s="49"/>
      <c r="N966" s="49"/>
      <c r="O966" s="49"/>
      <c r="P966" s="49"/>
      <c r="Q966" s="49"/>
      <c r="R966" s="49"/>
      <c r="S966" s="49"/>
      <c r="T966" s="49"/>
      <c r="U966" s="49"/>
      <c r="V966" s="49"/>
      <c r="W966" s="49"/>
      <c r="X966" s="49"/>
      <c r="Y966" s="49"/>
      <c r="Z966" s="49"/>
      <c r="AA966" s="49"/>
      <c r="AB966" s="49"/>
      <c r="AC966" s="49"/>
    </row>
    <row r="967" spans="1:29" ht="13">
      <c r="A967" s="47"/>
      <c r="B967" s="47"/>
      <c r="C967" s="49"/>
      <c r="D967" s="49"/>
      <c r="E967" s="49"/>
      <c r="F967" s="49"/>
      <c r="G967" s="49"/>
      <c r="H967" s="173"/>
      <c r="I967" s="49"/>
      <c r="J967" s="49"/>
      <c r="K967" s="49"/>
      <c r="L967" s="49"/>
      <c r="M967" s="49"/>
      <c r="N967" s="49"/>
      <c r="O967" s="49"/>
      <c r="P967" s="49"/>
      <c r="Q967" s="49"/>
      <c r="R967" s="49"/>
      <c r="S967" s="49"/>
      <c r="T967" s="49"/>
      <c r="U967" s="49"/>
      <c r="V967" s="49"/>
      <c r="W967" s="49"/>
      <c r="X967" s="49"/>
      <c r="Y967" s="49"/>
      <c r="Z967" s="49"/>
      <c r="AA967" s="49"/>
      <c r="AB967" s="49"/>
      <c r="AC967" s="49"/>
    </row>
    <row r="968" spans="1:29" ht="13">
      <c r="A968" s="47"/>
      <c r="B968" s="47"/>
      <c r="C968" s="49"/>
      <c r="D968" s="49"/>
      <c r="E968" s="49"/>
      <c r="F968" s="49"/>
      <c r="G968" s="49"/>
      <c r="H968" s="173"/>
      <c r="I968" s="49"/>
      <c r="J968" s="49"/>
      <c r="K968" s="49"/>
      <c r="L968" s="49"/>
      <c r="M968" s="49"/>
      <c r="N968" s="49"/>
      <c r="O968" s="49"/>
      <c r="P968" s="49"/>
      <c r="Q968" s="49"/>
      <c r="R968" s="49"/>
      <c r="S968" s="49"/>
      <c r="T968" s="49"/>
      <c r="U968" s="49"/>
      <c r="V968" s="49"/>
      <c r="W968" s="49"/>
      <c r="X968" s="49"/>
      <c r="Y968" s="49"/>
      <c r="Z968" s="49"/>
      <c r="AA968" s="49"/>
      <c r="AB968" s="49"/>
      <c r="AC968" s="49"/>
    </row>
    <row r="969" spans="1:29" ht="13">
      <c r="A969" s="47"/>
      <c r="B969" s="47"/>
      <c r="C969" s="49"/>
      <c r="D969" s="49"/>
      <c r="E969" s="49"/>
      <c r="F969" s="49"/>
      <c r="G969" s="49"/>
      <c r="H969" s="173"/>
      <c r="I969" s="49"/>
      <c r="J969" s="49"/>
      <c r="K969" s="49"/>
      <c r="L969" s="49"/>
      <c r="M969" s="49"/>
      <c r="N969" s="49"/>
      <c r="O969" s="49"/>
      <c r="P969" s="49"/>
      <c r="Q969" s="49"/>
      <c r="R969" s="49"/>
      <c r="S969" s="49"/>
      <c r="T969" s="49"/>
      <c r="U969" s="49"/>
      <c r="V969" s="49"/>
      <c r="W969" s="49"/>
      <c r="X969" s="49"/>
      <c r="Y969" s="49"/>
      <c r="Z969" s="49"/>
      <c r="AA969" s="49"/>
      <c r="AB969" s="49"/>
      <c r="AC969" s="49"/>
    </row>
    <row r="970" spans="1:29" ht="13">
      <c r="A970" s="47"/>
      <c r="B970" s="47"/>
      <c r="C970" s="49"/>
      <c r="D970" s="49"/>
      <c r="E970" s="49"/>
      <c r="F970" s="49"/>
      <c r="G970" s="49"/>
      <c r="H970" s="173"/>
      <c r="I970" s="49"/>
      <c r="J970" s="49"/>
      <c r="K970" s="49"/>
      <c r="L970" s="49"/>
      <c r="M970" s="49"/>
      <c r="N970" s="49"/>
      <c r="O970" s="49"/>
      <c r="P970" s="49"/>
      <c r="Q970" s="49"/>
      <c r="R970" s="49"/>
      <c r="S970" s="49"/>
      <c r="T970" s="49"/>
      <c r="U970" s="49"/>
      <c r="V970" s="49"/>
      <c r="W970" s="49"/>
      <c r="X970" s="49"/>
      <c r="Y970" s="49"/>
      <c r="Z970" s="49"/>
      <c r="AA970" s="49"/>
      <c r="AB970" s="49"/>
      <c r="AC970" s="49"/>
    </row>
    <row r="971" spans="1:29" ht="13">
      <c r="A971" s="47"/>
      <c r="B971" s="47"/>
      <c r="C971" s="49"/>
      <c r="D971" s="49"/>
      <c r="E971" s="49"/>
      <c r="F971" s="49"/>
      <c r="G971" s="49"/>
      <c r="H971" s="173"/>
      <c r="I971" s="49"/>
      <c r="J971" s="49"/>
      <c r="K971" s="49"/>
      <c r="L971" s="49"/>
      <c r="M971" s="49"/>
      <c r="N971" s="49"/>
      <c r="O971" s="49"/>
      <c r="P971" s="49"/>
      <c r="Q971" s="49"/>
      <c r="R971" s="49"/>
      <c r="S971" s="49"/>
      <c r="T971" s="49"/>
      <c r="U971" s="49"/>
      <c r="V971" s="49"/>
      <c r="W971" s="49"/>
      <c r="X971" s="49"/>
      <c r="Y971" s="49"/>
      <c r="Z971" s="49"/>
      <c r="AA971" s="49"/>
      <c r="AB971" s="49"/>
      <c r="AC971" s="49"/>
    </row>
    <row r="972" spans="1:29" ht="13">
      <c r="A972" s="47"/>
      <c r="B972" s="47"/>
      <c r="C972" s="49"/>
      <c r="D972" s="49"/>
      <c r="E972" s="49"/>
      <c r="F972" s="49"/>
      <c r="G972" s="49"/>
      <c r="H972" s="173"/>
      <c r="I972" s="49"/>
      <c r="J972" s="49"/>
      <c r="K972" s="49"/>
      <c r="L972" s="49"/>
      <c r="M972" s="49"/>
      <c r="N972" s="49"/>
      <c r="O972" s="49"/>
      <c r="P972" s="49"/>
      <c r="Q972" s="49"/>
      <c r="R972" s="49"/>
      <c r="S972" s="49"/>
      <c r="T972" s="49"/>
      <c r="U972" s="49"/>
      <c r="V972" s="49"/>
      <c r="W972" s="49"/>
      <c r="X972" s="49"/>
      <c r="Y972" s="49"/>
      <c r="Z972" s="49"/>
      <c r="AA972" s="49"/>
      <c r="AB972" s="49"/>
      <c r="AC972" s="49"/>
    </row>
    <row r="973" spans="1:29" ht="13">
      <c r="A973" s="47"/>
      <c r="B973" s="47"/>
      <c r="C973" s="49"/>
      <c r="D973" s="49"/>
      <c r="E973" s="49"/>
      <c r="F973" s="49"/>
      <c r="G973" s="49"/>
      <c r="H973" s="173"/>
      <c r="I973" s="49"/>
      <c r="J973" s="49"/>
      <c r="K973" s="49"/>
      <c r="L973" s="49"/>
      <c r="M973" s="49"/>
      <c r="N973" s="49"/>
      <c r="O973" s="49"/>
      <c r="P973" s="49"/>
      <c r="Q973" s="49"/>
      <c r="R973" s="49"/>
      <c r="S973" s="49"/>
      <c r="T973" s="49"/>
      <c r="U973" s="49"/>
      <c r="V973" s="49"/>
      <c r="W973" s="49"/>
      <c r="X973" s="49"/>
      <c r="Y973" s="49"/>
      <c r="Z973" s="49"/>
      <c r="AA973" s="49"/>
      <c r="AB973" s="49"/>
      <c r="AC973" s="49"/>
    </row>
    <row r="974" spans="1:29" ht="13">
      <c r="A974" s="47"/>
      <c r="B974" s="47"/>
      <c r="C974" s="49"/>
      <c r="D974" s="49"/>
      <c r="E974" s="49"/>
      <c r="F974" s="49"/>
      <c r="G974" s="49"/>
      <c r="H974" s="173"/>
      <c r="I974" s="49"/>
      <c r="J974" s="49"/>
      <c r="K974" s="49"/>
      <c r="L974" s="49"/>
      <c r="M974" s="49"/>
      <c r="N974" s="49"/>
      <c r="O974" s="49"/>
      <c r="P974" s="49"/>
      <c r="Q974" s="49"/>
      <c r="R974" s="49"/>
      <c r="S974" s="49"/>
      <c r="T974" s="49"/>
      <c r="U974" s="49"/>
      <c r="V974" s="49"/>
      <c r="W974" s="49"/>
      <c r="X974" s="49"/>
      <c r="Y974" s="49"/>
      <c r="Z974" s="49"/>
      <c r="AA974" s="49"/>
      <c r="AB974" s="49"/>
      <c r="AC974" s="49"/>
    </row>
    <row r="975" spans="1:29" ht="13">
      <c r="A975" s="47"/>
      <c r="B975" s="47"/>
      <c r="C975" s="49"/>
      <c r="D975" s="49"/>
      <c r="E975" s="49"/>
      <c r="F975" s="49"/>
      <c r="G975" s="49"/>
      <c r="H975" s="173"/>
      <c r="I975" s="49"/>
      <c r="J975" s="49"/>
      <c r="K975" s="49"/>
      <c r="L975" s="49"/>
      <c r="M975" s="49"/>
      <c r="N975" s="49"/>
      <c r="O975" s="49"/>
      <c r="P975" s="49"/>
      <c r="Q975" s="49"/>
      <c r="R975" s="49"/>
      <c r="S975" s="49"/>
      <c r="T975" s="49"/>
      <c r="U975" s="49"/>
      <c r="V975" s="49"/>
      <c r="W975" s="49"/>
      <c r="X975" s="49"/>
      <c r="Y975" s="49"/>
      <c r="Z975" s="49"/>
      <c r="AA975" s="49"/>
      <c r="AB975" s="49"/>
      <c r="AC975" s="49"/>
    </row>
    <row r="976" spans="1:29" ht="13">
      <c r="A976" s="47"/>
      <c r="B976" s="47"/>
      <c r="C976" s="49"/>
      <c r="D976" s="49"/>
      <c r="E976" s="49"/>
      <c r="F976" s="49"/>
      <c r="G976" s="49"/>
      <c r="H976" s="173"/>
      <c r="I976" s="49"/>
      <c r="J976" s="49"/>
      <c r="K976" s="49"/>
      <c r="L976" s="49"/>
      <c r="M976" s="49"/>
      <c r="N976" s="49"/>
      <c r="O976" s="49"/>
      <c r="P976" s="49"/>
      <c r="Q976" s="49"/>
      <c r="R976" s="49"/>
      <c r="S976" s="49"/>
      <c r="T976" s="49"/>
      <c r="U976" s="49"/>
      <c r="V976" s="49"/>
      <c r="W976" s="49"/>
      <c r="X976" s="49"/>
      <c r="Y976" s="49"/>
      <c r="Z976" s="49"/>
      <c r="AA976" s="49"/>
      <c r="AB976" s="49"/>
      <c r="AC976" s="49"/>
    </row>
    <row r="977" spans="1:29" ht="13">
      <c r="A977" s="47"/>
      <c r="B977" s="47"/>
      <c r="C977" s="49"/>
      <c r="D977" s="49"/>
      <c r="E977" s="49"/>
      <c r="F977" s="49"/>
      <c r="G977" s="49"/>
      <c r="H977" s="173"/>
      <c r="I977" s="49"/>
      <c r="J977" s="49"/>
      <c r="K977" s="49"/>
      <c r="L977" s="49"/>
      <c r="M977" s="49"/>
      <c r="N977" s="49"/>
      <c r="O977" s="49"/>
      <c r="P977" s="49"/>
      <c r="Q977" s="49"/>
      <c r="R977" s="49"/>
      <c r="S977" s="49"/>
      <c r="T977" s="49"/>
      <c r="U977" s="49"/>
      <c r="V977" s="49"/>
      <c r="W977" s="49"/>
      <c r="X977" s="49"/>
      <c r="Y977" s="49"/>
      <c r="Z977" s="49"/>
      <c r="AA977" s="49"/>
      <c r="AB977" s="49"/>
      <c r="AC977" s="49"/>
    </row>
    <row r="978" spans="1:29" ht="13">
      <c r="A978" s="47"/>
      <c r="B978" s="47"/>
      <c r="C978" s="49"/>
      <c r="D978" s="49"/>
      <c r="E978" s="49"/>
      <c r="F978" s="49"/>
      <c r="G978" s="49"/>
      <c r="H978" s="173"/>
      <c r="I978" s="49"/>
      <c r="J978" s="49"/>
      <c r="K978" s="49"/>
      <c r="L978" s="49"/>
      <c r="M978" s="49"/>
      <c r="N978" s="49"/>
      <c r="O978" s="49"/>
      <c r="P978" s="49"/>
      <c r="Q978" s="49"/>
      <c r="R978" s="49"/>
      <c r="S978" s="49"/>
      <c r="T978" s="49"/>
      <c r="U978" s="49"/>
      <c r="V978" s="49"/>
      <c r="W978" s="49"/>
      <c r="X978" s="49"/>
      <c r="Y978" s="49"/>
      <c r="Z978" s="49"/>
      <c r="AA978" s="49"/>
      <c r="AB978" s="49"/>
      <c r="AC978" s="49"/>
    </row>
    <row r="979" spans="1:29" ht="13">
      <c r="A979" s="47"/>
      <c r="B979" s="47"/>
      <c r="C979" s="49"/>
      <c r="D979" s="49"/>
      <c r="E979" s="49"/>
      <c r="F979" s="49"/>
      <c r="G979" s="49"/>
      <c r="H979" s="173"/>
      <c r="I979" s="49"/>
      <c r="J979" s="49"/>
      <c r="K979" s="49"/>
      <c r="L979" s="49"/>
      <c r="M979" s="49"/>
      <c r="N979" s="49"/>
      <c r="O979" s="49"/>
      <c r="P979" s="49"/>
      <c r="Q979" s="49"/>
      <c r="R979" s="49"/>
      <c r="S979" s="49"/>
      <c r="T979" s="49"/>
      <c r="U979" s="49"/>
      <c r="V979" s="49"/>
      <c r="W979" s="49"/>
      <c r="X979" s="49"/>
      <c r="Y979" s="49"/>
      <c r="Z979" s="49"/>
      <c r="AA979" s="49"/>
      <c r="AB979" s="49"/>
      <c r="AC979" s="49"/>
    </row>
    <row r="980" spans="1:29" ht="13">
      <c r="A980" s="47"/>
      <c r="B980" s="47"/>
      <c r="C980" s="49"/>
      <c r="D980" s="49"/>
      <c r="E980" s="49"/>
      <c r="F980" s="49"/>
      <c r="G980" s="49"/>
      <c r="H980" s="173"/>
      <c r="I980" s="49"/>
      <c r="J980" s="49"/>
      <c r="K980" s="49"/>
      <c r="L980" s="49"/>
      <c r="M980" s="49"/>
      <c r="N980" s="49"/>
      <c r="O980" s="49"/>
      <c r="P980" s="49"/>
      <c r="Q980" s="49"/>
      <c r="R980" s="49"/>
      <c r="S980" s="49"/>
      <c r="T980" s="49"/>
      <c r="U980" s="49"/>
      <c r="V980" s="49"/>
      <c r="W980" s="49"/>
      <c r="X980" s="49"/>
      <c r="Y980" s="49"/>
      <c r="Z980" s="49"/>
      <c r="AA980" s="49"/>
      <c r="AB980" s="49"/>
      <c r="AC980" s="49"/>
    </row>
    <row r="981" spans="1:29" ht="13">
      <c r="A981" s="47"/>
      <c r="B981" s="47"/>
      <c r="C981" s="49"/>
      <c r="D981" s="49"/>
      <c r="E981" s="49"/>
      <c r="F981" s="49"/>
      <c r="G981" s="49"/>
      <c r="H981" s="173"/>
      <c r="I981" s="49"/>
      <c r="J981" s="49"/>
      <c r="K981" s="49"/>
      <c r="L981" s="49"/>
      <c r="M981" s="49"/>
      <c r="N981" s="49"/>
      <c r="O981" s="49"/>
      <c r="P981" s="49"/>
      <c r="Q981" s="49"/>
      <c r="R981" s="49"/>
      <c r="S981" s="49"/>
      <c r="T981" s="49"/>
      <c r="U981" s="49"/>
      <c r="V981" s="49"/>
      <c r="W981" s="49"/>
      <c r="X981" s="49"/>
      <c r="Y981" s="49"/>
      <c r="Z981" s="49"/>
      <c r="AA981" s="49"/>
      <c r="AB981" s="49"/>
      <c r="AC981" s="49"/>
    </row>
    <row r="982" spans="1:29" ht="13">
      <c r="A982" s="47"/>
      <c r="B982" s="47"/>
      <c r="C982" s="49"/>
      <c r="D982" s="49"/>
      <c r="E982" s="49"/>
      <c r="F982" s="49"/>
      <c r="G982" s="49"/>
      <c r="H982" s="173"/>
      <c r="I982" s="49"/>
      <c r="J982" s="49"/>
      <c r="K982" s="49"/>
      <c r="L982" s="49"/>
      <c r="M982" s="49"/>
      <c r="N982" s="49"/>
      <c r="O982" s="49"/>
      <c r="P982" s="49"/>
      <c r="Q982" s="49"/>
      <c r="R982" s="49"/>
      <c r="S982" s="49"/>
      <c r="T982" s="49"/>
      <c r="U982" s="49"/>
      <c r="V982" s="49"/>
      <c r="W982" s="49"/>
      <c r="X982" s="49"/>
      <c r="Y982" s="49"/>
      <c r="Z982" s="49"/>
      <c r="AA982" s="49"/>
      <c r="AB982" s="49"/>
      <c r="AC982" s="49"/>
    </row>
    <row r="983" spans="1:29" ht="13">
      <c r="A983" s="47"/>
      <c r="B983" s="47"/>
      <c r="C983" s="49"/>
      <c r="D983" s="49"/>
      <c r="E983" s="49"/>
      <c r="F983" s="49"/>
      <c r="G983" s="49"/>
      <c r="H983" s="173"/>
      <c r="I983" s="49"/>
      <c r="J983" s="49"/>
      <c r="K983" s="49"/>
      <c r="L983" s="49"/>
      <c r="M983" s="49"/>
      <c r="N983" s="49"/>
      <c r="O983" s="49"/>
      <c r="P983" s="49"/>
      <c r="Q983" s="49"/>
      <c r="R983" s="49"/>
      <c r="S983" s="49"/>
      <c r="T983" s="49"/>
      <c r="U983" s="49"/>
      <c r="V983" s="49"/>
      <c r="W983" s="49"/>
      <c r="X983" s="49"/>
      <c r="Y983" s="49"/>
      <c r="Z983" s="49"/>
      <c r="AA983" s="49"/>
      <c r="AB983" s="49"/>
      <c r="AC983" s="49"/>
    </row>
    <row r="984" spans="1:29" ht="13">
      <c r="A984" s="47"/>
      <c r="B984" s="47"/>
      <c r="C984" s="49"/>
      <c r="D984" s="49"/>
      <c r="E984" s="49"/>
      <c r="F984" s="49"/>
      <c r="G984" s="49"/>
      <c r="H984" s="173"/>
      <c r="I984" s="49"/>
      <c r="J984" s="49"/>
      <c r="K984" s="49"/>
      <c r="L984" s="49"/>
      <c r="M984" s="49"/>
      <c r="N984" s="49"/>
      <c r="O984" s="49"/>
      <c r="P984" s="49"/>
      <c r="Q984" s="49"/>
      <c r="R984" s="49"/>
      <c r="S984" s="49"/>
      <c r="T984" s="49"/>
      <c r="U984" s="49"/>
      <c r="V984" s="49"/>
      <c r="W984" s="49"/>
      <c r="X984" s="49"/>
      <c r="Y984" s="49"/>
      <c r="Z984" s="49"/>
      <c r="AA984" s="49"/>
      <c r="AB984" s="49"/>
      <c r="AC984" s="49"/>
    </row>
    <row r="985" spans="1:29" ht="13">
      <c r="A985" s="47"/>
      <c r="B985" s="47"/>
      <c r="C985" s="49"/>
      <c r="D985" s="49"/>
      <c r="E985" s="49"/>
      <c r="F985" s="49"/>
      <c r="G985" s="49"/>
      <c r="H985" s="173"/>
      <c r="I985" s="49"/>
      <c r="J985" s="49"/>
      <c r="K985" s="49"/>
      <c r="L985" s="49"/>
      <c r="M985" s="49"/>
      <c r="N985" s="49"/>
      <c r="O985" s="49"/>
      <c r="P985" s="49"/>
      <c r="Q985" s="49"/>
      <c r="R985" s="49"/>
      <c r="S985" s="49"/>
      <c r="T985" s="49"/>
      <c r="U985" s="49"/>
      <c r="V985" s="49"/>
      <c r="W985" s="49"/>
      <c r="X985" s="49"/>
      <c r="Y985" s="49"/>
      <c r="Z985" s="49"/>
      <c r="AA985" s="49"/>
      <c r="AB985" s="49"/>
      <c r="AC985" s="49"/>
    </row>
    <row r="986" spans="1:29" ht="13">
      <c r="A986" s="47"/>
      <c r="B986" s="47"/>
      <c r="C986" s="49"/>
      <c r="D986" s="49"/>
      <c r="E986" s="49"/>
      <c r="F986" s="49"/>
      <c r="G986" s="49"/>
      <c r="H986" s="173"/>
      <c r="I986" s="49"/>
      <c r="J986" s="49"/>
      <c r="K986" s="49"/>
      <c r="L986" s="49"/>
      <c r="M986" s="49"/>
      <c r="N986" s="49"/>
      <c r="O986" s="49"/>
      <c r="P986" s="49"/>
      <c r="Q986" s="49"/>
      <c r="R986" s="49"/>
      <c r="S986" s="49"/>
      <c r="T986" s="49"/>
      <c r="U986" s="49"/>
      <c r="V986" s="49"/>
      <c r="W986" s="49"/>
      <c r="X986" s="49"/>
      <c r="Y986" s="49"/>
      <c r="Z986" s="49"/>
      <c r="AA986" s="49"/>
      <c r="AB986" s="49"/>
      <c r="AC986" s="49"/>
    </row>
    <row r="987" spans="1:29" ht="13">
      <c r="A987" s="47"/>
      <c r="B987" s="47"/>
      <c r="C987" s="49"/>
      <c r="D987" s="49"/>
      <c r="E987" s="49"/>
      <c r="F987" s="49"/>
      <c r="G987" s="49"/>
      <c r="H987" s="173"/>
      <c r="I987" s="49"/>
      <c r="J987" s="49"/>
      <c r="K987" s="49"/>
      <c r="L987" s="49"/>
      <c r="M987" s="49"/>
      <c r="N987" s="49"/>
      <c r="O987" s="49"/>
      <c r="P987" s="49"/>
      <c r="Q987" s="49"/>
      <c r="R987" s="49"/>
      <c r="S987" s="49"/>
      <c r="T987" s="49"/>
      <c r="U987" s="49"/>
      <c r="V987" s="49"/>
      <c r="W987" s="49"/>
      <c r="X987" s="49"/>
      <c r="Y987" s="49"/>
      <c r="Z987" s="49"/>
      <c r="AA987" s="49"/>
      <c r="AB987" s="49"/>
      <c r="AC987" s="49"/>
    </row>
    <row r="988" spans="1:29" ht="13">
      <c r="A988" s="47"/>
      <c r="B988" s="47"/>
      <c r="C988" s="49"/>
      <c r="D988" s="49"/>
      <c r="E988" s="49"/>
      <c r="F988" s="49"/>
      <c r="G988" s="49"/>
      <c r="H988" s="173"/>
      <c r="I988" s="49"/>
      <c r="J988" s="49"/>
      <c r="K988" s="49"/>
      <c r="L988" s="49"/>
      <c r="M988" s="49"/>
      <c r="N988" s="49"/>
      <c r="O988" s="49"/>
      <c r="P988" s="49"/>
      <c r="Q988" s="49"/>
      <c r="R988" s="49"/>
      <c r="S988" s="49"/>
      <c r="T988" s="49"/>
      <c r="U988" s="49"/>
      <c r="V988" s="49"/>
      <c r="W988" s="49"/>
      <c r="X988" s="49"/>
      <c r="Y988" s="49"/>
      <c r="Z988" s="49"/>
      <c r="AA988" s="49"/>
      <c r="AB988" s="49"/>
      <c r="AC988" s="49"/>
    </row>
    <row r="989" spans="1:29" ht="13">
      <c r="A989" s="47"/>
      <c r="B989" s="47"/>
      <c r="C989" s="49"/>
      <c r="D989" s="49"/>
      <c r="E989" s="49"/>
      <c r="F989" s="49"/>
      <c r="G989" s="49"/>
      <c r="H989" s="173"/>
      <c r="I989" s="49"/>
      <c r="J989" s="49"/>
      <c r="K989" s="49"/>
      <c r="L989" s="49"/>
      <c r="M989" s="49"/>
      <c r="N989" s="49"/>
      <c r="O989" s="49"/>
      <c r="P989" s="49"/>
      <c r="Q989" s="49"/>
      <c r="R989" s="49"/>
      <c r="S989" s="49"/>
      <c r="T989" s="49"/>
      <c r="U989" s="49"/>
      <c r="V989" s="49"/>
      <c r="W989" s="49"/>
      <c r="X989" s="49"/>
      <c r="Y989" s="49"/>
      <c r="Z989" s="49"/>
      <c r="AA989" s="49"/>
      <c r="AB989" s="49"/>
      <c r="AC989" s="49"/>
    </row>
    <row r="990" spans="1:29" ht="13">
      <c r="A990" s="47"/>
      <c r="B990" s="47"/>
      <c r="C990" s="49"/>
      <c r="D990" s="49"/>
      <c r="E990" s="49"/>
      <c r="F990" s="49"/>
      <c r="G990" s="49"/>
      <c r="H990" s="173"/>
      <c r="I990" s="49"/>
      <c r="J990" s="49"/>
      <c r="K990" s="49"/>
      <c r="L990" s="49"/>
      <c r="M990" s="49"/>
      <c r="N990" s="49"/>
      <c r="O990" s="49"/>
      <c r="P990" s="49"/>
      <c r="Q990" s="49"/>
      <c r="R990" s="49"/>
      <c r="S990" s="49"/>
      <c r="T990" s="49"/>
      <c r="U990" s="49"/>
      <c r="V990" s="49"/>
      <c r="W990" s="49"/>
      <c r="X990" s="49"/>
      <c r="Y990" s="49"/>
      <c r="Z990" s="49"/>
      <c r="AA990" s="49"/>
      <c r="AB990" s="49"/>
      <c r="AC990" s="49"/>
    </row>
    <row r="991" spans="1:29" ht="13">
      <c r="A991" s="47"/>
      <c r="B991" s="47"/>
      <c r="C991" s="49"/>
      <c r="D991" s="49"/>
      <c r="E991" s="49"/>
      <c r="F991" s="49"/>
      <c r="G991" s="49"/>
      <c r="H991" s="173"/>
      <c r="I991" s="49"/>
      <c r="J991" s="49"/>
      <c r="K991" s="49"/>
      <c r="L991" s="49"/>
      <c r="M991" s="49"/>
      <c r="N991" s="49"/>
      <c r="O991" s="49"/>
      <c r="P991" s="49"/>
      <c r="Q991" s="49"/>
      <c r="R991" s="49"/>
      <c r="S991" s="49"/>
      <c r="T991" s="49"/>
      <c r="U991" s="49"/>
      <c r="V991" s="49"/>
      <c r="W991" s="49"/>
      <c r="X991" s="49"/>
      <c r="Y991" s="49"/>
      <c r="Z991" s="49"/>
      <c r="AA991" s="49"/>
      <c r="AB991" s="49"/>
      <c r="AC991" s="49"/>
    </row>
    <row r="992" spans="1:29" ht="13">
      <c r="A992" s="47"/>
      <c r="B992" s="47"/>
      <c r="C992" s="49"/>
      <c r="D992" s="49"/>
      <c r="E992" s="49"/>
      <c r="F992" s="49"/>
      <c r="G992" s="49"/>
      <c r="H992" s="173"/>
      <c r="I992" s="49"/>
      <c r="J992" s="49"/>
      <c r="K992" s="49"/>
      <c r="L992" s="49"/>
      <c r="M992" s="49"/>
      <c r="N992" s="49"/>
      <c r="O992" s="49"/>
      <c r="P992" s="49"/>
      <c r="Q992" s="49"/>
      <c r="R992" s="49"/>
      <c r="S992" s="49"/>
      <c r="T992" s="49"/>
      <c r="U992" s="49"/>
      <c r="V992" s="49"/>
      <c r="W992" s="49"/>
      <c r="X992" s="49"/>
      <c r="Y992" s="49"/>
      <c r="Z992" s="49"/>
      <c r="AA992" s="49"/>
      <c r="AB992" s="49"/>
      <c r="AC992" s="49"/>
    </row>
    <row r="993" spans="1:29" ht="13">
      <c r="A993" s="47"/>
      <c r="B993" s="47"/>
      <c r="C993" s="49"/>
      <c r="D993" s="49"/>
      <c r="E993" s="49"/>
      <c r="F993" s="49"/>
      <c r="G993" s="49"/>
      <c r="H993" s="173"/>
      <c r="I993" s="49"/>
      <c r="J993" s="49"/>
      <c r="K993" s="49"/>
      <c r="L993" s="49"/>
      <c r="M993" s="49"/>
      <c r="N993" s="49"/>
      <c r="O993" s="49"/>
      <c r="P993" s="49"/>
      <c r="Q993" s="49"/>
      <c r="R993" s="49"/>
      <c r="S993" s="49"/>
      <c r="T993" s="49"/>
      <c r="U993" s="49"/>
      <c r="V993" s="49"/>
      <c r="W993" s="49"/>
      <c r="X993" s="49"/>
      <c r="Y993" s="49"/>
      <c r="Z993" s="49"/>
      <c r="AA993" s="49"/>
      <c r="AB993" s="49"/>
      <c r="AC993" s="49"/>
    </row>
    <row r="994" spans="1:29" ht="13">
      <c r="A994" s="47"/>
      <c r="B994" s="47"/>
      <c r="C994" s="49"/>
      <c r="D994" s="49"/>
      <c r="E994" s="49"/>
      <c r="F994" s="49"/>
      <c r="G994" s="49"/>
      <c r="H994" s="173"/>
      <c r="I994" s="49"/>
      <c r="J994" s="49"/>
      <c r="K994" s="49"/>
      <c r="L994" s="49"/>
      <c r="M994" s="49"/>
      <c r="N994" s="49"/>
      <c r="O994" s="49"/>
      <c r="P994" s="49"/>
      <c r="Q994" s="49"/>
      <c r="R994" s="49"/>
      <c r="S994" s="49"/>
      <c r="T994" s="49"/>
      <c r="U994" s="49"/>
      <c r="V994" s="49"/>
      <c r="W994" s="49"/>
      <c r="X994" s="49"/>
      <c r="Y994" s="49"/>
      <c r="Z994" s="49"/>
      <c r="AA994" s="49"/>
      <c r="AB994" s="49"/>
      <c r="AC994" s="49"/>
    </row>
    <row r="995" spans="1:29" ht="13">
      <c r="A995" s="47"/>
      <c r="B995" s="47"/>
      <c r="C995" s="49"/>
      <c r="D995" s="49"/>
      <c r="E995" s="49"/>
      <c r="F995" s="49"/>
      <c r="G995" s="49"/>
      <c r="H995" s="173"/>
      <c r="I995" s="49"/>
      <c r="J995" s="49"/>
      <c r="K995" s="49"/>
      <c r="L995" s="49"/>
      <c r="M995" s="49"/>
      <c r="N995" s="49"/>
      <c r="O995" s="49"/>
      <c r="P995" s="49"/>
      <c r="Q995" s="49"/>
      <c r="R995" s="49"/>
      <c r="S995" s="49"/>
      <c r="T995" s="49"/>
      <c r="U995" s="49"/>
      <c r="V995" s="49"/>
      <c r="W995" s="49"/>
      <c r="X995" s="49"/>
      <c r="Y995" s="49"/>
      <c r="Z995" s="49"/>
      <c r="AA995" s="49"/>
      <c r="AB995" s="49"/>
      <c r="AC995" s="49"/>
    </row>
    <row r="996" spans="1:29" ht="13">
      <c r="A996" s="47"/>
      <c r="B996" s="47"/>
      <c r="C996" s="49"/>
      <c r="D996" s="49"/>
      <c r="E996" s="49"/>
      <c r="F996" s="49"/>
      <c r="G996" s="49"/>
      <c r="H996" s="173"/>
      <c r="I996" s="49"/>
      <c r="J996" s="49"/>
      <c r="K996" s="49"/>
      <c r="L996" s="49"/>
      <c r="M996" s="49"/>
      <c r="N996" s="49"/>
      <c r="O996" s="49"/>
      <c r="P996" s="49"/>
      <c r="Q996" s="49"/>
      <c r="R996" s="49"/>
      <c r="S996" s="49"/>
      <c r="T996" s="49"/>
      <c r="U996" s="49"/>
      <c r="V996" s="49"/>
      <c r="W996" s="49"/>
      <c r="X996" s="49"/>
      <c r="Y996" s="49"/>
      <c r="Z996" s="49"/>
      <c r="AA996" s="49"/>
      <c r="AB996" s="49"/>
      <c r="AC996" s="49"/>
    </row>
    <row r="997" spans="1:29" ht="13">
      <c r="A997" s="47"/>
      <c r="B997" s="47"/>
      <c r="C997" s="49"/>
      <c r="D997" s="49"/>
      <c r="E997" s="49"/>
      <c r="F997" s="49"/>
      <c r="G997" s="49"/>
      <c r="H997" s="173"/>
      <c r="I997" s="49"/>
      <c r="J997" s="49"/>
      <c r="K997" s="49"/>
      <c r="L997" s="49"/>
      <c r="M997" s="49"/>
      <c r="N997" s="49"/>
      <c r="O997" s="49"/>
      <c r="P997" s="49"/>
      <c r="Q997" s="49"/>
      <c r="R997" s="49"/>
      <c r="S997" s="49"/>
      <c r="T997" s="49"/>
      <c r="U997" s="49"/>
      <c r="V997" s="49"/>
      <c r="W997" s="49"/>
      <c r="X997" s="49"/>
      <c r="Y997" s="49"/>
      <c r="Z997" s="49"/>
      <c r="AA997" s="49"/>
      <c r="AB997" s="49"/>
      <c r="AC997" s="49"/>
    </row>
    <row r="998" spans="1:29" ht="13">
      <c r="A998" s="47"/>
      <c r="B998" s="47"/>
      <c r="C998" s="49"/>
      <c r="D998" s="49"/>
      <c r="E998" s="49"/>
      <c r="F998" s="49"/>
      <c r="G998" s="49"/>
      <c r="H998" s="173"/>
      <c r="I998" s="49"/>
      <c r="J998" s="49"/>
      <c r="K998" s="49"/>
      <c r="L998" s="49"/>
      <c r="M998" s="49"/>
      <c r="N998" s="49"/>
      <c r="O998" s="49"/>
      <c r="P998" s="49"/>
      <c r="Q998" s="49"/>
      <c r="R998" s="49"/>
      <c r="S998" s="49"/>
      <c r="T998" s="49"/>
      <c r="U998" s="49"/>
      <c r="V998" s="49"/>
      <c r="W998" s="49"/>
      <c r="X998" s="49"/>
      <c r="Y998" s="49"/>
      <c r="Z998" s="49"/>
      <c r="AA998" s="49"/>
      <c r="AB998" s="49"/>
      <c r="AC998" s="49"/>
    </row>
    <row r="999" spans="1:29" ht="13">
      <c r="A999" s="47"/>
      <c r="B999" s="47"/>
      <c r="C999" s="49"/>
      <c r="D999" s="49"/>
      <c r="E999" s="49"/>
      <c r="F999" s="49"/>
      <c r="G999" s="49"/>
      <c r="H999" s="173"/>
      <c r="I999" s="49"/>
      <c r="J999" s="49"/>
      <c r="K999" s="49"/>
      <c r="L999" s="49"/>
      <c r="M999" s="49"/>
      <c r="N999" s="49"/>
      <c r="O999" s="49"/>
      <c r="P999" s="49"/>
      <c r="Q999" s="49"/>
      <c r="R999" s="49"/>
      <c r="S999" s="49"/>
      <c r="T999" s="49"/>
      <c r="U999" s="49"/>
      <c r="V999" s="49"/>
      <c r="W999" s="49"/>
      <c r="X999" s="49"/>
      <c r="Y999" s="49"/>
      <c r="Z999" s="49"/>
      <c r="AA999" s="49"/>
      <c r="AB999" s="49"/>
      <c r="AC999" s="49"/>
    </row>
    <row r="1000" spans="1:29" ht="13">
      <c r="A1000" s="47"/>
      <c r="B1000" s="47"/>
      <c r="C1000" s="49"/>
      <c r="D1000" s="49"/>
      <c r="E1000" s="49"/>
      <c r="F1000" s="49"/>
      <c r="G1000" s="49"/>
      <c r="H1000" s="173"/>
      <c r="I1000" s="49"/>
      <c r="J1000" s="49"/>
      <c r="K1000" s="49"/>
      <c r="L1000" s="49"/>
      <c r="M1000" s="49"/>
      <c r="N1000" s="49"/>
      <c r="O1000" s="49"/>
      <c r="P1000" s="49"/>
      <c r="Q1000" s="49"/>
      <c r="R1000" s="49"/>
      <c r="S1000" s="49"/>
      <c r="T1000" s="49"/>
      <c r="U1000" s="49"/>
      <c r="V1000" s="49"/>
      <c r="W1000" s="49"/>
      <c r="X1000" s="49"/>
      <c r="Y1000" s="49"/>
      <c r="Z1000" s="49"/>
      <c r="AA1000" s="49"/>
      <c r="AB1000" s="49"/>
      <c r="AC1000" s="49"/>
    </row>
    <row r="1001" spans="1:29" ht="13">
      <c r="A1001" s="47"/>
      <c r="B1001" s="47"/>
      <c r="C1001" s="49"/>
      <c r="D1001" s="49"/>
      <c r="E1001" s="49"/>
      <c r="F1001" s="49"/>
      <c r="G1001" s="49"/>
      <c r="H1001" s="173"/>
      <c r="I1001" s="49"/>
      <c r="J1001" s="49"/>
      <c r="K1001" s="49"/>
      <c r="L1001" s="49"/>
      <c r="M1001" s="49"/>
      <c r="N1001" s="49"/>
      <c r="O1001" s="49"/>
      <c r="P1001" s="49"/>
      <c r="Q1001" s="49"/>
      <c r="R1001" s="49"/>
      <c r="S1001" s="49"/>
      <c r="T1001" s="49"/>
      <c r="U1001" s="49"/>
      <c r="V1001" s="49"/>
      <c r="W1001" s="49"/>
      <c r="X1001" s="49"/>
      <c r="Y1001" s="49"/>
      <c r="Z1001" s="49"/>
      <c r="AA1001" s="49"/>
      <c r="AB1001" s="49"/>
      <c r="AC1001" s="4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M9"/>
  <sheetViews>
    <sheetView workbookViewId="0">
      <pane ySplit="1" topLeftCell="A2" activePane="bottomLeft" state="frozen"/>
      <selection pane="bottomLeft" activeCell="B3" sqref="B3"/>
    </sheetView>
  </sheetViews>
  <sheetFormatPr baseColWidth="10" defaultColWidth="14.5" defaultRowHeight="15.75" customHeight="1"/>
  <cols>
    <col min="1" max="19" width="21.5" customWidth="1"/>
  </cols>
  <sheetData>
    <row r="1" spans="1:13" ht="15.75" customHeight="1">
      <c r="A1" t="s">
        <v>58</v>
      </c>
      <c r="B1" s="109" t="s">
        <v>3112</v>
      </c>
      <c r="C1" s="109" t="s">
        <v>3113</v>
      </c>
      <c r="D1" s="109" t="s">
        <v>3114</v>
      </c>
      <c r="E1" s="109" t="s">
        <v>3115</v>
      </c>
      <c r="F1" s="109" t="s">
        <v>3116</v>
      </c>
      <c r="G1" s="109" t="s">
        <v>3117</v>
      </c>
      <c r="H1" s="109" t="s">
        <v>3118</v>
      </c>
      <c r="I1" s="109" t="s">
        <v>3119</v>
      </c>
      <c r="J1" s="109" t="s">
        <v>3120</v>
      </c>
      <c r="K1" s="109" t="s">
        <v>3120</v>
      </c>
      <c r="L1" s="109" t="s">
        <v>3121</v>
      </c>
      <c r="M1" s="109" t="s">
        <v>3122</v>
      </c>
    </row>
    <row r="2" spans="1:13" ht="15.75" customHeight="1">
      <c r="A2" s="146">
        <v>43819.63180988426</v>
      </c>
      <c r="B2" s="109" t="s">
        <v>111</v>
      </c>
      <c r="C2" s="109" t="s">
        <v>251</v>
      </c>
      <c r="D2" s="109" t="s">
        <v>3123</v>
      </c>
      <c r="E2" s="109" t="s">
        <v>3124</v>
      </c>
      <c r="G2" s="109" t="s">
        <v>3125</v>
      </c>
      <c r="H2" s="109" t="s">
        <v>3125</v>
      </c>
      <c r="K2" s="109">
        <v>4</v>
      </c>
    </row>
    <row r="3" spans="1:13" ht="15.75" customHeight="1">
      <c r="A3" s="146">
        <v>43819.649282118058</v>
      </c>
      <c r="B3" s="109" t="s">
        <v>134</v>
      </c>
      <c r="C3" s="109" t="s">
        <v>400</v>
      </c>
      <c r="D3" s="109" t="s">
        <v>3126</v>
      </c>
      <c r="E3" s="109" t="s">
        <v>3127</v>
      </c>
    </row>
    <row r="4" spans="1:13" ht="15.75" customHeight="1">
      <c r="A4" s="146">
        <v>43822.484870601853</v>
      </c>
      <c r="B4" s="109" t="s">
        <v>111</v>
      </c>
      <c r="C4" s="109" t="s">
        <v>400</v>
      </c>
      <c r="D4" s="109" t="s">
        <v>3128</v>
      </c>
      <c r="E4" s="109" t="s">
        <v>3124</v>
      </c>
      <c r="G4" s="109" t="s">
        <v>3129</v>
      </c>
      <c r="H4" s="109" t="s">
        <v>3129</v>
      </c>
      <c r="I4" s="109" t="s">
        <v>3130</v>
      </c>
      <c r="K4" s="165" t="s">
        <v>3131</v>
      </c>
    </row>
    <row r="5" spans="1:13" ht="15.75" customHeight="1">
      <c r="A5" s="146">
        <v>43822.486368564816</v>
      </c>
      <c r="B5" s="109" t="s">
        <v>111</v>
      </c>
      <c r="C5" s="109" t="s">
        <v>400</v>
      </c>
      <c r="D5" s="109" t="s">
        <v>3132</v>
      </c>
      <c r="E5" s="109" t="s">
        <v>3124</v>
      </c>
      <c r="G5" s="109" t="s">
        <v>3129</v>
      </c>
      <c r="H5" s="109" t="s">
        <v>3133</v>
      </c>
      <c r="I5" s="109" t="s">
        <v>3134</v>
      </c>
      <c r="K5" s="165" t="s">
        <v>3131</v>
      </c>
    </row>
    <row r="6" spans="1:13" ht="15.75" customHeight="1">
      <c r="A6" s="146">
        <v>43837.647478935185</v>
      </c>
      <c r="B6" s="109" t="s">
        <v>24</v>
      </c>
      <c r="C6" s="109" t="s">
        <v>251</v>
      </c>
      <c r="D6" s="109" t="s">
        <v>255</v>
      </c>
      <c r="E6" s="109" t="s">
        <v>3124</v>
      </c>
      <c r="G6" s="109" t="s">
        <v>3135</v>
      </c>
      <c r="H6" s="109" t="s">
        <v>3135</v>
      </c>
      <c r="K6" s="165" t="s">
        <v>3136</v>
      </c>
    </row>
    <row r="7" spans="1:13" ht="15.75" customHeight="1">
      <c r="A7" s="146">
        <v>43852.422557604164</v>
      </c>
      <c r="B7" s="109" t="s">
        <v>3137</v>
      </c>
      <c r="C7" s="109" t="s">
        <v>251</v>
      </c>
      <c r="D7" s="109" t="s">
        <v>236</v>
      </c>
      <c r="E7" s="109" t="s">
        <v>3138</v>
      </c>
      <c r="F7" s="109" t="s">
        <v>3139</v>
      </c>
      <c r="G7" s="109" t="s">
        <v>3140</v>
      </c>
      <c r="H7" s="109" t="s">
        <v>3140</v>
      </c>
      <c r="I7" s="109" t="s">
        <v>3141</v>
      </c>
      <c r="J7" s="109">
        <v>2</v>
      </c>
      <c r="K7" s="109" t="s">
        <v>3142</v>
      </c>
    </row>
    <row r="8" spans="1:13" ht="15.75" customHeight="1">
      <c r="A8" s="146">
        <v>43853.478791886577</v>
      </c>
      <c r="B8" s="109" t="s">
        <v>243</v>
      </c>
      <c r="C8" s="109" t="s">
        <v>251</v>
      </c>
      <c r="D8" s="109" t="s">
        <v>241</v>
      </c>
      <c r="E8" s="109" t="s">
        <v>3127</v>
      </c>
    </row>
    <row r="9" spans="1:13" ht="15.75" customHeight="1">
      <c r="A9" s="146">
        <v>43853.47901505787</v>
      </c>
      <c r="B9" s="109" t="s">
        <v>243</v>
      </c>
      <c r="C9" s="109" t="s">
        <v>400</v>
      </c>
      <c r="D9" s="109" t="s">
        <v>3143</v>
      </c>
      <c r="E9" s="109" t="s">
        <v>3127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pageSetUpPr fitToPage="1"/>
  </sheetPr>
  <dimension ref="A1:AO989"/>
  <sheetViews>
    <sheetView workbookViewId="0">
      <pane ySplit="2" topLeftCell="A3" activePane="bottomLeft" state="frozen"/>
      <selection pane="bottomLeft" activeCell="B4" sqref="B4"/>
    </sheetView>
  </sheetViews>
  <sheetFormatPr baseColWidth="10" defaultColWidth="14.5" defaultRowHeight="15.75" customHeight="1"/>
  <cols>
    <col min="1" max="1" width="20.33203125" customWidth="1"/>
    <col min="2" max="2" width="16.5" customWidth="1"/>
    <col min="3" max="3" width="11" customWidth="1"/>
    <col min="4" max="4" width="11.1640625" customWidth="1"/>
    <col min="5" max="5" width="11" customWidth="1"/>
    <col min="6" max="6" width="12.6640625" customWidth="1"/>
    <col min="7" max="7" width="21.33203125" customWidth="1"/>
    <col min="8" max="8" width="18.5" customWidth="1"/>
    <col min="9" max="9" width="16.6640625" customWidth="1"/>
    <col min="10" max="11" width="18.5" customWidth="1"/>
    <col min="12" max="12" width="27.83203125" customWidth="1"/>
    <col min="13" max="13" width="28.1640625" customWidth="1"/>
    <col min="14" max="14" width="27.6640625" customWidth="1"/>
    <col min="15" max="15" width="24.5" customWidth="1"/>
    <col min="16" max="16" width="32.1640625" customWidth="1"/>
    <col min="17" max="17" width="16.5" customWidth="1"/>
    <col min="18" max="18" width="13.83203125" customWidth="1"/>
    <col min="19" max="19" width="16.83203125" customWidth="1"/>
    <col min="20" max="20" width="12.6640625" customWidth="1"/>
    <col min="21" max="21" width="101.5" customWidth="1"/>
    <col min="22" max="22" width="11.6640625" customWidth="1"/>
    <col min="23" max="23" width="110.33203125" customWidth="1"/>
    <col min="24" max="24" width="74.6640625" customWidth="1"/>
    <col min="25" max="25" width="119.6640625" customWidth="1"/>
    <col min="26" max="26" width="19.83203125" customWidth="1"/>
    <col min="28" max="28" width="57.6640625" customWidth="1"/>
    <col min="29" max="29" width="65.5" customWidth="1"/>
    <col min="30" max="30" width="32.5" customWidth="1"/>
    <col min="31" max="31" width="42.33203125" customWidth="1"/>
    <col min="32" max="32" width="94.83203125" customWidth="1"/>
  </cols>
  <sheetData>
    <row r="1" spans="1:41" ht="30">
      <c r="A1" s="2"/>
      <c r="B1" s="177" t="s">
        <v>7</v>
      </c>
      <c r="C1" s="178"/>
      <c r="D1" s="178"/>
      <c r="E1" s="178"/>
      <c r="F1" s="178"/>
      <c r="G1" s="178"/>
      <c r="H1" s="179"/>
      <c r="I1" s="21"/>
      <c r="J1" s="177" t="s">
        <v>32</v>
      </c>
      <c r="K1" s="179"/>
      <c r="L1" s="177" t="s">
        <v>38</v>
      </c>
      <c r="M1" s="178"/>
      <c r="N1" s="179"/>
      <c r="O1" s="24" t="s">
        <v>41</v>
      </c>
      <c r="P1" s="177" t="s">
        <v>42</v>
      </c>
      <c r="Q1" s="178"/>
      <c r="R1" s="178"/>
      <c r="S1" s="178"/>
      <c r="T1" s="179"/>
      <c r="U1" s="26"/>
      <c r="V1" s="27"/>
      <c r="W1" s="180" t="s">
        <v>55</v>
      </c>
      <c r="X1" s="30"/>
      <c r="Y1" s="32"/>
      <c r="Z1" s="30"/>
      <c r="AA1" s="30"/>
      <c r="AB1" s="30"/>
      <c r="AC1" s="30"/>
      <c r="AD1" s="30"/>
      <c r="AE1" s="30"/>
      <c r="AF1" s="30"/>
      <c r="AG1" s="30"/>
      <c r="AH1" s="30"/>
      <c r="AI1" s="30"/>
      <c r="AJ1" s="30"/>
      <c r="AK1" s="30"/>
      <c r="AL1" s="30"/>
      <c r="AM1" s="30"/>
      <c r="AN1" s="30"/>
      <c r="AO1" s="30"/>
    </row>
    <row r="2" spans="1:41" ht="60">
      <c r="A2" s="35" t="s">
        <v>58</v>
      </c>
      <c r="B2" s="36" t="s">
        <v>0</v>
      </c>
      <c r="C2" s="36" t="s">
        <v>72</v>
      </c>
      <c r="D2" s="36" t="s">
        <v>73</v>
      </c>
      <c r="E2" s="38" t="s">
        <v>74</v>
      </c>
      <c r="F2" s="38" t="s">
        <v>75</v>
      </c>
      <c r="G2" s="36" t="s">
        <v>76</v>
      </c>
      <c r="H2" s="38" t="s">
        <v>77</v>
      </c>
      <c r="I2" s="38" t="s">
        <v>78</v>
      </c>
      <c r="J2" s="38" t="s">
        <v>79</v>
      </c>
      <c r="K2" s="38" t="s">
        <v>80</v>
      </c>
      <c r="L2" s="38" t="s">
        <v>81</v>
      </c>
      <c r="M2" s="36" t="s">
        <v>82</v>
      </c>
      <c r="N2" s="36" t="s">
        <v>83</v>
      </c>
      <c r="O2" s="38" t="s">
        <v>84</v>
      </c>
      <c r="P2" s="35" t="s">
        <v>85</v>
      </c>
      <c r="Q2" s="38" t="s">
        <v>87</v>
      </c>
      <c r="R2" s="38" t="s">
        <v>89</v>
      </c>
      <c r="S2" s="38" t="s">
        <v>90</v>
      </c>
      <c r="T2" s="38" t="s">
        <v>91</v>
      </c>
      <c r="U2" s="26" t="s">
        <v>92</v>
      </c>
      <c r="V2" s="35" t="s">
        <v>93</v>
      </c>
      <c r="W2" s="181"/>
      <c r="X2" s="40" t="s">
        <v>98</v>
      </c>
      <c r="Y2" s="41" t="s">
        <v>102</v>
      </c>
      <c r="Z2" s="32"/>
      <c r="AA2" s="32"/>
      <c r="AB2" s="32"/>
      <c r="AC2" s="32"/>
      <c r="AD2" s="32"/>
      <c r="AE2" s="32"/>
      <c r="AF2" s="32"/>
      <c r="AG2" s="32"/>
      <c r="AH2" s="32"/>
      <c r="AI2" s="32"/>
      <c r="AJ2" s="32"/>
      <c r="AK2" s="32"/>
      <c r="AL2" s="32"/>
      <c r="AM2" s="32"/>
      <c r="AN2" s="32"/>
      <c r="AO2" s="32"/>
    </row>
    <row r="3" spans="1:41" ht="14">
      <c r="A3" s="44">
        <f ca="1">IFERROR(__xludf.DUMMYFUNCTION("QUERY('Volunteer Survey'!A2)"),43442.517321412)</f>
        <v>43442.517321412</v>
      </c>
      <c r="B3" s="42" t="s">
        <v>125</v>
      </c>
      <c r="C3" s="47"/>
      <c r="D3" s="49"/>
      <c r="E3" s="42" t="s">
        <v>130</v>
      </c>
      <c r="F3" s="42" t="s">
        <v>130</v>
      </c>
      <c r="G3" s="42" t="s">
        <v>136</v>
      </c>
      <c r="H3" s="45" t="s">
        <v>138</v>
      </c>
      <c r="I3" s="45" t="s">
        <v>139</v>
      </c>
      <c r="J3" s="49"/>
      <c r="K3" s="49"/>
      <c r="L3" s="49" t="str">
        <f ca="1">IFERROR(__xludf.DUMMYFUNCTION("QUERY('Volunteer Survey'!B2)"),"Suneeta Mandava")</f>
        <v>Suneeta Mandava</v>
      </c>
      <c r="M3" s="49" t="str">
        <f ca="1">IFERROR(__xludf.DUMMYFUNCTION("QUERY('Volunteer Survey'!E2)"),"suneeta.mandava@gmail.com")</f>
        <v>suneeta.mandava@gmail.com</v>
      </c>
      <c r="N3" s="49" t="str">
        <f ca="1">IFERROR(__xludf.DUMMYFUNCTION("QUERY('Volunteer Survey'!F2)"),"Variant Analyst/Scientist")</f>
        <v>Variant Analyst/Scientist</v>
      </c>
      <c r="O3" s="42" t="str">
        <f ca="1">IFERROR(__xludf.DUMMYFUNCTION("QUERY('Volunteer Survey'!H2)"),"Comprehensive")</f>
        <v>Comprehensive</v>
      </c>
      <c r="P3" s="49" t="str">
        <f ca="1">IFERROR(__xludf.DUMMYFUNCTION("QUERY('Volunteer Survey'!I2)"),"Somatic Cancer")</f>
        <v>Somatic Cancer</v>
      </c>
      <c r="Q3" s="54" t="str">
        <f ca="1">IFERROR(__xludf.DUMMYFUNCTION("QUERY('Volunteer Survey'!J2)"),"Gene-Disease Validity")</f>
        <v>Gene-Disease Validity</v>
      </c>
      <c r="R3" s="49" t="str">
        <f ca="1">IFERROR(__xludf.DUMMYFUNCTION("QUERY('Volunteer Survey'!K2)"),"Variant Pathogenicity")</f>
        <v>Variant Pathogenicity</v>
      </c>
      <c r="S3" s="49" t="str">
        <f ca="1">IFERROR(__xludf.DUMMYFUNCTION("QUERY('Volunteer Survey'!L2)"),"Clinical Actionability")</f>
        <v>Clinical Actionability</v>
      </c>
      <c r="T3" s="49" t="str">
        <f ca="1">IFERROR(__xludf.DUMMYFUNCTION("QUERY('Volunteer Survey'!M2)"),"Dosage Sensitivity")</f>
        <v>Dosage Sensitivity</v>
      </c>
      <c r="U3" s="58" t="str">
        <f ca="1">IFERROR(__xludf.DUMMYFUNCTION("QUERY('Volunteer Survey'!N2)"),"I am clinical genomics variant scientist in somatic cancers for the last almost 5 years")</f>
        <v>I am clinical genomics variant scientist in somatic cancers for the last almost 5 years</v>
      </c>
      <c r="V3" s="49" t="str">
        <f ca="1">IFERROR(__xludf.DUMMYFUNCTION("QUERY('Volunteer Survey'!O2)"),"Possibly")</f>
        <v>Possibly</v>
      </c>
      <c r="W3" s="60" t="str">
        <f ca="1">IFERROR(__xludf.DUMMYFUNCTION("QUERY('Volunteer Survey'!P2)"),"somatic cancer TP53")</f>
        <v>somatic cancer TP53</v>
      </c>
      <c r="X3" s="58" t="str">
        <f ca="1">IFERROR(__xludf.DUMMYFUNCTION("QUERY('Volunteer Survey'!R2)"),"Maybe -- please contact me with other options, and I will decide based on what is available")</f>
        <v>Maybe -- please contact me with other options, and I will decide based on what is available</v>
      </c>
      <c r="Y3" s="47"/>
      <c r="Z3" s="174">
        <f ca="1">IFERROR(__xludf.DUMMYFUNCTION("QUERY('Volunteer Survey'!A2)"),43442.517321412)</f>
        <v>43442.517321412</v>
      </c>
      <c r="AA3" s="175" t="str">
        <f ca="1">IFERROR(__xludf.DUMMYFUNCTION("QUERY('Volunteer Survey'!B2)"),"Suneeta Mandava")</f>
        <v>Suneeta Mandava</v>
      </c>
      <c r="AB3" s="175" t="str">
        <f ca="1">IFERROR(__xludf.DUMMYFUNCTION("QUERY('Volunteer Survey'!C2)"),"Personalis")</f>
        <v>Personalis</v>
      </c>
      <c r="AC3" s="175" t="str">
        <f ca="1">IFERROR(__xludf.DUMMYFUNCTION("QUERY('Volunteer Survey'!D2)"),"")</f>
        <v/>
      </c>
      <c r="AD3" s="175" t="str">
        <f ca="1">IFERROR(__xludf.DUMMYFUNCTION("QUERY('Volunteer Survey'!E2)"),"suneeta.mandava@gmail.com")</f>
        <v>suneeta.mandava@gmail.com</v>
      </c>
      <c r="AE3" s="175" t="str">
        <f ca="1">IFERROR(__xludf.DUMMYFUNCTION("QUERY('Volunteer Survey'!F2)"),"Variant Analyst/Scientist")</f>
        <v>Variant Analyst/Scientist</v>
      </c>
      <c r="AF3" s="175" t="str">
        <f ca="1">IFERROR(__xludf.DUMMYFUNCTION("QUERY('Volunteer Survey'!G2)"),"Interested to curate genes for somatic cancer; would like to start slow and expand over time")</f>
        <v>Interested to curate genes for somatic cancer; would like to start slow and expand over time</v>
      </c>
      <c r="AG3" s="175" t="str">
        <f ca="1">IFERROR(__xludf.DUMMYFUNCTION("QUERY('Volunteer Survey'!H2)"),"Comprehensive")</f>
        <v>Comprehensive</v>
      </c>
      <c r="AH3" s="49"/>
      <c r="AI3" s="49"/>
      <c r="AJ3" s="49"/>
      <c r="AK3" s="49"/>
      <c r="AL3" s="49"/>
      <c r="AM3" s="49"/>
      <c r="AN3" s="49"/>
      <c r="AO3" s="49"/>
    </row>
    <row r="4" spans="1:41" ht="14">
      <c r="A4" s="44">
        <f ca="1">IFERROR(__xludf.DUMMYFUNCTION("QUERY('Volunteer Survey'!A3)"),43444.7572406944)</f>
        <v>43444.757240694402</v>
      </c>
      <c r="B4" s="42" t="s">
        <v>168</v>
      </c>
      <c r="C4" s="47"/>
      <c r="D4" s="49"/>
      <c r="E4" s="42" t="s">
        <v>130</v>
      </c>
      <c r="F4" s="42" t="s">
        <v>130</v>
      </c>
      <c r="G4" s="42" t="s">
        <v>19</v>
      </c>
      <c r="H4" s="63"/>
      <c r="I4" s="63" t="s">
        <v>139</v>
      </c>
      <c r="J4" s="49"/>
      <c r="K4" s="49"/>
      <c r="L4" s="49" t="str">
        <f ca="1">IFERROR(__xludf.DUMMYFUNCTION("QUERY('Volunteer Survey'!B3)"),"Edwin Kim")</f>
        <v>Edwin Kim</v>
      </c>
      <c r="M4" s="49" t="str">
        <f ca="1">IFERROR(__xludf.DUMMYFUNCTION("QUERY('Volunteer Survey'!E3)"),"Edwinkimmd@gmail.com")</f>
        <v>Edwinkimmd@gmail.com</v>
      </c>
      <c r="N4" s="49" t="str">
        <f ca="1">IFERROR(__xludf.DUMMYFUNCTION("QUERY('Volunteer Survey'!F3)"),"Physician (Non-geneticist)")</f>
        <v>Physician (Non-geneticist)</v>
      </c>
      <c r="O4" s="42" t="str">
        <f ca="1">IFERROR(__xludf.DUMMYFUNCTION("QUERY('Volunteer Survey'!H3)"),"Comprehensive")</f>
        <v>Comprehensive</v>
      </c>
      <c r="P4" s="49" t="str">
        <f ca="1">IFERROR(__xludf.DUMMYFUNCTION("QUERY('Volunteer Survey'!I3)"),"Clinical Actionability")</f>
        <v>Clinical Actionability</v>
      </c>
      <c r="Q4" s="54" t="str">
        <f ca="1">IFERROR(__xludf.DUMMYFUNCTION("QUERY('Volunteer Survey'!J3)"),"Dosage Sensitivity")</f>
        <v>Dosage Sensitivity</v>
      </c>
      <c r="R4" s="49" t="str">
        <f ca="1">IFERROR(__xludf.DUMMYFUNCTION("QUERY('Volunteer Survey'!K3)"),"Gene-Disease Validity")</f>
        <v>Gene-Disease Validity</v>
      </c>
      <c r="S4" s="49" t="str">
        <f ca="1">IFERROR(__xludf.DUMMYFUNCTION("QUERY('Volunteer Survey'!L3)"),"Variant Pathogenicity")</f>
        <v>Variant Pathogenicity</v>
      </c>
      <c r="T4" s="49" t="str">
        <f ca="1">IFERROR(__xludf.DUMMYFUNCTION("QUERY('Volunteer Survey'!M3)"),"Somatic Cancer")</f>
        <v>Somatic Cancer</v>
      </c>
      <c r="U4" s="58" t="str">
        <f ca="1">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V4" s="49" t="str">
        <f ca="1">IFERROR(__xludf.DUMMYFUNCTION("QUERY('Volunteer Survey'!O3)"),"Possibly")</f>
        <v>Possibly</v>
      </c>
      <c r="W4" s="60" t="str">
        <f ca="1">IFERROR(__xludf.DUMMYFUNCTION("QUERY('Volunteer Survey'!P3)"),"Possibly after gaining some more exposure and increasing experience.")</f>
        <v>Possibly after gaining some more exposure and increasing experience.</v>
      </c>
      <c r="X4" s="58" t="str">
        <f ca="1">IFERROR(__xludf.DUMMYFUNCTION("QUERY('Volunteer Survey'!R3)"),"Maybe -- please contact me with other options, and I will decide based on what is available")</f>
        <v>Maybe -- please contact me with other options, and I will decide based on what is available</v>
      </c>
      <c r="Y4" s="47"/>
      <c r="Z4" s="174">
        <f ca="1">IFERROR(__xludf.DUMMYFUNCTION("QUERY('Volunteer Survey'!A3)"),43444.7572406944)</f>
        <v>43444.757240694402</v>
      </c>
      <c r="AA4" s="175" t="str">
        <f ca="1">IFERROR(__xludf.DUMMYFUNCTION("QUERY('Volunteer Survey'!B3)"),"Edwin Kim")</f>
        <v>Edwin Kim</v>
      </c>
      <c r="AB4" s="175" t="str">
        <f ca="1">IFERROR(__xludf.DUMMYFUNCTION("QUERY('Volunteer Survey'!C3)"),"University of Pennsylvania")</f>
        <v>University of Pennsylvania</v>
      </c>
      <c r="AC4" s="175" t="str">
        <f ca="1">IFERROR(__xludf.DUMMYFUNCTION("QUERY('Volunteer Survey'!D3)"),"20701 N Scottsdale Rd #107 Scottsdale AZ 85255")</f>
        <v>20701 N Scottsdale Rd #107 Scottsdale AZ 85255</v>
      </c>
      <c r="AD4" s="175" t="str">
        <f ca="1">IFERROR(__xludf.DUMMYFUNCTION("QUERY('Volunteer Survey'!E3)"),"Edwinkimmd@gmail.com")</f>
        <v>Edwinkimmd@gmail.com</v>
      </c>
      <c r="AE4" s="175" t="str">
        <f ca="1">IFERROR(__xludf.DUMMYFUNCTION("QUERY('Volunteer Survey'!F3)"),"Physician (Non-geneticist)")</f>
        <v>Physician (Non-geneticist)</v>
      </c>
      <c r="AF4" s="175" t="str">
        <f ca="1">IFERROR(__xludf.DUMMYFUNCTION("QUERY('Volunteer Survey'!G3)"),"Before medical school, I worked in microbial genomics at the Joint Genome Institute. My work involved curating output from bioinformatics algorithms and curating information into public genomic databases. My work culminated in building an education module"&amp;" to promote genomics in undergraduate classes. Many years later, I find myself completing a clinical fellowship I  Addiction Psychiatry. I foresee an increasing interest in the genomics of substance use disorders and addiction. This will require building "&amp;"a robust database, then to train a generation of clinicians/researchers adept at querying the database. I would like to be one to train these first cohorts.")</f>
        <v>Before medical school, I worked in microbial genomics at the Joint Genome Institute. My work involved curating output from bioinformatics algorithms and curating information into public genomic databases. My work culminated in building an education module to promote genomics in undergraduate classes. Many years later, I find myself completing a clinical fellowship I  Addiction Psychiatry. I foresee an increasing interest in the genomics of substance use disorders and addiction. This will require building a robust database, then to train a generation of clinicians/researchers adept at querying the database. I would like to be one to train these first cohorts.</v>
      </c>
      <c r="AG4" s="175" t="str">
        <f ca="1">IFERROR(__xludf.DUMMYFUNCTION("QUERY('Volunteer Survey'!H3)"),"Comprehensive")</f>
        <v>Comprehensive</v>
      </c>
      <c r="AH4" s="175" t="str">
        <f ca="1">IFERROR(__xludf.DUMMYFUNCTION("QUERY('Volunteer Survey'!I3)"),"Clinical Actionability")</f>
        <v>Clinical Actionability</v>
      </c>
      <c r="AI4" s="175" t="str">
        <f ca="1">IFERROR(__xludf.DUMMYFUNCTION("QUERY('Volunteer Survey'!J3)"),"Dosage Sensitivity")</f>
        <v>Dosage Sensitivity</v>
      </c>
      <c r="AJ4" s="175" t="str">
        <f ca="1">IFERROR(__xludf.DUMMYFUNCTION("QUERY('Volunteer Survey'!K3)"),"Gene-Disease Validity")</f>
        <v>Gene-Disease Validity</v>
      </c>
      <c r="AK4" s="175" t="str">
        <f ca="1">IFERROR(__xludf.DUMMYFUNCTION("QUERY('Volunteer Survey'!L3)"),"Variant Pathogenicity")</f>
        <v>Variant Pathogenicity</v>
      </c>
      <c r="AL4" s="175" t="str">
        <f ca="1">IFERROR(__xludf.DUMMYFUNCTION("QUERY('Volunteer Survey'!M3)"),"Somatic Cancer")</f>
        <v>Somatic Cancer</v>
      </c>
      <c r="AM4" s="175" t="str">
        <f ca="1">IFERROR(__xludf.DUMMYFUNCTION("QUERY('Volunteer Survey'!N3)"),"Working with Bioinformaticians and microbial researchers at the Lawrence Berkeley/Livermore DOE Joint Genome Institute and curating in-house data for output to public research databases.")</f>
        <v>Working with Bioinformaticians and microbial researchers at the Lawrence Berkeley/Livermore DOE Joint Genome Institute and curating in-house data for output to public research databases.</v>
      </c>
      <c r="AN4" s="175" t="str">
        <f ca="1">IFERROR(__xludf.DUMMYFUNCTION("QUERY('Volunteer Survey'!O3)"),"Possibly")</f>
        <v>Possibly</v>
      </c>
      <c r="AO4" s="175" t="str">
        <f ca="1">IFERROR(__xludf.DUMMYFUNCTION("QUERY('Volunteer Survey'!P3)"),"Possibly after gaining some more exposure and increasing experience.")</f>
        <v>Possibly after gaining some more exposure and increasing experience.</v>
      </c>
    </row>
    <row r="5" spans="1:41" ht="14">
      <c r="A5" s="44">
        <f ca="1">IFERROR(__xludf.DUMMYFUNCTION("QUERY('Volunteer Survey'!A4)"),43446.432197662)</f>
        <v>43446.432197661998</v>
      </c>
      <c r="B5" s="42" t="s">
        <v>108</v>
      </c>
      <c r="C5" s="47"/>
      <c r="D5" s="49"/>
      <c r="E5" s="42" t="s">
        <v>130</v>
      </c>
      <c r="F5" s="42" t="s">
        <v>130</v>
      </c>
      <c r="G5" s="42" t="s">
        <v>202</v>
      </c>
      <c r="H5" s="47"/>
      <c r="I5" s="45" t="s">
        <v>139</v>
      </c>
      <c r="J5" s="49"/>
      <c r="K5" s="49"/>
      <c r="L5" s="49" t="str">
        <f ca="1">IFERROR(__xludf.DUMMYFUNCTION("QUERY('Volunteer Survey'!B4)"),"Julyann Pérez Mayoral")</f>
        <v>Julyann Pérez Mayoral</v>
      </c>
      <c r="M5" s="49" t="str">
        <f ca="1">IFERROR(__xludf.DUMMYFUNCTION("QUERY('Volunteer Survey'!E4)"),"julyann.perez@upr.edu")</f>
        <v>julyann.perez@upr.edu</v>
      </c>
      <c r="N5" s="49" t="str">
        <f ca="1">IFERROR(__xludf.DUMMYFUNCTION("QUERY('Volunteer Survey'!F4)"),"Post Doc/Resident/Fellow (MD and/or PhD)")</f>
        <v>Post Doc/Resident/Fellow (MD and/or PhD)</v>
      </c>
      <c r="O5" s="42" t="str">
        <f ca="1">IFERROR(__xludf.DUMMYFUNCTION("QUERY('Volunteer Survey'!H4)"),"Baseline")</f>
        <v>Baseline</v>
      </c>
      <c r="P5" s="49" t="str">
        <f ca="1">IFERROR(__xludf.DUMMYFUNCTION("QUERY('Volunteer Survey'!I4)"),"Variant Pathogenicity")</f>
        <v>Variant Pathogenicity</v>
      </c>
      <c r="Q5" s="54" t="str">
        <f ca="1">IFERROR(__xludf.DUMMYFUNCTION("QUERY('Volunteer Survey'!J4)"),"Somatic Cancer")</f>
        <v>Somatic Cancer</v>
      </c>
      <c r="R5" s="49" t="str">
        <f ca="1">IFERROR(__xludf.DUMMYFUNCTION("QUERY('Volunteer Survey'!K4)"),"")</f>
        <v/>
      </c>
      <c r="S5" s="49" t="str">
        <f ca="1">IFERROR(__xludf.DUMMYFUNCTION("QUERY('Volunteer Survey'!L4)"),"")</f>
        <v/>
      </c>
      <c r="T5" s="49" t="str">
        <f ca="1">IFERROR(__xludf.DUMMYFUNCTION("QUERY('Volunteer Survey'!M4)"),"")</f>
        <v/>
      </c>
      <c r="U5" s="58" t="str">
        <f ca="1">IFERROR(__xludf.DUMMYFUNCTION("QUERY('Volunteer Survey'!N4)"),"No")</f>
        <v>No</v>
      </c>
      <c r="V5" s="49" t="str">
        <f ca="1">IFERROR(__xludf.DUMMYFUNCTION("QUERY('Volunteer Survey'!O4)"),"Possibly")</f>
        <v>Possibly</v>
      </c>
      <c r="W5" s="60" t="str">
        <f ca="1">IFERROR(__xludf.DUMMYFUNCTION("QUERY('Volunteer Survey'!P4)"),"Variant Curation Panel")</f>
        <v>Variant Curation Panel</v>
      </c>
      <c r="X5" s="58" t="str">
        <f ca="1">IFERROR(__xludf.DUMMYFUNCTION("QUERY('Volunteer Survey'!R4)"),"Maybe -- please contact me with other options, and I will decide based on what is available")</f>
        <v>Maybe -- please contact me with other options, and I will decide based on what is available</v>
      </c>
      <c r="Y5" s="47"/>
      <c r="Z5" s="174">
        <f ca="1">IFERROR(__xludf.DUMMYFUNCTION("QUERY('Volunteer Survey'!A4)"),43446.432197662)</f>
        <v>43446.432197661998</v>
      </c>
      <c r="AA5" s="175" t="str">
        <f ca="1">IFERROR(__xludf.DUMMYFUNCTION("QUERY('Volunteer Survey'!B4)"),"Julyann Pérez Mayoral")</f>
        <v>Julyann Pérez Mayoral</v>
      </c>
      <c r="AB5" s="175" t="str">
        <f ca="1">IFERROR(__xludf.DUMMYFUNCTION("QUERY('Volunteer Survey'!C4)"),"University of Puerto Rico Comprehensive Cancer Center")</f>
        <v>University of Puerto Rico Comprehensive Cancer Center</v>
      </c>
      <c r="AC5" s="175" t="str">
        <f ca="1">IFERROR(__xludf.DUMMYFUNCTION("QUERY('Volunteer Survey'!D4)"),"Centro Medico Rio Piedras Lab #9 San Juan, P.R. 00936")</f>
        <v>Centro Medico Rio Piedras Lab #9 San Juan, P.R. 00936</v>
      </c>
      <c r="AD5" s="175" t="str">
        <f ca="1">IFERROR(__xludf.DUMMYFUNCTION("QUERY('Volunteer Survey'!E4)"),"julyann.perez@upr.edu")</f>
        <v>julyann.perez@upr.edu</v>
      </c>
      <c r="AE5" s="175" t="str">
        <f ca="1">IFERROR(__xludf.DUMMYFUNCTION("QUERY('Volunteer Survey'!F4)"),"Post Doc/Resident/Fellow (MD and/or PhD)")</f>
        <v>Post Doc/Resident/Fellow (MD and/or PhD)</v>
      </c>
      <c r="AF5" s="175" t="str">
        <f ca="1">IFERROR(__xludf.DUMMYFUNCTION("QUERY('Volunteer Survey'!G4)"),"I am interested in Variant Classification, especially for cancers such as Colorectal and Breast Cancer, as well as, hereditary cancers.")</f>
        <v>I am interested in Variant Classification, especially for cancers such as Colorectal and Breast Cancer, as well as, hereditary cancers.</v>
      </c>
      <c r="AG5" s="175" t="str">
        <f ca="1">IFERROR(__xludf.DUMMYFUNCTION("QUERY('Volunteer Survey'!H4)"),"Baseline")</f>
        <v>Baseline</v>
      </c>
      <c r="AH5" s="175" t="str">
        <f ca="1">IFERROR(__xludf.DUMMYFUNCTION("QUERY('Volunteer Survey'!I4)"),"Variant Pathogenicity")</f>
        <v>Variant Pathogenicity</v>
      </c>
      <c r="AI5" s="175" t="str">
        <f ca="1">IFERROR(__xludf.DUMMYFUNCTION("QUERY('Volunteer Survey'!J4)"),"Somatic Cancer")</f>
        <v>Somatic Cancer</v>
      </c>
      <c r="AJ5" s="175" t="str">
        <f ca="1">IFERROR(__xludf.DUMMYFUNCTION("QUERY('Volunteer Survey'!K4)"),"")</f>
        <v/>
      </c>
      <c r="AK5" s="175" t="str">
        <f ca="1">IFERROR(__xludf.DUMMYFUNCTION("QUERY('Volunteer Survey'!L4)"),"")</f>
        <v/>
      </c>
      <c r="AL5" s="175" t="str">
        <f ca="1">IFERROR(__xludf.DUMMYFUNCTION("QUERY('Volunteer Survey'!M4)"),"")</f>
        <v/>
      </c>
      <c r="AM5" s="175" t="str">
        <f ca="1">IFERROR(__xludf.DUMMYFUNCTION("QUERY('Volunteer Survey'!N4)"),"No")</f>
        <v>No</v>
      </c>
      <c r="AN5" s="175" t="str">
        <f ca="1">IFERROR(__xludf.DUMMYFUNCTION("QUERY('Volunteer Survey'!O4)"),"Possibly")</f>
        <v>Possibly</v>
      </c>
      <c r="AO5" s="175" t="str">
        <f ca="1">IFERROR(__xludf.DUMMYFUNCTION("QUERY('Volunteer Survey'!P4)"),"Variant Curation Panel")</f>
        <v>Variant Curation Panel</v>
      </c>
    </row>
    <row r="6" spans="1:41" ht="14">
      <c r="A6" s="44">
        <f ca="1">IFERROR(__xludf.DUMMYFUNCTION("QUERY('Volunteer Survey'!A5)"),43446.6507934143)</f>
        <v>43446.650793414301</v>
      </c>
      <c r="B6" s="42" t="s">
        <v>108</v>
      </c>
      <c r="C6" s="47"/>
      <c r="D6" s="43">
        <v>43570</v>
      </c>
      <c r="E6" s="42" t="s">
        <v>117</v>
      </c>
      <c r="F6" s="42" t="s">
        <v>117</v>
      </c>
      <c r="G6" s="42" t="s">
        <v>122</v>
      </c>
      <c r="H6" s="45" t="s">
        <v>123</v>
      </c>
      <c r="I6" s="45" t="s">
        <v>139</v>
      </c>
      <c r="J6" s="50">
        <v>43712</v>
      </c>
      <c r="K6" s="50"/>
      <c r="L6" s="49" t="str">
        <f ca="1">IFERROR(__xludf.DUMMYFUNCTION("QUERY('Volunteer Survey'!B5)"),"Xiaodong Wang")</f>
        <v>Xiaodong Wang</v>
      </c>
      <c r="M6" s="49" t="str">
        <f ca="1">IFERROR(__xludf.DUMMYFUNCTION("QUERY('Volunteer Survey'!E5)"),"xdwang@ciphergene.com")</f>
        <v>xdwang@ciphergene.com</v>
      </c>
      <c r="N6" s="49" t="str">
        <f ca="1">IFERROR(__xludf.DUMMYFUNCTION("QUERY('Volunteer Survey'!F5)"),"Variant Analyst/Scientist")</f>
        <v>Variant Analyst/Scientist</v>
      </c>
      <c r="O6" s="42" t="str">
        <f ca="1">IFERROR(__xludf.DUMMYFUNCTION("QUERY('Volunteer Survey'!H5)"),"Comprehensive")</f>
        <v>Comprehensive</v>
      </c>
      <c r="P6" s="49" t="str">
        <f ca="1">IFERROR(__xludf.DUMMYFUNCTION("QUERY('Volunteer Survey'!I5)"),"Gene-Disease Validity")</f>
        <v>Gene-Disease Validity</v>
      </c>
      <c r="Q6" s="54" t="str">
        <f ca="1">IFERROR(__xludf.DUMMYFUNCTION("QUERY('Volunteer Survey'!J5)"),"Variant Pathogenicity")</f>
        <v>Variant Pathogenicity</v>
      </c>
      <c r="R6" s="49" t="str">
        <f ca="1">IFERROR(__xludf.DUMMYFUNCTION("QUERY('Volunteer Survey'!K5)"),"Clinical Actionability")</f>
        <v>Clinical Actionability</v>
      </c>
      <c r="S6" s="49" t="str">
        <f ca="1">IFERROR(__xludf.DUMMYFUNCTION("QUERY('Volunteer Survey'!L5)"),"")</f>
        <v/>
      </c>
      <c r="T6" s="49" t="str">
        <f ca="1">IFERROR(__xludf.DUMMYFUNCTION("QUERY('Volunteer Survey'!M5)"),"")</f>
        <v/>
      </c>
      <c r="U6" s="58" t="str">
        <f ca="1">IFERROR(__xludf.DUMMYFUNCTION("QUERY('Volunteer Survey'!N5)"),"I am familiar with ACMG for variant classification, which I do daily. ")</f>
        <v xml:space="preserve">I am familiar with ACMG for variant classification, which I do daily. </v>
      </c>
      <c r="V6" s="49" t="str">
        <f ca="1">IFERROR(__xludf.DUMMYFUNCTION("QUERY('Volunteer Survey'!O5)"),"Possibly")</f>
        <v>Possibly</v>
      </c>
      <c r="W6" s="60" t="str">
        <f ca="1">IFERROR(__xludf.DUMMYFUNCTION("QUERY('Volunteer Survey'!P5)"),"Epilepsy group")</f>
        <v>Epilepsy group</v>
      </c>
      <c r="X6" s="58" t="str">
        <f ca="1">IFERROR(__xludf.DUMMYFUNCTION("QUERY('Volunteer Survey'!R5)"),"Maybe -- please contact me with other options, and I will decide based on what is available")</f>
        <v>Maybe -- please contact me with other options, and I will decide based on what is available</v>
      </c>
      <c r="Y6" s="47"/>
      <c r="Z6" s="174">
        <f ca="1">IFERROR(__xludf.DUMMYFUNCTION("QUERY('Volunteer Survey'!A5)"),43446.6507934143)</f>
        <v>43446.650793414301</v>
      </c>
      <c r="AA6" s="175" t="str">
        <f ca="1">IFERROR(__xludf.DUMMYFUNCTION("QUERY('Volunteer Survey'!B5)"),"Xiaodong Wang")</f>
        <v>Xiaodong Wang</v>
      </c>
      <c r="AB6" s="175" t="str">
        <f ca="1">IFERROR(__xludf.DUMMYFUNCTION("QUERY('Volunteer Survey'!C5)"),"Cipher Gene, Ltd")</f>
        <v>Cipher Gene, Ltd</v>
      </c>
      <c r="AC6" s="175" t="str">
        <f ca="1">IFERROR(__xludf.DUMMYFUNCTION("QUERY('Volunteer Survey'!D5)"),"")</f>
        <v/>
      </c>
      <c r="AD6" s="175" t="str">
        <f ca="1">IFERROR(__xludf.DUMMYFUNCTION("QUERY('Volunteer Survey'!E5)"),"xdwang@ciphergene.com")</f>
        <v>xdwang@ciphergene.com</v>
      </c>
      <c r="AE6" s="175" t="str">
        <f ca="1">IFERROR(__xludf.DUMMYFUNCTION("QUERY('Volunteer Survey'!F5)"),"Variant Analyst/Scientist")</f>
        <v>Variant Analyst/Scientist</v>
      </c>
      <c r="AF6" s="175" t="str">
        <f ca="1">IFERROR(__xludf.DUMMYFUNCTION("QUERY('Volunteer Survey'!G5)"),"I used to be wormbase biocurator. I am familiar with curation process. I was trained as molecular geneticist. I am now leading my own variant interpretation group in a genetic testing startup company. We do lots of genetic testing on neurodevelopmental di"&amp;"sorder patients, particularly with epilepsy, seizures, ID/DD.")</f>
        <v>I used to be wormbase biocurator. I am familiar with curation process. I was trained as molecular geneticist. I am now leading my own variant interpretation group in a genetic testing startup company. We do lots of genetic testing on neurodevelopmental disorder patients, particularly with epilepsy, seizures, ID/DD.</v>
      </c>
      <c r="AG6" s="175" t="str">
        <f ca="1">IFERROR(__xludf.DUMMYFUNCTION("QUERY('Volunteer Survey'!H5)"),"Comprehensive")</f>
        <v>Comprehensive</v>
      </c>
      <c r="AH6" s="175" t="str">
        <f ca="1">IFERROR(__xludf.DUMMYFUNCTION("QUERY('Volunteer Survey'!I5)"),"Gene-Disease Validity")</f>
        <v>Gene-Disease Validity</v>
      </c>
      <c r="AI6" s="175" t="str">
        <f ca="1">IFERROR(__xludf.DUMMYFUNCTION("QUERY('Volunteer Survey'!J5)"),"Variant Pathogenicity")</f>
        <v>Variant Pathogenicity</v>
      </c>
      <c r="AJ6" s="175" t="str">
        <f ca="1">IFERROR(__xludf.DUMMYFUNCTION("QUERY('Volunteer Survey'!K5)"),"Clinical Actionability")</f>
        <v>Clinical Actionability</v>
      </c>
      <c r="AK6" s="175" t="str">
        <f ca="1">IFERROR(__xludf.DUMMYFUNCTION("QUERY('Volunteer Survey'!L5)"),"")</f>
        <v/>
      </c>
      <c r="AL6" s="175" t="str">
        <f ca="1">IFERROR(__xludf.DUMMYFUNCTION("QUERY('Volunteer Survey'!M5)"),"")</f>
        <v/>
      </c>
      <c r="AM6" s="175" t="str">
        <f ca="1">IFERROR(__xludf.DUMMYFUNCTION("QUERY('Volunteer Survey'!N5)"),"I am familiar with ACMG for variant classification, which I do daily. ")</f>
        <v xml:space="preserve">I am familiar with ACMG for variant classification, which I do daily. </v>
      </c>
      <c r="AN6" s="175" t="str">
        <f ca="1">IFERROR(__xludf.DUMMYFUNCTION("QUERY('Volunteer Survey'!O5)"),"Possibly")</f>
        <v>Possibly</v>
      </c>
      <c r="AO6" s="175" t="str">
        <f ca="1">IFERROR(__xludf.DUMMYFUNCTION("QUERY('Volunteer Survey'!P5)"),"Epilepsy group")</f>
        <v>Epilepsy group</v>
      </c>
    </row>
    <row r="7" spans="1:41" ht="14">
      <c r="A7" s="44">
        <f ca="1">IFERROR(__xludf.DUMMYFUNCTION("QUERY('Volunteer Survey'!A6)"),43446.7035869328)</f>
        <v>43446.703586932803</v>
      </c>
      <c r="B7" s="42" t="s">
        <v>108</v>
      </c>
      <c r="C7" s="47"/>
      <c r="D7" s="49"/>
      <c r="E7" s="42" t="s">
        <v>130</v>
      </c>
      <c r="F7" s="42" t="s">
        <v>130</v>
      </c>
      <c r="G7" s="42" t="s">
        <v>202</v>
      </c>
      <c r="H7" s="47"/>
      <c r="I7" s="45" t="s">
        <v>139</v>
      </c>
      <c r="J7" s="49"/>
      <c r="K7" s="49"/>
      <c r="L7" s="49" t="str">
        <f ca="1">IFERROR(__xludf.DUMMYFUNCTION("QUERY('Volunteer Survey'!B6)"),"Jun Shen")</f>
        <v>Jun Shen</v>
      </c>
      <c r="M7" s="49" t="str">
        <f ca="1">IFERROR(__xludf.DUMMYFUNCTION("QUERY('Volunteer Survey'!E6)"),"jshen5@bwh.harvard.edu")</f>
        <v>jshen5@bwh.harvard.edu</v>
      </c>
      <c r="N7" s="49" t="str">
        <f ca="1">IFERROR(__xludf.DUMMYFUNCTION("QUERY('Volunteer Survey'!F6)"),"Clinical laboratory geneticist")</f>
        <v>Clinical laboratory geneticist</v>
      </c>
      <c r="O7" s="42" t="str">
        <f ca="1">IFERROR(__xludf.DUMMYFUNCTION("QUERY('Volunteer Survey'!H6)"),"Baseline")</f>
        <v>Baseline</v>
      </c>
      <c r="P7" s="49" t="str">
        <f ca="1">IFERROR(__xludf.DUMMYFUNCTION("QUERY('Volunteer Survey'!I6)"),"Variant Pathogenicity")</f>
        <v>Variant Pathogenicity</v>
      </c>
      <c r="Q7" s="54" t="str">
        <f ca="1">IFERROR(__xludf.DUMMYFUNCTION("QUERY('Volunteer Survey'!J6)"),"Gene-Disease Validity")</f>
        <v>Gene-Disease Validity</v>
      </c>
      <c r="R7" s="49" t="str">
        <f ca="1">IFERROR(__xludf.DUMMYFUNCTION("QUERY('Volunteer Survey'!K6)"),"Clinical Actionability")</f>
        <v>Clinical Actionability</v>
      </c>
      <c r="S7" s="49" t="str">
        <f ca="1">IFERROR(__xludf.DUMMYFUNCTION("QUERY('Volunteer Survey'!L6)"),"Dosage Sensitivity")</f>
        <v>Dosage Sensitivity</v>
      </c>
      <c r="T7" s="49" t="str">
        <f ca="1">IFERROR(__xludf.DUMMYFUNCTION("QUERY('Volunteer Survey'!M6)"),"Somatic Cancer")</f>
        <v>Somatic Cancer</v>
      </c>
      <c r="U7" s="58" t="str">
        <f ca="1">IFERROR(__xludf.DUMMYFUNCTION("QUERY('Volunteer Survey'!N6)"),"I work on the HL-EP")</f>
        <v>I work on the HL-EP</v>
      </c>
      <c r="V7" s="49" t="str">
        <f ca="1">IFERROR(__xludf.DUMMYFUNCTION("QUERY('Volunteer Survey'!O6)"),"Yes")</f>
        <v>Yes</v>
      </c>
      <c r="W7" s="60" t="str">
        <f ca="1">IFERROR(__xludf.DUMMYFUNCTION("QUERY('Volunteer Survey'!P6)"),"I'm already on the HL-EP")</f>
        <v>I'm already on the HL-EP</v>
      </c>
      <c r="X7" s="58" t="str">
        <f ca="1">IFERROR(__xludf.DUMMYFUNCTION("QUERY('Volunteer Survey'!R6)"),"Maybe -- please contact me with other options, and I will decide based on what is available")</f>
        <v>Maybe -- please contact me with other options, and I will decide based on what is available</v>
      </c>
      <c r="Y7" s="47"/>
      <c r="Z7" s="174">
        <f ca="1">IFERROR(__xludf.DUMMYFUNCTION("QUERY('Volunteer Survey'!A6)"),43446.7035869328)</f>
        <v>43446.703586932803</v>
      </c>
      <c r="AA7" s="175" t="str">
        <f ca="1">IFERROR(__xludf.DUMMYFUNCTION("QUERY('Volunteer Survey'!B6)"),"Jun Shen")</f>
        <v>Jun Shen</v>
      </c>
      <c r="AB7" s="175" t="str">
        <f ca="1">IFERROR(__xludf.DUMMYFUNCTION("QUERY('Volunteer Survey'!C6)"),"BWH")</f>
        <v>BWH</v>
      </c>
      <c r="AC7" s="175" t="str">
        <f ca="1">IFERROR(__xludf.DUMMYFUNCTION("QUERY('Volunteer Survey'!D6)"),"221 Longwood Ave., Boston, MA 02115")</f>
        <v>221 Longwood Ave., Boston, MA 02115</v>
      </c>
      <c r="AD7" s="175" t="str">
        <f ca="1">IFERROR(__xludf.DUMMYFUNCTION("QUERY('Volunteer Survey'!E6)"),"jshen5@bwh.harvard.edu")</f>
        <v>jshen5@bwh.harvard.edu</v>
      </c>
      <c r="AE7" s="175" t="str">
        <f ca="1">IFERROR(__xludf.DUMMYFUNCTION("QUERY('Volunteer Survey'!F6)"),"Clinical laboratory geneticist")</f>
        <v>Clinical laboratory geneticist</v>
      </c>
      <c r="AF7" s="175" t="str">
        <f ca="1">IFERROR(__xludf.DUMMYFUNCTION("QUERY('Volunteer Survey'!G6)"),"I am a member of the hearing loss working group.")</f>
        <v>I am a member of the hearing loss working group.</v>
      </c>
      <c r="AG7" s="175" t="str">
        <f ca="1">IFERROR(__xludf.DUMMYFUNCTION("QUERY('Volunteer Survey'!H6)"),"Baseline")</f>
        <v>Baseline</v>
      </c>
      <c r="AH7" s="175" t="str">
        <f ca="1">IFERROR(__xludf.DUMMYFUNCTION("QUERY('Volunteer Survey'!I6)"),"Variant Pathogenicity")</f>
        <v>Variant Pathogenicity</v>
      </c>
      <c r="AI7" s="175" t="str">
        <f ca="1">IFERROR(__xludf.DUMMYFUNCTION("QUERY('Volunteer Survey'!J6)"),"Gene-Disease Validity")</f>
        <v>Gene-Disease Validity</v>
      </c>
      <c r="AJ7" s="175" t="str">
        <f ca="1">IFERROR(__xludf.DUMMYFUNCTION("QUERY('Volunteer Survey'!K6)"),"Clinical Actionability")</f>
        <v>Clinical Actionability</v>
      </c>
      <c r="AK7" s="175" t="str">
        <f ca="1">IFERROR(__xludf.DUMMYFUNCTION("QUERY('Volunteer Survey'!L6)"),"Dosage Sensitivity")</f>
        <v>Dosage Sensitivity</v>
      </c>
      <c r="AL7" s="175" t="str">
        <f ca="1">IFERROR(__xludf.DUMMYFUNCTION("QUERY('Volunteer Survey'!M6)"),"Somatic Cancer")</f>
        <v>Somatic Cancer</v>
      </c>
      <c r="AM7" s="175" t="str">
        <f ca="1">IFERROR(__xludf.DUMMYFUNCTION("QUERY('Volunteer Survey'!N6)"),"I work on the HL-EP")</f>
        <v>I work on the HL-EP</v>
      </c>
      <c r="AN7" s="175" t="str">
        <f ca="1">IFERROR(__xludf.DUMMYFUNCTION("QUERY('Volunteer Survey'!O6)"),"Yes")</f>
        <v>Yes</v>
      </c>
      <c r="AO7" s="175" t="str">
        <f ca="1">IFERROR(__xludf.DUMMYFUNCTION("QUERY('Volunteer Survey'!P6)"),"I'm already on the HL-EP")</f>
        <v>I'm already on the HL-EP</v>
      </c>
    </row>
    <row r="8" spans="1:41" ht="37.5" customHeight="1">
      <c r="A8" s="44">
        <f ca="1">IFERROR(__xludf.DUMMYFUNCTION("QUERY('Volunteer Survey'!A7)"),43447.4211071527)</f>
        <v>43447.421107152702</v>
      </c>
      <c r="B8" s="42" t="s">
        <v>125</v>
      </c>
      <c r="C8" s="73">
        <v>43437</v>
      </c>
      <c r="D8" s="50">
        <v>43446</v>
      </c>
      <c r="E8" s="42" t="s">
        <v>117</v>
      </c>
      <c r="F8" s="42" t="s">
        <v>117</v>
      </c>
      <c r="G8" s="42" t="s">
        <v>122</v>
      </c>
      <c r="H8" s="45" t="s">
        <v>143</v>
      </c>
      <c r="I8" s="45" t="s">
        <v>139</v>
      </c>
      <c r="J8" s="50">
        <v>43592</v>
      </c>
      <c r="K8" s="50">
        <v>43713</v>
      </c>
      <c r="L8" s="49" t="str">
        <f ca="1">IFERROR(__xludf.DUMMYFUNCTION("QUERY('Volunteer Survey'!B7)"),"Jennifer Howe")</f>
        <v>Jennifer Howe</v>
      </c>
      <c r="M8" s="49" t="str">
        <f ca="1">IFERROR(__xludf.DUMMYFUNCTION("QUERY('Volunteer Survey'!E7)"),"jhowe@sickkids.ca")</f>
        <v>jhowe@sickkids.ca</v>
      </c>
      <c r="N8" s="49" t="str">
        <f ca="1">IFERROR(__xludf.DUMMYFUNCTION("QUERY('Volunteer Survey'!F7)"),"Senior Project Manager")</f>
        <v>Senior Project Manager</v>
      </c>
      <c r="O8" s="42" t="str">
        <f ca="1">IFERROR(__xludf.DUMMYFUNCTION("QUERY('Volunteer Survey'!H7)"),"Comprehensive")</f>
        <v>Comprehensive</v>
      </c>
      <c r="P8" s="49" t="str">
        <f ca="1">IFERROR(__xludf.DUMMYFUNCTION("QUERY('Volunteer Survey'!I7)"),"Gene-Disease Validity")</f>
        <v>Gene-Disease Validity</v>
      </c>
      <c r="Q8" s="54" t="str">
        <f ca="1">IFERROR(__xludf.DUMMYFUNCTION("QUERY('Volunteer Survey'!J7)"),"")</f>
        <v/>
      </c>
      <c r="R8" s="49" t="str">
        <f ca="1">IFERROR(__xludf.DUMMYFUNCTION("QUERY('Volunteer Survey'!K7)"),"")</f>
        <v/>
      </c>
      <c r="S8" s="49" t="str">
        <f ca="1">IFERROR(__xludf.DUMMYFUNCTION("QUERY('Volunteer Survey'!L7)"),"")</f>
        <v/>
      </c>
      <c r="T8" s="49" t="str">
        <f ca="1">IFERROR(__xludf.DUMMYFUNCTION("QUERY('Volunteer Survey'!M7)"),"")</f>
        <v/>
      </c>
      <c r="U8" s="58" t="str">
        <f ca="1">IFERROR(__xludf.DUMMYFUNCTION("QUERY('Volunteer Survey'!N7)"),"")</f>
        <v/>
      </c>
      <c r="V8" s="49" t="str">
        <f ca="1">IFERROR(__xludf.DUMMYFUNCTION("QUERY('Volunteer Survey'!O7)"),"No")</f>
        <v>No</v>
      </c>
      <c r="W8" s="60" t="str">
        <f ca="1">IFERROR(__xludf.DUMMYFUNCTION("QUERY('Volunteer Survey'!P7)"),"Autism and Intellectual Disability")</f>
        <v>Autism and Intellectual Disability</v>
      </c>
      <c r="X8" s="58" t="str">
        <f ca="1">IFERROR(__xludf.DUMMYFUNCTION("QUERY('Volunteer Survey'!R7)"),"No - I am only interested in the group(s) I previously indicated")</f>
        <v>No - I am only interested in the group(s) I previously indicated</v>
      </c>
      <c r="Y8" s="45" t="s">
        <v>292</v>
      </c>
      <c r="Z8" s="174">
        <f ca="1">IFERROR(__xludf.DUMMYFUNCTION("QUERY('Volunteer Survey'!A7)"),43447.4211071527)</f>
        <v>43447.421107152702</v>
      </c>
      <c r="AA8" s="175" t="str">
        <f ca="1">IFERROR(__xludf.DUMMYFUNCTION("QUERY('Volunteer Survey'!B7)"),"Jennifer Howe")</f>
        <v>Jennifer Howe</v>
      </c>
      <c r="AB8" s="175" t="str">
        <f ca="1">IFERROR(__xludf.DUMMYFUNCTION("QUERY('Volunteer Survey'!C7)"),"The Hospital for Sick Children")</f>
        <v>The Hospital for Sick Children</v>
      </c>
      <c r="AC8" s="175" t="str">
        <f ca="1">IFERROR(__xludf.DUMMYFUNCTION("QUERY('Volunteer Survey'!D7)"),"Toronto, Canada")</f>
        <v>Toronto, Canada</v>
      </c>
      <c r="AD8" s="175" t="str">
        <f ca="1">IFERROR(__xludf.DUMMYFUNCTION("QUERY('Volunteer Survey'!E7)"),"jhowe@sickkids.ca")</f>
        <v>jhowe@sickkids.ca</v>
      </c>
      <c r="AE8" s="175" t="str">
        <f ca="1">IFERROR(__xludf.DUMMYFUNCTION("QUERY('Volunteer Survey'!F7)"),"Senior Project Manager")</f>
        <v>Senior Project Manager</v>
      </c>
      <c r="AF8" s="175" t="str">
        <f ca="1">IFERROR(__xludf.DUMMYFUNCTION("QUERY('Volunteer Survey'!G7)"),"From the ASD Gene list meeting held in Toronto in Sept 2018 - I would like to assist in curating genes for ASD")</f>
        <v>From the ASD Gene list meeting held in Toronto in Sept 2018 - I would like to assist in curating genes for ASD</v>
      </c>
      <c r="AG8" s="175" t="str">
        <f ca="1">IFERROR(__xludf.DUMMYFUNCTION("QUERY('Volunteer Survey'!H7)"),"Comprehensive")</f>
        <v>Comprehensive</v>
      </c>
      <c r="AH8" s="175" t="str">
        <f ca="1">IFERROR(__xludf.DUMMYFUNCTION("QUERY('Volunteer Survey'!I7)"),"Gene-Disease Validity")</f>
        <v>Gene-Disease Validity</v>
      </c>
      <c r="AI8" s="175" t="str">
        <f ca="1">IFERROR(__xludf.DUMMYFUNCTION("QUERY('Volunteer Survey'!J7)"),"")</f>
        <v/>
      </c>
      <c r="AJ8" s="175" t="str">
        <f ca="1">IFERROR(__xludf.DUMMYFUNCTION("QUERY('Volunteer Survey'!K7)"),"")</f>
        <v/>
      </c>
      <c r="AK8" s="175" t="str">
        <f ca="1">IFERROR(__xludf.DUMMYFUNCTION("QUERY('Volunteer Survey'!L7)"),"")</f>
        <v/>
      </c>
      <c r="AL8" s="175" t="str">
        <f ca="1">IFERROR(__xludf.DUMMYFUNCTION("QUERY('Volunteer Survey'!M7)"),"")</f>
        <v/>
      </c>
      <c r="AM8" s="175" t="str">
        <f ca="1">IFERROR(__xludf.DUMMYFUNCTION("QUERY('Volunteer Survey'!N7)"),"")</f>
        <v/>
      </c>
      <c r="AN8" s="175" t="str">
        <f ca="1">IFERROR(__xludf.DUMMYFUNCTION("QUERY('Volunteer Survey'!O7)"),"No")</f>
        <v>No</v>
      </c>
      <c r="AO8" s="175" t="str">
        <f ca="1">IFERROR(__xludf.DUMMYFUNCTION("QUERY('Volunteer Survey'!P7)"),"Autism and Intellectual Disability")</f>
        <v>Autism and Intellectual Disability</v>
      </c>
    </row>
    <row r="9" spans="1:41" ht="14">
      <c r="A9" s="44">
        <f ca="1">IFERROR(__xludf.DUMMYFUNCTION("QUERY('Volunteer Survey'!A8)"),43378.4807523148)</f>
        <v>43378.480752314797</v>
      </c>
      <c r="B9" s="42" t="s">
        <v>125</v>
      </c>
      <c r="C9" s="73">
        <v>43411</v>
      </c>
      <c r="D9" s="50">
        <v>43446</v>
      </c>
      <c r="E9" s="42" t="s">
        <v>117</v>
      </c>
      <c r="F9" s="42" t="s">
        <v>117</v>
      </c>
      <c r="G9" s="42" t="s">
        <v>122</v>
      </c>
      <c r="H9" s="45" t="s">
        <v>20</v>
      </c>
      <c r="I9" s="45" t="s">
        <v>139</v>
      </c>
      <c r="J9" s="50">
        <v>43592</v>
      </c>
      <c r="K9" s="50">
        <v>43713</v>
      </c>
      <c r="L9" s="49" t="str">
        <f ca="1">IFERROR(__xludf.DUMMYFUNCTION("QUERY('Volunteer Survey'!B8)"),"Kalpana Panneerselvam")</f>
        <v>Kalpana Panneerselvam</v>
      </c>
      <c r="M9" s="49" t="str">
        <f ca="1">IFERROR(__xludf.DUMMYFUNCTION("QUERY('Volunteer Survey'!E8)"),"kalpanarpanneerselvam@gmail.com")</f>
        <v>kalpanarpanneerselvam@gmail.com</v>
      </c>
      <c r="N9" s="49" t="str">
        <f ca="1">IFERROR(__xludf.DUMMYFUNCTION("QUERY('Volunteer Survey'!F8)"),"Biocurator")</f>
        <v>Biocurator</v>
      </c>
      <c r="O9" s="42" t="str">
        <f ca="1">IFERROR(__xludf.DUMMYFUNCTION("QUERY('Volunteer Survey'!H8)"),"Comprehensive")</f>
        <v>Comprehensive</v>
      </c>
      <c r="P9" s="49" t="str">
        <f ca="1">IFERROR(__xludf.DUMMYFUNCTION("QUERY('Volunteer Survey'!I8)"),"Gene-Disease Validity")</f>
        <v>Gene-Disease Validity</v>
      </c>
      <c r="Q9" s="54" t="str">
        <f ca="1">IFERROR(__xludf.DUMMYFUNCTION("QUERY('Volunteer Survey'!J8)"),"Clinical Actionability")</f>
        <v>Clinical Actionability</v>
      </c>
      <c r="R9" s="49" t="str">
        <f ca="1">IFERROR(__xludf.DUMMYFUNCTION("QUERY('Volunteer Survey'!K8)"),"Variant Pathogenicity")</f>
        <v>Variant Pathogenicity</v>
      </c>
      <c r="S9" s="49" t="str">
        <f ca="1">IFERROR(__xludf.DUMMYFUNCTION("QUERY('Volunteer Survey'!L8)"),"Dosage Sensitivity")</f>
        <v>Dosage Sensitivity</v>
      </c>
      <c r="T9" s="49" t="str">
        <f ca="1">IFERROR(__xludf.DUMMYFUNCTION("QUERY('Volunteer Survey'!M8)"),"Somatic Cancer")</f>
        <v>Somatic Cancer</v>
      </c>
      <c r="U9" s="58" t="str">
        <f ca="1">IFERROR(__xludf.DUMMYFUNCTION("QUERY('Volunteer Survey'!N8)"),"I have worked as curator for Ingenuity Variant Analysis product by Qiagen ")</f>
        <v xml:space="preserve">I have worked as curator for Ingenuity Variant Analysis product by Qiagen </v>
      </c>
      <c r="V9" s="49" t="str">
        <f ca="1">IFERROR(__xludf.DUMMYFUNCTION("QUERY('Volunteer Survey'!O8)"),"Possibly")</f>
        <v>Possibly</v>
      </c>
      <c r="W9" s="60" t="str">
        <f ca="1">IFERROR(__xludf.DUMMYFUNCTION("QUERY('Volunteer Survey'!P8)"),"Mitochondrial diseases ")</f>
        <v xml:space="preserve">Mitochondrial diseases </v>
      </c>
      <c r="X9" s="58" t="str">
        <f ca="1">IFERROR(__xludf.DUMMYFUNCTION("QUERY('Volunteer Survey'!R8)"),"Yes- I am willing to volunteer with any available ClinGen group")</f>
        <v>Yes- I am willing to volunteer with any available ClinGen group</v>
      </c>
      <c r="Y9" s="45" t="s">
        <v>295</v>
      </c>
      <c r="Z9" s="174">
        <f ca="1">IFERROR(__xludf.DUMMYFUNCTION("QUERY('Volunteer Survey'!A8)"),43378.4807523148)</f>
        <v>43378.480752314797</v>
      </c>
      <c r="AA9" s="175" t="str">
        <f ca="1">IFERROR(__xludf.DUMMYFUNCTION("QUERY('Volunteer Survey'!B8)"),"Kalpana Panneerselvam")</f>
        <v>Kalpana Panneerselvam</v>
      </c>
      <c r="AB9" s="175" t="str">
        <f ca="1">IFERROR(__xludf.DUMMYFUNCTION("QUERY('Volunteer Survey'!C8)"),"Excelra knowledge solutions ")</f>
        <v xml:space="preserve">Excelra knowledge solutions </v>
      </c>
      <c r="AC9" s="175" t="str">
        <f ca="1">IFERROR(__xludf.DUMMYFUNCTION("QUERY('Volunteer Survey'!D8)"),"India")</f>
        <v>India</v>
      </c>
      <c r="AD9" s="175" t="str">
        <f ca="1">IFERROR(__xludf.DUMMYFUNCTION("QUERY('Volunteer Survey'!E8)"),"kalpanarpanneerselvam@gmail.com")</f>
        <v>kalpanarpanneerselvam@gmail.com</v>
      </c>
      <c r="AE9" s="175" t="str">
        <f ca="1">IFERROR(__xludf.DUMMYFUNCTION("QUERY('Volunteer Survey'!F8)"),"Biocurator")</f>
        <v>Biocurator</v>
      </c>
      <c r="AF9" s="175" t="str">
        <f ca="1">IFERROR(__xludf.DUMMYFUNCTION("QUERY('Volunteer Survey'!G8)"),"While browsing about institutions that are involved in curating genetic variants, I got to know about ClinGen. I would like to explore how I can work towards bringing more clarity on gene-disease and gene-drug relationship; I am open to work with any dise"&amp;"ase or gene")</f>
        <v>While browsing about institutions that are involved in curating genetic variants, I got to know about ClinGen. I would like to explore how I can work towards bringing more clarity on gene-disease and gene-drug relationship; I am open to work with any disease or gene</v>
      </c>
      <c r="AG9" s="175" t="str">
        <f ca="1">IFERROR(__xludf.DUMMYFUNCTION("QUERY('Volunteer Survey'!H8)"),"Comprehensive")</f>
        <v>Comprehensive</v>
      </c>
      <c r="AH9" s="175" t="str">
        <f ca="1">IFERROR(__xludf.DUMMYFUNCTION("QUERY('Volunteer Survey'!I8)"),"Gene-Disease Validity")</f>
        <v>Gene-Disease Validity</v>
      </c>
      <c r="AI9" s="175" t="str">
        <f ca="1">IFERROR(__xludf.DUMMYFUNCTION("QUERY('Volunteer Survey'!J8)"),"Clinical Actionability")</f>
        <v>Clinical Actionability</v>
      </c>
      <c r="AJ9" s="175" t="str">
        <f ca="1">IFERROR(__xludf.DUMMYFUNCTION("QUERY('Volunteer Survey'!K8)"),"Variant Pathogenicity")</f>
        <v>Variant Pathogenicity</v>
      </c>
      <c r="AK9" s="175" t="str">
        <f ca="1">IFERROR(__xludf.DUMMYFUNCTION("QUERY('Volunteer Survey'!L8)"),"Dosage Sensitivity")</f>
        <v>Dosage Sensitivity</v>
      </c>
      <c r="AL9" s="175" t="str">
        <f ca="1">IFERROR(__xludf.DUMMYFUNCTION("QUERY('Volunteer Survey'!M8)"),"Somatic Cancer")</f>
        <v>Somatic Cancer</v>
      </c>
      <c r="AM9" s="175" t="str">
        <f ca="1">IFERROR(__xludf.DUMMYFUNCTION("QUERY('Volunteer Survey'!N8)"),"I have worked as curator for Ingenuity Variant Analysis product by Qiagen ")</f>
        <v xml:space="preserve">I have worked as curator for Ingenuity Variant Analysis product by Qiagen </v>
      </c>
      <c r="AN9" s="175" t="str">
        <f ca="1">IFERROR(__xludf.DUMMYFUNCTION("QUERY('Volunteer Survey'!O8)"),"Possibly")</f>
        <v>Possibly</v>
      </c>
      <c r="AO9" s="175" t="str">
        <f ca="1">IFERROR(__xludf.DUMMYFUNCTION("QUERY('Volunteer Survey'!P8)"),"Mitochondrial diseases ")</f>
        <v xml:space="preserve">Mitochondrial diseases </v>
      </c>
    </row>
    <row r="10" spans="1:41" ht="14">
      <c r="A10" s="44">
        <f ca="1">IFERROR(__xludf.DUMMYFUNCTION("QUERY('Volunteer Survey'!A9)"),43447.7193945254)</f>
        <v>43447.719394525397</v>
      </c>
      <c r="B10" s="42" t="s">
        <v>160</v>
      </c>
      <c r="C10" s="47"/>
      <c r="D10" s="59">
        <v>43580</v>
      </c>
      <c r="E10" s="42" t="s">
        <v>117</v>
      </c>
      <c r="F10" s="42" t="s">
        <v>117</v>
      </c>
      <c r="G10" s="42" t="s">
        <v>163</v>
      </c>
      <c r="H10" s="45" t="s">
        <v>164</v>
      </c>
      <c r="I10" s="45" t="s">
        <v>139</v>
      </c>
      <c r="J10" s="50">
        <v>43712</v>
      </c>
      <c r="K10" s="50"/>
      <c r="L10" s="49" t="str">
        <f ca="1">IFERROR(__xludf.DUMMYFUNCTION("QUERY('Volunteer Survey'!B9)"),"Justin Schleede Phd")</f>
        <v>Justin Schleede Phd</v>
      </c>
      <c r="M10" s="49" t="str">
        <f ca="1">IFERROR(__xludf.DUMMYFUNCTION("QUERY('Volunteer Survey'!E9)"),"schleej@labcorp.com")</f>
        <v>schleej@labcorp.com</v>
      </c>
      <c r="N10" s="49" t="str">
        <f ca="1">IFERROR(__xludf.DUMMYFUNCTION("QUERY('Volunteer Survey'!F9)"),"Clinical laboratory geneticist")</f>
        <v>Clinical laboratory geneticist</v>
      </c>
      <c r="O10" s="42" t="str">
        <f ca="1">IFERROR(__xludf.DUMMYFUNCTION("QUERY('Volunteer Survey'!H9)"),"Comprehensive")</f>
        <v>Comprehensive</v>
      </c>
      <c r="P10" s="49" t="str">
        <f ca="1">IFERROR(__xludf.DUMMYFUNCTION("QUERY('Volunteer Survey'!I9)"),"Dosage Sensitivity")</f>
        <v>Dosage Sensitivity</v>
      </c>
      <c r="Q10" s="54" t="str">
        <f ca="1">IFERROR(__xludf.DUMMYFUNCTION("QUERY('Volunteer Survey'!J9)"),"Variant Pathogenicity")</f>
        <v>Variant Pathogenicity</v>
      </c>
      <c r="R10" s="49" t="str">
        <f ca="1">IFERROR(__xludf.DUMMYFUNCTION("QUERY('Volunteer Survey'!K9)"),"Somatic Cancer")</f>
        <v>Somatic Cancer</v>
      </c>
      <c r="S10" s="49" t="str">
        <f ca="1">IFERROR(__xludf.DUMMYFUNCTION("QUERY('Volunteer Survey'!L9)"),"Clinical Actionability")</f>
        <v>Clinical Actionability</v>
      </c>
      <c r="T10" s="49" t="str">
        <f ca="1">IFERROR(__xludf.DUMMYFUNCTION("QUERY('Volunteer Survey'!M9)"),"Gene-Disease Validity")</f>
        <v>Gene-Disease Validity</v>
      </c>
      <c r="U10" s="58" t="str">
        <f ca="1">IFERROR(__xludf.DUMMYFUNCTION("QUERY('Volunteer Survey'!N9)"),"Yes, I review literature and classify genes as part of my daily workflow")</f>
        <v>Yes, I review literature and classify genes as part of my daily workflow</v>
      </c>
      <c r="V10" s="49" t="str">
        <f ca="1">IFERROR(__xludf.DUMMYFUNCTION("QUERY('Volunteer Survey'!O9)"),"No")</f>
        <v>No</v>
      </c>
      <c r="W10" s="60" t="str">
        <f ca="1">IFERROR(__xludf.DUMMYFUNCTION("QUERY('Volunteer Survey'!P9)"),"")</f>
        <v/>
      </c>
      <c r="X10" s="58" t="str">
        <f ca="1">IFERROR(__xludf.DUMMYFUNCTION("QUERY('Volunteer Survey'!R9)"),"Maybe -- please contact me with other options, and I will decide based on what is available")</f>
        <v>Maybe -- please contact me with other options, and I will decide based on what is available</v>
      </c>
      <c r="Y10" s="47"/>
      <c r="Z10" s="174">
        <f ca="1">IFERROR(__xludf.DUMMYFUNCTION("QUERY('Volunteer Survey'!A9)"),43447.7193945254)</f>
        <v>43447.719394525397</v>
      </c>
      <c r="AA10" s="175" t="str">
        <f ca="1">IFERROR(__xludf.DUMMYFUNCTION("QUERY('Volunteer Survey'!B9)"),"Justin Schleede Phd")</f>
        <v>Justin Schleede Phd</v>
      </c>
      <c r="AB10" s="175" t="str">
        <f ca="1">IFERROR(__xludf.DUMMYFUNCTION("QUERY('Volunteer Survey'!C9)"),"LabCorp")</f>
        <v>LabCorp</v>
      </c>
      <c r="AC10" s="175" t="str">
        <f ca="1">IFERROR(__xludf.DUMMYFUNCTION("QUERY('Volunteer Survey'!D9)"),"")</f>
        <v/>
      </c>
      <c r="AD10" s="175" t="str">
        <f ca="1">IFERROR(__xludf.DUMMYFUNCTION("QUERY('Volunteer Survey'!E9)"),"schleej@labcorp.com")</f>
        <v>schleej@labcorp.com</v>
      </c>
      <c r="AE10" s="175" t="str">
        <f ca="1">IFERROR(__xludf.DUMMYFUNCTION("QUERY('Volunteer Survey'!F9)"),"Clinical laboratory geneticist")</f>
        <v>Clinical laboratory geneticist</v>
      </c>
      <c r="AF10" s="175" t="str">
        <f ca="1">IFERROR(__xludf.DUMMYFUNCTION("QUERY('Volunteer Survey'!G9)"),"I have access to a huge database and feel my input would be of value to the group.")</f>
        <v>I have access to a huge database and feel my input would be of value to the group.</v>
      </c>
      <c r="AG10" s="175" t="str">
        <f ca="1">IFERROR(__xludf.DUMMYFUNCTION("QUERY('Volunteer Survey'!H9)"),"Comprehensive")</f>
        <v>Comprehensive</v>
      </c>
      <c r="AH10" s="175" t="str">
        <f ca="1">IFERROR(__xludf.DUMMYFUNCTION("QUERY('Volunteer Survey'!I9)"),"Dosage Sensitivity")</f>
        <v>Dosage Sensitivity</v>
      </c>
      <c r="AI10" s="175" t="str">
        <f ca="1">IFERROR(__xludf.DUMMYFUNCTION("QUERY('Volunteer Survey'!J9)"),"Variant Pathogenicity")</f>
        <v>Variant Pathogenicity</v>
      </c>
      <c r="AJ10" s="175" t="str">
        <f ca="1">IFERROR(__xludf.DUMMYFUNCTION("QUERY('Volunteer Survey'!K9)"),"Somatic Cancer")</f>
        <v>Somatic Cancer</v>
      </c>
      <c r="AK10" s="175" t="str">
        <f ca="1">IFERROR(__xludf.DUMMYFUNCTION("QUERY('Volunteer Survey'!L9)"),"Clinical Actionability")</f>
        <v>Clinical Actionability</v>
      </c>
      <c r="AL10" s="175" t="str">
        <f ca="1">IFERROR(__xludf.DUMMYFUNCTION("QUERY('Volunteer Survey'!M9)"),"Gene-Disease Validity")</f>
        <v>Gene-Disease Validity</v>
      </c>
      <c r="AM10" s="175" t="str">
        <f ca="1">IFERROR(__xludf.DUMMYFUNCTION("QUERY('Volunteer Survey'!N9)"),"Yes, I review literature and classify genes as part of my daily workflow")</f>
        <v>Yes, I review literature and classify genes as part of my daily workflow</v>
      </c>
      <c r="AN10" s="175" t="str">
        <f ca="1">IFERROR(__xludf.DUMMYFUNCTION("QUERY('Volunteer Survey'!O9)"),"No")</f>
        <v>No</v>
      </c>
      <c r="AO10" s="175" t="str">
        <f ca="1">IFERROR(__xludf.DUMMYFUNCTION("QUERY('Volunteer Survey'!P9)"),"")</f>
        <v/>
      </c>
    </row>
    <row r="11" spans="1:41" ht="14">
      <c r="A11" s="44">
        <f ca="1">IFERROR(__xludf.DUMMYFUNCTION("QUERY('Volunteer Survey'!A11)"),43452.6249173148)</f>
        <v>43452.624917314803</v>
      </c>
      <c r="B11" s="42" t="s">
        <v>108</v>
      </c>
      <c r="C11" s="47"/>
      <c r="D11" s="59">
        <v>43678</v>
      </c>
      <c r="E11" s="42" t="s">
        <v>117</v>
      </c>
      <c r="F11" s="42" t="s">
        <v>130</v>
      </c>
      <c r="G11" s="42" t="s">
        <v>19</v>
      </c>
      <c r="H11" s="63"/>
      <c r="I11" s="63" t="s">
        <v>139</v>
      </c>
      <c r="J11" s="49"/>
      <c r="K11" s="49"/>
      <c r="L11" s="49" t="str">
        <f ca="1">IFERROR(__xludf.DUMMYFUNCTION("QUERY('Volunteer Survey'!B11)"),"Juan Carlos Diaz ")</f>
        <v xml:space="preserve">Juan Carlos Diaz </v>
      </c>
      <c r="M11" s="49" t="str">
        <f ca="1">IFERROR(__xludf.DUMMYFUNCTION("QUERY('Volunteer Survey'!E11)"),"cuallijuan@hotmail.com ")</f>
        <v xml:space="preserve">cuallijuan@hotmail.com </v>
      </c>
      <c r="N11" s="49" t="str">
        <f ca="1">IFERROR(__xludf.DUMMYFUNCTION("QUERY('Volunteer Survey'!F11)"),"Scientific Researcher")</f>
        <v>Scientific Researcher</v>
      </c>
      <c r="O11" s="42" t="str">
        <f ca="1">IFERROR(__xludf.DUMMYFUNCTION("QUERY('Volunteer Survey'!H11)"),"Comprehensive")</f>
        <v>Comprehensive</v>
      </c>
      <c r="P11" s="49" t="str">
        <f ca="1">IFERROR(__xludf.DUMMYFUNCTION("QUERY('Volunteer Survey'!I11)"),"Clinical Actionability")</f>
        <v>Clinical Actionability</v>
      </c>
      <c r="Q11" s="54" t="str">
        <f ca="1">IFERROR(__xludf.DUMMYFUNCTION("QUERY('Volunteer Survey'!J11)"),"Dosage Sensitivity")</f>
        <v>Dosage Sensitivity</v>
      </c>
      <c r="R11" s="49" t="str">
        <f ca="1">IFERROR(__xludf.DUMMYFUNCTION("QUERY('Volunteer Survey'!K11)"),"Somatic Cancer")</f>
        <v>Somatic Cancer</v>
      </c>
      <c r="S11" s="49" t="str">
        <f ca="1">IFERROR(__xludf.DUMMYFUNCTION("QUERY('Volunteer Survey'!L11)"),"Gene-Disease Validity")</f>
        <v>Gene-Disease Validity</v>
      </c>
      <c r="T11" s="49" t="str">
        <f ca="1">IFERROR(__xludf.DUMMYFUNCTION("QUERY('Volunteer Survey'!M11)"),"Variant Pathogenicity")</f>
        <v>Variant Pathogenicity</v>
      </c>
      <c r="U11" s="58" t="str">
        <f ca="1">IFERROR(__xludf.DUMMYFUNCTION("QUERY('Volunteer Survey'!N11)"),"No ")</f>
        <v xml:space="preserve">No </v>
      </c>
      <c r="V11" s="49" t="str">
        <f ca="1">IFERROR(__xludf.DUMMYFUNCTION("QUERY('Volunteer Survey'!O11)"),"Yes")</f>
        <v>Yes</v>
      </c>
      <c r="W11" s="60" t="str">
        <f ca="1">IFERROR(__xludf.DUMMYFUNCTION("QUERY('Volunteer Survey'!P11)"),"Gene Curation Expert Panels")</f>
        <v>Gene Curation Expert Panels</v>
      </c>
      <c r="X11" s="58" t="str">
        <f ca="1">IFERROR(__xludf.DUMMYFUNCTION("QUERY('Volunteer Survey'!R11)"),"Yes- I am willing to volunteer with any available ClinGen group")</f>
        <v>Yes- I am willing to volunteer with any available ClinGen group</v>
      </c>
      <c r="Y11" s="47"/>
      <c r="Z11" s="174">
        <f ca="1">IFERROR(__xludf.DUMMYFUNCTION("QUERY('Volunteer Survey'!A10)"),43452.6214214004)</f>
        <v>43452.621421400399</v>
      </c>
      <c r="AA11" s="175" t="str">
        <f ca="1">IFERROR(__xludf.DUMMYFUNCTION("QUERY('Volunteer Survey'!B10)"),"Juan Carlos Diaz ")</f>
        <v xml:space="preserve">Juan Carlos Diaz </v>
      </c>
      <c r="AB11" s="175" t="str">
        <f ca="1">IFERROR(__xludf.DUMMYFUNCTION("QUERY('Volunteer Survey'!C10)"),"looking for a postdoc ")</f>
        <v xml:space="preserve">looking for a postdoc </v>
      </c>
      <c r="AC11" s="175" t="str">
        <f ca="1">IFERROR(__xludf.DUMMYFUNCTION("QUERY('Volunteer Survey'!D10)"),"80 Behr apt 301 San Francisco, CA. Zip 94131")</f>
        <v>80 Behr apt 301 San Francisco, CA. Zip 94131</v>
      </c>
      <c r="AD11" s="175" t="str">
        <f ca="1">IFERROR(__xludf.DUMMYFUNCTION("QUERY('Volunteer Survey'!E10)"),"cuallijuan@hotmail.com ")</f>
        <v xml:space="preserve">cuallijuan@hotmail.com </v>
      </c>
      <c r="AE11" s="175" t="str">
        <f ca="1">IFERROR(__xludf.DUMMYFUNCTION("QUERY('Volunteer Survey'!F10)"),"Scientific Researcher")</f>
        <v>Scientific Researcher</v>
      </c>
      <c r="AF11" s="175" t="str">
        <f ca="1">IFERROR(__xludf.DUMMYFUNCTION("QUERY('Volunteer Survey'!G10)"),"I have a PhD from Rice University in Biosciences. I found new missense mutations in the gene Vkorc1 in rodents, Mus musculus, in the USA that I am working to publish. I am really interested to work in ClinGen because I would like to keep myself updated an"&amp;"d learning. I think I can participate in the curation for anticoagulants resistant if is a plan to do that, I understand well the system and the genes involved but I don't mind helping in other gene systems. I am interested in the genes associated with ob"&amp;"esity as well. ")</f>
        <v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v>
      </c>
      <c r="AG11" s="175" t="str">
        <f ca="1">IFERROR(__xludf.DUMMYFUNCTION("QUERY('Volunteer Survey'!H10)"),"Comprehensive")</f>
        <v>Comprehensive</v>
      </c>
      <c r="AH11" s="175" t="str">
        <f ca="1">IFERROR(__xludf.DUMMYFUNCTION("QUERY('Volunteer Survey'!I10)"),"Clinical Actionability")</f>
        <v>Clinical Actionability</v>
      </c>
      <c r="AI11" s="175" t="str">
        <f ca="1">IFERROR(__xludf.DUMMYFUNCTION("QUERY('Volunteer Survey'!J10)"),"Dosage Sensitivity")</f>
        <v>Dosage Sensitivity</v>
      </c>
      <c r="AJ11" s="175" t="str">
        <f ca="1">IFERROR(__xludf.DUMMYFUNCTION("QUERY('Volunteer Survey'!K10)"),"Somatic Cancer")</f>
        <v>Somatic Cancer</v>
      </c>
      <c r="AK11" s="175" t="str">
        <f ca="1">IFERROR(__xludf.DUMMYFUNCTION("QUERY('Volunteer Survey'!L10)"),"Gene-Disease Validity")</f>
        <v>Gene-Disease Validity</v>
      </c>
      <c r="AL11" s="175" t="str">
        <f ca="1">IFERROR(__xludf.DUMMYFUNCTION("QUERY('Volunteer Survey'!M10)"),"Variant Pathogenicity")</f>
        <v>Variant Pathogenicity</v>
      </c>
      <c r="AM11" s="175" t="str">
        <f ca="1">IFERROR(__xludf.DUMMYFUNCTION("QUERY('Volunteer Survey'!N10)"),"No ")</f>
        <v xml:space="preserve">No </v>
      </c>
      <c r="AN11" s="175" t="str">
        <f ca="1">IFERROR(__xludf.DUMMYFUNCTION("QUERY('Volunteer Survey'!O10)"),"Yes")</f>
        <v>Yes</v>
      </c>
      <c r="AO11" s="175" t="str">
        <f ca="1">IFERROR(__xludf.DUMMYFUNCTION("QUERY('Volunteer Survey'!P10)"),"Gene Curation Expert Panels")</f>
        <v>Gene Curation Expert Panels</v>
      </c>
    </row>
    <row r="12" spans="1:41" ht="14">
      <c r="A12" s="44">
        <f ca="1">IFERROR(__xludf.DUMMYFUNCTION("QUERY('Volunteer Survey'!A12)"),43453.1768565162)</f>
        <v>43453.176856516198</v>
      </c>
      <c r="B12" s="42" t="s">
        <v>108</v>
      </c>
      <c r="C12" s="47"/>
      <c r="D12" s="49"/>
      <c r="E12" s="42" t="s">
        <v>130</v>
      </c>
      <c r="F12" s="42" t="s">
        <v>130</v>
      </c>
      <c r="G12" s="42" t="s">
        <v>202</v>
      </c>
      <c r="H12" s="47"/>
      <c r="I12" s="45" t="s">
        <v>139</v>
      </c>
      <c r="J12" s="49"/>
      <c r="K12" s="49"/>
      <c r="L12" s="49" t="str">
        <f ca="1">IFERROR(__xludf.DUMMYFUNCTION("QUERY('Volunteer Survey'!B12)"),"Indu Raja")</f>
        <v>Indu Raja</v>
      </c>
      <c r="M12" s="49" t="str">
        <f ca="1">IFERROR(__xludf.DUMMYFUNCTION("QUERY('Volunteer Survey'!E12)"),"indudraja@gmail.com")</f>
        <v>indudraja@gmail.com</v>
      </c>
      <c r="N12" s="49" t="str">
        <f ca="1">IFERROR(__xludf.DUMMYFUNCTION("QUERY('Volunteer Survey'!F12)"),"laboratory technologist")</f>
        <v>laboratory technologist</v>
      </c>
      <c r="O12" s="42" t="str">
        <f ca="1">IFERROR(__xludf.DUMMYFUNCTION("QUERY('Volunteer Survey'!H12)"),"Baseline")</f>
        <v>Baseline</v>
      </c>
      <c r="P12" s="49" t="str">
        <f ca="1">IFERROR(__xludf.DUMMYFUNCTION("QUERY('Volunteer Survey'!I12)"),"Clinical Actionability")</f>
        <v>Clinical Actionability</v>
      </c>
      <c r="Q12" s="54" t="str">
        <f ca="1">IFERROR(__xludf.DUMMYFUNCTION("QUERY('Volunteer Survey'!J12)"),"Variant Pathogenicity")</f>
        <v>Variant Pathogenicity</v>
      </c>
      <c r="R12" s="49" t="str">
        <f ca="1">IFERROR(__xludf.DUMMYFUNCTION("QUERY('Volunteer Survey'!K12)"),"Dosage Sensitivity")</f>
        <v>Dosage Sensitivity</v>
      </c>
      <c r="S12" s="49" t="str">
        <f ca="1">IFERROR(__xludf.DUMMYFUNCTION("QUERY('Volunteer Survey'!L12)"),"Gene-Disease Validity")</f>
        <v>Gene-Disease Validity</v>
      </c>
      <c r="T12" s="49" t="str">
        <f ca="1">IFERROR(__xludf.DUMMYFUNCTION("QUERY('Volunteer Survey'!M12)"),"")</f>
        <v/>
      </c>
      <c r="U12" s="58" t="str">
        <f ca="1">IFERROR(__xludf.DUMMYFUNCTION("QUERY('Volunteer Survey'!N12)"),"No")</f>
        <v>No</v>
      </c>
      <c r="V12" s="49" t="str">
        <f ca="1">IFERROR(__xludf.DUMMYFUNCTION("QUERY('Volunteer Survey'!O12)"),"Possibly")</f>
        <v>Possibly</v>
      </c>
      <c r="W12" s="60" t="str">
        <f ca="1">IFERROR(__xludf.DUMMYFUNCTION("QUERY('Volunteer Survey'!P12)"),"")</f>
        <v/>
      </c>
      <c r="X12" s="58" t="str">
        <f ca="1">IFERROR(__xludf.DUMMYFUNCTION("QUERY('Volunteer Survey'!R12)"),"Maybe -- please contact me with other options, and I will decide based on what is available")</f>
        <v>Maybe -- please contact me with other options, and I will decide based on what is available</v>
      </c>
      <c r="Y12" s="47"/>
      <c r="Z12" s="174">
        <f ca="1">IFERROR(__xludf.DUMMYFUNCTION("QUERY('Volunteer Survey'!A11)"),43452.6249173148)</f>
        <v>43452.624917314803</v>
      </c>
      <c r="AA12" s="175" t="str">
        <f ca="1">IFERROR(__xludf.DUMMYFUNCTION("QUERY('Volunteer Survey'!B11)"),"Juan Carlos Diaz ")</f>
        <v xml:space="preserve">Juan Carlos Diaz </v>
      </c>
      <c r="AB12" s="175" t="str">
        <f ca="1">IFERROR(__xludf.DUMMYFUNCTION("QUERY('Volunteer Survey'!C11)"),"looking for a postdoc ")</f>
        <v xml:space="preserve">looking for a postdoc </v>
      </c>
      <c r="AC12" s="175" t="str">
        <f ca="1">IFERROR(__xludf.DUMMYFUNCTION("QUERY('Volunteer Survey'!D11)"),"80 Behr apt 301 San Francisco, CA. Zip 94131")</f>
        <v>80 Behr apt 301 San Francisco, CA. Zip 94131</v>
      </c>
      <c r="AD12" s="175" t="str">
        <f ca="1">IFERROR(__xludf.DUMMYFUNCTION("QUERY('Volunteer Survey'!E11)"),"cuallijuan@hotmail.com ")</f>
        <v xml:space="preserve">cuallijuan@hotmail.com </v>
      </c>
      <c r="AE12" s="175" t="str">
        <f ca="1">IFERROR(__xludf.DUMMYFUNCTION("QUERY('Volunteer Survey'!F11)"),"Scientific Researcher")</f>
        <v>Scientific Researcher</v>
      </c>
      <c r="AF12" s="175" t="str">
        <f ca="1">IFERROR(__xludf.DUMMYFUNCTION("QUERY('Volunteer Survey'!G11)"),"I have a PhD from Rice University in Biosciences. I found new missense mutations in the gene Vkorc1 in rodents, Mus musculus, in the USA that I am working to publish. I am really interested to work in ClinGen because I would like to keep myself updated an"&amp;"d learning. I think I can participate in the curation for anticoagulants resistant if is a plan to do that, I understand well the system and the genes involved but I don't mind helping in other gene systems. I am interested in the genes associated with ob"&amp;"esity as well. ")</f>
        <v xml:space="preserve">I have a PhD from Rice University in Biosciences. I found new missense mutations in the gene Vkorc1 in rodents, Mus musculus, in the USA that I am working to publish. I am really interested to work in ClinGen because I would like to keep myself updated and learning. I think I can participate in the curation for anticoagulants resistant if is a plan to do that, I understand well the system and the genes involved but I don't mind helping in other gene systems. I am interested in the genes associated with obesity as well. </v>
      </c>
      <c r="AG12" s="175" t="str">
        <f ca="1">IFERROR(__xludf.DUMMYFUNCTION("QUERY('Volunteer Survey'!H11)"),"Comprehensive")</f>
        <v>Comprehensive</v>
      </c>
      <c r="AH12" s="175" t="str">
        <f ca="1">IFERROR(__xludf.DUMMYFUNCTION("QUERY('Volunteer Survey'!I11)"),"Clinical Actionability")</f>
        <v>Clinical Actionability</v>
      </c>
      <c r="AI12" s="175" t="str">
        <f ca="1">IFERROR(__xludf.DUMMYFUNCTION("QUERY('Volunteer Survey'!J11)"),"Dosage Sensitivity")</f>
        <v>Dosage Sensitivity</v>
      </c>
      <c r="AJ12" s="175" t="str">
        <f ca="1">IFERROR(__xludf.DUMMYFUNCTION("QUERY('Volunteer Survey'!K11)"),"Somatic Cancer")</f>
        <v>Somatic Cancer</v>
      </c>
      <c r="AK12" s="175" t="str">
        <f ca="1">IFERROR(__xludf.DUMMYFUNCTION("QUERY('Volunteer Survey'!L11)"),"Gene-Disease Validity")</f>
        <v>Gene-Disease Validity</v>
      </c>
      <c r="AL12" s="175" t="str">
        <f ca="1">IFERROR(__xludf.DUMMYFUNCTION("QUERY('Volunteer Survey'!M11)"),"Variant Pathogenicity")</f>
        <v>Variant Pathogenicity</v>
      </c>
      <c r="AM12" s="175" t="str">
        <f ca="1">IFERROR(__xludf.DUMMYFUNCTION("QUERY('Volunteer Survey'!N11)"),"No ")</f>
        <v xml:space="preserve">No </v>
      </c>
      <c r="AN12" s="175" t="str">
        <f ca="1">IFERROR(__xludf.DUMMYFUNCTION("QUERY('Volunteer Survey'!O11)"),"Yes")</f>
        <v>Yes</v>
      </c>
      <c r="AO12" s="175" t="str">
        <f ca="1">IFERROR(__xludf.DUMMYFUNCTION("QUERY('Volunteer Survey'!P11)"),"Gene Curation Expert Panels")</f>
        <v>Gene Curation Expert Panels</v>
      </c>
    </row>
    <row r="13" spans="1:41" ht="28">
      <c r="A13" s="44">
        <f ca="1">IFERROR(__xludf.DUMMYFUNCTION("QUERY('Volunteer Survey'!A13)"),43453.5543628703)</f>
        <v>43453.554362870302</v>
      </c>
      <c r="B13" s="42" t="s">
        <v>108</v>
      </c>
      <c r="C13" s="47"/>
      <c r="D13" s="59">
        <v>43570</v>
      </c>
      <c r="E13" s="42" t="s">
        <v>117</v>
      </c>
      <c r="F13" s="42" t="s">
        <v>117</v>
      </c>
      <c r="G13" s="42" t="s">
        <v>122</v>
      </c>
      <c r="H13" s="45" t="s">
        <v>173</v>
      </c>
      <c r="I13" s="45" t="s">
        <v>299</v>
      </c>
      <c r="J13" s="50">
        <v>43712</v>
      </c>
      <c r="K13" s="50"/>
      <c r="L13" s="49" t="str">
        <f ca="1">IFERROR(__xludf.DUMMYFUNCTION("QUERY('Volunteer Survey'!B13)"),"Tomohiko Ai")</f>
        <v>Tomohiko Ai</v>
      </c>
      <c r="M13" s="49" t="str">
        <f ca="1">IFERROR(__xludf.DUMMYFUNCTION("QUERY('Volunteer Survey'!E13)"),"Tomohiko.Ai@osumc.edu")</f>
        <v>Tomohiko.Ai@osumc.edu</v>
      </c>
      <c r="N13" s="49" t="str">
        <f ca="1">IFERROR(__xludf.DUMMYFUNCTION("QUERY('Volunteer Survey'!F13)"),"Scientific Researcher")</f>
        <v>Scientific Researcher</v>
      </c>
      <c r="O13" s="42" t="str">
        <f ca="1">IFERROR(__xludf.DUMMYFUNCTION("QUERY('Volunteer Survey'!H13)"),"Comprehensive")</f>
        <v>Comprehensive</v>
      </c>
      <c r="P13" s="49" t="str">
        <f ca="1">IFERROR(__xludf.DUMMYFUNCTION("QUERY('Volunteer Survey'!I13)"),"Gene-Disease Validity")</f>
        <v>Gene-Disease Validity</v>
      </c>
      <c r="Q13" s="54" t="str">
        <f ca="1">IFERROR(__xludf.DUMMYFUNCTION("QUERY('Volunteer Survey'!J13)"),"Variant Pathogenicity")</f>
        <v>Variant Pathogenicity</v>
      </c>
      <c r="R13" s="49" t="str">
        <f ca="1">IFERROR(__xludf.DUMMYFUNCTION("QUERY('Volunteer Survey'!K13)"),"")</f>
        <v/>
      </c>
      <c r="S13" s="49" t="str">
        <f ca="1">IFERROR(__xludf.DUMMYFUNCTION("QUERY('Volunteer Survey'!L13)"),"")</f>
        <v/>
      </c>
      <c r="T13" s="49" t="str">
        <f ca="1">IFERROR(__xludf.DUMMYFUNCTION("QUERY('Volunteer Survey'!M13)"),"")</f>
        <v/>
      </c>
      <c r="U13" s="58" t="str">
        <f ca="1">IFERROR(__xludf.DUMMYFUNCTION("QUERY('Volunteer Survey'!N13)"),"I have experiences with variant pathogenicity.")</f>
        <v>I have experiences with variant pathogenicity.</v>
      </c>
      <c r="V13" s="49" t="str">
        <f ca="1">IFERROR(__xludf.DUMMYFUNCTION("QUERY('Volunteer Survey'!O13)"),"Possibly")</f>
        <v>Possibly</v>
      </c>
      <c r="W13" s="60" t="str">
        <f ca="1">IFERROR(__xludf.DUMMYFUNCTION("QUERY('Volunteer Survey'!P13)"),"Cardiovascular")</f>
        <v>Cardiovascular</v>
      </c>
      <c r="X13" s="58" t="str">
        <f ca="1">IFERROR(__xludf.DUMMYFUNCTION("QUERY('Volunteer Survey'!R13)"),"Maybe -- please contact me with other options, and I will decide based on what is available")</f>
        <v>Maybe -- please contact me with other options, and I will decide based on what is available</v>
      </c>
      <c r="Y13" s="47"/>
      <c r="Z13" s="174">
        <f ca="1">IFERROR(__xludf.DUMMYFUNCTION("QUERY('Volunteer Survey'!A12)"),43453.1768565162)</f>
        <v>43453.176856516198</v>
      </c>
      <c r="AA13" s="175" t="str">
        <f ca="1">IFERROR(__xludf.DUMMYFUNCTION("QUERY('Volunteer Survey'!B12)"),"Indu Raja")</f>
        <v>Indu Raja</v>
      </c>
      <c r="AB13" s="175" t="str">
        <f ca="1">IFERROR(__xludf.DUMMYFUNCTION("QUERY('Volunteer Survey'!C12)"),"Sidra Medicine")</f>
        <v>Sidra Medicine</v>
      </c>
      <c r="AC13" s="175" t="str">
        <f ca="1">IFERROR(__xludf.DUMMYFUNCTION("QUERY('Volunteer Survey'!D12)"),"")</f>
        <v/>
      </c>
      <c r="AD13" s="175" t="str">
        <f ca="1">IFERROR(__xludf.DUMMYFUNCTION("QUERY('Volunteer Survey'!E12)"),"indudraja@gmail.com")</f>
        <v>indudraja@gmail.com</v>
      </c>
      <c r="AE13" s="175" t="str">
        <f ca="1">IFERROR(__xludf.DUMMYFUNCTION("QUERY('Volunteer Survey'!F12)"),"laboratory technologist")</f>
        <v>laboratory technologist</v>
      </c>
      <c r="AF13" s="175" t="str">
        <f ca="1">IFERROR(__xludf.DUMMYFUNCTION("QUERY('Volunteer Survey'!G12)"),"ClinGen Genome Dosage resources are used by our lab for microarray data analysis. As there is an explosion of big data with newer technologies and research, it is imperative that this information be translated into a clinical setting in a meaningful way, "&amp;"hence I would be interested in doing my part in curation and making the data publicly available. Neurodevelopmental disorders/ASD/leukemia's are some of my areas of interest.")</f>
        <v>ClinGen Genome Dosage resources are used by our lab for microarray data analysis. As there is an explosion of big data with newer technologies and research, it is imperative that this information be translated into a clinical setting in a meaningful way, hence I would be interested in doing my part in curation and making the data publicly available. Neurodevelopmental disorders/ASD/leukemia's are some of my areas of interest.</v>
      </c>
      <c r="AG13" s="175" t="str">
        <f ca="1">IFERROR(__xludf.DUMMYFUNCTION("QUERY('Volunteer Survey'!H12)"),"Baseline")</f>
        <v>Baseline</v>
      </c>
      <c r="AH13" s="175" t="str">
        <f ca="1">IFERROR(__xludf.DUMMYFUNCTION("QUERY('Volunteer Survey'!I12)"),"Clinical Actionability")</f>
        <v>Clinical Actionability</v>
      </c>
      <c r="AI13" s="175" t="str">
        <f ca="1">IFERROR(__xludf.DUMMYFUNCTION("QUERY('Volunteer Survey'!J12)"),"Variant Pathogenicity")</f>
        <v>Variant Pathogenicity</v>
      </c>
      <c r="AJ13" s="175" t="str">
        <f ca="1">IFERROR(__xludf.DUMMYFUNCTION("QUERY('Volunteer Survey'!K12)"),"Dosage Sensitivity")</f>
        <v>Dosage Sensitivity</v>
      </c>
      <c r="AK13" s="175" t="str">
        <f ca="1">IFERROR(__xludf.DUMMYFUNCTION("QUERY('Volunteer Survey'!L12)"),"Gene-Disease Validity")</f>
        <v>Gene-Disease Validity</v>
      </c>
      <c r="AL13" s="175" t="str">
        <f ca="1">IFERROR(__xludf.DUMMYFUNCTION("QUERY('Volunteer Survey'!M12)"),"")</f>
        <v/>
      </c>
      <c r="AM13" s="175" t="str">
        <f ca="1">IFERROR(__xludf.DUMMYFUNCTION("QUERY('Volunteer Survey'!N12)"),"No")</f>
        <v>No</v>
      </c>
      <c r="AN13" s="175" t="str">
        <f ca="1">IFERROR(__xludf.DUMMYFUNCTION("QUERY('Volunteer Survey'!O12)"),"Possibly")</f>
        <v>Possibly</v>
      </c>
      <c r="AO13" s="175" t="str">
        <f ca="1">IFERROR(__xludf.DUMMYFUNCTION("QUERY('Volunteer Survey'!P12)"),"")</f>
        <v/>
      </c>
    </row>
    <row r="14" spans="1:41" ht="14">
      <c r="A14" s="44">
        <f ca="1">IFERROR(__xludf.DUMMYFUNCTION("QUERY('Volunteer Survey'!A14)"),43404.8743634259)</f>
        <v>43404.874363425901</v>
      </c>
      <c r="B14" s="42" t="s">
        <v>168</v>
      </c>
      <c r="C14" s="73">
        <v>43474</v>
      </c>
      <c r="D14" s="43">
        <v>43476</v>
      </c>
      <c r="E14" s="42" t="s">
        <v>117</v>
      </c>
      <c r="F14" s="42" t="s">
        <v>130</v>
      </c>
      <c r="G14" s="42" t="s">
        <v>136</v>
      </c>
      <c r="H14" s="45" t="s">
        <v>179</v>
      </c>
      <c r="I14" s="45" t="s">
        <v>139</v>
      </c>
      <c r="J14" s="50">
        <v>43592</v>
      </c>
      <c r="K14" s="42" t="s">
        <v>300</v>
      </c>
      <c r="L14" s="49" t="str">
        <f ca="1">IFERROR(__xludf.DUMMYFUNCTION("QUERY('Volunteer Survey'!B14)"),"Rajavarman Kittu")</f>
        <v>Rajavarman Kittu</v>
      </c>
      <c r="M14" s="49" t="str">
        <f ca="1">IFERROR(__xludf.DUMMYFUNCTION("QUERY('Volunteer Survey'!E14)"),"rajavarman21@gmail.com")</f>
        <v>rajavarman21@gmail.com</v>
      </c>
      <c r="N14" s="49" t="str">
        <f ca="1">IFERROR(__xludf.DUMMYFUNCTION("QUERY('Volunteer Survey'!F14)"),"Variant Analyst/Scientist")</f>
        <v>Variant Analyst/Scientist</v>
      </c>
      <c r="O14" s="42" t="str">
        <f ca="1">IFERROR(__xludf.DUMMYFUNCTION("QUERY('Volunteer Survey'!H14)"),"Comprehensive")</f>
        <v>Comprehensive</v>
      </c>
      <c r="P14" s="42" t="s">
        <v>136</v>
      </c>
      <c r="Q14" s="75" t="s">
        <v>251</v>
      </c>
      <c r="R14" s="49" t="str">
        <f ca="1">IFERROR(__xludf.DUMMYFUNCTION("QUERY('Volunteer Survey'!K14)"),"Clinical Actionability")</f>
        <v>Clinical Actionability</v>
      </c>
      <c r="S14" s="49" t="str">
        <f ca="1">IFERROR(__xludf.DUMMYFUNCTION("QUERY('Volunteer Survey'!L14)"),"Gene-Disease Validity")</f>
        <v>Gene-Disease Validity</v>
      </c>
      <c r="T14" s="49" t="str">
        <f ca="1">IFERROR(__xludf.DUMMYFUNCTION("QUERY('Volunteer Survey'!M14)"),"Dosage Sensitivity")</f>
        <v>Dosage Sensitivity</v>
      </c>
      <c r="U14" s="58" t="str">
        <f ca="1">IFERROR(__xludf.DUMMYFUNCTION("QUERY('Volunteer Survey'!N14)"),"Yea being variant analyst I'm doing curation in and out before reporting any patient observed in patient")</f>
        <v>Yea being variant analyst I'm doing curation in and out before reporting any patient observed in patient</v>
      </c>
      <c r="V14" s="49" t="str">
        <f ca="1">IFERROR(__xludf.DUMMYFUNCTION("QUERY('Volunteer Survey'!O14)"),"Possibly")</f>
        <v>Possibly</v>
      </c>
      <c r="W14" s="60" t="str">
        <f ca="1">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c r="X14" s="58" t="str">
        <f ca="1">IFERROR(__xludf.DUMMYFUNCTION("QUERY('Volunteer Survey'!R14)"),"Yes- I am willing to volunteer with any available ClinGen group")</f>
        <v>Yes- I am willing to volunteer with any available ClinGen group</v>
      </c>
      <c r="Y14" s="74" t="s">
        <v>301</v>
      </c>
      <c r="Z14" s="174">
        <f ca="1">IFERROR(__xludf.DUMMYFUNCTION("QUERY('Volunteer Survey'!A13)"),43453.5543628703)</f>
        <v>43453.554362870302</v>
      </c>
      <c r="AA14" s="175" t="str">
        <f ca="1">IFERROR(__xludf.DUMMYFUNCTION("QUERY('Volunteer Survey'!B13)"),"Tomohiko Ai")</f>
        <v>Tomohiko Ai</v>
      </c>
      <c r="AB14" s="175" t="str">
        <f ca="1">IFERROR(__xludf.DUMMYFUNCTION("QUERY('Volunteer Survey'!C13)"),"Ohio State University")</f>
        <v>Ohio State University</v>
      </c>
      <c r="AC14" s="175" t="str">
        <f ca="1">IFERROR(__xludf.DUMMYFUNCTION("QUERY('Volunteer Survey'!D13)"),"336 BRT W. 12 Ave. Columbus, Ohio 43210")</f>
        <v>336 BRT W. 12 Ave. Columbus, Ohio 43210</v>
      </c>
      <c r="AD14" s="175" t="str">
        <f ca="1">IFERROR(__xludf.DUMMYFUNCTION("QUERY('Volunteer Survey'!E13)"),"Tomohiko.Ai@osumc.edu")</f>
        <v>Tomohiko.Ai@osumc.edu</v>
      </c>
      <c r="AE14" s="175" t="str">
        <f ca="1">IFERROR(__xludf.DUMMYFUNCTION("QUERY('Volunteer Survey'!F13)"),"Scientific Researcher")</f>
        <v>Scientific Researcher</v>
      </c>
      <c r="AF14" s="175" t="str">
        <f ca="1">IFERROR(__xludf.DUMMYFUNCTION("QUERY('Volunteer Survey'!G13)"),"I have been adjudicating variants of DCM at Ohio State University. I have been performing translational research in cardiovascular medicine. I am interested in underling molecular mechanisms of cardiomayopathy and arrhythmias.")</f>
        <v>I have been adjudicating variants of DCM at Ohio State University. I have been performing translational research in cardiovascular medicine. I am interested in underling molecular mechanisms of cardiomayopathy and arrhythmias.</v>
      </c>
      <c r="AG14" s="175" t="str">
        <f ca="1">IFERROR(__xludf.DUMMYFUNCTION("QUERY('Volunteer Survey'!H13)"),"Comprehensive")</f>
        <v>Comprehensive</v>
      </c>
      <c r="AH14" s="175" t="str">
        <f ca="1">IFERROR(__xludf.DUMMYFUNCTION("QUERY('Volunteer Survey'!I13)"),"Gene-Disease Validity")</f>
        <v>Gene-Disease Validity</v>
      </c>
      <c r="AI14" s="175" t="str">
        <f ca="1">IFERROR(__xludf.DUMMYFUNCTION("QUERY('Volunteer Survey'!J13)"),"Variant Pathogenicity")</f>
        <v>Variant Pathogenicity</v>
      </c>
      <c r="AJ14" s="175" t="str">
        <f ca="1">IFERROR(__xludf.DUMMYFUNCTION("QUERY('Volunteer Survey'!K13)"),"")</f>
        <v/>
      </c>
      <c r="AK14" s="175" t="str">
        <f ca="1">IFERROR(__xludf.DUMMYFUNCTION("QUERY('Volunteer Survey'!L13)"),"")</f>
        <v/>
      </c>
      <c r="AL14" s="175" t="str">
        <f ca="1">IFERROR(__xludf.DUMMYFUNCTION("QUERY('Volunteer Survey'!M13)"),"")</f>
        <v/>
      </c>
      <c r="AM14" s="175" t="str">
        <f ca="1">IFERROR(__xludf.DUMMYFUNCTION("QUERY('Volunteer Survey'!N13)"),"I have experiences with variant pathogenicity.")</f>
        <v>I have experiences with variant pathogenicity.</v>
      </c>
      <c r="AN14" s="175" t="str">
        <f ca="1">IFERROR(__xludf.DUMMYFUNCTION("QUERY('Volunteer Survey'!O13)"),"Possibly")</f>
        <v>Possibly</v>
      </c>
      <c r="AO14" s="175" t="str">
        <f ca="1">IFERROR(__xludf.DUMMYFUNCTION("QUERY('Volunteer Survey'!P13)"),"Cardiovascular")</f>
        <v>Cardiovascular</v>
      </c>
    </row>
    <row r="15" spans="1:41" ht="14">
      <c r="A15" s="44">
        <f ca="1">IFERROR(__xludf.DUMMYFUNCTION("QUERY('Volunteer Survey'!A15)"),43454.6513332638)</f>
        <v>43454.651333263799</v>
      </c>
      <c r="B15" s="42" t="s">
        <v>108</v>
      </c>
      <c r="C15" s="47"/>
      <c r="D15" s="59">
        <v>43678</v>
      </c>
      <c r="E15" s="42" t="s">
        <v>117</v>
      </c>
      <c r="F15" s="42" t="s">
        <v>130</v>
      </c>
      <c r="G15" s="42" t="s">
        <v>19</v>
      </c>
      <c r="H15" s="63"/>
      <c r="I15" s="63" t="s">
        <v>139</v>
      </c>
      <c r="J15" s="49"/>
      <c r="K15" s="49"/>
      <c r="L15" s="49" t="str">
        <f ca="1">IFERROR(__xludf.DUMMYFUNCTION("QUERY('Volunteer Survey'!B15)"),"Rhea Vallente")</f>
        <v>Rhea Vallente</v>
      </c>
      <c r="M15" s="49" t="str">
        <f ca="1">IFERROR(__xludf.DUMMYFUNCTION("QUERY('Volunteer Survey'!E15)"),"rvallente@fulgentgenetics.com")</f>
        <v>rvallente@fulgentgenetics.com</v>
      </c>
      <c r="N15" s="49" t="str">
        <f ca="1">IFERROR(__xludf.DUMMYFUNCTION("QUERY('Volunteer Survey'!F15)"),"Variant Analyst/Scientist")</f>
        <v>Variant Analyst/Scientist</v>
      </c>
      <c r="O15" s="42" t="str">
        <f ca="1">IFERROR(__xludf.DUMMYFUNCTION("QUERY('Volunteer Survey'!H15)"),"Comprehensive")</f>
        <v>Comprehensive</v>
      </c>
      <c r="P15" s="49" t="str">
        <f ca="1">IFERROR(__xludf.DUMMYFUNCTION("QUERY('Volunteer Survey'!I15)"),"Clinical Actionability")</f>
        <v>Clinical Actionability</v>
      </c>
      <c r="Q15" s="54" t="str">
        <f ca="1">IFERROR(__xludf.DUMMYFUNCTION("QUERY('Volunteer Survey'!J15)"),"Gene-Disease Validity")</f>
        <v>Gene-Disease Validity</v>
      </c>
      <c r="R15" s="49" t="str">
        <f ca="1">IFERROR(__xludf.DUMMYFUNCTION("QUERY('Volunteer Survey'!K15)"),"Variant Pathogenicity")</f>
        <v>Variant Pathogenicity</v>
      </c>
      <c r="S15" s="49" t="str">
        <f ca="1">IFERROR(__xludf.DUMMYFUNCTION("QUERY('Volunteer Survey'!L15)"),"Dosage Sensitivity")</f>
        <v>Dosage Sensitivity</v>
      </c>
      <c r="T15" s="49" t="str">
        <f ca="1">IFERROR(__xludf.DUMMYFUNCTION("QUERY('Volunteer Survey'!M15)"),"Somatic Cancer")</f>
        <v>Somatic Cancer</v>
      </c>
      <c r="U15" s="58" t="str">
        <f ca="1">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V15" s="49" t="str">
        <f ca="1">IFERROR(__xludf.DUMMYFUNCTION("QUERY('Volunteer Survey'!O15)"),"Yes")</f>
        <v>Yes</v>
      </c>
      <c r="W15" s="60" t="str">
        <f ca="1">IFERROR(__xludf.DUMMYFUNCTION("QUERY('Volunteer Survey'!P15)"),"Hearing loss")</f>
        <v>Hearing loss</v>
      </c>
      <c r="X15" s="58" t="str">
        <f ca="1">IFERROR(__xludf.DUMMYFUNCTION("QUERY('Volunteer Survey'!R15)"),"Yes- I am willing to volunteer with any available ClinGen group")</f>
        <v>Yes- I am willing to volunteer with any available ClinGen group</v>
      </c>
      <c r="Y15" s="47"/>
      <c r="Z15" s="174">
        <f ca="1">IFERROR(__xludf.DUMMYFUNCTION("QUERY('Volunteer Survey'!A14)"),43404.8743634259)</f>
        <v>43404.874363425901</v>
      </c>
      <c r="AA15" s="175" t="str">
        <f ca="1">IFERROR(__xludf.DUMMYFUNCTION("QUERY('Volunteer Survey'!B14)"),"Rajavarman Kittu")</f>
        <v>Rajavarman Kittu</v>
      </c>
      <c r="AB15" s="175" t="str">
        <f ca="1">IFERROR(__xludf.DUMMYFUNCTION("QUERY('Volunteer Survey'!C14)"),"kokilaben dhirubhai ambani hospital and medical research centre")</f>
        <v>kokilaben dhirubhai ambani hospital and medical research centre</v>
      </c>
      <c r="AC15" s="175" t="str">
        <f ca="1">IFERROR(__xludf.DUMMYFUNCTION("QUERY('Volunteer Survey'!D14)"),"Four Bungalows, Andheri West, Mumbai, Maharashtra, India 400053")</f>
        <v>Four Bungalows, Andheri West, Mumbai, Maharashtra, India 400053</v>
      </c>
      <c r="AD15" s="175" t="str">
        <f ca="1">IFERROR(__xludf.DUMMYFUNCTION("QUERY('Volunteer Survey'!E14)"),"rajavarman21@gmail.com")</f>
        <v>rajavarman21@gmail.com</v>
      </c>
      <c r="AE15" s="175" t="str">
        <f ca="1">IFERROR(__xludf.DUMMYFUNCTION("QUERY('Volunteer Survey'!F14)"),"Variant Analyst/Scientist")</f>
        <v>Variant Analyst/Scientist</v>
      </c>
      <c r="AF15" s="175" t="str">
        <f ca="1">IFERROR(__xludf.DUMMYFUNCTION("QUERY('Volunteer Survey'!G14)"),"when i attended the webinar meeting realised there are bunch of interesting people working behind clingen. My passion is to work in clinical genomics space.Also, I strongly believe   my contributing  to ClinGen would  help the clingen database to improve "&amp;"better at the same time, my knowledge and understanding over the variant interpretation skills will also get improve.So considering the mutual benefits i would like to be active member of the ClinGen team and contributing as much as i can.")</f>
        <v>when i attended the webinar meeting realised there are bunch of interesting people working behind clingen. My passion is to work in clinical genomics space.Also, I strongly believe   my contributing  to ClinGen would  help the clingen database to improve better at the same time, my knowledge and understanding over the variant interpretation skills will also get improve.So considering the mutual benefits i would like to be active member of the ClinGen team and contributing as much as i can.</v>
      </c>
      <c r="AG15" s="175" t="str">
        <f ca="1">IFERROR(__xludf.DUMMYFUNCTION("QUERY('Volunteer Survey'!H14)"),"Comprehensive")</f>
        <v>Comprehensive</v>
      </c>
      <c r="AH15" s="175" t="str">
        <f ca="1">IFERROR(__xludf.DUMMYFUNCTION("QUERY('Volunteer Survey'!I14)"),"Variant Pathogenicity")</f>
        <v>Variant Pathogenicity</v>
      </c>
      <c r="AI15" s="175" t="str">
        <f ca="1">IFERROR(__xludf.DUMMYFUNCTION("QUERY('Volunteer Survey'!J14)"),"Somatic Cancer")</f>
        <v>Somatic Cancer</v>
      </c>
      <c r="AJ15" s="175" t="str">
        <f ca="1">IFERROR(__xludf.DUMMYFUNCTION("QUERY('Volunteer Survey'!K14)"),"Clinical Actionability")</f>
        <v>Clinical Actionability</v>
      </c>
      <c r="AK15" s="175" t="str">
        <f ca="1">IFERROR(__xludf.DUMMYFUNCTION("QUERY('Volunteer Survey'!L14)"),"Gene-Disease Validity")</f>
        <v>Gene-Disease Validity</v>
      </c>
      <c r="AL15" s="175" t="str">
        <f ca="1">IFERROR(__xludf.DUMMYFUNCTION("QUERY('Volunteer Survey'!M14)"),"Dosage Sensitivity")</f>
        <v>Dosage Sensitivity</v>
      </c>
      <c r="AM15" s="175" t="str">
        <f ca="1">IFERROR(__xludf.DUMMYFUNCTION("QUERY('Volunteer Survey'!N14)"),"Yea being variant analyst I'm doing curation in and out before reporting any patient observed in patient")</f>
        <v>Yea being variant analyst I'm doing curation in and out before reporting any patient observed in patient</v>
      </c>
      <c r="AN15" s="175" t="str">
        <f ca="1">IFERROR(__xludf.DUMMYFUNCTION("QUERY('Volunteer Survey'!O14)"),"Possibly")</f>
        <v>Possibly</v>
      </c>
      <c r="AO15" s="175" t="str">
        <f ca="1">IFERROR(__xludf.DUMMYFUNCTION("QUERY('Volunteer Survey'!P14)"),"As mentioned above in the table( ranking) i prefer to contribute. if that is not possible i would like to be any ClinGen Expert Panel/Working Group where there is need for help.")</f>
        <v>As mentioned above in the table( ranking) i prefer to contribute. if that is not possible i would like to be any ClinGen Expert Panel/Working Group where there is need for help.</v>
      </c>
    </row>
    <row r="16" spans="1:41" ht="14">
      <c r="A16" s="44">
        <f ca="1">IFERROR(__xludf.DUMMYFUNCTION("QUERY('Volunteer Survey'!A16)"),43462.7220768287)</f>
        <v>43462.722076828701</v>
      </c>
      <c r="B16" s="42" t="s">
        <v>125</v>
      </c>
      <c r="C16" s="47"/>
      <c r="D16" s="50">
        <v>43585</v>
      </c>
      <c r="E16" s="42" t="s">
        <v>117</v>
      </c>
      <c r="F16" s="42" t="s">
        <v>117</v>
      </c>
      <c r="G16" s="42" t="s">
        <v>122</v>
      </c>
      <c r="H16" s="45" t="s">
        <v>197</v>
      </c>
      <c r="I16" s="45" t="s">
        <v>139</v>
      </c>
      <c r="J16" s="50">
        <v>43712</v>
      </c>
      <c r="K16" s="50"/>
      <c r="L16" s="49" t="str">
        <f ca="1">IFERROR(__xludf.DUMMYFUNCTION("QUERY('Volunteer Survey'!B16)"),"Caitlin Hale")</f>
        <v>Caitlin Hale</v>
      </c>
      <c r="M16" s="49" t="str">
        <f ca="1">IFERROR(__xludf.DUMMYFUNCTION("QUERY('Volunteer Survey'!E16)"),"CHale@stanfordchildrens.org")</f>
        <v>CHale@stanfordchildrens.org</v>
      </c>
      <c r="N16" s="49" t="str">
        <f ca="1">IFERROR(__xludf.DUMMYFUNCTION("QUERY('Volunteer Survey'!F16)"),"Genetic counselor")</f>
        <v>Genetic counselor</v>
      </c>
      <c r="O16" s="42" t="str">
        <f ca="1">IFERROR(__xludf.DUMMYFUNCTION("QUERY('Volunteer Survey'!H16)"),"Comprehensive")</f>
        <v>Comprehensive</v>
      </c>
      <c r="P16" s="49" t="str">
        <f ca="1">IFERROR(__xludf.DUMMYFUNCTION("QUERY('Volunteer Survey'!I16)"),"Gene-Disease Validity")</f>
        <v>Gene-Disease Validity</v>
      </c>
      <c r="Q16" s="54" t="str">
        <f ca="1">IFERROR(__xludf.DUMMYFUNCTION("QUERY('Volunteer Survey'!J16)"),"Variant Pathogenicity")</f>
        <v>Variant Pathogenicity</v>
      </c>
      <c r="R16" s="49" t="str">
        <f ca="1">IFERROR(__xludf.DUMMYFUNCTION("QUERY('Volunteer Survey'!K16)"),"Dosage Sensitivity")</f>
        <v>Dosage Sensitivity</v>
      </c>
      <c r="S16" s="49" t="str">
        <f ca="1">IFERROR(__xludf.DUMMYFUNCTION("QUERY('Volunteer Survey'!L16)"),"Clinical Actionability")</f>
        <v>Clinical Actionability</v>
      </c>
      <c r="T16" s="49" t="str">
        <f ca="1">IFERROR(__xludf.DUMMYFUNCTION("QUERY('Volunteer Survey'!M16)"),"Somatic Cancer")</f>
        <v>Somatic Cancer</v>
      </c>
      <c r="U16" s="58" t="str">
        <f ca="1">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V16" s="49" t="str">
        <f ca="1">IFERROR(__xludf.DUMMYFUNCTION("QUERY('Volunteer Survey'!O16)"),"Possibly")</f>
        <v>Possibly</v>
      </c>
      <c r="W16" s="60" t="str">
        <f ca="1">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c r="X16" s="58" t="str">
        <f ca="1">IFERROR(__xludf.DUMMYFUNCTION("QUERY('Volunteer Survey'!R16)"),"Yes- I am willing to volunteer with any available ClinGen group")</f>
        <v>Yes- I am willing to volunteer with any available ClinGen group</v>
      </c>
      <c r="Y16" s="47"/>
      <c r="Z16" s="174">
        <f ca="1">IFERROR(__xludf.DUMMYFUNCTION("QUERY('Volunteer Survey'!A15)"),43454.6513332638)</f>
        <v>43454.651333263799</v>
      </c>
      <c r="AA16" s="175" t="str">
        <f ca="1">IFERROR(__xludf.DUMMYFUNCTION("QUERY('Volunteer Survey'!B15)"),"Rhea Vallente")</f>
        <v>Rhea Vallente</v>
      </c>
      <c r="AB16" s="175" t="str">
        <f ca="1">IFERROR(__xludf.DUMMYFUNCTION("QUERY('Volunteer Survey'!C15)"),"Fulgent Genetics")</f>
        <v>Fulgent Genetics</v>
      </c>
      <c r="AC16" s="175" t="str">
        <f ca="1">IFERROR(__xludf.DUMMYFUNCTION("QUERY('Volunteer Survey'!D15)"),"")</f>
        <v/>
      </c>
      <c r="AD16" s="175" t="str">
        <f ca="1">IFERROR(__xludf.DUMMYFUNCTION("QUERY('Volunteer Survey'!E15)"),"rvallente@fulgentgenetics.com")</f>
        <v>rvallente@fulgentgenetics.com</v>
      </c>
      <c r="AE16" s="175" t="str">
        <f ca="1">IFERROR(__xludf.DUMMYFUNCTION("QUERY('Volunteer Survey'!F15)"),"Variant Analyst/Scientist")</f>
        <v>Variant Analyst/Scientist</v>
      </c>
      <c r="AF16" s="175" t="str">
        <f ca="1">IFERROR(__xludf.DUMMYFUNCTION("QUERY('Volunteer Survey'!G15)"),"I would like to help out in curating variants related to hearing loss because I managed a next-gen hearing loss panel when I worked as a Human Molecular Geneticist at PreventionGenetics. I am now working as a Genomic Curation Scientist at FulgentGenetics.")</f>
        <v>I would like to help out in curating variants related to hearing loss because I managed a next-gen hearing loss panel when I worked as a Human Molecular Geneticist at PreventionGenetics. I am now working as a Genomic Curation Scientist at FulgentGenetics.</v>
      </c>
      <c r="AG16" s="175" t="str">
        <f ca="1">IFERROR(__xludf.DUMMYFUNCTION("QUERY('Volunteer Survey'!H15)"),"Comprehensive")</f>
        <v>Comprehensive</v>
      </c>
      <c r="AH16" s="175" t="str">
        <f ca="1">IFERROR(__xludf.DUMMYFUNCTION("QUERY('Volunteer Survey'!I15)"),"Clinical Actionability")</f>
        <v>Clinical Actionability</v>
      </c>
      <c r="AI16" s="175" t="str">
        <f ca="1">IFERROR(__xludf.DUMMYFUNCTION("QUERY('Volunteer Survey'!J15)"),"Gene-Disease Validity")</f>
        <v>Gene-Disease Validity</v>
      </c>
      <c r="AJ16" s="175" t="str">
        <f ca="1">IFERROR(__xludf.DUMMYFUNCTION("QUERY('Volunteer Survey'!K15)"),"Variant Pathogenicity")</f>
        <v>Variant Pathogenicity</v>
      </c>
      <c r="AK16" s="175" t="str">
        <f ca="1">IFERROR(__xludf.DUMMYFUNCTION("QUERY('Volunteer Survey'!L15)"),"Dosage Sensitivity")</f>
        <v>Dosage Sensitivity</v>
      </c>
      <c r="AL16" s="175" t="str">
        <f ca="1">IFERROR(__xludf.DUMMYFUNCTION("QUERY('Volunteer Survey'!M15)"),"Somatic Cancer")</f>
        <v>Somatic Cancer</v>
      </c>
      <c r="AM16" s="175" t="str">
        <f ca="1">IFERROR(__xludf.DUMMYFUNCTION("QUERY('Volunteer Survey'!N15)"),"Yes. I have been curating variants for five years, starting at PreventionGenetics, then I moved to EGL Genetics, and now I'm working for Fulgent Genetics.")</f>
        <v>Yes. I have been curating variants for five years, starting at PreventionGenetics, then I moved to EGL Genetics, and now I'm working for Fulgent Genetics.</v>
      </c>
      <c r="AN16" s="175" t="str">
        <f ca="1">IFERROR(__xludf.DUMMYFUNCTION("QUERY('Volunteer Survey'!O15)"),"Yes")</f>
        <v>Yes</v>
      </c>
      <c r="AO16" s="175" t="str">
        <f ca="1">IFERROR(__xludf.DUMMYFUNCTION("QUERY('Volunteer Survey'!P15)"),"Hearing loss")</f>
        <v>Hearing loss</v>
      </c>
    </row>
    <row r="17" spans="1:41" ht="14">
      <c r="A17" s="44">
        <f ca="1">IFERROR(__xludf.DUMMYFUNCTION("QUERY('Volunteer Survey'!A17)"),43465.4694648842)</f>
        <v>43465.469464884198</v>
      </c>
      <c r="B17" s="42" t="s">
        <v>108</v>
      </c>
      <c r="C17" s="47"/>
      <c r="D17" s="67">
        <v>43567</v>
      </c>
      <c r="E17" s="42" t="s">
        <v>117</v>
      </c>
      <c r="F17" s="42" t="s">
        <v>117</v>
      </c>
      <c r="G17" s="42" t="s">
        <v>19</v>
      </c>
      <c r="H17" s="63" t="s">
        <v>19</v>
      </c>
      <c r="I17" s="63" t="s">
        <v>139</v>
      </c>
      <c r="J17" s="50">
        <v>43712</v>
      </c>
      <c r="K17" s="50"/>
      <c r="L17" s="49" t="str">
        <f ca="1">IFERROR(__xludf.DUMMYFUNCTION("QUERY('Volunteer Survey'!B17)"),"Melissa Murfin")</f>
        <v>Melissa Murfin</v>
      </c>
      <c r="M17" s="49" t="str">
        <f ca="1">IFERROR(__xludf.DUMMYFUNCTION("QUERY('Volunteer Survey'!E17)"),"mmurfin@elon.edu")</f>
        <v>mmurfin@elon.edu</v>
      </c>
      <c r="N17" s="49" t="str">
        <f ca="1">IFERROR(__xludf.DUMMYFUNCTION("QUERY('Volunteer Survey'!F17)"),"Pharmacist/PA-C, PA program director")</f>
        <v>Pharmacist/PA-C, PA program director</v>
      </c>
      <c r="O17" s="42" t="str">
        <f ca="1">IFERROR(__xludf.DUMMYFUNCTION("QUERY('Volunteer Survey'!H17)"),"Comprehensive")</f>
        <v>Comprehensive</v>
      </c>
      <c r="P17" s="49" t="str">
        <f ca="1">IFERROR(__xludf.DUMMYFUNCTION("QUERY('Volunteer Survey'!I17)"),"Clinical Actionability")</f>
        <v>Clinical Actionability</v>
      </c>
      <c r="Q17" s="54" t="str">
        <f ca="1">IFERROR(__xludf.DUMMYFUNCTION("QUERY('Volunteer Survey'!J17)"),"Dosage Sensitivity")</f>
        <v>Dosage Sensitivity</v>
      </c>
      <c r="R17" s="49" t="str">
        <f ca="1">IFERROR(__xludf.DUMMYFUNCTION("QUERY('Volunteer Survey'!K17)"),"Gene-Disease Validity")</f>
        <v>Gene-Disease Validity</v>
      </c>
      <c r="S17" s="49" t="str">
        <f ca="1">IFERROR(__xludf.DUMMYFUNCTION("QUERY('Volunteer Survey'!L17)"),"Variant Pathogenicity")</f>
        <v>Variant Pathogenicity</v>
      </c>
      <c r="T17" s="49" t="str">
        <f ca="1">IFERROR(__xludf.DUMMYFUNCTION("QUERY('Volunteer Survey'!M17)"),"Somatic Cancer")</f>
        <v>Somatic Cancer</v>
      </c>
      <c r="U17" s="58" t="str">
        <f ca="1">IFERROR(__xludf.DUMMYFUNCTION("QUERY('Volunteer Survey'!N17)"),"")</f>
        <v/>
      </c>
      <c r="V17" s="49" t="str">
        <f ca="1">IFERROR(__xludf.DUMMYFUNCTION("QUERY('Volunteer Survey'!O17)"),"Possibly")</f>
        <v>Possibly</v>
      </c>
      <c r="W17" s="60" t="str">
        <f ca="1">IFERROR(__xludf.DUMMYFUNCTION("QUERY('Volunteer Survey'!P17)"),"I am open to any opportunity")</f>
        <v>I am open to any opportunity</v>
      </c>
      <c r="X17" s="58" t="str">
        <f ca="1">IFERROR(__xludf.DUMMYFUNCTION("QUERY('Volunteer Survey'!R17)"),"Yes- I am willing to volunteer with any available ClinGen group")</f>
        <v>Yes- I am willing to volunteer with any available ClinGen group</v>
      </c>
      <c r="Y17" s="47"/>
      <c r="Z17" s="174">
        <f ca="1">IFERROR(__xludf.DUMMYFUNCTION("QUERY('Volunteer Survey'!A16)"),43462.7220768287)</f>
        <v>43462.722076828701</v>
      </c>
      <c r="AA17" s="175" t="str">
        <f ca="1">IFERROR(__xludf.DUMMYFUNCTION("QUERY('Volunteer Survey'!B16)"),"Caitlin Hale")</f>
        <v>Caitlin Hale</v>
      </c>
      <c r="AB17" s="175" t="str">
        <f ca="1">IFERROR(__xludf.DUMMYFUNCTION("QUERY('Volunteer Survey'!C16)"),"Lucile Packard Children's Hospital Stanford")</f>
        <v>Lucile Packard Children's Hospital Stanford</v>
      </c>
      <c r="AC17" s="175" t="str">
        <f ca="1">IFERROR(__xludf.DUMMYFUNCTION("QUERY('Volunteer Survey'!D16)"),"CHale@stanfordchildrens.org")</f>
        <v>CHale@stanfordchildrens.org</v>
      </c>
      <c r="AD17" s="175" t="str">
        <f ca="1">IFERROR(__xludf.DUMMYFUNCTION("QUERY('Volunteer Survey'!E16)"),"CHale@stanfordchildrens.org")</f>
        <v>CHale@stanfordchildrens.org</v>
      </c>
      <c r="AE17" s="175" t="str">
        <f ca="1">IFERROR(__xludf.DUMMYFUNCTION("QUERY('Volunteer Survey'!F16)"),"Genetic counselor")</f>
        <v>Genetic counselor</v>
      </c>
      <c r="AF17" s="175" t="str">
        <f ca="1">IFERROR(__xludf.DUMMYFUNCTION("QUERY('Volunteer Survey'!G16)"),"I heard about ClinGen from a colleague. As a clinical genetic counselor, I am often in the frustrating position of discussing results of unknown significance. I appreciate ClinGen's efforts to standardize and improve variant interpretation. I am particula"&amp;"rly interested in genes associated with syndromic forms of intellectual disability.")</f>
        <v>I heard about ClinGen from a colleague. As a clinical genetic counselor, I am often in the frustrating position of discussing results of unknown significance. I appreciate ClinGen's efforts to standardize and improve variant interpretation. I am particularly interested in genes associated with syndromic forms of intellectual disability.</v>
      </c>
      <c r="AG17" s="175" t="str">
        <f ca="1">IFERROR(__xludf.DUMMYFUNCTION("QUERY('Volunteer Survey'!H16)"),"Comprehensive")</f>
        <v>Comprehensive</v>
      </c>
      <c r="AH17" s="175" t="str">
        <f ca="1">IFERROR(__xludf.DUMMYFUNCTION("QUERY('Volunteer Survey'!I16)"),"Gene-Disease Validity")</f>
        <v>Gene-Disease Validity</v>
      </c>
      <c r="AI17" s="175" t="str">
        <f ca="1">IFERROR(__xludf.DUMMYFUNCTION("QUERY('Volunteer Survey'!J16)"),"Variant Pathogenicity")</f>
        <v>Variant Pathogenicity</v>
      </c>
      <c r="AJ17" s="175" t="str">
        <f ca="1">IFERROR(__xludf.DUMMYFUNCTION("QUERY('Volunteer Survey'!K16)"),"Dosage Sensitivity")</f>
        <v>Dosage Sensitivity</v>
      </c>
      <c r="AK17" s="175" t="str">
        <f ca="1">IFERROR(__xludf.DUMMYFUNCTION("QUERY('Volunteer Survey'!L16)"),"Clinical Actionability")</f>
        <v>Clinical Actionability</v>
      </c>
      <c r="AL17" s="175" t="str">
        <f ca="1">IFERROR(__xludf.DUMMYFUNCTION("QUERY('Volunteer Survey'!M16)"),"Somatic Cancer")</f>
        <v>Somatic Cancer</v>
      </c>
      <c r="AM17" s="175" t="str">
        <f ca="1">IFERROR(__xludf.DUMMYFUNCTION("QUERY('Volunteer Survey'!N16)"),"I have 3.5 years of experience as a pediatric genetic counselor. In this position, I have gained significant experience in interpreting lab results and conducting curation activity via literature searches, database searches, etc. to ensure that our clinic"&amp;"al interpretation is in agreement with the lab's interpretation.")</f>
        <v>I have 3.5 years of experience as a pediatric genetic counselor. In this position, I have gained significant experience in interpreting lab results and conducting curation activity via literature searches, database searches, etc. to ensure that our clinical interpretation is in agreement with the lab's interpretation.</v>
      </c>
      <c r="AN17" s="175" t="str">
        <f ca="1">IFERROR(__xludf.DUMMYFUNCTION("QUERY('Volunteer Survey'!O16)"),"Possibly")</f>
        <v>Possibly</v>
      </c>
      <c r="AO17" s="175" t="str">
        <f ca="1">IFERROR(__xludf.DUMMYFUNCTION("QUERY('Volunteer Survey'!P16)"),"I would be most interested in areas related to pediatric medical genetics (autism, ID, neurodevelopmental disorders), but I am open to  any group that is accepting volunteers.")</f>
        <v>I would be most interested in areas related to pediatric medical genetics (autism, ID, neurodevelopmental disorders), but I am open to  any group that is accepting volunteers.</v>
      </c>
    </row>
    <row r="18" spans="1:41" ht="14">
      <c r="A18" s="44">
        <f ca="1">IFERROR(__xludf.DUMMYFUNCTION("QUERY('Volunteer Survey'!A18)"),43467.2898761111)</f>
        <v>43467.289876111099</v>
      </c>
      <c r="B18" s="42" t="s">
        <v>108</v>
      </c>
      <c r="C18" s="47"/>
      <c r="D18" s="59">
        <v>43585</v>
      </c>
      <c r="E18" s="42" t="s">
        <v>117</v>
      </c>
      <c r="F18" s="42" t="s">
        <v>117</v>
      </c>
      <c r="G18" s="42" t="s">
        <v>122</v>
      </c>
      <c r="H18" s="45" t="s">
        <v>220</v>
      </c>
      <c r="I18" s="45" t="s">
        <v>139</v>
      </c>
      <c r="J18" s="50">
        <v>43712</v>
      </c>
      <c r="K18" s="50"/>
      <c r="L18" s="49" t="str">
        <f ca="1">IFERROR(__xludf.DUMMYFUNCTION("QUERY('Volunteer Survey'!B18)"),"Ana León")</f>
        <v>Ana León</v>
      </c>
      <c r="M18" s="49" t="str">
        <f ca="1">IFERROR(__xludf.DUMMYFUNCTION("QUERY('Volunteer Survey'!E18)"),"aleon@pros.upv.es")</f>
        <v>aleon@pros.upv.es</v>
      </c>
      <c r="N18" s="49" t="str">
        <f ca="1">IFERROR(__xludf.DUMMYFUNCTION("QUERY('Volunteer Survey'!F18)"),"PhD Student")</f>
        <v>PhD Student</v>
      </c>
      <c r="O18" s="42" t="str">
        <f ca="1">IFERROR(__xludf.DUMMYFUNCTION("QUERY('Volunteer Survey'!H18)"),"Comprehensive")</f>
        <v>Comprehensive</v>
      </c>
      <c r="P18" s="49" t="str">
        <f ca="1">IFERROR(__xludf.DUMMYFUNCTION("QUERY('Volunteer Survey'!I18)"),"Gene-Disease Validity")</f>
        <v>Gene-Disease Validity</v>
      </c>
      <c r="Q18" s="54" t="str">
        <f ca="1">IFERROR(__xludf.DUMMYFUNCTION("QUERY('Volunteer Survey'!J18)"),"")</f>
        <v/>
      </c>
      <c r="R18" s="49" t="str">
        <f ca="1">IFERROR(__xludf.DUMMYFUNCTION("QUERY('Volunteer Survey'!K18)"),"")</f>
        <v/>
      </c>
      <c r="S18" s="49" t="str">
        <f ca="1">IFERROR(__xludf.DUMMYFUNCTION("QUERY('Volunteer Survey'!L18)"),"")</f>
        <v/>
      </c>
      <c r="T18" s="49" t="str">
        <f ca="1">IFERROR(__xludf.DUMMYFUNCTION("QUERY('Volunteer Survey'!M18)"),"")</f>
        <v/>
      </c>
      <c r="U18" s="58" t="str">
        <f ca="1">IFERROR(__xludf.DUMMYFUNCTION("QUERY('Volunteer Survey'!N18)"),"During my research I worked in the identification of variants and genes associated with the studied diseases.")</f>
        <v>During my research I worked in the identification of variants and genes associated with the studied diseases.</v>
      </c>
      <c r="V18" s="49" t="str">
        <f ca="1">IFERROR(__xludf.DUMMYFUNCTION("QUERY('Volunteer Survey'!O18)"),"Yes")</f>
        <v>Yes</v>
      </c>
      <c r="W18" s="60" t="str">
        <f ca="1">IFERROR(__xludf.DUMMYFUNCTION("QUERY('Volunteer Survey'!P18)"),"")</f>
        <v/>
      </c>
      <c r="X18" s="58" t="str">
        <f ca="1">IFERROR(__xludf.DUMMYFUNCTION("QUERY('Volunteer Survey'!R18)"),"Maybe -- please contact me with other options, and I will decide based on what is available")</f>
        <v>Maybe -- please contact me with other options, and I will decide based on what is available</v>
      </c>
      <c r="Y18" s="47"/>
      <c r="Z18" s="174">
        <f ca="1">IFERROR(__xludf.DUMMYFUNCTION("QUERY('Volunteer Survey'!A17)"),43465.4694648842)</f>
        <v>43465.469464884198</v>
      </c>
      <c r="AA18" s="175" t="str">
        <f ca="1">IFERROR(__xludf.DUMMYFUNCTION("QUERY('Volunteer Survey'!B17)"),"Melissa Murfin")</f>
        <v>Melissa Murfin</v>
      </c>
      <c r="AB18" s="175" t="str">
        <f ca="1">IFERROR(__xludf.DUMMYFUNCTION("QUERY('Volunteer Survey'!C17)"),"Elon University")</f>
        <v>Elon University</v>
      </c>
      <c r="AC18" s="175" t="str">
        <f ca="1">IFERROR(__xludf.DUMMYFUNCTION("QUERY('Volunteer Survey'!D17)"),"Department of Physician Assistant Studies
2087 Campus Box")</f>
        <v>Department of Physician Assistant Studies
2087 Campus Box</v>
      </c>
      <c r="AD18" s="175" t="str">
        <f ca="1">IFERROR(__xludf.DUMMYFUNCTION("QUERY('Volunteer Survey'!E17)"),"mmurfin@elon.edu")</f>
        <v>mmurfin@elon.edu</v>
      </c>
      <c r="AE18" s="175" t="str">
        <f ca="1">IFERROR(__xludf.DUMMYFUNCTION("QUERY('Volunteer Survey'!F17)"),"Pharmacist/PA-C, PA program director")</f>
        <v>Pharmacist/PA-C, PA program director</v>
      </c>
      <c r="AF18" s="175" t="str">
        <f ca="1">IFERROR(__xludf.DUMMYFUNCTION("QUERY('Volunteer Survey'!G17)"),"I am interested in being part of bringing personalized medicine to prescribers and patients to improve outcomes and care. I found you on the NHGRI website. I would love to see everyone get a PGx profile so that we as providers can make more informed treat"&amp;"ment choices for our patients. I'm most interested in clinically actionable pharmacogenetic areas. ")</f>
        <v xml:space="preserve">I am interested in being part of bringing personalized medicine to prescribers and patients to improve outcomes and care. I found you on the NHGRI website. I would love to see everyone get a PGx profile so that we as providers can make more informed treatment choices for our patients. I'm most interested in clinically actionable pharmacogenetic areas. </v>
      </c>
      <c r="AG18" s="175" t="str">
        <f ca="1">IFERROR(__xludf.DUMMYFUNCTION("QUERY('Volunteer Survey'!H17)"),"Comprehensive")</f>
        <v>Comprehensive</v>
      </c>
      <c r="AH18" s="175" t="str">
        <f ca="1">IFERROR(__xludf.DUMMYFUNCTION("QUERY('Volunteer Survey'!I17)"),"Clinical Actionability")</f>
        <v>Clinical Actionability</v>
      </c>
      <c r="AI18" s="175" t="str">
        <f ca="1">IFERROR(__xludf.DUMMYFUNCTION("QUERY('Volunteer Survey'!J17)"),"Dosage Sensitivity")</f>
        <v>Dosage Sensitivity</v>
      </c>
      <c r="AJ18" s="175" t="str">
        <f ca="1">IFERROR(__xludf.DUMMYFUNCTION("QUERY('Volunteer Survey'!K17)"),"Gene-Disease Validity")</f>
        <v>Gene-Disease Validity</v>
      </c>
      <c r="AK18" s="175" t="str">
        <f ca="1">IFERROR(__xludf.DUMMYFUNCTION("QUERY('Volunteer Survey'!L17)"),"Variant Pathogenicity")</f>
        <v>Variant Pathogenicity</v>
      </c>
      <c r="AL18" s="175" t="str">
        <f ca="1">IFERROR(__xludf.DUMMYFUNCTION("QUERY('Volunteer Survey'!M17)"),"Somatic Cancer")</f>
        <v>Somatic Cancer</v>
      </c>
      <c r="AM18" s="175" t="str">
        <f ca="1">IFERROR(__xludf.DUMMYFUNCTION("QUERY('Volunteer Survey'!N17)"),"")</f>
        <v/>
      </c>
      <c r="AN18" s="175" t="str">
        <f ca="1">IFERROR(__xludf.DUMMYFUNCTION("QUERY('Volunteer Survey'!O17)"),"Possibly")</f>
        <v>Possibly</v>
      </c>
      <c r="AO18" s="175" t="str">
        <f ca="1">IFERROR(__xludf.DUMMYFUNCTION("QUERY('Volunteer Survey'!P17)"),"I am open to any opportunity")</f>
        <v>I am open to any opportunity</v>
      </c>
    </row>
    <row r="19" spans="1:41" ht="14">
      <c r="A19" s="44">
        <f ca="1">IFERROR(__xludf.DUMMYFUNCTION("QUERY('Volunteer Survey'!A19)"),43469.322247662)</f>
        <v>43469.322247661999</v>
      </c>
      <c r="B19" s="42" t="s">
        <v>160</v>
      </c>
      <c r="C19" s="73">
        <v>43437</v>
      </c>
      <c r="D19" s="50">
        <v>43446</v>
      </c>
      <c r="E19" s="42" t="s">
        <v>117</v>
      </c>
      <c r="F19" s="42" t="s">
        <v>117</v>
      </c>
      <c r="G19" s="42" t="s">
        <v>122</v>
      </c>
      <c r="H19" s="45" t="s">
        <v>143</v>
      </c>
      <c r="I19" s="45" t="s">
        <v>139</v>
      </c>
      <c r="J19" s="42"/>
      <c r="K19" s="42"/>
      <c r="L19" s="49" t="str">
        <f ca="1">IFERROR(__xludf.DUMMYFUNCTION("QUERY('Volunteer Survey'!B19)"),"Catalina Betancur")</f>
        <v>Catalina Betancur</v>
      </c>
      <c r="M19" s="49" t="str">
        <f ca="1">IFERROR(__xludf.DUMMYFUNCTION("QUERY('Volunteer Survey'!E19)"),"Catalina.Betancur@inserm.fr")</f>
        <v>Catalina.Betancur@inserm.fr</v>
      </c>
      <c r="N19" s="49" t="str">
        <f ca="1">IFERROR(__xludf.DUMMYFUNCTION("QUERY('Volunteer Survey'!F19)"),"NA")</f>
        <v>NA</v>
      </c>
      <c r="O19" s="42" t="str">
        <f ca="1">IFERROR(__xludf.DUMMYFUNCTION("QUERY('Volunteer Survey'!H19)"),"Comprehensive")</f>
        <v>Comprehensive</v>
      </c>
      <c r="P19" s="49" t="str">
        <f ca="1">IFERROR(__xludf.DUMMYFUNCTION("QUERY('Volunteer Survey'!I19)"),"Gene-Disease Validity")</f>
        <v>Gene-Disease Validity</v>
      </c>
      <c r="Q19" s="54" t="str">
        <f ca="1">IFERROR(__xludf.DUMMYFUNCTION("QUERY('Volunteer Survey'!J19)"),"")</f>
        <v/>
      </c>
      <c r="R19" s="49" t="str">
        <f ca="1">IFERROR(__xludf.DUMMYFUNCTION("QUERY('Volunteer Survey'!K19)"),"")</f>
        <v/>
      </c>
      <c r="S19" s="49" t="str">
        <f ca="1">IFERROR(__xludf.DUMMYFUNCTION("QUERY('Volunteer Survey'!L19)"),"")</f>
        <v/>
      </c>
      <c r="T19" s="49" t="str">
        <f ca="1">IFERROR(__xludf.DUMMYFUNCTION("QUERY('Volunteer Survey'!M19)"),"")</f>
        <v/>
      </c>
      <c r="U19" s="58" t="str">
        <f ca="1">IFERROR(__xludf.DUMMYFUNCTION("QUERY('Volunteer Survey'!N19)"),"")</f>
        <v/>
      </c>
      <c r="V19" s="49" t="str">
        <f ca="1">IFERROR(__xludf.DUMMYFUNCTION("QUERY('Volunteer Survey'!O19)"),"")</f>
        <v/>
      </c>
      <c r="W19" s="60" t="str">
        <f ca="1">IFERROR(__xludf.DUMMYFUNCTION("QUERY('Volunteer Survey'!P19)"),"ID Autism")</f>
        <v>ID Autism</v>
      </c>
      <c r="X19" s="58" t="str">
        <f ca="1">IFERROR(__xludf.DUMMYFUNCTION("QUERY('Volunteer Survey'!R19)"),"")</f>
        <v/>
      </c>
      <c r="Y19" s="45" t="s">
        <v>307</v>
      </c>
      <c r="Z19" s="174">
        <f ca="1">IFERROR(__xludf.DUMMYFUNCTION("QUERY('Volunteer Survey'!A18)"),43467.2898761111)</f>
        <v>43467.289876111099</v>
      </c>
      <c r="AA19" s="175" t="str">
        <f ca="1">IFERROR(__xludf.DUMMYFUNCTION("QUERY('Volunteer Survey'!B18)"),"Ana León")</f>
        <v>Ana León</v>
      </c>
      <c r="AB19" s="175" t="str">
        <f ca="1">IFERROR(__xludf.DUMMYFUNCTION("QUERY('Volunteer Survey'!C18)"),"Universidad Politécnica de Valencia")</f>
        <v>Universidad Politécnica de Valencia</v>
      </c>
      <c r="AC19" s="175" t="str">
        <f ca="1">IFERROR(__xludf.DUMMYFUNCTION("QUERY('Volunteer Survey'!D18)"),"")</f>
        <v/>
      </c>
      <c r="AD19" s="175" t="str">
        <f ca="1">IFERROR(__xludf.DUMMYFUNCTION("QUERY('Volunteer Survey'!E18)"),"aleon@pros.upv.es")</f>
        <v>aleon@pros.upv.es</v>
      </c>
      <c r="AE19" s="175" t="str">
        <f ca="1">IFERROR(__xludf.DUMMYFUNCTION("QUERY('Volunteer Survey'!F18)"),"PhD Student")</f>
        <v>PhD Student</v>
      </c>
      <c r="AF19" s="175" t="str">
        <f ca="1">IFERROR(__xludf.DUMMYFUNCTION("QUERY('Volunteer Survey'!G18)"),"I am finishing my PhD in Computer Science. The topic of my thesis is the development of a method to build Genomic Information Systems to support the identification of relevant variants involved in the development of diseases. I am working with experts in "&amp;"the identification of variants associated to epilepsy, breast cancer, migraine, Alzheimer and Crohn's disease. I would like to get involved in the curation process of Clingen to improve my skills and identify new areas were Information Systems could be us"&amp;"eful to automate and support the work of the clinicians and geneticists.")</f>
        <v>I am finishing my PhD in Computer Science. The topic of my thesis is the development of a method to build Genomic Information Systems to support the identification of relevant variants involved in the development of diseases. I am working with experts in the identification of variants associated to epilepsy, breast cancer, migraine, Alzheimer and Crohn's disease. I would like to get involved in the curation process of Clingen to improve my skills and identify new areas were Information Systems could be useful to automate and support the work of the clinicians and geneticists.</v>
      </c>
      <c r="AG19" s="175" t="str">
        <f ca="1">IFERROR(__xludf.DUMMYFUNCTION("QUERY('Volunteer Survey'!H18)"),"Comprehensive")</f>
        <v>Comprehensive</v>
      </c>
      <c r="AH19" s="175" t="str">
        <f ca="1">IFERROR(__xludf.DUMMYFUNCTION("QUERY('Volunteer Survey'!I18)"),"Gene-Disease Validity")</f>
        <v>Gene-Disease Validity</v>
      </c>
      <c r="AI19" s="175" t="str">
        <f ca="1">IFERROR(__xludf.DUMMYFUNCTION("QUERY('Volunteer Survey'!J18)"),"")</f>
        <v/>
      </c>
      <c r="AJ19" s="175" t="str">
        <f ca="1">IFERROR(__xludf.DUMMYFUNCTION("QUERY('Volunteer Survey'!K18)"),"")</f>
        <v/>
      </c>
      <c r="AK19" s="175" t="str">
        <f ca="1">IFERROR(__xludf.DUMMYFUNCTION("QUERY('Volunteer Survey'!L18)"),"")</f>
        <v/>
      </c>
      <c r="AL19" s="175" t="str">
        <f ca="1">IFERROR(__xludf.DUMMYFUNCTION("QUERY('Volunteer Survey'!M18)"),"")</f>
        <v/>
      </c>
      <c r="AM19" s="175" t="str">
        <f ca="1">IFERROR(__xludf.DUMMYFUNCTION("QUERY('Volunteer Survey'!N18)"),"During my research I worked in the identification of variants and genes associated with the studied diseases.")</f>
        <v>During my research I worked in the identification of variants and genes associated with the studied diseases.</v>
      </c>
      <c r="AN19" s="175" t="str">
        <f ca="1">IFERROR(__xludf.DUMMYFUNCTION("QUERY('Volunteer Survey'!O18)"),"Yes")</f>
        <v>Yes</v>
      </c>
      <c r="AO19" s="175" t="str">
        <f ca="1">IFERROR(__xludf.DUMMYFUNCTION("QUERY('Volunteer Survey'!P18)"),"")</f>
        <v/>
      </c>
    </row>
    <row r="20" spans="1:41" ht="14">
      <c r="A20" s="44">
        <f ca="1">IFERROR(__xludf.DUMMYFUNCTION("QUERY('Volunteer Survey'!A20)"),43469.4706938657)</f>
        <v>43469.470693865696</v>
      </c>
      <c r="B20" s="42" t="s">
        <v>108</v>
      </c>
      <c r="C20" s="47"/>
      <c r="D20" s="49"/>
      <c r="E20" s="42" t="s">
        <v>130</v>
      </c>
      <c r="F20" s="42" t="s">
        <v>130</v>
      </c>
      <c r="G20" s="42" t="s">
        <v>202</v>
      </c>
      <c r="H20" s="47"/>
      <c r="I20" s="45" t="s">
        <v>139</v>
      </c>
      <c r="J20" s="49"/>
      <c r="K20" s="49"/>
      <c r="L20" s="49" t="str">
        <f ca="1">IFERROR(__xludf.DUMMYFUNCTION("QUERY('Volunteer Survey'!B20)"),"Casey Brew")</f>
        <v>Casey Brew</v>
      </c>
      <c r="M20" s="49" t="str">
        <f ca="1">IFERROR(__xludf.DUMMYFUNCTION("QUERY('Volunteer Survey'!E20)"),"cbrew@luriechildrens.org")</f>
        <v>cbrew@luriechildrens.org</v>
      </c>
      <c r="N20" s="49" t="str">
        <f ca="1">IFERROR(__xludf.DUMMYFUNCTION("QUERY('Volunteer Survey'!F20)"),"Genetic counselor")</f>
        <v>Genetic counselor</v>
      </c>
      <c r="O20" s="42" t="str">
        <f ca="1">IFERROR(__xludf.DUMMYFUNCTION("QUERY('Volunteer Survey'!H20)"),"Baseline")</f>
        <v>Baseline</v>
      </c>
      <c r="P20" s="49" t="str">
        <f ca="1">IFERROR(__xludf.DUMMYFUNCTION("QUERY('Volunteer Survey'!I20)"),"Variant Pathogenicity")</f>
        <v>Variant Pathogenicity</v>
      </c>
      <c r="Q20" s="54" t="str">
        <f ca="1">IFERROR(__xludf.DUMMYFUNCTION("QUERY('Volunteer Survey'!J20)"),"Gene-Disease Validity")</f>
        <v>Gene-Disease Validity</v>
      </c>
      <c r="R20" s="49" t="str">
        <f ca="1">IFERROR(__xludf.DUMMYFUNCTION("QUERY('Volunteer Survey'!K20)"),"Clinical Actionability")</f>
        <v>Clinical Actionability</v>
      </c>
      <c r="S20" s="49" t="str">
        <f ca="1">IFERROR(__xludf.DUMMYFUNCTION("QUERY('Volunteer Survey'!L20)"),"")</f>
        <v/>
      </c>
      <c r="T20" s="49" t="str">
        <f ca="1">IFERROR(__xludf.DUMMYFUNCTION("QUERY('Volunteer Survey'!M20)"),"")</f>
        <v/>
      </c>
      <c r="U20" s="58" t="str">
        <f ca="1">IFERROR(__xludf.DUMMYFUNCTION("QUERY('Volunteer Survey'!N20)"),"I have experience in sequence variant interpretation and report writing for clinical cases through our in-house molecular diagnostics lab. ")</f>
        <v xml:space="preserve">I have experience in sequence variant interpretation and report writing for clinical cases through our in-house molecular diagnostics lab. </v>
      </c>
      <c r="V20" s="49" t="str">
        <f ca="1">IFERROR(__xludf.DUMMYFUNCTION("QUERY('Volunteer Survey'!O20)"),"Possibly")</f>
        <v>Possibly</v>
      </c>
      <c r="W20" s="60" t="str">
        <f ca="1">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c r="X20" s="58" t="str">
        <f ca="1">IFERROR(__xludf.DUMMYFUNCTION("QUERY('Volunteer Survey'!R20)"),"Yes- I am willing to volunteer with any available ClinGen group")</f>
        <v>Yes- I am willing to volunteer with any available ClinGen group</v>
      </c>
      <c r="Y20" s="47"/>
      <c r="Z20" s="174">
        <f ca="1">IFERROR(__xludf.DUMMYFUNCTION("QUERY('Volunteer Survey'!A19)"),43469.322247662)</f>
        <v>43469.322247661999</v>
      </c>
      <c r="AA20" s="175" t="str">
        <f ca="1">IFERROR(__xludf.DUMMYFUNCTION("QUERY('Volunteer Survey'!B19)"),"Catalina Betancur")</f>
        <v>Catalina Betancur</v>
      </c>
      <c r="AB20" s="175" t="str">
        <f ca="1">IFERROR(__xludf.DUMMYFUNCTION("QUERY('Volunteer Survey'!C19)"),"NA")</f>
        <v>NA</v>
      </c>
      <c r="AC20" s="175" t="str">
        <f ca="1">IFERROR(__xludf.DUMMYFUNCTION("QUERY('Volunteer Survey'!D19)"),"France")</f>
        <v>France</v>
      </c>
      <c r="AD20" s="175" t="str">
        <f ca="1">IFERROR(__xludf.DUMMYFUNCTION("QUERY('Volunteer Survey'!E19)"),"Catalina.Betancur@inserm.fr")</f>
        <v>Catalina.Betancur@inserm.fr</v>
      </c>
      <c r="AE20" s="175" t="str">
        <f ca="1">IFERROR(__xludf.DUMMYFUNCTION("QUERY('Volunteer Survey'!F19)"),"NA")</f>
        <v>NA</v>
      </c>
      <c r="AF20" s="175" t="str">
        <f ca="1">IFERROR(__xludf.DUMMYFUNCTION("QUERY('Volunteer Survey'!G19)"),"NA")</f>
        <v>NA</v>
      </c>
      <c r="AG20" s="175" t="str">
        <f ca="1">IFERROR(__xludf.DUMMYFUNCTION("QUERY('Volunteer Survey'!H19)"),"Comprehensive")</f>
        <v>Comprehensive</v>
      </c>
      <c r="AH20" s="175" t="str">
        <f ca="1">IFERROR(__xludf.DUMMYFUNCTION("QUERY('Volunteer Survey'!I19)"),"Gene-Disease Validity")</f>
        <v>Gene-Disease Validity</v>
      </c>
      <c r="AI20" s="175" t="str">
        <f ca="1">IFERROR(__xludf.DUMMYFUNCTION("QUERY('Volunteer Survey'!J19)"),"")</f>
        <v/>
      </c>
      <c r="AJ20" s="175" t="str">
        <f ca="1">IFERROR(__xludf.DUMMYFUNCTION("QUERY('Volunteer Survey'!K19)"),"")</f>
        <v/>
      </c>
      <c r="AK20" s="175" t="str">
        <f ca="1">IFERROR(__xludf.DUMMYFUNCTION("QUERY('Volunteer Survey'!L19)"),"")</f>
        <v/>
      </c>
      <c r="AL20" s="175" t="str">
        <f ca="1">IFERROR(__xludf.DUMMYFUNCTION("QUERY('Volunteer Survey'!M19)"),"")</f>
        <v/>
      </c>
      <c r="AM20" s="175" t="str">
        <f ca="1">IFERROR(__xludf.DUMMYFUNCTION("QUERY('Volunteer Survey'!N19)"),"")</f>
        <v/>
      </c>
      <c r="AN20" s="175" t="str">
        <f ca="1">IFERROR(__xludf.DUMMYFUNCTION("QUERY('Volunteer Survey'!O19)"),"")</f>
        <v/>
      </c>
      <c r="AO20" s="175" t="str">
        <f ca="1">IFERROR(__xludf.DUMMYFUNCTION("QUERY('Volunteer Survey'!P19)"),"ID Autism")</f>
        <v>ID Autism</v>
      </c>
    </row>
    <row r="21" spans="1:41" ht="14">
      <c r="A21" s="44">
        <f ca="1">IFERROR(__xludf.DUMMYFUNCTION("QUERY('Volunteer Survey'!A21)"),43472.4257775925)</f>
        <v>43472.4257775925</v>
      </c>
      <c r="B21" s="42" t="s">
        <v>108</v>
      </c>
      <c r="C21" s="47"/>
      <c r="D21" s="59">
        <v>43580</v>
      </c>
      <c r="E21" s="42" t="s">
        <v>117</v>
      </c>
      <c r="F21" s="42" t="s">
        <v>117</v>
      </c>
      <c r="G21" s="42" t="s">
        <v>163</v>
      </c>
      <c r="H21" s="47"/>
      <c r="I21" s="45" t="s">
        <v>139</v>
      </c>
      <c r="J21" s="50">
        <v>43712</v>
      </c>
      <c r="K21" s="50"/>
      <c r="L21" s="49" t="str">
        <f ca="1">IFERROR(__xludf.DUMMYFUNCTION("QUERY('Volunteer Survey'!B21)"),"Shulin Zhang")</f>
        <v>Shulin Zhang</v>
      </c>
      <c r="M21" s="49" t="str">
        <f ca="1">IFERROR(__xludf.DUMMYFUNCTION("QUERY('Volunteer Survey'!E21)"),"shulin.zhang@uky.edu")</f>
        <v>shulin.zhang@uky.edu</v>
      </c>
      <c r="N21" s="49" t="str">
        <f ca="1">IFERROR(__xludf.DUMMYFUNCTION("QUERY('Volunteer Survey'!F21)"),"Clinical laboratory geneticist")</f>
        <v>Clinical laboratory geneticist</v>
      </c>
      <c r="O21" s="42" t="str">
        <f ca="1">IFERROR(__xludf.DUMMYFUNCTION("QUERY('Volunteer Survey'!H21)"),"Comprehensive")</f>
        <v>Comprehensive</v>
      </c>
      <c r="P21" s="49" t="str">
        <f ca="1">IFERROR(__xludf.DUMMYFUNCTION("QUERY('Volunteer Survey'!I21)"),"Dosage Sensitivity")</f>
        <v>Dosage Sensitivity</v>
      </c>
      <c r="Q21" s="54" t="str">
        <f ca="1">IFERROR(__xludf.DUMMYFUNCTION("QUERY('Volunteer Survey'!J21)"),"Variant Pathogenicity")</f>
        <v>Variant Pathogenicity</v>
      </c>
      <c r="R21" s="49" t="str">
        <f ca="1">IFERROR(__xludf.DUMMYFUNCTION("QUERY('Volunteer Survey'!K21)"),"Gene-Disease Validity")</f>
        <v>Gene-Disease Validity</v>
      </c>
      <c r="S21" s="49" t="str">
        <f ca="1">IFERROR(__xludf.DUMMYFUNCTION("QUERY('Volunteer Survey'!L21)"),"Somatic Cancer")</f>
        <v>Somatic Cancer</v>
      </c>
      <c r="T21" s="49" t="str">
        <f ca="1">IFERROR(__xludf.DUMMYFUNCTION("QUERY('Volunteer Survey'!M21)"),"Clinical Actionability")</f>
        <v>Clinical Actionability</v>
      </c>
      <c r="U21" s="58" t="str">
        <f ca="1">IFERROR(__xludf.DUMMYFUNCTION("QUERY('Volunteer Survey'!N21)"),"No")</f>
        <v>No</v>
      </c>
      <c r="V21" s="49" t="str">
        <f ca="1">IFERROR(__xludf.DUMMYFUNCTION("QUERY('Volunteer Survey'!O21)"),"No")</f>
        <v>No</v>
      </c>
      <c r="W21" s="60" t="str">
        <f ca="1">IFERROR(__xludf.DUMMYFUNCTION("QUERY('Volunteer Survey'!P21)"),"1) Dosage sensitivity working group expert panel (inherited cancers) 2) Colorectal cancer 3) mitochondrial diseases")</f>
        <v>1) Dosage sensitivity working group expert panel (inherited cancers) 2) Colorectal cancer 3) mitochondrial diseases</v>
      </c>
      <c r="X21" s="58" t="str">
        <f ca="1">IFERROR(__xludf.DUMMYFUNCTION("QUERY('Volunteer Survey'!R21)"),"Maybe -- please contact me with other options, and I will decide based on what is available")</f>
        <v>Maybe -- please contact me with other options, and I will decide based on what is available</v>
      </c>
      <c r="Y21" s="47"/>
      <c r="Z21" s="174">
        <f ca="1">IFERROR(__xludf.DUMMYFUNCTION("QUERY('Volunteer Survey'!A20)"),43469.4706938657)</f>
        <v>43469.470693865696</v>
      </c>
      <c r="AA21" s="175" t="str">
        <f ca="1">IFERROR(__xludf.DUMMYFUNCTION("QUERY('Volunteer Survey'!B20)"),"Casey Brew")</f>
        <v>Casey Brew</v>
      </c>
      <c r="AB21" s="175" t="str">
        <f ca="1">IFERROR(__xludf.DUMMYFUNCTION("QUERY('Volunteer Survey'!C20)"),"Ann &amp; Robert H. Lurie Children's Hospital")</f>
        <v>Ann &amp; Robert H. Lurie Children's Hospital</v>
      </c>
      <c r="AC21" s="175" t="str">
        <f ca="1">IFERROR(__xludf.DUMMYFUNCTION("QUERY('Volunteer Survey'!D20)"),"426 W. Belmont Ave Apt 1408, Chicago, IL, 60657")</f>
        <v>426 W. Belmont Ave Apt 1408, Chicago, IL, 60657</v>
      </c>
      <c r="AD21" s="175" t="str">
        <f ca="1">IFERROR(__xludf.DUMMYFUNCTION("QUERY('Volunteer Survey'!E20)"),"cbrew@luriechildrens.org")</f>
        <v>cbrew@luriechildrens.org</v>
      </c>
      <c r="AE21" s="175" t="str">
        <f ca="1">IFERROR(__xludf.DUMMYFUNCTION("QUERY('Volunteer Survey'!F20)"),"Genetic counselor")</f>
        <v>Genetic counselor</v>
      </c>
      <c r="AF21" s="175" t="str">
        <f ca="1">IFERROR(__xludf.DUMMYFUNCTION("QUERY('Volunteer Survey'!G20)"),"I started working as a laboratory genetic counseling doing variant interpretation about 6 months ago, mainly specializing in connective tissue disorders and cardiomyopathy. ClinGen and ClinVar have been regular resources for me in this position. I am inte"&amp;"rested in continuing to learn more about the process of gene/variant curation as well as to continue building my expertise in the connective tissue/cardiology areas. ")</f>
        <v xml:space="preserve">I started working as a laboratory genetic counseling doing variant interpretation about 6 months ago, mainly specializing in connective tissue disorders and cardiomyopathy. ClinGen and ClinVar have been regular resources for me in this position. I am interested in continuing to learn more about the process of gene/variant curation as well as to continue building my expertise in the connective tissue/cardiology areas. </v>
      </c>
      <c r="AG21" s="175" t="str">
        <f ca="1">IFERROR(__xludf.DUMMYFUNCTION("QUERY('Volunteer Survey'!H20)"),"Baseline")</f>
        <v>Baseline</v>
      </c>
      <c r="AH21" s="175" t="str">
        <f ca="1">IFERROR(__xludf.DUMMYFUNCTION("QUERY('Volunteer Survey'!I20)"),"Variant Pathogenicity")</f>
        <v>Variant Pathogenicity</v>
      </c>
      <c r="AI21" s="175" t="str">
        <f ca="1">IFERROR(__xludf.DUMMYFUNCTION("QUERY('Volunteer Survey'!J20)"),"Gene-Disease Validity")</f>
        <v>Gene-Disease Validity</v>
      </c>
      <c r="AJ21" s="175" t="str">
        <f ca="1">IFERROR(__xludf.DUMMYFUNCTION("QUERY('Volunteer Survey'!K20)"),"Clinical Actionability")</f>
        <v>Clinical Actionability</v>
      </c>
      <c r="AK21" s="175" t="str">
        <f ca="1">IFERROR(__xludf.DUMMYFUNCTION("QUERY('Volunteer Survey'!L20)"),"")</f>
        <v/>
      </c>
      <c r="AL21" s="175" t="str">
        <f ca="1">IFERROR(__xludf.DUMMYFUNCTION("QUERY('Volunteer Survey'!M20)"),"")</f>
        <v/>
      </c>
      <c r="AM21" s="175" t="str">
        <f ca="1">IFERROR(__xludf.DUMMYFUNCTION("QUERY('Volunteer Survey'!N20)"),"I have experience in sequence variant interpretation and report writing for clinical cases through our in-house molecular diagnostics lab. ")</f>
        <v xml:space="preserve">I have experience in sequence variant interpretation and report writing for clinical cases through our in-house molecular diagnostics lab. </v>
      </c>
      <c r="AN21" s="175" t="str">
        <f ca="1">IFERROR(__xludf.DUMMYFUNCTION("QUERY('Volunteer Survey'!O20)"),"Possibly")</f>
        <v>Possibly</v>
      </c>
      <c r="AO21" s="175" t="str">
        <f ca="1">IFERROR(__xludf.DUMMYFUNCTION("QUERY('Volunteer Survey'!P20)"),"I would be most interested in the Inherited Cardiomyopathy Variant Curation Expert Panel, but I am open to just about anything.")</f>
        <v>I would be most interested in the Inherited Cardiomyopathy Variant Curation Expert Panel, but I am open to just about anything.</v>
      </c>
    </row>
    <row r="22" spans="1:41" ht="14">
      <c r="A22" s="44">
        <f ca="1">IFERROR(__xludf.DUMMYFUNCTION("QUERY('Volunteer Survey'!A22)"),43472.5372556018)</f>
        <v>43472.537255601797</v>
      </c>
      <c r="B22" s="42" t="s">
        <v>108</v>
      </c>
      <c r="C22" s="47"/>
      <c r="D22" s="67">
        <v>43567</v>
      </c>
      <c r="E22" s="42" t="s">
        <v>117</v>
      </c>
      <c r="F22" s="42" t="s">
        <v>130</v>
      </c>
      <c r="G22" s="42" t="s">
        <v>19</v>
      </c>
      <c r="H22" s="63"/>
      <c r="I22" s="63" t="s">
        <v>139</v>
      </c>
      <c r="J22" s="49"/>
      <c r="K22" s="49"/>
      <c r="L22" s="49" t="str">
        <f ca="1">IFERROR(__xludf.DUMMYFUNCTION("QUERY('Volunteer Survey'!B22)"),"Marwan Shinawi")</f>
        <v>Marwan Shinawi</v>
      </c>
      <c r="M22" s="49" t="str">
        <f ca="1">IFERROR(__xludf.DUMMYFUNCTION("QUERY('Volunteer Survey'!E22)"),"mshinawi@wustl.edu")</f>
        <v>mshinawi@wustl.edu</v>
      </c>
      <c r="N22" s="49" t="str">
        <f ca="1">IFERROR(__xludf.DUMMYFUNCTION("QUERY('Volunteer Survey'!F22)"),"Clinical Medical Geneticist")</f>
        <v>Clinical Medical Geneticist</v>
      </c>
      <c r="O22" s="42" t="str">
        <f ca="1">IFERROR(__xludf.DUMMYFUNCTION("QUERY('Volunteer Survey'!H22)"),"Comprehensive")</f>
        <v>Comprehensive</v>
      </c>
      <c r="P22" s="49" t="str">
        <f ca="1">IFERROR(__xludf.DUMMYFUNCTION("QUERY('Volunteer Survey'!I22)"),"Clinical Actionability")</f>
        <v>Clinical Actionability</v>
      </c>
      <c r="Q22" s="54" t="str">
        <f ca="1">IFERROR(__xludf.DUMMYFUNCTION("QUERY('Volunteer Survey'!J22)"),"Gene-Disease Validity")</f>
        <v>Gene-Disease Validity</v>
      </c>
      <c r="R22" s="49" t="str">
        <f ca="1">IFERROR(__xludf.DUMMYFUNCTION("QUERY('Volunteer Survey'!K22)"),"Variant Pathogenicity")</f>
        <v>Variant Pathogenicity</v>
      </c>
      <c r="S22" s="49" t="str">
        <f ca="1">IFERROR(__xludf.DUMMYFUNCTION("QUERY('Volunteer Survey'!L22)"),"Dosage Sensitivity")</f>
        <v>Dosage Sensitivity</v>
      </c>
      <c r="T22" s="49" t="str">
        <f ca="1">IFERROR(__xludf.DUMMYFUNCTION("QUERY('Volunteer Survey'!M22)"),"Somatic Cancer")</f>
        <v>Somatic Cancer</v>
      </c>
      <c r="U22" s="58" t="str">
        <f ca="1">IFERROR(__xludf.DUMMYFUNCTION("QUERY('Volunteer Survey'!N22)"),"To some extent")</f>
        <v>To some extent</v>
      </c>
      <c r="V22" s="49" t="str">
        <f ca="1">IFERROR(__xludf.DUMMYFUNCTION("QUERY('Volunteer Survey'!O22)"),"Yes")</f>
        <v>Yes</v>
      </c>
      <c r="W22" s="60" t="str">
        <f ca="1">IFERROR(__xludf.DUMMYFUNCTION("QUERY('Volunteer Survey'!P22)"),"Autism and Intellectual Disability Gene Curation Expert Panel")</f>
        <v>Autism and Intellectual Disability Gene Curation Expert Panel</v>
      </c>
      <c r="X22" s="58" t="str">
        <f ca="1">IFERROR(__xludf.DUMMYFUNCTION("QUERY('Volunteer Survey'!R22)"),"No - I am only interested in the group(s) I previously indicated")</f>
        <v>No - I am only interested in the group(s) I previously indicated</v>
      </c>
      <c r="Y22" s="47"/>
      <c r="Z22" s="174">
        <f ca="1">IFERROR(__xludf.DUMMYFUNCTION("QUERY('Volunteer Survey'!A21)"),43472.4257775925)</f>
        <v>43472.4257775925</v>
      </c>
      <c r="AA22" s="175" t="str">
        <f ca="1">IFERROR(__xludf.DUMMYFUNCTION("QUERY('Volunteer Survey'!B21)"),"Shulin Zhang")</f>
        <v>Shulin Zhang</v>
      </c>
      <c r="AB22" s="175" t="str">
        <f ca="1">IFERROR(__xludf.DUMMYFUNCTION("QUERY('Volunteer Survey'!C21)"),"University of Kentucky, UKHealthCare")</f>
        <v>University of Kentucky, UKHealthCare</v>
      </c>
      <c r="AC22" s="175" t="str">
        <f ca="1">IFERROR(__xludf.DUMMYFUNCTION("QUERY('Volunteer Survey'!D21)"),"800 Rose Street, MS117, Lexington KY, 40536")</f>
        <v>800 Rose Street, MS117, Lexington KY, 40536</v>
      </c>
      <c r="AD22" s="175" t="str">
        <f ca="1">IFERROR(__xludf.DUMMYFUNCTION("QUERY('Volunteer Survey'!E21)"),"shulin.zhang@uky.edu")</f>
        <v>shulin.zhang@uky.edu</v>
      </c>
      <c r="AE22" s="175" t="str">
        <f ca="1">IFERROR(__xludf.DUMMYFUNCTION("QUERY('Volunteer Survey'!F21)"),"Clinical laboratory geneticist")</f>
        <v>Clinical laboratory geneticist</v>
      </c>
      <c r="AF22" s="175" t="str">
        <f ca="1">IFERROR(__xludf.DUMMYFUNCTION("QUERY('Volunteer Survey'!G21)"),"ClinGen curation expert panel's guidelines/recommendations play an indispensable role in the variant curation process in my laboratory. My lab at University of Kentucky offers genetic testing for both somatic and inherited conditions. Since I joined this "&amp;"laboratory in June 2018, my main goals focus on the developing genetic testing for cardiovascular conditions, mitochondrial/metabolic conditions, ophthalmological conditions, neonatal WES, cancer predispositions and pediatric cancers. Currently, I am part"&amp;"icularly interested in joining the curation expert panel  for 1) dosage sensitive genes 2) mitochondrial conditions 3) cardiovascular conditions. ")</f>
        <v xml:space="preserve">ClinGen curation expert panel's guidelines/recommendations play an indispensable role in the variant curation process in my laboratory. My lab at University of Kentucky offers genetic testing for both somatic and inherited conditions. Since I joined this laboratory in June 2018, my main goals focus on the developing genetic testing for cardiovascular conditions, mitochondrial/metabolic conditions, ophthalmological conditions, neonatal WES, cancer predispositions and pediatric cancers. Currently, I am particularly interested in joining the curation expert panel  for 1) dosage sensitive genes 2) mitochondrial conditions 3) cardiovascular conditions. </v>
      </c>
      <c r="AG22" s="175" t="str">
        <f ca="1">IFERROR(__xludf.DUMMYFUNCTION("QUERY('Volunteer Survey'!H21)"),"Comprehensive")</f>
        <v>Comprehensive</v>
      </c>
      <c r="AH22" s="175" t="str">
        <f ca="1">IFERROR(__xludf.DUMMYFUNCTION("QUERY('Volunteer Survey'!I21)"),"Dosage Sensitivity")</f>
        <v>Dosage Sensitivity</v>
      </c>
      <c r="AI22" s="175" t="str">
        <f ca="1">IFERROR(__xludf.DUMMYFUNCTION("QUERY('Volunteer Survey'!J21)"),"Variant Pathogenicity")</f>
        <v>Variant Pathogenicity</v>
      </c>
      <c r="AJ22" s="175" t="str">
        <f ca="1">IFERROR(__xludf.DUMMYFUNCTION("QUERY('Volunteer Survey'!K21)"),"Gene-Disease Validity")</f>
        <v>Gene-Disease Validity</v>
      </c>
      <c r="AK22" s="175" t="str">
        <f ca="1">IFERROR(__xludf.DUMMYFUNCTION("QUERY('Volunteer Survey'!L21)"),"Somatic Cancer")</f>
        <v>Somatic Cancer</v>
      </c>
      <c r="AL22" s="175" t="str">
        <f ca="1">IFERROR(__xludf.DUMMYFUNCTION("QUERY('Volunteer Survey'!M21)"),"Clinical Actionability")</f>
        <v>Clinical Actionability</v>
      </c>
      <c r="AM22" s="175" t="str">
        <f ca="1">IFERROR(__xludf.DUMMYFUNCTION("QUERY('Volunteer Survey'!N21)"),"No")</f>
        <v>No</v>
      </c>
      <c r="AN22" s="175" t="str">
        <f ca="1">IFERROR(__xludf.DUMMYFUNCTION("QUERY('Volunteer Survey'!O21)"),"No")</f>
        <v>No</v>
      </c>
      <c r="AO22" s="175" t="str">
        <f ca="1">IFERROR(__xludf.DUMMYFUNCTION("QUERY('Volunteer Survey'!P21)"),"1) Dosage sensitivity working group expert panel (inherited cancers) 2) Colorectal cancer 3) mitochondrial diseases")</f>
        <v>1) Dosage sensitivity working group expert panel (inherited cancers) 2) Colorectal cancer 3) mitochondrial diseases</v>
      </c>
    </row>
    <row r="23" spans="1:41" ht="14">
      <c r="A23" s="44">
        <f ca="1">IFERROR(__xludf.DUMMYFUNCTION("QUERY('Volunteer Survey'!A23)"),43473.390765081)</f>
        <v>43473.390765081</v>
      </c>
      <c r="B23" s="42" t="s">
        <v>108</v>
      </c>
      <c r="C23" s="47"/>
      <c r="D23" s="59">
        <v>43605</v>
      </c>
      <c r="E23" s="42" t="s">
        <v>117</v>
      </c>
      <c r="F23" s="42" t="s">
        <v>117</v>
      </c>
      <c r="G23" s="42" t="s">
        <v>251</v>
      </c>
      <c r="H23" s="45" t="s">
        <v>252</v>
      </c>
      <c r="I23" s="45" t="s">
        <v>139</v>
      </c>
      <c r="J23" s="50">
        <v>43712</v>
      </c>
      <c r="K23" s="50"/>
      <c r="L23" s="49" t="str">
        <f ca="1">IFERROR(__xludf.DUMMYFUNCTION("QUERY('Volunteer Survey'!B23)"),"Adam Coovadia")</f>
        <v>Adam Coovadia</v>
      </c>
      <c r="M23" s="49" t="str">
        <f ca="1">IFERROR(__xludf.DUMMYFUNCTION("QUERY('Volunteer Survey'!E23)"),"coovadiaa@gmail.com")</f>
        <v>coovadiaa@gmail.com</v>
      </c>
      <c r="N23" s="49" t="str">
        <f ca="1">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O23" s="42" t="str">
        <f ca="1">IFERROR(__xludf.DUMMYFUNCTION("QUERY('Volunteer Survey'!H23)"),"Comprehensive")</f>
        <v>Comprehensive</v>
      </c>
      <c r="P23" s="49" t="str">
        <f ca="1">IFERROR(__xludf.DUMMYFUNCTION("QUERY('Volunteer Survey'!I23)"),"Variant Pathogenicity")</f>
        <v>Variant Pathogenicity</v>
      </c>
      <c r="Q23" s="54" t="str">
        <f ca="1">IFERROR(__xludf.DUMMYFUNCTION("QUERY('Volunteer Survey'!J23)"),"Gene-Disease Validity")</f>
        <v>Gene-Disease Validity</v>
      </c>
      <c r="R23" s="49" t="str">
        <f ca="1">IFERROR(__xludf.DUMMYFUNCTION("QUERY('Volunteer Survey'!K23)"),"Somatic Cancer")</f>
        <v>Somatic Cancer</v>
      </c>
      <c r="S23" s="49" t="str">
        <f ca="1">IFERROR(__xludf.DUMMYFUNCTION("QUERY('Volunteer Survey'!L23)"),"Clinical Actionability")</f>
        <v>Clinical Actionability</v>
      </c>
      <c r="T23" s="49" t="str">
        <f ca="1">IFERROR(__xludf.DUMMYFUNCTION("QUERY('Volunteer Survey'!M23)"),"Dosage Sensitivity")</f>
        <v>Dosage Sensitivity</v>
      </c>
      <c r="U23" s="58" t="str">
        <f ca="1">IFERROR(__xludf.DUMMYFUNCTION("QUERY('Volunteer Survey'!N23)"),"")</f>
        <v/>
      </c>
      <c r="V23" s="49" t="str">
        <f ca="1">IFERROR(__xludf.DUMMYFUNCTION("QUERY('Volunteer Survey'!O23)"),"Yes")</f>
        <v>Yes</v>
      </c>
      <c r="W23" s="60" t="str">
        <f ca="1">IFERROR(__xludf.DUMMYFUNCTION("QUERY('Volunteer Survey'!P23)"),"")</f>
        <v/>
      </c>
      <c r="X23" s="58" t="str">
        <f ca="1">IFERROR(__xludf.DUMMYFUNCTION("QUERY('Volunteer Survey'!R23)"),"Yes- I am willing to volunteer with any available ClinGen group")</f>
        <v>Yes- I am willing to volunteer with any available ClinGen group</v>
      </c>
      <c r="Y23" s="47"/>
      <c r="Z23" s="174">
        <f ca="1">IFERROR(__xludf.DUMMYFUNCTION("QUERY('Volunteer Survey'!A22)"),43472.5372556018)</f>
        <v>43472.537255601797</v>
      </c>
      <c r="AA23" s="175" t="str">
        <f ca="1">IFERROR(__xludf.DUMMYFUNCTION("QUERY('Volunteer Survey'!B22)"),"Marwan Shinawi")</f>
        <v>Marwan Shinawi</v>
      </c>
      <c r="AB23" s="175" t="str">
        <f ca="1">IFERROR(__xludf.DUMMYFUNCTION("QUERY('Volunteer Survey'!C22)"),"Washington University School of Medicine")</f>
        <v>Washington University School of Medicine</v>
      </c>
      <c r="AC23" s="175" t="str">
        <f ca="1">IFERROR(__xludf.DUMMYFUNCTION("QUERY('Volunteer Survey'!D22)"),"One Childrens Place, Northwest Tower, 9132")</f>
        <v>One Childrens Place, Northwest Tower, 9132</v>
      </c>
      <c r="AD23" s="175" t="str">
        <f ca="1">IFERROR(__xludf.DUMMYFUNCTION("QUERY('Volunteer Survey'!E22)"),"mshinawi@wustl.edu")</f>
        <v>mshinawi@wustl.edu</v>
      </c>
      <c r="AE23" s="175" t="str">
        <f ca="1">IFERROR(__xludf.DUMMYFUNCTION("QUERY('Volunteer Survey'!F22)"),"Clinical Medical Geneticist")</f>
        <v>Clinical Medical Geneticist</v>
      </c>
      <c r="AF23" s="175" t="str">
        <f ca="1">IFERROR(__xludf.DUMMYFUNCTION("QUERY('Volunteer Survey'!G22)"),"I am a clinical geneticist and have special interest in genomic medicine and disease gene discovery. I lead the effort to establish an exome clinic five years ago at Washington University School of Medicine. I have good experience in interpretation of exo"&amp;"me results, exploring genotype phenotype correlation, and using in silico tools for variant classification. I hear about ClinGen through scientific conferences and colleagues in the field of medical genetics.   ")</f>
        <v xml:space="preserve">I am a clinical geneticist and have special interest in genomic medicine and disease gene discovery. I lead the effort to establish an exome clinic five years ago at Washington University School of Medicine. I have good experience in interpretation of exome results, exploring genotype phenotype correlation, and using in silico tools for variant classification. I hear about ClinGen through scientific conferences and colleagues in the field of medical genetics.   </v>
      </c>
      <c r="AG23" s="175" t="str">
        <f ca="1">IFERROR(__xludf.DUMMYFUNCTION("QUERY('Volunteer Survey'!H22)"),"Comprehensive")</f>
        <v>Comprehensive</v>
      </c>
      <c r="AH23" s="175" t="str">
        <f ca="1">IFERROR(__xludf.DUMMYFUNCTION("QUERY('Volunteer Survey'!I22)"),"Clinical Actionability")</f>
        <v>Clinical Actionability</v>
      </c>
      <c r="AI23" s="175" t="str">
        <f ca="1">IFERROR(__xludf.DUMMYFUNCTION("QUERY('Volunteer Survey'!J22)"),"Gene-Disease Validity")</f>
        <v>Gene-Disease Validity</v>
      </c>
      <c r="AJ23" s="175" t="str">
        <f ca="1">IFERROR(__xludf.DUMMYFUNCTION("QUERY('Volunteer Survey'!K22)"),"Variant Pathogenicity")</f>
        <v>Variant Pathogenicity</v>
      </c>
      <c r="AK23" s="175" t="str">
        <f ca="1">IFERROR(__xludf.DUMMYFUNCTION("QUERY('Volunteer Survey'!L22)"),"Dosage Sensitivity")</f>
        <v>Dosage Sensitivity</v>
      </c>
      <c r="AL23" s="175" t="str">
        <f ca="1">IFERROR(__xludf.DUMMYFUNCTION("QUERY('Volunteer Survey'!M22)"),"Somatic Cancer")</f>
        <v>Somatic Cancer</v>
      </c>
      <c r="AM23" s="175" t="str">
        <f ca="1">IFERROR(__xludf.DUMMYFUNCTION("QUERY('Volunteer Survey'!N22)"),"To some extent")</f>
        <v>To some extent</v>
      </c>
      <c r="AN23" s="175" t="str">
        <f ca="1">IFERROR(__xludf.DUMMYFUNCTION("QUERY('Volunteer Survey'!O22)"),"Yes")</f>
        <v>Yes</v>
      </c>
      <c r="AO23" s="175" t="str">
        <f ca="1">IFERROR(__xludf.DUMMYFUNCTION("QUERY('Volunteer Survey'!P22)"),"Autism and Intellectual Disability Gene Curation Expert Panel")</f>
        <v>Autism and Intellectual Disability Gene Curation Expert Panel</v>
      </c>
    </row>
    <row r="24" spans="1:41" ht="14">
      <c r="A24" s="44">
        <f ca="1">IFERROR(__xludf.DUMMYFUNCTION("QUERY('Volunteer Survey'!A24)"),43332.5812152777)</f>
        <v>43332.5812152777</v>
      </c>
      <c r="B24" s="42" t="s">
        <v>160</v>
      </c>
      <c r="C24" s="73">
        <v>43446</v>
      </c>
      <c r="D24" s="50">
        <v>43446</v>
      </c>
      <c r="E24" s="42" t="s">
        <v>117</v>
      </c>
      <c r="F24" s="42" t="s">
        <v>117</v>
      </c>
      <c r="G24" s="42" t="s">
        <v>122</v>
      </c>
      <c r="H24" s="45" t="s">
        <v>20</v>
      </c>
      <c r="I24" s="45" t="s">
        <v>139</v>
      </c>
      <c r="J24" s="50">
        <v>43592</v>
      </c>
      <c r="K24" s="50">
        <v>43713</v>
      </c>
      <c r="L24" s="49" t="str">
        <f ca="1">IFERROR(__xludf.DUMMYFUNCTION("QUERY('Volunteer Survey'!B24)"),"Volkan Okur")</f>
        <v>Volkan Okur</v>
      </c>
      <c r="M24" s="49" t="str">
        <f ca="1">IFERROR(__xludf.DUMMYFUNCTION("QUERY('Volunteer Survey'!E24)"),"vokur@bcm.edu")</f>
        <v>vokur@bcm.edu</v>
      </c>
      <c r="N24" s="49" t="str">
        <f ca="1">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O24" s="42" t="str">
        <f ca="1">IFERROR(__xludf.DUMMYFUNCTION("QUERY('Volunteer Survey'!H24)"),"Comprehensive")</f>
        <v>Comprehensive</v>
      </c>
      <c r="P24" s="49" t="str">
        <f ca="1">IFERROR(__xludf.DUMMYFUNCTION("QUERY('Volunteer Survey'!I24)"),"Gene-Disease Validity")</f>
        <v>Gene-Disease Validity</v>
      </c>
      <c r="Q24" s="54" t="str">
        <f ca="1">IFERROR(__xludf.DUMMYFUNCTION("QUERY('Volunteer Survey'!J24)"),"Variant Pathogenicity")</f>
        <v>Variant Pathogenicity</v>
      </c>
      <c r="R24" s="49" t="str">
        <f ca="1">IFERROR(__xludf.DUMMYFUNCTION("QUERY('Volunteer Survey'!K24)"),"Actionability")</f>
        <v>Actionability</v>
      </c>
      <c r="S24" s="49" t="str">
        <f ca="1">IFERROR(__xludf.DUMMYFUNCTION("QUERY('Volunteer Survey'!L24)"),"Somatic Cancer")</f>
        <v>Somatic Cancer</v>
      </c>
      <c r="T24" s="49" t="str">
        <f ca="1">IFERROR(__xludf.DUMMYFUNCTION("QUERY('Volunteer Survey'!M24)"),"Dosage Sensitivity")</f>
        <v>Dosage Sensitivity</v>
      </c>
      <c r="U24" s="58" t="str">
        <f ca="1">IFERROR(__xludf.DUMMYFUNCTION("QUERY('Volunteer Survey'!N24)"),"Yes")</f>
        <v>Yes</v>
      </c>
      <c r="V24" s="49" t="str">
        <f ca="1">IFERROR(__xludf.DUMMYFUNCTION("QUERY('Volunteer Survey'!O24)"),"")</f>
        <v/>
      </c>
      <c r="W24" s="60" t="str">
        <f ca="1">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X24" s="58" t="str">
        <f ca="1">IFERROR(__xludf.DUMMYFUNCTION("QUERY('Volunteer Survey'!R24)"),"")</f>
        <v/>
      </c>
      <c r="Y24" s="47"/>
      <c r="Z24" s="174">
        <f ca="1">IFERROR(__xludf.DUMMYFUNCTION("QUERY('Volunteer Survey'!A23)"),43473.390765081)</f>
        <v>43473.390765081</v>
      </c>
      <c r="AA24" s="175" t="str">
        <f ca="1">IFERROR(__xludf.DUMMYFUNCTION("QUERY('Volunteer Survey'!B23)"),"Adam Coovadia")</f>
        <v>Adam Coovadia</v>
      </c>
      <c r="AB24" s="175" t="str">
        <f ca="1">IFERROR(__xludf.DUMMYFUNCTION("QUERY('Volunteer Survey'!C23)"),"Saint Petersburg College")</f>
        <v>Saint Petersburg College</v>
      </c>
      <c r="AC24" s="175" t="str">
        <f ca="1">IFERROR(__xludf.DUMMYFUNCTION("QUERY('Volunteer Survey'!D23)"),"1201 Fairway Ave South")</f>
        <v>1201 Fairway Ave South</v>
      </c>
      <c r="AD24" s="175" t="str">
        <f ca="1">IFERROR(__xludf.DUMMYFUNCTION("QUERY('Volunteer Survey'!E23)"),"coovadiaa@gmail.com")</f>
        <v>coovadiaa@gmail.com</v>
      </c>
      <c r="AE24" s="175" t="str">
        <f ca="1">IFERROR(__xludf.DUMMYFUNCTION("QUERY('Volunteer Survey'!F23)"),"Former Lab Operations Director/Molecular Genetics Lab Supervisor and College Professor of Bioinformatics, Genetics, Cell Biology, Biotechnology")</f>
        <v>Former Lab Operations Director/Molecular Genetics Lab Supervisor and College Professor of Bioinformatics, Genetics, Cell Biology, Biotechnology</v>
      </c>
      <c r="AF24" s="175" t="str">
        <f ca="1">IFERROR(__xludf.DUMMYFUNCTION("QUERY('Volunteer Survey'!G23)"),"I have been involved with variant science for 13 years both as the Supervisor of the clinical molecular genetics lab at Johns Hopkins Medicine/All Children's Hospital and the Director of Lab Operations at EvolveGene/Cooper Genomics. In addition, I have be"&amp;"en an active CAP lab inspector of molecular labs for 10 years now. I have contributed to HGMD, ClinVar and other databases. I am interested in assisting with this project so as to help resolve and or reduce variant discrepancies and learn something along "&amp;"the way! While my experience is in germ line variants for genes typically associated with carrier tests and or esoteric tests, I am open to assisting with any gene and or disease, as needed.  ")</f>
        <v xml:space="preserve">I have been involved with variant science for 13 years both as the Supervisor of the clinical molecular genetics lab at Johns Hopkins Medicine/All Children's Hospital and the Director of Lab Operations at EvolveGene/Cooper Genomics. In addition, I have been an active CAP lab inspector of molecular labs for 10 years now. I have contributed to HGMD, ClinVar and other databases. I am interested in assisting with this project so as to help resolve and or reduce variant discrepancies and learn something along the way! While my experience is in germ line variants for genes typically associated with carrier tests and or esoteric tests, I am open to assisting with any gene and or disease, as needed.  </v>
      </c>
      <c r="AG24" s="175" t="str">
        <f ca="1">IFERROR(__xludf.DUMMYFUNCTION("QUERY('Volunteer Survey'!H23)"),"Comprehensive")</f>
        <v>Comprehensive</v>
      </c>
      <c r="AH24" s="175" t="str">
        <f ca="1">IFERROR(__xludf.DUMMYFUNCTION("QUERY('Volunteer Survey'!I23)"),"Variant Pathogenicity")</f>
        <v>Variant Pathogenicity</v>
      </c>
      <c r="AI24" s="175" t="str">
        <f ca="1">IFERROR(__xludf.DUMMYFUNCTION("QUERY('Volunteer Survey'!J23)"),"Gene-Disease Validity")</f>
        <v>Gene-Disease Validity</v>
      </c>
      <c r="AJ24" s="175" t="str">
        <f ca="1">IFERROR(__xludf.DUMMYFUNCTION("QUERY('Volunteer Survey'!K23)"),"Somatic Cancer")</f>
        <v>Somatic Cancer</v>
      </c>
      <c r="AK24" s="175" t="str">
        <f ca="1">IFERROR(__xludf.DUMMYFUNCTION("QUERY('Volunteer Survey'!L23)"),"Clinical Actionability")</f>
        <v>Clinical Actionability</v>
      </c>
      <c r="AL24" s="175" t="str">
        <f ca="1">IFERROR(__xludf.DUMMYFUNCTION("QUERY('Volunteer Survey'!M23)"),"Dosage Sensitivity")</f>
        <v>Dosage Sensitivity</v>
      </c>
      <c r="AM24" s="175" t="str">
        <f ca="1">IFERROR(__xludf.DUMMYFUNCTION("QUERY('Volunteer Survey'!N23)"),"")</f>
        <v/>
      </c>
      <c r="AN24" s="175" t="str">
        <f ca="1">IFERROR(__xludf.DUMMYFUNCTION("QUERY('Volunteer Survey'!O23)"),"Yes")</f>
        <v>Yes</v>
      </c>
      <c r="AO24" s="175" t="str">
        <f ca="1">IFERROR(__xludf.DUMMYFUNCTION("QUERY('Volunteer Survey'!P23)"),"")</f>
        <v/>
      </c>
    </row>
    <row r="25" spans="1:41" ht="14">
      <c r="A25" s="44">
        <f ca="1">IFERROR(__xludf.DUMMYFUNCTION("QUERY('Volunteer Survey'!A25)"),43332.5822685185)</f>
        <v>43332.582268518498</v>
      </c>
      <c r="B25" s="42" t="s">
        <v>160</v>
      </c>
      <c r="C25" s="73">
        <v>43411</v>
      </c>
      <c r="D25" s="50">
        <v>43446</v>
      </c>
      <c r="E25" s="42" t="s">
        <v>117</v>
      </c>
      <c r="F25" s="42" t="s">
        <v>117</v>
      </c>
      <c r="G25" s="42" t="s">
        <v>122</v>
      </c>
      <c r="H25" s="45" t="s">
        <v>197</v>
      </c>
      <c r="I25" s="45" t="s">
        <v>139</v>
      </c>
      <c r="J25" s="50">
        <v>43592</v>
      </c>
      <c r="K25" s="50">
        <v>43713</v>
      </c>
      <c r="L25" s="49" t="str">
        <f ca="1">IFERROR(__xludf.DUMMYFUNCTION("QUERY('Volunteer Survey'!B25)"),"Mythily Ganapathi")</f>
        <v>Mythily Ganapathi</v>
      </c>
      <c r="M25" s="49" t="str">
        <f ca="1">IFERROR(__xludf.DUMMYFUNCTION("QUERY('Volunteer Survey'!E25)"),"mg3560@cumc.columbia.edu")</f>
        <v>mg3560@cumc.columbia.edu</v>
      </c>
      <c r="N25" s="49" t="str">
        <f ca="1">IFERROR(__xludf.DUMMYFUNCTION("QUERY('Volunteer Survey'!F25)"),"Clinical laboratory geneticist")</f>
        <v>Clinical laboratory geneticist</v>
      </c>
      <c r="O25" s="42" t="str">
        <f ca="1">IFERROR(__xludf.DUMMYFUNCTION("QUERY('Volunteer Survey'!H25)"),"Comprehensive")</f>
        <v>Comprehensive</v>
      </c>
      <c r="P25" s="49" t="str">
        <f ca="1">IFERROR(__xludf.DUMMYFUNCTION("QUERY('Volunteer Survey'!I25)"),"Gene-Disease Validity")</f>
        <v>Gene-Disease Validity</v>
      </c>
      <c r="Q25" s="54" t="str">
        <f ca="1">IFERROR(__xludf.DUMMYFUNCTION("QUERY('Volunteer Survey'!J25)"),"Variant Pathogenicity")</f>
        <v>Variant Pathogenicity</v>
      </c>
      <c r="R25" s="49" t="str">
        <f ca="1">IFERROR(__xludf.DUMMYFUNCTION("QUERY('Volunteer Survey'!K25)"),"Actionability")</f>
        <v>Actionability</v>
      </c>
      <c r="S25" s="49" t="str">
        <f ca="1">IFERROR(__xludf.DUMMYFUNCTION("QUERY('Volunteer Survey'!L25)"),"")</f>
        <v/>
      </c>
      <c r="T25" s="49" t="str">
        <f ca="1">IFERROR(__xludf.DUMMYFUNCTION("QUERY('Volunteer Survey'!M25)"),"")</f>
        <v/>
      </c>
      <c r="U25" s="58" t="str">
        <f ca="1">IFERROR(__xludf.DUMMYFUNCTION("QUERY('Volunteer Survey'!N25)"),"Yes")</f>
        <v>Yes</v>
      </c>
      <c r="V25" s="49" t="str">
        <f ca="1">IFERROR(__xludf.DUMMYFUNCTION("QUERY('Volunteer Survey'!O25)"),"")</f>
        <v/>
      </c>
      <c r="W25" s="60" t="str">
        <f ca="1">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X25" s="58" t="str">
        <f ca="1">IFERROR(__xludf.DUMMYFUNCTION("QUERY('Volunteer Survey'!R25)"),"")</f>
        <v/>
      </c>
      <c r="Y25" s="47"/>
      <c r="Z25" s="174">
        <f ca="1">IFERROR(__xludf.DUMMYFUNCTION("QUERY('Volunteer Survey'!A24)"),43332.5812152777)</f>
        <v>43332.5812152777</v>
      </c>
      <c r="AA25" s="175" t="str">
        <f ca="1">IFERROR(__xludf.DUMMYFUNCTION("QUERY('Volunteer Survey'!B24)"),"Volkan Okur")</f>
        <v>Volkan Okur</v>
      </c>
      <c r="AB25" s="175" t="str">
        <f ca="1">IFERROR(__xludf.DUMMYFUNCTION("QUERY('Volunteer Survey'!C24)"),"Baylor college of Medicine")</f>
        <v>Baylor college of Medicine</v>
      </c>
      <c r="AC25" s="175" t="str">
        <f ca="1">IFERROR(__xludf.DUMMYFUNCTION("QUERY('Volunteer Survey'!D24)"),"Houston, Texas")</f>
        <v>Houston, Texas</v>
      </c>
      <c r="AD25" s="175" t="str">
        <f ca="1">IFERROR(__xludf.DUMMYFUNCTION("QUERY('Volunteer Survey'!E24)"),"vokur@bcm.edu")</f>
        <v>vokur@bcm.edu</v>
      </c>
      <c r="AE25" s="175" t="str">
        <f ca="1">IFERROR(__xludf.DUMMYFUNCTION("QUERY('Volunteer Survey'!F24)"),"Clinical medical geneticist/Clinical laboratory geneticist/Post Doc/Resident/Fellow (MD and/or Phd)/Scientific Researcher/Variant Analyst/Scientist")</f>
        <v>Clinical medical geneticist/Clinical laboratory geneticist/Post Doc/Resident/Fellow (MD and/or Phd)/Scientific Researcher/Variant Analyst/Scientist</v>
      </c>
      <c r="AF25" s="175" t="str">
        <f ca="1">IFERROR(__xludf.DUMMYFUNCTION("QUERY('Volunteer Survey'!G24)"),"any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c r="AG25" s="175" t="str">
        <f ca="1">IFERROR(__xludf.DUMMYFUNCTION("QUERY('Volunteer Survey'!H24)"),"Comprehensive")</f>
        <v>Comprehensive</v>
      </c>
      <c r="AH25" s="175" t="str">
        <f ca="1">IFERROR(__xludf.DUMMYFUNCTION("QUERY('Volunteer Survey'!I24)"),"Gene-Disease Validity")</f>
        <v>Gene-Disease Validity</v>
      </c>
      <c r="AI25" s="175" t="str">
        <f ca="1">IFERROR(__xludf.DUMMYFUNCTION("QUERY('Volunteer Survey'!J24)"),"Variant Pathogenicity")</f>
        <v>Variant Pathogenicity</v>
      </c>
      <c r="AJ25" s="175" t="str">
        <f ca="1">IFERROR(__xludf.DUMMYFUNCTION("QUERY('Volunteer Survey'!K24)"),"Actionability")</f>
        <v>Actionability</v>
      </c>
      <c r="AK25" s="175" t="str">
        <f ca="1">IFERROR(__xludf.DUMMYFUNCTION("QUERY('Volunteer Survey'!L24)"),"Somatic Cancer")</f>
        <v>Somatic Cancer</v>
      </c>
      <c r="AL25" s="175" t="str">
        <f ca="1">IFERROR(__xludf.DUMMYFUNCTION("QUERY('Volunteer Survey'!M24)"),"Dosage Sensitivity")</f>
        <v>Dosage Sensitivity</v>
      </c>
      <c r="AM25" s="175" t="str">
        <f ca="1">IFERROR(__xludf.DUMMYFUNCTION("QUERY('Volunteer Survey'!N24)"),"Yes")</f>
        <v>Yes</v>
      </c>
      <c r="AN25" s="175" t="str">
        <f ca="1">IFERROR(__xludf.DUMMYFUNCTION("QUERY('Volunteer Survey'!O24)"),"")</f>
        <v/>
      </c>
      <c r="AO25" s="175" t="str">
        <f ca="1">IFERROR(__xludf.DUMMYFUNCTION("QUERY('Volunteer Survey'!P24)"),"any expert panel of hereditary cancer and/or inborn errors of metabolism domains. ClinVar experts can decide where I would be of the most help.")</f>
        <v>any expert panel of hereditary cancer and/or inborn errors of metabolism domains. ClinVar experts can decide where I would be of the most help.</v>
      </c>
    </row>
    <row r="26" spans="1:41" ht="14">
      <c r="A26" s="80">
        <f ca="1">IFERROR(__xludf.DUMMYFUNCTION("QUERY('Volunteer Survey'!A26)"),43332.5831597222)</f>
        <v>43332.583159722199</v>
      </c>
      <c r="B26" s="42" t="s">
        <v>168</v>
      </c>
      <c r="C26" s="81"/>
      <c r="D26" s="59">
        <v>43585</v>
      </c>
      <c r="E26" s="42" t="s">
        <v>117</v>
      </c>
      <c r="F26" s="42" t="s">
        <v>130</v>
      </c>
      <c r="G26" s="42" t="s">
        <v>122</v>
      </c>
      <c r="H26" s="47"/>
      <c r="I26" s="45" t="s">
        <v>139</v>
      </c>
      <c r="J26" s="49"/>
      <c r="K26" s="49"/>
      <c r="L26" s="49" t="str">
        <f ca="1">IFERROR(__xludf.DUMMYFUNCTION("QUERY('Volunteer Survey'!B26)"),"Leslie Oldfield")</f>
        <v>Leslie Oldfield</v>
      </c>
      <c r="M26" s="49" t="str">
        <f ca="1">IFERROR(__xludf.DUMMYFUNCTION("QUERY('Volunteer Survey'!E26)"),"leslie.oldfield@gmail.com")</f>
        <v>leslie.oldfield@gmail.com</v>
      </c>
      <c r="N26" s="49" t="str">
        <f ca="1">IFERROR(__xludf.DUMMYFUNCTION("QUERY('Volunteer Survey'!F26)"),"Research Associate")</f>
        <v>Research Associate</v>
      </c>
      <c r="O26" s="42" t="str">
        <f ca="1">IFERROR(__xludf.DUMMYFUNCTION("QUERY('Volunteer Survey'!H26)"),"Comprehensive")</f>
        <v>Comprehensive</v>
      </c>
      <c r="P26" s="49" t="str">
        <f ca="1">IFERROR(__xludf.DUMMYFUNCTION("QUERY('Volunteer Survey'!I26)"),"Gene-Disease Validity")</f>
        <v>Gene-Disease Validity</v>
      </c>
      <c r="Q26" s="54" t="str">
        <f ca="1">IFERROR(__xludf.DUMMYFUNCTION("QUERY('Volunteer Survey'!J26)"),"Variant Pathogenicity")</f>
        <v>Variant Pathogenicity</v>
      </c>
      <c r="R26" s="49" t="str">
        <f ca="1">IFERROR(__xludf.DUMMYFUNCTION("QUERY('Volunteer Survey'!K26)"),"Actionability")</f>
        <v>Actionability</v>
      </c>
      <c r="S26" s="49" t="str">
        <f ca="1">IFERROR(__xludf.DUMMYFUNCTION("QUERY('Volunteer Survey'!L26)"),"Somatic Cancer")</f>
        <v>Somatic Cancer</v>
      </c>
      <c r="T26" s="49" t="str">
        <f ca="1">IFERROR(__xludf.DUMMYFUNCTION("QUERY('Volunteer Survey'!M26)"),"")</f>
        <v/>
      </c>
      <c r="U26" s="58" t="str">
        <f ca="1">IFERROR(__xludf.DUMMYFUNCTION("QUERY('Volunteer Survey'!N26)"),"Yes")</f>
        <v>Yes</v>
      </c>
      <c r="V26" s="49" t="str">
        <f ca="1">IFERROR(__xludf.DUMMYFUNCTION("QUERY('Volunteer Survey'!O26)"),"")</f>
        <v/>
      </c>
      <c r="W26" s="60" t="str">
        <f ca="1">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c r="X26" s="58" t="str">
        <f ca="1">IFERROR(__xludf.DUMMYFUNCTION("QUERY('Volunteer Survey'!R26)"),"")</f>
        <v/>
      </c>
      <c r="Y26" s="47"/>
      <c r="Z26" s="174">
        <f ca="1">IFERROR(__xludf.DUMMYFUNCTION("QUERY('Volunteer Survey'!A25)"),43332.5822685185)</f>
        <v>43332.582268518498</v>
      </c>
      <c r="AA26" s="175" t="str">
        <f ca="1">IFERROR(__xludf.DUMMYFUNCTION("QUERY('Volunteer Survey'!B25)"),"Mythily Ganapathi")</f>
        <v>Mythily Ganapathi</v>
      </c>
      <c r="AB26" s="175" t="str">
        <f ca="1">IFERROR(__xludf.DUMMYFUNCTION("QUERY('Volunteer Survey'!C25)"),"Columbia University Medical Center")</f>
        <v>Columbia University Medical Center</v>
      </c>
      <c r="AC26" s="175" t="str">
        <f ca="1">IFERROR(__xludf.DUMMYFUNCTION("QUERY('Volunteer Survey'!D25)"),"New York CIty")</f>
        <v>New York CIty</v>
      </c>
      <c r="AD26" s="175" t="str">
        <f ca="1">IFERROR(__xludf.DUMMYFUNCTION("QUERY('Volunteer Survey'!E25)"),"mg3560@cumc.columbia.edu")</f>
        <v>mg3560@cumc.columbia.edu</v>
      </c>
      <c r="AE26" s="175" t="str">
        <f ca="1">IFERROR(__xludf.DUMMYFUNCTION("QUERY('Volunteer Survey'!F25)"),"Clinical laboratory geneticist")</f>
        <v>Clinical laboratory geneticist</v>
      </c>
      <c r="AF26" s="175" t="str">
        <f ca="1">IFERROR(__xludf.DUMMYFUNCTION("QUERY('Volunteer Survey'!G25)"),"Cardiovascular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c r="AG26" s="175" t="str">
        <f ca="1">IFERROR(__xludf.DUMMYFUNCTION("QUERY('Volunteer Survey'!H25)"),"Comprehensive")</f>
        <v>Comprehensive</v>
      </c>
      <c r="AH26" s="175" t="str">
        <f ca="1">IFERROR(__xludf.DUMMYFUNCTION("QUERY('Volunteer Survey'!I25)"),"Gene-Disease Validity")</f>
        <v>Gene-Disease Validity</v>
      </c>
      <c r="AI26" s="175" t="str">
        <f ca="1">IFERROR(__xludf.DUMMYFUNCTION("QUERY('Volunteer Survey'!J25)"),"Variant Pathogenicity")</f>
        <v>Variant Pathogenicity</v>
      </c>
      <c r="AJ26" s="175" t="str">
        <f ca="1">IFERROR(__xludf.DUMMYFUNCTION("QUERY('Volunteer Survey'!K25)"),"Actionability")</f>
        <v>Actionability</v>
      </c>
      <c r="AK26" s="175" t="str">
        <f ca="1">IFERROR(__xludf.DUMMYFUNCTION("QUERY('Volunteer Survey'!L25)"),"")</f>
        <v/>
      </c>
      <c r="AL26" s="175" t="str">
        <f ca="1">IFERROR(__xludf.DUMMYFUNCTION("QUERY('Volunteer Survey'!M25)"),"")</f>
        <v/>
      </c>
      <c r="AM26" s="175" t="str">
        <f ca="1">IFERROR(__xludf.DUMMYFUNCTION("QUERY('Volunteer Survey'!N25)"),"Yes")</f>
        <v>Yes</v>
      </c>
      <c r="AN26" s="175" t="str">
        <f ca="1">IFERROR(__xludf.DUMMYFUNCTION("QUERY('Volunteer Survey'!O25)"),"")</f>
        <v/>
      </c>
      <c r="AO26" s="175" t="str">
        <f ca="1">IFERROR(__xludf.DUMMYFUNCTION("QUERY('Volunteer Survey'!P25)"),"Cardiovascular Dilated Cardiomyopathy Gene Curation Expert Panel (In progress) Cardiovascular Familial Hypercholesterolemia Variant Curation Expert Panel (In progress) Cardiovascular KCNQ1 Variant Curation Expert Panel (In progress) Cardiovascular LQTS Ge"&amp;"ne Curation Expert Panel (In progress) Cardiovascular KCNQ1 Variant Curation Expert Panel")</f>
        <v>Cardiovascular Dilated Cardiomyopathy Gene Curation Expert Panel (In progress) Cardiovascular Familial Hypercholesterolemia Variant Curation Expert Panel (In progress) Cardiovascular KCNQ1 Variant Curation Expert Panel (In progress) Cardiovascular LQTS Gene Curation Expert Panel (In progress) Cardiovascular KCNQ1 Variant Curation Expert Panel</v>
      </c>
    </row>
    <row r="27" spans="1:41" ht="14">
      <c r="A27" s="44">
        <f ca="1">IFERROR(__xludf.DUMMYFUNCTION("QUERY('Volunteer Survey'!A27)"),43333.5866782407)</f>
        <v>43333.586678240703</v>
      </c>
      <c r="B27" s="42" t="s">
        <v>160</v>
      </c>
      <c r="C27" s="81">
        <v>43411</v>
      </c>
      <c r="D27" s="50">
        <v>43446</v>
      </c>
      <c r="E27" s="42" t="s">
        <v>117</v>
      </c>
      <c r="F27" s="42" t="s">
        <v>117</v>
      </c>
      <c r="G27" s="42" t="s">
        <v>122</v>
      </c>
      <c r="H27" s="45" t="s">
        <v>287</v>
      </c>
      <c r="I27" s="45" t="s">
        <v>139</v>
      </c>
      <c r="J27" s="50">
        <v>43592</v>
      </c>
      <c r="K27" s="50">
        <v>43713</v>
      </c>
      <c r="L27" s="49" t="str">
        <f ca="1">IFERROR(__xludf.DUMMYFUNCTION("QUERY('Volunteer Survey'!B27)"),"John Shoffner")</f>
        <v>John Shoffner</v>
      </c>
      <c r="M27" s="49" t="str">
        <f ca="1">IFERROR(__xludf.DUMMYFUNCTION("QUERY('Volunteer Survey'!E27)"),"jmsiv9903@icloud.com")</f>
        <v>jmsiv9903@icloud.com</v>
      </c>
      <c r="N27" s="49" t="str">
        <f ca="1">IFERROR(__xludf.DUMMYFUNCTION("QUERY('Volunteer Survey'!F27)"),"Clinical medical geneticist/Clinical laboratory geneticist and Neurology, Biochemical and Molecular Genetics")</f>
        <v>Clinical medical geneticist/Clinical laboratory geneticist and Neurology, Biochemical and Molecular Genetics</v>
      </c>
      <c r="O27" s="42" t="str">
        <f ca="1">IFERROR(__xludf.DUMMYFUNCTION("QUERY('Volunteer Survey'!H27)"),"Comprehensive")</f>
        <v>Comprehensive</v>
      </c>
      <c r="P27" s="49" t="str">
        <f ca="1">IFERROR(__xludf.DUMMYFUNCTION("QUERY('Volunteer Survey'!I27)"),"Gene-Disease Validity")</f>
        <v>Gene-Disease Validity</v>
      </c>
      <c r="Q27" s="54" t="str">
        <f ca="1">IFERROR(__xludf.DUMMYFUNCTION("QUERY('Volunteer Survey'!J27)"),"Variant Pathogenicity")</f>
        <v>Variant Pathogenicity</v>
      </c>
      <c r="R27" s="49" t="str">
        <f ca="1">IFERROR(__xludf.DUMMYFUNCTION("QUERY('Volunteer Survey'!K27)"),"Actionability")</f>
        <v>Actionability</v>
      </c>
      <c r="S27" s="49" t="str">
        <f ca="1">IFERROR(__xludf.DUMMYFUNCTION("QUERY('Volunteer Survey'!L27)"),"Dosage Sensitivity")</f>
        <v>Dosage Sensitivity</v>
      </c>
      <c r="T27" s="49" t="str">
        <f ca="1">IFERROR(__xludf.DUMMYFUNCTION("QUERY('Volunteer Survey'!M27)"),"")</f>
        <v/>
      </c>
      <c r="U27" s="58" t="str">
        <f ca="1">IFERROR(__xludf.DUMMYFUNCTION("QUERY('Volunteer Survey'!N27)"),"Yes")</f>
        <v>Yes</v>
      </c>
      <c r="V27" s="49" t="str">
        <f ca="1">IFERROR(__xludf.DUMMYFUNCTION("QUERY('Volunteer Survey'!O27)"),"")</f>
        <v/>
      </c>
      <c r="W27" s="60" t="str">
        <f ca="1">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c r="X27" s="58" t="str">
        <f ca="1">IFERROR(__xludf.DUMMYFUNCTION("QUERY('Volunteer Survey'!R27)"),"")</f>
        <v/>
      </c>
      <c r="Y27" s="47"/>
      <c r="Z27" s="176">
        <f ca="1">IFERROR(__xludf.DUMMYFUNCTION("QUERY('Volunteer Survey'!A26)"),43332.5831597222)</f>
        <v>43332.583159722199</v>
      </c>
      <c r="AA27" s="175" t="str">
        <f ca="1">IFERROR(__xludf.DUMMYFUNCTION("QUERY('Volunteer Survey'!B26)"),"Leslie Oldfield")</f>
        <v>Leslie Oldfield</v>
      </c>
      <c r="AB27" s="175" t="str">
        <f ca="1">IFERROR(__xludf.DUMMYFUNCTION("QUERY('Volunteer Survey'!C26)"),"UHN")</f>
        <v>UHN</v>
      </c>
      <c r="AC27" s="175" t="str">
        <f ca="1">IFERROR(__xludf.DUMMYFUNCTION("QUERY('Volunteer Survey'!D26)"),"Toronto, Canada")</f>
        <v>Toronto, Canada</v>
      </c>
      <c r="AD27" s="175" t="str">
        <f ca="1">IFERROR(__xludf.DUMMYFUNCTION("QUERY('Volunteer Survey'!E26)"),"leslie.oldfield@gmail.com")</f>
        <v>leslie.oldfield@gmail.com</v>
      </c>
      <c r="AE27" s="175" t="str">
        <f ca="1">IFERROR(__xludf.DUMMYFUNCTION("QUERY('Volunteer Survey'!F26)"),"Research Associate")</f>
        <v>Research Associate</v>
      </c>
      <c r="AF27" s="175" t="str">
        <f ca="1">IFERROR(__xludf.DUMMYFUNCTION("QUERY('Volunteer Survey'!G26)"),"Breast and Ovarian Cancer Gene Curation Expert Panel, Colon Cancer and Polyposis Gene Curation Expert Panel, and the Hereditary Cancer Gene Curation Expert Panel")</f>
        <v>Breast and Ovarian Cancer Gene Curation Expert Panel, Colon Cancer and Polyposis Gene Curation Expert Panel, and the Hereditary Cancer Gene Curation Expert Panel</v>
      </c>
      <c r="AG27" s="175" t="str">
        <f ca="1">IFERROR(__xludf.DUMMYFUNCTION("QUERY('Volunteer Survey'!H26)"),"Comprehensive")</f>
        <v>Comprehensive</v>
      </c>
      <c r="AH27" s="175" t="str">
        <f ca="1">IFERROR(__xludf.DUMMYFUNCTION("QUERY('Volunteer Survey'!I26)"),"Gene-Disease Validity")</f>
        <v>Gene-Disease Validity</v>
      </c>
      <c r="AI27" s="175" t="str">
        <f ca="1">IFERROR(__xludf.DUMMYFUNCTION("QUERY('Volunteer Survey'!J26)"),"Variant Pathogenicity")</f>
        <v>Variant Pathogenicity</v>
      </c>
      <c r="AJ27" s="175" t="str">
        <f ca="1">IFERROR(__xludf.DUMMYFUNCTION("QUERY('Volunteer Survey'!K26)"),"Actionability")</f>
        <v>Actionability</v>
      </c>
      <c r="AK27" s="175" t="str">
        <f ca="1">IFERROR(__xludf.DUMMYFUNCTION("QUERY('Volunteer Survey'!L26)"),"Somatic Cancer")</f>
        <v>Somatic Cancer</v>
      </c>
      <c r="AL27" s="175" t="str">
        <f ca="1">IFERROR(__xludf.DUMMYFUNCTION("QUERY('Volunteer Survey'!M26)"),"")</f>
        <v/>
      </c>
      <c r="AM27" s="175" t="str">
        <f ca="1">IFERROR(__xludf.DUMMYFUNCTION("QUERY('Volunteer Survey'!N26)"),"Yes")</f>
        <v>Yes</v>
      </c>
      <c r="AN27" s="175" t="str">
        <f ca="1">IFERROR(__xludf.DUMMYFUNCTION("QUERY('Volunteer Survey'!O26)"),"")</f>
        <v/>
      </c>
      <c r="AO27" s="175" t="str">
        <f ca="1">IFERROR(__xludf.DUMMYFUNCTION("QUERY('Volunteer Survey'!P26)"),"Breast and Ovarian Cancer Gene Curation Expert Panel, Colon Cancer and Polyposis Gene Curation Expert Panel, and the Hereditary Cancer Gene Curation Expert Pane")</f>
        <v>Breast and Ovarian Cancer Gene Curation Expert Panel, Colon Cancer and Polyposis Gene Curation Expert Panel, and the Hereditary Cancer Gene Curation Expert Pane</v>
      </c>
    </row>
    <row r="28" spans="1:41" ht="14">
      <c r="A28" s="44">
        <f ca="1">IFERROR(__xludf.DUMMYFUNCTION("QUERY('Volunteer Survey'!A28)"),43335.5874884259)</f>
        <v>43335.587488425903</v>
      </c>
      <c r="B28" s="42" t="s">
        <v>160</v>
      </c>
      <c r="C28" s="81">
        <v>43411</v>
      </c>
      <c r="D28" s="50">
        <v>43446</v>
      </c>
      <c r="E28" s="42" t="s">
        <v>117</v>
      </c>
      <c r="F28" s="42" t="s">
        <v>117</v>
      </c>
      <c r="G28" s="42" t="s">
        <v>122</v>
      </c>
      <c r="H28" s="45" t="s">
        <v>287</v>
      </c>
      <c r="I28" s="45" t="s">
        <v>139</v>
      </c>
      <c r="J28" s="50">
        <v>43592</v>
      </c>
      <c r="K28" s="50">
        <v>43713</v>
      </c>
      <c r="L28" s="49" t="str">
        <f ca="1">IFERROR(__xludf.DUMMYFUNCTION("QUERY('Volunteer Survey'!B28)"),"Isabelle Thiffault")</f>
        <v>Isabelle Thiffault</v>
      </c>
      <c r="M28" s="49" t="str">
        <f ca="1">IFERROR(__xludf.DUMMYFUNCTION("QUERY('Volunteer Survey'!E28)"),"ithiffault@cmh.edu")</f>
        <v>ithiffault@cmh.edu</v>
      </c>
      <c r="N28" s="49" t="str">
        <f ca="1">IFERROR(__xludf.DUMMYFUNCTION("QUERY('Volunteer Survey'!F28)"),"Undergraduate")</f>
        <v>Undergraduate</v>
      </c>
      <c r="O28" s="42" t="str">
        <f ca="1">IFERROR(__xludf.DUMMYFUNCTION("QUERY('Volunteer Survey'!H28)"),"Comprehensive")</f>
        <v>Comprehensive</v>
      </c>
      <c r="P28" s="49" t="str">
        <f ca="1">IFERROR(__xludf.DUMMYFUNCTION("QUERY('Volunteer Survey'!I28)"),"Gene-Disease Validity")</f>
        <v>Gene-Disease Validity</v>
      </c>
      <c r="Q28" s="54" t="str">
        <f ca="1">IFERROR(__xludf.DUMMYFUNCTION("QUERY('Volunteer Survey'!J28)"),"Variant Pathogenicity")</f>
        <v>Variant Pathogenicity</v>
      </c>
      <c r="R28" s="49" t="str">
        <f ca="1">IFERROR(__xludf.DUMMYFUNCTION("QUERY('Volunteer Survey'!K28)"),"Actionability")</f>
        <v>Actionability</v>
      </c>
      <c r="S28" s="49" t="str">
        <f ca="1">IFERROR(__xludf.DUMMYFUNCTION("QUERY('Volunteer Survey'!L28)"),"Dosage Sensitivity")</f>
        <v>Dosage Sensitivity</v>
      </c>
      <c r="T28" s="49" t="str">
        <f ca="1">IFERROR(__xludf.DUMMYFUNCTION("QUERY('Volunteer Survey'!M28)"),"Somatic Cancer")</f>
        <v>Somatic Cancer</v>
      </c>
      <c r="U28" s="58" t="str">
        <f ca="1">IFERROR(__xludf.DUMMYFUNCTION("QUERY('Volunteer Survey'!N28)"),"Yes")</f>
        <v>Yes</v>
      </c>
      <c r="V28" s="49" t="str">
        <f ca="1">IFERROR(__xludf.DUMMYFUNCTION("QUERY('Volunteer Survey'!O28)"),"")</f>
        <v/>
      </c>
      <c r="W28" s="60" t="str">
        <f ca="1">IFERROR(__xludf.DUMMYFUNCTION("QUERY('Volunteer Survey'!P28)"),"Mitochondrial or ASD/ID")</f>
        <v>Mitochondrial or ASD/ID</v>
      </c>
      <c r="X28" s="58" t="str">
        <f ca="1">IFERROR(__xludf.DUMMYFUNCTION("QUERY('Volunteer Survey'!R28)"),"")</f>
        <v/>
      </c>
      <c r="Y28" s="47"/>
      <c r="Z28" s="174">
        <f ca="1">IFERROR(__xludf.DUMMYFUNCTION("QUERY('Volunteer Survey'!A27)"),43333.5866782407)</f>
        <v>43333.586678240703</v>
      </c>
      <c r="AA28" s="175" t="str">
        <f ca="1">IFERROR(__xludf.DUMMYFUNCTION("QUERY('Volunteer Survey'!B27)"),"John Shoffner")</f>
        <v>John Shoffner</v>
      </c>
      <c r="AB28" s="175" t="str">
        <f ca="1">IFERROR(__xludf.DUMMYFUNCTION("QUERY('Volunteer Survey'!C27)"),"N/A")</f>
        <v>N/A</v>
      </c>
      <c r="AC28" s="175" t="str">
        <f ca="1">IFERROR(__xludf.DUMMYFUNCTION("QUERY('Volunteer Survey'!D27)"),"Georgia")</f>
        <v>Georgia</v>
      </c>
      <c r="AD28" s="175" t="str">
        <f ca="1">IFERROR(__xludf.DUMMYFUNCTION("QUERY('Volunteer Survey'!E27)"),"jmsiv9903@icloud.com")</f>
        <v>jmsiv9903@icloud.com</v>
      </c>
      <c r="AE28" s="175" t="str">
        <f ca="1">IFERROR(__xludf.DUMMYFUNCTION("QUERY('Volunteer Survey'!F27)"),"Clinical medical geneticist/Clinical laboratory geneticist and Neurology, Biochemical and Molecular Genetics")</f>
        <v>Clinical medical geneticist/Clinical laboratory geneticist and Neurology, Biochemical and Molecular Genetics</v>
      </c>
      <c r="AF28" s="175" t="str">
        <f ca="1">IFERROR(__xludf.DUMMYFUNCTION("QUERY('Volunteer Survey'!G27)"),"Mitochondrial disease gene and variant expert curation panel; Dilated cardiomyopathy; Fatty acid oxidation; Neuromuscular disease")</f>
        <v>Mitochondrial disease gene and variant expert curation panel; Dilated cardiomyopathy; Fatty acid oxidation; Neuromuscular disease</v>
      </c>
      <c r="AG28" s="175" t="str">
        <f ca="1">IFERROR(__xludf.DUMMYFUNCTION("QUERY('Volunteer Survey'!H27)"),"Comprehensive")</f>
        <v>Comprehensive</v>
      </c>
      <c r="AH28" s="175" t="str">
        <f ca="1">IFERROR(__xludf.DUMMYFUNCTION("QUERY('Volunteer Survey'!I27)"),"Gene-Disease Validity")</f>
        <v>Gene-Disease Validity</v>
      </c>
      <c r="AI28" s="175" t="str">
        <f ca="1">IFERROR(__xludf.DUMMYFUNCTION("QUERY('Volunteer Survey'!J27)"),"Variant Pathogenicity")</f>
        <v>Variant Pathogenicity</v>
      </c>
      <c r="AJ28" s="175" t="str">
        <f ca="1">IFERROR(__xludf.DUMMYFUNCTION("QUERY('Volunteer Survey'!K27)"),"Actionability")</f>
        <v>Actionability</v>
      </c>
      <c r="AK28" s="175" t="str">
        <f ca="1">IFERROR(__xludf.DUMMYFUNCTION("QUERY('Volunteer Survey'!L27)"),"Dosage Sensitivity")</f>
        <v>Dosage Sensitivity</v>
      </c>
      <c r="AL28" s="175" t="str">
        <f ca="1">IFERROR(__xludf.DUMMYFUNCTION("QUERY('Volunteer Survey'!M27)"),"")</f>
        <v/>
      </c>
      <c r="AM28" s="175" t="str">
        <f ca="1">IFERROR(__xludf.DUMMYFUNCTION("QUERY('Volunteer Survey'!N27)"),"Yes")</f>
        <v>Yes</v>
      </c>
      <c r="AN28" s="175" t="str">
        <f ca="1">IFERROR(__xludf.DUMMYFUNCTION("QUERY('Volunteer Survey'!O27)"),"")</f>
        <v/>
      </c>
      <c r="AO28" s="175" t="str">
        <f ca="1">IFERROR(__xludf.DUMMYFUNCTION("QUERY('Volunteer Survey'!P27)"),"Mitochondrial disease gene and variant expert curation panel; Dilated cardiomyopathy; Fatty acid oxidation; Neuromuscular disease")</f>
        <v>Mitochondrial disease gene and variant expert curation panel; Dilated cardiomyopathy; Fatty acid oxidation; Neuromuscular disease</v>
      </c>
    </row>
    <row r="29" spans="1:41" ht="14">
      <c r="A29" s="44">
        <f ca="1">IFERROR(__xludf.DUMMYFUNCTION("QUERY('Volunteer Survey'!A29)"),43339.5881944444)</f>
        <v>43339.588194444397</v>
      </c>
      <c r="B29" s="42" t="s">
        <v>160</v>
      </c>
      <c r="C29" s="45" t="s">
        <v>315</v>
      </c>
      <c r="D29" s="42" t="s">
        <v>291</v>
      </c>
      <c r="E29" s="42" t="s">
        <v>130</v>
      </c>
      <c r="F29" s="42" t="s">
        <v>130</v>
      </c>
      <c r="G29" s="42" t="s">
        <v>122</v>
      </c>
      <c r="H29" s="45" t="s">
        <v>20</v>
      </c>
      <c r="I29" s="45" t="s">
        <v>139</v>
      </c>
      <c r="J29" s="50">
        <v>43592</v>
      </c>
      <c r="K29" s="50">
        <v>43713</v>
      </c>
      <c r="L29" s="49" t="str">
        <f ca="1">IFERROR(__xludf.DUMMYFUNCTION("QUERY('Volunteer Survey'!B29)"),"Ye Cao")</f>
        <v>Ye Cao</v>
      </c>
      <c r="M29" s="49" t="str">
        <f ca="1">IFERROR(__xludf.DUMMYFUNCTION("QUERY('Volunteer Survey'!E29)"),"ye.cao@bcm.edu")</f>
        <v>ye.cao@bcm.edu</v>
      </c>
      <c r="N29" s="49" t="str">
        <f ca="1">IFERROR(__xludf.DUMMYFUNCTION("QUERY('Volunteer Survey'!F29)"),"Clinical laboratory geneticist and Post Doc/Resident/Fellow (MD and/or PhD)")</f>
        <v>Clinical laboratory geneticist and Post Doc/Resident/Fellow (MD and/or PhD)</v>
      </c>
      <c r="O29" s="42" t="str">
        <f ca="1">IFERROR(__xludf.DUMMYFUNCTION("QUERY('Volunteer Survey'!H29)"),"Comprehensive")</f>
        <v>Comprehensive</v>
      </c>
      <c r="P29" s="49" t="str">
        <f ca="1">IFERROR(__xludf.DUMMYFUNCTION("QUERY('Volunteer Survey'!I29)"),"Gene-Disease Validity")</f>
        <v>Gene-Disease Validity</v>
      </c>
      <c r="Q29" s="54" t="str">
        <f ca="1">IFERROR(__xludf.DUMMYFUNCTION("QUERY('Volunteer Survey'!J29)"),"Dosage Sensitivity")</f>
        <v>Dosage Sensitivity</v>
      </c>
      <c r="R29" s="49" t="str">
        <f ca="1">IFERROR(__xludf.DUMMYFUNCTION("QUERY('Volunteer Survey'!K29)"),"")</f>
        <v/>
      </c>
      <c r="S29" s="49" t="str">
        <f ca="1">IFERROR(__xludf.DUMMYFUNCTION("QUERY('Volunteer Survey'!L29)"),"")</f>
        <v/>
      </c>
      <c r="T29" s="49" t="str">
        <f ca="1">IFERROR(__xludf.DUMMYFUNCTION("QUERY('Volunteer Survey'!M29)"),"")</f>
        <v/>
      </c>
      <c r="U29" s="58" t="str">
        <f ca="1">IFERROR(__xludf.DUMMYFUNCTION("QUERY('Volunteer Survey'!N29)"),"Yes")</f>
        <v>Yes</v>
      </c>
      <c r="V29" s="49" t="str">
        <f ca="1">IFERROR(__xludf.DUMMYFUNCTION("QUERY('Volunteer Survey'!O29)"),"")</f>
        <v/>
      </c>
      <c r="W29" s="60" t="str">
        <f ca="1">IFERROR(__xludf.DUMMYFUNCTION("QUERY('Volunteer Survey'!P29)"),"Hereditary Cancer Gene Curation Expert Panel")</f>
        <v>Hereditary Cancer Gene Curation Expert Panel</v>
      </c>
      <c r="X29" s="58" t="str">
        <f ca="1">IFERROR(__xludf.DUMMYFUNCTION("QUERY('Volunteer Survey'!R29)"),"")</f>
        <v/>
      </c>
      <c r="Y29" s="47"/>
      <c r="Z29" s="174">
        <f ca="1">IFERROR(__xludf.DUMMYFUNCTION("QUERY('Volunteer Survey'!A28)"),43335.5874884259)</f>
        <v>43335.587488425903</v>
      </c>
      <c r="AA29" s="175" t="str">
        <f ca="1">IFERROR(__xludf.DUMMYFUNCTION("QUERY('Volunteer Survey'!B28)"),"Isabelle Thiffault")</f>
        <v>Isabelle Thiffault</v>
      </c>
      <c r="AB29" s="175" t="str">
        <f ca="1">IFERROR(__xludf.DUMMYFUNCTION("QUERY('Volunteer Survey'!C28)"),"Children's Mercy Hospital")</f>
        <v>Children's Mercy Hospital</v>
      </c>
      <c r="AC29" s="175" t="str">
        <f ca="1">IFERROR(__xludf.DUMMYFUNCTION("QUERY('Volunteer Survey'!D28)"),"Kansas CIty, MO")</f>
        <v>Kansas CIty, MO</v>
      </c>
      <c r="AD29" s="175" t="str">
        <f ca="1">IFERROR(__xludf.DUMMYFUNCTION("QUERY('Volunteer Survey'!E28)"),"ithiffault@cmh.edu")</f>
        <v>ithiffault@cmh.edu</v>
      </c>
      <c r="AE29" s="175" t="str">
        <f ca="1">IFERROR(__xludf.DUMMYFUNCTION("QUERY('Volunteer Survey'!F28)"),"Undergraduate")</f>
        <v>Undergraduate</v>
      </c>
      <c r="AF29" s="175" t="str">
        <f ca="1">IFERROR(__xludf.DUMMYFUNCTION("QUERY('Volunteer Survey'!G28)"),"Mitochondrial or ASD/ID")</f>
        <v>Mitochondrial or ASD/ID</v>
      </c>
      <c r="AG29" s="175" t="str">
        <f ca="1">IFERROR(__xludf.DUMMYFUNCTION("QUERY('Volunteer Survey'!H28)"),"Comprehensive")</f>
        <v>Comprehensive</v>
      </c>
      <c r="AH29" s="175" t="str">
        <f ca="1">IFERROR(__xludf.DUMMYFUNCTION("QUERY('Volunteer Survey'!I28)"),"Gene-Disease Validity")</f>
        <v>Gene-Disease Validity</v>
      </c>
      <c r="AI29" s="175" t="str">
        <f ca="1">IFERROR(__xludf.DUMMYFUNCTION("QUERY('Volunteer Survey'!J28)"),"Variant Pathogenicity")</f>
        <v>Variant Pathogenicity</v>
      </c>
      <c r="AJ29" s="175" t="str">
        <f ca="1">IFERROR(__xludf.DUMMYFUNCTION("QUERY('Volunteer Survey'!K28)"),"Actionability")</f>
        <v>Actionability</v>
      </c>
      <c r="AK29" s="175" t="str">
        <f ca="1">IFERROR(__xludf.DUMMYFUNCTION("QUERY('Volunteer Survey'!L28)"),"Dosage Sensitivity")</f>
        <v>Dosage Sensitivity</v>
      </c>
      <c r="AL29" s="175" t="str">
        <f ca="1">IFERROR(__xludf.DUMMYFUNCTION("QUERY('Volunteer Survey'!M28)"),"Somatic Cancer")</f>
        <v>Somatic Cancer</v>
      </c>
      <c r="AM29" s="175" t="str">
        <f ca="1">IFERROR(__xludf.DUMMYFUNCTION("QUERY('Volunteer Survey'!N28)"),"Yes")</f>
        <v>Yes</v>
      </c>
      <c r="AN29" s="175" t="str">
        <f ca="1">IFERROR(__xludf.DUMMYFUNCTION("QUERY('Volunteer Survey'!O28)"),"")</f>
        <v/>
      </c>
      <c r="AO29" s="175" t="str">
        <f ca="1">IFERROR(__xludf.DUMMYFUNCTION("QUERY('Volunteer Survey'!P28)"),"Mitochondrial or ASD/ID")</f>
        <v>Mitochondrial or ASD/ID</v>
      </c>
    </row>
    <row r="30" spans="1:41" ht="14">
      <c r="A30" s="44">
        <f ca="1">IFERROR(__xludf.DUMMYFUNCTION("QUERY('Volunteer Survey'!A30)"),43343.5896412037)</f>
        <v>43343.589641203696</v>
      </c>
      <c r="B30" s="42" t="s">
        <v>168</v>
      </c>
      <c r="C30" s="81">
        <v>43411</v>
      </c>
      <c r="D30" s="50">
        <v>43446</v>
      </c>
      <c r="E30" s="42" t="s">
        <v>130</v>
      </c>
      <c r="F30" s="42" t="s">
        <v>130</v>
      </c>
      <c r="G30" s="42" t="s">
        <v>122</v>
      </c>
      <c r="H30" s="47"/>
      <c r="I30" s="45" t="s">
        <v>139</v>
      </c>
      <c r="J30" s="49"/>
      <c r="K30" s="49"/>
      <c r="L30" s="49" t="str">
        <f ca="1">IFERROR(__xludf.DUMMYFUNCTION("QUERY('Volunteer Survey'!B30)"),"Samar Khalefa")</f>
        <v>Samar Khalefa</v>
      </c>
      <c r="M30" s="49" t="str">
        <f ca="1">IFERROR(__xludf.DUMMYFUNCTION("QUERY('Volunteer Survey'!E30)"),"samarkhalifa@hotmail.com")</f>
        <v>samarkhalifa@hotmail.com</v>
      </c>
      <c r="N30" s="49" t="str">
        <f ca="1">IFERROR(__xludf.DUMMYFUNCTION("QUERY('Volunteer Survey'!F30)"),"High School Student")</f>
        <v>High School Student</v>
      </c>
      <c r="O30" s="42" t="str">
        <f ca="1">IFERROR(__xludf.DUMMYFUNCTION("QUERY('Volunteer Survey'!H30)"),"Comprehensive")</f>
        <v>Comprehensive</v>
      </c>
      <c r="P30" s="49" t="str">
        <f ca="1">IFERROR(__xludf.DUMMYFUNCTION("QUERY('Volunteer Survey'!I30)"),"Gene-Disease Validity")</f>
        <v>Gene-Disease Validity</v>
      </c>
      <c r="Q30" s="54" t="str">
        <f ca="1">IFERROR(__xludf.DUMMYFUNCTION("QUERY('Volunteer Survey'!J30)"),"Actionability")</f>
        <v>Actionability</v>
      </c>
      <c r="R30" s="49" t="str">
        <f ca="1">IFERROR(__xludf.DUMMYFUNCTION("QUERY('Volunteer Survey'!K30)"),"Dosage Sensitivity")</f>
        <v>Dosage Sensitivity</v>
      </c>
      <c r="S30" s="49" t="str">
        <f ca="1">IFERROR(__xludf.DUMMYFUNCTION("QUERY('Volunteer Survey'!L30)"),"Somatic Cancer")</f>
        <v>Somatic Cancer</v>
      </c>
      <c r="T30" s="49" t="str">
        <f ca="1">IFERROR(__xludf.DUMMYFUNCTION("QUERY('Volunteer Survey'!M30)"),"Variant Pathogenicity")</f>
        <v>Variant Pathogenicity</v>
      </c>
      <c r="U30" s="58" t="str">
        <f ca="1">IFERROR(__xludf.DUMMYFUNCTION("QUERY('Volunteer Survey'!N30)"),"No")</f>
        <v>No</v>
      </c>
      <c r="V30" s="49" t="str">
        <f ca="1">IFERROR(__xludf.DUMMYFUNCTION("QUERY('Volunteer Survey'!O30)"),"")</f>
        <v/>
      </c>
      <c r="W30" s="60" t="str">
        <f ca="1">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X30" s="58" t="str">
        <f ca="1">IFERROR(__xludf.DUMMYFUNCTION("QUERY('Volunteer Survey'!R30)"),"")</f>
        <v/>
      </c>
      <c r="Y30" s="45" t="s">
        <v>316</v>
      </c>
      <c r="Z30" s="174">
        <f ca="1">IFERROR(__xludf.DUMMYFUNCTION("QUERY('Volunteer Survey'!A29)"),43339.5881944444)</f>
        <v>43339.588194444397</v>
      </c>
      <c r="AA30" s="175" t="str">
        <f ca="1">IFERROR(__xludf.DUMMYFUNCTION("QUERY('Volunteer Survey'!B29)"),"Ye Cao")</f>
        <v>Ye Cao</v>
      </c>
      <c r="AB30" s="175" t="str">
        <f ca="1">IFERROR(__xludf.DUMMYFUNCTION("QUERY('Volunteer Survey'!C29)"),"Baylor college of Medicine")</f>
        <v>Baylor college of Medicine</v>
      </c>
      <c r="AC30" s="175" t="str">
        <f ca="1">IFERROR(__xludf.DUMMYFUNCTION("QUERY('Volunteer Survey'!D29)"),"Houston, Texas")</f>
        <v>Houston, Texas</v>
      </c>
      <c r="AD30" s="175" t="str">
        <f ca="1">IFERROR(__xludf.DUMMYFUNCTION("QUERY('Volunteer Survey'!E29)"),"ye.cao@bcm.edu")</f>
        <v>ye.cao@bcm.edu</v>
      </c>
      <c r="AE30" s="175" t="str">
        <f ca="1">IFERROR(__xludf.DUMMYFUNCTION("QUERY('Volunteer Survey'!F29)"),"Clinical laboratory geneticist and Post Doc/Resident/Fellow (MD and/or PhD)")</f>
        <v>Clinical laboratory geneticist and Post Doc/Resident/Fellow (MD and/or PhD)</v>
      </c>
      <c r="AF30" s="175" t="str">
        <f ca="1">IFERROR(__xludf.DUMMYFUNCTION("QUERY('Volunteer Survey'!G29)"),"Hereditary Cancer Gene Curation Expert Panel")</f>
        <v>Hereditary Cancer Gene Curation Expert Panel</v>
      </c>
      <c r="AG30" s="175" t="str">
        <f ca="1">IFERROR(__xludf.DUMMYFUNCTION("QUERY('Volunteer Survey'!H29)"),"Comprehensive")</f>
        <v>Comprehensive</v>
      </c>
      <c r="AH30" s="175" t="str">
        <f ca="1">IFERROR(__xludf.DUMMYFUNCTION("QUERY('Volunteer Survey'!I29)"),"Gene-Disease Validity")</f>
        <v>Gene-Disease Validity</v>
      </c>
      <c r="AI30" s="175" t="str">
        <f ca="1">IFERROR(__xludf.DUMMYFUNCTION("QUERY('Volunteer Survey'!J29)"),"Dosage Sensitivity")</f>
        <v>Dosage Sensitivity</v>
      </c>
      <c r="AJ30" s="175" t="str">
        <f ca="1">IFERROR(__xludf.DUMMYFUNCTION("QUERY('Volunteer Survey'!K29)"),"")</f>
        <v/>
      </c>
      <c r="AK30" s="175" t="str">
        <f ca="1">IFERROR(__xludf.DUMMYFUNCTION("QUERY('Volunteer Survey'!L29)"),"")</f>
        <v/>
      </c>
      <c r="AL30" s="175" t="str">
        <f ca="1">IFERROR(__xludf.DUMMYFUNCTION("QUERY('Volunteer Survey'!M29)"),"")</f>
        <v/>
      </c>
      <c r="AM30" s="175" t="str">
        <f ca="1">IFERROR(__xludf.DUMMYFUNCTION("QUERY('Volunteer Survey'!N29)"),"Yes")</f>
        <v>Yes</v>
      </c>
      <c r="AN30" s="175" t="str">
        <f ca="1">IFERROR(__xludf.DUMMYFUNCTION("QUERY('Volunteer Survey'!O29)"),"")</f>
        <v/>
      </c>
      <c r="AO30" s="175" t="str">
        <f ca="1">IFERROR(__xludf.DUMMYFUNCTION("QUERY('Volunteer Survey'!P29)"),"Hereditary Cancer Gene Curation Expert Panel")</f>
        <v>Hereditary Cancer Gene Curation Expert Panel</v>
      </c>
    </row>
    <row r="31" spans="1:41" ht="14">
      <c r="A31" s="44">
        <f ca="1">IFERROR(__xludf.DUMMYFUNCTION("QUERY('Volunteer Survey'!A31)"),43350.5902777777)</f>
        <v>43350.590277777701</v>
      </c>
      <c r="B31" s="42" t="s">
        <v>160</v>
      </c>
      <c r="C31" s="81">
        <v>43350</v>
      </c>
      <c r="D31" s="50">
        <v>43446</v>
      </c>
      <c r="E31" s="42" t="s">
        <v>117</v>
      </c>
      <c r="F31" s="42" t="s">
        <v>117</v>
      </c>
      <c r="G31" s="42" t="s">
        <v>122</v>
      </c>
      <c r="H31" s="45" t="s">
        <v>104</v>
      </c>
      <c r="I31" s="45" t="s">
        <v>139</v>
      </c>
      <c r="J31" s="50">
        <v>43592</v>
      </c>
      <c r="K31" s="50">
        <v>43713</v>
      </c>
      <c r="L31" s="49" t="str">
        <f ca="1">IFERROR(__xludf.DUMMYFUNCTION("QUERY('Volunteer Survey'!B31)"),"Colin Ellis")</f>
        <v>Colin Ellis</v>
      </c>
      <c r="M31" s="49" t="str">
        <f ca="1">IFERROR(__xludf.DUMMYFUNCTION("QUERY('Volunteer Survey'!E31)"),"colin.ellis@uphs.upenn.edu")</f>
        <v>colin.ellis@uphs.upenn.edu</v>
      </c>
      <c r="N31" s="49" t="str">
        <f ca="1">IFERROR(__xludf.DUMMYFUNCTION("QUERY('Volunteer Survey'!F31)"),"Physician (Non-geneticist)")</f>
        <v>Physician (Non-geneticist)</v>
      </c>
      <c r="O31" s="42" t="str">
        <f ca="1">IFERROR(__xludf.DUMMYFUNCTION("QUERY('Volunteer Survey'!H31)"),"Comprehensive")</f>
        <v>Comprehensive</v>
      </c>
      <c r="P31" s="49" t="str">
        <f ca="1">IFERROR(__xludf.DUMMYFUNCTION("QUERY('Volunteer Survey'!I31)"),"Gene-Disease Validity")</f>
        <v>Gene-Disease Validity</v>
      </c>
      <c r="Q31" s="54" t="str">
        <f ca="1">IFERROR(__xludf.DUMMYFUNCTION("QUERY('Volunteer Survey'!J31)"),"Dosage Sensitivity")</f>
        <v>Dosage Sensitivity</v>
      </c>
      <c r="R31" s="49" t="str">
        <f ca="1">IFERROR(__xludf.DUMMYFUNCTION("QUERY('Volunteer Survey'!K31)"),"Variant Pathogenicity")</f>
        <v>Variant Pathogenicity</v>
      </c>
      <c r="S31" s="49" t="str">
        <f ca="1">IFERROR(__xludf.DUMMYFUNCTION("QUERY('Volunteer Survey'!L31)"),"")</f>
        <v/>
      </c>
      <c r="T31" s="49" t="str">
        <f ca="1">IFERROR(__xludf.DUMMYFUNCTION("QUERY('Volunteer Survey'!M31)"),"")</f>
        <v/>
      </c>
      <c r="U31" s="58" t="str">
        <f ca="1">IFERROR(__xludf.DUMMYFUNCTION("QUERY('Volunteer Survey'!N31)"),"Yes")</f>
        <v>Yes</v>
      </c>
      <c r="V31" s="49" t="str">
        <f ca="1">IFERROR(__xludf.DUMMYFUNCTION("QUERY('Volunteer Survey'!O31)"),"")</f>
        <v/>
      </c>
      <c r="W31" s="60" t="str">
        <f ca="1">IFERROR(__xludf.DUMMYFUNCTION("QUERY('Volunteer Survey'!P31)"),"Epilepsy WG")</f>
        <v>Epilepsy WG</v>
      </c>
      <c r="X31" s="58" t="str">
        <f ca="1">IFERROR(__xludf.DUMMYFUNCTION("QUERY('Volunteer Survey'!R31)"),"")</f>
        <v/>
      </c>
      <c r="Y31" s="47"/>
      <c r="Z31" s="174">
        <f ca="1">IFERROR(__xludf.DUMMYFUNCTION("QUERY('Volunteer Survey'!A30)"),43343.5896412037)</f>
        <v>43343.589641203696</v>
      </c>
      <c r="AA31" s="175" t="str">
        <f ca="1">IFERROR(__xludf.DUMMYFUNCTION("QUERY('Volunteer Survey'!B30)"),"Samar Khalefa")</f>
        <v>Samar Khalefa</v>
      </c>
      <c r="AB31" s="175" t="str">
        <f ca="1">IFERROR(__xludf.DUMMYFUNCTION("QUERY('Volunteer Survey'!C30)"),"NA")</f>
        <v>NA</v>
      </c>
      <c r="AC31" s="175" t="str">
        <f ca="1">IFERROR(__xludf.DUMMYFUNCTION("QUERY('Volunteer Survey'!D30)"),"Egypt")</f>
        <v>Egypt</v>
      </c>
      <c r="AD31" s="175" t="str">
        <f ca="1">IFERROR(__xludf.DUMMYFUNCTION("QUERY('Volunteer Survey'!E30)"),"samarkhalifa@hotmail.com")</f>
        <v>samarkhalifa@hotmail.com</v>
      </c>
      <c r="AE31" s="175" t="str">
        <f ca="1">IFERROR(__xludf.DUMMYFUNCTION("QUERY('Volunteer Survey'!F30)"),"High School Student")</f>
        <v>High School Student</v>
      </c>
      <c r="AF31" s="175" t="str">
        <f ca="1">IFERROR(__xludf.DUMMYFUNCTION("QUERY('Volunteer Survey'!G30)"),"Autism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c r="AG31" s="175" t="str">
        <f ca="1">IFERROR(__xludf.DUMMYFUNCTION("QUERY('Volunteer Survey'!H30)"),"Comprehensive")</f>
        <v>Comprehensive</v>
      </c>
      <c r="AH31" s="175" t="str">
        <f ca="1">IFERROR(__xludf.DUMMYFUNCTION("QUERY('Volunteer Survey'!I30)"),"Gene-Disease Validity")</f>
        <v>Gene-Disease Validity</v>
      </c>
      <c r="AI31" s="175" t="str">
        <f ca="1">IFERROR(__xludf.DUMMYFUNCTION("QUERY('Volunteer Survey'!J30)"),"Actionability")</f>
        <v>Actionability</v>
      </c>
      <c r="AJ31" s="175" t="str">
        <f ca="1">IFERROR(__xludf.DUMMYFUNCTION("QUERY('Volunteer Survey'!K30)"),"Dosage Sensitivity")</f>
        <v>Dosage Sensitivity</v>
      </c>
      <c r="AK31" s="175" t="str">
        <f ca="1">IFERROR(__xludf.DUMMYFUNCTION("QUERY('Volunteer Survey'!L30)"),"Somatic Cancer")</f>
        <v>Somatic Cancer</v>
      </c>
      <c r="AL31" s="175" t="str">
        <f ca="1">IFERROR(__xludf.DUMMYFUNCTION("QUERY('Volunteer Survey'!M30)"),"Variant Pathogenicity")</f>
        <v>Variant Pathogenicity</v>
      </c>
      <c r="AM31" s="175" t="str">
        <f ca="1">IFERROR(__xludf.DUMMYFUNCTION("QUERY('Volunteer Survey'!N30)"),"No")</f>
        <v>No</v>
      </c>
      <c r="AN31" s="175" t="str">
        <f ca="1">IFERROR(__xludf.DUMMYFUNCTION("QUERY('Volunteer Survey'!O30)"),"")</f>
        <v/>
      </c>
      <c r="AO31" s="175" t="str">
        <f ca="1">IFERROR(__xludf.DUMMYFUNCTION("QUERY('Volunteer Survey'!P30)"),"Autism and Intellectual Disability Gene Curation Expert Panel. I hope to involve in all Expert Panels/Working Groups related to brain genome.")</f>
        <v>Autism and Intellectual Disability Gene Curation Expert Panel. I hope to involve in all Expert Panels/Working Groups related to brain genome.</v>
      </c>
    </row>
    <row r="32" spans="1:41" ht="14">
      <c r="A32" s="44">
        <f ca="1">IFERROR(__xludf.DUMMYFUNCTION("QUERY('Volunteer Survey'!A32)"),43354.5908796296)</f>
        <v>43354.590879629599</v>
      </c>
      <c r="B32" s="42" t="s">
        <v>125</v>
      </c>
      <c r="C32" s="81">
        <v>43411</v>
      </c>
      <c r="D32" s="50">
        <v>43446</v>
      </c>
      <c r="E32" s="42" t="s">
        <v>117</v>
      </c>
      <c r="F32" s="42" t="s">
        <v>117</v>
      </c>
      <c r="G32" s="42" t="s">
        <v>122</v>
      </c>
      <c r="H32" s="45" t="s">
        <v>20</v>
      </c>
      <c r="I32" s="45" t="s">
        <v>139</v>
      </c>
      <c r="J32" s="50">
        <v>43592</v>
      </c>
      <c r="K32" s="50">
        <v>43713</v>
      </c>
      <c r="L32" s="49" t="str">
        <f ca="1">IFERROR(__xludf.DUMMYFUNCTION("QUERY('Volunteer Survey'!B32)"),"Mansour Zamanpoor")</f>
        <v>Mansour Zamanpoor</v>
      </c>
      <c r="M32" s="49" t="str">
        <f ca="1">IFERROR(__xludf.DUMMYFUNCTION("QUERY('Volunteer Survey'!E32)"),"mansour.zamanpoor@ccdhb.org.nz")</f>
        <v>mansour.zamanpoor@ccdhb.org.nz</v>
      </c>
      <c r="N32" s="49" t="str">
        <f ca="1">IFERROR(__xludf.DUMMYFUNCTION("QUERY('Volunteer Survey'!F32)"),"Clinical laboratory genetist, PhD candidate")</f>
        <v>Clinical laboratory genetist, PhD candidate</v>
      </c>
      <c r="O32" s="42" t="str">
        <f ca="1">IFERROR(__xludf.DUMMYFUNCTION("QUERY('Volunteer Survey'!H32)"),"Comprehensive")</f>
        <v>Comprehensive</v>
      </c>
      <c r="P32" s="49" t="str">
        <f ca="1">IFERROR(__xludf.DUMMYFUNCTION("QUERY('Volunteer Survey'!I32)"),"Gene-Disease Validity")</f>
        <v>Gene-Disease Validity</v>
      </c>
      <c r="Q32" s="54" t="str">
        <f ca="1">IFERROR(__xludf.DUMMYFUNCTION("QUERY('Volunteer Survey'!J32)"),"Variant Pathogenicity")</f>
        <v>Variant Pathogenicity</v>
      </c>
      <c r="R32" s="49" t="str">
        <f ca="1">IFERROR(__xludf.DUMMYFUNCTION("QUERY('Volunteer Survey'!K32)"),"")</f>
        <v/>
      </c>
      <c r="S32" s="49" t="str">
        <f ca="1">IFERROR(__xludf.DUMMYFUNCTION("QUERY('Volunteer Survey'!L32)"),"")</f>
        <v/>
      </c>
      <c r="T32" s="49" t="str">
        <f ca="1">IFERROR(__xludf.DUMMYFUNCTION("QUERY('Volunteer Survey'!M32)"),"")</f>
        <v/>
      </c>
      <c r="U32" s="58" t="str">
        <f ca="1">IFERROR(__xludf.DUMMYFUNCTION("QUERY('Volunteer Survey'!N32)"),"Yes")</f>
        <v>Yes</v>
      </c>
      <c r="V32" s="49" t="str">
        <f ca="1">IFERROR(__xludf.DUMMYFUNCTION("QUERY('Volunteer Survey'!O32)"),"")</f>
        <v/>
      </c>
      <c r="W32" s="60" t="str">
        <f ca="1">IFERROR(__xludf.DUMMYFUNCTION("QUERY('Volunteer Survey'!P32)"),"Hereditary cancer and neuro-developmental disorders")</f>
        <v>Hereditary cancer and neuro-developmental disorders</v>
      </c>
      <c r="X32" s="58" t="str">
        <f ca="1">IFERROR(__xludf.DUMMYFUNCTION("QUERY('Volunteer Survey'!R32)"),"")</f>
        <v/>
      </c>
      <c r="Y32" s="82" t="s">
        <v>318</v>
      </c>
      <c r="Z32" s="174">
        <f ca="1">IFERROR(__xludf.DUMMYFUNCTION("QUERY('Volunteer Survey'!A31)"),43350.5902777777)</f>
        <v>43350.590277777701</v>
      </c>
      <c r="AA32" s="175" t="str">
        <f ca="1">IFERROR(__xludf.DUMMYFUNCTION("QUERY('Volunteer Survey'!B31)"),"Colin Ellis")</f>
        <v>Colin Ellis</v>
      </c>
      <c r="AB32" s="175" t="str">
        <f ca="1">IFERROR(__xludf.DUMMYFUNCTION("QUERY('Volunteer Survey'!C31)"),"University of Pennsylvania")</f>
        <v>University of Pennsylvania</v>
      </c>
      <c r="AC32" s="175" t="str">
        <f ca="1">IFERROR(__xludf.DUMMYFUNCTION("QUERY('Volunteer Survey'!D31)"),"PA")</f>
        <v>PA</v>
      </c>
      <c r="AD32" s="175" t="str">
        <f ca="1">IFERROR(__xludf.DUMMYFUNCTION("QUERY('Volunteer Survey'!E31)"),"colin.ellis@uphs.upenn.edu")</f>
        <v>colin.ellis@uphs.upenn.edu</v>
      </c>
      <c r="AE32" s="175" t="str">
        <f ca="1">IFERROR(__xludf.DUMMYFUNCTION("QUERY('Volunteer Survey'!F31)"),"Physician (Non-geneticist)")</f>
        <v>Physician (Non-geneticist)</v>
      </c>
      <c r="AF32" s="175" t="str">
        <f ca="1">IFERROR(__xludf.DUMMYFUNCTION("QUERY('Volunteer Survey'!G31)"),"Epilepsy WG")</f>
        <v>Epilepsy WG</v>
      </c>
      <c r="AG32" s="175" t="str">
        <f ca="1">IFERROR(__xludf.DUMMYFUNCTION("QUERY('Volunteer Survey'!H31)"),"Comprehensive")</f>
        <v>Comprehensive</v>
      </c>
      <c r="AH32" s="175" t="str">
        <f ca="1">IFERROR(__xludf.DUMMYFUNCTION("QUERY('Volunteer Survey'!I31)"),"Gene-Disease Validity")</f>
        <v>Gene-Disease Validity</v>
      </c>
      <c r="AI32" s="175" t="str">
        <f ca="1">IFERROR(__xludf.DUMMYFUNCTION("QUERY('Volunteer Survey'!J31)"),"Dosage Sensitivity")</f>
        <v>Dosage Sensitivity</v>
      </c>
      <c r="AJ32" s="175" t="str">
        <f ca="1">IFERROR(__xludf.DUMMYFUNCTION("QUERY('Volunteer Survey'!K31)"),"Variant Pathogenicity")</f>
        <v>Variant Pathogenicity</v>
      </c>
      <c r="AK32" s="175" t="str">
        <f ca="1">IFERROR(__xludf.DUMMYFUNCTION("QUERY('Volunteer Survey'!L31)"),"")</f>
        <v/>
      </c>
      <c r="AL32" s="175" t="str">
        <f ca="1">IFERROR(__xludf.DUMMYFUNCTION("QUERY('Volunteer Survey'!M31)"),"")</f>
        <v/>
      </c>
      <c r="AM32" s="175" t="str">
        <f ca="1">IFERROR(__xludf.DUMMYFUNCTION("QUERY('Volunteer Survey'!N31)"),"Yes")</f>
        <v>Yes</v>
      </c>
      <c r="AN32" s="175" t="str">
        <f ca="1">IFERROR(__xludf.DUMMYFUNCTION("QUERY('Volunteer Survey'!O31)"),"")</f>
        <v/>
      </c>
      <c r="AO32" s="175" t="str">
        <f ca="1">IFERROR(__xludf.DUMMYFUNCTION("QUERY('Volunteer Survey'!P31)"),"Epilepsy WG")</f>
        <v>Epilepsy WG</v>
      </c>
    </row>
    <row r="33" spans="1:41" ht="14">
      <c r="A33" s="44">
        <f ca="1">IFERROR(__xludf.DUMMYFUNCTION("QUERY('Volunteer Survey'!A33)"),43356.5915972222)</f>
        <v>43356.591597222199</v>
      </c>
      <c r="B33" s="42" t="s">
        <v>160</v>
      </c>
      <c r="C33" s="81">
        <v>43411</v>
      </c>
      <c r="D33" s="50">
        <v>43446</v>
      </c>
      <c r="E33" s="42" t="s">
        <v>117</v>
      </c>
      <c r="F33" s="42" t="s">
        <v>117</v>
      </c>
      <c r="G33" s="42" t="s">
        <v>122</v>
      </c>
      <c r="H33" s="45" t="s">
        <v>293</v>
      </c>
      <c r="I33" s="45" t="s">
        <v>139</v>
      </c>
      <c r="J33" s="50">
        <v>43592</v>
      </c>
      <c r="K33" s="50">
        <v>43713</v>
      </c>
      <c r="L33" s="49" t="str">
        <f ca="1">IFERROR(__xludf.DUMMYFUNCTION("QUERY('Volunteer Survey'!B33)"),"Benjamin Kang")</f>
        <v>Benjamin Kang</v>
      </c>
      <c r="M33" s="49" t="str">
        <f ca="1">IFERROR(__xludf.DUMMYFUNCTION("QUERY('Volunteer Survey'!E33)"),"bekang@emory.edu")</f>
        <v>bekang@emory.edu</v>
      </c>
      <c r="N33" s="49" t="str">
        <f ca="1">IFERROR(__xludf.DUMMYFUNCTION("QUERY('Volunteer Survey'!F33)"),"Post Doc/Resident/Fellow (MD and/or PhD)")</f>
        <v>Post Doc/Resident/Fellow (MD and/or PhD)</v>
      </c>
      <c r="O33" s="42" t="str">
        <f ca="1">IFERROR(__xludf.DUMMYFUNCTION("QUERY('Volunteer Survey'!H33)"),"Comprehensive")</f>
        <v>Comprehensive</v>
      </c>
      <c r="P33" s="49" t="str">
        <f ca="1">IFERROR(__xludf.DUMMYFUNCTION("QUERY('Volunteer Survey'!I33)"),"Gene-Disease Validity")</f>
        <v>Gene-Disease Validity</v>
      </c>
      <c r="Q33" s="54" t="str">
        <f ca="1">IFERROR(__xludf.DUMMYFUNCTION("QUERY('Volunteer Survey'!J33)"),"Variant Pathogenicity")</f>
        <v>Variant Pathogenicity</v>
      </c>
      <c r="R33" s="49" t="str">
        <f ca="1">IFERROR(__xludf.DUMMYFUNCTION("QUERY('Volunteer Survey'!K33)"),"Dosage Sensitivity")</f>
        <v>Dosage Sensitivity</v>
      </c>
      <c r="S33" s="49" t="str">
        <f ca="1">IFERROR(__xludf.DUMMYFUNCTION("QUERY('Volunteer Survey'!L33)"),"Actionability")</f>
        <v>Actionability</v>
      </c>
      <c r="T33" s="49" t="str">
        <f ca="1">IFERROR(__xludf.DUMMYFUNCTION("QUERY('Volunteer Survey'!M33)"),"Somatic Cancer")</f>
        <v>Somatic Cancer</v>
      </c>
      <c r="U33" s="58" t="str">
        <f ca="1">IFERROR(__xludf.DUMMYFUNCTION("QUERY('Volunteer Survey'!N33)"),"Yes")</f>
        <v>Yes</v>
      </c>
      <c r="V33" s="49" t="str">
        <f ca="1">IFERROR(__xludf.DUMMYFUNCTION("QUERY('Volunteer Survey'!O33)"),"")</f>
        <v/>
      </c>
      <c r="W33" s="60" t="str">
        <f ca="1">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X33" s="58" t="str">
        <f ca="1">IFERROR(__xludf.DUMMYFUNCTION("QUERY('Volunteer Survey'!R33)"),"")</f>
        <v/>
      </c>
      <c r="Y33" s="47"/>
      <c r="Z33" s="174">
        <f ca="1">IFERROR(__xludf.DUMMYFUNCTION("QUERY('Volunteer Survey'!A32)"),43354.5908796296)</f>
        <v>43354.590879629599</v>
      </c>
      <c r="AA33" s="175" t="str">
        <f ca="1">IFERROR(__xludf.DUMMYFUNCTION("QUERY('Volunteer Survey'!B32)"),"Mansour Zamanpoor")</f>
        <v>Mansour Zamanpoor</v>
      </c>
      <c r="AB33" s="175" t="str">
        <f ca="1">IFERROR(__xludf.DUMMYFUNCTION("QUERY('Volunteer Survey'!C32)"),"WRGL")</f>
        <v>WRGL</v>
      </c>
      <c r="AC33" s="175" t="str">
        <f ca="1">IFERROR(__xludf.DUMMYFUNCTION("QUERY('Volunteer Survey'!D32)"),"New Zealand")</f>
        <v>New Zealand</v>
      </c>
      <c r="AD33" s="175" t="str">
        <f ca="1">IFERROR(__xludf.DUMMYFUNCTION("QUERY('Volunteer Survey'!E32)"),"mansour.zamanpoor@ccdhb.org.nz")</f>
        <v>mansour.zamanpoor@ccdhb.org.nz</v>
      </c>
      <c r="AE33" s="175" t="str">
        <f ca="1">IFERROR(__xludf.DUMMYFUNCTION("QUERY('Volunteer Survey'!F32)"),"Clinical laboratory genetist, PhD candidate")</f>
        <v>Clinical laboratory genetist, PhD candidate</v>
      </c>
      <c r="AF33" s="175" t="str">
        <f ca="1">IFERROR(__xludf.DUMMYFUNCTION("QUERY('Volunteer Survey'!G32)"),"Hereditary cancer and neuro-developmental disorders")</f>
        <v>Hereditary cancer and neuro-developmental disorders</v>
      </c>
      <c r="AG33" s="175" t="str">
        <f ca="1">IFERROR(__xludf.DUMMYFUNCTION("QUERY('Volunteer Survey'!H32)"),"Comprehensive")</f>
        <v>Comprehensive</v>
      </c>
      <c r="AH33" s="175" t="str">
        <f ca="1">IFERROR(__xludf.DUMMYFUNCTION("QUERY('Volunteer Survey'!I32)"),"Gene-Disease Validity")</f>
        <v>Gene-Disease Validity</v>
      </c>
      <c r="AI33" s="175" t="str">
        <f ca="1">IFERROR(__xludf.DUMMYFUNCTION("QUERY('Volunteer Survey'!J32)"),"Variant Pathogenicity")</f>
        <v>Variant Pathogenicity</v>
      </c>
      <c r="AJ33" s="175" t="str">
        <f ca="1">IFERROR(__xludf.DUMMYFUNCTION("QUERY('Volunteer Survey'!K32)"),"")</f>
        <v/>
      </c>
      <c r="AK33" s="175" t="str">
        <f ca="1">IFERROR(__xludf.DUMMYFUNCTION("QUERY('Volunteer Survey'!L32)"),"")</f>
        <v/>
      </c>
      <c r="AL33" s="175" t="str">
        <f ca="1">IFERROR(__xludf.DUMMYFUNCTION("QUERY('Volunteer Survey'!M32)"),"")</f>
        <v/>
      </c>
      <c r="AM33" s="175" t="str">
        <f ca="1">IFERROR(__xludf.DUMMYFUNCTION("QUERY('Volunteer Survey'!N32)"),"Yes")</f>
        <v>Yes</v>
      </c>
      <c r="AN33" s="175" t="str">
        <f ca="1">IFERROR(__xludf.DUMMYFUNCTION("QUERY('Volunteer Survey'!O32)"),"")</f>
        <v/>
      </c>
      <c r="AO33" s="175" t="str">
        <f ca="1">IFERROR(__xludf.DUMMYFUNCTION("QUERY('Volunteer Survey'!P32)"),"Hereditary cancer and neuro-developmental disorders")</f>
        <v>Hereditary cancer and neuro-developmental disorders</v>
      </c>
    </row>
    <row r="34" spans="1:41" ht="14">
      <c r="A34" s="44">
        <f ca="1">IFERROR(__xludf.DUMMYFUNCTION("QUERY('Volunteer Survey'!A34)"),43357.5930671296)</f>
        <v>43357.593067129601</v>
      </c>
      <c r="B34" s="42" t="s">
        <v>108</v>
      </c>
      <c r="C34" s="47"/>
      <c r="D34" s="50">
        <v>43585</v>
      </c>
      <c r="E34" s="42" t="s">
        <v>117</v>
      </c>
      <c r="F34" s="42" t="s">
        <v>117</v>
      </c>
      <c r="G34" s="42" t="s">
        <v>122</v>
      </c>
      <c r="H34" s="45" t="s">
        <v>294</v>
      </c>
      <c r="I34" s="45" t="s">
        <v>299</v>
      </c>
      <c r="J34" s="49"/>
      <c r="K34" s="49"/>
      <c r="L34" s="49" t="str">
        <f ca="1">IFERROR(__xludf.DUMMYFUNCTION("QUERY('Volunteer Survey'!B34)"),"Ljubica Caldovic")</f>
        <v>Ljubica Caldovic</v>
      </c>
      <c r="M34" s="49" t="str">
        <f ca="1">IFERROR(__xludf.DUMMYFUNCTION("QUERY('Volunteer Survey'!E34)"),"lcaldovic@childrensnational.org")</f>
        <v>lcaldovic@childrensnational.org</v>
      </c>
      <c r="N34" s="49" t="str">
        <f ca="1">IFERROR(__xludf.DUMMYFUNCTION("QUERY('Volunteer Survey'!F34)"),"Scientific Researcher, Variant Analyst/Scientist")</f>
        <v>Scientific Researcher, Variant Analyst/Scientist</v>
      </c>
      <c r="O34" s="42" t="str">
        <f ca="1">IFERROR(__xludf.DUMMYFUNCTION("QUERY('Volunteer Survey'!H34)"),"Comprehensive")</f>
        <v>Comprehensive</v>
      </c>
      <c r="P34" s="49" t="str">
        <f ca="1">IFERROR(__xludf.DUMMYFUNCTION("QUERY('Volunteer Survey'!I34)"),"Gene-Disease Validity")</f>
        <v>Gene-Disease Validity</v>
      </c>
      <c r="Q34" s="54" t="str">
        <f ca="1">IFERROR(__xludf.DUMMYFUNCTION("QUERY('Volunteer Survey'!J34)"),"Variant Pathogenicity")</f>
        <v>Variant Pathogenicity</v>
      </c>
      <c r="R34" s="49" t="str">
        <f ca="1">IFERROR(__xludf.DUMMYFUNCTION("QUERY('Volunteer Survey'!K34)"),"Dosage Sensitivity")</f>
        <v>Dosage Sensitivity</v>
      </c>
      <c r="S34" s="49" t="str">
        <f ca="1">IFERROR(__xludf.DUMMYFUNCTION("QUERY('Volunteer Survey'!L34)"),"")</f>
        <v/>
      </c>
      <c r="T34" s="49" t="str">
        <f ca="1">IFERROR(__xludf.DUMMYFUNCTION("QUERY('Volunteer Survey'!M34)"),"")</f>
        <v/>
      </c>
      <c r="U34" s="58" t="str">
        <f ca="1">IFERROR(__xludf.DUMMYFUNCTION("QUERY('Volunteer Survey'!N34)"),"No")</f>
        <v>No</v>
      </c>
      <c r="V34" s="49" t="str">
        <f ca="1">IFERROR(__xludf.DUMMYFUNCTION("QUERY('Volunteer Survey'!O34)"),"")</f>
        <v/>
      </c>
      <c r="W34" s="60" t="str">
        <f ca="1">IFERROR(__xludf.DUMMYFUNCTION("QUERY('Volunteer Survey'!P34)"),"Aminoacidopathy working group/expert panel; Metabolism expert panel")</f>
        <v>Aminoacidopathy working group/expert panel; Metabolism expert panel</v>
      </c>
      <c r="X34" s="58" t="str">
        <f ca="1">IFERROR(__xludf.DUMMYFUNCTION("QUERY('Volunteer Survey'!R34)"),"")</f>
        <v/>
      </c>
      <c r="Y34" s="47"/>
      <c r="Z34" s="174">
        <f ca="1">IFERROR(__xludf.DUMMYFUNCTION("QUERY('Volunteer Survey'!A33)"),43356.5915972222)</f>
        <v>43356.591597222199</v>
      </c>
      <c r="AA34" s="175" t="str">
        <f ca="1">IFERROR(__xludf.DUMMYFUNCTION("QUERY('Volunteer Survey'!B33)"),"Benjamin Kang")</f>
        <v>Benjamin Kang</v>
      </c>
      <c r="AB34" s="175" t="str">
        <f ca="1">IFERROR(__xludf.DUMMYFUNCTION("QUERY('Volunteer Survey'!C33)"),"EGL Genetics/Emory University SOM")</f>
        <v>EGL Genetics/Emory University SOM</v>
      </c>
      <c r="AC34" s="175" t="str">
        <f ca="1">IFERROR(__xludf.DUMMYFUNCTION("QUERY('Volunteer Survey'!D33)"),"GA")</f>
        <v>GA</v>
      </c>
      <c r="AD34" s="175" t="str">
        <f ca="1">IFERROR(__xludf.DUMMYFUNCTION("QUERY('Volunteer Survey'!E33)"),"bekang@emory.edu")</f>
        <v>bekang@emory.edu</v>
      </c>
      <c r="AE34" s="175" t="str">
        <f ca="1">IFERROR(__xludf.DUMMYFUNCTION("QUERY('Volunteer Survey'!F33)"),"Post Doc/Resident/Fellow (MD and/or PhD)")</f>
        <v>Post Doc/Resident/Fellow (MD and/or PhD)</v>
      </c>
      <c r="AF34" s="175" t="str">
        <f ca="1">IFERROR(__xludf.DUMMYFUNCTION("QUERY('Volunteer Survey'!G33)"),"I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c r="AG34" s="175" t="str">
        <f ca="1">IFERROR(__xludf.DUMMYFUNCTION("QUERY('Volunteer Survey'!H33)"),"Comprehensive")</f>
        <v>Comprehensive</v>
      </c>
      <c r="AH34" s="175" t="str">
        <f ca="1">IFERROR(__xludf.DUMMYFUNCTION("QUERY('Volunteer Survey'!I33)"),"Gene-Disease Validity")</f>
        <v>Gene-Disease Validity</v>
      </c>
      <c r="AI34" s="175" t="str">
        <f ca="1">IFERROR(__xludf.DUMMYFUNCTION("QUERY('Volunteer Survey'!J33)"),"Variant Pathogenicity")</f>
        <v>Variant Pathogenicity</v>
      </c>
      <c r="AJ34" s="175" t="str">
        <f ca="1">IFERROR(__xludf.DUMMYFUNCTION("QUERY('Volunteer Survey'!K33)"),"Dosage Sensitivity")</f>
        <v>Dosage Sensitivity</v>
      </c>
      <c r="AK34" s="175" t="str">
        <f ca="1">IFERROR(__xludf.DUMMYFUNCTION("QUERY('Volunteer Survey'!L33)"),"Actionability")</f>
        <v>Actionability</v>
      </c>
      <c r="AL34" s="175" t="str">
        <f ca="1">IFERROR(__xludf.DUMMYFUNCTION("QUERY('Volunteer Survey'!M33)"),"Somatic Cancer")</f>
        <v>Somatic Cancer</v>
      </c>
      <c r="AM34" s="175" t="str">
        <f ca="1">IFERROR(__xludf.DUMMYFUNCTION("QUERY('Volunteer Survey'!N33)"),"Yes")</f>
        <v>Yes</v>
      </c>
      <c r="AN34" s="175" t="str">
        <f ca="1">IFERROR(__xludf.DUMMYFUNCTION("QUERY('Volunteer Survey'!O33)"),"")</f>
        <v/>
      </c>
      <c r="AO34" s="175" t="str">
        <f ca="1">IFERROR(__xludf.DUMMYFUNCTION("QUERY('Volunteer Survey'!P33)"),"I am interested in a couple of ClinGen Expert Panel/Working Group, 1)Cardiovascular Dilated Cardiomyopathy Gene Curation Expert Panel, 2) Rett Angelman Variant Curation Expert Panel. However, if there is any other expert panel/working group needs my help,"&amp;" I am more than happy to participate in it.")</f>
        <v>I am interested in a couple of ClinGen Expert Panel/Working Group, 1)Cardiovascular Dilated Cardiomyopathy Gene Curation Expert Panel, 2) Rett Angelman Variant Curation Expert Panel. However, if there is any other expert panel/working group needs my help, I am more than happy to participate in it.</v>
      </c>
    </row>
    <row r="35" spans="1:41" ht="14">
      <c r="A35" s="44">
        <f ca="1">IFERROR(__xludf.DUMMYFUNCTION("QUERY('Volunteer Survey'!A35)"),43359.5939004629)</f>
        <v>43359.593900462904</v>
      </c>
      <c r="B35" s="42" t="s">
        <v>160</v>
      </c>
      <c r="C35" s="81">
        <v>43347</v>
      </c>
      <c r="D35" s="50">
        <v>43446</v>
      </c>
      <c r="E35" s="42" t="s">
        <v>130</v>
      </c>
      <c r="F35" s="42" t="s">
        <v>130</v>
      </c>
      <c r="G35" s="42" t="s">
        <v>122</v>
      </c>
      <c r="H35" s="45" t="s">
        <v>293</v>
      </c>
      <c r="I35" s="45" t="s">
        <v>139</v>
      </c>
      <c r="J35" s="42"/>
      <c r="K35" s="42"/>
      <c r="L35" s="49" t="str">
        <f ca="1">IFERROR(__xludf.DUMMYFUNCTION("QUERY('Volunteer Survey'!B35)"),"John Millichap")</f>
        <v>John Millichap</v>
      </c>
      <c r="M35" s="49" t="str">
        <f ca="1">IFERROR(__xludf.DUMMYFUNCTION("QUERY('Volunteer Survey'!E35)"),"jmillichap@luriechildrens.org")</f>
        <v>jmillichap@luriechildrens.org</v>
      </c>
      <c r="N35" s="49" t="str">
        <f ca="1">IFERROR(__xludf.DUMMYFUNCTION("QUERY('Volunteer Survey'!F35)"),"Physician (Non-geneticist)")</f>
        <v>Physician (Non-geneticist)</v>
      </c>
      <c r="O35" s="42" t="str">
        <f ca="1">IFERROR(__xludf.DUMMYFUNCTION("QUERY('Volunteer Survey'!H35)"),"Comprehensive")</f>
        <v>Comprehensive</v>
      </c>
      <c r="P35" s="49" t="str">
        <f ca="1">IFERROR(__xludf.DUMMYFUNCTION("QUERY('Volunteer Survey'!I35)"),"Gene-Disease Validity")</f>
        <v>Gene-Disease Validity</v>
      </c>
      <c r="Q35" s="54" t="str">
        <f ca="1">IFERROR(__xludf.DUMMYFUNCTION("QUERY('Volunteer Survey'!J35)"),"Actionability")</f>
        <v>Actionability</v>
      </c>
      <c r="R35" s="49" t="str">
        <f ca="1">IFERROR(__xludf.DUMMYFUNCTION("QUERY('Volunteer Survey'!K35)"),"Variant Pathogenicity")</f>
        <v>Variant Pathogenicity</v>
      </c>
      <c r="S35" s="49" t="str">
        <f ca="1">IFERROR(__xludf.DUMMYFUNCTION("QUERY('Volunteer Survey'!L35)"),"Dosage Sensitivity")</f>
        <v>Dosage Sensitivity</v>
      </c>
      <c r="T35" s="49" t="str">
        <f ca="1">IFERROR(__xludf.DUMMYFUNCTION("QUERY('Volunteer Survey'!M35)"),"")</f>
        <v/>
      </c>
      <c r="U35" s="58" t="str">
        <f ca="1">IFERROR(__xludf.DUMMYFUNCTION("QUERY('Volunteer Survey'!N35)"),"Yes")</f>
        <v>Yes</v>
      </c>
      <c r="V35" s="49" t="str">
        <f ca="1">IFERROR(__xludf.DUMMYFUNCTION("QUERY('Volunteer Survey'!O35)"),"")</f>
        <v/>
      </c>
      <c r="W35" s="60" t="str">
        <f ca="1">IFERROR(__xludf.DUMMYFUNCTION("QUERY('Volunteer Survey'!P35)"),"Epilepsy WG/EP")</f>
        <v>Epilepsy WG/EP</v>
      </c>
      <c r="X35" s="58" t="str">
        <f ca="1">IFERROR(__xludf.DUMMYFUNCTION("QUERY('Volunteer Survey'!R35)"),"")</f>
        <v/>
      </c>
      <c r="Y35" s="45" t="s">
        <v>323</v>
      </c>
      <c r="Z35" s="174">
        <f ca="1">IFERROR(__xludf.DUMMYFUNCTION("QUERY('Volunteer Survey'!A34)"),43357.5930671296)</f>
        <v>43357.593067129601</v>
      </c>
      <c r="AA35" s="175" t="str">
        <f ca="1">IFERROR(__xludf.DUMMYFUNCTION("QUERY('Volunteer Survey'!B34)"),"Ljubica Caldovic")</f>
        <v>Ljubica Caldovic</v>
      </c>
      <c r="AB35" s="175" t="str">
        <f ca="1">IFERROR(__xludf.DUMMYFUNCTION("QUERY('Volunteer Survey'!C34)"),"Children's National Medical Center")</f>
        <v>Children's National Medical Center</v>
      </c>
      <c r="AC35" s="175" t="str">
        <f ca="1">IFERROR(__xludf.DUMMYFUNCTION("QUERY('Volunteer Survey'!D34)"),"Washington, DC")</f>
        <v>Washington, DC</v>
      </c>
      <c r="AD35" s="175" t="str">
        <f ca="1">IFERROR(__xludf.DUMMYFUNCTION("QUERY('Volunteer Survey'!E34)"),"lcaldovic@childrensnational.org")</f>
        <v>lcaldovic@childrensnational.org</v>
      </c>
      <c r="AE35" s="175" t="str">
        <f ca="1">IFERROR(__xludf.DUMMYFUNCTION("QUERY('Volunteer Survey'!F34)"),"Scientific Researcher, Variant Analyst/Scientist")</f>
        <v>Scientific Researcher, Variant Analyst/Scientist</v>
      </c>
      <c r="AF35" s="175" t="str">
        <f ca="1">IFERROR(__xludf.DUMMYFUNCTION("QUERY('Volunteer Survey'!G34)"),"Aminoacidopathy working group/expert panel; Metabolism expert panel")</f>
        <v>Aminoacidopathy working group/expert panel; Metabolism expert panel</v>
      </c>
      <c r="AG35" s="175" t="str">
        <f ca="1">IFERROR(__xludf.DUMMYFUNCTION("QUERY('Volunteer Survey'!H34)"),"Comprehensive")</f>
        <v>Comprehensive</v>
      </c>
      <c r="AH35" s="175" t="str">
        <f ca="1">IFERROR(__xludf.DUMMYFUNCTION("QUERY('Volunteer Survey'!I34)"),"Gene-Disease Validity")</f>
        <v>Gene-Disease Validity</v>
      </c>
      <c r="AI35" s="175" t="str">
        <f ca="1">IFERROR(__xludf.DUMMYFUNCTION("QUERY('Volunteer Survey'!J34)"),"Variant Pathogenicity")</f>
        <v>Variant Pathogenicity</v>
      </c>
      <c r="AJ35" s="175" t="str">
        <f ca="1">IFERROR(__xludf.DUMMYFUNCTION("QUERY('Volunteer Survey'!K34)"),"Dosage Sensitivity")</f>
        <v>Dosage Sensitivity</v>
      </c>
      <c r="AK35" s="175" t="str">
        <f ca="1">IFERROR(__xludf.DUMMYFUNCTION("QUERY('Volunteer Survey'!L34)"),"")</f>
        <v/>
      </c>
      <c r="AL35" s="175" t="str">
        <f ca="1">IFERROR(__xludf.DUMMYFUNCTION("QUERY('Volunteer Survey'!M34)"),"")</f>
        <v/>
      </c>
      <c r="AM35" s="175" t="str">
        <f ca="1">IFERROR(__xludf.DUMMYFUNCTION("QUERY('Volunteer Survey'!N34)"),"No")</f>
        <v>No</v>
      </c>
      <c r="AN35" s="175" t="str">
        <f ca="1">IFERROR(__xludf.DUMMYFUNCTION("QUERY('Volunteer Survey'!O34)"),"")</f>
        <v/>
      </c>
      <c r="AO35" s="175" t="str">
        <f ca="1">IFERROR(__xludf.DUMMYFUNCTION("QUERY('Volunteer Survey'!P34)"),"Aminoacidopathy working group/expert panel; Metabolism expert panel")</f>
        <v>Aminoacidopathy working group/expert panel; Metabolism expert panel</v>
      </c>
    </row>
    <row r="36" spans="1:41" ht="14">
      <c r="A36" s="44">
        <f ca="1">IFERROR(__xludf.DUMMYFUNCTION("QUERY('Volunteer Survey'!A36)"),43363.595162037)</f>
        <v>43363.595162037003</v>
      </c>
      <c r="B36" s="42" t="s">
        <v>108</v>
      </c>
      <c r="C36" s="81">
        <v>43411</v>
      </c>
      <c r="D36" s="50">
        <v>43446</v>
      </c>
      <c r="E36" s="42" t="s">
        <v>130</v>
      </c>
      <c r="F36" s="42" t="s">
        <v>130</v>
      </c>
      <c r="G36" s="42" t="s">
        <v>313</v>
      </c>
      <c r="H36" s="47"/>
      <c r="I36" s="45" t="s">
        <v>139</v>
      </c>
      <c r="J36" s="49"/>
      <c r="K36" s="49"/>
      <c r="L36" s="49" t="str">
        <f ca="1">IFERROR(__xludf.DUMMYFUNCTION("QUERY('Volunteer Survey'!B36)"),"Vladimir Lialine")</f>
        <v>Vladimir Lialine</v>
      </c>
      <c r="M36" s="49" t="str">
        <f ca="1">IFERROR(__xludf.DUMMYFUNCTION("QUERY('Volunteer Survey'!E36)"),"vlad@twixsoft.com")</f>
        <v>vlad@twixsoft.com</v>
      </c>
      <c r="N36" s="49" t="str">
        <f ca="1">IFERROR(__xludf.DUMMYFUNCTION("QUERY('Volunteer Survey'!F36)"),"Scientific Researcher, Graduate Student, Citizen Scientist/Patient Advocate")</f>
        <v>Scientific Researcher, Graduate Student, Citizen Scientist/Patient Advocate</v>
      </c>
      <c r="O36" s="49" t="str">
        <f ca="1">IFERROR(__xludf.DUMMYFUNCTION("QUERY('Volunteer Survey'!H36)"),"Comprehensive")</f>
        <v>Comprehensive</v>
      </c>
      <c r="P36" s="49" t="str">
        <f ca="1">IFERROR(__xludf.DUMMYFUNCTION("QUERY('Volunteer Survey'!I36)"),"Gene-Disease Validity")</f>
        <v>Gene-Disease Validity</v>
      </c>
      <c r="Q36" s="54" t="str">
        <f ca="1">IFERROR(__xludf.DUMMYFUNCTION("QUERY('Volunteer Survey'!J36)"),"Somatic Cancer")</f>
        <v>Somatic Cancer</v>
      </c>
      <c r="R36" s="49" t="str">
        <f ca="1">IFERROR(__xludf.DUMMYFUNCTION("QUERY('Volunteer Survey'!K36)"),"Dosage Sensitivity")</f>
        <v>Dosage Sensitivity</v>
      </c>
      <c r="S36" s="49" t="str">
        <f ca="1">IFERROR(__xludf.DUMMYFUNCTION("QUERY('Volunteer Survey'!L36)"),"Actionability")</f>
        <v>Actionability</v>
      </c>
      <c r="T36" s="49" t="str">
        <f ca="1">IFERROR(__xludf.DUMMYFUNCTION("QUERY('Volunteer Survey'!M36)"),"Variant Pathogenicity")</f>
        <v>Variant Pathogenicity</v>
      </c>
      <c r="U36" s="58" t="str">
        <f ca="1">IFERROR(__xludf.DUMMYFUNCTION("QUERY('Volunteer Survey'!N36)"),"No")</f>
        <v>No</v>
      </c>
      <c r="V36" s="49" t="str">
        <f ca="1">IFERROR(__xludf.DUMMYFUNCTION("QUERY('Volunteer Survey'!O36)"),"Yes")</f>
        <v>Yes</v>
      </c>
      <c r="W36" s="60" t="str">
        <f ca="1">IFERROR(__xludf.DUMMYFUNCTION("QUERY('Volunteer Survey'!P36)"),"No")</f>
        <v>No</v>
      </c>
      <c r="X36" s="58" t="str">
        <f ca="1">IFERROR(__xludf.DUMMYFUNCTION("QUERY('Volunteer Survey'!R36)"),"")</f>
        <v/>
      </c>
      <c r="Y36" s="47"/>
      <c r="Z36" s="174">
        <f ca="1">IFERROR(__xludf.DUMMYFUNCTION("QUERY('Volunteer Survey'!A35)"),43359.5939004629)</f>
        <v>43359.593900462904</v>
      </c>
      <c r="AA36" s="175" t="str">
        <f ca="1">IFERROR(__xludf.DUMMYFUNCTION("QUERY('Volunteer Survey'!B35)"),"John Millichap")</f>
        <v>John Millichap</v>
      </c>
      <c r="AB36" s="175" t="str">
        <f ca="1">IFERROR(__xludf.DUMMYFUNCTION("QUERY('Volunteer Survey'!C35)"),"Ann &amp; Robert H. Lurie Children's Hospital of Chicago")</f>
        <v>Ann &amp; Robert H. Lurie Children's Hospital of Chicago</v>
      </c>
      <c r="AC36" s="175" t="str">
        <f ca="1">IFERROR(__xludf.DUMMYFUNCTION("QUERY('Volunteer Survey'!D35)"),"Chicago, IL")</f>
        <v>Chicago, IL</v>
      </c>
      <c r="AD36" s="175" t="str">
        <f ca="1">IFERROR(__xludf.DUMMYFUNCTION("QUERY('Volunteer Survey'!E35)"),"jmillichap@luriechildrens.org")</f>
        <v>jmillichap@luriechildrens.org</v>
      </c>
      <c r="AE36" s="175" t="str">
        <f ca="1">IFERROR(__xludf.DUMMYFUNCTION("QUERY('Volunteer Survey'!F35)"),"Physician (Non-geneticist)")</f>
        <v>Physician (Non-geneticist)</v>
      </c>
      <c r="AF36" s="175" t="str">
        <f ca="1">IFERROR(__xludf.DUMMYFUNCTION("QUERY('Volunteer Survey'!G35)"),"Epilepsy WG/EP")</f>
        <v>Epilepsy WG/EP</v>
      </c>
      <c r="AG36" s="175" t="str">
        <f ca="1">IFERROR(__xludf.DUMMYFUNCTION("QUERY('Volunteer Survey'!H35)"),"Comprehensive")</f>
        <v>Comprehensive</v>
      </c>
      <c r="AH36" s="175" t="str">
        <f ca="1">IFERROR(__xludf.DUMMYFUNCTION("QUERY('Volunteer Survey'!I35)"),"Gene-Disease Validity")</f>
        <v>Gene-Disease Validity</v>
      </c>
      <c r="AI36" s="175" t="str">
        <f ca="1">IFERROR(__xludf.DUMMYFUNCTION("QUERY('Volunteer Survey'!J35)"),"Actionability")</f>
        <v>Actionability</v>
      </c>
      <c r="AJ36" s="175" t="str">
        <f ca="1">IFERROR(__xludf.DUMMYFUNCTION("QUERY('Volunteer Survey'!K35)"),"Variant Pathogenicity")</f>
        <v>Variant Pathogenicity</v>
      </c>
      <c r="AK36" s="175" t="str">
        <f ca="1">IFERROR(__xludf.DUMMYFUNCTION("QUERY('Volunteer Survey'!L35)"),"Dosage Sensitivity")</f>
        <v>Dosage Sensitivity</v>
      </c>
      <c r="AL36" s="175" t="str">
        <f ca="1">IFERROR(__xludf.DUMMYFUNCTION("QUERY('Volunteer Survey'!M35)"),"")</f>
        <v/>
      </c>
      <c r="AM36" s="175" t="str">
        <f ca="1">IFERROR(__xludf.DUMMYFUNCTION("QUERY('Volunteer Survey'!N35)"),"Yes")</f>
        <v>Yes</v>
      </c>
      <c r="AN36" s="175" t="str">
        <f ca="1">IFERROR(__xludf.DUMMYFUNCTION("QUERY('Volunteer Survey'!O35)"),"")</f>
        <v/>
      </c>
      <c r="AO36" s="175" t="str">
        <f ca="1">IFERROR(__xludf.DUMMYFUNCTION("QUERY('Volunteer Survey'!P35)"),"Epilepsy WG/EP")</f>
        <v>Epilepsy WG/EP</v>
      </c>
    </row>
    <row r="37" spans="1:41" ht="14">
      <c r="A37" s="44">
        <f ca="1">IFERROR(__xludf.DUMMYFUNCTION("QUERY('Volunteer Survey'!A38)"),43384.5971412037)</f>
        <v>43384.597141203703</v>
      </c>
      <c r="B37" s="42" t="s">
        <v>108</v>
      </c>
      <c r="C37" s="73">
        <v>43430</v>
      </c>
      <c r="D37" s="50">
        <v>43446</v>
      </c>
      <c r="E37" s="42" t="s">
        <v>117</v>
      </c>
      <c r="F37" s="42" t="s">
        <v>130</v>
      </c>
      <c r="G37" s="42" t="s">
        <v>122</v>
      </c>
      <c r="H37" s="47"/>
      <c r="I37" s="45" t="s">
        <v>139</v>
      </c>
      <c r="J37" s="49"/>
      <c r="K37" s="49"/>
      <c r="L37" s="49" t="str">
        <f ca="1">IFERROR(__xludf.DUMMYFUNCTION("QUERY('Volunteer Survey'!B38)"),"Vaidehi Jobanputra")</f>
        <v>Vaidehi Jobanputra</v>
      </c>
      <c r="M37" s="49" t="str">
        <f ca="1">IFERROR(__xludf.DUMMYFUNCTION("QUERY('Volunteer Survey'!E38)"),"vjobanputra@nygenome.org")</f>
        <v>vjobanputra@nygenome.org</v>
      </c>
      <c r="N37" s="49" t="str">
        <f ca="1">IFERROR(__xludf.DUMMYFUNCTION("QUERY('Volunteer Survey'!F38)"),"Clinical laboratory geneticist")</f>
        <v>Clinical laboratory geneticist</v>
      </c>
      <c r="O37" s="42" t="str">
        <f ca="1">IFERROR(__xludf.DUMMYFUNCTION("QUERY('Volunteer Survey'!H38)"),"Comprehensive")</f>
        <v>Comprehensive</v>
      </c>
      <c r="P37" s="49" t="str">
        <f ca="1">IFERROR(__xludf.DUMMYFUNCTION("QUERY('Volunteer Survey'!I38)"),"Gene-Disease Validity")</f>
        <v>Gene-Disease Validity</v>
      </c>
      <c r="Q37" s="54" t="str">
        <f ca="1">IFERROR(__xludf.DUMMYFUNCTION("QUERY('Volunteer Survey'!J38)"),"")</f>
        <v/>
      </c>
      <c r="R37" s="49" t="str">
        <f ca="1">IFERROR(__xludf.DUMMYFUNCTION("QUERY('Volunteer Survey'!K38)"),"")</f>
        <v/>
      </c>
      <c r="S37" s="49" t="str">
        <f ca="1">IFERROR(__xludf.DUMMYFUNCTION("QUERY('Volunteer Survey'!L38)"),"")</f>
        <v/>
      </c>
      <c r="T37" s="49" t="str">
        <f ca="1">IFERROR(__xludf.DUMMYFUNCTION("QUERY('Volunteer Survey'!M38)"),"")</f>
        <v/>
      </c>
      <c r="U37" s="58" t="str">
        <f ca="1">IFERROR(__xludf.DUMMYFUNCTION("QUERY('Volunteer Survey'!N38)"),"Yes")</f>
        <v>Yes</v>
      </c>
      <c r="V37" s="49" t="str">
        <f ca="1">IFERROR(__xludf.DUMMYFUNCTION("QUERY('Volunteer Survey'!O38)"),"")</f>
        <v/>
      </c>
      <c r="W37" s="60" t="str">
        <f ca="1">IFERROR(__xludf.DUMMYFUNCTION("QUERY('Volunteer Survey'!P38)"),"No")</f>
        <v>No</v>
      </c>
      <c r="X37" s="58" t="str">
        <f ca="1">IFERROR(__xludf.DUMMYFUNCTION("QUERY('Volunteer Survey'!R38)"),"")</f>
        <v/>
      </c>
      <c r="Y37" s="47"/>
      <c r="Z37" s="174">
        <f ca="1">IFERROR(__xludf.DUMMYFUNCTION("QUERY('Volunteer Survey'!A36)"),43363.595162037)</f>
        <v>43363.595162037003</v>
      </c>
      <c r="AA37" s="175" t="str">
        <f ca="1">IFERROR(__xludf.DUMMYFUNCTION("QUERY('Volunteer Survey'!B36)"),"Vladimir Lialine")</f>
        <v>Vladimir Lialine</v>
      </c>
      <c r="AB37" s="175" t="str">
        <f ca="1">IFERROR(__xludf.DUMMYFUNCTION("QUERY('Volunteer Survey'!C36)"),"Twixsoft LLC")</f>
        <v>Twixsoft LLC</v>
      </c>
      <c r="AC37" s="175" t="str">
        <f ca="1">IFERROR(__xludf.DUMMYFUNCTION("QUERY('Volunteer Survey'!D36)"),"Connecticut")</f>
        <v>Connecticut</v>
      </c>
      <c r="AD37" s="175" t="str">
        <f ca="1">IFERROR(__xludf.DUMMYFUNCTION("QUERY('Volunteer Survey'!E36)"),"vlad@twixsoft.com")</f>
        <v>vlad@twixsoft.com</v>
      </c>
      <c r="AE37" s="175" t="str">
        <f ca="1">IFERROR(__xludf.DUMMYFUNCTION("QUERY('Volunteer Survey'!F36)"),"Scientific Researcher, Graduate Student, Citizen Scientist/Patient Advocate")</f>
        <v>Scientific Researcher, Graduate Student, Citizen Scientist/Patient Advocate</v>
      </c>
      <c r="AF37" s="175" t="str">
        <f ca="1">IFERROR(__xludf.DUMMYFUNCTION("QUERY('Volunteer Survey'!G36)"),"No")</f>
        <v>No</v>
      </c>
      <c r="AG37" s="175" t="str">
        <f ca="1">IFERROR(__xludf.DUMMYFUNCTION("QUERY('Volunteer Survey'!H36)"),"Comprehensive")</f>
        <v>Comprehensive</v>
      </c>
      <c r="AH37" s="175" t="str">
        <f ca="1">IFERROR(__xludf.DUMMYFUNCTION("QUERY('Volunteer Survey'!I36)"),"Gene-Disease Validity")</f>
        <v>Gene-Disease Validity</v>
      </c>
      <c r="AI37" s="175" t="str">
        <f ca="1">IFERROR(__xludf.DUMMYFUNCTION("QUERY('Volunteer Survey'!J36)"),"Somatic Cancer")</f>
        <v>Somatic Cancer</v>
      </c>
      <c r="AJ37" s="175" t="str">
        <f ca="1">IFERROR(__xludf.DUMMYFUNCTION("QUERY('Volunteer Survey'!K36)"),"Dosage Sensitivity")</f>
        <v>Dosage Sensitivity</v>
      </c>
      <c r="AK37" s="175" t="str">
        <f ca="1">IFERROR(__xludf.DUMMYFUNCTION("QUERY('Volunteer Survey'!L36)"),"Actionability")</f>
        <v>Actionability</v>
      </c>
      <c r="AL37" s="175" t="str">
        <f ca="1">IFERROR(__xludf.DUMMYFUNCTION("QUERY('Volunteer Survey'!M36)"),"Variant Pathogenicity")</f>
        <v>Variant Pathogenicity</v>
      </c>
      <c r="AM37" s="175" t="str">
        <f ca="1">IFERROR(__xludf.DUMMYFUNCTION("QUERY('Volunteer Survey'!N36)"),"No")</f>
        <v>No</v>
      </c>
      <c r="AN37" s="175" t="str">
        <f ca="1">IFERROR(__xludf.DUMMYFUNCTION("QUERY('Volunteer Survey'!O36)"),"Yes")</f>
        <v>Yes</v>
      </c>
      <c r="AO37" s="175" t="str">
        <f ca="1">IFERROR(__xludf.DUMMYFUNCTION("QUERY('Volunteer Survey'!P36)"),"No")</f>
        <v>No</v>
      </c>
    </row>
    <row r="38" spans="1:41" ht="98">
      <c r="A38" s="44">
        <f ca="1">IFERROR(__xludf.DUMMYFUNCTION("QUERY('Volunteer Survey'!A39)"),43401.5984837963)</f>
        <v>43401.598483796297</v>
      </c>
      <c r="B38" s="42" t="s">
        <v>108</v>
      </c>
      <c r="C38" s="45" t="s">
        <v>3145</v>
      </c>
      <c r="D38" s="50">
        <v>43446</v>
      </c>
      <c r="E38" s="42" t="s">
        <v>130</v>
      </c>
      <c r="F38" s="42" t="s">
        <v>130</v>
      </c>
      <c r="G38" s="42" t="s">
        <v>122</v>
      </c>
      <c r="H38" s="47"/>
      <c r="I38" s="45" t="s">
        <v>139</v>
      </c>
      <c r="J38" s="49"/>
      <c r="K38" s="49"/>
      <c r="L38" s="49" t="str">
        <f ca="1">IFERROR(__xludf.DUMMYFUNCTION("QUERY('Volunteer Survey'!B39)"),"Khushnooda Ramzan")</f>
        <v>Khushnooda Ramzan</v>
      </c>
      <c r="M38" s="49" t="str">
        <f ca="1">IFERROR(__xludf.DUMMYFUNCTION("QUERY('Volunteer Survey'!E39)"),"khushnooda@gmail.com")</f>
        <v>khushnooda@gmail.com</v>
      </c>
      <c r="N38" s="49" t="str">
        <f ca="1">IFERROR(__xludf.DUMMYFUNCTION("QUERY('Volunteer Survey'!F39)"),"Scientific Research/ Variant Analyst")</f>
        <v>Scientific Research/ Variant Analyst</v>
      </c>
      <c r="O38" s="42" t="str">
        <f ca="1">IFERROR(__xludf.DUMMYFUNCTION("QUERY('Volunteer Survey'!H39)"),"Comprehensive")</f>
        <v>Comprehensive</v>
      </c>
      <c r="P38" s="49" t="str">
        <f ca="1">IFERROR(__xludf.DUMMYFUNCTION("QUERY('Volunteer Survey'!I39)"),"Gene-Disease Validity")</f>
        <v>Gene-Disease Validity</v>
      </c>
      <c r="Q38" s="54" t="str">
        <f ca="1">IFERROR(__xludf.DUMMYFUNCTION("QUERY('Volunteer Survey'!J39)"),"Variant Pathogenicity")</f>
        <v>Variant Pathogenicity</v>
      </c>
      <c r="R38" s="49" t="str">
        <f ca="1">IFERROR(__xludf.DUMMYFUNCTION("QUERY('Volunteer Survey'!K39)"),"")</f>
        <v/>
      </c>
      <c r="S38" s="49" t="str">
        <f ca="1">IFERROR(__xludf.DUMMYFUNCTION("QUERY('Volunteer Survey'!L39)"),"")</f>
        <v/>
      </c>
      <c r="T38" s="49" t="str">
        <f ca="1">IFERROR(__xludf.DUMMYFUNCTION("QUERY('Volunteer Survey'!M39)"),"")</f>
        <v/>
      </c>
      <c r="U38" s="58" t="str">
        <f ca="1">IFERROR(__xludf.DUMMYFUNCTION("QUERY('Volunteer Survey'!N39)"),"")</f>
        <v/>
      </c>
      <c r="V38" s="49" t="str">
        <f ca="1">IFERROR(__xludf.DUMMYFUNCTION("QUERY('Volunteer Survey'!O39)"),"")</f>
        <v/>
      </c>
      <c r="W38" s="60" t="str">
        <f ca="1">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X38" s="58" t="str">
        <f ca="1">IFERROR(__xludf.DUMMYFUNCTION("QUERY('Volunteer Survey'!R39)"),"")</f>
        <v/>
      </c>
      <c r="Y38" s="47"/>
      <c r="Z38" s="174">
        <f ca="1">IFERROR(__xludf.DUMMYFUNCTION("QUERY('Volunteer Survey'!A37)"),43473.5960808101)</f>
        <v>43473.596080810101</v>
      </c>
      <c r="AA38" s="175" t="str">
        <f ca="1">IFERROR(__xludf.DUMMYFUNCTION("QUERY('Volunteer Survey'!B37)"),"Kalpana Panneerselvam")</f>
        <v>Kalpana Panneerselvam</v>
      </c>
      <c r="AB38" s="175" t="str">
        <f ca="1">IFERROR(__xludf.DUMMYFUNCTION("QUERY('Volunteer Survey'!C37)"),"Excelra Knowledge Solutions")</f>
        <v>Excelra Knowledge Solutions</v>
      </c>
      <c r="AC38" s="175" t="str">
        <f ca="1">IFERROR(__xludf.DUMMYFUNCTION("QUERY('Volunteer Survey'!D37)"),"India")</f>
        <v>India</v>
      </c>
      <c r="AD38" s="175" t="str">
        <f ca="1">IFERROR(__xludf.DUMMYFUNCTION("QUERY('Volunteer Survey'!E37)"),"kalpanarpanneerselvam@gmail.com")</f>
        <v>kalpanarpanneerselvam@gmail.com</v>
      </c>
      <c r="AE38" s="175" t="str">
        <f ca="1">IFERROR(__xludf.DUMMYFUNCTION("QUERY('Volunteer Survey'!F37)"),"Biocurator, Variant Analyst/Scientist")</f>
        <v>Biocurator, Variant Analyst/Scientist</v>
      </c>
      <c r="AF38" s="175" t="str">
        <f ca="1">IFERROR(__xludf.DUMMYFUNCTION("QUERY('Volunteer Survey'!G37)"),"Somatic/Germline Variant Curation Group; Hereditary Cancer Gene Curation Expert Panel")</f>
        <v>Somatic/Germline Variant Curation Group; Hereditary Cancer Gene Curation Expert Panel</v>
      </c>
      <c r="AG38" s="175" t="str">
        <f ca="1">IFERROR(__xludf.DUMMYFUNCTION("QUERY('Volunteer Survey'!H37)"),"Comprehensive")</f>
        <v>Comprehensive</v>
      </c>
      <c r="AH38" s="175" t="str">
        <f ca="1">IFERROR(__xludf.DUMMYFUNCTION("QUERY('Volunteer Survey'!I37)"),"Gene-Disease Validity")</f>
        <v>Gene-Disease Validity</v>
      </c>
      <c r="AI38" s="175" t="str">
        <f ca="1">IFERROR(__xludf.DUMMYFUNCTION("QUERY('Volunteer Survey'!J37)"),"Somatic Cancer")</f>
        <v>Somatic Cancer</v>
      </c>
      <c r="AJ38" s="175" t="str">
        <f ca="1">IFERROR(__xludf.DUMMYFUNCTION("QUERY('Volunteer Survey'!K37)"),"Variant Pathogenicity")</f>
        <v>Variant Pathogenicity</v>
      </c>
      <c r="AK38" s="175" t="str">
        <f ca="1">IFERROR(__xludf.DUMMYFUNCTION("QUERY('Volunteer Survey'!L37)"),"Actionability")</f>
        <v>Actionability</v>
      </c>
      <c r="AL38" s="175" t="str">
        <f ca="1">IFERROR(__xludf.DUMMYFUNCTION("QUERY('Volunteer Survey'!M37)"),"Dosage Sensitivity")</f>
        <v>Dosage Sensitivity</v>
      </c>
      <c r="AM38" s="175" t="str">
        <f ca="1">IFERROR(__xludf.DUMMYFUNCTION("QUERY('Volunteer Survey'!N37)"),"Yes")</f>
        <v>Yes</v>
      </c>
      <c r="AN38" s="175" t="str">
        <f ca="1">IFERROR(__xludf.DUMMYFUNCTION("QUERY('Volunteer Survey'!O37)"),"")</f>
        <v/>
      </c>
      <c r="AO38" s="175" t="str">
        <f ca="1">IFERROR(__xludf.DUMMYFUNCTION("QUERY('Volunteer Survey'!P37)"),"Somatic/Germline Variant Curation Group; Hereditary Cancer Gene Curation Expert Panel")</f>
        <v>Somatic/Germline Variant Curation Group; Hereditary Cancer Gene Curation Expert Panel</v>
      </c>
    </row>
    <row r="39" spans="1:41" ht="14">
      <c r="A39" s="44">
        <f ca="1">IFERROR(__xludf.DUMMYFUNCTION("QUERY('Volunteer Survey'!A40)"),43413.5994675925)</f>
        <v>43413.599467592503</v>
      </c>
      <c r="B39" s="42" t="s">
        <v>108</v>
      </c>
      <c r="C39" s="73"/>
      <c r="D39" s="59">
        <v>43585</v>
      </c>
      <c r="E39" s="42" t="s">
        <v>117</v>
      </c>
      <c r="F39" s="42" t="s">
        <v>130</v>
      </c>
      <c r="G39" s="42" t="s">
        <v>122</v>
      </c>
      <c r="H39" s="45" t="s">
        <v>123</v>
      </c>
      <c r="I39" s="45" t="s">
        <v>139</v>
      </c>
      <c r="J39" s="50">
        <v>43712</v>
      </c>
      <c r="K39" s="50"/>
      <c r="L39" s="49" t="str">
        <f ca="1">IFERROR(__xludf.DUMMYFUNCTION("QUERY('Volunteer Survey'!B40)"),"Erik Thorland")</f>
        <v>Erik Thorland</v>
      </c>
      <c r="M39" s="49" t="str">
        <f ca="1">IFERROR(__xludf.DUMMYFUNCTION("QUERY('Volunteer Survey'!E40)"),"thorland.erik@mayo.edu")</f>
        <v>thorland.erik@mayo.edu</v>
      </c>
      <c r="N39" s="49" t="str">
        <f ca="1">IFERROR(__xludf.DUMMYFUNCTION("QUERY('Volunteer Survey'!F40)"),"Clinical laboratory geneticist")</f>
        <v>Clinical laboratory geneticist</v>
      </c>
      <c r="O39" s="42" t="str">
        <f ca="1">IFERROR(__xludf.DUMMYFUNCTION("QUERY('Volunteer Survey'!H40)"),"Comprehensive")</f>
        <v>Comprehensive</v>
      </c>
      <c r="P39" s="49" t="str">
        <f ca="1">IFERROR(__xludf.DUMMYFUNCTION("QUERY('Volunteer Survey'!I40)"),"Gene-Disease Validity")</f>
        <v>Gene-Disease Validity</v>
      </c>
      <c r="Q39" s="54" t="str">
        <f ca="1">IFERROR(__xludf.DUMMYFUNCTION("QUERY('Volunteer Survey'!J40)"),"Variant Pathogenicity")</f>
        <v>Variant Pathogenicity</v>
      </c>
      <c r="R39" s="49" t="str">
        <f ca="1">IFERROR(__xludf.DUMMYFUNCTION("QUERY('Volunteer Survey'!K40)"),"")</f>
        <v/>
      </c>
      <c r="S39" s="49" t="str">
        <f ca="1">IFERROR(__xludf.DUMMYFUNCTION("QUERY('Volunteer Survey'!L40)"),"")</f>
        <v/>
      </c>
      <c r="T39" s="49" t="str">
        <f ca="1">IFERROR(__xludf.DUMMYFUNCTION("QUERY('Volunteer Survey'!M40)"),"")</f>
        <v/>
      </c>
      <c r="U39" s="58" t="str">
        <f ca="1">IFERROR(__xludf.DUMMYFUNCTION("QUERY('Volunteer Survey'!N40)"),"Yes")</f>
        <v>Yes</v>
      </c>
      <c r="V39" s="49" t="str">
        <f ca="1">IFERROR(__xludf.DUMMYFUNCTION("QUERY('Volunteer Survey'!O40)"),"")</f>
        <v/>
      </c>
      <c r="W39" s="60" t="str">
        <f ca="1">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c r="X39" s="58" t="str">
        <f ca="1">IFERROR(__xludf.DUMMYFUNCTION("QUERY('Volunteer Survey'!R40)"),"")</f>
        <v/>
      </c>
      <c r="Y39" s="45" t="s">
        <v>325</v>
      </c>
      <c r="Z39" s="174">
        <f ca="1">IFERROR(__xludf.DUMMYFUNCTION("QUERY('Volunteer Survey'!A38)"),43384.5971412037)</f>
        <v>43384.597141203703</v>
      </c>
      <c r="AA39" s="175" t="str">
        <f ca="1">IFERROR(__xludf.DUMMYFUNCTION("QUERY('Volunteer Survey'!B38)"),"Vaidehi Jobanputra")</f>
        <v>Vaidehi Jobanputra</v>
      </c>
      <c r="AB39" s="175" t="str">
        <f ca="1">IFERROR(__xludf.DUMMYFUNCTION("QUERY('Volunteer Survey'!C38)"),"New York Genome Center")</f>
        <v>New York Genome Center</v>
      </c>
      <c r="AC39" s="175" t="str">
        <f ca="1">IFERROR(__xludf.DUMMYFUNCTION("QUERY('Volunteer Survey'!D38)"),"New York  ")</f>
        <v xml:space="preserve">New York  </v>
      </c>
      <c r="AD39" s="175" t="str">
        <f ca="1">IFERROR(__xludf.DUMMYFUNCTION("QUERY('Volunteer Survey'!E38)"),"vjobanputra@nygenome.org")</f>
        <v>vjobanputra@nygenome.org</v>
      </c>
      <c r="AE39" s="175" t="str">
        <f ca="1">IFERROR(__xludf.DUMMYFUNCTION("QUERY('Volunteer Survey'!F38)"),"Clinical laboratory geneticist")</f>
        <v>Clinical laboratory geneticist</v>
      </c>
      <c r="AF39" s="175" t="str">
        <f ca="1">IFERROR(__xludf.DUMMYFUNCTION("QUERY('Volunteer Survey'!G38)"),"No")</f>
        <v>No</v>
      </c>
      <c r="AG39" s="175" t="str">
        <f ca="1">IFERROR(__xludf.DUMMYFUNCTION("QUERY('Volunteer Survey'!H38)"),"Comprehensive")</f>
        <v>Comprehensive</v>
      </c>
      <c r="AH39" s="175" t="str">
        <f ca="1">IFERROR(__xludf.DUMMYFUNCTION("QUERY('Volunteer Survey'!I38)"),"Gene-Disease Validity")</f>
        <v>Gene-Disease Validity</v>
      </c>
      <c r="AI39" s="175" t="str">
        <f ca="1">IFERROR(__xludf.DUMMYFUNCTION("QUERY('Volunteer Survey'!J38)"),"")</f>
        <v/>
      </c>
      <c r="AJ39" s="175" t="str">
        <f ca="1">IFERROR(__xludf.DUMMYFUNCTION("QUERY('Volunteer Survey'!K38)"),"")</f>
        <v/>
      </c>
      <c r="AK39" s="175" t="str">
        <f ca="1">IFERROR(__xludf.DUMMYFUNCTION("QUERY('Volunteer Survey'!L38)"),"")</f>
        <v/>
      </c>
      <c r="AL39" s="175" t="str">
        <f ca="1">IFERROR(__xludf.DUMMYFUNCTION("QUERY('Volunteer Survey'!M38)"),"")</f>
        <v/>
      </c>
      <c r="AM39" s="175" t="str">
        <f ca="1">IFERROR(__xludf.DUMMYFUNCTION("QUERY('Volunteer Survey'!N38)"),"Yes")</f>
        <v>Yes</v>
      </c>
      <c r="AN39" s="175" t="str">
        <f ca="1">IFERROR(__xludf.DUMMYFUNCTION("QUERY('Volunteer Survey'!O38)"),"")</f>
        <v/>
      </c>
      <c r="AO39" s="175" t="str">
        <f ca="1">IFERROR(__xludf.DUMMYFUNCTION("QUERY('Volunteer Survey'!P38)"),"No")</f>
        <v>No</v>
      </c>
    </row>
    <row r="40" spans="1:41" ht="14">
      <c r="A40" s="44">
        <f ca="1">IFERROR(__xludf.DUMMYFUNCTION("QUERY('Volunteer Survey'!A41)"),43434.6006134259)</f>
        <v>43434.600613425901</v>
      </c>
      <c r="B40" s="42" t="s">
        <v>160</v>
      </c>
      <c r="C40" s="81">
        <v>43437</v>
      </c>
      <c r="D40" s="50">
        <v>43446</v>
      </c>
      <c r="E40" s="42" t="s">
        <v>117</v>
      </c>
      <c r="F40" s="42" t="s">
        <v>117</v>
      </c>
      <c r="G40" s="42" t="s">
        <v>122</v>
      </c>
      <c r="H40" s="45" t="s">
        <v>143</v>
      </c>
      <c r="I40" s="45" t="s">
        <v>299</v>
      </c>
      <c r="J40" s="50">
        <v>43592</v>
      </c>
      <c r="K40" s="50">
        <v>43713</v>
      </c>
      <c r="L40" s="49" t="str">
        <f ca="1">IFERROR(__xludf.DUMMYFUNCTION("QUERY('Volunteer Survey'!B41)"),"Olivia Rennie")</f>
        <v>Olivia Rennie</v>
      </c>
      <c r="M40" s="49" t="str">
        <f ca="1">IFERROR(__xludf.DUMMYFUNCTION("QUERY('Volunteer Survey'!E41)"),"olivia.rennie@sickkids.ca")</f>
        <v>olivia.rennie@sickkids.ca</v>
      </c>
      <c r="N40" s="49" t="str">
        <f ca="1">IFERROR(__xludf.DUMMYFUNCTION("QUERY('Volunteer Survey'!F41)"),"Variant Analyst/Scientist")</f>
        <v>Variant Analyst/Scientist</v>
      </c>
      <c r="O40" s="42" t="str">
        <f ca="1">IFERROR(__xludf.DUMMYFUNCTION("QUERY('Volunteer Survey'!H41)"),"Comprehensive")</f>
        <v>Comprehensive</v>
      </c>
      <c r="P40" s="49" t="str">
        <f ca="1">IFERROR(__xludf.DUMMYFUNCTION("QUERY('Volunteer Survey'!I41)"),"Gene-Disease Validity")</f>
        <v>Gene-Disease Validity</v>
      </c>
      <c r="Q40" s="54" t="str">
        <f ca="1">IFERROR(__xludf.DUMMYFUNCTION("QUERY('Volunteer Survey'!J41)"),"Somatic Cancer")</f>
        <v>Somatic Cancer</v>
      </c>
      <c r="R40" s="49" t="str">
        <f ca="1">IFERROR(__xludf.DUMMYFUNCTION("QUERY('Volunteer Survey'!K41)"),"Dosage Sensitivity")</f>
        <v>Dosage Sensitivity</v>
      </c>
      <c r="S40" s="49" t="str">
        <f ca="1">IFERROR(__xludf.DUMMYFUNCTION("QUERY('Volunteer Survey'!L41)"),"Variant Pathogenicity")</f>
        <v>Variant Pathogenicity</v>
      </c>
      <c r="T40" s="49" t="str">
        <f ca="1">IFERROR(__xludf.DUMMYFUNCTION("QUERY('Volunteer Survey'!M41)"),"Actionability")</f>
        <v>Actionability</v>
      </c>
      <c r="U40" s="58" t="str">
        <f ca="1">IFERROR(__xludf.DUMMYFUNCTION("QUERY('Volunteer Survey'!N41)"),"No")</f>
        <v>No</v>
      </c>
      <c r="V40" s="49" t="str">
        <f ca="1">IFERROR(__xludf.DUMMYFUNCTION("QUERY('Volunteer Survey'!O41)"),"")</f>
        <v/>
      </c>
      <c r="W40" s="60" t="str">
        <f ca="1">IFERROR(__xludf.DUMMYFUNCTION("QUERY('Volunteer Survey'!P41)"),"ID/Autism Gene Curation Expert Panel")</f>
        <v>ID/Autism Gene Curation Expert Panel</v>
      </c>
      <c r="X40" s="58" t="str">
        <f ca="1">IFERROR(__xludf.DUMMYFUNCTION("QUERY('Volunteer Survey'!R41)"),"")</f>
        <v/>
      </c>
      <c r="Y40" s="47"/>
      <c r="Z40" s="174">
        <f ca="1">IFERROR(__xludf.DUMMYFUNCTION("QUERY('Volunteer Survey'!A39)"),43401.5984837963)</f>
        <v>43401.598483796297</v>
      </c>
      <c r="AA40" s="175" t="str">
        <f ca="1">IFERROR(__xludf.DUMMYFUNCTION("QUERY('Volunteer Survey'!B39)"),"Khushnooda Ramzan")</f>
        <v>Khushnooda Ramzan</v>
      </c>
      <c r="AB40" s="175" t="str">
        <f ca="1">IFERROR(__xludf.DUMMYFUNCTION("QUERY('Volunteer Survey'!C39)"),"King Faisal Specialist Hospital and Research Centre")</f>
        <v>King Faisal Specialist Hospital and Research Centre</v>
      </c>
      <c r="AC40" s="175" t="str">
        <f ca="1">IFERROR(__xludf.DUMMYFUNCTION("QUERY('Volunteer Survey'!D39)"),"Saudi Arabia")</f>
        <v>Saudi Arabia</v>
      </c>
      <c r="AD40" s="175" t="str">
        <f ca="1">IFERROR(__xludf.DUMMYFUNCTION("QUERY('Volunteer Survey'!E39)"),"khushnooda@gmail.com")</f>
        <v>khushnooda@gmail.com</v>
      </c>
      <c r="AE40" s="175" t="str">
        <f ca="1">IFERROR(__xludf.DUMMYFUNCTION("QUERY('Volunteer Survey'!F39)"),"Scientific Research/ Variant Analyst")</f>
        <v>Scientific Research/ Variant Analyst</v>
      </c>
      <c r="AF40" s="175" t="str">
        <f ca="1">IFERROR(__xludf.DUMMYFUNCTION("QUERY('Volunteer Survey'!G39)"),"Experience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c r="AG40" s="175" t="str">
        <f ca="1">IFERROR(__xludf.DUMMYFUNCTION("QUERY('Volunteer Survey'!H39)"),"Comprehensive")</f>
        <v>Comprehensive</v>
      </c>
      <c r="AH40" s="175" t="str">
        <f ca="1">IFERROR(__xludf.DUMMYFUNCTION("QUERY('Volunteer Survey'!I39)"),"Gene-Disease Validity")</f>
        <v>Gene-Disease Validity</v>
      </c>
      <c r="AI40" s="175" t="str">
        <f ca="1">IFERROR(__xludf.DUMMYFUNCTION("QUERY('Volunteer Survey'!J39)"),"Variant Pathogenicity")</f>
        <v>Variant Pathogenicity</v>
      </c>
      <c r="AJ40" s="175" t="str">
        <f ca="1">IFERROR(__xludf.DUMMYFUNCTION("QUERY('Volunteer Survey'!K39)"),"")</f>
        <v/>
      </c>
      <c r="AK40" s="175" t="str">
        <f ca="1">IFERROR(__xludf.DUMMYFUNCTION("QUERY('Volunteer Survey'!L39)"),"")</f>
        <v/>
      </c>
      <c r="AL40" s="175" t="str">
        <f ca="1">IFERROR(__xludf.DUMMYFUNCTION("QUERY('Volunteer Survey'!M39)"),"")</f>
        <v/>
      </c>
      <c r="AM40" s="175" t="str">
        <f ca="1">IFERROR(__xludf.DUMMYFUNCTION("QUERY('Volunteer Survey'!N39)"),"")</f>
        <v/>
      </c>
      <c r="AN40" s="175" t="str">
        <f ca="1">IFERROR(__xludf.DUMMYFUNCTION("QUERY('Volunteer Survey'!O39)"),"")</f>
        <v/>
      </c>
      <c r="AO40" s="175" t="str">
        <f ca="1">IFERROR(__xludf.DUMMYFUNCTION("QUERY('Volunteer Survey'!P39)"),"Experience with Mendelian disorders, not noted for curation. Hearing Loss (most experience with pubs), Cardiovascular KCNQ1 Variant
Storage Diseases Variant Curation Expert Panel")</f>
        <v>Experience with Mendelian disorders, not noted for curation. Hearing Loss (most experience with pubs), Cardiovascular KCNQ1 Variant
Storage Diseases Variant Curation Expert Panel</v>
      </c>
    </row>
    <row r="41" spans="1:41" ht="14">
      <c r="A41" s="44">
        <f ca="1">IFERROR(__xludf.DUMMYFUNCTION("QUERY('Volunteer Survey'!A42)"),43473.6013753472)</f>
        <v>43473.6013753472</v>
      </c>
      <c r="B41" s="42" t="s">
        <v>125</v>
      </c>
      <c r="C41" s="81">
        <v>43437</v>
      </c>
      <c r="D41" s="50">
        <v>43446</v>
      </c>
      <c r="E41" s="42" t="s">
        <v>117</v>
      </c>
      <c r="F41" s="42" t="s">
        <v>117</v>
      </c>
      <c r="G41" s="42" t="s">
        <v>122</v>
      </c>
      <c r="H41" s="45" t="s">
        <v>143</v>
      </c>
      <c r="I41" s="45" t="s">
        <v>139</v>
      </c>
      <c r="J41" s="50">
        <v>43592</v>
      </c>
      <c r="K41" s="50">
        <v>43713</v>
      </c>
      <c r="L41" s="49" t="str">
        <f ca="1">IFERROR(__xludf.DUMMYFUNCTION("QUERY('Volunteer Survey'!B42)"),"Kira Dies")</f>
        <v>Kira Dies</v>
      </c>
      <c r="M41" s="49" t="str">
        <f ca="1">IFERROR(__xludf.DUMMYFUNCTION("QUERY('Volunteer Survey'!E42)"),"Kira.Dies@childrens.harvard.edu")</f>
        <v>Kira.Dies@childrens.harvard.edu</v>
      </c>
      <c r="N41" s="49" t="str">
        <f ca="1">IFERROR(__xludf.DUMMYFUNCTION("QUERY('Volunteer Survey'!F42)"),"Genetic counselor")</f>
        <v>Genetic counselor</v>
      </c>
      <c r="O41" s="42" t="s">
        <v>63</v>
      </c>
      <c r="P41" s="49" t="str">
        <f ca="1">IFERROR(__xludf.DUMMYFUNCTION("QUERY('Volunteer Survey'!I42)"),"Gene-Disease Validity")</f>
        <v>Gene-Disease Validity</v>
      </c>
      <c r="Q41" s="54" t="str">
        <f ca="1">IFERROR(__xludf.DUMMYFUNCTION("QUERY('Volunteer Survey'!J42)"),"Actionability")</f>
        <v>Actionability</v>
      </c>
      <c r="R41" s="49" t="str">
        <f ca="1">IFERROR(__xludf.DUMMYFUNCTION("QUERY('Volunteer Survey'!K42)"),"")</f>
        <v/>
      </c>
      <c r="S41" s="49" t="str">
        <f ca="1">IFERROR(__xludf.DUMMYFUNCTION("QUERY('Volunteer Survey'!L42)"),"")</f>
        <v/>
      </c>
      <c r="T41" s="49" t="str">
        <f ca="1">IFERROR(__xludf.DUMMYFUNCTION("QUERY('Volunteer Survey'!M42)"),"")</f>
        <v/>
      </c>
      <c r="U41" s="58" t="str">
        <f ca="1">IFERROR(__xludf.DUMMYFUNCTION("QUERY('Volunteer Survey'!N42)"),"No")</f>
        <v>No</v>
      </c>
      <c r="V41" s="49" t="str">
        <f ca="1">IFERROR(__xludf.DUMMYFUNCTION("QUERY('Volunteer Survey'!O42)"),"")</f>
        <v/>
      </c>
      <c r="W41" s="60" t="str">
        <f ca="1">IFERROR(__xludf.DUMMYFUNCTION("QUERY('Volunteer Survey'!P42)"),"ASD/NDD")</f>
        <v>ASD/NDD</v>
      </c>
      <c r="X41" s="58" t="str">
        <f ca="1">IFERROR(__xludf.DUMMYFUNCTION("QUERY('Volunteer Survey'!R42)"),"")</f>
        <v/>
      </c>
      <c r="Y41" s="45" t="s">
        <v>326</v>
      </c>
      <c r="Z41" s="174">
        <f ca="1">IFERROR(__xludf.DUMMYFUNCTION("QUERY('Volunteer Survey'!A40)"),43413.5994675925)</f>
        <v>43413.599467592503</v>
      </c>
      <c r="AA41" s="175" t="str">
        <f ca="1">IFERROR(__xludf.DUMMYFUNCTION("QUERY('Volunteer Survey'!B40)"),"Erik Thorland")</f>
        <v>Erik Thorland</v>
      </c>
      <c r="AB41" s="175" t="str">
        <f ca="1">IFERROR(__xludf.DUMMYFUNCTION("QUERY('Volunteer Survey'!C40)"),"Mayo Clinic ")</f>
        <v xml:space="preserve">Mayo Clinic </v>
      </c>
      <c r="AC41" s="175" t="str">
        <f ca="1">IFERROR(__xludf.DUMMYFUNCTION("QUERY('Volunteer Survey'!D40)"),"MN")</f>
        <v>MN</v>
      </c>
      <c r="AD41" s="175" t="str">
        <f ca="1">IFERROR(__xludf.DUMMYFUNCTION("QUERY('Volunteer Survey'!E40)"),"thorland.erik@mayo.edu")</f>
        <v>thorland.erik@mayo.edu</v>
      </c>
      <c r="AE41" s="175" t="str">
        <f ca="1">IFERROR(__xludf.DUMMYFUNCTION("QUERY('Volunteer Survey'!F40)"),"Clinical laboratory geneticist")</f>
        <v>Clinical laboratory geneticist</v>
      </c>
      <c r="AF41" s="175" t="str">
        <f ca="1">IFERROR(__xludf.DUMMYFUNCTION("QUERY('Volunteer Survey'!G40)"),"I'm specifically interested in the epilespy gene curation group.  I'm already involved in the dosage sensitivity working group.")</f>
        <v>I'm specifically interested in the epilespy gene curation group.  I'm already involved in the dosage sensitivity working group.</v>
      </c>
      <c r="AG41" s="175" t="str">
        <f ca="1">IFERROR(__xludf.DUMMYFUNCTION("QUERY('Volunteer Survey'!H40)"),"Comprehensive")</f>
        <v>Comprehensive</v>
      </c>
      <c r="AH41" s="175" t="str">
        <f ca="1">IFERROR(__xludf.DUMMYFUNCTION("QUERY('Volunteer Survey'!I40)"),"Gene-Disease Validity")</f>
        <v>Gene-Disease Validity</v>
      </c>
      <c r="AI41" s="175" t="str">
        <f ca="1">IFERROR(__xludf.DUMMYFUNCTION("QUERY('Volunteer Survey'!J40)"),"Variant Pathogenicity")</f>
        <v>Variant Pathogenicity</v>
      </c>
      <c r="AJ41" s="175" t="str">
        <f ca="1">IFERROR(__xludf.DUMMYFUNCTION("QUERY('Volunteer Survey'!K40)"),"")</f>
        <v/>
      </c>
      <c r="AK41" s="175" t="str">
        <f ca="1">IFERROR(__xludf.DUMMYFUNCTION("QUERY('Volunteer Survey'!L40)"),"")</f>
        <v/>
      </c>
      <c r="AL41" s="175" t="str">
        <f ca="1">IFERROR(__xludf.DUMMYFUNCTION("QUERY('Volunteer Survey'!M40)"),"")</f>
        <v/>
      </c>
      <c r="AM41" s="175" t="str">
        <f ca="1">IFERROR(__xludf.DUMMYFUNCTION("QUERY('Volunteer Survey'!N40)"),"Yes")</f>
        <v>Yes</v>
      </c>
      <c r="AN41" s="175" t="str">
        <f ca="1">IFERROR(__xludf.DUMMYFUNCTION("QUERY('Volunteer Survey'!O40)"),"")</f>
        <v/>
      </c>
      <c r="AO41" s="175" t="str">
        <f ca="1">IFERROR(__xludf.DUMMYFUNCTION("QUERY('Volunteer Survey'!P40)"),"I'm specifically interested in the epilespy gene curation group.  I'm already involved in the dosage sensitivity working group.")</f>
        <v>I'm specifically interested in the epilespy gene curation group.  I'm already involved in the dosage sensitivity working group.</v>
      </c>
    </row>
    <row r="42" spans="1:41" ht="14">
      <c r="A42" s="44">
        <f ca="1">IFERROR(__xludf.DUMMYFUNCTION("QUERY('Volunteer Survey'!A46)"),43335.6058796296)</f>
        <v>43335.605879629598</v>
      </c>
      <c r="B42" s="42" t="s">
        <v>160</v>
      </c>
      <c r="C42" s="81">
        <v>43341</v>
      </c>
      <c r="D42" s="67">
        <v>43341</v>
      </c>
      <c r="E42" s="42" t="s">
        <v>117</v>
      </c>
      <c r="F42" s="42" t="s">
        <v>117</v>
      </c>
      <c r="G42" s="42" t="s">
        <v>122</v>
      </c>
      <c r="H42" s="74" t="s">
        <v>20</v>
      </c>
      <c r="I42" s="74" t="s">
        <v>139</v>
      </c>
      <c r="J42" s="83">
        <v>43592</v>
      </c>
      <c r="K42" s="50">
        <v>43713</v>
      </c>
      <c r="L42" s="49" t="str">
        <f ca="1">IFERROR(__xludf.DUMMYFUNCTION("QUERY('Volunteer Survey'!B46)"),"Sainan Wei")</f>
        <v>Sainan Wei</v>
      </c>
      <c r="M42" s="49" t="str">
        <f ca="1">IFERROR(__xludf.DUMMYFUNCTION("QUERY('Volunteer Survey'!E46)"),"sainan.wei@uky.edu ")</f>
        <v xml:space="preserve">sainan.wei@uky.edu </v>
      </c>
      <c r="N42" s="49" t="str">
        <f ca="1">IFERROR(__xludf.DUMMYFUNCTION("QUERY('Volunteer Survey'!F46)"),"Clinical laboratory geneticist")</f>
        <v>Clinical laboratory geneticist</v>
      </c>
      <c r="O42" s="42" t="str">
        <f ca="1">IFERROR(__xludf.DUMMYFUNCTION("QUERY('Volunteer Survey'!H46)"),"Comprehensive")</f>
        <v>Comprehensive</v>
      </c>
      <c r="P42" s="49" t="str">
        <f ca="1">IFERROR(__xludf.DUMMYFUNCTION("QUERY('Volunteer Survey'!I46)"),"Gene-Disease Validity")</f>
        <v>Gene-Disease Validity</v>
      </c>
      <c r="Q42" s="54" t="str">
        <f ca="1">IFERROR(__xludf.DUMMYFUNCTION("QUERY('Volunteer Survey'!J46)"),"Dosage Sensitivity")</f>
        <v>Dosage Sensitivity</v>
      </c>
      <c r="R42" s="49" t="str">
        <f ca="1">IFERROR(__xludf.DUMMYFUNCTION("QUERY('Volunteer Survey'!K46)"),"Variant Pathogenicity")</f>
        <v>Variant Pathogenicity</v>
      </c>
      <c r="S42" s="49" t="str">
        <f ca="1">IFERROR(__xludf.DUMMYFUNCTION("QUERY('Volunteer Survey'!L46)"),"Actionability")</f>
        <v>Actionability</v>
      </c>
      <c r="T42" s="49" t="str">
        <f ca="1">IFERROR(__xludf.DUMMYFUNCTION("QUERY('Volunteer Survey'!M46)"),"Somatic Cancer")</f>
        <v>Somatic Cancer</v>
      </c>
      <c r="U42" s="58" t="str">
        <f ca="1">IFERROR(__xludf.DUMMYFUNCTION("QUERY('Volunteer Survey'!N46)"),"No")</f>
        <v>No</v>
      </c>
      <c r="V42" s="49" t="str">
        <f ca="1">IFERROR(__xludf.DUMMYFUNCTION("QUERY('Volunteer Survey'!O46)"),"")</f>
        <v/>
      </c>
      <c r="W42" s="60" t="str">
        <f ca="1">IFERROR(__xludf.DUMMYFUNCTION("QUERY('Volunteer Survey'!P46)"),"Hereditary cancer gene Aminoacidopathy gene fatty acid oxidation gene")</f>
        <v>Hereditary cancer gene Aminoacidopathy gene fatty acid oxidation gene</v>
      </c>
      <c r="X42" s="58" t="str">
        <f ca="1">IFERROR(__xludf.DUMMYFUNCTION("QUERY('Volunteer Survey'!R46)"),"")</f>
        <v/>
      </c>
      <c r="Y42" s="47"/>
      <c r="Z42" s="174">
        <f ca="1">IFERROR(__xludf.DUMMYFUNCTION("QUERY('Volunteer Survey'!A41)"),43434.6006134259)</f>
        <v>43434.600613425901</v>
      </c>
      <c r="AA42" s="175" t="str">
        <f ca="1">IFERROR(__xludf.DUMMYFUNCTION("QUERY('Volunteer Survey'!B41)"),"Olivia Rennie")</f>
        <v>Olivia Rennie</v>
      </c>
      <c r="AB42" s="175" t="str">
        <f ca="1">IFERROR(__xludf.DUMMYFUNCTION("QUERY('Volunteer Survey'!C41)"),"The Hospital for Sick Children")</f>
        <v>The Hospital for Sick Children</v>
      </c>
      <c r="AC42" s="175" t="str">
        <f ca="1">IFERROR(__xludf.DUMMYFUNCTION("QUERY('Volunteer Survey'!D41)"),"Toronto, Canada")</f>
        <v>Toronto, Canada</v>
      </c>
      <c r="AD42" s="175" t="str">
        <f ca="1">IFERROR(__xludf.DUMMYFUNCTION("QUERY('Volunteer Survey'!E41)"),"olivia.rennie@sickkids.ca")</f>
        <v>olivia.rennie@sickkids.ca</v>
      </c>
      <c r="AE42" s="175" t="str">
        <f ca="1">IFERROR(__xludf.DUMMYFUNCTION("QUERY('Volunteer Survey'!F41)"),"Variant Analyst/Scientist")</f>
        <v>Variant Analyst/Scientist</v>
      </c>
      <c r="AF42" s="175" t="str">
        <f ca="1">IFERROR(__xludf.DUMMYFUNCTION("QUERY('Volunteer Survey'!G41)"),"ID/Autism Gene Curation Expert Panel")</f>
        <v>ID/Autism Gene Curation Expert Panel</v>
      </c>
      <c r="AG42" s="175" t="str">
        <f ca="1">IFERROR(__xludf.DUMMYFUNCTION("QUERY('Volunteer Survey'!H41)"),"Comprehensive")</f>
        <v>Comprehensive</v>
      </c>
      <c r="AH42" s="175" t="str">
        <f ca="1">IFERROR(__xludf.DUMMYFUNCTION("QUERY('Volunteer Survey'!I41)"),"Gene-Disease Validity")</f>
        <v>Gene-Disease Validity</v>
      </c>
      <c r="AI42" s="175" t="str">
        <f ca="1">IFERROR(__xludf.DUMMYFUNCTION("QUERY('Volunteer Survey'!J41)"),"Somatic Cancer")</f>
        <v>Somatic Cancer</v>
      </c>
      <c r="AJ42" s="175" t="str">
        <f ca="1">IFERROR(__xludf.DUMMYFUNCTION("QUERY('Volunteer Survey'!K41)"),"Dosage Sensitivity")</f>
        <v>Dosage Sensitivity</v>
      </c>
      <c r="AK42" s="175" t="str">
        <f ca="1">IFERROR(__xludf.DUMMYFUNCTION("QUERY('Volunteer Survey'!L41)"),"Variant Pathogenicity")</f>
        <v>Variant Pathogenicity</v>
      </c>
      <c r="AL42" s="175" t="str">
        <f ca="1">IFERROR(__xludf.DUMMYFUNCTION("QUERY('Volunteer Survey'!M41)"),"Actionability")</f>
        <v>Actionability</v>
      </c>
      <c r="AM42" s="175" t="str">
        <f ca="1">IFERROR(__xludf.DUMMYFUNCTION("QUERY('Volunteer Survey'!N41)"),"No")</f>
        <v>No</v>
      </c>
      <c r="AN42" s="175" t="str">
        <f ca="1">IFERROR(__xludf.DUMMYFUNCTION("QUERY('Volunteer Survey'!O41)"),"")</f>
        <v/>
      </c>
      <c r="AO42" s="175" t="str">
        <f ca="1">IFERROR(__xludf.DUMMYFUNCTION("QUERY('Volunteer Survey'!P41)"),"ID/Autism Gene Curation Expert Panel")</f>
        <v>ID/Autism Gene Curation Expert Panel</v>
      </c>
    </row>
    <row r="43" spans="1:41" ht="14">
      <c r="A43" s="44">
        <f ca="1">IFERROR(__xludf.DUMMYFUNCTION("QUERY('Volunteer Survey'!A47)"),43339.6066319444)</f>
        <v>43339.6066319444</v>
      </c>
      <c r="B43" s="42" t="s">
        <v>160</v>
      </c>
      <c r="C43" s="81">
        <v>43411</v>
      </c>
      <c r="D43" s="50">
        <v>43453</v>
      </c>
      <c r="E43" s="42" t="s">
        <v>117</v>
      </c>
      <c r="F43" s="42" t="s">
        <v>117</v>
      </c>
      <c r="G43" s="42" t="s">
        <v>163</v>
      </c>
      <c r="H43" s="47"/>
      <c r="I43" s="45" t="s">
        <v>139</v>
      </c>
      <c r="J43" s="50">
        <v>43592</v>
      </c>
      <c r="K43" s="50">
        <v>43713</v>
      </c>
      <c r="L43" s="49" t="str">
        <f ca="1">IFERROR(__xludf.DUMMYFUNCTION("QUERY('Volunteer Survey'!B47)"),"Preti Jain")</f>
        <v>Preti Jain</v>
      </c>
      <c r="M43" s="49" t="str">
        <f ca="1">IFERROR(__xludf.DUMMYFUNCTION("QUERY('Volunteer Survey'!E47)"),"preti.jain@yale.edu")</f>
        <v>preti.jain@yale.edu</v>
      </c>
      <c r="N43" s="49" t="str">
        <f ca="1">IFERROR(__xludf.DUMMYFUNCTION("QUERY('Volunteer Survey'!F47)"),"Clinical laboratory geneticist")</f>
        <v>Clinical laboratory geneticist</v>
      </c>
      <c r="O43" s="42" t="str">
        <f ca="1">IFERROR(__xludf.DUMMYFUNCTION("QUERY('Volunteer Survey'!H47)"),"Comprehensive")</f>
        <v>Comprehensive</v>
      </c>
      <c r="P43" s="49" t="str">
        <f ca="1">IFERROR(__xludf.DUMMYFUNCTION("QUERY('Volunteer Survey'!I47)"),"Dosage Sensitivity")</f>
        <v>Dosage Sensitivity</v>
      </c>
      <c r="Q43" s="54" t="str">
        <f ca="1">IFERROR(__xludf.DUMMYFUNCTION("QUERY('Volunteer Survey'!J47)"),"")</f>
        <v/>
      </c>
      <c r="R43" s="49" t="str">
        <f ca="1">IFERROR(__xludf.DUMMYFUNCTION("QUERY('Volunteer Survey'!K47)"),"")</f>
        <v/>
      </c>
      <c r="S43" s="49" t="str">
        <f ca="1">IFERROR(__xludf.DUMMYFUNCTION("QUERY('Volunteer Survey'!L47)"),"")</f>
        <v/>
      </c>
      <c r="T43" s="49" t="str">
        <f ca="1">IFERROR(__xludf.DUMMYFUNCTION("QUERY('Volunteer Survey'!M47)"),"")</f>
        <v/>
      </c>
      <c r="U43" s="58" t="str">
        <f ca="1">IFERROR(__xludf.DUMMYFUNCTION("QUERY('Volunteer Survey'!N47)"),"Yes")</f>
        <v>Yes</v>
      </c>
      <c r="V43" s="49" t="str">
        <f ca="1">IFERROR(__xludf.DUMMYFUNCTION("QUERY('Volunteer Survey'!O47)"),"")</f>
        <v/>
      </c>
      <c r="W43" s="60" t="str">
        <f ca="1">IFERROR(__xludf.DUMMYFUNCTION("QUERY('Volunteer Survey'!P47)"),"cardiomyopathy, Somatic/Germline Variant Curation, Hereditary Cancer")</f>
        <v>cardiomyopathy, Somatic/Germline Variant Curation, Hereditary Cancer</v>
      </c>
      <c r="X43" s="58" t="str">
        <f ca="1">IFERROR(__xludf.DUMMYFUNCTION("QUERY('Volunteer Survey'!R47)"),"")</f>
        <v/>
      </c>
      <c r="Y43" s="47"/>
      <c r="Z43" s="174">
        <f ca="1">IFERROR(__xludf.DUMMYFUNCTION("QUERY('Volunteer Survey'!A42)"),43473.6013753472)</f>
        <v>43473.6013753472</v>
      </c>
      <c r="AA43" s="175" t="str">
        <f ca="1">IFERROR(__xludf.DUMMYFUNCTION("QUERY('Volunteer Survey'!B42)"),"Kira Dies")</f>
        <v>Kira Dies</v>
      </c>
      <c r="AB43" s="175" t="str">
        <f ca="1">IFERROR(__xludf.DUMMYFUNCTION("QUERY('Volunteer Survey'!C42)"),"Boston Children's Hospital")</f>
        <v>Boston Children's Hospital</v>
      </c>
      <c r="AC43" s="175" t="str">
        <f ca="1">IFERROR(__xludf.DUMMYFUNCTION("QUERY('Volunteer Survey'!D42)"),"Boston, MA")</f>
        <v>Boston, MA</v>
      </c>
      <c r="AD43" s="175" t="str">
        <f ca="1">IFERROR(__xludf.DUMMYFUNCTION("QUERY('Volunteer Survey'!E42)"),"Kira.Dies@childrens.harvard.edu")</f>
        <v>Kira.Dies@childrens.harvard.edu</v>
      </c>
      <c r="AE43" s="175" t="str">
        <f ca="1">IFERROR(__xludf.DUMMYFUNCTION("QUERY('Volunteer Survey'!F42)"),"Genetic counselor")</f>
        <v>Genetic counselor</v>
      </c>
      <c r="AF43" s="175" t="str">
        <f ca="1">IFERROR(__xludf.DUMMYFUNCTION("QUERY('Volunteer Survey'!G42)"),"ASD/NDD")</f>
        <v>ASD/NDD</v>
      </c>
      <c r="AG43" s="175" t="str">
        <f ca="1">IFERROR(__xludf.DUMMYFUNCTION("QUERY('Volunteer Survey'!H42)"),"Comprehensive")</f>
        <v>Comprehensive</v>
      </c>
      <c r="AH43" s="175" t="str">
        <f ca="1">IFERROR(__xludf.DUMMYFUNCTION("QUERY('Volunteer Survey'!I42)"),"Gene-Disease Validity")</f>
        <v>Gene-Disease Validity</v>
      </c>
      <c r="AI43" s="175" t="str">
        <f ca="1">IFERROR(__xludf.DUMMYFUNCTION("QUERY('Volunteer Survey'!J42)"),"Actionability")</f>
        <v>Actionability</v>
      </c>
      <c r="AJ43" s="175" t="str">
        <f ca="1">IFERROR(__xludf.DUMMYFUNCTION("QUERY('Volunteer Survey'!K42)"),"")</f>
        <v/>
      </c>
      <c r="AK43" s="175" t="str">
        <f ca="1">IFERROR(__xludf.DUMMYFUNCTION("QUERY('Volunteer Survey'!L42)"),"")</f>
        <v/>
      </c>
      <c r="AL43" s="175" t="str">
        <f ca="1">IFERROR(__xludf.DUMMYFUNCTION("QUERY('Volunteer Survey'!M42)"),"")</f>
        <v/>
      </c>
      <c r="AM43" s="175" t="str">
        <f ca="1">IFERROR(__xludf.DUMMYFUNCTION("QUERY('Volunteer Survey'!N42)"),"No")</f>
        <v>No</v>
      </c>
      <c r="AN43" s="175" t="str">
        <f ca="1">IFERROR(__xludf.DUMMYFUNCTION("QUERY('Volunteer Survey'!O42)"),"")</f>
        <v/>
      </c>
      <c r="AO43" s="175" t="str">
        <f ca="1">IFERROR(__xludf.DUMMYFUNCTION("QUERY('Volunteer Survey'!P42)"),"ASD/NDD")</f>
        <v>ASD/NDD</v>
      </c>
    </row>
    <row r="44" spans="1:41" ht="14">
      <c r="A44" s="44">
        <f ca="1">IFERROR(__xludf.DUMMYFUNCTION("QUERY('Volunteer Survey'!A48)"),43355.6103819444)</f>
        <v>43355.610381944403</v>
      </c>
      <c r="B44" s="42" t="s">
        <v>160</v>
      </c>
      <c r="C44" s="81">
        <v>43356</v>
      </c>
      <c r="D44" s="67">
        <v>43341</v>
      </c>
      <c r="E44" s="42" t="s">
        <v>117</v>
      </c>
      <c r="F44" s="42" t="s">
        <v>117</v>
      </c>
      <c r="G44" s="42" t="s">
        <v>163</v>
      </c>
      <c r="H44" s="47"/>
      <c r="I44" s="45" t="s">
        <v>139</v>
      </c>
      <c r="J44" s="50">
        <v>43592</v>
      </c>
      <c r="K44" s="50">
        <v>43713</v>
      </c>
      <c r="L44" s="49" t="str">
        <f ca="1">IFERROR(__xludf.DUMMYFUNCTION("QUERY('Volunteer Survey'!B48)"),"Andrea Vaags")</f>
        <v>Andrea Vaags</v>
      </c>
      <c r="M44" s="49" t="str">
        <f ca="1">IFERROR(__xludf.DUMMYFUNCTION("QUERY('Volunteer Survey'!E48)"),"andrea.vaags@thp.ca")</f>
        <v>andrea.vaags@thp.ca</v>
      </c>
      <c r="N44" s="49" t="str">
        <f ca="1">IFERROR(__xludf.DUMMYFUNCTION("QUERY('Volunteer Survey'!F48)"),"Clinical laboratory geneticist")</f>
        <v>Clinical laboratory geneticist</v>
      </c>
      <c r="O44" s="42" t="str">
        <f ca="1">IFERROR(__xludf.DUMMYFUNCTION("QUERY('Volunteer Survey'!H48)"),"Comprehensive")</f>
        <v>Comprehensive</v>
      </c>
      <c r="P44" s="49" t="str">
        <f ca="1">IFERROR(__xludf.DUMMYFUNCTION("QUERY('Volunteer Survey'!I48)"),"Dosage Sensitivity")</f>
        <v>Dosage Sensitivity</v>
      </c>
      <c r="Q44" s="54" t="str">
        <f ca="1">IFERROR(__xludf.DUMMYFUNCTION("QUERY('Volunteer Survey'!J48)"),"")</f>
        <v/>
      </c>
      <c r="R44" s="49" t="str">
        <f ca="1">IFERROR(__xludf.DUMMYFUNCTION("QUERY('Volunteer Survey'!K48)"),"")</f>
        <v/>
      </c>
      <c r="S44" s="49" t="str">
        <f ca="1">IFERROR(__xludf.DUMMYFUNCTION("QUERY('Volunteer Survey'!L48)"),"")</f>
        <v/>
      </c>
      <c r="T44" s="49" t="str">
        <f ca="1">IFERROR(__xludf.DUMMYFUNCTION("QUERY('Volunteer Survey'!M48)"),"")</f>
        <v/>
      </c>
      <c r="U44" s="58" t="str">
        <f ca="1">IFERROR(__xludf.DUMMYFUNCTION("QUERY('Volunteer Survey'!N48)"),"Yes")</f>
        <v>Yes</v>
      </c>
      <c r="V44" s="49" t="str">
        <f ca="1">IFERROR(__xludf.DUMMYFUNCTION("QUERY('Volunteer Survey'!O48)"),"")</f>
        <v/>
      </c>
      <c r="W44" s="60" t="str">
        <f ca="1">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X44" s="58" t="str">
        <f ca="1">IFERROR(__xludf.DUMMYFUNCTION("QUERY('Volunteer Survey'!R48)"),"")</f>
        <v/>
      </c>
      <c r="Y44" s="47"/>
      <c r="Z44" s="174">
        <f ca="1">IFERROR(__xludf.DUMMYFUNCTION("QUERY('Volunteer Survey'!A43)"),43434.6020717592)</f>
        <v>43434.602071759196</v>
      </c>
      <c r="AA44" s="175" t="str">
        <f ca="1">IFERROR(__xludf.DUMMYFUNCTION("QUERY('Volunteer Survey'!B43)"),"Jennifer Howe")</f>
        <v>Jennifer Howe</v>
      </c>
      <c r="AB44" s="175" t="str">
        <f ca="1">IFERROR(__xludf.DUMMYFUNCTION("QUERY('Volunteer Survey'!C43)"),"The Hospital for Sick Children")</f>
        <v>The Hospital for Sick Children</v>
      </c>
      <c r="AC44" s="175" t="str">
        <f ca="1">IFERROR(__xludf.DUMMYFUNCTION("QUERY('Volunteer Survey'!D43)"),"")</f>
        <v/>
      </c>
      <c r="AD44" s="175" t="str">
        <f ca="1">IFERROR(__xludf.DUMMYFUNCTION("QUERY('Volunteer Survey'!E43)"),"jhowe@sickkids.ca")</f>
        <v>jhowe@sickkids.ca</v>
      </c>
      <c r="AE44" s="175" t="str">
        <f ca="1">IFERROR(__xludf.DUMMYFUNCTION("QUERY('Volunteer Survey'!F43)"),"Senior Project Manager")</f>
        <v>Senior Project Manager</v>
      </c>
      <c r="AF44" s="175" t="str">
        <f ca="1">IFERROR(__xludf.DUMMYFUNCTION("QUERY('Volunteer Survey'!G43)"),"ID/Autism Expert Panel")</f>
        <v>ID/Autism Expert Panel</v>
      </c>
      <c r="AG44" s="175" t="str">
        <f ca="1">IFERROR(__xludf.DUMMYFUNCTION("QUERY('Volunteer Survey'!H43)"),"Comprehensive")</f>
        <v>Comprehensive</v>
      </c>
      <c r="AH44" s="175" t="str">
        <f ca="1">IFERROR(__xludf.DUMMYFUNCTION("QUERY('Volunteer Survey'!I43)"),"Gene-Disease Validity")</f>
        <v>Gene-Disease Validity</v>
      </c>
      <c r="AI44" s="175" t="str">
        <f ca="1">IFERROR(__xludf.DUMMYFUNCTION("QUERY('Volunteer Survey'!J43)"),"")</f>
        <v/>
      </c>
      <c r="AJ44" s="175" t="str">
        <f ca="1">IFERROR(__xludf.DUMMYFUNCTION("QUERY('Volunteer Survey'!K43)"),"")</f>
        <v/>
      </c>
      <c r="AK44" s="175" t="str">
        <f ca="1">IFERROR(__xludf.DUMMYFUNCTION("QUERY('Volunteer Survey'!L43)"),"")</f>
        <v/>
      </c>
      <c r="AL44" s="175" t="str">
        <f ca="1">IFERROR(__xludf.DUMMYFUNCTION("QUERY('Volunteer Survey'!M43)"),"")</f>
        <v/>
      </c>
      <c r="AM44" s="175" t="str">
        <f ca="1">IFERROR(__xludf.DUMMYFUNCTION("QUERY('Volunteer Survey'!N43)"),"Yes")</f>
        <v>Yes</v>
      </c>
      <c r="AN44" s="175" t="str">
        <f ca="1">IFERROR(__xludf.DUMMYFUNCTION("QUERY('Volunteer Survey'!O43)"),"")</f>
        <v/>
      </c>
      <c r="AO44" s="175" t="str">
        <f ca="1">IFERROR(__xludf.DUMMYFUNCTION("QUERY('Volunteer Survey'!P43)"),"ID/Autism Expert Panel")</f>
        <v>ID/Autism Expert Panel</v>
      </c>
    </row>
    <row r="45" spans="1:41" ht="14">
      <c r="A45" s="44">
        <f ca="1">IFERROR(__xludf.DUMMYFUNCTION("QUERY('Volunteer Survey'!A49)"),43402.6114351851)</f>
        <v>43402.611435185099</v>
      </c>
      <c r="B45" s="42" t="s">
        <v>160</v>
      </c>
      <c r="C45" s="81">
        <v>43411</v>
      </c>
      <c r="D45" s="50">
        <v>43453</v>
      </c>
      <c r="E45" s="42" t="s">
        <v>117</v>
      </c>
      <c r="F45" s="42" t="s">
        <v>117</v>
      </c>
      <c r="G45" s="42" t="s">
        <v>163</v>
      </c>
      <c r="H45" s="47"/>
      <c r="I45" s="45" t="s">
        <v>139</v>
      </c>
      <c r="J45" s="50">
        <v>43592</v>
      </c>
      <c r="K45" s="50">
        <v>43713</v>
      </c>
      <c r="L45" s="49" t="str">
        <f ca="1">IFERROR(__xludf.DUMMYFUNCTION("QUERY('Volunteer Survey'!B49)"),"George Burghel")</f>
        <v>George Burghel</v>
      </c>
      <c r="M45" s="49" t="str">
        <f ca="1">IFERROR(__xludf.DUMMYFUNCTION("QUERY('Volunteer Survey'!E49)"),"george.burghel@mft.nhs.uk")</f>
        <v>george.burghel@mft.nhs.uk</v>
      </c>
      <c r="N45" s="49" t="str">
        <f ca="1">IFERROR(__xludf.DUMMYFUNCTION("QUERY('Volunteer Survey'!F49)"),"Clinical laboratory geneticist")</f>
        <v>Clinical laboratory geneticist</v>
      </c>
      <c r="O45" s="42" t="str">
        <f ca="1">IFERROR(__xludf.DUMMYFUNCTION("QUERY('Volunteer Survey'!H49)"),"Comprehensive")</f>
        <v>Comprehensive</v>
      </c>
      <c r="P45" s="49" t="str">
        <f ca="1">IFERROR(__xludf.DUMMYFUNCTION("QUERY('Volunteer Survey'!I49)"),"Dosage Sensitivity")</f>
        <v>Dosage Sensitivity</v>
      </c>
      <c r="Q45" s="54" t="str">
        <f ca="1">IFERROR(__xludf.DUMMYFUNCTION("QUERY('Volunteer Survey'!J49)"),"")</f>
        <v/>
      </c>
      <c r="R45" s="49" t="str">
        <f ca="1">IFERROR(__xludf.DUMMYFUNCTION("QUERY('Volunteer Survey'!K49)"),"")</f>
        <v/>
      </c>
      <c r="S45" s="49" t="str">
        <f ca="1">IFERROR(__xludf.DUMMYFUNCTION("QUERY('Volunteer Survey'!L49)"),"")</f>
        <v/>
      </c>
      <c r="T45" s="49" t="str">
        <f ca="1">IFERROR(__xludf.DUMMYFUNCTION("QUERY('Volunteer Survey'!M49)"),"")</f>
        <v/>
      </c>
      <c r="U45" s="58" t="str">
        <f ca="1">IFERROR(__xludf.DUMMYFUNCTION("QUERY('Volunteer Survey'!N49)"),"Yes")</f>
        <v>Yes</v>
      </c>
      <c r="V45" s="49" t="str">
        <f ca="1">IFERROR(__xludf.DUMMYFUNCTION("QUERY('Volunteer Survey'!O49)"),"")</f>
        <v/>
      </c>
      <c r="W45" s="60" t="str">
        <f ca="1">IFERROR(__xludf.DUMMYFUNCTION("QUERY('Volunteer Survey'!P49)"),"Experience with Dosage sensistivy but not curation. ")</f>
        <v xml:space="preserve">Experience with Dosage sensistivy but not curation. </v>
      </c>
      <c r="X45" s="58" t="str">
        <f ca="1">IFERROR(__xludf.DUMMYFUNCTION("QUERY('Volunteer Survey'!R49)"),"")</f>
        <v/>
      </c>
      <c r="Y45" s="47"/>
      <c r="Z45" s="174">
        <f ca="1">IFERROR(__xludf.DUMMYFUNCTION("QUERY('Volunteer Survey'!A44)"),43434.6039351851)</f>
        <v>43434.6039351851</v>
      </c>
      <c r="AA45" s="175" t="str">
        <f ca="1">IFERROR(__xludf.DUMMYFUNCTION("QUERY('Volunteer Survey'!B44)"),"Ny Hoang")</f>
        <v>Ny Hoang</v>
      </c>
      <c r="AB45" s="175" t="str">
        <f ca="1">IFERROR(__xludf.DUMMYFUNCTION("QUERY('Volunteer Survey'!C44)"),"The Hospital for Sick Children")</f>
        <v>The Hospital for Sick Children</v>
      </c>
      <c r="AC45" s="175" t="str">
        <f ca="1">IFERROR(__xludf.DUMMYFUNCTION("QUERY('Volunteer Survey'!D44)"),"Toronto, Canada")</f>
        <v>Toronto, Canada</v>
      </c>
      <c r="AD45" s="175" t="str">
        <f ca="1">IFERROR(__xludf.DUMMYFUNCTION("QUERY('Volunteer Survey'!E44)"),"ny.hoang@sickkids.ca")</f>
        <v>ny.hoang@sickkids.ca</v>
      </c>
      <c r="AE45" s="175" t="str">
        <f ca="1">IFERROR(__xludf.DUMMYFUNCTION("QUERY('Volunteer Survey'!F44)"),"Genetic counselor")</f>
        <v>Genetic counselor</v>
      </c>
      <c r="AF45" s="175" t="str">
        <f ca="1">IFERROR(__xludf.DUMMYFUNCTION("QUERY('Volunteer Survey'!G44)"),"Autism and ID working group")</f>
        <v>Autism and ID working group</v>
      </c>
      <c r="AG45" s="175" t="str">
        <f ca="1">IFERROR(__xludf.DUMMYFUNCTION("QUERY('Volunteer Survey'!H44)"),"Comprehensive")</f>
        <v>Comprehensive</v>
      </c>
      <c r="AH45" s="175" t="str">
        <f ca="1">IFERROR(__xludf.DUMMYFUNCTION("QUERY('Volunteer Survey'!I44)"),"Gene-Disease Validity")</f>
        <v>Gene-Disease Validity</v>
      </c>
      <c r="AI45" s="175" t="str">
        <f ca="1">IFERROR(__xludf.DUMMYFUNCTION("QUERY('Volunteer Survey'!J44)"),"")</f>
        <v/>
      </c>
      <c r="AJ45" s="175" t="str">
        <f ca="1">IFERROR(__xludf.DUMMYFUNCTION("QUERY('Volunteer Survey'!K44)"),"")</f>
        <v/>
      </c>
      <c r="AK45" s="175" t="str">
        <f ca="1">IFERROR(__xludf.DUMMYFUNCTION("QUERY('Volunteer Survey'!L44)"),"")</f>
        <v/>
      </c>
      <c r="AL45" s="175" t="str">
        <f ca="1">IFERROR(__xludf.DUMMYFUNCTION("QUERY('Volunteer Survey'!M44)"),"")</f>
        <v/>
      </c>
      <c r="AM45" s="175" t="str">
        <f ca="1">IFERROR(__xludf.DUMMYFUNCTION("QUERY('Volunteer Survey'!N44)"),"Yes")</f>
        <v>Yes</v>
      </c>
      <c r="AN45" s="175" t="str">
        <f ca="1">IFERROR(__xludf.DUMMYFUNCTION("QUERY('Volunteer Survey'!O44)"),"")</f>
        <v/>
      </c>
      <c r="AO45" s="175" t="str">
        <f ca="1">IFERROR(__xludf.DUMMYFUNCTION("QUERY('Volunteer Survey'!P44)"),"Autism and ID working group")</f>
        <v>Autism and ID working group</v>
      </c>
    </row>
    <row r="46" spans="1:41" ht="14">
      <c r="A46" s="44">
        <f ca="1">IFERROR(__xludf.DUMMYFUNCTION("QUERY('Volunteer Survey'!A50)"),43417.6121643518)</f>
        <v>43417.612164351798</v>
      </c>
      <c r="B46" s="42" t="s">
        <v>160</v>
      </c>
      <c r="C46" s="73">
        <v>43430</v>
      </c>
      <c r="D46" s="50">
        <v>43453</v>
      </c>
      <c r="E46" s="42" t="s">
        <v>117</v>
      </c>
      <c r="F46" s="42" t="s">
        <v>117</v>
      </c>
      <c r="G46" s="42" t="s">
        <v>163</v>
      </c>
      <c r="H46" s="45"/>
      <c r="I46" s="45" t="s">
        <v>299</v>
      </c>
      <c r="J46" s="50">
        <v>43592</v>
      </c>
      <c r="K46" s="50">
        <v>43713</v>
      </c>
      <c r="L46" s="49" t="str">
        <f ca="1">IFERROR(__xludf.DUMMYFUNCTION("QUERY('Volunteer Survey'!B50)"),"Coumarane Mani")</f>
        <v>Coumarane Mani</v>
      </c>
      <c r="M46" s="49" t="str">
        <f ca="1">IFERROR(__xludf.DUMMYFUNCTION("QUERY('Volunteer Survey'!E50)"),"coumarane.mani@aruplab.com")</f>
        <v>coumarane.mani@aruplab.com</v>
      </c>
      <c r="N46" s="49" t="str">
        <f ca="1">IFERROR(__xludf.DUMMYFUNCTION("QUERY('Volunteer Survey'!F50)"),"Variant Analyst/Scientist")</f>
        <v>Variant Analyst/Scientist</v>
      </c>
      <c r="O46" s="42" t="str">
        <f ca="1">IFERROR(__xludf.DUMMYFUNCTION("QUERY('Volunteer Survey'!H50)"),"Comprehensive")</f>
        <v>Comprehensive</v>
      </c>
      <c r="P46" s="49" t="str">
        <f ca="1">IFERROR(__xludf.DUMMYFUNCTION("QUERY('Volunteer Survey'!I50)"),"Dosage Sensitivity")</f>
        <v>Dosage Sensitivity</v>
      </c>
      <c r="Q46" s="54" t="str">
        <f ca="1">IFERROR(__xludf.DUMMYFUNCTION("QUERY('Volunteer Survey'!J50)"),"")</f>
        <v/>
      </c>
      <c r="R46" s="49" t="str">
        <f ca="1">IFERROR(__xludf.DUMMYFUNCTION("QUERY('Volunteer Survey'!K50)"),"")</f>
        <v/>
      </c>
      <c r="S46" s="49" t="str">
        <f ca="1">IFERROR(__xludf.DUMMYFUNCTION("QUERY('Volunteer Survey'!L50)"),"")</f>
        <v/>
      </c>
      <c r="T46" s="49" t="str">
        <f ca="1">IFERROR(__xludf.DUMMYFUNCTION("QUERY('Volunteer Survey'!M50)"),"")</f>
        <v/>
      </c>
      <c r="U46" s="58" t="str">
        <f ca="1">IFERROR(__xludf.DUMMYFUNCTION("QUERY('Volunteer Survey'!N50)"),"Yes")</f>
        <v>Yes</v>
      </c>
      <c r="V46" s="49" t="str">
        <f ca="1">IFERROR(__xludf.DUMMYFUNCTION("QUERY('Volunteer Survey'!O50)"),"")</f>
        <v/>
      </c>
      <c r="W46" s="60" t="str">
        <f ca="1">IFERROR(__xludf.DUMMYFUNCTION("QUERY('Volunteer Survey'!P50)"),"1. Somatic/Germline Variant Curation Group 2. Myeloid Malignancy Variant Curation Expert Panel")</f>
        <v>1. Somatic/Germline Variant Curation Group 2. Myeloid Malignancy Variant Curation Expert Panel</v>
      </c>
      <c r="X46" s="58" t="str">
        <f ca="1">IFERROR(__xludf.DUMMYFUNCTION("QUERY('Volunteer Survey'!R50)"),"")</f>
        <v/>
      </c>
      <c r="Y46" s="47"/>
      <c r="Z46" s="174">
        <f ca="1">IFERROR(__xludf.DUMMYFUNCTION("QUERY('Volunteer Survey'!A45)"),43434.6047685185)</f>
        <v>43434.604768518497</v>
      </c>
      <c r="AA46" s="175" t="str">
        <f ca="1">IFERROR(__xludf.DUMMYFUNCTION("QUERY('Volunteer Survey'!B45)"),"Jacob Vorstman")</f>
        <v>Jacob Vorstman</v>
      </c>
      <c r="AB46" s="175" t="str">
        <f ca="1">IFERROR(__xludf.DUMMYFUNCTION("QUERY('Volunteer Survey'!C45)"),"The Hospital for Sick Children")</f>
        <v>The Hospital for Sick Children</v>
      </c>
      <c r="AC46" s="175" t="str">
        <f ca="1">IFERROR(__xludf.DUMMYFUNCTION("QUERY('Volunteer Survey'!D45)"),"Toronto, Canada")</f>
        <v>Toronto, Canada</v>
      </c>
      <c r="AD46" s="175" t="str">
        <f ca="1">IFERROR(__xludf.DUMMYFUNCTION("QUERY('Volunteer Survey'!E45)"),"jacob.vorstman@sickkids.ca")</f>
        <v>jacob.vorstman@sickkids.ca</v>
      </c>
      <c r="AE46" s="175" t="str">
        <f ca="1">IFERROR(__xludf.DUMMYFUNCTION("QUERY('Volunteer Survey'!F45)"),"Post Doc/Resident/Fellow (MD and/or Phd), Scientific Researcher, Physician (non-geneticist)")</f>
        <v>Post Doc/Resident/Fellow (MD and/or Phd), Scientific Researcher, Physician (non-geneticist)</v>
      </c>
      <c r="AF46" s="175" t="str">
        <f ca="1">IFERROR(__xludf.DUMMYFUNCTION("QUERY('Volunteer Survey'!G45)"),"Autism Spectrum Disorder - see previous and ongoing discussions following the Toronto ASD gene list meeting this fall")</f>
        <v>Autism Spectrum Disorder - see previous and ongoing discussions following the Toronto ASD gene list meeting this fall</v>
      </c>
      <c r="AG46" s="175" t="str">
        <f ca="1">IFERROR(__xludf.DUMMYFUNCTION("QUERY('Volunteer Survey'!H45)"),"Comprehensive")</f>
        <v>Comprehensive</v>
      </c>
      <c r="AH46" s="175" t="str">
        <f ca="1">IFERROR(__xludf.DUMMYFUNCTION("QUERY('Volunteer Survey'!I45)"),"Gene-Disease Validity")</f>
        <v>Gene-Disease Validity</v>
      </c>
      <c r="AI46" s="175" t="str">
        <f ca="1">IFERROR(__xludf.DUMMYFUNCTION("QUERY('Volunteer Survey'!J45)"),"")</f>
        <v/>
      </c>
      <c r="AJ46" s="175" t="str">
        <f ca="1">IFERROR(__xludf.DUMMYFUNCTION("QUERY('Volunteer Survey'!K45)"),"")</f>
        <v/>
      </c>
      <c r="AK46" s="175" t="str">
        <f ca="1">IFERROR(__xludf.DUMMYFUNCTION("QUERY('Volunteer Survey'!L45)"),"")</f>
        <v/>
      </c>
      <c r="AL46" s="175" t="str">
        <f ca="1">IFERROR(__xludf.DUMMYFUNCTION("QUERY('Volunteer Survey'!M45)"),"")</f>
        <v/>
      </c>
      <c r="AM46" s="175" t="str">
        <f ca="1">IFERROR(__xludf.DUMMYFUNCTION("QUERY('Volunteer Survey'!N45)"),"Yes")</f>
        <v>Yes</v>
      </c>
      <c r="AN46" s="175" t="str">
        <f ca="1">IFERROR(__xludf.DUMMYFUNCTION("QUERY('Volunteer Survey'!O45)"),"")</f>
        <v/>
      </c>
      <c r="AO46" s="175" t="str">
        <f ca="1">IFERROR(__xludf.DUMMYFUNCTION("QUERY('Volunteer Survey'!P45)"),"Autism Spectrum Disorder - see previous and ongoing discussions following the Toronto ASD gene list meeting this fall")</f>
        <v>Autism Spectrum Disorder - see previous and ongoing discussions following the Toronto ASD gene list meeting this fall</v>
      </c>
    </row>
    <row r="47" spans="1:41" ht="14">
      <c r="A47" s="44">
        <f ca="1">IFERROR(__xludf.DUMMYFUNCTION("QUERY('Volunteer Survey'!A51)"),43438.613125)</f>
        <v>43438.613125000003</v>
      </c>
      <c r="B47" s="42" t="s">
        <v>160</v>
      </c>
      <c r="C47" s="47"/>
      <c r="D47" s="50">
        <v>43453</v>
      </c>
      <c r="E47" s="42" t="s">
        <v>117</v>
      </c>
      <c r="F47" s="42" t="s">
        <v>117</v>
      </c>
      <c r="G47" s="42" t="s">
        <v>163</v>
      </c>
      <c r="H47" s="47"/>
      <c r="I47" s="45" t="s">
        <v>139</v>
      </c>
      <c r="J47" s="50">
        <v>43592</v>
      </c>
      <c r="K47" s="50">
        <v>43713</v>
      </c>
      <c r="L47" s="49" t="str">
        <f ca="1">IFERROR(__xludf.DUMMYFUNCTION("QUERY('Volunteer Survey'!B51)"),"Mahesh Iddawela")</f>
        <v>Mahesh Iddawela</v>
      </c>
      <c r="M47" s="49" t="str">
        <f ca="1">IFERROR(__xludf.DUMMYFUNCTION("QUERY('Volunteer Survey'!E51)"),"mahesh.iddawela@monash.edu")</f>
        <v>mahesh.iddawela@monash.edu</v>
      </c>
      <c r="N47" s="49" t="str">
        <f ca="1">IFERROR(__xludf.DUMMYFUNCTION("QUERY('Volunteer Survey'!F51)"),"Clinician Scientist Medical Oncology")</f>
        <v>Clinician Scientist Medical Oncology</v>
      </c>
      <c r="O47" s="42" t="str">
        <f ca="1">IFERROR(__xludf.DUMMYFUNCTION("QUERY('Volunteer Survey'!H51)"),"Comprehensive")</f>
        <v>Comprehensive</v>
      </c>
      <c r="P47" s="49" t="str">
        <f ca="1">IFERROR(__xludf.DUMMYFUNCTION("QUERY('Volunteer Survey'!I51)"),"Dosage Sensitivity")</f>
        <v>Dosage Sensitivity</v>
      </c>
      <c r="Q47" s="54" t="str">
        <f ca="1">IFERROR(__xludf.DUMMYFUNCTION("QUERY('Volunteer Survey'!J51)"),"")</f>
        <v/>
      </c>
      <c r="R47" s="49" t="str">
        <f ca="1">IFERROR(__xludf.DUMMYFUNCTION("QUERY('Volunteer Survey'!K51)"),"")</f>
        <v/>
      </c>
      <c r="S47" s="49" t="str">
        <f ca="1">IFERROR(__xludf.DUMMYFUNCTION("QUERY('Volunteer Survey'!L51)"),"")</f>
        <v/>
      </c>
      <c r="T47" s="49" t="str">
        <f ca="1">IFERROR(__xludf.DUMMYFUNCTION("QUERY('Volunteer Survey'!M51)"),"")</f>
        <v/>
      </c>
      <c r="U47" s="58" t="str">
        <f ca="1">IFERROR(__xludf.DUMMYFUNCTION("QUERY('Volunteer Survey'!N51)"),"No")</f>
        <v>No</v>
      </c>
      <c r="V47" s="49" t="str">
        <f ca="1">IFERROR(__xludf.DUMMYFUNCTION("QUERY('Volunteer Survey'!O51)"),"")</f>
        <v/>
      </c>
      <c r="W47" s="60" t="str">
        <f ca="1">IFERROR(__xludf.DUMMYFUNCTION("QUERY('Volunteer Survey'!P51)"),"Somatic Cancer (TP53), Breast/Ovarian cancer")</f>
        <v>Somatic Cancer (TP53), Breast/Ovarian cancer</v>
      </c>
      <c r="X47" s="58" t="str">
        <f ca="1">IFERROR(__xludf.DUMMYFUNCTION("QUERY('Volunteer Survey'!R51)"),"")</f>
        <v/>
      </c>
      <c r="Y47" s="47"/>
      <c r="Z47" s="174">
        <f ca="1">IFERROR(__xludf.DUMMYFUNCTION("QUERY('Volunteer Survey'!A46)"),43335.6058796296)</f>
        <v>43335.605879629598</v>
      </c>
      <c r="AA47" s="175" t="str">
        <f ca="1">IFERROR(__xludf.DUMMYFUNCTION("QUERY('Volunteer Survey'!B46)"),"Sainan Wei")</f>
        <v>Sainan Wei</v>
      </c>
      <c r="AB47" s="175" t="str">
        <f ca="1">IFERROR(__xludf.DUMMYFUNCTION("QUERY('Volunteer Survey'!C46)"),"University of Kentucky")</f>
        <v>University of Kentucky</v>
      </c>
      <c r="AC47" s="175" t="str">
        <f ca="1">IFERROR(__xludf.DUMMYFUNCTION("QUERY('Volunteer Survey'!D46)"),"Kentucky")</f>
        <v>Kentucky</v>
      </c>
      <c r="AD47" s="175" t="str">
        <f ca="1">IFERROR(__xludf.DUMMYFUNCTION("QUERY('Volunteer Survey'!E46)"),"sainan.wei@uky.edu ")</f>
        <v xml:space="preserve">sainan.wei@uky.edu </v>
      </c>
      <c r="AE47" s="175" t="str">
        <f ca="1">IFERROR(__xludf.DUMMYFUNCTION("QUERY('Volunteer Survey'!F46)"),"Clinical laboratory geneticist")</f>
        <v>Clinical laboratory geneticist</v>
      </c>
      <c r="AF47" s="175" t="str">
        <f ca="1">IFERROR(__xludf.DUMMYFUNCTION("QUERY('Volunteer Survey'!G46)"),"Hereditary cancer gene Acinoacidopathy gene fatty acid oxidation gene")</f>
        <v>Hereditary cancer gene Acinoacidopathy gene fatty acid oxidation gene</v>
      </c>
      <c r="AG47" s="175" t="str">
        <f ca="1">IFERROR(__xludf.DUMMYFUNCTION("QUERY('Volunteer Survey'!H46)"),"Comprehensive")</f>
        <v>Comprehensive</v>
      </c>
      <c r="AH47" s="175" t="str">
        <f ca="1">IFERROR(__xludf.DUMMYFUNCTION("QUERY('Volunteer Survey'!I46)"),"Gene-Disease Validity")</f>
        <v>Gene-Disease Validity</v>
      </c>
      <c r="AI47" s="175" t="str">
        <f ca="1">IFERROR(__xludf.DUMMYFUNCTION("QUERY('Volunteer Survey'!J46)"),"Dosage Sensitivity")</f>
        <v>Dosage Sensitivity</v>
      </c>
      <c r="AJ47" s="175" t="str">
        <f ca="1">IFERROR(__xludf.DUMMYFUNCTION("QUERY('Volunteer Survey'!K46)"),"Variant Pathogenicity")</f>
        <v>Variant Pathogenicity</v>
      </c>
      <c r="AK47" s="175" t="str">
        <f ca="1">IFERROR(__xludf.DUMMYFUNCTION("QUERY('Volunteer Survey'!L46)"),"Actionability")</f>
        <v>Actionability</v>
      </c>
      <c r="AL47" s="175" t="str">
        <f ca="1">IFERROR(__xludf.DUMMYFUNCTION("QUERY('Volunteer Survey'!M46)"),"Somatic Cancer")</f>
        <v>Somatic Cancer</v>
      </c>
      <c r="AM47" s="175" t="str">
        <f ca="1">IFERROR(__xludf.DUMMYFUNCTION("QUERY('Volunteer Survey'!N46)"),"No")</f>
        <v>No</v>
      </c>
      <c r="AN47" s="175" t="str">
        <f ca="1">IFERROR(__xludf.DUMMYFUNCTION("QUERY('Volunteer Survey'!O46)"),"")</f>
        <v/>
      </c>
      <c r="AO47" s="175" t="str">
        <f ca="1">IFERROR(__xludf.DUMMYFUNCTION("QUERY('Volunteer Survey'!P46)"),"Hereditary cancer gene Aminoacidopathy gene fatty acid oxidation gene")</f>
        <v>Hereditary cancer gene Aminoacidopathy gene fatty acid oxidation gene</v>
      </c>
    </row>
    <row r="48" spans="1:41" ht="14">
      <c r="A48" s="44">
        <f ca="1">IFERROR(__xludf.DUMMYFUNCTION("QUERY('Volunteer Survey'!A52)"),43440.6138657407)</f>
        <v>43440.613865740699</v>
      </c>
      <c r="B48" s="42" t="s">
        <v>160</v>
      </c>
      <c r="C48" s="47"/>
      <c r="D48" s="50">
        <v>43453</v>
      </c>
      <c r="E48" s="42" t="s">
        <v>117</v>
      </c>
      <c r="F48" s="42" t="s">
        <v>117</v>
      </c>
      <c r="G48" s="42" t="s">
        <v>163</v>
      </c>
      <c r="H48" s="45"/>
      <c r="I48" s="45" t="s">
        <v>299</v>
      </c>
      <c r="J48" s="50">
        <v>43592</v>
      </c>
      <c r="K48" s="50">
        <v>43713</v>
      </c>
      <c r="L48" s="49" t="str">
        <f ca="1">IFERROR(__xludf.DUMMYFUNCTION("QUERY('Volunteer Survey'!B52)"),"Diogo Ventura Lovato")</f>
        <v>Diogo Ventura Lovato</v>
      </c>
      <c r="M48" s="49" t="str">
        <f ca="1">IFERROR(__xludf.DUMMYFUNCTION("QUERY('Volunteer Survey'!E52)"),"diogo.v.lovato@gmail.com")</f>
        <v>diogo.v.lovato@gmail.com</v>
      </c>
      <c r="N48" s="49" t="str">
        <f ca="1">IFERROR(__xludf.DUMMYFUNCTION("QUERY('Volunteer Survey'!F52)"),"Clinical laboratory geneticist, Scientific Researcher, Biocurator, Variant Analyst/Scientist")</f>
        <v>Clinical laboratory geneticist, Scientific Researcher, Biocurator, Variant Analyst/Scientist</v>
      </c>
      <c r="O48" s="42" t="str">
        <f ca="1">IFERROR(__xludf.DUMMYFUNCTION("QUERY('Volunteer Survey'!H52)"),"Comprehensive")</f>
        <v>Comprehensive</v>
      </c>
      <c r="P48" s="49" t="str">
        <f ca="1">IFERROR(__xludf.DUMMYFUNCTION("QUERY('Volunteer Survey'!I52)"),"Dosage Sensitivity")</f>
        <v>Dosage Sensitivity</v>
      </c>
      <c r="Q48" s="54" t="str">
        <f ca="1">IFERROR(__xludf.DUMMYFUNCTION("QUERY('Volunteer Survey'!J52)"),"")</f>
        <v/>
      </c>
      <c r="R48" s="49" t="str">
        <f ca="1">IFERROR(__xludf.DUMMYFUNCTION("QUERY('Volunteer Survey'!K52)"),"")</f>
        <v/>
      </c>
      <c r="S48" s="49" t="str">
        <f ca="1">IFERROR(__xludf.DUMMYFUNCTION("QUERY('Volunteer Survey'!L52)"),"")</f>
        <v/>
      </c>
      <c r="T48" s="49" t="str">
        <f ca="1">IFERROR(__xludf.DUMMYFUNCTION("QUERY('Volunteer Survey'!M52)"),"")</f>
        <v/>
      </c>
      <c r="U48" s="58" t="str">
        <f ca="1">IFERROR(__xludf.DUMMYFUNCTION("QUERY('Volunteer Survey'!N52)"),"Yes")</f>
        <v>Yes</v>
      </c>
      <c r="V48" s="49" t="str">
        <f ca="1">IFERROR(__xludf.DUMMYFUNCTION("QUERY('Volunteer Survey'!O52)"),"")</f>
        <v/>
      </c>
      <c r="W48" s="60" t="str">
        <f ca="1">IFERROR(__xludf.DUMMYFUNCTION("QUERY('Volunteer Survey'!P52)"),"Autism and Intellectual Disability, Epilepsy")</f>
        <v>Autism and Intellectual Disability, Epilepsy</v>
      </c>
      <c r="X48" s="58" t="str">
        <f ca="1">IFERROR(__xludf.DUMMYFUNCTION("QUERY('Volunteer Survey'!R52)"),"")</f>
        <v/>
      </c>
      <c r="Y48" s="47"/>
      <c r="Z48" s="174">
        <f ca="1">IFERROR(__xludf.DUMMYFUNCTION("QUERY('Volunteer Survey'!A47)"),43339.6066319444)</f>
        <v>43339.6066319444</v>
      </c>
      <c r="AA48" s="175" t="str">
        <f ca="1">IFERROR(__xludf.DUMMYFUNCTION("QUERY('Volunteer Survey'!B47)"),"Preti Jain")</f>
        <v>Preti Jain</v>
      </c>
      <c r="AB48" s="175" t="str">
        <f ca="1">IFERROR(__xludf.DUMMYFUNCTION("QUERY('Volunteer Survey'!C47)"),"Yale University")</f>
        <v>Yale University</v>
      </c>
      <c r="AC48" s="175" t="str">
        <f ca="1">IFERROR(__xludf.DUMMYFUNCTION("QUERY('Volunteer Survey'!D47)"),"Connecticut")</f>
        <v>Connecticut</v>
      </c>
      <c r="AD48" s="175" t="str">
        <f ca="1">IFERROR(__xludf.DUMMYFUNCTION("QUERY('Volunteer Survey'!E47)"),"preti.jain@yale.edu")</f>
        <v>preti.jain@yale.edu</v>
      </c>
      <c r="AE48" s="175" t="str">
        <f ca="1">IFERROR(__xludf.DUMMYFUNCTION("QUERY('Volunteer Survey'!F47)"),"Clinical laboratory geneticist")</f>
        <v>Clinical laboratory geneticist</v>
      </c>
      <c r="AF48" s="175" t="str">
        <f ca="1">IFERROR(__xludf.DUMMYFUNCTION("QUERY('Volunteer Survey'!G47)"),"cardiomyopathy, Somatic/Germline Variant Curation, Hereditary Cancer")</f>
        <v>cardiomyopathy, Somatic/Germline Variant Curation, Hereditary Cancer</v>
      </c>
      <c r="AG48" s="175" t="str">
        <f ca="1">IFERROR(__xludf.DUMMYFUNCTION("QUERY('Volunteer Survey'!H47)"),"Comprehensive")</f>
        <v>Comprehensive</v>
      </c>
      <c r="AH48" s="175" t="str">
        <f ca="1">IFERROR(__xludf.DUMMYFUNCTION("QUERY('Volunteer Survey'!I47)"),"Dosage Sensitivity")</f>
        <v>Dosage Sensitivity</v>
      </c>
      <c r="AI48" s="175" t="str">
        <f ca="1">IFERROR(__xludf.DUMMYFUNCTION("QUERY('Volunteer Survey'!J47)"),"")</f>
        <v/>
      </c>
      <c r="AJ48" s="175" t="str">
        <f ca="1">IFERROR(__xludf.DUMMYFUNCTION("QUERY('Volunteer Survey'!K47)"),"")</f>
        <v/>
      </c>
      <c r="AK48" s="175" t="str">
        <f ca="1">IFERROR(__xludf.DUMMYFUNCTION("QUERY('Volunteer Survey'!L47)"),"")</f>
        <v/>
      </c>
      <c r="AL48" s="175" t="str">
        <f ca="1">IFERROR(__xludf.DUMMYFUNCTION("QUERY('Volunteer Survey'!M47)"),"")</f>
        <v/>
      </c>
      <c r="AM48" s="175" t="str">
        <f ca="1">IFERROR(__xludf.DUMMYFUNCTION("QUERY('Volunteer Survey'!N47)"),"Yes")</f>
        <v>Yes</v>
      </c>
      <c r="AN48" s="175" t="str">
        <f ca="1">IFERROR(__xludf.DUMMYFUNCTION("QUERY('Volunteer Survey'!O47)"),"")</f>
        <v/>
      </c>
      <c r="AO48" s="175" t="str">
        <f ca="1">IFERROR(__xludf.DUMMYFUNCTION("QUERY('Volunteer Survey'!P47)"),"cardiomyopathy, Somatic/Germline Variant Curation, Hereditary Cancer")</f>
        <v>cardiomyopathy, Somatic/Germline Variant Curation, Hereditary Cancer</v>
      </c>
    </row>
    <row r="49" spans="1:41" ht="28">
      <c r="A49" s="44">
        <f ca="1">IFERROR(__xludf.DUMMYFUNCTION("QUERY('Volunteer Survey'!A54)"),43343.3983217592)</f>
        <v>43343.398321759203</v>
      </c>
      <c r="B49" s="42" t="s">
        <v>168</v>
      </c>
      <c r="C49" s="84">
        <v>43476</v>
      </c>
      <c r="D49" s="43">
        <v>43476</v>
      </c>
      <c r="E49" s="42" t="s">
        <v>117</v>
      </c>
      <c r="F49" s="42" t="s">
        <v>130</v>
      </c>
      <c r="G49" s="42" t="s">
        <v>136</v>
      </c>
      <c r="H49" s="45" t="s">
        <v>296</v>
      </c>
      <c r="I49" s="45" t="s">
        <v>139</v>
      </c>
      <c r="J49" s="50">
        <v>43592</v>
      </c>
      <c r="K49" s="42" t="s">
        <v>300</v>
      </c>
      <c r="L49" s="49" t="str">
        <f ca="1">IFERROR(__xludf.DUMMYFUNCTION("QUERY('Volunteer Survey'!B54)"),"Sameeha Shirwadkar")</f>
        <v>Sameeha Shirwadkar</v>
      </c>
      <c r="M49" s="49" t="str">
        <f ca="1">IFERROR(__xludf.DUMMYFUNCTION("QUERY('Volunteer Survey'!E54)"),"sameeha9@gmail.com")</f>
        <v>sameeha9@gmail.com</v>
      </c>
      <c r="N49" s="49" t="str">
        <f ca="1">IFERROR(__xludf.DUMMYFUNCTION("QUERY('Volunteer Survey'!F54)"),"Biocurator and Variant Analyst Scientist")</f>
        <v>Biocurator and Variant Analyst Scientist</v>
      </c>
      <c r="O49" s="42" t="str">
        <f ca="1">IFERROR(__xludf.DUMMYFUNCTION("QUERY('Volunteer Survey'!H54)"),"Comprehensive")</f>
        <v>Comprehensive</v>
      </c>
      <c r="P49" s="49" t="str">
        <f ca="1">IFERROR(__xludf.DUMMYFUNCTION("QUERY('Volunteer Survey'!I54)"),"Somatic Cancer")</f>
        <v>Somatic Cancer</v>
      </c>
      <c r="Q49" s="54" t="str">
        <f ca="1">IFERROR(__xludf.DUMMYFUNCTION("QUERY('Volunteer Survey'!J54)"),"Clinical Actionability")</f>
        <v>Clinical Actionability</v>
      </c>
      <c r="R49" s="49" t="str">
        <f ca="1">IFERROR(__xludf.DUMMYFUNCTION("QUERY('Volunteer Survey'!K54)"),"Variant Pathogenicity")</f>
        <v>Variant Pathogenicity</v>
      </c>
      <c r="S49" s="49" t="str">
        <f ca="1">IFERROR(__xludf.DUMMYFUNCTION("QUERY('Volunteer Survey'!L54)"),"Gene-Disease Validity")</f>
        <v>Gene-Disease Validity</v>
      </c>
      <c r="T49" s="49" t="str">
        <f ca="1">IFERROR(__xludf.DUMMYFUNCTION("QUERY('Volunteer Survey'!M54)"),"")</f>
        <v/>
      </c>
      <c r="U49" s="58" t="str">
        <f ca="1">IFERROR(__xludf.DUMMYFUNCTION("QUERY('Volunteer Survey'!N54)"),"yes")</f>
        <v>yes</v>
      </c>
      <c r="V49" s="49" t="str">
        <f ca="1">IFERROR(__xludf.DUMMYFUNCTION("QUERY('Volunteer Survey'!O54)"),"Yes")</f>
        <v>Yes</v>
      </c>
      <c r="W49" s="60" t="str">
        <f ca="1">IFERROR(__xludf.DUMMYFUNCTION("QUERY('Volunteer Survey'!P54)"),"Somatic/Germline Variant Curation Group and TP53 Variant Curation Expert Panel")</f>
        <v>Somatic/Germline Variant Curation Group and TP53 Variant Curation Expert Panel</v>
      </c>
      <c r="X49" s="58" t="str">
        <f ca="1">IFERROR(__xludf.DUMMYFUNCTION("QUERY('Volunteer Survey'!R54)"),"Maybe -- please contact me with other options, and I will decide based on what is available")</f>
        <v>Maybe -- please contact me with other options, and I will decide based on what is available</v>
      </c>
      <c r="Y49" s="47"/>
      <c r="Z49" s="174">
        <f ca="1">IFERROR(__xludf.DUMMYFUNCTION("QUERY('Volunteer Survey'!A48)"),43355.6103819444)</f>
        <v>43355.610381944403</v>
      </c>
      <c r="AA49" s="175" t="str">
        <f ca="1">IFERROR(__xludf.DUMMYFUNCTION("QUERY('Volunteer Survey'!B48)"),"Andrea Vaags")</f>
        <v>Andrea Vaags</v>
      </c>
      <c r="AB49" s="175" t="str">
        <f ca="1">IFERROR(__xludf.DUMMYFUNCTION("QUERY('Volunteer Survey'!C48)"),"Trillium Health Partners - Credit Valley Hospital")</f>
        <v>Trillium Health Partners - Credit Valley Hospital</v>
      </c>
      <c r="AC49" s="175" t="str">
        <f ca="1">IFERROR(__xludf.DUMMYFUNCTION("QUERY('Volunteer Survey'!D48)"),"Canada")</f>
        <v>Canada</v>
      </c>
      <c r="AD49" s="175" t="str">
        <f ca="1">IFERROR(__xludf.DUMMYFUNCTION("QUERY('Volunteer Survey'!E48)"),"andrea.vaags@thp.ca")</f>
        <v>andrea.vaags@thp.ca</v>
      </c>
      <c r="AE49" s="175" t="str">
        <f ca="1">IFERROR(__xludf.DUMMYFUNCTION("QUERY('Volunteer Survey'!F48)"),"Clinical laboratory geneticist")</f>
        <v>Clinical laboratory geneticist</v>
      </c>
      <c r="AF49" s="175" t="str">
        <f ca="1">IFERROR(__xludf.DUMMYFUNCTION("QUERY('Volunteer Survey'!G48)"),"Somatic/Germline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c r="AG49" s="175" t="str">
        <f ca="1">IFERROR(__xludf.DUMMYFUNCTION("QUERY('Volunteer Survey'!H48)"),"Comprehensive")</f>
        <v>Comprehensive</v>
      </c>
      <c r="AH49" s="175" t="str">
        <f ca="1">IFERROR(__xludf.DUMMYFUNCTION("QUERY('Volunteer Survey'!I48)"),"Dosage Sensitivity")</f>
        <v>Dosage Sensitivity</v>
      </c>
      <c r="AI49" s="175" t="str">
        <f ca="1">IFERROR(__xludf.DUMMYFUNCTION("QUERY('Volunteer Survey'!J48)"),"")</f>
        <v/>
      </c>
      <c r="AJ49" s="175" t="str">
        <f ca="1">IFERROR(__xludf.DUMMYFUNCTION("QUERY('Volunteer Survey'!K48)"),"")</f>
        <v/>
      </c>
      <c r="AK49" s="175" t="str">
        <f ca="1">IFERROR(__xludf.DUMMYFUNCTION("QUERY('Volunteer Survey'!L48)"),"")</f>
        <v/>
      </c>
      <c r="AL49" s="175" t="str">
        <f ca="1">IFERROR(__xludf.DUMMYFUNCTION("QUERY('Volunteer Survey'!M48)"),"")</f>
        <v/>
      </c>
      <c r="AM49" s="175" t="str">
        <f ca="1">IFERROR(__xludf.DUMMYFUNCTION("QUERY('Volunteer Survey'!N48)"),"Yes")</f>
        <v>Yes</v>
      </c>
      <c r="AN49" s="175" t="str">
        <f ca="1">IFERROR(__xludf.DUMMYFUNCTION("QUERY('Volunteer Survey'!O48)"),"")</f>
        <v/>
      </c>
      <c r="AO49" s="175" t="str">
        <f ca="1">IFERROR(__xludf.DUMMYFUNCTION("QUERY('Volunteer Survey'!P48)"),"Somatic/Germline Variant Curation Group (In progress); Breast and Ovarian Cancer Gene Curation Expert Panel; Hereditary Cancer Gene Curation Expert Panel (In progress); Somatic/Germline Variant Curation Group (In progress)")</f>
        <v>Somatic/Germline Variant Curation Group (In progress); Breast and Ovarian Cancer Gene Curation Expert Panel; Hereditary Cancer Gene Curation Expert Panel (In progress); Somatic/Germline Variant Curation Group (In progress)</v>
      </c>
    </row>
    <row r="50" spans="1:41" ht="28">
      <c r="A50" s="44">
        <f ca="1">IFERROR(__xludf.DUMMYFUNCTION("QUERY('Volunteer Survey'!A55)"),43365.4006134259)</f>
        <v>43365.400613425903</v>
      </c>
      <c r="B50" s="42" t="s">
        <v>168</v>
      </c>
      <c r="C50" s="47"/>
      <c r="D50" s="43"/>
      <c r="E50" s="42" t="s">
        <v>130</v>
      </c>
      <c r="F50" s="42" t="s">
        <v>130</v>
      </c>
      <c r="G50" s="42" t="s">
        <v>136</v>
      </c>
      <c r="H50" s="45" t="s">
        <v>297</v>
      </c>
      <c r="I50" s="45" t="s">
        <v>139</v>
      </c>
      <c r="J50" s="49"/>
      <c r="K50" s="49"/>
      <c r="L50" s="49" t="str">
        <f ca="1">IFERROR(__xludf.DUMMYFUNCTION("QUERY('Volunteer Survey'!B55)"),"Heather Williams")</f>
        <v>Heather Williams</v>
      </c>
      <c r="M50" s="49" t="str">
        <f ca="1">IFERROR(__xludf.DUMMYFUNCTION("QUERY('Volunteer Survey'!E55)"),"heather.williams30@nhs.net")</f>
        <v>heather.williams30@nhs.net</v>
      </c>
      <c r="N50" s="49" t="str">
        <f ca="1">IFERROR(__xludf.DUMMYFUNCTION("QUERY('Volunteer Survey'!F55)"),"Clinical laboratory geneticist")</f>
        <v>Clinical laboratory geneticist</v>
      </c>
      <c r="O50" s="42" t="str">
        <f ca="1">IFERROR(__xludf.DUMMYFUNCTION("QUERY('Volunteer Survey'!H55)"),"Comprehensive")</f>
        <v>Comprehensive</v>
      </c>
      <c r="P50" s="49" t="str">
        <f ca="1">IFERROR(__xludf.DUMMYFUNCTION("QUERY('Volunteer Survey'!I55)"),"Somatic Cancer")</f>
        <v>Somatic Cancer</v>
      </c>
      <c r="Q50" s="54" t="str">
        <f ca="1">IFERROR(__xludf.DUMMYFUNCTION("QUERY('Volunteer Survey'!J55)"),"Variant Pathogenicity")</f>
        <v>Variant Pathogenicity</v>
      </c>
      <c r="R50" s="49" t="str">
        <f ca="1">IFERROR(__xludf.DUMMYFUNCTION("QUERY('Volunteer Survey'!K55)"),"Clinical Actionability")</f>
        <v>Clinical Actionability</v>
      </c>
      <c r="S50" s="49" t="str">
        <f ca="1">IFERROR(__xludf.DUMMYFUNCTION("QUERY('Volunteer Survey'!L55)"),"Gene-Disease Validity")</f>
        <v>Gene-Disease Validity</v>
      </c>
      <c r="T50" s="49" t="str">
        <f ca="1">IFERROR(__xludf.DUMMYFUNCTION("QUERY('Volunteer Survey'!M55)"),"Dosage Sensitivity")</f>
        <v>Dosage Sensitivity</v>
      </c>
      <c r="U50" s="58" t="str">
        <f ca="1">IFERROR(__xludf.DUMMYFUNCTION("QUERY('Volunteer Survey'!N55)"),"yes")</f>
        <v>yes</v>
      </c>
      <c r="V50" s="49" t="str">
        <f ca="1">IFERROR(__xludf.DUMMYFUNCTION("QUERY('Volunteer Survey'!O55)"),"Yes")</f>
        <v>Yes</v>
      </c>
      <c r="W50" s="60" t="str">
        <f ca="1">IFERROR(__xludf.DUMMYFUNCTION("QUERY('Volunteer Survey'!P55)"),"Myeloid Malignancy Variant Curation Expert Panel Somatic/Germline Variant Curation Group")</f>
        <v>Myeloid Malignancy Variant Curation Expert Panel Somatic/Germline Variant Curation Group</v>
      </c>
      <c r="X50" s="58" t="str">
        <f ca="1">IFERROR(__xludf.DUMMYFUNCTION("QUERY('Volunteer Survey'!R55)"),"Yes- I am willing to volunteer with any available ClinGen group")</f>
        <v>Yes- I am willing to volunteer with any available ClinGen group</v>
      </c>
      <c r="Y50" s="47"/>
      <c r="Z50" s="174">
        <f ca="1">IFERROR(__xludf.DUMMYFUNCTION("QUERY('Volunteer Survey'!A49)"),43402.6114351851)</f>
        <v>43402.611435185099</v>
      </c>
      <c r="AA50" s="175" t="str">
        <f ca="1">IFERROR(__xludf.DUMMYFUNCTION("QUERY('Volunteer Survey'!B49)"),"George Burghel")</f>
        <v>George Burghel</v>
      </c>
      <c r="AB50" s="175" t="str">
        <f ca="1">IFERROR(__xludf.DUMMYFUNCTION("QUERY('Volunteer Survey'!C49)"),"Manchester Centre for Genomic Medicine")</f>
        <v>Manchester Centre for Genomic Medicine</v>
      </c>
      <c r="AC50" s="175" t="str">
        <f ca="1">IFERROR(__xludf.DUMMYFUNCTION("QUERY('Volunteer Survey'!D49)"),"Manchester, UK")</f>
        <v>Manchester, UK</v>
      </c>
      <c r="AD50" s="175" t="str">
        <f ca="1">IFERROR(__xludf.DUMMYFUNCTION("QUERY('Volunteer Survey'!E49)"),"george.burghel@mft.nhs.uk")</f>
        <v>george.burghel@mft.nhs.uk</v>
      </c>
      <c r="AE50" s="175" t="str">
        <f ca="1">IFERROR(__xludf.DUMMYFUNCTION("QUERY('Volunteer Survey'!F49)"),"Clinical laboratory geneticist")</f>
        <v>Clinical laboratory geneticist</v>
      </c>
      <c r="AF50" s="175" t="str">
        <f ca="1">IFERROR(__xludf.DUMMYFUNCTION("QUERY('Volunteer Survey'!G49)"),"Experience with Dosage sensitivity but not curation. ")</f>
        <v xml:space="preserve">Experience with Dosage sensitivity but not curation. </v>
      </c>
      <c r="AG50" s="175" t="str">
        <f ca="1">IFERROR(__xludf.DUMMYFUNCTION("QUERY('Volunteer Survey'!H49)"),"Comprehensive")</f>
        <v>Comprehensive</v>
      </c>
      <c r="AH50" s="175" t="str">
        <f ca="1">IFERROR(__xludf.DUMMYFUNCTION("QUERY('Volunteer Survey'!I49)"),"Dosage Sensitivity")</f>
        <v>Dosage Sensitivity</v>
      </c>
      <c r="AI50" s="175" t="str">
        <f ca="1">IFERROR(__xludf.DUMMYFUNCTION("QUERY('Volunteer Survey'!J49)"),"")</f>
        <v/>
      </c>
      <c r="AJ50" s="175" t="str">
        <f ca="1">IFERROR(__xludf.DUMMYFUNCTION("QUERY('Volunteer Survey'!K49)"),"")</f>
        <v/>
      </c>
      <c r="AK50" s="175" t="str">
        <f ca="1">IFERROR(__xludf.DUMMYFUNCTION("QUERY('Volunteer Survey'!L49)"),"")</f>
        <v/>
      </c>
      <c r="AL50" s="175" t="str">
        <f ca="1">IFERROR(__xludf.DUMMYFUNCTION("QUERY('Volunteer Survey'!M49)"),"")</f>
        <v/>
      </c>
      <c r="AM50" s="175" t="str">
        <f ca="1">IFERROR(__xludf.DUMMYFUNCTION("QUERY('Volunteer Survey'!N49)"),"Yes")</f>
        <v>Yes</v>
      </c>
      <c r="AN50" s="175" t="str">
        <f ca="1">IFERROR(__xludf.DUMMYFUNCTION("QUERY('Volunteer Survey'!O49)"),"")</f>
        <v/>
      </c>
      <c r="AO50" s="175" t="str">
        <f ca="1">IFERROR(__xludf.DUMMYFUNCTION("QUERY('Volunteer Survey'!P49)"),"Experience with Dosage sensistivy but not curation. ")</f>
        <v xml:space="preserve">Experience with Dosage sensistivy but not curation. </v>
      </c>
    </row>
    <row r="51" spans="1:41" ht="28">
      <c r="A51" s="44">
        <f ca="1">IFERROR(__xludf.DUMMYFUNCTION("QUERY('Volunteer Survey'!A56)"),43368.4021643518)</f>
        <v>43368.402164351799</v>
      </c>
      <c r="B51" s="42" t="s">
        <v>168</v>
      </c>
      <c r="C51" s="81">
        <v>43411</v>
      </c>
      <c r="D51" s="43">
        <v>43476</v>
      </c>
      <c r="E51" s="42" t="s">
        <v>117</v>
      </c>
      <c r="F51" s="42" t="s">
        <v>130</v>
      </c>
      <c r="G51" s="42" t="s">
        <v>136</v>
      </c>
      <c r="H51" s="45" t="s">
        <v>297</v>
      </c>
      <c r="I51" s="45" t="s">
        <v>139</v>
      </c>
      <c r="J51" s="50">
        <v>43592</v>
      </c>
      <c r="K51" s="50">
        <v>43713</v>
      </c>
      <c r="L51" s="49" t="str">
        <f ca="1">IFERROR(__xludf.DUMMYFUNCTION("QUERY('Volunteer Survey'!B56)"),"Laura Richards")</f>
        <v>Laura Richards</v>
      </c>
      <c r="M51" s="49" t="str">
        <f ca="1">IFERROR(__xludf.DUMMYFUNCTION("QUERY('Volunteer Survey'!E56)"),"lauram.richards@mail.utoronto.ca")</f>
        <v>lauram.richards@mail.utoronto.ca</v>
      </c>
      <c r="N51" s="49" t="str">
        <f ca="1">IFERROR(__xludf.DUMMYFUNCTION("QUERY('Volunteer Survey'!F56)"),"Graduate Student")</f>
        <v>Graduate Student</v>
      </c>
      <c r="O51" s="42" t="str">
        <f ca="1">IFERROR(__xludf.DUMMYFUNCTION("QUERY('Volunteer Survey'!H56)"),"Comprehensive")</f>
        <v>Comprehensive</v>
      </c>
      <c r="P51" s="49" t="str">
        <f ca="1">IFERROR(__xludf.DUMMYFUNCTION("QUERY('Volunteer Survey'!I56)"),"Somatic Cancer")</f>
        <v>Somatic Cancer</v>
      </c>
      <c r="Q51" s="54" t="str">
        <f ca="1">IFERROR(__xludf.DUMMYFUNCTION("QUERY('Volunteer Survey'!J56)"),"Clinical Actionability")</f>
        <v>Clinical Actionability</v>
      </c>
      <c r="R51" s="49" t="str">
        <f ca="1">IFERROR(__xludf.DUMMYFUNCTION("QUERY('Volunteer Survey'!K56)"),"Variant Pathogenicity")</f>
        <v>Variant Pathogenicity</v>
      </c>
      <c r="S51" s="49" t="str">
        <f ca="1">IFERROR(__xludf.DUMMYFUNCTION("QUERY('Volunteer Survey'!L56)"),"Gene-Disease Validity")</f>
        <v>Gene-Disease Validity</v>
      </c>
      <c r="T51" s="49" t="str">
        <f ca="1">IFERROR(__xludf.DUMMYFUNCTION("QUERY('Volunteer Survey'!M56)"),"Dosage Sensitivity")</f>
        <v>Dosage Sensitivity</v>
      </c>
      <c r="U51" s="58" t="str">
        <f ca="1">IFERROR(__xludf.DUMMYFUNCTION("QUERY('Volunteer Survey'!N56)"),"yes")</f>
        <v>yes</v>
      </c>
      <c r="V51" s="49" t="str">
        <f ca="1">IFERROR(__xludf.DUMMYFUNCTION("QUERY('Volunteer Survey'!O56)"),"Yes")</f>
        <v>Yes</v>
      </c>
      <c r="W51" s="60" t="str">
        <f ca="1">IFERROR(__xludf.DUMMYFUNCTION("QUERY('Volunteer Survey'!P56)"),"All expert panels in Hereditary Cancer CDWG")</f>
        <v>All expert panels in Hereditary Cancer CDWG</v>
      </c>
      <c r="X51" s="58" t="str">
        <f ca="1">IFERROR(__xludf.DUMMYFUNCTION("QUERY('Volunteer Survey'!R56)"),"Yes- I am willing to volunteer with any available ClinGen group")</f>
        <v>Yes- I am willing to volunteer with any available ClinGen group</v>
      </c>
      <c r="Y51" s="86" t="s">
        <v>328</v>
      </c>
      <c r="Z51" s="174">
        <f ca="1">IFERROR(__xludf.DUMMYFUNCTION("QUERY('Volunteer Survey'!A50)"),43417.6121643518)</f>
        <v>43417.612164351798</v>
      </c>
      <c r="AA51" s="175" t="str">
        <f ca="1">IFERROR(__xludf.DUMMYFUNCTION("QUERY('Volunteer Survey'!B50)"),"Coumarane Mani")</f>
        <v>Coumarane Mani</v>
      </c>
      <c r="AB51" s="175" t="str">
        <f ca="1">IFERROR(__xludf.DUMMYFUNCTION("QUERY('Volunteer Survey'!C50)"),"ARUP Laboratories")</f>
        <v>ARUP Laboratories</v>
      </c>
      <c r="AC51" s="175" t="str">
        <f ca="1">IFERROR(__xludf.DUMMYFUNCTION("QUERY('Volunteer Survey'!D50)"),"SLC, Utah")</f>
        <v>SLC, Utah</v>
      </c>
      <c r="AD51" s="175" t="str">
        <f ca="1">IFERROR(__xludf.DUMMYFUNCTION("QUERY('Volunteer Survey'!E50)"),"coumarane.mani@aruplab.com")</f>
        <v>coumarane.mani@aruplab.com</v>
      </c>
      <c r="AE51" s="175" t="str">
        <f ca="1">IFERROR(__xludf.DUMMYFUNCTION("QUERY('Volunteer Survey'!F50)"),"Variant Analyst/Scientist")</f>
        <v>Variant Analyst/Scientist</v>
      </c>
      <c r="AF51" s="175" t="str">
        <f ca="1">IFERROR(__xludf.DUMMYFUNCTION("QUERY('Volunteer Survey'!G50)"),"1. Somatic/Germline Variant Curation Group 2. Myeloid Malignancy Variant Curation Expert Panel")</f>
        <v>1. Somatic/Germline Variant Curation Group 2. Myeloid Malignancy Variant Curation Expert Panel</v>
      </c>
      <c r="AG51" s="175" t="str">
        <f ca="1">IFERROR(__xludf.DUMMYFUNCTION("QUERY('Volunteer Survey'!H50)"),"Comprehensive")</f>
        <v>Comprehensive</v>
      </c>
      <c r="AH51" s="175" t="str">
        <f ca="1">IFERROR(__xludf.DUMMYFUNCTION("QUERY('Volunteer Survey'!I50)"),"Dosage Sensitivity")</f>
        <v>Dosage Sensitivity</v>
      </c>
      <c r="AI51" s="175" t="str">
        <f ca="1">IFERROR(__xludf.DUMMYFUNCTION("QUERY('Volunteer Survey'!J50)"),"")</f>
        <v/>
      </c>
      <c r="AJ51" s="175" t="str">
        <f ca="1">IFERROR(__xludf.DUMMYFUNCTION("QUERY('Volunteer Survey'!K50)"),"")</f>
        <v/>
      </c>
      <c r="AK51" s="175" t="str">
        <f ca="1">IFERROR(__xludf.DUMMYFUNCTION("QUERY('Volunteer Survey'!L50)"),"")</f>
        <v/>
      </c>
      <c r="AL51" s="175" t="str">
        <f ca="1">IFERROR(__xludf.DUMMYFUNCTION("QUERY('Volunteer Survey'!M50)"),"")</f>
        <v/>
      </c>
      <c r="AM51" s="175" t="str">
        <f ca="1">IFERROR(__xludf.DUMMYFUNCTION("QUERY('Volunteer Survey'!N50)"),"Yes")</f>
        <v>Yes</v>
      </c>
      <c r="AN51" s="175" t="str">
        <f ca="1">IFERROR(__xludf.DUMMYFUNCTION("QUERY('Volunteer Survey'!O50)"),"")</f>
        <v/>
      </c>
      <c r="AO51" s="175" t="str">
        <f ca="1">IFERROR(__xludf.DUMMYFUNCTION("QUERY('Volunteer Survey'!P50)"),"1. Somatic/Germline Variant Curation Group 2. Myeloid Malignancy Variant Curation Expert Panel")</f>
        <v>1. Somatic/Germline Variant Curation Group 2. Myeloid Malignancy Variant Curation Expert Panel</v>
      </c>
    </row>
    <row r="52" spans="1:41" ht="14">
      <c r="A52" s="44">
        <f ca="1">IFERROR(__xludf.DUMMYFUNCTION("QUERY('Volunteer Survey'!A57)"),43370.4042013888)</f>
        <v>43370.404201388803</v>
      </c>
      <c r="B52" s="42" t="s">
        <v>168</v>
      </c>
      <c r="C52" s="81">
        <v>43411</v>
      </c>
      <c r="D52" s="43"/>
      <c r="E52" s="42" t="s">
        <v>130</v>
      </c>
      <c r="F52" s="42" t="s">
        <v>130</v>
      </c>
      <c r="G52" s="42" t="s">
        <v>136</v>
      </c>
      <c r="H52" s="47"/>
      <c r="I52" s="45" t="s">
        <v>139</v>
      </c>
      <c r="J52" s="49"/>
      <c r="K52" s="49"/>
      <c r="L52" s="49" t="str">
        <f ca="1">IFERROR(__xludf.DUMMYFUNCTION("QUERY('Volunteer Survey'!B57)"),"Aysegul Ozanturk")</f>
        <v>Aysegul Ozanturk</v>
      </c>
      <c r="M52" s="49" t="str">
        <f ca="1">IFERROR(__xludf.DUMMYFUNCTION("QUERY('Volunteer Survey'!E57)"),"aozanturk@gmail.com")</f>
        <v>aozanturk@gmail.com</v>
      </c>
      <c r="N52" s="49" t="str">
        <f ca="1">IFERROR(__xludf.DUMMYFUNCTION("QUERY('Volunteer Survey'!F57)"),"Scientific Researcher, Variant Analyst/Scientist")</f>
        <v>Scientific Researcher, Variant Analyst/Scientist</v>
      </c>
      <c r="O52" s="42" t="str">
        <f ca="1">IFERROR(__xludf.DUMMYFUNCTION("QUERY('Volunteer Survey'!H57)"),"Comprehensive")</f>
        <v>Comprehensive</v>
      </c>
      <c r="P52" s="49" t="str">
        <f ca="1">IFERROR(__xludf.DUMMYFUNCTION("QUERY('Volunteer Survey'!I57)"),"Somatic Cancer")</f>
        <v>Somatic Cancer</v>
      </c>
      <c r="Q52" s="54" t="str">
        <f ca="1">IFERROR(__xludf.DUMMYFUNCTION("QUERY('Volunteer Survey'!J57)"),"Dosage Sensitivity")</f>
        <v>Dosage Sensitivity</v>
      </c>
      <c r="R52" s="49" t="str">
        <f ca="1">IFERROR(__xludf.DUMMYFUNCTION("QUERY('Volunteer Survey'!K57)"),"Clinical Actionability")</f>
        <v>Clinical Actionability</v>
      </c>
      <c r="S52" s="49" t="str">
        <f ca="1">IFERROR(__xludf.DUMMYFUNCTION("QUERY('Volunteer Survey'!L57)"),"")</f>
        <v/>
      </c>
      <c r="T52" s="49" t="str">
        <f ca="1">IFERROR(__xludf.DUMMYFUNCTION("QUERY('Volunteer Survey'!M57)"),"")</f>
        <v/>
      </c>
      <c r="U52" s="58" t="str">
        <f ca="1">IFERROR(__xludf.DUMMYFUNCTION("QUERY('Volunteer Survey'!N57)"),"yes")</f>
        <v>yes</v>
      </c>
      <c r="V52" s="49" t="str">
        <f ca="1">IFERROR(__xludf.DUMMYFUNCTION("QUERY('Volunteer Survey'!O57)"),"Possibly")</f>
        <v>Possibly</v>
      </c>
      <c r="W52" s="60" t="str">
        <f ca="1">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c r="X52" s="58" t="str">
        <f ca="1">IFERROR(__xludf.DUMMYFUNCTION("QUERY('Volunteer Survey'!R57)"),"Yes- I am willing to volunteer with any available ClinGen group")</f>
        <v>Yes- I am willing to volunteer with any available ClinGen group</v>
      </c>
      <c r="Y52" s="47"/>
      <c r="Z52" s="174">
        <f ca="1">IFERROR(__xludf.DUMMYFUNCTION("QUERY('Volunteer Survey'!A51)"),43438.613125)</f>
        <v>43438.613125000003</v>
      </c>
      <c r="AA52" s="175" t="str">
        <f ca="1">IFERROR(__xludf.DUMMYFUNCTION("QUERY('Volunteer Survey'!B51)"),"Mahesh Iddawela")</f>
        <v>Mahesh Iddawela</v>
      </c>
      <c r="AB52" s="175" t="str">
        <f ca="1">IFERROR(__xludf.DUMMYFUNCTION("QUERY('Volunteer Survey'!C51)"),"Monash University")</f>
        <v>Monash University</v>
      </c>
      <c r="AC52" s="175" t="str">
        <f ca="1">IFERROR(__xludf.DUMMYFUNCTION("QUERY('Volunteer Survey'!D51)"),"Victoria, Australia")</f>
        <v>Victoria, Australia</v>
      </c>
      <c r="AD52" s="175" t="str">
        <f ca="1">IFERROR(__xludf.DUMMYFUNCTION("QUERY('Volunteer Survey'!E51)"),"mahesh.iddawela@monash.edu")</f>
        <v>mahesh.iddawela@monash.edu</v>
      </c>
      <c r="AE52" s="175" t="str">
        <f ca="1">IFERROR(__xludf.DUMMYFUNCTION("QUERY('Volunteer Survey'!F51)"),"Clinician Scientist Medical Oncology")</f>
        <v>Clinician Scientist Medical Oncology</v>
      </c>
      <c r="AF52" s="175" t="str">
        <f ca="1">IFERROR(__xludf.DUMMYFUNCTION("QUERY('Volunteer Survey'!G51)"),"Somatic Cancer (TP53), Breast/Ovarian cancer")</f>
        <v>Somatic Cancer (TP53), Breast/Ovarian cancer</v>
      </c>
      <c r="AG52" s="175" t="str">
        <f ca="1">IFERROR(__xludf.DUMMYFUNCTION("QUERY('Volunteer Survey'!H51)"),"Comprehensive")</f>
        <v>Comprehensive</v>
      </c>
      <c r="AH52" s="175" t="str">
        <f ca="1">IFERROR(__xludf.DUMMYFUNCTION("QUERY('Volunteer Survey'!I51)"),"Dosage Sensitivity")</f>
        <v>Dosage Sensitivity</v>
      </c>
      <c r="AI52" s="175" t="str">
        <f ca="1">IFERROR(__xludf.DUMMYFUNCTION("QUERY('Volunteer Survey'!J51)"),"")</f>
        <v/>
      </c>
      <c r="AJ52" s="175" t="str">
        <f ca="1">IFERROR(__xludf.DUMMYFUNCTION("QUERY('Volunteer Survey'!K51)"),"")</f>
        <v/>
      </c>
      <c r="AK52" s="175" t="str">
        <f ca="1">IFERROR(__xludf.DUMMYFUNCTION("QUERY('Volunteer Survey'!L51)"),"")</f>
        <v/>
      </c>
      <c r="AL52" s="175" t="str">
        <f ca="1">IFERROR(__xludf.DUMMYFUNCTION("QUERY('Volunteer Survey'!M51)"),"")</f>
        <v/>
      </c>
      <c r="AM52" s="175" t="str">
        <f ca="1">IFERROR(__xludf.DUMMYFUNCTION("QUERY('Volunteer Survey'!N51)"),"No")</f>
        <v>No</v>
      </c>
      <c r="AN52" s="175" t="str">
        <f ca="1">IFERROR(__xludf.DUMMYFUNCTION("QUERY('Volunteer Survey'!O51)"),"")</f>
        <v/>
      </c>
      <c r="AO52" s="175" t="str">
        <f ca="1">IFERROR(__xludf.DUMMYFUNCTION("QUERY('Volunteer Survey'!P51)"),"Somatic Cancer (TP53), Breast/Ovarian cancer")</f>
        <v>Somatic Cancer (TP53), Breast/Ovarian cancer</v>
      </c>
    </row>
    <row r="53" spans="1:41" ht="28">
      <c r="A53" s="44">
        <f ca="1">IFERROR(__xludf.DUMMYFUNCTION("QUERY('Volunteer Survey'!A58)"),43382.4137731481)</f>
        <v>43382.413773148102</v>
      </c>
      <c r="B53" s="42" t="s">
        <v>125</v>
      </c>
      <c r="C53" s="81">
        <v>43411</v>
      </c>
      <c r="D53" s="43">
        <v>43476</v>
      </c>
      <c r="E53" s="42" t="s">
        <v>117</v>
      </c>
      <c r="F53" s="42" t="s">
        <v>130</v>
      </c>
      <c r="G53" s="42" t="s">
        <v>136</v>
      </c>
      <c r="H53" s="45" t="s">
        <v>296</v>
      </c>
      <c r="I53" s="45" t="s">
        <v>139</v>
      </c>
      <c r="J53" s="50">
        <v>43592</v>
      </c>
      <c r="K53" s="42" t="s">
        <v>300</v>
      </c>
      <c r="L53" s="49" t="str">
        <f ca="1">IFERROR(__xludf.DUMMYFUNCTION("QUERY('Volunteer Survey'!B58)"),"Kaylee Barber")</f>
        <v>Kaylee Barber</v>
      </c>
      <c r="M53" s="49" t="str">
        <f ca="1">IFERROR(__xludf.DUMMYFUNCTION("QUERY('Volunteer Survey'!E58)"),"kbarber@bioreference.com")</f>
        <v>kbarber@bioreference.com</v>
      </c>
      <c r="N53" s="49" t="str">
        <f ca="1">IFERROR(__xludf.DUMMYFUNCTION("QUERY('Volunteer Survey'!F58)"),"Genetic counselor")</f>
        <v>Genetic counselor</v>
      </c>
      <c r="O53" s="42" t="str">
        <f ca="1">IFERROR(__xludf.DUMMYFUNCTION("QUERY('Volunteer Survey'!H58)"),"Comprehensive")</f>
        <v>Comprehensive</v>
      </c>
      <c r="P53" s="49" t="str">
        <f ca="1">IFERROR(__xludf.DUMMYFUNCTION("QUERY('Volunteer Survey'!I58)"),"Somatic Cancer")</f>
        <v>Somatic Cancer</v>
      </c>
      <c r="Q53" s="54" t="str">
        <f ca="1">IFERROR(__xludf.DUMMYFUNCTION("QUERY('Volunteer Survey'!J58)"),"Clinical Actionability")</f>
        <v>Clinical Actionability</v>
      </c>
      <c r="R53" s="49" t="str">
        <f ca="1">IFERROR(__xludf.DUMMYFUNCTION("QUERY('Volunteer Survey'!K58)"),"Gene-Disease Validity")</f>
        <v>Gene-Disease Validity</v>
      </c>
      <c r="S53" s="49" t="str">
        <f ca="1">IFERROR(__xludf.DUMMYFUNCTION("QUERY('Volunteer Survey'!L58)"),"")</f>
        <v/>
      </c>
      <c r="T53" s="49" t="str">
        <f ca="1">IFERROR(__xludf.DUMMYFUNCTION("QUERY('Volunteer Survey'!M58)"),"")</f>
        <v/>
      </c>
      <c r="U53" s="58" t="str">
        <f ca="1">IFERROR(__xludf.DUMMYFUNCTION("QUERY('Volunteer Survey'!N58)"),"yes")</f>
        <v>yes</v>
      </c>
      <c r="V53" s="49" t="str">
        <f ca="1">IFERROR(__xludf.DUMMYFUNCTION("QUERY('Volunteer Survey'!O58)"),"Possibly")</f>
        <v>Possibly</v>
      </c>
      <c r="W53" s="60" t="str">
        <f ca="1">IFERROR(__xludf.DUMMYFUNCTION("QUERY('Volunteer Survey'!P58)"),"Somatic Cancer Working Group, Somatic/Germline Variant Curation Group")</f>
        <v>Somatic Cancer Working Group, Somatic/Germline Variant Curation Group</v>
      </c>
      <c r="X53" s="58" t="str">
        <f ca="1">IFERROR(__xludf.DUMMYFUNCTION("QUERY('Volunteer Survey'!R58)"),"No - I am only interested in the group(s) I previously indicated")</f>
        <v>No - I am only interested in the group(s) I previously indicated</v>
      </c>
      <c r="Y53" s="86" t="s">
        <v>318</v>
      </c>
      <c r="Z53" s="174">
        <f ca="1">IFERROR(__xludf.DUMMYFUNCTION("QUERY('Volunteer Survey'!A52)"),43440.6138657407)</f>
        <v>43440.613865740699</v>
      </c>
      <c r="AA53" s="175" t="str">
        <f ca="1">IFERROR(__xludf.DUMMYFUNCTION("QUERY('Volunteer Survey'!B52)"),"Diogo Ventura Lovato")</f>
        <v>Diogo Ventura Lovato</v>
      </c>
      <c r="AB53" s="175" t="str">
        <f ca="1">IFERROR(__xludf.DUMMYFUNCTION("QUERY('Volunteer Survey'!C52)"),"Tismoo Biotech")</f>
        <v>Tismoo Biotech</v>
      </c>
      <c r="AC53" s="175" t="str">
        <f ca="1">IFERROR(__xludf.DUMMYFUNCTION("QUERY('Volunteer Survey'!D52)"),"Brazil")</f>
        <v>Brazil</v>
      </c>
      <c r="AD53" s="175" t="str">
        <f ca="1">IFERROR(__xludf.DUMMYFUNCTION("QUERY('Volunteer Survey'!E52)"),"diogo.v.lovato@gmail.com")</f>
        <v>diogo.v.lovato@gmail.com</v>
      </c>
      <c r="AE53" s="175" t="str">
        <f ca="1">IFERROR(__xludf.DUMMYFUNCTION("QUERY('Volunteer Survey'!F52)"),"Clinical laboratory geneticist, Scientific Researcher, Biocurator, Variant Analyst/Scientist")</f>
        <v>Clinical laboratory geneticist, Scientific Researcher, Biocurator, Variant Analyst/Scientist</v>
      </c>
      <c r="AF53" s="175" t="str">
        <f ca="1">IFERROR(__xludf.DUMMYFUNCTION("QUERY('Volunteer Survey'!G52)"),"Autism and Intellectual Disability, Epilepsy")</f>
        <v>Autism and Intellectual Disability, Epilepsy</v>
      </c>
      <c r="AG53" s="175" t="str">
        <f ca="1">IFERROR(__xludf.DUMMYFUNCTION("QUERY('Volunteer Survey'!H52)"),"Comprehensive")</f>
        <v>Comprehensive</v>
      </c>
      <c r="AH53" s="175" t="str">
        <f ca="1">IFERROR(__xludf.DUMMYFUNCTION("QUERY('Volunteer Survey'!I52)"),"Dosage Sensitivity")</f>
        <v>Dosage Sensitivity</v>
      </c>
      <c r="AI53" s="175" t="str">
        <f ca="1">IFERROR(__xludf.DUMMYFUNCTION("QUERY('Volunteer Survey'!J52)"),"")</f>
        <v/>
      </c>
      <c r="AJ53" s="175" t="str">
        <f ca="1">IFERROR(__xludf.DUMMYFUNCTION("QUERY('Volunteer Survey'!K52)"),"")</f>
        <v/>
      </c>
      <c r="AK53" s="175" t="str">
        <f ca="1">IFERROR(__xludf.DUMMYFUNCTION("QUERY('Volunteer Survey'!L52)"),"")</f>
        <v/>
      </c>
      <c r="AL53" s="175" t="str">
        <f ca="1">IFERROR(__xludf.DUMMYFUNCTION("QUERY('Volunteer Survey'!M52)"),"")</f>
        <v/>
      </c>
      <c r="AM53" s="175" t="str">
        <f ca="1">IFERROR(__xludf.DUMMYFUNCTION("QUERY('Volunteer Survey'!N52)"),"Yes")</f>
        <v>Yes</v>
      </c>
      <c r="AN53" s="175" t="str">
        <f ca="1">IFERROR(__xludf.DUMMYFUNCTION("QUERY('Volunteer Survey'!O52)"),"")</f>
        <v/>
      </c>
      <c r="AO53" s="175" t="str">
        <f ca="1">IFERROR(__xludf.DUMMYFUNCTION("QUERY('Volunteer Survey'!P52)"),"Autism and Intellectual Disability, Epilepsy")</f>
        <v>Autism and Intellectual Disability, Epilepsy</v>
      </c>
    </row>
    <row r="54" spans="1:41" ht="42">
      <c r="A54" s="44">
        <f ca="1">IFERROR(__xludf.DUMMYFUNCTION("QUERY('Volunteer Survey'!A59)"),43395.4167361111)</f>
        <v>43395.416736111103</v>
      </c>
      <c r="B54" s="42" t="s">
        <v>160</v>
      </c>
      <c r="C54" s="81">
        <v>43411</v>
      </c>
      <c r="D54" s="43">
        <v>43476</v>
      </c>
      <c r="E54" s="42" t="s">
        <v>117</v>
      </c>
      <c r="F54" s="42" t="s">
        <v>130</v>
      </c>
      <c r="G54" s="42" t="s">
        <v>136</v>
      </c>
      <c r="H54" s="45" t="s">
        <v>298</v>
      </c>
      <c r="I54" s="45" t="s">
        <v>139</v>
      </c>
      <c r="J54" s="50">
        <v>43592</v>
      </c>
      <c r="K54" s="50">
        <v>43713</v>
      </c>
      <c r="L54" s="49" t="str">
        <f ca="1">IFERROR(__xludf.DUMMYFUNCTION("QUERY('Volunteer Survey'!B59)"),"Wan-Hsin Lin")</f>
        <v>Wan-Hsin Lin</v>
      </c>
      <c r="M54" s="49" t="str">
        <f ca="1">IFERROR(__xludf.DUMMYFUNCTION("QUERY('Volunteer Survey'!E59)"),"lin.wanhsin@mayo.edu")</f>
        <v>lin.wanhsin@mayo.edu</v>
      </c>
      <c r="N54" s="49" t="str">
        <f ca="1">IFERROR(__xludf.DUMMYFUNCTION("QUERY('Volunteer Survey'!F59)"),"Post Doc/Resident/Fellow (MD and/or PhD)")</f>
        <v>Post Doc/Resident/Fellow (MD and/or PhD)</v>
      </c>
      <c r="O54" s="42" t="str">
        <f ca="1">IFERROR(__xludf.DUMMYFUNCTION("QUERY('Volunteer Survey'!H59)"),"Comprehensive")</f>
        <v>Comprehensive</v>
      </c>
      <c r="P54" s="49" t="str">
        <f ca="1">IFERROR(__xludf.DUMMYFUNCTION("QUERY('Volunteer Survey'!I59)"),"Somatic Cancer")</f>
        <v>Somatic Cancer</v>
      </c>
      <c r="Q54" s="54" t="str">
        <f ca="1">IFERROR(__xludf.DUMMYFUNCTION("QUERY('Volunteer Survey'!J59)"),"Variant Pathogenicity")</f>
        <v>Variant Pathogenicity</v>
      </c>
      <c r="R54" s="49" t="str">
        <f ca="1">IFERROR(__xludf.DUMMYFUNCTION("QUERY('Volunteer Survey'!K59)"),"Clinical Actionability")</f>
        <v>Clinical Actionability</v>
      </c>
      <c r="S54" s="49" t="str">
        <f ca="1">IFERROR(__xludf.DUMMYFUNCTION("QUERY('Volunteer Survey'!L59)"),"Gene-Disease Validity")</f>
        <v>Gene-Disease Validity</v>
      </c>
      <c r="T54" s="49" t="str">
        <f ca="1">IFERROR(__xludf.DUMMYFUNCTION("QUERY('Volunteer Survey'!M59)"),"")</f>
        <v/>
      </c>
      <c r="U54" s="58" t="str">
        <f ca="1">IFERROR(__xludf.DUMMYFUNCTION("QUERY('Volunteer Survey'!N59)"),"no")</f>
        <v>no</v>
      </c>
      <c r="V54" s="49" t="str">
        <f ca="1">IFERROR(__xludf.DUMMYFUNCTION("QUERY('Volunteer Survey'!O59)"),"Possibly")</f>
        <v>Possibly</v>
      </c>
      <c r="W54" s="60" t="str">
        <f ca="1">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c r="X54" s="58" t="str">
        <f ca="1">IFERROR(__xludf.DUMMYFUNCTION("QUERY('Volunteer Survey'!R59)"),"Maybe -- please contact me with other options, and I will decide based on what is available")</f>
        <v>Maybe -- please contact me with other options, and I will decide based on what is available</v>
      </c>
      <c r="Y54" s="47"/>
      <c r="Z54" s="174">
        <f ca="1">IFERROR(__xludf.DUMMYFUNCTION("QUERY('Volunteer Survey'!A53)"),43369.7964236111)</f>
        <v>43369.7964236111</v>
      </c>
      <c r="AA54" s="175" t="str">
        <f ca="1">IFERROR(__xludf.DUMMYFUNCTION("QUERY('Volunteer Survey'!B53)"),"Rhonda N.T. Lassiter, PhD")</f>
        <v>Rhonda N.T. Lassiter, PhD</v>
      </c>
      <c r="AB54" s="175" t="str">
        <f ca="1">IFERROR(__xludf.DUMMYFUNCTION("QUERY('Volunteer Survey'!C53)"),"Ambry Genetics")</f>
        <v>Ambry Genetics</v>
      </c>
      <c r="AC54" s="175" t="str">
        <f ca="1">IFERROR(__xludf.DUMMYFUNCTION("QUERY('Volunteer Survey'!D53)"),"15 Argonaut, CA")</f>
        <v>15 Argonaut, CA</v>
      </c>
      <c r="AD54" s="175" t="str">
        <f ca="1">IFERROR(__xludf.DUMMYFUNCTION("QUERY('Volunteer Survey'!E53)"),"rlassiter@ambrygen.com")</f>
        <v>rlassiter@ambrygen.com</v>
      </c>
      <c r="AE54" s="175" t="str">
        <f ca="1">IFERROR(__xludf.DUMMYFUNCTION("QUERY('Volunteer Survey'!F53)"),"Variant Analyst/Scientist")</f>
        <v>Variant Analyst/Scientist</v>
      </c>
      <c r="AF54" s="175" t="str">
        <f ca="1">IFERROR(__xludf.DUMMYFUNCTION("QUERY('Volunteer Survey'!G53)"),"I currently use ClinGen as a significant resource and would like to contribute to the progress of gene and variant curation. I am interested in Neurogenetics.")</f>
        <v>I currently use ClinGen as a significant resource and would like to contribute to the progress of gene and variant curation. I am interested in Neurogenetics.</v>
      </c>
      <c r="AG54" s="175" t="str">
        <f ca="1">IFERROR(__xludf.DUMMYFUNCTION("QUERY('Volunteer Survey'!H53)"),"Comprehensive")</f>
        <v>Comprehensive</v>
      </c>
      <c r="AH54" s="175" t="str">
        <f ca="1">IFERROR(__xludf.DUMMYFUNCTION("QUERY('Volunteer Survey'!I53)"),"Variant Pathogenicity")</f>
        <v>Variant Pathogenicity</v>
      </c>
      <c r="AI54" s="175" t="str">
        <f ca="1">IFERROR(__xludf.DUMMYFUNCTION("QUERY('Volunteer Survey'!J53)"),"Gene-Disease Validity")</f>
        <v>Gene-Disease Validity</v>
      </c>
      <c r="AJ54" s="175" t="str">
        <f ca="1">IFERROR(__xludf.DUMMYFUNCTION("QUERY('Volunteer Survey'!K53)"),"Dosage Sensitivity")</f>
        <v>Dosage Sensitivity</v>
      </c>
      <c r="AK54" s="175" t="str">
        <f ca="1">IFERROR(__xludf.DUMMYFUNCTION("QUERY('Volunteer Survey'!L53)"),"Somatic Cancer")</f>
        <v>Somatic Cancer</v>
      </c>
      <c r="AL54" s="175" t="str">
        <f ca="1">IFERROR(__xludf.DUMMYFUNCTION("QUERY('Volunteer Survey'!M53)"),"Clinical Actionability")</f>
        <v>Clinical Actionability</v>
      </c>
      <c r="AM54" s="175" t="str">
        <f ca="1">IFERROR(__xludf.DUMMYFUNCTION("QUERY('Volunteer Survey'!N53)"),"Yes, I am employed as a Variant Scientist. I work on variant and gene curation for neurology panels and exome. ")</f>
        <v xml:space="preserve">Yes, I am employed as a Variant Scientist. I work on variant and gene curation for neurology panels and exome. </v>
      </c>
      <c r="AN54" s="175" t="str">
        <f ca="1">IFERROR(__xludf.DUMMYFUNCTION("QUERY('Volunteer Survey'!O53)"),"Yes")</f>
        <v>Yes</v>
      </c>
      <c r="AO54" s="175" t="str">
        <f ca="1">IFERROR(__xludf.DUMMYFUNCTION("QUERY('Volunteer Survey'!P53)"),"Autism and ID, Epilepsy, RASopathy, Pediatric, Neurodevelopmental")</f>
        <v>Autism and ID, Epilepsy, RASopathy, Pediatric, Neurodevelopmental</v>
      </c>
    </row>
    <row r="55" spans="1:41" ht="20.25" customHeight="1">
      <c r="A55" s="44">
        <f ca="1">IFERROR(__xludf.DUMMYFUNCTION("QUERY('Volunteer Survey'!A60)"),43398.4188425926)</f>
        <v>43398.418842592597</v>
      </c>
      <c r="B55" s="42" t="s">
        <v>168</v>
      </c>
      <c r="C55" s="81">
        <v>43411</v>
      </c>
      <c r="D55" s="43">
        <v>43476</v>
      </c>
      <c r="E55" s="42" t="s">
        <v>117</v>
      </c>
      <c r="F55" s="42" t="s">
        <v>130</v>
      </c>
      <c r="G55" s="42" t="s">
        <v>136</v>
      </c>
      <c r="H55" s="45" t="s">
        <v>297</v>
      </c>
      <c r="I55" s="45" t="s">
        <v>139</v>
      </c>
      <c r="J55" s="50">
        <v>43592</v>
      </c>
      <c r="K55" s="50">
        <v>43713</v>
      </c>
      <c r="L55" s="49" t="str">
        <f ca="1">IFERROR(__xludf.DUMMYFUNCTION("QUERY('Volunteer Survey'!B60)"),"Stefan Rentas")</f>
        <v>Stefan Rentas</v>
      </c>
      <c r="M55" s="49" t="str">
        <f ca="1">IFERROR(__xludf.DUMMYFUNCTION("QUERY('Volunteer Survey'!E60)"),"rentass@email.chop.edu")</f>
        <v>rentass@email.chop.edu</v>
      </c>
      <c r="N55" s="49" t="str">
        <f ca="1">IFERROR(__xludf.DUMMYFUNCTION("QUERY('Volunteer Survey'!F60)"),"Post Doc/Resident/Fellow (MD and/or PhD)")</f>
        <v>Post Doc/Resident/Fellow (MD and/or PhD)</v>
      </c>
      <c r="O55" s="42" t="str">
        <f ca="1">IFERROR(__xludf.DUMMYFUNCTION("QUERY('Volunteer Survey'!H60)"),"Comprehensive")</f>
        <v>Comprehensive</v>
      </c>
      <c r="P55" s="49" t="str">
        <f ca="1">IFERROR(__xludf.DUMMYFUNCTION("QUERY('Volunteer Survey'!I60)"),"Somatic Cancer")</f>
        <v>Somatic Cancer</v>
      </c>
      <c r="Q55" s="54" t="str">
        <f ca="1">IFERROR(__xludf.DUMMYFUNCTION("QUERY('Volunteer Survey'!J60)"),"Dosage Sensitivity")</f>
        <v>Dosage Sensitivity</v>
      </c>
      <c r="R55" s="49" t="str">
        <f ca="1">IFERROR(__xludf.DUMMYFUNCTION("QUERY('Volunteer Survey'!K60)"),"Gene-Disease Validity")</f>
        <v>Gene-Disease Validity</v>
      </c>
      <c r="S55" s="49" t="str">
        <f ca="1">IFERROR(__xludf.DUMMYFUNCTION("QUERY('Volunteer Survey'!L60)"),"Variant Pathogenicity")</f>
        <v>Variant Pathogenicity</v>
      </c>
      <c r="T55" s="49" t="str">
        <f ca="1">IFERROR(__xludf.DUMMYFUNCTION("QUERY('Volunteer Survey'!M60)"),"Clinical Actionability")</f>
        <v>Clinical Actionability</v>
      </c>
      <c r="U55" s="58" t="str">
        <f ca="1">IFERROR(__xludf.DUMMYFUNCTION("QUERY('Volunteer Survey'!N60)"),"yes")</f>
        <v>yes</v>
      </c>
      <c r="V55" s="49" t="str">
        <f ca="1">IFERROR(__xludf.DUMMYFUNCTION("QUERY('Volunteer Survey'!O60)"),"Possibly")</f>
        <v>Possibly</v>
      </c>
      <c r="W55" s="60" t="str">
        <f ca="1">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c r="X55" s="58" t="str">
        <f ca="1">IFERROR(__xludf.DUMMYFUNCTION("QUERY('Volunteer Survey'!R60)"),"Maybe -- please contact me with other options, and I will decide based on what is available")</f>
        <v>Maybe -- please contact me with other options, and I will decide based on what is available</v>
      </c>
      <c r="Y55" s="86" t="s">
        <v>328</v>
      </c>
      <c r="Z55" s="174">
        <f ca="1">IFERROR(__xludf.DUMMYFUNCTION("QUERY('Volunteer Survey'!A54)"),43343.3983217592)</f>
        <v>43343.398321759203</v>
      </c>
      <c r="AA55" s="175" t="str">
        <f ca="1">IFERROR(__xludf.DUMMYFUNCTION("QUERY('Volunteer Survey'!B54)"),"Sameeha Shirwadkar")</f>
        <v>Sameeha Shirwadkar</v>
      </c>
      <c r="AB55" s="175" t="str">
        <f ca="1">IFERROR(__xludf.DUMMYFUNCTION("QUERY('Volunteer Survey'!C54)"),"NA")</f>
        <v>NA</v>
      </c>
      <c r="AC55" s="175" t="str">
        <f ca="1">IFERROR(__xludf.DUMMYFUNCTION("QUERY('Volunteer Survey'!D54)"),"India")</f>
        <v>India</v>
      </c>
      <c r="AD55" s="175" t="str">
        <f ca="1">IFERROR(__xludf.DUMMYFUNCTION("QUERY('Volunteer Survey'!E54)"),"sameeha9@gmail.com")</f>
        <v>sameeha9@gmail.com</v>
      </c>
      <c r="AE55" s="175" t="str">
        <f ca="1">IFERROR(__xludf.DUMMYFUNCTION("QUERY('Volunteer Survey'!F54)"),"Biocurator and Variant Analyst Scientist")</f>
        <v>Biocurator and Variant Analyst Scientist</v>
      </c>
      <c r="AF55" s="175" t="str">
        <f ca="1">IFERROR(__xludf.DUMMYFUNCTION("QUERY('Volunteer Survey'!G54)"),"NA")</f>
        <v>NA</v>
      </c>
      <c r="AG55" s="175" t="str">
        <f ca="1">IFERROR(__xludf.DUMMYFUNCTION("QUERY('Volunteer Survey'!H54)"),"Comprehensive")</f>
        <v>Comprehensive</v>
      </c>
      <c r="AH55" s="175" t="str">
        <f ca="1">IFERROR(__xludf.DUMMYFUNCTION("QUERY('Volunteer Survey'!I54)"),"Somatic Cancer")</f>
        <v>Somatic Cancer</v>
      </c>
      <c r="AI55" s="175" t="str">
        <f ca="1">IFERROR(__xludf.DUMMYFUNCTION("QUERY('Volunteer Survey'!J54)"),"Clinical Actionability")</f>
        <v>Clinical Actionability</v>
      </c>
      <c r="AJ55" s="175" t="str">
        <f ca="1">IFERROR(__xludf.DUMMYFUNCTION("QUERY('Volunteer Survey'!K54)"),"Variant Pathogenicity")</f>
        <v>Variant Pathogenicity</v>
      </c>
      <c r="AK55" s="175" t="str">
        <f ca="1">IFERROR(__xludf.DUMMYFUNCTION("QUERY('Volunteer Survey'!L54)"),"Gene-Disease Validity")</f>
        <v>Gene-Disease Validity</v>
      </c>
      <c r="AL55" s="175" t="str">
        <f ca="1">IFERROR(__xludf.DUMMYFUNCTION("QUERY('Volunteer Survey'!M54)"),"")</f>
        <v/>
      </c>
      <c r="AM55" s="175" t="str">
        <f ca="1">IFERROR(__xludf.DUMMYFUNCTION("QUERY('Volunteer Survey'!N54)"),"yes")</f>
        <v>yes</v>
      </c>
      <c r="AN55" s="175" t="str">
        <f ca="1">IFERROR(__xludf.DUMMYFUNCTION("QUERY('Volunteer Survey'!O54)"),"Yes")</f>
        <v>Yes</v>
      </c>
      <c r="AO55" s="175" t="str">
        <f ca="1">IFERROR(__xludf.DUMMYFUNCTION("QUERY('Volunteer Survey'!P54)"),"Somatic/Germline Variant Curation Group and TP53 Variant Curation Expert Panel")</f>
        <v>Somatic/Germline Variant Curation Group and TP53 Variant Curation Expert Panel</v>
      </c>
    </row>
    <row r="56" spans="1:41" ht="14">
      <c r="A56" s="44">
        <f ca="1">IFERROR(__xludf.DUMMYFUNCTION("QUERY('Volunteer Survey'!A61)"),43414.4204629629)</f>
        <v>43414.420462962902</v>
      </c>
      <c r="B56" s="42" t="s">
        <v>168</v>
      </c>
      <c r="C56" s="73">
        <v>43434</v>
      </c>
      <c r="D56" s="43"/>
      <c r="E56" s="42" t="s">
        <v>130</v>
      </c>
      <c r="F56" s="42" t="s">
        <v>130</v>
      </c>
      <c r="G56" s="42" t="s">
        <v>136</v>
      </c>
      <c r="H56" s="47"/>
      <c r="I56" s="45" t="s">
        <v>139</v>
      </c>
      <c r="J56" s="49"/>
      <c r="K56" s="49"/>
      <c r="L56" s="49" t="str">
        <f ca="1">IFERROR(__xludf.DUMMYFUNCTION("QUERY('Volunteer Survey'!B61)"),"Willonie Mendonca")</f>
        <v>Willonie Mendonca</v>
      </c>
      <c r="M56" s="49" t="str">
        <f ca="1">IFERROR(__xludf.DUMMYFUNCTION("QUERY('Volunteer Survey'!E61)"),"willonie@gmail.com")</f>
        <v>willonie@gmail.com</v>
      </c>
      <c r="N56" s="49" t="str">
        <f ca="1">IFERROR(__xludf.DUMMYFUNCTION("QUERY('Volunteer Survey'!F61)"),"Genetic counselor")</f>
        <v>Genetic counselor</v>
      </c>
      <c r="O56" s="42" t="str">
        <f ca="1">IFERROR(__xludf.DUMMYFUNCTION("QUERY('Volunteer Survey'!H61)"),"Comprehensive")</f>
        <v>Comprehensive</v>
      </c>
      <c r="P56" s="49" t="str">
        <f ca="1">IFERROR(__xludf.DUMMYFUNCTION("QUERY('Volunteer Survey'!I61)"),"Somatic Cancer")</f>
        <v>Somatic Cancer</v>
      </c>
      <c r="Q56" s="54" t="str">
        <f ca="1">IFERROR(__xludf.DUMMYFUNCTION("QUERY('Volunteer Survey'!J61)"),"Variant Pathogenicity")</f>
        <v>Variant Pathogenicity</v>
      </c>
      <c r="R56" s="49" t="str">
        <f ca="1">IFERROR(__xludf.DUMMYFUNCTION("QUERY('Volunteer Survey'!K61)"),"Clinical Actionability")</f>
        <v>Clinical Actionability</v>
      </c>
      <c r="S56" s="49" t="str">
        <f ca="1">IFERROR(__xludf.DUMMYFUNCTION("QUERY('Volunteer Survey'!L61)"),"Gene-Disease Validity")</f>
        <v>Gene-Disease Validity</v>
      </c>
      <c r="T56" s="49" t="str">
        <f ca="1">IFERROR(__xludf.DUMMYFUNCTION("QUERY('Volunteer Survey'!M61)"),"Dosage Sensitivity")</f>
        <v>Dosage Sensitivity</v>
      </c>
      <c r="U56" s="58" t="str">
        <f ca="1">IFERROR(__xludf.DUMMYFUNCTION("QUERY('Volunteer Survey'!N61)"),"yes")</f>
        <v>yes</v>
      </c>
      <c r="V56" s="49" t="str">
        <f ca="1">IFERROR(__xludf.DUMMYFUNCTION("QUERY('Volunteer Survey'!O61)"),"Possibly")</f>
        <v>Possibly</v>
      </c>
      <c r="W56" s="60" t="str">
        <f ca="1">IFERROR(__xludf.DUMMYFUNCTION("QUERY('Volunteer Survey'!P61)"),"Somatic cancer working groupHereditary cancer working group")</f>
        <v>Somatic cancer working groupHereditary cancer working group</v>
      </c>
      <c r="X56" s="58" t="str">
        <f ca="1">IFERROR(__xludf.DUMMYFUNCTION("QUERY('Volunteer Survey'!R61)"),"Maybe -- please contact me with other options, and I will decide based on what is available")</f>
        <v>Maybe -- please contact me with other options, and I will decide based on what is available</v>
      </c>
      <c r="Y56" s="47"/>
      <c r="Z56" s="174">
        <f ca="1">IFERROR(__xludf.DUMMYFUNCTION("QUERY('Volunteer Survey'!A55)"),43365.4006134259)</f>
        <v>43365.400613425903</v>
      </c>
      <c r="AA56" s="175" t="str">
        <f ca="1">IFERROR(__xludf.DUMMYFUNCTION("QUERY('Volunteer Survey'!B55)"),"Heather Williams")</f>
        <v>Heather Williams</v>
      </c>
      <c r="AB56" s="175" t="str">
        <f ca="1">IFERROR(__xludf.DUMMYFUNCTION("QUERY('Volunteer Survey'!C55)"),"King's College Hospital")</f>
        <v>King's College Hospital</v>
      </c>
      <c r="AC56" s="175" t="str">
        <f ca="1">IFERROR(__xludf.DUMMYFUNCTION("QUERY('Volunteer Survey'!D55)"),"London, UK")</f>
        <v>London, UK</v>
      </c>
      <c r="AD56" s="175" t="str">
        <f ca="1">IFERROR(__xludf.DUMMYFUNCTION("QUERY('Volunteer Survey'!E55)"),"heather.williams30@nhs.net")</f>
        <v>heather.williams30@nhs.net</v>
      </c>
      <c r="AE56" s="175" t="str">
        <f ca="1">IFERROR(__xludf.DUMMYFUNCTION("QUERY('Volunteer Survey'!F55)"),"Clinical laboratory geneticist")</f>
        <v>Clinical laboratory geneticist</v>
      </c>
      <c r="AF56" s="175" t="str">
        <f ca="1">IFERROR(__xludf.DUMMYFUNCTION("QUERY('Volunteer Survey'!G55)"),"NA")</f>
        <v>NA</v>
      </c>
      <c r="AG56" s="175" t="str">
        <f ca="1">IFERROR(__xludf.DUMMYFUNCTION("QUERY('Volunteer Survey'!H55)"),"Comprehensive")</f>
        <v>Comprehensive</v>
      </c>
      <c r="AH56" s="175" t="str">
        <f ca="1">IFERROR(__xludf.DUMMYFUNCTION("QUERY('Volunteer Survey'!I55)"),"Somatic Cancer")</f>
        <v>Somatic Cancer</v>
      </c>
      <c r="AI56" s="175" t="str">
        <f ca="1">IFERROR(__xludf.DUMMYFUNCTION("QUERY('Volunteer Survey'!J55)"),"Variant Pathogenicity")</f>
        <v>Variant Pathogenicity</v>
      </c>
      <c r="AJ56" s="175" t="str">
        <f ca="1">IFERROR(__xludf.DUMMYFUNCTION("QUERY('Volunteer Survey'!K55)"),"Clinical Actionability")</f>
        <v>Clinical Actionability</v>
      </c>
      <c r="AK56" s="175" t="str">
        <f ca="1">IFERROR(__xludf.DUMMYFUNCTION("QUERY('Volunteer Survey'!L55)"),"Gene-Disease Validity")</f>
        <v>Gene-Disease Validity</v>
      </c>
      <c r="AL56" s="175" t="str">
        <f ca="1">IFERROR(__xludf.DUMMYFUNCTION("QUERY('Volunteer Survey'!M55)"),"Dosage Sensitivity")</f>
        <v>Dosage Sensitivity</v>
      </c>
      <c r="AM56" s="175" t="str">
        <f ca="1">IFERROR(__xludf.DUMMYFUNCTION("QUERY('Volunteer Survey'!N55)"),"yes")</f>
        <v>yes</v>
      </c>
      <c r="AN56" s="175" t="str">
        <f ca="1">IFERROR(__xludf.DUMMYFUNCTION("QUERY('Volunteer Survey'!O55)"),"Yes")</f>
        <v>Yes</v>
      </c>
      <c r="AO56" s="175" t="str">
        <f ca="1">IFERROR(__xludf.DUMMYFUNCTION("QUERY('Volunteer Survey'!P55)"),"Myeloid Malignancy Variant Curation Expert Panel Somatic/Germline Variant Curation Group")</f>
        <v>Myeloid Malignancy Variant Curation Expert Panel Somatic/Germline Variant Curation Group</v>
      </c>
    </row>
    <row r="57" spans="1:41" ht="18.75" customHeight="1">
      <c r="A57" s="44">
        <f ca="1">IFERROR(__xludf.DUMMYFUNCTION("QUERY('Volunteer Survey'!A62)"),43422.4216203703)</f>
        <v>43422.421620370304</v>
      </c>
      <c r="B57" s="42" t="s">
        <v>168</v>
      </c>
      <c r="C57" s="73">
        <v>43434</v>
      </c>
      <c r="D57" s="43">
        <v>43476</v>
      </c>
      <c r="E57" s="42" t="s">
        <v>117</v>
      </c>
      <c r="F57" s="42" t="s">
        <v>130</v>
      </c>
      <c r="G57" s="42" t="s">
        <v>136</v>
      </c>
      <c r="H57" s="45" t="s">
        <v>296</v>
      </c>
      <c r="I57" s="45" t="s">
        <v>139</v>
      </c>
      <c r="J57" s="50">
        <v>43592</v>
      </c>
      <c r="K57" s="42" t="s">
        <v>300</v>
      </c>
      <c r="L57" s="49" t="str">
        <f ca="1">IFERROR(__xludf.DUMMYFUNCTION("QUERY('Volunteer Survey'!B62)"),"Iman Haroun")</f>
        <v>Iman Haroun</v>
      </c>
      <c r="M57" s="49" t="str">
        <f ca="1">IFERROR(__xludf.DUMMYFUNCTION("QUERY('Volunteer Survey'!E62)"),"iman.haroun@readinghealth.org")</f>
        <v>iman.haroun@readinghealth.org</v>
      </c>
      <c r="N57" s="49" t="str">
        <f ca="1">IFERROR(__xludf.DUMMYFUNCTION("QUERY('Volunteer Survey'!F62)"),"Genetic counselor")</f>
        <v>Genetic counselor</v>
      </c>
      <c r="O57" s="42" t="str">
        <f ca="1">IFERROR(__xludf.DUMMYFUNCTION("QUERY('Volunteer Survey'!H62)"),"Comprehensive")</f>
        <v>Comprehensive</v>
      </c>
      <c r="P57" s="49" t="str">
        <f ca="1">IFERROR(__xludf.DUMMYFUNCTION("QUERY('Volunteer Survey'!I62)"),"Somatic Cancer")</f>
        <v>Somatic Cancer</v>
      </c>
      <c r="Q57" s="54" t="str">
        <f ca="1">IFERROR(__xludf.DUMMYFUNCTION("QUERY('Volunteer Survey'!J62)"),"Variant Pathogenicity")</f>
        <v>Variant Pathogenicity</v>
      </c>
      <c r="R57" s="49" t="str">
        <f ca="1">IFERROR(__xludf.DUMMYFUNCTION("QUERY('Volunteer Survey'!K62)"),"Gene-Disease Validity")</f>
        <v>Gene-Disease Validity</v>
      </c>
      <c r="S57" s="49" t="str">
        <f ca="1">IFERROR(__xludf.DUMMYFUNCTION("QUERY('Volunteer Survey'!L62)"),"Dosage Sensitivity")</f>
        <v>Dosage Sensitivity</v>
      </c>
      <c r="T57" s="49" t="str">
        <f ca="1">IFERROR(__xludf.DUMMYFUNCTION("QUERY('Volunteer Survey'!M62)"),"")</f>
        <v/>
      </c>
      <c r="U57" s="58" t="str">
        <f ca="1">IFERROR(__xludf.DUMMYFUNCTION("QUERY('Volunteer Survey'!N62)"),"No")</f>
        <v>No</v>
      </c>
      <c r="V57" s="49" t="str">
        <f ca="1">IFERROR(__xludf.DUMMYFUNCTION("QUERY('Volunteer Survey'!O62)"),"Possibly")</f>
        <v>Possibly</v>
      </c>
      <c r="W57" s="60" t="str">
        <f ca="1">IFERROR(__xludf.DUMMYFUNCTION("QUERY('Volunteer Survey'!P62)"),"Somatic Cancer, Pancreatic")</f>
        <v>Somatic Cancer, Pancreatic</v>
      </c>
      <c r="X57" s="58" t="str">
        <f ca="1">IFERROR(__xludf.DUMMYFUNCTION("QUERY('Volunteer Survey'!R62)"),"Yes- I am willing to volunteer with any available ClinGen group")</f>
        <v>Yes- I am willing to volunteer with any available ClinGen group</v>
      </c>
      <c r="Y57" s="47"/>
      <c r="Z57" s="174">
        <f ca="1">IFERROR(__xludf.DUMMYFUNCTION("QUERY('Volunteer Survey'!A56)"),43368.4021643518)</f>
        <v>43368.402164351799</v>
      </c>
      <c r="AA57" s="175" t="str">
        <f ca="1">IFERROR(__xludf.DUMMYFUNCTION("QUERY('Volunteer Survey'!B56)"),"Laura Richards")</f>
        <v>Laura Richards</v>
      </c>
      <c r="AB57" s="175" t="str">
        <f ca="1">IFERROR(__xludf.DUMMYFUNCTION("QUERY('Volunteer Survey'!C56)"),"University of Toronto / Princess Margaret Cancer Centre")</f>
        <v>University of Toronto / Princess Margaret Cancer Centre</v>
      </c>
      <c r="AC57" s="175" t="str">
        <f ca="1">IFERROR(__xludf.DUMMYFUNCTION("QUERY('Volunteer Survey'!D56)"),"Canada")</f>
        <v>Canada</v>
      </c>
      <c r="AD57" s="175" t="str">
        <f ca="1">IFERROR(__xludf.DUMMYFUNCTION("QUERY('Volunteer Survey'!E56)"),"lauram.richards@mail.utoronto.ca")</f>
        <v>lauram.richards@mail.utoronto.ca</v>
      </c>
      <c r="AE57" s="175" t="str">
        <f ca="1">IFERROR(__xludf.DUMMYFUNCTION("QUERY('Volunteer Survey'!F56)"),"Graduate Student")</f>
        <v>Graduate Student</v>
      </c>
      <c r="AF57" s="175" t="str">
        <f ca="1">IFERROR(__xludf.DUMMYFUNCTION("QUERY('Volunteer Survey'!G56)"),"NA")</f>
        <v>NA</v>
      </c>
      <c r="AG57" s="175" t="str">
        <f ca="1">IFERROR(__xludf.DUMMYFUNCTION("QUERY('Volunteer Survey'!H56)"),"Comprehensive")</f>
        <v>Comprehensive</v>
      </c>
      <c r="AH57" s="175" t="str">
        <f ca="1">IFERROR(__xludf.DUMMYFUNCTION("QUERY('Volunteer Survey'!I56)"),"Somatic Cancer")</f>
        <v>Somatic Cancer</v>
      </c>
      <c r="AI57" s="175" t="str">
        <f ca="1">IFERROR(__xludf.DUMMYFUNCTION("QUERY('Volunteer Survey'!J56)"),"Clinical Actionability")</f>
        <v>Clinical Actionability</v>
      </c>
      <c r="AJ57" s="175" t="str">
        <f ca="1">IFERROR(__xludf.DUMMYFUNCTION("QUERY('Volunteer Survey'!K56)"),"Variant Pathogenicity")</f>
        <v>Variant Pathogenicity</v>
      </c>
      <c r="AK57" s="175" t="str">
        <f ca="1">IFERROR(__xludf.DUMMYFUNCTION("QUERY('Volunteer Survey'!L56)"),"Gene-Disease Validity")</f>
        <v>Gene-Disease Validity</v>
      </c>
      <c r="AL57" s="175" t="str">
        <f ca="1">IFERROR(__xludf.DUMMYFUNCTION("QUERY('Volunteer Survey'!M56)"),"Dosage Sensitivity")</f>
        <v>Dosage Sensitivity</v>
      </c>
      <c r="AM57" s="175" t="str">
        <f ca="1">IFERROR(__xludf.DUMMYFUNCTION("QUERY('Volunteer Survey'!N56)"),"yes")</f>
        <v>yes</v>
      </c>
      <c r="AN57" s="175" t="str">
        <f ca="1">IFERROR(__xludf.DUMMYFUNCTION("QUERY('Volunteer Survey'!O56)"),"Yes")</f>
        <v>Yes</v>
      </c>
      <c r="AO57" s="175" t="str">
        <f ca="1">IFERROR(__xludf.DUMMYFUNCTION("QUERY('Volunteer Survey'!P56)"),"All expert panels in Hereditary Cancer CDWG")</f>
        <v>All expert panels in Hereditary Cancer CDWG</v>
      </c>
    </row>
    <row r="58" spans="1:41" ht="14">
      <c r="A58" s="44">
        <f ca="1">IFERROR(__xludf.DUMMYFUNCTION("QUERY('Volunteer Survey'!A63)"),43357.4285532407)</f>
        <v>43357.428553240701</v>
      </c>
      <c r="B58" s="42" t="s">
        <v>168</v>
      </c>
      <c r="C58" s="81">
        <v>43439</v>
      </c>
      <c r="D58" s="49"/>
      <c r="E58" s="42" t="s">
        <v>130</v>
      </c>
      <c r="F58" s="42" t="s">
        <v>130</v>
      </c>
      <c r="G58" s="42" t="s">
        <v>251</v>
      </c>
      <c r="H58" s="47"/>
      <c r="I58" s="45" t="s">
        <v>139</v>
      </c>
      <c r="J58" s="49"/>
      <c r="K58" s="49"/>
      <c r="L58" s="49" t="str">
        <f ca="1">IFERROR(__xludf.DUMMYFUNCTION("QUERY('Volunteer Survey'!B63)"),"Daniel Bellissimo")</f>
        <v>Daniel Bellissimo</v>
      </c>
      <c r="M58" s="49" t="str">
        <f ca="1">IFERROR(__xludf.DUMMYFUNCTION("QUERY('Volunteer Survey'!E63)"),"BELLISSIMOD@MAIL.MAGEE.EDU")</f>
        <v>BELLISSIMOD@MAIL.MAGEE.EDU</v>
      </c>
      <c r="N58" s="49" t="str">
        <f ca="1">IFERROR(__xludf.DUMMYFUNCTION("QUERY('Volunteer Survey'!F63)"),"Clinical laboratory geneticist")</f>
        <v>Clinical laboratory geneticist</v>
      </c>
      <c r="O58" s="42" t="str">
        <f ca="1">IFERROR(__xludf.DUMMYFUNCTION("QUERY('Volunteer Survey'!H63)"),"Comprehensive")</f>
        <v>Comprehensive</v>
      </c>
      <c r="P58" s="49" t="str">
        <f ca="1">IFERROR(__xludf.DUMMYFUNCTION("QUERY('Volunteer Survey'!I63)"),"Variant Pathogenicity")</f>
        <v>Variant Pathogenicity</v>
      </c>
      <c r="Q58" s="54" t="str">
        <f ca="1">IFERROR(__xludf.DUMMYFUNCTION("QUERY('Volunteer Survey'!J63)"),"Gene-Disease Validity")</f>
        <v>Gene-Disease Validity</v>
      </c>
      <c r="R58" s="49" t="str">
        <f ca="1">IFERROR(__xludf.DUMMYFUNCTION("QUERY('Volunteer Survey'!K63)"),"Clinical Actionability")</f>
        <v>Clinical Actionability</v>
      </c>
      <c r="S58" s="49" t="str">
        <f ca="1">IFERROR(__xludf.DUMMYFUNCTION("QUERY('Volunteer Survey'!L63)"),"Dosage Sensitivity")</f>
        <v>Dosage Sensitivity</v>
      </c>
      <c r="T58" s="49" t="str">
        <f ca="1">IFERROR(__xludf.DUMMYFUNCTION("QUERY('Volunteer Survey'!M63)"),"Somatic Cancer")</f>
        <v>Somatic Cancer</v>
      </c>
      <c r="U58" s="58" t="str">
        <f ca="1">IFERROR(__xludf.DUMMYFUNCTION("QUERY('Volunteer Survey'!N63)"),"yes")</f>
        <v>yes</v>
      </c>
      <c r="V58" s="49" t="str">
        <f ca="1">IFERROR(__xludf.DUMMYFUNCTION("QUERY('Volunteer Survey'!O63)"),"No")</f>
        <v>No</v>
      </c>
      <c r="W58" s="60" t="str">
        <f ca="1">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c r="X58" s="58" t="str">
        <f ca="1">IFERROR(__xludf.DUMMYFUNCTION("QUERY('Volunteer Survey'!R63)"),"Maybe -- please contact me with other options, and I will decide based on what is available")</f>
        <v>Maybe -- please contact me with other options, and I will decide based on what is available</v>
      </c>
      <c r="Y58" s="47"/>
      <c r="Z58" s="174">
        <f ca="1">IFERROR(__xludf.DUMMYFUNCTION("QUERY('Volunteer Survey'!A57)"),43370.4042013888)</f>
        <v>43370.404201388803</v>
      </c>
      <c r="AA58" s="175" t="str">
        <f ca="1">IFERROR(__xludf.DUMMYFUNCTION("QUERY('Volunteer Survey'!B57)"),"Aysegul Ozanturk")</f>
        <v>Aysegul Ozanturk</v>
      </c>
      <c r="AB58" s="175" t="str">
        <f ca="1">IFERROR(__xludf.DUMMYFUNCTION("QUERY('Volunteer Survey'!C57)"),"Invitae")</f>
        <v>Invitae</v>
      </c>
      <c r="AC58" s="175" t="str">
        <f ca="1">IFERROR(__xludf.DUMMYFUNCTION("QUERY('Volunteer Survey'!D57)"),"MA")</f>
        <v>MA</v>
      </c>
      <c r="AD58" s="175" t="str">
        <f ca="1">IFERROR(__xludf.DUMMYFUNCTION("QUERY('Volunteer Survey'!E57)"),"aozanturk@gmail.com")</f>
        <v>aozanturk@gmail.com</v>
      </c>
      <c r="AE58" s="175" t="str">
        <f ca="1">IFERROR(__xludf.DUMMYFUNCTION("QUERY('Volunteer Survey'!F57)"),"Scientific Researcher, Variant Analyst/Scientist")</f>
        <v>Scientific Researcher, Variant Analyst/Scientist</v>
      </c>
      <c r="AF58" s="175" t="str">
        <f ca="1">IFERROR(__xludf.DUMMYFUNCTION("QUERY('Volunteer Survey'!G57)"),"NA")</f>
        <v>NA</v>
      </c>
      <c r="AG58" s="175" t="str">
        <f ca="1">IFERROR(__xludf.DUMMYFUNCTION("QUERY('Volunteer Survey'!H57)"),"Comprehensive")</f>
        <v>Comprehensive</v>
      </c>
      <c r="AH58" s="175" t="str">
        <f ca="1">IFERROR(__xludf.DUMMYFUNCTION("QUERY('Volunteer Survey'!I57)"),"Somatic Cancer")</f>
        <v>Somatic Cancer</v>
      </c>
      <c r="AI58" s="175" t="str">
        <f ca="1">IFERROR(__xludf.DUMMYFUNCTION("QUERY('Volunteer Survey'!J57)"),"Dosage Sensitivity")</f>
        <v>Dosage Sensitivity</v>
      </c>
      <c r="AJ58" s="175" t="str">
        <f ca="1">IFERROR(__xludf.DUMMYFUNCTION("QUERY('Volunteer Survey'!K57)"),"Clinical Actionability")</f>
        <v>Clinical Actionability</v>
      </c>
      <c r="AK58" s="175" t="str">
        <f ca="1">IFERROR(__xludf.DUMMYFUNCTION("QUERY('Volunteer Survey'!L57)"),"")</f>
        <v/>
      </c>
      <c r="AL58" s="175" t="str">
        <f ca="1">IFERROR(__xludf.DUMMYFUNCTION("QUERY('Volunteer Survey'!M57)"),"")</f>
        <v/>
      </c>
      <c r="AM58" s="175" t="str">
        <f ca="1">IFERROR(__xludf.DUMMYFUNCTION("QUERY('Volunteer Survey'!N57)"),"yes")</f>
        <v>yes</v>
      </c>
      <c r="AN58" s="175" t="str">
        <f ca="1">IFERROR(__xludf.DUMMYFUNCTION("QUERY('Volunteer Survey'!O57)"),"Possibly")</f>
        <v>Possibly</v>
      </c>
      <c r="AO58" s="175" t="str">
        <f ca="1">IFERROR(__xludf.DUMMYFUNCTION("QUERY('Volunteer Survey'!P57)"),"I would say mostly rare disorders. I have an expertise on ciliary disorders/ Syndromic IDs/ inborn error of metabolic disorders. Happy to share my resume.")</f>
        <v>I would say mostly rare disorders. I have an expertise on ciliary disorders/ Syndromic IDs/ inborn error of metabolic disorders. Happy to share my resume.</v>
      </c>
    </row>
    <row r="59" spans="1:41" ht="14">
      <c r="A59" s="44">
        <f ca="1">IFERROR(__xludf.DUMMYFUNCTION("QUERY('Volunteer Survey'!A64)"),43332.4316782407)</f>
        <v>43332.431678240697</v>
      </c>
      <c r="B59" s="42" t="s">
        <v>108</v>
      </c>
      <c r="C59" s="81">
        <v>43439</v>
      </c>
      <c r="D59" s="49"/>
      <c r="E59" s="42" t="s">
        <v>130</v>
      </c>
      <c r="F59" s="42" t="s">
        <v>130</v>
      </c>
      <c r="G59" s="42" t="s">
        <v>251</v>
      </c>
      <c r="H59" s="47"/>
      <c r="I59" s="45" t="s">
        <v>139</v>
      </c>
      <c r="J59" s="49"/>
      <c r="K59" s="49"/>
      <c r="L59" s="49" t="str">
        <f ca="1">IFERROR(__xludf.DUMMYFUNCTION("QUERY('Volunteer Survey'!B64)"),"Alexa Dickson ")</f>
        <v xml:space="preserve">Alexa Dickson </v>
      </c>
      <c r="M59" s="49" t="str">
        <f ca="1">IFERROR(__xludf.DUMMYFUNCTION("QUERY('Volunteer Survey'!E64)"),"alexa.dickson@aruplab.com")</f>
        <v>alexa.dickson@aruplab.com</v>
      </c>
      <c r="N59" s="49" t="str">
        <f ca="1">IFERROR(__xludf.DUMMYFUNCTION("QUERY('Volunteer Survey'!F64)"),"Clinical laboratory geneticist")</f>
        <v>Clinical laboratory geneticist</v>
      </c>
      <c r="O59" s="42" t="str">
        <f ca="1">IFERROR(__xludf.DUMMYFUNCTION("QUERY('Volunteer Survey'!H64)"),"Comprehensive")</f>
        <v>Comprehensive</v>
      </c>
      <c r="P59" s="49" t="str">
        <f ca="1">IFERROR(__xludf.DUMMYFUNCTION("QUERY('Volunteer Survey'!I64)"),"Variant Pathogenicity")</f>
        <v>Variant Pathogenicity</v>
      </c>
      <c r="Q59" s="54" t="str">
        <f ca="1">IFERROR(__xludf.DUMMYFUNCTION("QUERY('Volunteer Survey'!J64)"),"Gene-Disease Validity")</f>
        <v>Gene-Disease Validity</v>
      </c>
      <c r="R59" s="49" t="str">
        <f ca="1">IFERROR(__xludf.DUMMYFUNCTION("QUERY('Volunteer Survey'!K64)"),"Clinical Actionability")</f>
        <v>Clinical Actionability</v>
      </c>
      <c r="S59" s="49" t="str">
        <f ca="1">IFERROR(__xludf.DUMMYFUNCTION("QUERY('Volunteer Survey'!L64)"),"Dosage Sensitivity")</f>
        <v>Dosage Sensitivity</v>
      </c>
      <c r="T59" s="49" t="str">
        <f ca="1">IFERROR(__xludf.DUMMYFUNCTION("QUERY('Volunteer Survey'!M64)"),"Somatic Cancer")</f>
        <v>Somatic Cancer</v>
      </c>
      <c r="U59" s="58" t="str">
        <f ca="1">IFERROR(__xludf.DUMMYFUNCTION("QUERY('Volunteer Survey'!N64)"),"yes")</f>
        <v>yes</v>
      </c>
      <c r="V59" s="49" t="str">
        <f ca="1">IFERROR(__xludf.DUMMYFUNCTION("QUERY('Volunteer Survey'!O64)"),"Yes")</f>
        <v>Yes</v>
      </c>
      <c r="W59" s="60" t="str">
        <f ca="1">IFERROR(__xludf.DUMMYFUNCTION("QUERY('Volunteer Survey'!P64)"),"retinal disease working group")</f>
        <v>retinal disease working group</v>
      </c>
      <c r="X59" s="58" t="str">
        <f ca="1">IFERROR(__xludf.DUMMYFUNCTION("QUERY('Volunteer Survey'!R64)"),"Yes- I am willing to volunteer with any available ClinGen group")</f>
        <v>Yes- I am willing to volunteer with any available ClinGen group</v>
      </c>
      <c r="Y59" s="47"/>
      <c r="Z59" s="174">
        <f ca="1">IFERROR(__xludf.DUMMYFUNCTION("QUERY('Volunteer Survey'!A58)"),43382.4137731481)</f>
        <v>43382.413773148102</v>
      </c>
      <c r="AA59" s="175" t="str">
        <f ca="1">IFERROR(__xludf.DUMMYFUNCTION("QUERY('Volunteer Survey'!B58)"),"Kaylee Barber")</f>
        <v>Kaylee Barber</v>
      </c>
      <c r="AB59" s="175" t="str">
        <f ca="1">IFERROR(__xludf.DUMMYFUNCTION("QUERY('Volunteer Survey'!C58)"),"GenPath/BioReference")</f>
        <v>GenPath/BioReference</v>
      </c>
      <c r="AC59" s="175" t="str">
        <f ca="1">IFERROR(__xludf.DUMMYFUNCTION("QUERY('Volunteer Survey'!D58)"),"NJ")</f>
        <v>NJ</v>
      </c>
      <c r="AD59" s="175" t="str">
        <f ca="1">IFERROR(__xludf.DUMMYFUNCTION("QUERY('Volunteer Survey'!E58)"),"kbarber@bioreference.com")</f>
        <v>kbarber@bioreference.com</v>
      </c>
      <c r="AE59" s="175" t="str">
        <f ca="1">IFERROR(__xludf.DUMMYFUNCTION("QUERY('Volunteer Survey'!F58)"),"Genetic counselor")</f>
        <v>Genetic counselor</v>
      </c>
      <c r="AF59" s="175" t="str">
        <f ca="1">IFERROR(__xludf.DUMMYFUNCTION("QUERY('Volunteer Survey'!G58)"),"NA")</f>
        <v>NA</v>
      </c>
      <c r="AG59" s="175" t="str">
        <f ca="1">IFERROR(__xludf.DUMMYFUNCTION("QUERY('Volunteer Survey'!H58)"),"Comprehensive")</f>
        <v>Comprehensive</v>
      </c>
      <c r="AH59" s="175" t="str">
        <f ca="1">IFERROR(__xludf.DUMMYFUNCTION("QUERY('Volunteer Survey'!I58)"),"Somatic Cancer")</f>
        <v>Somatic Cancer</v>
      </c>
      <c r="AI59" s="175" t="str">
        <f ca="1">IFERROR(__xludf.DUMMYFUNCTION("QUERY('Volunteer Survey'!J58)"),"Clinical Actionability")</f>
        <v>Clinical Actionability</v>
      </c>
      <c r="AJ59" s="175" t="str">
        <f ca="1">IFERROR(__xludf.DUMMYFUNCTION("QUERY('Volunteer Survey'!K58)"),"Gene-Disease Validity")</f>
        <v>Gene-Disease Validity</v>
      </c>
      <c r="AK59" s="175" t="str">
        <f ca="1">IFERROR(__xludf.DUMMYFUNCTION("QUERY('Volunteer Survey'!L58)"),"")</f>
        <v/>
      </c>
      <c r="AL59" s="175" t="str">
        <f ca="1">IFERROR(__xludf.DUMMYFUNCTION("QUERY('Volunteer Survey'!M58)"),"")</f>
        <v/>
      </c>
      <c r="AM59" s="175" t="str">
        <f ca="1">IFERROR(__xludf.DUMMYFUNCTION("QUERY('Volunteer Survey'!N58)"),"yes")</f>
        <v>yes</v>
      </c>
      <c r="AN59" s="175" t="str">
        <f ca="1">IFERROR(__xludf.DUMMYFUNCTION("QUERY('Volunteer Survey'!O58)"),"Possibly")</f>
        <v>Possibly</v>
      </c>
      <c r="AO59" s="175" t="str">
        <f ca="1">IFERROR(__xludf.DUMMYFUNCTION("QUERY('Volunteer Survey'!P58)"),"Somatic Cancer Working Group, Somatic/Germline Variant Curation Group")</f>
        <v>Somatic Cancer Working Group, Somatic/Germline Variant Curation Group</v>
      </c>
    </row>
    <row r="60" spans="1:41" ht="14">
      <c r="A60" s="44">
        <f ca="1">IFERROR(__xludf.DUMMYFUNCTION("QUERY('Volunteer Survey'!A65)"),43334.4335879629)</f>
        <v>43334.4335879629</v>
      </c>
      <c r="B60" s="42" t="s">
        <v>168</v>
      </c>
      <c r="C60" s="81">
        <v>43439</v>
      </c>
      <c r="D60" s="59">
        <v>43605</v>
      </c>
      <c r="E60" s="42" t="s">
        <v>117</v>
      </c>
      <c r="F60" s="42" t="s">
        <v>117</v>
      </c>
      <c r="G60" s="42" t="s">
        <v>251</v>
      </c>
      <c r="H60" s="47"/>
      <c r="I60" s="45" t="s">
        <v>139</v>
      </c>
      <c r="J60" s="49"/>
      <c r="K60" s="49"/>
      <c r="L60" s="49" t="str">
        <f ca="1">IFERROR(__xludf.DUMMYFUNCTION("QUERY('Volunteer Survey'!B65)"),"Luke Drury")</f>
        <v>Luke Drury</v>
      </c>
      <c r="M60" s="49" t="str">
        <f ca="1">IFERROR(__xludf.DUMMYFUNCTION("QUERY('Volunteer Survey'!E65)"),"luke.drury@preventiongenetics.com")</f>
        <v>luke.drury@preventiongenetics.com</v>
      </c>
      <c r="N60" s="49" t="str">
        <f ca="1">IFERROR(__xludf.DUMMYFUNCTION("QUERY('Volunteer Survey'!F65)"),"Variant Analyst/Scientist")</f>
        <v>Variant Analyst/Scientist</v>
      </c>
      <c r="O60" s="42" t="str">
        <f ca="1">IFERROR(__xludf.DUMMYFUNCTION("QUERY('Volunteer Survey'!H65)"),"Comprehensive")</f>
        <v>Comprehensive</v>
      </c>
      <c r="P60" s="49" t="str">
        <f ca="1">IFERROR(__xludf.DUMMYFUNCTION("QUERY('Volunteer Survey'!I65)"),"Variant Pathogenicity")</f>
        <v>Variant Pathogenicity</v>
      </c>
      <c r="Q60" s="54" t="str">
        <f ca="1">IFERROR(__xludf.DUMMYFUNCTION("QUERY('Volunteer Survey'!J65)"),"Gene-Disease Validity")</f>
        <v>Gene-Disease Validity</v>
      </c>
      <c r="R60" s="49" t="str">
        <f ca="1">IFERROR(__xludf.DUMMYFUNCTION("QUERY('Volunteer Survey'!K65)"),"Clinical Actionability")</f>
        <v>Clinical Actionability</v>
      </c>
      <c r="S60" s="49" t="str">
        <f ca="1">IFERROR(__xludf.DUMMYFUNCTION("QUERY('Volunteer Survey'!L65)"),"Dosage Sensitivity")</f>
        <v>Dosage Sensitivity</v>
      </c>
      <c r="T60" s="49" t="str">
        <f ca="1">IFERROR(__xludf.DUMMYFUNCTION("QUERY('Volunteer Survey'!M65)"),"Somatic Cancer")</f>
        <v>Somatic Cancer</v>
      </c>
      <c r="U60" s="58" t="str">
        <f ca="1">IFERROR(__xludf.DUMMYFUNCTION("QUERY('Volunteer Survey'!N65)"),"yes")</f>
        <v>yes</v>
      </c>
      <c r="V60" s="49" t="str">
        <f ca="1">IFERROR(__xludf.DUMMYFUNCTION("QUERY('Volunteer Survey'!O65)"),"No")</f>
        <v>No</v>
      </c>
      <c r="W60" s="60" t="str">
        <f ca="1">IFERROR(__xludf.DUMMYFUNCTION("QUERY('Volunteer Survey'!P65)"),"any WG")</f>
        <v>any WG</v>
      </c>
      <c r="X60" s="58" t="str">
        <f ca="1">IFERROR(__xludf.DUMMYFUNCTION("QUERY('Volunteer Survey'!R65)"),"Maybe -- please contact me with other options, and I will decide based on what is available")</f>
        <v>Maybe -- please contact me with other options, and I will decide based on what is available</v>
      </c>
      <c r="Y60" s="47"/>
      <c r="Z60" s="174">
        <f ca="1">IFERROR(__xludf.DUMMYFUNCTION("QUERY('Volunteer Survey'!A59)"),43395.4167361111)</f>
        <v>43395.416736111103</v>
      </c>
      <c r="AA60" s="175" t="str">
        <f ca="1">IFERROR(__xludf.DUMMYFUNCTION("QUERY('Volunteer Survey'!B59)"),"Wan-Hsin Lin")</f>
        <v>Wan-Hsin Lin</v>
      </c>
      <c r="AB60" s="175" t="str">
        <f ca="1">IFERROR(__xludf.DUMMYFUNCTION("QUERY('Volunteer Survey'!C59)"),"Mayo Clinic")</f>
        <v>Mayo Clinic</v>
      </c>
      <c r="AC60" s="175" t="str">
        <f ca="1">IFERROR(__xludf.DUMMYFUNCTION("QUERY('Volunteer Survey'!D59)"),"Jacksonville, FL")</f>
        <v>Jacksonville, FL</v>
      </c>
      <c r="AD60" s="175" t="str">
        <f ca="1">IFERROR(__xludf.DUMMYFUNCTION("QUERY('Volunteer Survey'!E59)"),"lin.wanhsin@mayo.edu")</f>
        <v>lin.wanhsin@mayo.edu</v>
      </c>
      <c r="AE60" s="175" t="str">
        <f ca="1">IFERROR(__xludf.DUMMYFUNCTION("QUERY('Volunteer Survey'!F59)"),"Post Doc/Resident/Fellow (MD and/or PhD)")</f>
        <v>Post Doc/Resident/Fellow (MD and/or PhD)</v>
      </c>
      <c r="AF60" s="175" t="str">
        <f ca="1">IFERROR(__xludf.DUMMYFUNCTION("QUERY('Volunteer Survey'!G59)"),"NA")</f>
        <v>NA</v>
      </c>
      <c r="AG60" s="175" t="str">
        <f ca="1">IFERROR(__xludf.DUMMYFUNCTION("QUERY('Volunteer Survey'!H59)"),"Comprehensive")</f>
        <v>Comprehensive</v>
      </c>
      <c r="AH60" s="175" t="str">
        <f ca="1">IFERROR(__xludf.DUMMYFUNCTION("QUERY('Volunteer Survey'!I59)"),"Somatic Cancer")</f>
        <v>Somatic Cancer</v>
      </c>
      <c r="AI60" s="175" t="str">
        <f ca="1">IFERROR(__xludf.DUMMYFUNCTION("QUERY('Volunteer Survey'!J59)"),"Variant Pathogenicity")</f>
        <v>Variant Pathogenicity</v>
      </c>
      <c r="AJ60" s="175" t="str">
        <f ca="1">IFERROR(__xludf.DUMMYFUNCTION("QUERY('Volunteer Survey'!K59)"),"Clinical Actionability")</f>
        <v>Clinical Actionability</v>
      </c>
      <c r="AK60" s="175" t="str">
        <f ca="1">IFERROR(__xludf.DUMMYFUNCTION("QUERY('Volunteer Survey'!L59)"),"Gene-Disease Validity")</f>
        <v>Gene-Disease Validity</v>
      </c>
      <c r="AL60" s="175" t="str">
        <f ca="1">IFERROR(__xludf.DUMMYFUNCTION("QUERY('Volunteer Survey'!M59)"),"")</f>
        <v/>
      </c>
      <c r="AM60" s="175" t="str">
        <f ca="1">IFERROR(__xludf.DUMMYFUNCTION("QUERY('Volunteer Survey'!N59)"),"no")</f>
        <v>no</v>
      </c>
      <c r="AN60" s="175" t="str">
        <f ca="1">IFERROR(__xludf.DUMMYFUNCTION("QUERY('Volunteer Survey'!O59)"),"Possibly")</f>
        <v>Possibly</v>
      </c>
      <c r="AO60" s="175" t="str">
        <f ca="1">IFERROR(__xludf.DUMMYFUNCTION("QUERY('Volunteer Survey'!P59)"),"The Expert Panels/Working Groups that I am interested in are listed below. 1. ""Clinical Domain Working Groups""-Hereditary Cancer CDWG: Hereditary Cancer Gene Curation Expert Panel, Myeloid Malignancy Variant Curation Expert Panel, Somatic/Germline Varia"&amp;"nt Curation Group. 2. Gene Curation Working Group 3. Somatic Cancer Working Group")</f>
        <v>The Expert Panels/Working Groups that I am interested in are listed below. 1. "Clinical Domain Working Groups"-Hereditary Cancer CDWG: Hereditary Cancer Gene Curation Expert Panel, Myeloid Malignancy Variant Curation Expert Panel, Somatic/Germline Variant Curation Group. 2. Gene Curation Working Group 3. Somatic Cancer Working Group</v>
      </c>
    </row>
    <row r="61" spans="1:41" ht="14">
      <c r="A61" s="44">
        <f ca="1">IFERROR(__xludf.DUMMYFUNCTION("QUERY('Volunteer Survey'!A66)"),43336.4358333333)</f>
        <v>43336.4358333333</v>
      </c>
      <c r="B61" s="42" t="s">
        <v>160</v>
      </c>
      <c r="C61" s="81">
        <v>43439</v>
      </c>
      <c r="D61" s="59">
        <v>43605</v>
      </c>
      <c r="E61" s="42" t="s">
        <v>117</v>
      </c>
      <c r="F61" s="42" t="s">
        <v>117</v>
      </c>
      <c r="G61" s="42" t="s">
        <v>251</v>
      </c>
      <c r="H61" s="45" t="s">
        <v>248</v>
      </c>
      <c r="I61" s="45" t="s">
        <v>139</v>
      </c>
      <c r="J61" s="50">
        <v>43712</v>
      </c>
      <c r="K61" s="50"/>
      <c r="L61" s="49" t="str">
        <f ca="1">IFERROR(__xludf.DUMMYFUNCTION("QUERY('Volunteer Survey'!B66)"),"Lynne Rosenblum")</f>
        <v>Lynne Rosenblum</v>
      </c>
      <c r="M61" s="49" t="str">
        <f ca="1">IFERROR(__xludf.DUMMYFUNCTION("QUERY('Volunteer Survey'!E66)"),"lynne.rosenblum@integratedgenetics.com")</f>
        <v>lynne.rosenblum@integratedgenetics.com</v>
      </c>
      <c r="N61" s="49" t="str">
        <f ca="1">IFERROR(__xludf.DUMMYFUNCTION("QUERY('Volunteer Survey'!F66)"),"Clinical laboratory geneticist")</f>
        <v>Clinical laboratory geneticist</v>
      </c>
      <c r="O61" s="42" t="str">
        <f ca="1">IFERROR(__xludf.DUMMYFUNCTION("QUERY('Volunteer Survey'!H66)"),"Comprehensive")</f>
        <v>Comprehensive</v>
      </c>
      <c r="P61" s="49" t="str">
        <f ca="1">IFERROR(__xludf.DUMMYFUNCTION("QUERY('Volunteer Survey'!I66)"),"Variant Pathogenicity")</f>
        <v>Variant Pathogenicity</v>
      </c>
      <c r="Q61" s="54" t="str">
        <f ca="1">IFERROR(__xludf.DUMMYFUNCTION("QUERY('Volunteer Survey'!J66)"),"Clinical Actionability")</f>
        <v>Clinical Actionability</v>
      </c>
      <c r="R61" s="49" t="str">
        <f ca="1">IFERROR(__xludf.DUMMYFUNCTION("QUERY('Volunteer Survey'!K66)"),"Dosage Sensitivity")</f>
        <v>Dosage Sensitivity</v>
      </c>
      <c r="S61" s="49" t="str">
        <f ca="1">IFERROR(__xludf.DUMMYFUNCTION("QUERY('Volunteer Survey'!L66)"),"Gene-Disease Validity")</f>
        <v>Gene-Disease Validity</v>
      </c>
      <c r="T61" s="49" t="str">
        <f ca="1">IFERROR(__xludf.DUMMYFUNCTION("QUERY('Volunteer Survey'!M66)"),"Somatic Cancer")</f>
        <v>Somatic Cancer</v>
      </c>
      <c r="U61" s="58" t="str">
        <f ca="1">IFERROR(__xludf.DUMMYFUNCTION("QUERY('Volunteer Survey'!N66)"),"yes")</f>
        <v>yes</v>
      </c>
      <c r="V61" s="49" t="str">
        <f ca="1">IFERROR(__xludf.DUMMYFUNCTION("QUERY('Volunteer Survey'!O66)"),"Possibly")</f>
        <v>Possibly</v>
      </c>
      <c r="W61" s="60" t="str">
        <f ca="1">IFERROR(__xludf.DUMMYFUNCTION("QUERY('Volunteer Survey'!P66)"),"storage disease and somatic/germline working groups, but am open to other opportunities.")</f>
        <v>storage disease and somatic/germline working groups, but am open to other opportunities.</v>
      </c>
      <c r="X61" s="58" t="str">
        <f ca="1">IFERROR(__xludf.DUMMYFUNCTION("QUERY('Volunteer Survey'!R66)"),"Maybe -- please contact me with other options, and I will decide based on what is available")</f>
        <v>Maybe -- please contact me with other options, and I will decide based on what is available</v>
      </c>
      <c r="Y61" s="47"/>
      <c r="Z61" s="174">
        <f ca="1">IFERROR(__xludf.DUMMYFUNCTION("QUERY('Volunteer Survey'!A60)"),43398.4188425926)</f>
        <v>43398.418842592597</v>
      </c>
      <c r="AA61" s="175" t="str">
        <f ca="1">IFERROR(__xludf.DUMMYFUNCTION("QUERY('Volunteer Survey'!B60)"),"Stefan Rentas")</f>
        <v>Stefan Rentas</v>
      </c>
      <c r="AB61" s="175" t="str">
        <f ca="1">IFERROR(__xludf.DUMMYFUNCTION("QUERY('Volunteer Survey'!C60)"),"The Children's Hospital of Philadelphia")</f>
        <v>The Children's Hospital of Philadelphia</v>
      </c>
      <c r="AC61" s="175" t="str">
        <f ca="1">IFERROR(__xludf.DUMMYFUNCTION("QUERY('Volunteer Survey'!D60)"),"PA")</f>
        <v>PA</v>
      </c>
      <c r="AD61" s="175" t="str">
        <f ca="1">IFERROR(__xludf.DUMMYFUNCTION("QUERY('Volunteer Survey'!E60)"),"rentass@email.chop.edu")</f>
        <v>rentass@email.chop.edu</v>
      </c>
      <c r="AE61" s="175" t="str">
        <f ca="1">IFERROR(__xludf.DUMMYFUNCTION("QUERY('Volunteer Survey'!F60)"),"Post Doc/Resident/Fellow (MD and/or PhD)")</f>
        <v>Post Doc/Resident/Fellow (MD and/or PhD)</v>
      </c>
      <c r="AF61" s="175" t="str">
        <f ca="1">IFERROR(__xludf.DUMMYFUNCTION("QUERY('Volunteer Survey'!G60)"),"NA")</f>
        <v>NA</v>
      </c>
      <c r="AG61" s="175" t="str">
        <f ca="1">IFERROR(__xludf.DUMMYFUNCTION("QUERY('Volunteer Survey'!H60)"),"Comprehensive")</f>
        <v>Comprehensive</v>
      </c>
      <c r="AH61" s="175" t="str">
        <f ca="1">IFERROR(__xludf.DUMMYFUNCTION("QUERY('Volunteer Survey'!I60)"),"Somatic Cancer")</f>
        <v>Somatic Cancer</v>
      </c>
      <c r="AI61" s="175" t="str">
        <f ca="1">IFERROR(__xludf.DUMMYFUNCTION("QUERY('Volunteer Survey'!J60)"),"Dosage Sensitivity")</f>
        <v>Dosage Sensitivity</v>
      </c>
      <c r="AJ61" s="175" t="str">
        <f ca="1">IFERROR(__xludf.DUMMYFUNCTION("QUERY('Volunteer Survey'!K60)"),"Gene-Disease Validity")</f>
        <v>Gene-Disease Validity</v>
      </c>
      <c r="AK61" s="175" t="str">
        <f ca="1">IFERROR(__xludf.DUMMYFUNCTION("QUERY('Volunteer Survey'!L60)"),"Variant Pathogenicity")</f>
        <v>Variant Pathogenicity</v>
      </c>
      <c r="AL61" s="175" t="str">
        <f ca="1">IFERROR(__xludf.DUMMYFUNCTION("QUERY('Volunteer Survey'!M60)"),"Clinical Actionability")</f>
        <v>Clinical Actionability</v>
      </c>
      <c r="AM61" s="175" t="str">
        <f ca="1">IFERROR(__xludf.DUMMYFUNCTION("QUERY('Volunteer Survey'!N60)"),"yes")</f>
        <v>yes</v>
      </c>
      <c r="AN61" s="175" t="str">
        <f ca="1">IFERROR(__xludf.DUMMYFUNCTION("QUERY('Volunteer Survey'!O60)"),"Possibly")</f>
        <v>Possibly</v>
      </c>
      <c r="AO61" s="175" t="str">
        <f ca="1">IFERROR(__xludf.DUMMYFUNCTION("QUERY('Volunteer Survey'!P60)"),"As a current trainee in laboratory genomics I think it would be a fantastic experience to get involved in the ClinGen community. I have interest in assisting and volunteering with the Hereditary Cancer Gene Curation Expert Panel, Somatic/Germline Variant "&amp;"Curation Group, Myeloid Malignancy Variant Curation Expert Panel, or the Dosage Sensitivity Curation team.")</f>
        <v>As a current trainee in laboratory genomics I think it would be a fantastic experience to get involved in the ClinGen community. I have interest in assisting and volunteering with the Hereditary Cancer Gene Curation Expert Panel, Somatic/Germline Variant Curation Group, Myeloid Malignancy Variant Curation Expert Panel, or the Dosage Sensitivity Curation team.</v>
      </c>
    </row>
    <row r="62" spans="1:41" ht="14">
      <c r="A62" s="44">
        <f ca="1">IFERROR(__xludf.DUMMYFUNCTION("QUERY('Volunteer Survey'!A67)"),43340.4389236111)</f>
        <v>43340.438923611102</v>
      </c>
      <c r="B62" s="42" t="s">
        <v>160</v>
      </c>
      <c r="C62" s="81">
        <v>43439</v>
      </c>
      <c r="D62" s="59">
        <v>43605</v>
      </c>
      <c r="E62" s="42" t="s">
        <v>117</v>
      </c>
      <c r="F62" s="42" t="s">
        <v>130</v>
      </c>
      <c r="G62" s="42" t="s">
        <v>251</v>
      </c>
      <c r="H62" s="45" t="s">
        <v>169</v>
      </c>
      <c r="I62" s="45" t="s">
        <v>139</v>
      </c>
      <c r="J62" s="50">
        <v>43712</v>
      </c>
      <c r="K62" s="50"/>
      <c r="L62" s="49" t="str">
        <f ca="1">IFERROR(__xludf.DUMMYFUNCTION("QUERY('Volunteer Survey'!B67)"),"Yang Wang")</f>
        <v>Yang Wang</v>
      </c>
      <c r="M62" s="49" t="str">
        <f ca="1">IFERROR(__xludf.DUMMYFUNCTION("QUERY('Volunteer Survey'!E67)"),"yangwangcmg@gmail.com")</f>
        <v>yangwangcmg@gmail.com</v>
      </c>
      <c r="N62" s="49" t="str">
        <f ca="1">IFERROR(__xludf.DUMMYFUNCTION("QUERY('Volunteer Survey'!F67)"),"Clinical laboratory geneticist")</f>
        <v>Clinical laboratory geneticist</v>
      </c>
      <c r="O62" s="42" t="str">
        <f ca="1">IFERROR(__xludf.DUMMYFUNCTION("QUERY('Volunteer Survey'!H67)"),"Comprehensive")</f>
        <v>Comprehensive</v>
      </c>
      <c r="P62" s="49" t="str">
        <f ca="1">IFERROR(__xludf.DUMMYFUNCTION("QUERY('Volunteer Survey'!I67)"),"Variant Pathogenicity")</f>
        <v>Variant Pathogenicity</v>
      </c>
      <c r="Q62" s="54" t="str">
        <f ca="1">IFERROR(__xludf.DUMMYFUNCTION("QUERY('Volunteer Survey'!J67)"),"Gene-Disease Validity")</f>
        <v>Gene-Disease Validity</v>
      </c>
      <c r="R62" s="49" t="str">
        <f ca="1">IFERROR(__xludf.DUMMYFUNCTION("QUERY('Volunteer Survey'!K67)"),"Clinical Actionability")</f>
        <v>Clinical Actionability</v>
      </c>
      <c r="S62" s="49" t="str">
        <f ca="1">IFERROR(__xludf.DUMMYFUNCTION("QUERY('Volunteer Survey'!L67)"),"Dosage Sensitivity")</f>
        <v>Dosage Sensitivity</v>
      </c>
      <c r="T62" s="49" t="str">
        <f ca="1">IFERROR(__xludf.DUMMYFUNCTION("QUERY('Volunteer Survey'!M67)"),"Somatic Cancer")</f>
        <v>Somatic Cancer</v>
      </c>
      <c r="U62" s="58" t="str">
        <f ca="1">IFERROR(__xludf.DUMMYFUNCTION("QUERY('Volunteer Survey'!N67)"),"yes")</f>
        <v>yes</v>
      </c>
      <c r="V62" s="49" t="str">
        <f ca="1">IFERROR(__xludf.DUMMYFUNCTION("QUERY('Volunteer Survey'!O67)"),"Possibly")</f>
        <v>Possibly</v>
      </c>
      <c r="W62" s="60" t="str">
        <f ca="1">IFERROR(__xludf.DUMMYFUNCTION("QUERY('Volunteer Survey'!P67)"),"hereditary cancer panel and inborn error of metabolism, if not a Baseline Biocurator")</f>
        <v>hereditary cancer panel and inborn error of metabolism, if not a Baseline Biocurator</v>
      </c>
      <c r="X62" s="58" t="str">
        <f ca="1">IFERROR(__xludf.DUMMYFUNCTION("QUERY('Volunteer Survey'!R67)"),"Yes- I am willing to volunteer with any available ClinGen group")</f>
        <v>Yes- I am willing to volunteer with any available ClinGen group</v>
      </c>
      <c r="Y62" s="47"/>
      <c r="Z62" s="174">
        <f ca="1">IFERROR(__xludf.DUMMYFUNCTION("QUERY('Volunteer Survey'!A61)"),43414.4204629629)</f>
        <v>43414.420462962902</v>
      </c>
      <c r="AA62" s="175" t="str">
        <f ca="1">IFERROR(__xludf.DUMMYFUNCTION("QUERY('Volunteer Survey'!B61)"),"Willonie Mendonca")</f>
        <v>Willonie Mendonca</v>
      </c>
      <c r="AB62" s="175" t="str">
        <f ca="1">IFERROR(__xludf.DUMMYFUNCTION("QUERY('Volunteer Survey'!C61)"),"Genedx/BioReference Labs")</f>
        <v>Genedx/BioReference Labs</v>
      </c>
      <c r="AC62" s="175" t="str">
        <f ca="1">IFERROR(__xludf.DUMMYFUNCTION("QUERY('Volunteer Survey'!D61)"),"Seattle, WA")</f>
        <v>Seattle, WA</v>
      </c>
      <c r="AD62" s="175" t="str">
        <f ca="1">IFERROR(__xludf.DUMMYFUNCTION("QUERY('Volunteer Survey'!E61)"),"willonie@gmail.com")</f>
        <v>willonie@gmail.com</v>
      </c>
      <c r="AE62" s="175" t="str">
        <f ca="1">IFERROR(__xludf.DUMMYFUNCTION("QUERY('Volunteer Survey'!F61)"),"Genetic counselor")</f>
        <v>Genetic counselor</v>
      </c>
      <c r="AF62" s="175" t="str">
        <f ca="1">IFERROR(__xludf.DUMMYFUNCTION("QUERY('Volunteer Survey'!G61)"),"NA")</f>
        <v>NA</v>
      </c>
      <c r="AG62" s="175" t="str">
        <f ca="1">IFERROR(__xludf.DUMMYFUNCTION("QUERY('Volunteer Survey'!H61)"),"Comprehensive")</f>
        <v>Comprehensive</v>
      </c>
      <c r="AH62" s="175" t="str">
        <f ca="1">IFERROR(__xludf.DUMMYFUNCTION("QUERY('Volunteer Survey'!I61)"),"Somatic Cancer")</f>
        <v>Somatic Cancer</v>
      </c>
      <c r="AI62" s="175" t="str">
        <f ca="1">IFERROR(__xludf.DUMMYFUNCTION("QUERY('Volunteer Survey'!J61)"),"Variant Pathogenicity")</f>
        <v>Variant Pathogenicity</v>
      </c>
      <c r="AJ62" s="175" t="str">
        <f ca="1">IFERROR(__xludf.DUMMYFUNCTION("QUERY('Volunteer Survey'!K61)"),"Clinical Actionability")</f>
        <v>Clinical Actionability</v>
      </c>
      <c r="AK62" s="175" t="str">
        <f ca="1">IFERROR(__xludf.DUMMYFUNCTION("QUERY('Volunteer Survey'!L61)"),"Gene-Disease Validity")</f>
        <v>Gene-Disease Validity</v>
      </c>
      <c r="AL62" s="175" t="str">
        <f ca="1">IFERROR(__xludf.DUMMYFUNCTION("QUERY('Volunteer Survey'!M61)"),"Dosage Sensitivity")</f>
        <v>Dosage Sensitivity</v>
      </c>
      <c r="AM62" s="175" t="str">
        <f ca="1">IFERROR(__xludf.DUMMYFUNCTION("QUERY('Volunteer Survey'!N61)"),"yes")</f>
        <v>yes</v>
      </c>
      <c r="AN62" s="175" t="str">
        <f ca="1">IFERROR(__xludf.DUMMYFUNCTION("QUERY('Volunteer Survey'!O61)"),"Possibly")</f>
        <v>Possibly</v>
      </c>
      <c r="AO62" s="175" t="str">
        <f ca="1">IFERROR(__xludf.DUMMYFUNCTION("QUERY('Volunteer Survey'!P61)"),"Somatic cancer working groupHereditary cancer working group")</f>
        <v>Somatic cancer working groupHereditary cancer working group</v>
      </c>
    </row>
    <row r="63" spans="1:41" ht="14">
      <c r="A63" s="89">
        <f ca="1">IFERROR(__xludf.DUMMYFUNCTION("QUERY('Volunteer Survey'!A68)"),43340.4416666666)</f>
        <v>43340.4416666666</v>
      </c>
      <c r="B63" s="76" t="s">
        <v>108</v>
      </c>
      <c r="C63" s="90">
        <v>43439</v>
      </c>
      <c r="D63" s="77">
        <v>43446</v>
      </c>
      <c r="E63" s="76" t="s">
        <v>117</v>
      </c>
      <c r="F63" s="76" t="s">
        <v>130</v>
      </c>
      <c r="G63" s="76" t="s">
        <v>122</v>
      </c>
      <c r="H63" s="78"/>
      <c r="I63" s="78" t="s">
        <v>299</v>
      </c>
      <c r="J63" s="79"/>
      <c r="K63" s="79"/>
      <c r="L63" s="79" t="str">
        <f ca="1">IFERROR(__xludf.DUMMYFUNCTION("QUERY('Volunteer Survey'!B68)"),"Elaine Spector ")</f>
        <v xml:space="preserve">Elaine Spector </v>
      </c>
      <c r="M63" s="79" t="str">
        <f ca="1">IFERROR(__xludf.DUMMYFUNCTION("QUERY('Volunteer Survey'!E68)"),"elaine.spector@childrenscolorado.org")</f>
        <v>elaine.spector@childrenscolorado.org</v>
      </c>
      <c r="N63" s="79" t="str">
        <f ca="1">IFERROR(__xludf.DUMMYFUNCTION("QUERY('Volunteer Survey'!F68)"),"Clinical laboratory geneticist")</f>
        <v>Clinical laboratory geneticist</v>
      </c>
      <c r="O63" s="76" t="str">
        <f ca="1">IFERROR(__xludf.DUMMYFUNCTION("QUERY('Volunteer Survey'!H68)"),"Comprehensive")</f>
        <v>Comprehensive</v>
      </c>
      <c r="P63" s="79" t="str">
        <f ca="1">IFERROR(__xludf.DUMMYFUNCTION("QUERY('Volunteer Survey'!I68)"),"Gene-Disease Validity")</f>
        <v>Gene-Disease Validity</v>
      </c>
      <c r="Q63" s="91" t="str">
        <f ca="1">IFERROR(__xludf.DUMMYFUNCTION("QUERY('Volunteer Survey'!J68)"),"Variant Pathogenicity")</f>
        <v>Variant Pathogenicity</v>
      </c>
      <c r="R63" s="79" t="str">
        <f ca="1">IFERROR(__xludf.DUMMYFUNCTION("QUERY('Volunteer Survey'!K68)"),"Clinical Actionability")</f>
        <v>Clinical Actionability</v>
      </c>
      <c r="S63" s="79" t="str">
        <f ca="1">IFERROR(__xludf.DUMMYFUNCTION("QUERY('Volunteer Survey'!L68)"),"Dosage Sensitivity")</f>
        <v>Dosage Sensitivity</v>
      </c>
      <c r="T63" s="79" t="str">
        <f ca="1">IFERROR(__xludf.DUMMYFUNCTION("QUERY('Volunteer Survey'!M68)"),"Somatic Cancer")</f>
        <v>Somatic Cancer</v>
      </c>
      <c r="U63" s="92" t="str">
        <f ca="1">IFERROR(__xludf.DUMMYFUNCTION("QUERY('Volunteer Survey'!N68)"),"yes")</f>
        <v>yes</v>
      </c>
      <c r="V63" s="79" t="str">
        <f ca="1">IFERROR(__xludf.DUMMYFUNCTION("QUERY('Volunteer Survey'!O68)"),"")</f>
        <v/>
      </c>
      <c r="W63" s="93" t="str">
        <f ca="1">IFERROR(__xludf.DUMMYFUNCTION("QUERY('Volunteer Survey'!P68)"),"Inborn Errors of Metabolism Clinical Domain Working Group . Amino Acid and Fatty Acid Working Groups.")</f>
        <v>Inborn Errors of Metabolism Clinical Domain Working Group . Amino Acid and Fatty Acid Working Groups.</v>
      </c>
      <c r="X63" s="92" t="str">
        <f ca="1">IFERROR(__xludf.DUMMYFUNCTION("QUERY('Volunteer Survey'!R68)"),"Yes- I am willing to volunteer with any available ClinGen group")</f>
        <v>Yes- I am willing to volunteer with any available ClinGen group</v>
      </c>
      <c r="Y63" s="94"/>
      <c r="Z63" s="174">
        <f ca="1">IFERROR(__xludf.DUMMYFUNCTION("QUERY('Volunteer Survey'!A62)"),43422.4216203703)</f>
        <v>43422.421620370304</v>
      </c>
      <c r="AA63" s="175" t="str">
        <f ca="1">IFERROR(__xludf.DUMMYFUNCTION("QUERY('Volunteer Survey'!B62)"),"Iman Haroun")</f>
        <v>Iman Haroun</v>
      </c>
      <c r="AB63" s="175" t="str">
        <f ca="1">IFERROR(__xludf.DUMMYFUNCTION("QUERY('Volunteer Survey'!C62)"),"Reading Hospital")</f>
        <v>Reading Hospital</v>
      </c>
      <c r="AC63" s="175" t="str">
        <f ca="1">IFERROR(__xludf.DUMMYFUNCTION("QUERY('Volunteer Survey'!D62)"),"PA")</f>
        <v>PA</v>
      </c>
      <c r="AD63" s="175" t="str">
        <f ca="1">IFERROR(__xludf.DUMMYFUNCTION("QUERY('Volunteer Survey'!E62)"),"iman.haroun@readinghealth.org")</f>
        <v>iman.haroun@readinghealth.org</v>
      </c>
      <c r="AE63" s="175" t="str">
        <f ca="1">IFERROR(__xludf.DUMMYFUNCTION("QUERY('Volunteer Survey'!F62)"),"Genetic counselor")</f>
        <v>Genetic counselor</v>
      </c>
      <c r="AF63" s="175" t="str">
        <f ca="1">IFERROR(__xludf.DUMMYFUNCTION("QUERY('Volunteer Survey'!G62)"),"NA")</f>
        <v>NA</v>
      </c>
      <c r="AG63" s="175" t="str">
        <f ca="1">IFERROR(__xludf.DUMMYFUNCTION("QUERY('Volunteer Survey'!H62)"),"Comprehensive")</f>
        <v>Comprehensive</v>
      </c>
      <c r="AH63" s="175" t="str">
        <f ca="1">IFERROR(__xludf.DUMMYFUNCTION("QUERY('Volunteer Survey'!I62)"),"Somatic Cancer")</f>
        <v>Somatic Cancer</v>
      </c>
      <c r="AI63" s="175" t="str">
        <f ca="1">IFERROR(__xludf.DUMMYFUNCTION("QUERY('Volunteer Survey'!J62)"),"Variant Pathogenicity")</f>
        <v>Variant Pathogenicity</v>
      </c>
      <c r="AJ63" s="175" t="str">
        <f ca="1">IFERROR(__xludf.DUMMYFUNCTION("QUERY('Volunteer Survey'!K62)"),"Gene-Disease Validity")</f>
        <v>Gene-Disease Validity</v>
      </c>
      <c r="AK63" s="175" t="str">
        <f ca="1">IFERROR(__xludf.DUMMYFUNCTION("QUERY('Volunteer Survey'!L62)"),"Dosage Sensitivity")</f>
        <v>Dosage Sensitivity</v>
      </c>
      <c r="AL63" s="175" t="str">
        <f ca="1">IFERROR(__xludf.DUMMYFUNCTION("QUERY('Volunteer Survey'!M62)"),"")</f>
        <v/>
      </c>
      <c r="AM63" s="175" t="str">
        <f ca="1">IFERROR(__xludf.DUMMYFUNCTION("QUERY('Volunteer Survey'!N62)"),"No")</f>
        <v>No</v>
      </c>
      <c r="AN63" s="175" t="str">
        <f ca="1">IFERROR(__xludf.DUMMYFUNCTION("QUERY('Volunteer Survey'!O62)"),"Possibly")</f>
        <v>Possibly</v>
      </c>
      <c r="AO63" s="175" t="str">
        <f ca="1">IFERROR(__xludf.DUMMYFUNCTION("QUERY('Volunteer Survey'!P62)"),"Somatic Cancer, Pancreatic")</f>
        <v>Somatic Cancer, Pancreatic</v>
      </c>
    </row>
    <row r="64" spans="1:41" ht="14">
      <c r="A64" s="44">
        <f ca="1">IFERROR(__xludf.DUMMYFUNCTION("QUERY('Volunteer Survey'!A69)"),43349.4431712963)</f>
        <v>43349.443171296298</v>
      </c>
      <c r="B64" s="42" t="s">
        <v>168</v>
      </c>
      <c r="C64" s="81">
        <v>43439</v>
      </c>
      <c r="D64" s="49"/>
      <c r="E64" s="42" t="s">
        <v>130</v>
      </c>
      <c r="F64" s="42" t="s">
        <v>130</v>
      </c>
      <c r="G64" s="42" t="s">
        <v>251</v>
      </c>
      <c r="H64" s="47"/>
      <c r="I64" s="47"/>
      <c r="J64" s="49"/>
      <c r="K64" s="49"/>
      <c r="L64" s="49" t="str">
        <f ca="1">IFERROR(__xludf.DUMMYFUNCTION("QUERY('Volunteer Survey'!B69)"),"Samya Chakravorty")</f>
        <v>Samya Chakravorty</v>
      </c>
      <c r="M64" s="49" t="str">
        <f ca="1">IFERROR(__xludf.DUMMYFUNCTION("QUERY('Volunteer Survey'!E69)"),"samya.chakravorty@emory.edu")</f>
        <v>samya.chakravorty@emory.edu</v>
      </c>
      <c r="N64" s="49" t="str">
        <f ca="1">IFERROR(__xludf.DUMMYFUNCTION("QUERY('Volunteer Survey'!F69)"),"Post Doc/Resident/Fellow (MD and/or PhD)")</f>
        <v>Post Doc/Resident/Fellow (MD and/or PhD)</v>
      </c>
      <c r="O64" s="42" t="str">
        <f ca="1">IFERROR(__xludf.DUMMYFUNCTION("QUERY('Volunteer Survey'!H69)"),"Comprehensive")</f>
        <v>Comprehensive</v>
      </c>
      <c r="P64" s="49" t="str">
        <f ca="1">IFERROR(__xludf.DUMMYFUNCTION("QUERY('Volunteer Survey'!I69)"),"Variant Pathogenicity")</f>
        <v>Variant Pathogenicity</v>
      </c>
      <c r="Q64" s="54" t="str">
        <f ca="1">IFERROR(__xludf.DUMMYFUNCTION("QUERY('Volunteer Survey'!J69)"),"Gene-Disease Validity")</f>
        <v>Gene-Disease Validity</v>
      </c>
      <c r="R64" s="49" t="str">
        <f ca="1">IFERROR(__xludf.DUMMYFUNCTION("QUERY('Volunteer Survey'!K69)"),"Dosage Sensitivity")</f>
        <v>Dosage Sensitivity</v>
      </c>
      <c r="S64" s="49" t="str">
        <f ca="1">IFERROR(__xludf.DUMMYFUNCTION("QUERY('Volunteer Survey'!L69)"),"Somatic Cancer")</f>
        <v>Somatic Cancer</v>
      </c>
      <c r="T64" s="49" t="str">
        <f ca="1">IFERROR(__xludf.DUMMYFUNCTION("QUERY('Volunteer Survey'!M69)"),"Clinical Actionability")</f>
        <v>Clinical Actionability</v>
      </c>
      <c r="U64" s="58" t="str">
        <f ca="1">IFERROR(__xludf.DUMMYFUNCTION("QUERY('Volunteer Survey'!N69)"),"yes")</f>
        <v>yes</v>
      </c>
      <c r="V64" s="49" t="str">
        <f ca="1">IFERROR(__xludf.DUMMYFUNCTION("QUERY('Volunteer Survey'!O69)"),"Yes")</f>
        <v>Yes</v>
      </c>
      <c r="W64" s="60" t="str">
        <f ca="1">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c r="X64" s="58" t="str">
        <f ca="1">IFERROR(__xludf.DUMMYFUNCTION("QUERY('Volunteer Survey'!R69)"),"Maybe -- please contact me with other options, and I will decide based on what is available")</f>
        <v>Maybe -- please contact me with other options, and I will decide based on what is available</v>
      </c>
      <c r="Y64" s="47"/>
      <c r="Z64" s="174">
        <f ca="1">IFERROR(__xludf.DUMMYFUNCTION("QUERY('Volunteer Survey'!A63)"),43357.4285532407)</f>
        <v>43357.428553240701</v>
      </c>
      <c r="AA64" s="175" t="str">
        <f ca="1">IFERROR(__xludf.DUMMYFUNCTION("QUERY('Volunteer Survey'!B63)"),"Daniel Bellissimo")</f>
        <v>Daniel Bellissimo</v>
      </c>
      <c r="AB64" s="175" t="str">
        <f ca="1">IFERROR(__xludf.DUMMYFUNCTION("QUERY('Volunteer Survey'!C63)"),"University of Pittsburgh  ")</f>
        <v xml:space="preserve">University of Pittsburgh  </v>
      </c>
      <c r="AC64" s="175" t="str">
        <f ca="1">IFERROR(__xludf.DUMMYFUNCTION("QUERY('Volunteer Survey'!D63)"),"PA")</f>
        <v>PA</v>
      </c>
      <c r="AD64" s="175" t="str">
        <f ca="1">IFERROR(__xludf.DUMMYFUNCTION("QUERY('Volunteer Survey'!E63)"),"BELLISSIMOD@MAIL.MAGEE.EDU")</f>
        <v>BELLISSIMOD@MAIL.MAGEE.EDU</v>
      </c>
      <c r="AE64" s="175" t="str">
        <f ca="1">IFERROR(__xludf.DUMMYFUNCTION("QUERY('Volunteer Survey'!F63)"),"Clinical laboratory geneticist")</f>
        <v>Clinical laboratory geneticist</v>
      </c>
      <c r="AF64" s="175" t="str">
        <f ca="1">IFERROR(__xludf.DUMMYFUNCTION("QUERY('Volunteer Survey'!G63)"),"n/a")</f>
        <v>n/a</v>
      </c>
      <c r="AG64" s="175" t="str">
        <f ca="1">IFERROR(__xludf.DUMMYFUNCTION("QUERY('Volunteer Survey'!H63)"),"Comprehensive")</f>
        <v>Comprehensive</v>
      </c>
      <c r="AH64" s="175" t="str">
        <f ca="1">IFERROR(__xludf.DUMMYFUNCTION("QUERY('Volunteer Survey'!I63)"),"Variant Pathogenicity")</f>
        <v>Variant Pathogenicity</v>
      </c>
      <c r="AI64" s="175" t="str">
        <f ca="1">IFERROR(__xludf.DUMMYFUNCTION("QUERY('Volunteer Survey'!J63)"),"Gene-Disease Validity")</f>
        <v>Gene-Disease Validity</v>
      </c>
      <c r="AJ64" s="175" t="str">
        <f ca="1">IFERROR(__xludf.DUMMYFUNCTION("QUERY('Volunteer Survey'!K63)"),"Clinical Actionability")</f>
        <v>Clinical Actionability</v>
      </c>
      <c r="AK64" s="175" t="str">
        <f ca="1">IFERROR(__xludf.DUMMYFUNCTION("QUERY('Volunteer Survey'!L63)"),"Dosage Sensitivity")</f>
        <v>Dosage Sensitivity</v>
      </c>
      <c r="AL64" s="175" t="str">
        <f ca="1">IFERROR(__xludf.DUMMYFUNCTION("QUERY('Volunteer Survey'!M63)"),"Somatic Cancer")</f>
        <v>Somatic Cancer</v>
      </c>
      <c r="AM64" s="175" t="str">
        <f ca="1">IFERROR(__xludf.DUMMYFUNCTION("QUERY('Volunteer Survey'!N63)"),"yes")</f>
        <v>yes</v>
      </c>
      <c r="AN64" s="175" t="str">
        <f ca="1">IFERROR(__xludf.DUMMYFUNCTION("QUERY('Volunteer Survey'!O63)"),"No")</f>
        <v>No</v>
      </c>
      <c r="AO64" s="175" t="str">
        <f ca="1">IFERROR(__xludf.DUMMYFUNCTION("QUERY('Volunteer Survey'!P63)"),"I was told work groups were being formed for Platelet/Bleeding Disorders and VWD. I would be interested in those work groups.")</f>
        <v>I was told work groups were being formed for Platelet/Bleeding Disorders and VWD. I would be interested in those work groups.</v>
      </c>
    </row>
    <row r="65" spans="1:41" ht="14">
      <c r="A65" s="44">
        <f ca="1">IFERROR(__xludf.DUMMYFUNCTION("QUERY('Volunteer Survey'!A70)"),43362.4448379629)</f>
        <v>43362.444837962903</v>
      </c>
      <c r="B65" s="42" t="s">
        <v>168</v>
      </c>
      <c r="C65" s="81">
        <v>43439</v>
      </c>
      <c r="D65" s="49"/>
      <c r="E65" s="42" t="s">
        <v>130</v>
      </c>
      <c r="F65" s="42" t="s">
        <v>130</v>
      </c>
      <c r="G65" s="42" t="s">
        <v>251</v>
      </c>
      <c r="H65" s="47"/>
      <c r="I65" s="45" t="s">
        <v>139</v>
      </c>
      <c r="J65" s="49"/>
      <c r="K65" s="49"/>
      <c r="L65" s="49" t="str">
        <f ca="1">IFERROR(__xludf.DUMMYFUNCTION("QUERY('Volunteer Survey'!B70)"),"Marco Leung")</f>
        <v>Marco Leung</v>
      </c>
      <c r="M65" s="49" t="str">
        <f ca="1">IFERROR(__xludf.DUMMYFUNCTION("QUERY('Volunteer Survey'!E70)"),"leungm@email.chop.edu")</f>
        <v>leungm@email.chop.edu</v>
      </c>
      <c r="N65" s="49" t="str">
        <f ca="1">IFERROR(__xludf.DUMMYFUNCTION("QUERY('Volunteer Survey'!F70)"),"Clinical laboratory geneticist")</f>
        <v>Clinical laboratory geneticist</v>
      </c>
      <c r="O65" s="42" t="str">
        <f ca="1">IFERROR(__xludf.DUMMYFUNCTION("QUERY('Volunteer Survey'!H70)"),"Comprehensive")</f>
        <v>Comprehensive</v>
      </c>
      <c r="P65" s="49" t="str">
        <f ca="1">IFERROR(__xludf.DUMMYFUNCTION("QUERY('Volunteer Survey'!I70)"),"Variant Pathogenicity")</f>
        <v>Variant Pathogenicity</v>
      </c>
      <c r="Q65" s="54" t="str">
        <f ca="1">IFERROR(__xludf.DUMMYFUNCTION("QUERY('Volunteer Survey'!J70)"),"Gene-Disease Validity")</f>
        <v>Gene-Disease Validity</v>
      </c>
      <c r="R65" s="49" t="str">
        <f ca="1">IFERROR(__xludf.DUMMYFUNCTION("QUERY('Volunteer Survey'!K70)"),"Dosage Sensitivity")</f>
        <v>Dosage Sensitivity</v>
      </c>
      <c r="S65" s="49" t="str">
        <f ca="1">IFERROR(__xludf.DUMMYFUNCTION("QUERY('Volunteer Survey'!L70)"),"Clinical Actionability")</f>
        <v>Clinical Actionability</v>
      </c>
      <c r="T65" s="49" t="str">
        <f ca="1">IFERROR(__xludf.DUMMYFUNCTION("QUERY('Volunteer Survey'!M70)"),"Somatic Cancer")</f>
        <v>Somatic Cancer</v>
      </c>
      <c r="U65" s="58" t="str">
        <f ca="1">IFERROR(__xludf.DUMMYFUNCTION("QUERY('Volunteer Survey'!N70)"),"yes")</f>
        <v>yes</v>
      </c>
      <c r="V65" s="49" t="str">
        <f ca="1">IFERROR(__xludf.DUMMYFUNCTION("QUERY('Volunteer Survey'!O70)"),"Yes")</f>
        <v>Yes</v>
      </c>
      <c r="W65" s="60" t="str">
        <f ca="1">IFERROR(__xludf.DUMMYFUNCTION("QUERY('Volunteer Survey'!P70)"),"Hereditary cancers; neurodevelopmental disorders; polivy making")</f>
        <v>Hereditary cancers; neurodevelopmental disorders; polivy making</v>
      </c>
      <c r="X65" s="58" t="str">
        <f ca="1">IFERROR(__xludf.DUMMYFUNCTION("QUERY('Volunteer Survey'!R70)"),"Yes- I am willing to volunteer with any available ClinGen group")</f>
        <v>Yes- I am willing to volunteer with any available ClinGen group</v>
      </c>
      <c r="Y65" s="47"/>
      <c r="Z65" s="174">
        <f ca="1">IFERROR(__xludf.DUMMYFUNCTION("QUERY('Volunteer Survey'!A64)"),43332.4316782407)</f>
        <v>43332.431678240697</v>
      </c>
      <c r="AA65" s="175" t="str">
        <f ca="1">IFERROR(__xludf.DUMMYFUNCTION("QUERY('Volunteer Survey'!B64)"),"Alexa Dickson ")</f>
        <v xml:space="preserve">Alexa Dickson </v>
      </c>
      <c r="AB65" s="175" t="str">
        <f ca="1">IFERROR(__xludf.DUMMYFUNCTION("QUERY('Volunteer Survey'!C64)"),"ARUP Laboratories")</f>
        <v>ARUP Laboratories</v>
      </c>
      <c r="AC65" s="175" t="str">
        <f ca="1">IFERROR(__xludf.DUMMYFUNCTION("QUERY('Volunteer Survey'!D64)"),"MO")</f>
        <v>MO</v>
      </c>
      <c r="AD65" s="175" t="str">
        <f ca="1">IFERROR(__xludf.DUMMYFUNCTION("QUERY('Volunteer Survey'!E64)"),"alexa.dickson@aruplab.com")</f>
        <v>alexa.dickson@aruplab.com</v>
      </c>
      <c r="AE65" s="175" t="str">
        <f ca="1">IFERROR(__xludf.DUMMYFUNCTION("QUERY('Volunteer Survey'!F64)"),"Clinical laboratory geneticist")</f>
        <v>Clinical laboratory geneticist</v>
      </c>
      <c r="AF65" s="175" t="str">
        <f ca="1">IFERROR(__xludf.DUMMYFUNCTION("QUERY('Volunteer Survey'!G64)"),"n/a")</f>
        <v>n/a</v>
      </c>
      <c r="AG65" s="175" t="str">
        <f ca="1">IFERROR(__xludf.DUMMYFUNCTION("QUERY('Volunteer Survey'!H64)"),"Comprehensive")</f>
        <v>Comprehensive</v>
      </c>
      <c r="AH65" s="175" t="str">
        <f ca="1">IFERROR(__xludf.DUMMYFUNCTION("QUERY('Volunteer Survey'!I64)"),"Variant Pathogenicity")</f>
        <v>Variant Pathogenicity</v>
      </c>
      <c r="AI65" s="175" t="str">
        <f ca="1">IFERROR(__xludf.DUMMYFUNCTION("QUERY('Volunteer Survey'!J64)"),"Gene-Disease Validity")</f>
        <v>Gene-Disease Validity</v>
      </c>
      <c r="AJ65" s="175" t="str">
        <f ca="1">IFERROR(__xludf.DUMMYFUNCTION("QUERY('Volunteer Survey'!K64)"),"Clinical Actionability")</f>
        <v>Clinical Actionability</v>
      </c>
      <c r="AK65" s="175" t="str">
        <f ca="1">IFERROR(__xludf.DUMMYFUNCTION("QUERY('Volunteer Survey'!L64)"),"Dosage Sensitivity")</f>
        <v>Dosage Sensitivity</v>
      </c>
      <c r="AL65" s="175" t="str">
        <f ca="1">IFERROR(__xludf.DUMMYFUNCTION("QUERY('Volunteer Survey'!M64)"),"Somatic Cancer")</f>
        <v>Somatic Cancer</v>
      </c>
      <c r="AM65" s="175" t="str">
        <f ca="1">IFERROR(__xludf.DUMMYFUNCTION("QUERY('Volunteer Survey'!N64)"),"yes")</f>
        <v>yes</v>
      </c>
      <c r="AN65" s="175" t="str">
        <f ca="1">IFERROR(__xludf.DUMMYFUNCTION("QUERY('Volunteer Survey'!O64)"),"Yes")</f>
        <v>Yes</v>
      </c>
      <c r="AO65" s="175" t="str">
        <f ca="1">IFERROR(__xludf.DUMMYFUNCTION("QUERY('Volunteer Survey'!P64)"),"retinal disease working group")</f>
        <v>retinal disease working group</v>
      </c>
    </row>
    <row r="66" spans="1:41" ht="14">
      <c r="A66" s="44">
        <f ca="1">IFERROR(__xludf.DUMMYFUNCTION("QUERY('Volunteer Survey'!A71)"),43364.4461458333)</f>
        <v>43364.446145833303</v>
      </c>
      <c r="B66" s="42" t="s">
        <v>168</v>
      </c>
      <c r="C66" s="81">
        <v>43439</v>
      </c>
      <c r="D66" s="49"/>
      <c r="E66" s="42" t="s">
        <v>130</v>
      </c>
      <c r="F66" s="42" t="s">
        <v>130</v>
      </c>
      <c r="G66" s="42" t="s">
        <v>251</v>
      </c>
      <c r="H66" s="47"/>
      <c r="I66" s="45" t="s">
        <v>139</v>
      </c>
      <c r="J66" s="49"/>
      <c r="K66" s="49"/>
      <c r="L66" s="49" t="str">
        <f ca="1">IFERROR(__xludf.DUMMYFUNCTION("QUERY('Volunteer Survey'!B71)"),"Emily Groopman")</f>
        <v>Emily Groopman</v>
      </c>
      <c r="M66" s="49" t="str">
        <f ca="1">IFERROR(__xludf.DUMMYFUNCTION("QUERY('Volunteer Survey'!E71)"),"ee.groopman@gmail.com")</f>
        <v>ee.groopman@gmail.com</v>
      </c>
      <c r="N66" s="49" t="str">
        <f ca="1">IFERROR(__xludf.DUMMYFUNCTION("QUERY('Volunteer Survey'!F71)"),"Post Doc/Resident/Fellow (MD and/or PhD)")</f>
        <v>Post Doc/Resident/Fellow (MD and/or PhD)</v>
      </c>
      <c r="O66" s="42" t="str">
        <f ca="1">IFERROR(__xludf.DUMMYFUNCTION("QUERY('Volunteer Survey'!H71)"),"Comprehensive")</f>
        <v>Comprehensive</v>
      </c>
      <c r="P66" s="49" t="str">
        <f ca="1">IFERROR(__xludf.DUMMYFUNCTION("QUERY('Volunteer Survey'!I71)"),"Variant Pathogenicity")</f>
        <v>Variant Pathogenicity</v>
      </c>
      <c r="Q66" s="54" t="str">
        <f ca="1">IFERROR(__xludf.DUMMYFUNCTION("QUERY('Volunteer Survey'!J71)"),"Gene-Disease Validity")</f>
        <v>Gene-Disease Validity</v>
      </c>
      <c r="R66" s="49" t="str">
        <f ca="1">IFERROR(__xludf.DUMMYFUNCTION("QUERY('Volunteer Survey'!K71)"),"Dosage Sensitivity")</f>
        <v>Dosage Sensitivity</v>
      </c>
      <c r="S66" s="49" t="str">
        <f ca="1">IFERROR(__xludf.DUMMYFUNCTION("QUERY('Volunteer Survey'!L71)"),"Clinical Actionability")</f>
        <v>Clinical Actionability</v>
      </c>
      <c r="T66" s="49" t="str">
        <f ca="1">IFERROR(__xludf.DUMMYFUNCTION("QUERY('Volunteer Survey'!M71)"),"Somatic Cancer")</f>
        <v>Somatic Cancer</v>
      </c>
      <c r="U66" s="58" t="str">
        <f ca="1">IFERROR(__xludf.DUMMYFUNCTION("QUERY('Volunteer Survey'!N71)"),"yes")</f>
        <v>yes</v>
      </c>
      <c r="V66" s="49" t="str">
        <f ca="1">IFERROR(__xludf.DUMMYFUNCTION("QUERY('Volunteer Survey'!O71)"),"Yes")</f>
        <v>Yes</v>
      </c>
      <c r="W66" s="60" t="str">
        <f ca="1">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c r="X66" s="58" t="str">
        <f ca="1">IFERROR(__xludf.DUMMYFUNCTION("QUERY('Volunteer Survey'!R71)"),"Yes- I am willing to volunteer with any available ClinGen group")</f>
        <v>Yes- I am willing to volunteer with any available ClinGen group</v>
      </c>
      <c r="Y66" s="47"/>
      <c r="Z66" s="174">
        <f ca="1">IFERROR(__xludf.DUMMYFUNCTION("QUERY('Volunteer Survey'!A65)"),43334.4335879629)</f>
        <v>43334.4335879629</v>
      </c>
      <c r="AA66" s="175" t="str">
        <f ca="1">IFERROR(__xludf.DUMMYFUNCTION("QUERY('Volunteer Survey'!B65)"),"Luke Drury")</f>
        <v>Luke Drury</v>
      </c>
      <c r="AB66" s="175" t="str">
        <f ca="1">IFERROR(__xludf.DUMMYFUNCTION("QUERY('Volunteer Survey'!C65)"),"Prevention Genetics")</f>
        <v>Prevention Genetics</v>
      </c>
      <c r="AC66" s="175" t="str">
        <f ca="1">IFERROR(__xludf.DUMMYFUNCTION("QUERY('Volunteer Survey'!D65)"),"WI")</f>
        <v>WI</v>
      </c>
      <c r="AD66" s="175" t="str">
        <f ca="1">IFERROR(__xludf.DUMMYFUNCTION("QUERY('Volunteer Survey'!E65)"),"luke.drury@preventiongenetics.com")</f>
        <v>luke.drury@preventiongenetics.com</v>
      </c>
      <c r="AE66" s="175" t="str">
        <f ca="1">IFERROR(__xludf.DUMMYFUNCTION("QUERY('Volunteer Survey'!F65)"),"Variant Analyst/Scientist")</f>
        <v>Variant Analyst/Scientist</v>
      </c>
      <c r="AF66" s="175" t="str">
        <f ca="1">IFERROR(__xludf.DUMMYFUNCTION("QUERY('Volunteer Survey'!G65)"),"n/a")</f>
        <v>n/a</v>
      </c>
      <c r="AG66" s="175" t="str">
        <f ca="1">IFERROR(__xludf.DUMMYFUNCTION("QUERY('Volunteer Survey'!H65)"),"Comprehensive")</f>
        <v>Comprehensive</v>
      </c>
      <c r="AH66" s="175" t="str">
        <f ca="1">IFERROR(__xludf.DUMMYFUNCTION("QUERY('Volunteer Survey'!I65)"),"Variant Pathogenicity")</f>
        <v>Variant Pathogenicity</v>
      </c>
      <c r="AI66" s="175" t="str">
        <f ca="1">IFERROR(__xludf.DUMMYFUNCTION("QUERY('Volunteer Survey'!J65)"),"Gene-Disease Validity")</f>
        <v>Gene-Disease Validity</v>
      </c>
      <c r="AJ66" s="175" t="str">
        <f ca="1">IFERROR(__xludf.DUMMYFUNCTION("QUERY('Volunteer Survey'!K65)"),"Clinical Actionability")</f>
        <v>Clinical Actionability</v>
      </c>
      <c r="AK66" s="175" t="str">
        <f ca="1">IFERROR(__xludf.DUMMYFUNCTION("QUERY('Volunteer Survey'!L65)"),"Dosage Sensitivity")</f>
        <v>Dosage Sensitivity</v>
      </c>
      <c r="AL66" s="175" t="str">
        <f ca="1">IFERROR(__xludf.DUMMYFUNCTION("QUERY('Volunteer Survey'!M65)"),"Somatic Cancer")</f>
        <v>Somatic Cancer</v>
      </c>
      <c r="AM66" s="175" t="str">
        <f ca="1">IFERROR(__xludf.DUMMYFUNCTION("QUERY('Volunteer Survey'!N65)"),"yes")</f>
        <v>yes</v>
      </c>
      <c r="AN66" s="175" t="str">
        <f ca="1">IFERROR(__xludf.DUMMYFUNCTION("QUERY('Volunteer Survey'!O65)"),"No")</f>
        <v>No</v>
      </c>
      <c r="AO66" s="175" t="str">
        <f ca="1">IFERROR(__xludf.DUMMYFUNCTION("QUERY('Volunteer Survey'!P65)"),"any WG")</f>
        <v>any WG</v>
      </c>
    </row>
    <row r="67" spans="1:41" ht="14">
      <c r="A67" s="44">
        <f ca="1">IFERROR(__xludf.DUMMYFUNCTION("QUERY('Volunteer Survey'!A72)"),43369.4483449074)</f>
        <v>43369.448344907403</v>
      </c>
      <c r="B67" s="42" t="s">
        <v>160</v>
      </c>
      <c r="C67" s="81">
        <v>43439</v>
      </c>
      <c r="D67" s="59">
        <v>43608</v>
      </c>
      <c r="E67" s="42" t="s">
        <v>117</v>
      </c>
      <c r="F67" s="42" t="s">
        <v>117</v>
      </c>
      <c r="G67" s="42" t="s">
        <v>251</v>
      </c>
      <c r="H67" s="45" t="s">
        <v>302</v>
      </c>
      <c r="I67" s="45" t="s">
        <v>139</v>
      </c>
      <c r="J67" s="50">
        <v>43712</v>
      </c>
      <c r="K67" s="50"/>
      <c r="L67" s="49" t="str">
        <f ca="1">IFERROR(__xludf.DUMMYFUNCTION("QUERY('Volunteer Survey'!B72)"),"Rhonda Lassiter ")</f>
        <v xml:space="preserve">Rhonda Lassiter </v>
      </c>
      <c r="M67" s="49" t="str">
        <f ca="1">IFERROR(__xludf.DUMMYFUNCTION("QUERY('Volunteer Survey'!E72)"),"rlassiter@ambrygen.com")</f>
        <v>rlassiter@ambrygen.com</v>
      </c>
      <c r="N67" s="49" t="str">
        <f ca="1">IFERROR(__xludf.DUMMYFUNCTION("QUERY('Volunteer Survey'!F72)"),"Variant Analyst/Scientist")</f>
        <v>Variant Analyst/Scientist</v>
      </c>
      <c r="O67" s="42" t="str">
        <f ca="1">IFERROR(__xludf.DUMMYFUNCTION("QUERY('Volunteer Survey'!H72)"),"Comprehensive")</f>
        <v>Comprehensive</v>
      </c>
      <c r="P67" s="49" t="str">
        <f ca="1">IFERROR(__xludf.DUMMYFUNCTION("QUERY('Volunteer Survey'!I72)"),"Variant Pathogenicity")</f>
        <v>Variant Pathogenicity</v>
      </c>
      <c r="Q67" s="95" t="str">
        <f ca="1">IFERROR(__xludf.DUMMYFUNCTION("QUERY('Volunteer Survey'!J72)"),"Gene-Disease Validity")</f>
        <v>Gene-Disease Validity</v>
      </c>
      <c r="R67" s="49" t="str">
        <f ca="1">IFERROR(__xludf.DUMMYFUNCTION("QUERY('Volunteer Survey'!K72)"),"Dosage Sensitivity")</f>
        <v>Dosage Sensitivity</v>
      </c>
      <c r="S67" s="49" t="str">
        <f ca="1">IFERROR(__xludf.DUMMYFUNCTION("QUERY('Volunteer Survey'!L72)"),"Clinical Actionability")</f>
        <v>Clinical Actionability</v>
      </c>
      <c r="T67" s="49" t="str">
        <f ca="1">IFERROR(__xludf.DUMMYFUNCTION("QUERY('Volunteer Survey'!M72)"),"Somatic Cancer")</f>
        <v>Somatic Cancer</v>
      </c>
      <c r="U67" s="58" t="str">
        <f ca="1">IFERROR(__xludf.DUMMYFUNCTION("QUERY('Volunteer Survey'!N72)"),"yes")</f>
        <v>yes</v>
      </c>
      <c r="V67" s="49" t="str">
        <f ca="1">IFERROR(__xludf.DUMMYFUNCTION("QUERY('Volunteer Survey'!O72)"),"Yes")</f>
        <v>Yes</v>
      </c>
      <c r="W67" s="96" t="str">
        <f ca="1">IFERROR(__xludf.DUMMYFUNCTION("QUERY('Volunteer Survey'!P72)"),"I am interested in any of the Neurodevelopmental Disorders CDWG's. I am happy to help wherever there is a need.")</f>
        <v>I am interested in any of the Neurodevelopmental Disorders CDWG's. I am happy to help wherever there is a need.</v>
      </c>
      <c r="X67" s="58" t="str">
        <f ca="1">IFERROR(__xludf.DUMMYFUNCTION("QUERY('Volunteer Survey'!R72)"),"Yes- I am willing to volunteer with any available ClinGen group")</f>
        <v>Yes- I am willing to volunteer with any available ClinGen group</v>
      </c>
      <c r="Y67" s="47"/>
      <c r="Z67" s="174">
        <f ca="1">IFERROR(__xludf.DUMMYFUNCTION("QUERY('Volunteer Survey'!A66)"),43336.4358333333)</f>
        <v>43336.4358333333</v>
      </c>
      <c r="AA67" s="175" t="str">
        <f ca="1">IFERROR(__xludf.DUMMYFUNCTION("QUERY('Volunteer Survey'!B66)"),"Lynne Rosenblum")</f>
        <v>Lynne Rosenblum</v>
      </c>
      <c r="AB67" s="175" t="str">
        <f ca="1">IFERROR(__xludf.DUMMYFUNCTION("QUERY('Volunteer Survey'!C66)"),"Integrated Genetics/LabCorp")</f>
        <v>Integrated Genetics/LabCorp</v>
      </c>
      <c r="AC67" s="175" t="str">
        <f ca="1">IFERROR(__xludf.DUMMYFUNCTION("QUERY('Volunteer Survey'!D66)"),"MA")</f>
        <v>MA</v>
      </c>
      <c r="AD67" s="175" t="str">
        <f ca="1">IFERROR(__xludf.DUMMYFUNCTION("QUERY('Volunteer Survey'!E66)"),"lynne.rosenblum@integratedgenetics.com")</f>
        <v>lynne.rosenblum@integratedgenetics.com</v>
      </c>
      <c r="AE67" s="175" t="str">
        <f ca="1">IFERROR(__xludf.DUMMYFUNCTION("QUERY('Volunteer Survey'!F66)"),"Clinical laboratory geneticist")</f>
        <v>Clinical laboratory geneticist</v>
      </c>
      <c r="AF67" s="175" t="str">
        <f ca="1">IFERROR(__xludf.DUMMYFUNCTION("QUERY('Volunteer Survey'!G66)"),"n/a")</f>
        <v>n/a</v>
      </c>
      <c r="AG67" s="175" t="str">
        <f ca="1">IFERROR(__xludf.DUMMYFUNCTION("QUERY('Volunteer Survey'!H66)"),"Comprehensive")</f>
        <v>Comprehensive</v>
      </c>
      <c r="AH67" s="175" t="str">
        <f ca="1">IFERROR(__xludf.DUMMYFUNCTION("QUERY('Volunteer Survey'!I66)"),"Variant Pathogenicity")</f>
        <v>Variant Pathogenicity</v>
      </c>
      <c r="AI67" s="175" t="str">
        <f ca="1">IFERROR(__xludf.DUMMYFUNCTION("QUERY('Volunteer Survey'!J66)"),"Clinical Actionability")</f>
        <v>Clinical Actionability</v>
      </c>
      <c r="AJ67" s="175" t="str">
        <f ca="1">IFERROR(__xludf.DUMMYFUNCTION("QUERY('Volunteer Survey'!K66)"),"Dosage Sensitivity")</f>
        <v>Dosage Sensitivity</v>
      </c>
      <c r="AK67" s="175" t="str">
        <f ca="1">IFERROR(__xludf.DUMMYFUNCTION("QUERY('Volunteer Survey'!L66)"),"Gene-Disease Validity")</f>
        <v>Gene-Disease Validity</v>
      </c>
      <c r="AL67" s="175" t="str">
        <f ca="1">IFERROR(__xludf.DUMMYFUNCTION("QUERY('Volunteer Survey'!M66)"),"Somatic Cancer")</f>
        <v>Somatic Cancer</v>
      </c>
      <c r="AM67" s="175" t="str">
        <f ca="1">IFERROR(__xludf.DUMMYFUNCTION("QUERY('Volunteer Survey'!N66)"),"yes")</f>
        <v>yes</v>
      </c>
      <c r="AN67" s="175" t="str">
        <f ca="1">IFERROR(__xludf.DUMMYFUNCTION("QUERY('Volunteer Survey'!O66)"),"Possibly")</f>
        <v>Possibly</v>
      </c>
      <c r="AO67" s="175" t="str">
        <f ca="1">IFERROR(__xludf.DUMMYFUNCTION("QUERY('Volunteer Survey'!P66)"),"storage disease and somatic/germline working groups, but am open to other opportunities.")</f>
        <v>storage disease and somatic/germline working groups, but am open to other opportunities.</v>
      </c>
    </row>
    <row r="68" spans="1:41" ht="14">
      <c r="A68" s="44">
        <f ca="1">IFERROR(__xludf.DUMMYFUNCTION("QUERY('Volunteer Survey'!A74)"),43389.4523379629)</f>
        <v>43389.452337962903</v>
      </c>
      <c r="B68" s="42" t="s">
        <v>108</v>
      </c>
      <c r="C68" s="81">
        <v>43439</v>
      </c>
      <c r="D68" s="59">
        <v>43608</v>
      </c>
      <c r="E68" s="42" t="s">
        <v>117</v>
      </c>
      <c r="F68" s="42" t="s">
        <v>117</v>
      </c>
      <c r="G68" s="42" t="s">
        <v>251</v>
      </c>
      <c r="H68" s="45" t="s">
        <v>303</v>
      </c>
      <c r="I68" s="45" t="s">
        <v>299</v>
      </c>
      <c r="J68" s="50">
        <v>43712</v>
      </c>
      <c r="K68" s="50"/>
      <c r="L68" s="49" t="str">
        <f ca="1">IFERROR(__xludf.DUMMYFUNCTION("QUERY('Volunteer Survey'!B74)"),"Emma Reble ")</f>
        <v xml:space="preserve">Emma Reble </v>
      </c>
      <c r="M68" s="49" t="str">
        <f ca="1">IFERROR(__xludf.DUMMYFUNCTION("QUERY('Volunteer Survey'!E74)"),"reblee@smh.ca")</f>
        <v>reblee@smh.ca</v>
      </c>
      <c r="N68" s="49" t="str">
        <f ca="1">IFERROR(__xludf.DUMMYFUNCTION("QUERY('Volunteer Survey'!F74)"),"Variant Analyst/Scientist")</f>
        <v>Variant Analyst/Scientist</v>
      </c>
      <c r="O68" s="42" t="str">
        <f ca="1">IFERROR(__xludf.DUMMYFUNCTION("QUERY('Volunteer Survey'!H74)"),"Comprehensive")</f>
        <v>Comprehensive</v>
      </c>
      <c r="P68" s="49" t="str">
        <f ca="1">IFERROR(__xludf.DUMMYFUNCTION("QUERY('Volunteer Survey'!I74)"),"Variant Pathogenicity")</f>
        <v>Variant Pathogenicity</v>
      </c>
      <c r="Q68" s="54" t="str">
        <f ca="1">IFERROR(__xludf.DUMMYFUNCTION("QUERY('Volunteer Survey'!J74)"),"Gene-Disease Validity")</f>
        <v>Gene-Disease Validity</v>
      </c>
      <c r="R68" s="49" t="str">
        <f ca="1">IFERROR(__xludf.DUMMYFUNCTION("QUERY('Volunteer Survey'!K74)"),"Clinical Actionability")</f>
        <v>Clinical Actionability</v>
      </c>
      <c r="S68" s="49" t="str">
        <f ca="1">IFERROR(__xludf.DUMMYFUNCTION("QUERY('Volunteer Survey'!L74)"),"Dosage Sensitivity")</f>
        <v>Dosage Sensitivity</v>
      </c>
      <c r="T68" s="49" t="str">
        <f ca="1">IFERROR(__xludf.DUMMYFUNCTION("QUERY('Volunteer Survey'!M74)"),"Somatic Cancer")</f>
        <v>Somatic Cancer</v>
      </c>
      <c r="U68" s="58" t="str">
        <f ca="1">IFERROR(__xludf.DUMMYFUNCTION("QUERY('Volunteer Survey'!N74)"),"yes")</f>
        <v>yes</v>
      </c>
      <c r="V68" s="49" t="str">
        <f ca="1">IFERROR(__xludf.DUMMYFUNCTION("QUERY('Volunteer Survey'!O74)"),"Yes")</f>
        <v>Yes</v>
      </c>
      <c r="W68" s="60" t="str">
        <f ca="1">IFERROR(__xludf.DUMMYFUNCTION("QUERY('Volunteer Survey'!P74)"),"I am interest in the neurodevelopmental disorder CDWG, particularly the Autism and ID group.")</f>
        <v>I am interest in the neurodevelopmental disorder CDWG, particularly the Autism and ID group.</v>
      </c>
      <c r="X68" s="58" t="str">
        <f ca="1">IFERROR(__xludf.DUMMYFUNCTION("QUERY('Volunteer Survey'!R74)"),"Maybe -- please contact me with other options, and I will decide based on what is available")</f>
        <v>Maybe -- please contact me with other options, and I will decide based on what is available</v>
      </c>
      <c r="Y68" s="47"/>
      <c r="Z68" s="174">
        <f ca="1">IFERROR(__xludf.DUMMYFUNCTION("QUERY('Volunteer Survey'!A67)"),43340.4389236111)</f>
        <v>43340.438923611102</v>
      </c>
      <c r="AA68" s="175" t="str">
        <f ca="1">IFERROR(__xludf.DUMMYFUNCTION("QUERY('Volunteer Survey'!B67)"),"Yang Wang")</f>
        <v>Yang Wang</v>
      </c>
      <c r="AB68" s="175" t="str">
        <f ca="1">IFERROR(__xludf.DUMMYFUNCTION("QUERY('Volunteer Survey'!C67)"),"PerkinElmer Genomics")</f>
        <v>PerkinElmer Genomics</v>
      </c>
      <c r="AC68" s="175" t="str">
        <f ca="1">IFERROR(__xludf.DUMMYFUNCTION("QUERY('Volunteer Survey'!D67)"),"GA")</f>
        <v>GA</v>
      </c>
      <c r="AD68" s="175" t="str">
        <f ca="1">IFERROR(__xludf.DUMMYFUNCTION("QUERY('Volunteer Survey'!E67)"),"yangwangcmg@gmail.com")</f>
        <v>yangwangcmg@gmail.com</v>
      </c>
      <c r="AE68" s="175" t="str">
        <f ca="1">IFERROR(__xludf.DUMMYFUNCTION("QUERY('Volunteer Survey'!F67)"),"Clinical laboratory geneticist")</f>
        <v>Clinical laboratory geneticist</v>
      </c>
      <c r="AF68" s="175" t="str">
        <f ca="1">IFERROR(__xludf.DUMMYFUNCTION("QUERY('Volunteer Survey'!G67)"),"n/a")</f>
        <v>n/a</v>
      </c>
      <c r="AG68" s="175" t="str">
        <f ca="1">IFERROR(__xludf.DUMMYFUNCTION("QUERY('Volunteer Survey'!H67)"),"Comprehensive")</f>
        <v>Comprehensive</v>
      </c>
      <c r="AH68" s="175" t="str">
        <f ca="1">IFERROR(__xludf.DUMMYFUNCTION("QUERY('Volunteer Survey'!I67)"),"Variant Pathogenicity")</f>
        <v>Variant Pathogenicity</v>
      </c>
      <c r="AI68" s="175" t="str">
        <f ca="1">IFERROR(__xludf.DUMMYFUNCTION("QUERY('Volunteer Survey'!J67)"),"Gene-Disease Validity")</f>
        <v>Gene-Disease Validity</v>
      </c>
      <c r="AJ68" s="175" t="str">
        <f ca="1">IFERROR(__xludf.DUMMYFUNCTION("QUERY('Volunteer Survey'!K67)"),"Clinical Actionability")</f>
        <v>Clinical Actionability</v>
      </c>
      <c r="AK68" s="175" t="str">
        <f ca="1">IFERROR(__xludf.DUMMYFUNCTION("QUERY('Volunteer Survey'!L67)"),"Dosage Sensitivity")</f>
        <v>Dosage Sensitivity</v>
      </c>
      <c r="AL68" s="175" t="str">
        <f ca="1">IFERROR(__xludf.DUMMYFUNCTION("QUERY('Volunteer Survey'!M67)"),"Somatic Cancer")</f>
        <v>Somatic Cancer</v>
      </c>
      <c r="AM68" s="175" t="str">
        <f ca="1">IFERROR(__xludf.DUMMYFUNCTION("QUERY('Volunteer Survey'!N67)"),"yes")</f>
        <v>yes</v>
      </c>
      <c r="AN68" s="175" t="str">
        <f ca="1">IFERROR(__xludf.DUMMYFUNCTION("QUERY('Volunteer Survey'!O67)"),"Possibly")</f>
        <v>Possibly</v>
      </c>
      <c r="AO68" s="175" t="str">
        <f ca="1">IFERROR(__xludf.DUMMYFUNCTION("QUERY('Volunteer Survey'!P67)"),"hereditary cancer panel and inborn error of metabolism, if not a Baseline Biocurator")</f>
        <v>hereditary cancer panel and inborn error of metabolism, if not a Baseline Biocurator</v>
      </c>
    </row>
    <row r="69" spans="1:41" ht="14">
      <c r="A69" s="44">
        <f ca="1">IFERROR(__xludf.DUMMYFUNCTION("QUERY('Volunteer Survey'!A75)"),43373.450949074)</f>
        <v>43373.450949074002</v>
      </c>
      <c r="B69" s="42" t="s">
        <v>168</v>
      </c>
      <c r="C69" s="81">
        <v>43439</v>
      </c>
      <c r="D69" s="59"/>
      <c r="E69" s="42" t="s">
        <v>130</v>
      </c>
      <c r="F69" s="42" t="s">
        <v>130</v>
      </c>
      <c r="G69" s="42" t="s">
        <v>251</v>
      </c>
      <c r="H69" s="47"/>
      <c r="I69" s="45" t="s">
        <v>139</v>
      </c>
      <c r="J69" s="49"/>
      <c r="K69" s="49"/>
      <c r="L69" s="49" t="str">
        <f ca="1">IFERROR(__xludf.DUMMYFUNCTION("QUERY('Volunteer Survey'!B75)"),"Bryony Thompson")</f>
        <v>Bryony Thompson</v>
      </c>
      <c r="M69" s="49" t="str">
        <f ca="1">IFERROR(__xludf.DUMMYFUNCTION("QUERY('Volunteer Survey'!E75)"),"Bryony.Thompson@mh.org.au")</f>
        <v>Bryony.Thompson@mh.org.au</v>
      </c>
      <c r="N69" s="49" t="str">
        <f ca="1">IFERROR(__xludf.DUMMYFUNCTION("QUERY('Volunteer Survey'!F75)"),"Post Doc/Resident/Fellow (MD and/or PhD)")</f>
        <v>Post Doc/Resident/Fellow (MD and/or PhD)</v>
      </c>
      <c r="O69" s="42" t="str">
        <f ca="1">IFERROR(__xludf.DUMMYFUNCTION("QUERY('Volunteer Survey'!H75)"),"Comprehensive")</f>
        <v>Comprehensive</v>
      </c>
      <c r="P69" s="49" t="str">
        <f ca="1">IFERROR(__xludf.DUMMYFUNCTION("QUERY('Volunteer Survey'!I75)"),"Variant Pathogenicity")</f>
        <v>Variant Pathogenicity</v>
      </c>
      <c r="Q69" s="54" t="str">
        <f ca="1">IFERROR(__xludf.DUMMYFUNCTION("QUERY('Volunteer Survey'!J75)"),"")</f>
        <v/>
      </c>
      <c r="R69" s="49" t="str">
        <f ca="1">IFERROR(__xludf.DUMMYFUNCTION("QUERY('Volunteer Survey'!K75)"),"")</f>
        <v/>
      </c>
      <c r="S69" s="49" t="str">
        <f ca="1">IFERROR(__xludf.DUMMYFUNCTION("QUERY('Volunteer Survey'!L75)"),"")</f>
        <v/>
      </c>
      <c r="T69" s="49" t="str">
        <f ca="1">IFERROR(__xludf.DUMMYFUNCTION("QUERY('Volunteer Survey'!M75)"),"")</f>
        <v/>
      </c>
      <c r="U69" s="58" t="str">
        <f ca="1">IFERROR(__xludf.DUMMYFUNCTION("QUERY('Volunteer Survey'!N75)"),"yes")</f>
        <v>yes</v>
      </c>
      <c r="V69" s="49" t="str">
        <f ca="1">IFERROR(__xludf.DUMMYFUNCTION("QUERY('Volunteer Survey'!O75)"),"No")</f>
        <v>No</v>
      </c>
      <c r="W69" s="60" t="str">
        <f ca="1">IFERROR(__xludf.DUMMYFUNCTION("QUERY('Volunteer Survey'!P75)"),"CDH1 Variant Curation Expert Panel")</f>
        <v>CDH1 Variant Curation Expert Panel</v>
      </c>
      <c r="X69" s="58" t="str">
        <f ca="1">IFERROR(__xludf.DUMMYFUNCTION("QUERY('Volunteer Survey'!R75)"),"No - I am only interested in the group(s) I previously indicated")</f>
        <v>No - I am only interested in the group(s) I previously indicated</v>
      </c>
      <c r="Y69" s="47"/>
      <c r="Z69" s="174">
        <f ca="1">IFERROR(__xludf.DUMMYFUNCTION("QUERY('Volunteer Survey'!A68)"),43340.4416666666)</f>
        <v>43340.4416666666</v>
      </c>
      <c r="AA69" s="175" t="str">
        <f ca="1">IFERROR(__xludf.DUMMYFUNCTION("QUERY('Volunteer Survey'!B68)"),"Elaine Spector ")</f>
        <v xml:space="preserve">Elaine Spector </v>
      </c>
      <c r="AB69" s="175" t="str">
        <f ca="1">IFERROR(__xludf.DUMMYFUNCTION("QUERY('Volunteer Survey'!C68)"),"Univ of Colorado, Children's Hospital")</f>
        <v>Univ of Colorado, Children's Hospital</v>
      </c>
      <c r="AC69" s="175" t="str">
        <f ca="1">IFERROR(__xludf.DUMMYFUNCTION("QUERY('Volunteer Survey'!D68)"),"CO")</f>
        <v>CO</v>
      </c>
      <c r="AD69" s="175" t="str">
        <f ca="1">IFERROR(__xludf.DUMMYFUNCTION("QUERY('Volunteer Survey'!E68)"),"elaine.spector@childrenscolorado.org")</f>
        <v>elaine.spector@childrenscolorado.org</v>
      </c>
      <c r="AE69" s="175" t="str">
        <f ca="1">IFERROR(__xludf.DUMMYFUNCTION("QUERY('Volunteer Survey'!F68)"),"Clinical laboratory geneticist")</f>
        <v>Clinical laboratory geneticist</v>
      </c>
      <c r="AF69" s="175" t="str">
        <f ca="1">IFERROR(__xludf.DUMMYFUNCTION("QUERY('Volunteer Survey'!G68)"),"n/a")</f>
        <v>n/a</v>
      </c>
      <c r="AG69" s="175" t="str">
        <f ca="1">IFERROR(__xludf.DUMMYFUNCTION("QUERY('Volunteer Survey'!H68)"),"Comprehensive")</f>
        <v>Comprehensive</v>
      </c>
      <c r="AH69" s="175" t="str">
        <f ca="1">IFERROR(__xludf.DUMMYFUNCTION("QUERY('Volunteer Survey'!I68)"),"Gene-Disease Validity")</f>
        <v>Gene-Disease Validity</v>
      </c>
      <c r="AI69" s="175" t="str">
        <f ca="1">IFERROR(__xludf.DUMMYFUNCTION("QUERY('Volunteer Survey'!J68)"),"Variant Pathogenicity")</f>
        <v>Variant Pathogenicity</v>
      </c>
      <c r="AJ69" s="175" t="str">
        <f ca="1">IFERROR(__xludf.DUMMYFUNCTION("QUERY('Volunteer Survey'!K68)"),"Clinical Actionability")</f>
        <v>Clinical Actionability</v>
      </c>
      <c r="AK69" s="175" t="str">
        <f ca="1">IFERROR(__xludf.DUMMYFUNCTION("QUERY('Volunteer Survey'!L68)"),"Dosage Sensitivity")</f>
        <v>Dosage Sensitivity</v>
      </c>
      <c r="AL69" s="175" t="str">
        <f ca="1">IFERROR(__xludf.DUMMYFUNCTION("QUERY('Volunteer Survey'!M68)"),"Somatic Cancer")</f>
        <v>Somatic Cancer</v>
      </c>
      <c r="AM69" s="175" t="str">
        <f ca="1">IFERROR(__xludf.DUMMYFUNCTION("QUERY('Volunteer Survey'!N68)"),"yes")</f>
        <v>yes</v>
      </c>
      <c r="AN69" s="175" t="str">
        <f ca="1">IFERROR(__xludf.DUMMYFUNCTION("QUERY('Volunteer Survey'!O68)"),"")</f>
        <v/>
      </c>
      <c r="AO69" s="175" t="str">
        <f ca="1">IFERROR(__xludf.DUMMYFUNCTION("QUERY('Volunteer Survey'!P68)"),"Inborn Errors of Metabolism Clinical Domain Working Group . Amino Acid and Fatty Acid Working Groups.")</f>
        <v>Inborn Errors of Metabolism Clinical Domain Working Group . Amino Acid and Fatty Acid Working Groups.</v>
      </c>
    </row>
    <row r="70" spans="1:41" ht="28">
      <c r="A70" s="44">
        <f ca="1">IFERROR(__xludf.DUMMYFUNCTION("QUERY('Volunteer Survey'!A76)"),43395.4551967592)</f>
        <v>43395.455196759198</v>
      </c>
      <c r="B70" s="42" t="s">
        <v>160</v>
      </c>
      <c r="C70" s="81">
        <v>43439</v>
      </c>
      <c r="D70" s="59">
        <v>43608</v>
      </c>
      <c r="E70" s="42" t="s">
        <v>117</v>
      </c>
      <c r="F70" s="42" t="s">
        <v>117</v>
      </c>
      <c r="G70" s="42" t="s">
        <v>251</v>
      </c>
      <c r="H70" s="45" t="s">
        <v>304</v>
      </c>
      <c r="I70" s="45" t="s">
        <v>139</v>
      </c>
      <c r="J70" s="50">
        <v>43712</v>
      </c>
      <c r="K70" s="50"/>
      <c r="L70" s="49" t="str">
        <f ca="1">IFERROR(__xludf.DUMMYFUNCTION("QUERY('Volunteer Survey'!B76)"),"Qiliang Ding")</f>
        <v>Qiliang Ding</v>
      </c>
      <c r="M70" s="49" t="str">
        <f ca="1">IFERROR(__xludf.DUMMYFUNCTION("QUERY('Volunteer Survey'!E76)"),"qd29@cornell.edu")</f>
        <v>qd29@cornell.edu</v>
      </c>
      <c r="N70" s="49" t="str">
        <f ca="1">IFERROR(__xludf.DUMMYFUNCTION("QUERY('Volunteer Survey'!F76)"),"Graduate Student")</f>
        <v>Graduate Student</v>
      </c>
      <c r="O70" s="42" t="str">
        <f ca="1">IFERROR(__xludf.DUMMYFUNCTION("QUERY('Volunteer Survey'!H76)"),"Comprehensive")</f>
        <v>Comprehensive</v>
      </c>
      <c r="P70" s="49" t="str">
        <f ca="1">IFERROR(__xludf.DUMMYFUNCTION("QUERY('Volunteer Survey'!I76)"),"Variant Pathogenicity")</f>
        <v>Variant Pathogenicity</v>
      </c>
      <c r="Q70" s="54" t="str">
        <f ca="1">IFERROR(__xludf.DUMMYFUNCTION("QUERY('Volunteer Survey'!J76)"),"Somatic Cancer")</f>
        <v>Somatic Cancer</v>
      </c>
      <c r="R70" s="49" t="str">
        <f ca="1">IFERROR(__xludf.DUMMYFUNCTION("QUERY('Volunteer Survey'!K76)"),"Gene-Disease Validity")</f>
        <v>Gene-Disease Validity</v>
      </c>
      <c r="S70" s="49" t="str">
        <f ca="1">IFERROR(__xludf.DUMMYFUNCTION("QUERY('Volunteer Survey'!L76)"),"Clinical Actionability")</f>
        <v>Clinical Actionability</v>
      </c>
      <c r="T70" s="49" t="str">
        <f ca="1">IFERROR(__xludf.DUMMYFUNCTION("QUERY('Volunteer Survey'!M76)"),"Dosage Sensitivity")</f>
        <v>Dosage Sensitivity</v>
      </c>
      <c r="U70" s="58" t="str">
        <f ca="1">IFERROR(__xludf.DUMMYFUNCTION("QUERY('Volunteer Survey'!N76)"),"yes")</f>
        <v>yes</v>
      </c>
      <c r="V70" s="49" t="str">
        <f ca="1">IFERROR(__xludf.DUMMYFUNCTION("QUERY('Volunteer Survey'!O76)"),"Yes")</f>
        <v>Yes</v>
      </c>
      <c r="W70" s="60" t="str">
        <f ca="1">IFERROR(__xludf.DUMMYFUNCTION("QUERY('Volunteer Survey'!P76)"),"I am interested in all working groups.")</f>
        <v>I am interested in all working groups.</v>
      </c>
      <c r="X70" s="58" t="str">
        <f ca="1">IFERROR(__xludf.DUMMYFUNCTION("QUERY('Volunteer Survey'!R76)"),"Yes- I am willing to volunteer with any available ClinGen group")</f>
        <v>Yes- I am willing to volunteer with any available ClinGen group</v>
      </c>
      <c r="Y70" s="47"/>
      <c r="Z70" s="174">
        <f ca="1">IFERROR(__xludf.DUMMYFUNCTION("QUERY('Volunteer Survey'!A69)"),43349.4431712963)</f>
        <v>43349.443171296298</v>
      </c>
      <c r="AA70" s="175" t="str">
        <f ca="1">IFERROR(__xludf.DUMMYFUNCTION("QUERY('Volunteer Survey'!B69)"),"Samya Chakravorty")</f>
        <v>Samya Chakravorty</v>
      </c>
      <c r="AB70" s="175" t="str">
        <f ca="1">IFERROR(__xludf.DUMMYFUNCTION("QUERY('Volunteer Survey'!C69)"),"Emory University School of Medicine, Department of Human Genetics")</f>
        <v>Emory University School of Medicine, Department of Human Genetics</v>
      </c>
      <c r="AC70" s="175" t="str">
        <f ca="1">IFERROR(__xludf.DUMMYFUNCTION("QUERY('Volunteer Survey'!D69)"),"GA")</f>
        <v>GA</v>
      </c>
      <c r="AD70" s="175" t="str">
        <f ca="1">IFERROR(__xludf.DUMMYFUNCTION("QUERY('Volunteer Survey'!E69)"),"samya.chakravorty@emory.edu")</f>
        <v>samya.chakravorty@emory.edu</v>
      </c>
      <c r="AE70" s="175" t="str">
        <f ca="1">IFERROR(__xludf.DUMMYFUNCTION("QUERY('Volunteer Survey'!F69)"),"Post Doc/Resident/Fellow (MD and/or PhD)")</f>
        <v>Post Doc/Resident/Fellow (MD and/or PhD)</v>
      </c>
      <c r="AF70" s="175" t="str">
        <f ca="1">IFERROR(__xludf.DUMMYFUNCTION("QUERY('Volunteer Survey'!G69)"),"n/a")</f>
        <v>n/a</v>
      </c>
      <c r="AG70" s="175" t="str">
        <f ca="1">IFERROR(__xludf.DUMMYFUNCTION("QUERY('Volunteer Survey'!H69)"),"Comprehensive")</f>
        <v>Comprehensive</v>
      </c>
      <c r="AH70" s="175" t="str">
        <f ca="1">IFERROR(__xludf.DUMMYFUNCTION("QUERY('Volunteer Survey'!I69)"),"Variant Pathogenicity")</f>
        <v>Variant Pathogenicity</v>
      </c>
      <c r="AI70" s="175" t="str">
        <f ca="1">IFERROR(__xludf.DUMMYFUNCTION("QUERY('Volunteer Survey'!J69)"),"Gene-Disease Validity")</f>
        <v>Gene-Disease Validity</v>
      </c>
      <c r="AJ70" s="175" t="str">
        <f ca="1">IFERROR(__xludf.DUMMYFUNCTION("QUERY('Volunteer Survey'!K69)"),"Dosage Sensitivity")</f>
        <v>Dosage Sensitivity</v>
      </c>
      <c r="AK70" s="175" t="str">
        <f ca="1">IFERROR(__xludf.DUMMYFUNCTION("QUERY('Volunteer Survey'!L69)"),"Somatic Cancer")</f>
        <v>Somatic Cancer</v>
      </c>
      <c r="AL70" s="175" t="str">
        <f ca="1">IFERROR(__xludf.DUMMYFUNCTION("QUERY('Volunteer Survey'!M69)"),"Clinical Actionability")</f>
        <v>Clinical Actionability</v>
      </c>
      <c r="AM70" s="175" t="str">
        <f ca="1">IFERROR(__xludf.DUMMYFUNCTION("QUERY('Volunteer Survey'!N69)"),"yes")</f>
        <v>yes</v>
      </c>
      <c r="AN70" s="175" t="str">
        <f ca="1">IFERROR(__xludf.DUMMYFUNCTION("QUERY('Volunteer Survey'!O69)"),"Yes")</f>
        <v>Yes</v>
      </c>
      <c r="AO70" s="175" t="str">
        <f ca="1">IFERROR(__xludf.DUMMYFUNCTION("QUERY('Volunteer Survey'!P69)"),"1. Storage Diseases Variant Curation Expert Panel 2. Epilepsy Gene Curation Expert Panel 3. Cardiovascular Dilated Cardiomyopathy Gene Curation Expert Panel")</f>
        <v>1. Storage Diseases Variant Curation Expert Panel 2. Epilepsy Gene Curation Expert Panel 3. Cardiovascular Dilated Cardiomyopathy Gene Curation Expert Panel</v>
      </c>
    </row>
    <row r="71" spans="1:41" ht="14">
      <c r="A71" s="44">
        <f ca="1">IFERROR(__xludf.DUMMYFUNCTION("QUERY('Volunteer Survey'!A77)"),43398.4593402777)</f>
        <v>43398.459340277703</v>
      </c>
      <c r="B71" s="42" t="s">
        <v>108</v>
      </c>
      <c r="C71" s="81">
        <v>43439</v>
      </c>
      <c r="D71" s="59">
        <v>43608</v>
      </c>
      <c r="E71" s="42" t="s">
        <v>117</v>
      </c>
      <c r="F71" s="42" t="s">
        <v>130</v>
      </c>
      <c r="G71" s="42" t="s">
        <v>251</v>
      </c>
      <c r="H71" s="47"/>
      <c r="I71" s="45" t="s">
        <v>139</v>
      </c>
      <c r="J71" s="49"/>
      <c r="K71" s="49"/>
      <c r="L71" s="49" t="str">
        <f ca="1">IFERROR(__xludf.DUMMYFUNCTION("QUERY('Volunteer Survey'!B77)"),"Amy Donahue")</f>
        <v>Amy Donahue</v>
      </c>
      <c r="M71" s="49" t="str">
        <f ca="1">IFERROR(__xludf.DUMMYFUNCTION("QUERY('Volunteer Survey'!E77)"),"adonahue@mcw.edu")</f>
        <v>adonahue@mcw.edu</v>
      </c>
      <c r="N71" s="49" t="str">
        <f ca="1">IFERROR(__xludf.DUMMYFUNCTION("QUERY('Volunteer Survey'!F77)"),"Genetic counselor")</f>
        <v>Genetic counselor</v>
      </c>
      <c r="O71" s="42" t="str">
        <f ca="1">IFERROR(__xludf.DUMMYFUNCTION("QUERY('Volunteer Survey'!H77)"),"Comprehensive")</f>
        <v>Comprehensive</v>
      </c>
      <c r="P71" s="49" t="str">
        <f ca="1">IFERROR(__xludf.DUMMYFUNCTION("QUERY('Volunteer Survey'!I77)"),"Variant Pathogenicity")</f>
        <v>Variant Pathogenicity</v>
      </c>
      <c r="Q71" s="54" t="str">
        <f ca="1">IFERROR(__xludf.DUMMYFUNCTION("QUERY('Volunteer Survey'!J77)"),"Gene-Disease Validity")</f>
        <v>Gene-Disease Validity</v>
      </c>
      <c r="R71" s="49" t="str">
        <f ca="1">IFERROR(__xludf.DUMMYFUNCTION("QUERY('Volunteer Survey'!K77)"),"Clinical Actionability")</f>
        <v>Clinical Actionability</v>
      </c>
      <c r="S71" s="49" t="str">
        <f ca="1">IFERROR(__xludf.DUMMYFUNCTION("QUERY('Volunteer Survey'!L77)"),"Dosage Sensitivity")</f>
        <v>Dosage Sensitivity</v>
      </c>
      <c r="T71" s="49" t="str">
        <f ca="1">IFERROR(__xludf.DUMMYFUNCTION("QUERY('Volunteer Survey'!M77)"),"Somatic Cancer")</f>
        <v>Somatic Cancer</v>
      </c>
      <c r="U71" s="58" t="str">
        <f ca="1">IFERROR(__xludf.DUMMYFUNCTION("QUERY('Volunteer Survey'!N77)"),"yes")</f>
        <v>yes</v>
      </c>
      <c r="V71" s="49" t="str">
        <f ca="1">IFERROR(__xludf.DUMMYFUNCTION("QUERY('Volunteer Survey'!O77)"),"Possibly")</f>
        <v>Possibly</v>
      </c>
      <c r="W71" s="60" t="str">
        <f ca="1">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c r="X71" s="58" t="str">
        <f ca="1">IFERROR(__xludf.DUMMYFUNCTION("QUERY('Volunteer Survey'!R77)"),"Maybe -- please contact me with other options, and I will decide based on what is available")</f>
        <v>Maybe -- please contact me with other options, and I will decide based on what is available</v>
      </c>
      <c r="Y71" s="45" t="s">
        <v>329</v>
      </c>
      <c r="Z71" s="174">
        <f ca="1">IFERROR(__xludf.DUMMYFUNCTION("QUERY('Volunteer Survey'!A70)"),43362.4448379629)</f>
        <v>43362.444837962903</v>
      </c>
      <c r="AA71" s="175" t="str">
        <f ca="1">IFERROR(__xludf.DUMMYFUNCTION("QUERY('Volunteer Survey'!B70)"),"Marco Leung")</f>
        <v>Marco Leung</v>
      </c>
      <c r="AB71" s="175" t="str">
        <f ca="1">IFERROR(__xludf.DUMMYFUNCTION("QUERY('Volunteer Survey'!C70)"),"Center for Applied Genomics - Children's Hospital of Philadelphia")</f>
        <v>Center for Applied Genomics - Children's Hospital of Philadelphia</v>
      </c>
      <c r="AC71" s="175" t="str">
        <f ca="1">IFERROR(__xludf.DUMMYFUNCTION("QUERY('Volunteer Survey'!D70)"),"PA")</f>
        <v>PA</v>
      </c>
      <c r="AD71" s="175" t="str">
        <f ca="1">IFERROR(__xludf.DUMMYFUNCTION("QUERY('Volunteer Survey'!E70)"),"leungm@email.chop.edu")</f>
        <v>leungm@email.chop.edu</v>
      </c>
      <c r="AE71" s="175" t="str">
        <f ca="1">IFERROR(__xludf.DUMMYFUNCTION("QUERY('Volunteer Survey'!F70)"),"Clinical laboratory geneticist")</f>
        <v>Clinical laboratory geneticist</v>
      </c>
      <c r="AF71" s="175" t="str">
        <f ca="1">IFERROR(__xludf.DUMMYFUNCTION("QUERY('Volunteer Survey'!G70)"),"n/a")</f>
        <v>n/a</v>
      </c>
      <c r="AG71" s="175" t="str">
        <f ca="1">IFERROR(__xludf.DUMMYFUNCTION("QUERY('Volunteer Survey'!H70)"),"Comprehensive")</f>
        <v>Comprehensive</v>
      </c>
      <c r="AH71" s="175" t="str">
        <f ca="1">IFERROR(__xludf.DUMMYFUNCTION("QUERY('Volunteer Survey'!I70)"),"Variant Pathogenicity")</f>
        <v>Variant Pathogenicity</v>
      </c>
      <c r="AI71" s="175" t="str">
        <f ca="1">IFERROR(__xludf.DUMMYFUNCTION("QUERY('Volunteer Survey'!J70)"),"Gene-Disease Validity")</f>
        <v>Gene-Disease Validity</v>
      </c>
      <c r="AJ71" s="175" t="str">
        <f ca="1">IFERROR(__xludf.DUMMYFUNCTION("QUERY('Volunteer Survey'!K70)"),"Dosage Sensitivity")</f>
        <v>Dosage Sensitivity</v>
      </c>
      <c r="AK71" s="175" t="str">
        <f ca="1">IFERROR(__xludf.DUMMYFUNCTION("QUERY('Volunteer Survey'!L70)"),"Clinical Actionability")</f>
        <v>Clinical Actionability</v>
      </c>
      <c r="AL71" s="175" t="str">
        <f ca="1">IFERROR(__xludf.DUMMYFUNCTION("QUERY('Volunteer Survey'!M70)"),"Somatic Cancer")</f>
        <v>Somatic Cancer</v>
      </c>
      <c r="AM71" s="175" t="str">
        <f ca="1">IFERROR(__xludf.DUMMYFUNCTION("QUERY('Volunteer Survey'!N70)"),"yes")</f>
        <v>yes</v>
      </c>
      <c r="AN71" s="175" t="str">
        <f ca="1">IFERROR(__xludf.DUMMYFUNCTION("QUERY('Volunteer Survey'!O70)"),"Yes")</f>
        <v>Yes</v>
      </c>
      <c r="AO71" s="175" t="str">
        <f ca="1">IFERROR(__xludf.DUMMYFUNCTION("QUERY('Volunteer Survey'!P70)"),"Hereditary cancers; neurodevelopmental disorders; polivy making")</f>
        <v>Hereditary cancers; neurodevelopmental disorders; polivy making</v>
      </c>
    </row>
    <row r="72" spans="1:41" ht="14">
      <c r="A72" s="44">
        <f ca="1">IFERROR(__xludf.DUMMYFUNCTION("QUERY('Volunteer Survey'!A78)"),43409.4609143518)</f>
        <v>43409.460914351803</v>
      </c>
      <c r="B72" s="42" t="s">
        <v>160</v>
      </c>
      <c r="C72" s="81">
        <v>43109</v>
      </c>
      <c r="D72" s="59">
        <v>43605</v>
      </c>
      <c r="E72" s="42" t="s">
        <v>117</v>
      </c>
      <c r="F72" s="42" t="s">
        <v>117</v>
      </c>
      <c r="G72" s="42" t="s">
        <v>251</v>
      </c>
      <c r="H72" s="45" t="s">
        <v>303</v>
      </c>
      <c r="I72" s="45" t="s">
        <v>139</v>
      </c>
      <c r="J72" s="50">
        <v>43712</v>
      </c>
      <c r="K72" s="50"/>
      <c r="L72" s="49" t="str">
        <f ca="1">IFERROR(__xludf.DUMMYFUNCTION("QUERY('Volunteer Survey'!B78)"),"Dave Ferguson")</f>
        <v>Dave Ferguson</v>
      </c>
      <c r="M72" s="49" t="str">
        <f ca="1">IFERROR(__xludf.DUMMYFUNCTION("QUERY('Volunteer Survey'!E78)"),"dferguso@uci.edu")</f>
        <v>dferguso@uci.edu</v>
      </c>
      <c r="N72" s="49" t="str">
        <f ca="1">IFERROR(__xludf.DUMMYFUNCTION("QUERY('Volunteer Survey'!F78)"),"Scientific Researcher")</f>
        <v>Scientific Researcher</v>
      </c>
      <c r="O72" s="42" t="str">
        <f ca="1">IFERROR(__xludf.DUMMYFUNCTION("QUERY('Volunteer Survey'!H78)"),"Comprehensive")</f>
        <v>Comprehensive</v>
      </c>
      <c r="P72" s="49" t="str">
        <f ca="1">IFERROR(__xludf.DUMMYFUNCTION("QUERY('Volunteer Survey'!I78)"),"Variant Pathogenicity")</f>
        <v>Variant Pathogenicity</v>
      </c>
      <c r="Q72" s="54" t="str">
        <f ca="1">IFERROR(__xludf.DUMMYFUNCTION("QUERY('Volunteer Survey'!J78)"),"Clinical Actionability")</f>
        <v>Clinical Actionability</v>
      </c>
      <c r="R72" s="49" t="str">
        <f ca="1">IFERROR(__xludf.DUMMYFUNCTION("QUERY('Volunteer Survey'!K78)"),"Gene-Disease Validity")</f>
        <v>Gene-Disease Validity</v>
      </c>
      <c r="S72" s="49" t="str">
        <f ca="1">IFERROR(__xludf.DUMMYFUNCTION("QUERY('Volunteer Survey'!L78)"),"Dosage Sensitivity")</f>
        <v>Dosage Sensitivity</v>
      </c>
      <c r="T72" s="49" t="str">
        <f ca="1">IFERROR(__xludf.DUMMYFUNCTION("QUERY('Volunteer Survey'!M78)"),"Somatic Cancer")</f>
        <v>Somatic Cancer</v>
      </c>
      <c r="U72" s="58" t="str">
        <f ca="1">IFERROR(__xludf.DUMMYFUNCTION("QUERY('Volunteer Survey'!N78)"),"No")</f>
        <v>No</v>
      </c>
      <c r="V72" s="49" t="str">
        <f ca="1">IFERROR(__xludf.DUMMYFUNCTION("QUERY('Volunteer Survey'!O78)"),"Yes")</f>
        <v>Yes</v>
      </c>
      <c r="W72" s="60" t="str">
        <f ca="1">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c r="X72" s="58" t="str">
        <f ca="1">IFERROR(__xludf.DUMMYFUNCTION("QUERY('Volunteer Survey'!R78)"),"Yes- I am willing to volunteer with any available ClinGen group")</f>
        <v>Yes- I am willing to volunteer with any available ClinGen group</v>
      </c>
      <c r="Y72" s="47"/>
      <c r="Z72" s="174">
        <f ca="1">IFERROR(__xludf.DUMMYFUNCTION("QUERY('Volunteer Survey'!A71)"),43364.4461458333)</f>
        <v>43364.446145833303</v>
      </c>
      <c r="AA72" s="175" t="str">
        <f ca="1">IFERROR(__xludf.DUMMYFUNCTION("QUERY('Volunteer Survey'!B71)"),"Emily Groopman")</f>
        <v>Emily Groopman</v>
      </c>
      <c r="AB72" s="175" t="str">
        <f ca="1">IFERROR(__xludf.DUMMYFUNCTION("QUERY('Volunteer Survey'!C71)"),"NA")</f>
        <v>NA</v>
      </c>
      <c r="AC72" s="175" t="str">
        <f ca="1">IFERROR(__xludf.DUMMYFUNCTION("QUERY('Volunteer Survey'!D71)"),"NY")</f>
        <v>NY</v>
      </c>
      <c r="AD72" s="175" t="str">
        <f ca="1">IFERROR(__xludf.DUMMYFUNCTION("QUERY('Volunteer Survey'!E71)"),"ee.groopman@gmail.com")</f>
        <v>ee.groopman@gmail.com</v>
      </c>
      <c r="AE72" s="175" t="str">
        <f ca="1">IFERROR(__xludf.DUMMYFUNCTION("QUERY('Volunteer Survey'!F71)"),"Post Doc/Resident/Fellow (MD and/or PhD)")</f>
        <v>Post Doc/Resident/Fellow (MD and/or PhD)</v>
      </c>
      <c r="AF72" s="175" t="str">
        <f ca="1">IFERROR(__xludf.DUMMYFUNCTION("QUERY('Volunteer Survey'!G71)"),"n/a")</f>
        <v>n/a</v>
      </c>
      <c r="AG72" s="175" t="str">
        <f ca="1">IFERROR(__xludf.DUMMYFUNCTION("QUERY('Volunteer Survey'!H71)"),"Comprehensive")</f>
        <v>Comprehensive</v>
      </c>
      <c r="AH72" s="175" t="str">
        <f ca="1">IFERROR(__xludf.DUMMYFUNCTION("QUERY('Volunteer Survey'!I71)"),"Variant Pathogenicity")</f>
        <v>Variant Pathogenicity</v>
      </c>
      <c r="AI72" s="175" t="str">
        <f ca="1">IFERROR(__xludf.DUMMYFUNCTION("QUERY('Volunteer Survey'!J71)"),"Gene-Disease Validity")</f>
        <v>Gene-Disease Validity</v>
      </c>
      <c r="AJ72" s="175" t="str">
        <f ca="1">IFERROR(__xludf.DUMMYFUNCTION("QUERY('Volunteer Survey'!K71)"),"Dosage Sensitivity")</f>
        <v>Dosage Sensitivity</v>
      </c>
      <c r="AK72" s="175" t="str">
        <f ca="1">IFERROR(__xludf.DUMMYFUNCTION("QUERY('Volunteer Survey'!L71)"),"Clinical Actionability")</f>
        <v>Clinical Actionability</v>
      </c>
      <c r="AL72" s="175" t="str">
        <f ca="1">IFERROR(__xludf.DUMMYFUNCTION("QUERY('Volunteer Survey'!M71)"),"Somatic Cancer")</f>
        <v>Somatic Cancer</v>
      </c>
      <c r="AM72" s="175" t="str">
        <f ca="1">IFERROR(__xludf.DUMMYFUNCTION("QUERY('Volunteer Survey'!N71)"),"yes")</f>
        <v>yes</v>
      </c>
      <c r="AN72" s="175" t="str">
        <f ca="1">IFERROR(__xludf.DUMMYFUNCTION("QUERY('Volunteer Survey'!O71)"),"Yes")</f>
        <v>Yes</v>
      </c>
      <c r="AO72" s="175" t="str">
        <f ca="1">IFERROR(__xludf.DUMMYFUNCTION("QUERY('Volunteer Survey'!P71)"),"Aminoacidopathy Gene Curation Expert Panel, Storage Diseases Variant Curation Expert Panel, and Hereditary Cancer Gene Curation Expert Pane")</f>
        <v>Aminoacidopathy Gene Curation Expert Panel, Storage Diseases Variant Curation Expert Panel, and Hereditary Cancer Gene Curation Expert Pane</v>
      </c>
    </row>
    <row r="73" spans="1:41" ht="14">
      <c r="A73" s="44">
        <f ca="1">IFERROR(__xludf.DUMMYFUNCTION("QUERY('Volunteer Survey'!A79)"),43413.4621412037)</f>
        <v>43413.462141203701</v>
      </c>
      <c r="B73" s="42" t="s">
        <v>168</v>
      </c>
      <c r="C73" s="81">
        <v>43109</v>
      </c>
      <c r="D73" s="49"/>
      <c r="E73" s="42" t="s">
        <v>130</v>
      </c>
      <c r="F73" s="42" t="s">
        <v>130</v>
      </c>
      <c r="G73" s="42" t="s">
        <v>251</v>
      </c>
      <c r="H73" s="47"/>
      <c r="I73" s="45" t="s">
        <v>139</v>
      </c>
      <c r="J73" s="49"/>
      <c r="K73" s="49"/>
      <c r="L73" s="49" t="str">
        <f ca="1">IFERROR(__xludf.DUMMYFUNCTION("QUERY('Volunteer Survey'!B79)"),"Santhi Ramachandran")</f>
        <v>Santhi Ramachandran</v>
      </c>
      <c r="M73" s="49" t="str">
        <f ca="1">IFERROR(__xludf.DUMMYFUNCTION("QUERY('Volunteer Survey'!E79)"),"santhialways4u@gmail.com")</f>
        <v>santhialways4u@gmail.com</v>
      </c>
      <c r="N73" s="49" t="str">
        <f ca="1">IFERROR(__xludf.DUMMYFUNCTION("QUERY('Volunteer Survey'!F79)"),"Biocurator")</f>
        <v>Biocurator</v>
      </c>
      <c r="O73" s="42" t="str">
        <f ca="1">IFERROR(__xludf.DUMMYFUNCTION("QUERY('Volunteer Survey'!H79)"),"Comprehensive")</f>
        <v>Comprehensive</v>
      </c>
      <c r="P73" s="49" t="str">
        <f ca="1">IFERROR(__xludf.DUMMYFUNCTION("QUERY('Volunteer Survey'!I79)"),"Variant Pathogenicity")</f>
        <v>Variant Pathogenicity</v>
      </c>
      <c r="Q73" s="54" t="str">
        <f ca="1">IFERROR(__xludf.DUMMYFUNCTION("QUERY('Volunteer Survey'!J79)"),"Gene-Disease Validity")</f>
        <v>Gene-Disease Validity</v>
      </c>
      <c r="R73" s="49" t="str">
        <f ca="1">IFERROR(__xludf.DUMMYFUNCTION("QUERY('Volunteer Survey'!K79)"),"Clinical Actionability")</f>
        <v>Clinical Actionability</v>
      </c>
      <c r="S73" s="49" t="str">
        <f ca="1">IFERROR(__xludf.DUMMYFUNCTION("QUERY('Volunteer Survey'!L79)"),"Dosage Sensitivity")</f>
        <v>Dosage Sensitivity</v>
      </c>
      <c r="T73" s="49" t="str">
        <f ca="1">IFERROR(__xludf.DUMMYFUNCTION("QUERY('Volunteer Survey'!M79)"),"Somatic Cancer")</f>
        <v>Somatic Cancer</v>
      </c>
      <c r="U73" s="58" t="str">
        <f ca="1">IFERROR(__xludf.DUMMYFUNCTION("QUERY('Volunteer Survey'!N79)"),"yes")</f>
        <v>yes</v>
      </c>
      <c r="V73" s="49" t="str">
        <f ca="1">IFERROR(__xludf.DUMMYFUNCTION("QUERY('Volunteer Survey'!O79)"),"Possibly")</f>
        <v>Possibly</v>
      </c>
      <c r="W73" s="60" t="str">
        <f ca="1">IFERROR(__xludf.DUMMYFUNCTION("QUERY('Volunteer Survey'!P79)"),"I would like to work with variant curation expert panel or gene curation expert panel")</f>
        <v>I would like to work with variant curation expert panel or gene curation expert panel</v>
      </c>
      <c r="X73" s="58" t="str">
        <f ca="1">IFERROR(__xludf.DUMMYFUNCTION("QUERY('Volunteer Survey'!R79)"),"Yes- I am willing to volunteer with any available ClinGen group")</f>
        <v>Yes- I am willing to volunteer with any available ClinGen group</v>
      </c>
      <c r="Y73" s="47"/>
      <c r="Z73" s="174">
        <f ca="1">IFERROR(__xludf.DUMMYFUNCTION("QUERY('Volunteer Survey'!A72)"),43369.4483449074)</f>
        <v>43369.448344907403</v>
      </c>
      <c r="AA73" s="175" t="str">
        <f ca="1">IFERROR(__xludf.DUMMYFUNCTION("QUERY('Volunteer Survey'!B72)"),"Rhonda Lassiter ")</f>
        <v xml:space="preserve">Rhonda Lassiter </v>
      </c>
      <c r="AB73" s="175" t="str">
        <f ca="1">IFERROR(__xludf.DUMMYFUNCTION("QUERY('Volunteer Survey'!C72)"),"Ambry Genetics")</f>
        <v>Ambry Genetics</v>
      </c>
      <c r="AC73" s="175" t="str">
        <f ca="1">IFERROR(__xludf.DUMMYFUNCTION("QUERY('Volunteer Survey'!D72)"),"CA")</f>
        <v>CA</v>
      </c>
      <c r="AD73" s="175" t="str">
        <f ca="1">IFERROR(__xludf.DUMMYFUNCTION("QUERY('Volunteer Survey'!E72)"),"rlassiter@ambrygen.com")</f>
        <v>rlassiter@ambrygen.com</v>
      </c>
      <c r="AE73" s="175" t="str">
        <f ca="1">IFERROR(__xludf.DUMMYFUNCTION("QUERY('Volunteer Survey'!F72)"),"Variant Analyst/Scientist")</f>
        <v>Variant Analyst/Scientist</v>
      </c>
      <c r="AF73" s="175" t="str">
        <f ca="1">IFERROR(__xludf.DUMMYFUNCTION("QUERY('Volunteer Survey'!G72)"),"n/a")</f>
        <v>n/a</v>
      </c>
      <c r="AG73" s="175" t="str">
        <f ca="1">IFERROR(__xludf.DUMMYFUNCTION("QUERY('Volunteer Survey'!H72)"),"Comprehensive")</f>
        <v>Comprehensive</v>
      </c>
      <c r="AH73" s="175" t="str">
        <f ca="1">IFERROR(__xludf.DUMMYFUNCTION("QUERY('Volunteer Survey'!I72)"),"Variant Pathogenicity")</f>
        <v>Variant Pathogenicity</v>
      </c>
      <c r="AI73" s="175" t="str">
        <f ca="1">IFERROR(__xludf.DUMMYFUNCTION("QUERY('Volunteer Survey'!J72)"),"Gene-Disease Validity")</f>
        <v>Gene-Disease Validity</v>
      </c>
      <c r="AJ73" s="175" t="str">
        <f ca="1">IFERROR(__xludf.DUMMYFUNCTION("QUERY('Volunteer Survey'!K72)"),"Dosage Sensitivity")</f>
        <v>Dosage Sensitivity</v>
      </c>
      <c r="AK73" s="175" t="str">
        <f ca="1">IFERROR(__xludf.DUMMYFUNCTION("QUERY('Volunteer Survey'!L72)"),"Clinical Actionability")</f>
        <v>Clinical Actionability</v>
      </c>
      <c r="AL73" s="175" t="str">
        <f ca="1">IFERROR(__xludf.DUMMYFUNCTION("QUERY('Volunteer Survey'!M72)"),"Somatic Cancer")</f>
        <v>Somatic Cancer</v>
      </c>
      <c r="AM73" s="175" t="str">
        <f ca="1">IFERROR(__xludf.DUMMYFUNCTION("QUERY('Volunteer Survey'!N72)"),"yes")</f>
        <v>yes</v>
      </c>
      <c r="AN73" s="175" t="str">
        <f ca="1">IFERROR(__xludf.DUMMYFUNCTION("QUERY('Volunteer Survey'!O72)"),"Yes")</f>
        <v>Yes</v>
      </c>
      <c r="AO73" s="175" t="str">
        <f ca="1">IFERROR(__xludf.DUMMYFUNCTION("QUERY('Volunteer Survey'!P72)"),"I am interested in any of the Neurodevelopmental Disorders CDWG's. I am happy to help wherever there is a need.")</f>
        <v>I am interested in any of the Neurodevelopmental Disorders CDWG's. I am happy to help wherever there is a need.</v>
      </c>
    </row>
    <row r="74" spans="1:41" ht="14">
      <c r="A74" s="44">
        <f ca="1">IFERROR(__xludf.DUMMYFUNCTION("QUERY('Volunteer Survey'!A80)"),43413.4633564814)</f>
        <v>43413.463356481399</v>
      </c>
      <c r="B74" s="42" t="s">
        <v>168</v>
      </c>
      <c r="C74" s="81">
        <v>43439</v>
      </c>
      <c r="D74" s="49"/>
      <c r="E74" s="42" t="s">
        <v>130</v>
      </c>
      <c r="F74" s="42" t="s">
        <v>130</v>
      </c>
      <c r="G74" s="42" t="s">
        <v>251</v>
      </c>
      <c r="H74" s="47"/>
      <c r="I74" s="45" t="s">
        <v>139</v>
      </c>
      <c r="J74" s="49"/>
      <c r="K74" s="49"/>
      <c r="L74" s="49" t="str">
        <f ca="1">IFERROR(__xludf.DUMMYFUNCTION("QUERY('Volunteer Survey'!B80)"),"Megan Nathan")</f>
        <v>Megan Nathan</v>
      </c>
      <c r="M74" s="49" t="str">
        <f ca="1">IFERROR(__xludf.DUMMYFUNCTION("QUERY('Volunteer Survey'!E80)"),"mlnathan.genetics@gmail.com")</f>
        <v>mlnathan.genetics@gmail.com</v>
      </c>
      <c r="N74" s="49" t="str">
        <f ca="1">IFERROR(__xludf.DUMMYFUNCTION("QUERY('Volunteer Survey'!F80)"),"Genetic counselor")</f>
        <v>Genetic counselor</v>
      </c>
      <c r="O74" s="42" t="str">
        <f ca="1">IFERROR(__xludf.DUMMYFUNCTION("QUERY('Volunteer Survey'!H80)"),"Comprehensive")</f>
        <v>Comprehensive</v>
      </c>
      <c r="P74" s="49" t="str">
        <f ca="1">IFERROR(__xludf.DUMMYFUNCTION("QUERY('Volunteer Survey'!I80)"),"Variant Pathogenicity")</f>
        <v>Variant Pathogenicity</v>
      </c>
      <c r="Q74" s="54" t="str">
        <f ca="1">IFERROR(__xludf.DUMMYFUNCTION("QUERY('Volunteer Survey'!J80)"),"Somatic Cancer")</f>
        <v>Somatic Cancer</v>
      </c>
      <c r="R74" s="49" t="str">
        <f ca="1">IFERROR(__xludf.DUMMYFUNCTION("QUERY('Volunteer Survey'!K80)"),"Dosage Sensitivity")</f>
        <v>Dosage Sensitivity</v>
      </c>
      <c r="S74" s="49" t="str">
        <f ca="1">IFERROR(__xludf.DUMMYFUNCTION("QUERY('Volunteer Survey'!L80)"),"Gene-Disease Validity")</f>
        <v>Gene-Disease Validity</v>
      </c>
      <c r="T74" s="49" t="str">
        <f ca="1">IFERROR(__xludf.DUMMYFUNCTION("QUERY('Volunteer Survey'!M80)"),"Clinical Actionability")</f>
        <v>Clinical Actionability</v>
      </c>
      <c r="U74" s="58" t="str">
        <f ca="1">IFERROR(__xludf.DUMMYFUNCTION("QUERY('Volunteer Survey'!N80)"),"yes")</f>
        <v>yes</v>
      </c>
      <c r="V74" s="49" t="str">
        <f ca="1">IFERROR(__xludf.DUMMYFUNCTION("QUERY('Volunteer Survey'!O80)"),"")</f>
        <v/>
      </c>
      <c r="W74" s="60" t="str">
        <f ca="1">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c r="X74" s="58" t="str">
        <f ca="1">IFERROR(__xludf.DUMMYFUNCTION("QUERY('Volunteer Survey'!R80)"),"Maybe -- please contact me with other options, and I will decide based on what is available")</f>
        <v>Maybe -- please contact me with other options, and I will decide based on what is available</v>
      </c>
      <c r="Y74" s="47"/>
      <c r="Z74" s="174">
        <f ca="1">IFERROR(__xludf.DUMMYFUNCTION("QUERY('Volunteer Survey'!A73)"),43369.4491898148)</f>
        <v>43369.449189814797</v>
      </c>
      <c r="AA74" s="175" t="str">
        <f ca="1">IFERROR(__xludf.DUMMYFUNCTION("QUERY('Volunteer Survey'!B73)"),"Rhonda Lassiter ")</f>
        <v xml:space="preserve">Rhonda Lassiter </v>
      </c>
      <c r="AB74" s="175" t="str">
        <f ca="1">IFERROR(__xludf.DUMMYFUNCTION("QUERY('Volunteer Survey'!C73)"),"Ambry Genetics")</f>
        <v>Ambry Genetics</v>
      </c>
      <c r="AC74" s="175" t="str">
        <f ca="1">IFERROR(__xludf.DUMMYFUNCTION("QUERY('Volunteer Survey'!D73)"),"CA")</f>
        <v>CA</v>
      </c>
      <c r="AD74" s="175" t="str">
        <f ca="1">IFERROR(__xludf.DUMMYFUNCTION("QUERY('Volunteer Survey'!E73)"),"rlassiter@ambrygen.com")</f>
        <v>rlassiter@ambrygen.com</v>
      </c>
      <c r="AE74" s="175" t="str">
        <f ca="1">IFERROR(__xludf.DUMMYFUNCTION("QUERY('Volunteer Survey'!F73)"),"Variant Analyst/Scientist")</f>
        <v>Variant Analyst/Scientist</v>
      </c>
      <c r="AF74" s="175" t="str">
        <f ca="1">IFERROR(__xludf.DUMMYFUNCTION("QUERY('Volunteer Survey'!G73)"),"n/a")</f>
        <v>n/a</v>
      </c>
      <c r="AG74" s="175" t="str">
        <f ca="1">IFERROR(__xludf.DUMMYFUNCTION("QUERY('Volunteer Survey'!H73)"),"Comprehensive")</f>
        <v>Comprehensive</v>
      </c>
      <c r="AH74" s="175" t="str">
        <f ca="1">IFERROR(__xludf.DUMMYFUNCTION("QUERY('Volunteer Survey'!I73)"),"Variant Pathogenicity")</f>
        <v>Variant Pathogenicity</v>
      </c>
      <c r="AI74" s="175" t="str">
        <f ca="1">IFERROR(__xludf.DUMMYFUNCTION("QUERY('Volunteer Survey'!J73)"),"Gene-Disease Validity")</f>
        <v>Gene-Disease Validity</v>
      </c>
      <c r="AJ74" s="175" t="str">
        <f ca="1">IFERROR(__xludf.DUMMYFUNCTION("QUERY('Volunteer Survey'!K73)"),"Dosage Sensitivity")</f>
        <v>Dosage Sensitivity</v>
      </c>
      <c r="AK74" s="175" t="str">
        <f ca="1">IFERROR(__xludf.DUMMYFUNCTION("QUERY('Volunteer Survey'!L73)"),"Clinical Actionability")</f>
        <v>Clinical Actionability</v>
      </c>
      <c r="AL74" s="175" t="str">
        <f ca="1">IFERROR(__xludf.DUMMYFUNCTION("QUERY('Volunteer Survey'!M73)"),"Somatic Cancer")</f>
        <v>Somatic Cancer</v>
      </c>
      <c r="AM74" s="175" t="str">
        <f ca="1">IFERROR(__xludf.DUMMYFUNCTION("QUERY('Volunteer Survey'!N73)"),"yes")</f>
        <v>yes</v>
      </c>
      <c r="AN74" s="175" t="str">
        <f ca="1">IFERROR(__xludf.DUMMYFUNCTION("QUERY('Volunteer Survey'!O73)"),"Yes")</f>
        <v>Yes</v>
      </c>
      <c r="AO74" s="175" t="str">
        <f ca="1">IFERROR(__xludf.DUMMYFUNCTION("QUERY('Volunteer Survey'!P73)"),"I am interested in any of the Neurodevelopmental Disorders CDWG's. I am happy to help wherever there is a need.")</f>
        <v>I am interested in any of the Neurodevelopmental Disorders CDWG's. I am happy to help wherever there is a need.</v>
      </c>
    </row>
    <row r="75" spans="1:41" ht="56">
      <c r="A75" s="44">
        <f ca="1">IFERROR(__xludf.DUMMYFUNCTION("QUERY('Volunteer Survey'!A81)"),43416.4644560185)</f>
        <v>43416.464456018497</v>
      </c>
      <c r="B75" s="42" t="s">
        <v>168</v>
      </c>
      <c r="C75" s="45" t="s">
        <v>3146</v>
      </c>
      <c r="D75" s="49"/>
      <c r="E75" s="42" t="s">
        <v>130</v>
      </c>
      <c r="F75" s="42" t="s">
        <v>130</v>
      </c>
      <c r="G75" s="42" t="s">
        <v>251</v>
      </c>
      <c r="H75" s="47"/>
      <c r="I75" s="45" t="s">
        <v>139</v>
      </c>
      <c r="J75" s="49"/>
      <c r="K75" s="49"/>
      <c r="L75" s="49" t="str">
        <f ca="1">IFERROR(__xludf.DUMMYFUNCTION("QUERY('Volunteer Survey'!B81)"),"Ellen Xu")</f>
        <v>Ellen Xu</v>
      </c>
      <c r="M75" s="49" t="str">
        <f ca="1">IFERROR(__xludf.DUMMYFUNCTION("QUERY('Volunteer Survey'!E81)"),"")</f>
        <v/>
      </c>
      <c r="N75" s="49" t="str">
        <f ca="1">IFERROR(__xludf.DUMMYFUNCTION("QUERY('Volunteer Survey'!F81)"),"Genetic counselor")</f>
        <v>Genetic counselor</v>
      </c>
      <c r="O75" s="42" t="str">
        <f ca="1">IFERROR(__xludf.DUMMYFUNCTION("QUERY('Volunteer Survey'!H81)"),"Comprehensive")</f>
        <v>Comprehensive</v>
      </c>
      <c r="P75" s="49" t="str">
        <f ca="1">IFERROR(__xludf.DUMMYFUNCTION("QUERY('Volunteer Survey'!I81)"),"Variant Pathogenicity")</f>
        <v>Variant Pathogenicity</v>
      </c>
      <c r="Q75" s="54" t="str">
        <f ca="1">IFERROR(__xludf.DUMMYFUNCTION("QUERY('Volunteer Survey'!J81)"),"Clinical Actionability")</f>
        <v>Clinical Actionability</v>
      </c>
      <c r="R75" s="49" t="str">
        <f ca="1">IFERROR(__xludf.DUMMYFUNCTION("QUERY('Volunteer Survey'!K81)"),"Gene-Disease Validity")</f>
        <v>Gene-Disease Validity</v>
      </c>
      <c r="S75" s="49" t="str">
        <f ca="1">IFERROR(__xludf.DUMMYFUNCTION("QUERY('Volunteer Survey'!L81)"),"Dosage Sensitivity")</f>
        <v>Dosage Sensitivity</v>
      </c>
      <c r="T75" s="49" t="str">
        <f ca="1">IFERROR(__xludf.DUMMYFUNCTION("QUERY('Volunteer Survey'!M81)"),"Somatic Cancer")</f>
        <v>Somatic Cancer</v>
      </c>
      <c r="U75" s="58" t="str">
        <f ca="1">IFERROR(__xludf.DUMMYFUNCTION("QUERY('Volunteer Survey'!N81)"),"yes")</f>
        <v>yes</v>
      </c>
      <c r="V75" s="49" t="str">
        <f ca="1">IFERROR(__xludf.DUMMYFUNCTION("QUERY('Volunteer Survey'!O81)"),"Possibly")</f>
        <v>Possibly</v>
      </c>
      <c r="W75" s="60" t="str">
        <f ca="1">IFERROR(__xludf.DUMMYFUNCTION("QUERY('Volunteer Survey'!P81)"),"Dosage sensitivity, hereditary cancer")</f>
        <v>Dosage sensitivity, hereditary cancer</v>
      </c>
      <c r="X75" s="58" t="str">
        <f ca="1">IFERROR(__xludf.DUMMYFUNCTION("QUERY('Volunteer Survey'!R81)"),"Yes- I am willing to volunteer with any available ClinGen group")</f>
        <v>Yes- I am willing to volunteer with any available ClinGen group</v>
      </c>
      <c r="Y75" s="97" t="s">
        <v>3147</v>
      </c>
      <c r="Z75" s="174">
        <f ca="1">IFERROR(__xludf.DUMMYFUNCTION("QUERY('Volunteer Survey'!A74)"),43389.4523379629)</f>
        <v>43389.452337962903</v>
      </c>
      <c r="AA75" s="175" t="str">
        <f ca="1">IFERROR(__xludf.DUMMYFUNCTION("QUERY('Volunteer Survey'!B74)"),"Emma Reble ")</f>
        <v xml:space="preserve">Emma Reble </v>
      </c>
      <c r="AB75" s="175" t="str">
        <f ca="1">IFERROR(__xludf.DUMMYFUNCTION("QUERY('Volunteer Survey'!C74)"),"St. Michael's Hospital")</f>
        <v>St. Michael's Hospital</v>
      </c>
      <c r="AC75" s="175" t="str">
        <f ca="1">IFERROR(__xludf.DUMMYFUNCTION("QUERY('Volunteer Survey'!D74)"),"Toronto, Canada")</f>
        <v>Toronto, Canada</v>
      </c>
      <c r="AD75" s="175" t="str">
        <f ca="1">IFERROR(__xludf.DUMMYFUNCTION("QUERY('Volunteer Survey'!E74)"),"reblee@smh.ca")</f>
        <v>reblee@smh.ca</v>
      </c>
      <c r="AE75" s="175" t="str">
        <f ca="1">IFERROR(__xludf.DUMMYFUNCTION("QUERY('Volunteer Survey'!F74)"),"Variant Analyst/Scientist")</f>
        <v>Variant Analyst/Scientist</v>
      </c>
      <c r="AF75" s="175" t="str">
        <f ca="1">IFERROR(__xludf.DUMMYFUNCTION("QUERY('Volunteer Survey'!G74)"),"n/a")</f>
        <v>n/a</v>
      </c>
      <c r="AG75" s="175" t="str">
        <f ca="1">IFERROR(__xludf.DUMMYFUNCTION("QUERY('Volunteer Survey'!H74)"),"Comprehensive")</f>
        <v>Comprehensive</v>
      </c>
      <c r="AH75" s="175" t="str">
        <f ca="1">IFERROR(__xludf.DUMMYFUNCTION("QUERY('Volunteer Survey'!I74)"),"Variant Pathogenicity")</f>
        <v>Variant Pathogenicity</v>
      </c>
      <c r="AI75" s="175" t="str">
        <f ca="1">IFERROR(__xludf.DUMMYFUNCTION("QUERY('Volunteer Survey'!J74)"),"Gene-Disease Validity")</f>
        <v>Gene-Disease Validity</v>
      </c>
      <c r="AJ75" s="175" t="str">
        <f ca="1">IFERROR(__xludf.DUMMYFUNCTION("QUERY('Volunteer Survey'!K74)"),"Clinical Actionability")</f>
        <v>Clinical Actionability</v>
      </c>
      <c r="AK75" s="175" t="str">
        <f ca="1">IFERROR(__xludf.DUMMYFUNCTION("QUERY('Volunteer Survey'!L74)"),"Dosage Sensitivity")</f>
        <v>Dosage Sensitivity</v>
      </c>
      <c r="AL75" s="175" t="str">
        <f ca="1">IFERROR(__xludf.DUMMYFUNCTION("QUERY('Volunteer Survey'!M74)"),"Somatic Cancer")</f>
        <v>Somatic Cancer</v>
      </c>
      <c r="AM75" s="175" t="str">
        <f ca="1">IFERROR(__xludf.DUMMYFUNCTION("QUERY('Volunteer Survey'!N74)"),"yes")</f>
        <v>yes</v>
      </c>
      <c r="AN75" s="175" t="str">
        <f ca="1">IFERROR(__xludf.DUMMYFUNCTION("QUERY('Volunteer Survey'!O74)"),"Yes")</f>
        <v>Yes</v>
      </c>
      <c r="AO75" s="175" t="str">
        <f ca="1">IFERROR(__xludf.DUMMYFUNCTION("QUERY('Volunteer Survey'!P74)"),"I am interest in the neurodevelopmental disorder CDWG, particularly the Autism and ID group.")</f>
        <v>I am interest in the neurodevelopmental disorder CDWG, particularly the Autism and ID group.</v>
      </c>
    </row>
    <row r="76" spans="1:41" ht="14">
      <c r="A76" s="44">
        <f ca="1">IFERROR(__xludf.DUMMYFUNCTION("QUERY('Volunteer Survey'!A82)"),43418.4655555555)</f>
        <v>43418.4655555555</v>
      </c>
      <c r="B76" s="42" t="s">
        <v>160</v>
      </c>
      <c r="C76" s="81">
        <v>43109</v>
      </c>
      <c r="D76" s="59">
        <v>43608</v>
      </c>
      <c r="E76" s="42" t="s">
        <v>117</v>
      </c>
      <c r="F76" s="42" t="s">
        <v>117</v>
      </c>
      <c r="G76" s="42" t="s">
        <v>251</v>
      </c>
      <c r="H76" s="45" t="s">
        <v>305</v>
      </c>
      <c r="I76" s="45" t="s">
        <v>139</v>
      </c>
      <c r="J76" s="50">
        <v>43712</v>
      </c>
      <c r="K76" s="50"/>
      <c r="L76" s="49" t="str">
        <f ca="1">IFERROR(__xludf.DUMMYFUNCTION("QUERY('Volunteer Survey'!B82)"),"Alisdair Philp")</f>
        <v>Alisdair Philp</v>
      </c>
      <c r="M76" s="49" t="str">
        <f ca="1">IFERROR(__xludf.DUMMYFUNCTION("QUERY('Volunteer Survey'!E82)"),"arphilp@gmail.com")</f>
        <v>arphilp@gmail.com</v>
      </c>
      <c r="N76" s="49" t="str">
        <f ca="1">IFERROR(__xludf.DUMMYFUNCTION("QUERY('Volunteer Survey'!F82)"),"Genetic counselor")</f>
        <v>Genetic counselor</v>
      </c>
      <c r="O76" s="42" t="str">
        <f ca="1">IFERROR(__xludf.DUMMYFUNCTION("QUERY('Volunteer Survey'!H82)"),"Comprehensive")</f>
        <v>Comprehensive</v>
      </c>
      <c r="P76" s="49" t="str">
        <f ca="1">IFERROR(__xludf.DUMMYFUNCTION("QUERY('Volunteer Survey'!I82)"),"Variant Pathogenicity")</f>
        <v>Variant Pathogenicity</v>
      </c>
      <c r="Q76" s="54" t="str">
        <f ca="1">IFERROR(__xludf.DUMMYFUNCTION("QUERY('Volunteer Survey'!J82)"),"Gene-Disease Validity")</f>
        <v>Gene-Disease Validity</v>
      </c>
      <c r="R76" s="49" t="str">
        <f ca="1">IFERROR(__xludf.DUMMYFUNCTION("QUERY('Volunteer Survey'!K82)"),"Clinical Actionability")</f>
        <v>Clinical Actionability</v>
      </c>
      <c r="S76" s="49" t="str">
        <f ca="1">IFERROR(__xludf.DUMMYFUNCTION("QUERY('Volunteer Survey'!L82)"),"Dosage Sensitivity")</f>
        <v>Dosage Sensitivity</v>
      </c>
      <c r="T76" s="49" t="str">
        <f ca="1">IFERROR(__xludf.DUMMYFUNCTION("QUERY('Volunteer Survey'!M82)"),"Somatic Cancer")</f>
        <v>Somatic Cancer</v>
      </c>
      <c r="U76" s="58" t="str">
        <f ca="1">IFERROR(__xludf.DUMMYFUNCTION("QUERY('Volunteer Survey'!N82)"),"yes")</f>
        <v>yes</v>
      </c>
      <c r="V76" s="49" t="str">
        <f ca="1">IFERROR(__xludf.DUMMYFUNCTION("QUERY('Volunteer Survey'!O82)"),"No")</f>
        <v>No</v>
      </c>
      <c r="W76" s="60" t="str">
        <f ca="1">IFERROR(__xludf.DUMMYFUNCTION("QUERY('Volunteer Survey'!P82)"),"Cnv")</f>
        <v>Cnv</v>
      </c>
      <c r="X76" s="58" t="str">
        <f ca="1">IFERROR(__xludf.DUMMYFUNCTION("QUERY('Volunteer Survey'!R82)"),"Yes- I am willing to volunteer with any available ClinGen group")</f>
        <v>Yes- I am willing to volunteer with any available ClinGen group</v>
      </c>
      <c r="Y76" s="47"/>
      <c r="Z76" s="174">
        <f ca="1">IFERROR(__xludf.DUMMYFUNCTION("QUERY('Volunteer Survey'!A75)"),43373.450949074)</f>
        <v>43373.450949074002</v>
      </c>
      <c r="AA76" s="175" t="str">
        <f ca="1">IFERROR(__xludf.DUMMYFUNCTION("QUERY('Volunteer Survey'!B75)"),"Bryony Thompson")</f>
        <v>Bryony Thompson</v>
      </c>
      <c r="AB76" s="175" t="str">
        <f ca="1">IFERROR(__xludf.DUMMYFUNCTION("QUERY('Volunteer Survey'!C75)"),"Department of Pathology, Royal Melbourne Hospital")</f>
        <v>Department of Pathology, Royal Melbourne Hospital</v>
      </c>
      <c r="AC76" s="175" t="str">
        <f ca="1">IFERROR(__xludf.DUMMYFUNCTION("QUERY('Volunteer Survey'!D75)"),"Victoria, Australia")</f>
        <v>Victoria, Australia</v>
      </c>
      <c r="AD76" s="175" t="str">
        <f ca="1">IFERROR(__xludf.DUMMYFUNCTION("QUERY('Volunteer Survey'!E75)"),"Bryony.Thompson@mh.org.au")</f>
        <v>Bryony.Thompson@mh.org.au</v>
      </c>
      <c r="AE76" s="175" t="str">
        <f ca="1">IFERROR(__xludf.DUMMYFUNCTION("QUERY('Volunteer Survey'!F75)"),"Post Doc/Resident/Fellow (MD and/or PhD)")</f>
        <v>Post Doc/Resident/Fellow (MD and/or PhD)</v>
      </c>
      <c r="AF76" s="175" t="str">
        <f ca="1">IFERROR(__xludf.DUMMYFUNCTION("QUERY('Volunteer Survey'!G75)"),"n/a")</f>
        <v>n/a</v>
      </c>
      <c r="AG76" s="175" t="str">
        <f ca="1">IFERROR(__xludf.DUMMYFUNCTION("QUERY('Volunteer Survey'!H75)"),"Comprehensive")</f>
        <v>Comprehensive</v>
      </c>
      <c r="AH76" s="175" t="str">
        <f ca="1">IFERROR(__xludf.DUMMYFUNCTION("QUERY('Volunteer Survey'!I75)"),"Variant Pathogenicity")</f>
        <v>Variant Pathogenicity</v>
      </c>
      <c r="AI76" s="175" t="str">
        <f ca="1">IFERROR(__xludf.DUMMYFUNCTION("QUERY('Volunteer Survey'!J75)"),"")</f>
        <v/>
      </c>
      <c r="AJ76" s="175" t="str">
        <f ca="1">IFERROR(__xludf.DUMMYFUNCTION("QUERY('Volunteer Survey'!K75)"),"")</f>
        <v/>
      </c>
      <c r="AK76" s="175" t="str">
        <f ca="1">IFERROR(__xludf.DUMMYFUNCTION("QUERY('Volunteer Survey'!L75)"),"")</f>
        <v/>
      </c>
      <c r="AL76" s="175" t="str">
        <f ca="1">IFERROR(__xludf.DUMMYFUNCTION("QUERY('Volunteer Survey'!M75)"),"")</f>
        <v/>
      </c>
      <c r="AM76" s="175" t="str">
        <f ca="1">IFERROR(__xludf.DUMMYFUNCTION("QUERY('Volunteer Survey'!N75)"),"yes")</f>
        <v>yes</v>
      </c>
      <c r="AN76" s="175" t="str">
        <f ca="1">IFERROR(__xludf.DUMMYFUNCTION("QUERY('Volunteer Survey'!O75)"),"No")</f>
        <v>No</v>
      </c>
      <c r="AO76" s="175" t="str">
        <f ca="1">IFERROR(__xludf.DUMMYFUNCTION("QUERY('Volunteer Survey'!P75)"),"CDH1 Variant Curation Expert Panel")</f>
        <v>CDH1 Variant Curation Expert Panel</v>
      </c>
    </row>
    <row r="77" spans="1:41" ht="14">
      <c r="A77" s="44">
        <f ca="1">IFERROR(__xludf.DUMMYFUNCTION("QUERY('Volunteer Survey'!A83)"),43418.4674537037)</f>
        <v>43418.467453703699</v>
      </c>
      <c r="B77" s="42" t="s">
        <v>168</v>
      </c>
      <c r="C77" s="81">
        <v>43109</v>
      </c>
      <c r="D77" s="49"/>
      <c r="E77" s="42" t="s">
        <v>130</v>
      </c>
      <c r="F77" s="42" t="s">
        <v>130</v>
      </c>
      <c r="G77" s="42" t="s">
        <v>163</v>
      </c>
      <c r="H77" s="47"/>
      <c r="I77" s="45" t="s">
        <v>139</v>
      </c>
      <c r="J77" s="49"/>
      <c r="K77" s="49"/>
      <c r="L77" s="49" t="str">
        <f ca="1">IFERROR(__xludf.DUMMYFUNCTION("QUERY('Volunteer Survey'!B83)"),"Jenna Guiltinan")</f>
        <v>Jenna Guiltinan</v>
      </c>
      <c r="M77" s="49" t="str">
        <f ca="1">IFERROR(__xludf.DUMMYFUNCTION("QUERY('Volunteer Survey'!E83)"),"jenna.guiltinan@invitae.com")</f>
        <v>jenna.guiltinan@invitae.com</v>
      </c>
      <c r="N77" s="49" t="str">
        <f ca="1">IFERROR(__xludf.DUMMYFUNCTION("QUERY('Volunteer Survey'!F83)"),"Variant Analyst/Scientist")</f>
        <v>Variant Analyst/Scientist</v>
      </c>
      <c r="O77" s="42" t="str">
        <f ca="1">IFERROR(__xludf.DUMMYFUNCTION("QUERY('Volunteer Survey'!H83)"),"Comprehensive")</f>
        <v>Comprehensive</v>
      </c>
      <c r="P77" s="49" t="str">
        <f ca="1">IFERROR(__xludf.DUMMYFUNCTION("QUERY('Volunteer Survey'!I83)"),"Dosage Sensitivity")</f>
        <v>Dosage Sensitivity</v>
      </c>
      <c r="Q77" s="54" t="str">
        <f ca="1">IFERROR(__xludf.DUMMYFUNCTION("QUERY('Volunteer Survey'!J83)"),"Variant Pathogenicity")</f>
        <v>Variant Pathogenicity</v>
      </c>
      <c r="R77" s="49" t="str">
        <f ca="1">IFERROR(__xludf.DUMMYFUNCTION("QUERY('Volunteer Survey'!K83)"),"Clinical Actionability")</f>
        <v>Clinical Actionability</v>
      </c>
      <c r="S77" s="49" t="str">
        <f ca="1">IFERROR(__xludf.DUMMYFUNCTION("QUERY('Volunteer Survey'!L83)"),"Gene-Disease Validity")</f>
        <v>Gene-Disease Validity</v>
      </c>
      <c r="T77" s="49" t="str">
        <f ca="1">IFERROR(__xludf.DUMMYFUNCTION("QUERY('Volunteer Survey'!M83)"),"Somatic Cancer")</f>
        <v>Somatic Cancer</v>
      </c>
      <c r="U77" s="58" t="str">
        <f ca="1">IFERROR(__xludf.DUMMYFUNCTION("QUERY('Volunteer Survey'!N83)"),"yes")</f>
        <v>yes</v>
      </c>
      <c r="V77" s="49" t="str">
        <f ca="1">IFERROR(__xludf.DUMMYFUNCTION("QUERY('Volunteer Survey'!O83)"),"No")</f>
        <v>No</v>
      </c>
      <c r="W77" s="60" t="str">
        <f ca="1">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c r="X77" s="58" t="str">
        <f ca="1">IFERROR(__xludf.DUMMYFUNCTION("QUERY('Volunteer Survey'!R83)"),"Yes- I am willing to volunteer with any available ClinGen group")</f>
        <v>Yes- I am willing to volunteer with any available ClinGen group</v>
      </c>
      <c r="Y77" s="47"/>
      <c r="Z77" s="174">
        <f ca="1">IFERROR(__xludf.DUMMYFUNCTION("QUERY('Volunteer Survey'!A76)"),43395.4551967592)</f>
        <v>43395.455196759198</v>
      </c>
      <c r="AA77" s="175" t="str">
        <f ca="1">IFERROR(__xludf.DUMMYFUNCTION("QUERY('Volunteer Survey'!B76)"),"Qiliang Ding")</f>
        <v>Qiliang Ding</v>
      </c>
      <c r="AB77" s="175" t="str">
        <f ca="1">IFERROR(__xludf.DUMMYFUNCTION("QUERY('Volunteer Survey'!C76)"),"Cornell University ")</f>
        <v xml:space="preserve">Cornell University </v>
      </c>
      <c r="AC77" s="175" t="str">
        <f ca="1">IFERROR(__xludf.DUMMYFUNCTION("QUERY('Volunteer Survey'!D76)"),"NY")</f>
        <v>NY</v>
      </c>
      <c r="AD77" s="175" t="str">
        <f ca="1">IFERROR(__xludf.DUMMYFUNCTION("QUERY('Volunteer Survey'!E76)"),"qd29@cornell.edu")</f>
        <v>qd29@cornell.edu</v>
      </c>
      <c r="AE77" s="175" t="str">
        <f ca="1">IFERROR(__xludf.DUMMYFUNCTION("QUERY('Volunteer Survey'!F76)"),"Graduate Student")</f>
        <v>Graduate Student</v>
      </c>
      <c r="AF77" s="175" t="str">
        <f ca="1">IFERROR(__xludf.DUMMYFUNCTION("QUERY('Volunteer Survey'!G76)"),"n/a")</f>
        <v>n/a</v>
      </c>
      <c r="AG77" s="175" t="str">
        <f ca="1">IFERROR(__xludf.DUMMYFUNCTION("QUERY('Volunteer Survey'!H76)"),"Comprehensive")</f>
        <v>Comprehensive</v>
      </c>
      <c r="AH77" s="175" t="str">
        <f ca="1">IFERROR(__xludf.DUMMYFUNCTION("QUERY('Volunteer Survey'!I76)"),"Variant Pathogenicity")</f>
        <v>Variant Pathogenicity</v>
      </c>
      <c r="AI77" s="175" t="str">
        <f ca="1">IFERROR(__xludf.DUMMYFUNCTION("QUERY('Volunteer Survey'!J76)"),"Somatic Cancer")</f>
        <v>Somatic Cancer</v>
      </c>
      <c r="AJ77" s="175" t="str">
        <f ca="1">IFERROR(__xludf.DUMMYFUNCTION("QUERY('Volunteer Survey'!K76)"),"Gene-Disease Validity")</f>
        <v>Gene-Disease Validity</v>
      </c>
      <c r="AK77" s="175" t="str">
        <f ca="1">IFERROR(__xludf.DUMMYFUNCTION("QUERY('Volunteer Survey'!L76)"),"Clinical Actionability")</f>
        <v>Clinical Actionability</v>
      </c>
      <c r="AL77" s="175" t="str">
        <f ca="1">IFERROR(__xludf.DUMMYFUNCTION("QUERY('Volunteer Survey'!M76)"),"Dosage Sensitivity")</f>
        <v>Dosage Sensitivity</v>
      </c>
      <c r="AM77" s="175" t="str">
        <f ca="1">IFERROR(__xludf.DUMMYFUNCTION("QUERY('Volunteer Survey'!N76)"),"yes")</f>
        <v>yes</v>
      </c>
      <c r="AN77" s="175" t="str">
        <f ca="1">IFERROR(__xludf.DUMMYFUNCTION("QUERY('Volunteer Survey'!O76)"),"Yes")</f>
        <v>Yes</v>
      </c>
      <c r="AO77" s="175" t="str">
        <f ca="1">IFERROR(__xludf.DUMMYFUNCTION("QUERY('Volunteer Survey'!P76)"),"I am interested in all working groups.")</f>
        <v>I am interested in all working groups.</v>
      </c>
    </row>
    <row r="78" spans="1:41" ht="14">
      <c r="A78" s="44">
        <f ca="1">IFERROR(__xludf.DUMMYFUNCTION("QUERY('Volunteer Survey'!A84)"),43483.526094074)</f>
        <v>43483.526094073997</v>
      </c>
      <c r="B78" s="42" t="s">
        <v>168</v>
      </c>
      <c r="C78" s="47"/>
      <c r="D78" s="49"/>
      <c r="E78" s="42" t="s">
        <v>130</v>
      </c>
      <c r="F78" s="42" t="s">
        <v>130</v>
      </c>
      <c r="G78" s="42" t="s">
        <v>251</v>
      </c>
      <c r="H78" s="47"/>
      <c r="I78" s="45" t="s">
        <v>139</v>
      </c>
      <c r="J78" s="49"/>
      <c r="K78" s="49"/>
      <c r="L78" s="49" t="str">
        <f ca="1">IFERROR(__xludf.DUMMYFUNCTION("QUERY('Volunteer Survey'!B84)"),"Ron Agatep")</f>
        <v>Ron Agatep</v>
      </c>
      <c r="M78" s="49" t="str">
        <f ca="1">IFERROR(__xludf.DUMMYFUNCTION("QUERY('Volunteer Survey'!E84)"),"ragatep@sharedhealthmb.ca")</f>
        <v>ragatep@sharedhealthmb.ca</v>
      </c>
      <c r="N78" s="49" t="str">
        <f ca="1">IFERROR(__xludf.DUMMYFUNCTION("QUERY('Volunteer Survey'!F84)"),"Clinical laboratory geneticist")</f>
        <v>Clinical laboratory geneticist</v>
      </c>
      <c r="O78" s="42" t="str">
        <f ca="1">IFERROR(__xludf.DUMMYFUNCTION("QUERY('Volunteer Survey'!H84)"),"Comprehensive")</f>
        <v>Comprehensive</v>
      </c>
      <c r="P78" s="49" t="str">
        <f ca="1">IFERROR(__xludf.DUMMYFUNCTION("QUERY('Volunteer Survey'!I84)"),"Variant Pathogenicity")</f>
        <v>Variant Pathogenicity</v>
      </c>
      <c r="Q78" s="54" t="str">
        <f ca="1">IFERROR(__xludf.DUMMYFUNCTION("QUERY('Volunteer Survey'!J84)"),"Gene-Disease Validity, Somatic Cancer")</f>
        <v>Gene-Disease Validity, Somatic Cancer</v>
      </c>
      <c r="R78" s="49" t="str">
        <f ca="1">IFERROR(__xludf.DUMMYFUNCTION("QUERY('Volunteer Survey'!K84)"),"")</f>
        <v/>
      </c>
      <c r="S78" s="49" t="str">
        <f ca="1">IFERROR(__xludf.DUMMYFUNCTION("QUERY('Volunteer Survey'!L84)"),"")</f>
        <v/>
      </c>
      <c r="T78" s="49" t="str">
        <f ca="1">IFERROR(__xludf.DUMMYFUNCTION("QUERY('Volunteer Survey'!M84)"),"")</f>
        <v/>
      </c>
      <c r="U78" s="58" t="str">
        <f ca="1">IFERROR(__xludf.DUMMYFUNCTION("QUERY('Volunteer Survey'!N84)"),"")</f>
        <v/>
      </c>
      <c r="V78" s="49" t="str">
        <f ca="1">IFERROR(__xludf.DUMMYFUNCTION("QUERY('Volunteer Survey'!O84)"),"Possibly")</f>
        <v>Possibly</v>
      </c>
      <c r="W78" s="60" t="str">
        <f ca="1">IFERROR(__xludf.DUMMYFUNCTION("QUERY('Volunteer Survey'!P84)"),"Hereditary Breast and Ovarian Cancer")</f>
        <v>Hereditary Breast and Ovarian Cancer</v>
      </c>
      <c r="X78" s="58" t="str">
        <f ca="1">IFERROR(__xludf.DUMMYFUNCTION("QUERY('Volunteer Survey'!R84)"),"Maybe -- please contact me with other options, and I will decide based on what is available")</f>
        <v>Maybe -- please contact me with other options, and I will decide based on what is available</v>
      </c>
      <c r="Y78" s="47"/>
      <c r="Z78" s="174">
        <f ca="1">IFERROR(__xludf.DUMMYFUNCTION("QUERY('Volunteer Survey'!A77)"),43398.4593402777)</f>
        <v>43398.459340277703</v>
      </c>
      <c r="AA78" s="175" t="str">
        <f ca="1">IFERROR(__xludf.DUMMYFUNCTION("QUERY('Volunteer Survey'!B77)"),"Amy Donahue")</f>
        <v>Amy Donahue</v>
      </c>
      <c r="AB78" s="175" t="str">
        <f ca="1">IFERROR(__xludf.DUMMYFUNCTION("QUERY('Volunteer Survey'!C77)"),"Froedtert &amp; The Medical College of Wisconsin")</f>
        <v>Froedtert &amp; The Medical College of Wisconsin</v>
      </c>
      <c r="AC78" s="175" t="str">
        <f ca="1">IFERROR(__xludf.DUMMYFUNCTION("QUERY('Volunteer Survey'!D77)"),"WI")</f>
        <v>WI</v>
      </c>
      <c r="AD78" s="175" t="str">
        <f ca="1">IFERROR(__xludf.DUMMYFUNCTION("QUERY('Volunteer Survey'!E77)"),"adonahue@mcw.edu")</f>
        <v>adonahue@mcw.edu</v>
      </c>
      <c r="AE78" s="175" t="str">
        <f ca="1">IFERROR(__xludf.DUMMYFUNCTION("QUERY('Volunteer Survey'!F77)"),"Genetic counselor")</f>
        <v>Genetic counselor</v>
      </c>
      <c r="AF78" s="175" t="str">
        <f ca="1">IFERROR(__xludf.DUMMYFUNCTION("QUERY('Volunteer Survey'!G77)"),"n/a")</f>
        <v>n/a</v>
      </c>
      <c r="AG78" s="175" t="str">
        <f ca="1">IFERROR(__xludf.DUMMYFUNCTION("QUERY('Volunteer Survey'!H77)"),"Comprehensive")</f>
        <v>Comprehensive</v>
      </c>
      <c r="AH78" s="175" t="str">
        <f ca="1">IFERROR(__xludf.DUMMYFUNCTION("QUERY('Volunteer Survey'!I77)"),"Variant Pathogenicity")</f>
        <v>Variant Pathogenicity</v>
      </c>
      <c r="AI78" s="175" t="str">
        <f ca="1">IFERROR(__xludf.DUMMYFUNCTION("QUERY('Volunteer Survey'!J77)"),"Gene-Disease Validity")</f>
        <v>Gene-Disease Validity</v>
      </c>
      <c r="AJ78" s="175" t="str">
        <f ca="1">IFERROR(__xludf.DUMMYFUNCTION("QUERY('Volunteer Survey'!K77)"),"Clinical Actionability")</f>
        <v>Clinical Actionability</v>
      </c>
      <c r="AK78" s="175" t="str">
        <f ca="1">IFERROR(__xludf.DUMMYFUNCTION("QUERY('Volunteer Survey'!L77)"),"Dosage Sensitivity")</f>
        <v>Dosage Sensitivity</v>
      </c>
      <c r="AL78" s="175" t="str">
        <f ca="1">IFERROR(__xludf.DUMMYFUNCTION("QUERY('Volunteer Survey'!M77)"),"Somatic Cancer")</f>
        <v>Somatic Cancer</v>
      </c>
      <c r="AM78" s="175" t="str">
        <f ca="1">IFERROR(__xludf.DUMMYFUNCTION("QUERY('Volunteer Survey'!N77)"),"yes")</f>
        <v>yes</v>
      </c>
      <c r="AN78" s="175" t="str">
        <f ca="1">IFERROR(__xludf.DUMMYFUNCTION("QUERY('Volunteer Survey'!O77)"),"Possibly")</f>
        <v>Possibly</v>
      </c>
      <c r="AO78" s="175" t="str">
        <f ca="1">IFERROR(__xludf.DUMMYFUNCTION("QUERY('Volunteer Survey'!P77)"),"Any of the cardiac or neuro as well as the mitochondrial and monogenetic diabetes groups would fit within my clinical specialties. If there is the potential to start an ophthalmology/eye disorders group, I would love to be involved there. Thank you for th"&amp;"e opportunity!")</f>
        <v>Any of the cardiac or neuro as well as the mitochondrial and monogenetic diabetes groups would fit within my clinical specialties. If there is the potential to start an ophthalmology/eye disorders group, I would love to be involved there. Thank you for the opportunity!</v>
      </c>
    </row>
    <row r="79" spans="1:41" ht="14">
      <c r="A79" s="44">
        <f ca="1">IFERROR(__xludf.DUMMYFUNCTION("QUERY('Volunteer Survey'!A85)"),43342.526261574)</f>
        <v>43342.526261573999</v>
      </c>
      <c r="B79" s="42" t="s">
        <v>108</v>
      </c>
      <c r="C79" s="47"/>
      <c r="D79" s="49"/>
      <c r="E79" s="42" t="s">
        <v>130</v>
      </c>
      <c r="F79" s="42" t="s">
        <v>130</v>
      </c>
      <c r="G79" s="42" t="s">
        <v>202</v>
      </c>
      <c r="H79" s="47"/>
      <c r="I79" s="45" t="s">
        <v>139</v>
      </c>
      <c r="J79" s="49"/>
      <c r="K79" s="49"/>
      <c r="L79" s="49" t="str">
        <f ca="1">IFERROR(__xludf.DUMMYFUNCTION("QUERY('Volunteer Survey'!B85)"),"Danielle Croucher")</f>
        <v>Danielle Croucher</v>
      </c>
      <c r="M79" s="49" t="str">
        <f ca="1">IFERROR(__xludf.DUMMYFUNCTION("QUERY('Volunteer Survey'!E85)"),"d.croucher@mail.utoronto.ca")</f>
        <v>d.croucher@mail.utoronto.ca</v>
      </c>
      <c r="N79" s="49" t="str">
        <f ca="1">IFERROR(__xludf.DUMMYFUNCTION("QUERY('Volunteer Survey'!F85)"),"Graduate Student")</f>
        <v>Graduate Student</v>
      </c>
      <c r="O79" s="42" t="str">
        <f ca="1">IFERROR(__xludf.DUMMYFUNCTION("QUERY('Volunteer Survey'!H85)"),"Baseline")</f>
        <v>Baseline</v>
      </c>
      <c r="P79" s="49" t="str">
        <f ca="1">IFERROR(__xludf.DUMMYFUNCTION("QUERY('Volunteer Survey'!I85)"),"Clinical Actionability")</f>
        <v>Clinical Actionability</v>
      </c>
      <c r="Q79" s="54" t="str">
        <f ca="1">IFERROR(__xludf.DUMMYFUNCTION("QUERY('Volunteer Survey'!J85)"),"Gene-Disease Validity")</f>
        <v>Gene-Disease Validity</v>
      </c>
      <c r="R79" s="49" t="str">
        <f ca="1">IFERROR(__xludf.DUMMYFUNCTION("QUERY('Volunteer Survey'!K85)"),"Variant Pathogenicity")</f>
        <v>Variant Pathogenicity</v>
      </c>
      <c r="S79" s="49" t="str">
        <f ca="1">IFERROR(__xludf.DUMMYFUNCTION("QUERY('Volunteer Survey'!L85)"),"Somatic Cancer")</f>
        <v>Somatic Cancer</v>
      </c>
      <c r="T79" s="49" t="str">
        <f ca="1">IFERROR(__xludf.DUMMYFUNCTION("QUERY('Volunteer Survey'!M85)"),"")</f>
        <v/>
      </c>
      <c r="U79" s="58" t="str">
        <f ca="1">IFERROR(__xludf.DUMMYFUNCTION("QUERY('Volunteer Survey'!N85)"),"yes")</f>
        <v>yes</v>
      </c>
      <c r="V79" s="49" t="str">
        <f ca="1">IFERROR(__xludf.DUMMYFUNCTION("QUERY('Volunteer Survey'!O85)"),"Possibly")</f>
        <v>Possibly</v>
      </c>
      <c r="W79" s="60" t="str">
        <f ca="1">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c r="X79" s="58" t="str">
        <f ca="1">IFERROR(__xludf.DUMMYFUNCTION("QUERY('Volunteer Survey'!R85)"),"Maybe -- please contact me with other options, and I will decide based on what is available")</f>
        <v>Maybe -- please contact me with other options, and I will decide based on what is available</v>
      </c>
      <c r="Y79" s="47"/>
      <c r="Z79" s="174">
        <f ca="1">IFERROR(__xludf.DUMMYFUNCTION("QUERY('Volunteer Survey'!A78)"),43409.4609143518)</f>
        <v>43409.460914351803</v>
      </c>
      <c r="AA79" s="175" t="str">
        <f ca="1">IFERROR(__xludf.DUMMYFUNCTION("QUERY('Volunteer Survey'!B78)"),"Dave Ferguson")</f>
        <v>Dave Ferguson</v>
      </c>
      <c r="AB79" s="175" t="str">
        <f ca="1">IFERROR(__xludf.DUMMYFUNCTION("QUERY('Volunteer Survey'!C78)"),"UCI")</f>
        <v>UCI</v>
      </c>
      <c r="AC79" s="175" t="str">
        <f ca="1">IFERROR(__xludf.DUMMYFUNCTION("QUERY('Volunteer Survey'!D78)"),"Irvine, CA")</f>
        <v>Irvine, CA</v>
      </c>
      <c r="AD79" s="175" t="str">
        <f ca="1">IFERROR(__xludf.DUMMYFUNCTION("QUERY('Volunteer Survey'!E78)"),"dferguso@uci.edu")</f>
        <v>dferguso@uci.edu</v>
      </c>
      <c r="AE79" s="175" t="str">
        <f ca="1">IFERROR(__xludf.DUMMYFUNCTION("QUERY('Volunteer Survey'!F78)"),"Scientific Researcher")</f>
        <v>Scientific Researcher</v>
      </c>
      <c r="AF79" s="175" t="str">
        <f ca="1">IFERROR(__xludf.DUMMYFUNCTION("QUERY('Volunteer Survey'!G78)"),"n/a")</f>
        <v>n/a</v>
      </c>
      <c r="AG79" s="175" t="str">
        <f ca="1">IFERROR(__xludf.DUMMYFUNCTION("QUERY('Volunteer Survey'!H78)"),"Comprehensive")</f>
        <v>Comprehensive</v>
      </c>
      <c r="AH79" s="175" t="str">
        <f ca="1">IFERROR(__xludf.DUMMYFUNCTION("QUERY('Volunteer Survey'!I78)"),"Variant Pathogenicity")</f>
        <v>Variant Pathogenicity</v>
      </c>
      <c r="AI79" s="175" t="str">
        <f ca="1">IFERROR(__xludf.DUMMYFUNCTION("QUERY('Volunteer Survey'!J78)"),"Clinical Actionability")</f>
        <v>Clinical Actionability</v>
      </c>
      <c r="AJ79" s="175" t="str">
        <f ca="1">IFERROR(__xludf.DUMMYFUNCTION("QUERY('Volunteer Survey'!K78)"),"Gene-Disease Validity")</f>
        <v>Gene-Disease Validity</v>
      </c>
      <c r="AK79" s="175" t="str">
        <f ca="1">IFERROR(__xludf.DUMMYFUNCTION("QUERY('Volunteer Survey'!L78)"),"Dosage Sensitivity")</f>
        <v>Dosage Sensitivity</v>
      </c>
      <c r="AL79" s="175" t="str">
        <f ca="1">IFERROR(__xludf.DUMMYFUNCTION("QUERY('Volunteer Survey'!M78)"),"Somatic Cancer")</f>
        <v>Somatic Cancer</v>
      </c>
      <c r="AM79" s="175" t="str">
        <f ca="1">IFERROR(__xludf.DUMMYFUNCTION("QUERY('Volunteer Survey'!N78)"),"No")</f>
        <v>No</v>
      </c>
      <c r="AN79" s="175" t="str">
        <f ca="1">IFERROR(__xludf.DUMMYFUNCTION("QUERY('Volunteer Survey'!O78)"),"Yes")</f>
        <v>Yes</v>
      </c>
      <c r="AO79" s="175" t="str">
        <f ca="1">IFERROR(__xludf.DUMMYFUNCTION("QUERY('Volunteer Survey'!P78)"),"Mitochondrial Disease Variant Curation Expert Panel (In progress) Autism and Intellectual Disability Gene Curation Expert Panel")</f>
        <v>Mitochondrial Disease Variant Curation Expert Panel (In progress) Autism and Intellectual Disability Gene Curation Expert Panel</v>
      </c>
    </row>
    <row r="80" spans="1:41" ht="14">
      <c r="A80" s="44">
        <f ca="1">IFERROR(__xludf.DUMMYFUNCTION("QUERY('Volunteer Survey'!A86)"),43339.5275231481)</f>
        <v>43339.527523148099</v>
      </c>
      <c r="B80" s="42" t="s">
        <v>108</v>
      </c>
      <c r="C80" s="47"/>
      <c r="D80" s="49"/>
      <c r="E80" s="42" t="s">
        <v>130</v>
      </c>
      <c r="F80" s="42" t="s">
        <v>130</v>
      </c>
      <c r="G80" s="42" t="s">
        <v>202</v>
      </c>
      <c r="H80" s="47"/>
      <c r="I80" s="45" t="s">
        <v>139</v>
      </c>
      <c r="J80" s="49"/>
      <c r="K80" s="49"/>
      <c r="L80" s="49" t="str">
        <f ca="1">IFERROR(__xludf.DUMMYFUNCTION("QUERY('Volunteer Survey'!B86)"),"Fadel Alyaquob")</f>
        <v>Fadel Alyaquob</v>
      </c>
      <c r="M80" s="49" t="str">
        <f ca="1">IFERROR(__xludf.DUMMYFUNCTION("QUERY('Volunteer Survey'!E86)"),"falyaqoub1@yahoo.com")</f>
        <v>falyaqoub1@yahoo.com</v>
      </c>
      <c r="N80" s="49" t="str">
        <f ca="1">IFERROR(__xludf.DUMMYFUNCTION("QUERY('Volunteer Survey'!F86)"),"Variant Analyst/Scientist")</f>
        <v>Variant Analyst/Scientist</v>
      </c>
      <c r="O80" s="42" t="str">
        <f ca="1">IFERROR(__xludf.DUMMYFUNCTION("QUERY('Volunteer Survey'!H86)"),"Baseline")</f>
        <v>Baseline</v>
      </c>
      <c r="P80" s="49" t="str">
        <f ca="1">IFERROR(__xludf.DUMMYFUNCTION("QUERY('Volunteer Survey'!I86)"),"Clinical Actionability")</f>
        <v>Clinical Actionability</v>
      </c>
      <c r="Q80" s="54" t="str">
        <f ca="1">IFERROR(__xludf.DUMMYFUNCTION("QUERY('Volunteer Survey'!J86)"),"Gene-Disease Validity")</f>
        <v>Gene-Disease Validity</v>
      </c>
      <c r="R80" s="49" t="str">
        <f ca="1">IFERROR(__xludf.DUMMYFUNCTION("QUERY('Volunteer Survey'!K86)"),"Variant Pathogenicity")</f>
        <v>Variant Pathogenicity</v>
      </c>
      <c r="S80" s="49" t="str">
        <f ca="1">IFERROR(__xludf.DUMMYFUNCTION("QUERY('Volunteer Survey'!L86)"),"Somatic Cancer")</f>
        <v>Somatic Cancer</v>
      </c>
      <c r="T80" s="49" t="str">
        <f ca="1">IFERROR(__xludf.DUMMYFUNCTION("QUERY('Volunteer Survey'!M86)"),"")</f>
        <v/>
      </c>
      <c r="U80" s="58" t="str">
        <f ca="1">IFERROR(__xludf.DUMMYFUNCTION("QUERY('Volunteer Survey'!N86)"),"yes")</f>
        <v>yes</v>
      </c>
      <c r="V80" s="49" t="str">
        <f ca="1">IFERROR(__xludf.DUMMYFUNCTION("QUERY('Volunteer Survey'!O86)"),"Possibly")</f>
        <v>Possibly</v>
      </c>
      <c r="W80" s="60" t="str">
        <f ca="1">IFERROR(__xludf.DUMMYFUNCTION("QUERY('Volunteer Survey'!P86)"),"No")</f>
        <v>No</v>
      </c>
      <c r="X80" s="58" t="str">
        <f ca="1">IFERROR(__xludf.DUMMYFUNCTION("QUERY('Volunteer Survey'!R86)"),"Maybe -- please contact me with other options, and I will decide based on what is available")</f>
        <v>Maybe -- please contact me with other options, and I will decide based on what is available</v>
      </c>
      <c r="Y80" s="47"/>
      <c r="Z80" s="174">
        <f ca="1">IFERROR(__xludf.DUMMYFUNCTION("QUERY('Volunteer Survey'!A79)"),43413.4621412037)</f>
        <v>43413.462141203701</v>
      </c>
      <c r="AA80" s="175" t="str">
        <f ca="1">IFERROR(__xludf.DUMMYFUNCTION("QUERY('Volunteer Survey'!B79)"),"Santhi Ramachandran")</f>
        <v>Santhi Ramachandran</v>
      </c>
      <c r="AB80" s="175" t="str">
        <f ca="1">IFERROR(__xludf.DUMMYFUNCTION("QUERY('Volunteer Survey'!C79)"),"n/a")</f>
        <v>n/a</v>
      </c>
      <c r="AC80" s="175" t="str">
        <f ca="1">IFERROR(__xludf.DUMMYFUNCTION("QUERY('Volunteer Survey'!D79)"),"Kerala, India")</f>
        <v>Kerala, India</v>
      </c>
      <c r="AD80" s="175" t="str">
        <f ca="1">IFERROR(__xludf.DUMMYFUNCTION("QUERY('Volunteer Survey'!E79)"),"santhialways4u@gmail.com")</f>
        <v>santhialways4u@gmail.com</v>
      </c>
      <c r="AE80" s="175" t="str">
        <f ca="1">IFERROR(__xludf.DUMMYFUNCTION("QUERY('Volunteer Survey'!F79)"),"Biocurator")</f>
        <v>Biocurator</v>
      </c>
      <c r="AF80" s="175" t="str">
        <f ca="1">IFERROR(__xludf.DUMMYFUNCTION("QUERY('Volunteer Survey'!G79)"),"n/a")</f>
        <v>n/a</v>
      </c>
      <c r="AG80" s="175" t="str">
        <f ca="1">IFERROR(__xludf.DUMMYFUNCTION("QUERY('Volunteer Survey'!H79)"),"Comprehensive")</f>
        <v>Comprehensive</v>
      </c>
      <c r="AH80" s="175" t="str">
        <f ca="1">IFERROR(__xludf.DUMMYFUNCTION("QUERY('Volunteer Survey'!I79)"),"Variant Pathogenicity")</f>
        <v>Variant Pathogenicity</v>
      </c>
      <c r="AI80" s="175" t="str">
        <f ca="1">IFERROR(__xludf.DUMMYFUNCTION("QUERY('Volunteer Survey'!J79)"),"Gene-Disease Validity")</f>
        <v>Gene-Disease Validity</v>
      </c>
      <c r="AJ80" s="175" t="str">
        <f ca="1">IFERROR(__xludf.DUMMYFUNCTION("QUERY('Volunteer Survey'!K79)"),"Clinical Actionability")</f>
        <v>Clinical Actionability</v>
      </c>
      <c r="AK80" s="175" t="str">
        <f ca="1">IFERROR(__xludf.DUMMYFUNCTION("QUERY('Volunteer Survey'!L79)"),"Dosage Sensitivity")</f>
        <v>Dosage Sensitivity</v>
      </c>
      <c r="AL80" s="175" t="str">
        <f ca="1">IFERROR(__xludf.DUMMYFUNCTION("QUERY('Volunteer Survey'!M79)"),"Somatic Cancer")</f>
        <v>Somatic Cancer</v>
      </c>
      <c r="AM80" s="175" t="str">
        <f ca="1">IFERROR(__xludf.DUMMYFUNCTION("QUERY('Volunteer Survey'!N79)"),"yes")</f>
        <v>yes</v>
      </c>
      <c r="AN80" s="175" t="str">
        <f ca="1">IFERROR(__xludf.DUMMYFUNCTION("QUERY('Volunteer Survey'!O79)"),"Possibly")</f>
        <v>Possibly</v>
      </c>
      <c r="AO80" s="175" t="str">
        <f ca="1">IFERROR(__xludf.DUMMYFUNCTION("QUERY('Volunteer Survey'!P79)"),"I would like to work with variant curation expert panel or gene curation expert panel")</f>
        <v>I would like to work with variant curation expert panel or gene curation expert panel</v>
      </c>
    </row>
    <row r="81" spans="1:41" ht="14">
      <c r="A81" s="44">
        <f ca="1">IFERROR(__xludf.DUMMYFUNCTION("QUERY('Volunteer Survey'!A87)"),43332.5285648148)</f>
        <v>43332.528564814798</v>
      </c>
      <c r="B81" s="42" t="s">
        <v>108</v>
      </c>
      <c r="C81" s="47"/>
      <c r="D81" s="49"/>
      <c r="E81" s="42" t="s">
        <v>130</v>
      </c>
      <c r="F81" s="42" t="s">
        <v>130</v>
      </c>
      <c r="G81" s="42" t="s">
        <v>202</v>
      </c>
      <c r="H81" s="47"/>
      <c r="I81" s="45" t="s">
        <v>139</v>
      </c>
      <c r="J81" s="49"/>
      <c r="K81" s="49"/>
      <c r="L81" s="49" t="str">
        <f ca="1">IFERROR(__xludf.DUMMYFUNCTION("QUERY('Volunteer Survey'!B87)"),"Hilary Racher")</f>
        <v>Hilary Racher</v>
      </c>
      <c r="M81" s="49" t="str">
        <f ca="1">IFERROR(__xludf.DUMMYFUNCTION("QUERY('Volunteer Survey'!E87)"),"racherh@dynacare.ca")</f>
        <v>racherh@dynacare.ca</v>
      </c>
      <c r="N81" s="49" t="str">
        <f ca="1">IFERROR(__xludf.DUMMYFUNCTION("QUERY('Volunteer Survey'!F87)"),"Clinical laboratory geneticist")</f>
        <v>Clinical laboratory geneticist</v>
      </c>
      <c r="O81" s="42" t="str">
        <f ca="1">IFERROR(__xludf.DUMMYFUNCTION("QUERY('Volunteer Survey'!H87)"),"Baseline")</f>
        <v>Baseline</v>
      </c>
      <c r="P81" s="49" t="str">
        <f ca="1">IFERROR(__xludf.DUMMYFUNCTION("QUERY('Volunteer Survey'!I87)"),"Variant Pathogenicity")</f>
        <v>Variant Pathogenicity</v>
      </c>
      <c r="Q81" s="54" t="str">
        <f ca="1">IFERROR(__xludf.DUMMYFUNCTION("QUERY('Volunteer Survey'!J87)"),"Somatic Cancer")</f>
        <v>Somatic Cancer</v>
      </c>
      <c r="R81" s="49" t="str">
        <f ca="1">IFERROR(__xludf.DUMMYFUNCTION("QUERY('Volunteer Survey'!K87)"),"")</f>
        <v/>
      </c>
      <c r="S81" s="49" t="str">
        <f ca="1">IFERROR(__xludf.DUMMYFUNCTION("QUERY('Volunteer Survey'!L87)"),"")</f>
        <v/>
      </c>
      <c r="T81" s="49" t="str">
        <f ca="1">IFERROR(__xludf.DUMMYFUNCTION("QUERY('Volunteer Survey'!M87)"),"")</f>
        <v/>
      </c>
      <c r="U81" s="58" t="str">
        <f ca="1">IFERROR(__xludf.DUMMYFUNCTION("QUERY('Volunteer Survey'!N87)"),"Yes")</f>
        <v>Yes</v>
      </c>
      <c r="V81" s="49" t="str">
        <f ca="1">IFERROR(__xludf.DUMMYFUNCTION("QUERY('Volunteer Survey'!O87)"),"Possibly")</f>
        <v>Possibly</v>
      </c>
      <c r="W81" s="60" t="str">
        <f ca="1">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c r="X81" s="58" t="str">
        <f ca="1">IFERROR(__xludf.DUMMYFUNCTION("QUERY('Volunteer Survey'!R87)"),"Maybe -- please contact me with other options, and I will decide based on what is available")</f>
        <v>Maybe -- please contact me with other options, and I will decide based on what is available</v>
      </c>
      <c r="Y81" s="47"/>
      <c r="Z81" s="174">
        <f ca="1">IFERROR(__xludf.DUMMYFUNCTION("QUERY('Volunteer Survey'!A80)"),43413.4633564814)</f>
        <v>43413.463356481399</v>
      </c>
      <c r="AA81" s="175" t="str">
        <f ca="1">IFERROR(__xludf.DUMMYFUNCTION("QUERY('Volunteer Survey'!B80)"),"Megan Nathan")</f>
        <v>Megan Nathan</v>
      </c>
      <c r="AB81" s="175" t="str">
        <f ca="1">IFERROR(__xludf.DUMMYFUNCTION("QUERY('Volunteer Survey'!C80)"),"Providence Alaska Medical Center")</f>
        <v>Providence Alaska Medical Center</v>
      </c>
      <c r="AC81" s="175" t="str">
        <f ca="1">IFERROR(__xludf.DUMMYFUNCTION("QUERY('Volunteer Survey'!D80)"),"Anchorage, AK")</f>
        <v>Anchorage, AK</v>
      </c>
      <c r="AD81" s="175" t="str">
        <f ca="1">IFERROR(__xludf.DUMMYFUNCTION("QUERY('Volunteer Survey'!E80)"),"mlnathan.genetics@gmail.com")</f>
        <v>mlnathan.genetics@gmail.com</v>
      </c>
      <c r="AE81" s="175" t="str">
        <f ca="1">IFERROR(__xludf.DUMMYFUNCTION("QUERY('Volunteer Survey'!F80)"),"Genetic counselor")</f>
        <v>Genetic counselor</v>
      </c>
      <c r="AF81" s="175" t="str">
        <f ca="1">IFERROR(__xludf.DUMMYFUNCTION("QUERY('Volunteer Survey'!G80)"),"n/a")</f>
        <v>n/a</v>
      </c>
      <c r="AG81" s="175" t="str">
        <f ca="1">IFERROR(__xludf.DUMMYFUNCTION("QUERY('Volunteer Survey'!H80)"),"Comprehensive")</f>
        <v>Comprehensive</v>
      </c>
      <c r="AH81" s="175" t="str">
        <f ca="1">IFERROR(__xludf.DUMMYFUNCTION("QUERY('Volunteer Survey'!I80)"),"Variant Pathogenicity")</f>
        <v>Variant Pathogenicity</v>
      </c>
      <c r="AI81" s="175" t="str">
        <f ca="1">IFERROR(__xludf.DUMMYFUNCTION("QUERY('Volunteer Survey'!J80)"),"Somatic Cancer")</f>
        <v>Somatic Cancer</v>
      </c>
      <c r="AJ81" s="175" t="str">
        <f ca="1">IFERROR(__xludf.DUMMYFUNCTION("QUERY('Volunteer Survey'!K80)"),"Dosage Sensitivity")</f>
        <v>Dosage Sensitivity</v>
      </c>
      <c r="AK81" s="175" t="str">
        <f ca="1">IFERROR(__xludf.DUMMYFUNCTION("QUERY('Volunteer Survey'!L80)"),"Gene-Disease Validity")</f>
        <v>Gene-Disease Validity</v>
      </c>
      <c r="AL81" s="175" t="str">
        <f ca="1">IFERROR(__xludf.DUMMYFUNCTION("QUERY('Volunteer Survey'!M80)"),"Clinical Actionability")</f>
        <v>Clinical Actionability</v>
      </c>
      <c r="AM81" s="175" t="str">
        <f ca="1">IFERROR(__xludf.DUMMYFUNCTION("QUERY('Volunteer Survey'!N80)"),"yes")</f>
        <v>yes</v>
      </c>
      <c r="AN81" s="175" t="str">
        <f ca="1">IFERROR(__xludf.DUMMYFUNCTION("QUERY('Volunteer Survey'!O80)"),"")</f>
        <v/>
      </c>
      <c r="AO81" s="175" t="str">
        <f ca="1">IFERROR(__xludf.DUMMYFUNCTION("QUERY('Volunteer Survey'!P80)"),"I would be most interested in the following groups (1 = top choice; 5 = last choice) 1. Breast/Ovarian Cancer (newly forming) 2. Colorectal Cancer (newly forming) 3. PTEN* 4. CDH1 5. VHL (Von Hippel-Lindau)*")</f>
        <v>I would be most interested in the following groups (1 = top choice; 5 = last choice) 1. Breast/Ovarian Cancer (newly forming) 2. Colorectal Cancer (newly forming) 3. PTEN* 4. CDH1 5. VHL (Von Hippel-Lindau)*</v>
      </c>
    </row>
    <row r="82" spans="1:41" ht="14">
      <c r="A82" s="44">
        <f ca="1">IFERROR(__xludf.DUMMYFUNCTION("QUERY('Volunteer Survey'!A88)"),43332.5297800925)</f>
        <v>43332.529780092496</v>
      </c>
      <c r="B82" s="42" t="s">
        <v>108</v>
      </c>
      <c r="C82" s="47"/>
      <c r="D82" s="49"/>
      <c r="E82" s="42" t="s">
        <v>130</v>
      </c>
      <c r="F82" s="42" t="s">
        <v>130</v>
      </c>
      <c r="G82" s="42" t="s">
        <v>202</v>
      </c>
      <c r="H82" s="47"/>
      <c r="I82" s="45" t="s">
        <v>139</v>
      </c>
      <c r="J82" s="49"/>
      <c r="K82" s="49"/>
      <c r="L82" s="49" t="str">
        <f ca="1">IFERROR(__xludf.DUMMYFUNCTION("QUERY('Volunteer Survey'!B88)"),"Juan Dong")</f>
        <v>Juan Dong</v>
      </c>
      <c r="M82" s="49" t="str">
        <f ca="1">IFERROR(__xludf.DUMMYFUNCTION("QUERY('Volunteer Survey'!E88)"),"juan.dong@preventiongenetics.com")</f>
        <v>juan.dong@preventiongenetics.com</v>
      </c>
      <c r="N82" s="49" t="str">
        <f ca="1">IFERROR(__xludf.DUMMYFUNCTION("QUERY('Volunteer Survey'!F88)"),"Clinical laboratory geneticist")</f>
        <v>Clinical laboratory geneticist</v>
      </c>
      <c r="O82" s="42" t="str">
        <f ca="1">IFERROR(__xludf.DUMMYFUNCTION("QUERY('Volunteer Survey'!H88)"),"Baseline")</f>
        <v>Baseline</v>
      </c>
      <c r="P82" s="49" t="str">
        <f ca="1">IFERROR(__xludf.DUMMYFUNCTION("QUERY('Volunteer Survey'!I88)"),"Gene-Disease Validity")</f>
        <v>Gene-Disease Validity</v>
      </c>
      <c r="Q82" s="54" t="str">
        <f ca="1">IFERROR(__xludf.DUMMYFUNCTION("QUERY('Volunteer Survey'!J88)"),"Variant Pathogenicity")</f>
        <v>Variant Pathogenicity</v>
      </c>
      <c r="R82" s="49" t="str">
        <f ca="1">IFERROR(__xludf.DUMMYFUNCTION("QUERY('Volunteer Survey'!K88)"),"")</f>
        <v/>
      </c>
      <c r="S82" s="49" t="str">
        <f ca="1">IFERROR(__xludf.DUMMYFUNCTION("QUERY('Volunteer Survey'!L88)"),"")</f>
        <v/>
      </c>
      <c r="T82" s="49" t="str">
        <f ca="1">IFERROR(__xludf.DUMMYFUNCTION("QUERY('Volunteer Survey'!M88)"),"")</f>
        <v/>
      </c>
      <c r="U82" s="58" t="str">
        <f ca="1">IFERROR(__xludf.DUMMYFUNCTION("QUERY('Volunteer Survey'!N88)"),"Yes")</f>
        <v>Yes</v>
      </c>
      <c r="V82" s="49" t="str">
        <f ca="1">IFERROR(__xludf.DUMMYFUNCTION("QUERY('Volunteer Survey'!O88)"),"Possibly")</f>
        <v>Possibly</v>
      </c>
      <c r="W82" s="60" t="str">
        <f ca="1">IFERROR(__xludf.DUMMYFUNCTION("QUERY('Volunteer Survey'!P88)"),"Familial Thoracic Aortic Aneurysm and Dissection Gene Curation Expert Pane")</f>
        <v>Familial Thoracic Aortic Aneurysm and Dissection Gene Curation Expert Pane</v>
      </c>
      <c r="X82" s="58" t="str">
        <f ca="1">IFERROR(__xludf.DUMMYFUNCTION("QUERY('Volunteer Survey'!R88)"),"Maybe -- please contact me with other options, and I will decide based on what is available")</f>
        <v>Maybe -- please contact me with other options, and I will decide based on what is available</v>
      </c>
      <c r="Y82" s="47"/>
      <c r="Z82" s="174">
        <f ca="1">IFERROR(__xludf.DUMMYFUNCTION("QUERY('Volunteer Survey'!A81)"),43416.4644560185)</f>
        <v>43416.464456018497</v>
      </c>
      <c r="AA82" s="175" t="str">
        <f ca="1">IFERROR(__xludf.DUMMYFUNCTION("QUERY('Volunteer Survey'!B81)"),"Ellen Xu")</f>
        <v>Ellen Xu</v>
      </c>
      <c r="AB82" s="175" t="str">
        <f ca="1">IFERROR(__xludf.DUMMYFUNCTION("QUERY('Volunteer Survey'!C81)"),"Fulgent Genetics")</f>
        <v>Fulgent Genetics</v>
      </c>
      <c r="AC82" s="175" t="str">
        <f ca="1">IFERROR(__xludf.DUMMYFUNCTION("QUERY('Volunteer Survey'!D81)"),"CA ")</f>
        <v xml:space="preserve">CA </v>
      </c>
      <c r="AD82" s="175" t="str">
        <f ca="1">IFERROR(__xludf.DUMMYFUNCTION("QUERY('Volunteer Survey'!E81)"),"")</f>
        <v/>
      </c>
      <c r="AE82" s="175" t="str">
        <f ca="1">IFERROR(__xludf.DUMMYFUNCTION("QUERY('Volunteer Survey'!F81)"),"Genetic counselor")</f>
        <v>Genetic counselor</v>
      </c>
      <c r="AF82" s="175" t="str">
        <f ca="1">IFERROR(__xludf.DUMMYFUNCTION("QUERY('Volunteer Survey'!G81)"),"n/a")</f>
        <v>n/a</v>
      </c>
      <c r="AG82" s="175" t="str">
        <f ca="1">IFERROR(__xludf.DUMMYFUNCTION("QUERY('Volunteer Survey'!H81)"),"Comprehensive")</f>
        <v>Comprehensive</v>
      </c>
      <c r="AH82" s="175" t="str">
        <f ca="1">IFERROR(__xludf.DUMMYFUNCTION("QUERY('Volunteer Survey'!I81)"),"Variant Pathogenicity")</f>
        <v>Variant Pathogenicity</v>
      </c>
      <c r="AI82" s="175" t="str">
        <f ca="1">IFERROR(__xludf.DUMMYFUNCTION("QUERY('Volunteer Survey'!J81)"),"Clinical Actionability")</f>
        <v>Clinical Actionability</v>
      </c>
      <c r="AJ82" s="175" t="str">
        <f ca="1">IFERROR(__xludf.DUMMYFUNCTION("QUERY('Volunteer Survey'!K81)"),"Gene-Disease Validity")</f>
        <v>Gene-Disease Validity</v>
      </c>
      <c r="AK82" s="175" t="str">
        <f ca="1">IFERROR(__xludf.DUMMYFUNCTION("QUERY('Volunteer Survey'!L81)"),"Dosage Sensitivity")</f>
        <v>Dosage Sensitivity</v>
      </c>
      <c r="AL82" s="175" t="str">
        <f ca="1">IFERROR(__xludf.DUMMYFUNCTION("QUERY('Volunteer Survey'!M81)"),"Somatic Cancer")</f>
        <v>Somatic Cancer</v>
      </c>
      <c r="AM82" s="175" t="str">
        <f ca="1">IFERROR(__xludf.DUMMYFUNCTION("QUERY('Volunteer Survey'!N81)"),"yes")</f>
        <v>yes</v>
      </c>
      <c r="AN82" s="175" t="str">
        <f ca="1">IFERROR(__xludf.DUMMYFUNCTION("QUERY('Volunteer Survey'!O81)"),"Possibly")</f>
        <v>Possibly</v>
      </c>
      <c r="AO82" s="175" t="str">
        <f ca="1">IFERROR(__xludf.DUMMYFUNCTION("QUERY('Volunteer Survey'!P81)"),"Dosage sensitivity, hereditary cancer")</f>
        <v>Dosage sensitivity, hereditary cancer</v>
      </c>
    </row>
    <row r="83" spans="1:41" ht="14">
      <c r="A83" s="44">
        <f ca="1">IFERROR(__xludf.DUMMYFUNCTION("QUERY('Volunteer Survey'!A89)"),43332.5310879629)</f>
        <v>43332.531087962903</v>
      </c>
      <c r="B83" s="42" t="s">
        <v>108</v>
      </c>
      <c r="C83" s="47"/>
      <c r="D83" s="49"/>
      <c r="E83" s="42" t="s">
        <v>130</v>
      </c>
      <c r="F83" s="42" t="s">
        <v>130</v>
      </c>
      <c r="G83" s="42" t="s">
        <v>202</v>
      </c>
      <c r="H83" s="47"/>
      <c r="I83" s="45" t="s">
        <v>139</v>
      </c>
      <c r="J83" s="49"/>
      <c r="K83" s="49"/>
      <c r="L83" s="49" t="str">
        <f ca="1">IFERROR(__xludf.DUMMYFUNCTION("QUERY('Volunteer Survey'!B89)"),"Julie Kaylor")</f>
        <v>Julie Kaylor</v>
      </c>
      <c r="M83" s="49" t="str">
        <f ca="1">IFERROR(__xludf.DUMMYFUNCTION("QUERY('Volunteer Survey'!E89)"),"jkaylor@informeddna.com")</f>
        <v>jkaylor@informeddna.com</v>
      </c>
      <c r="N83" s="49" t="str">
        <f ca="1">IFERROR(__xludf.DUMMYFUNCTION("QUERY('Volunteer Survey'!F89)"),"Genetic counselor")</f>
        <v>Genetic counselor</v>
      </c>
      <c r="O83" s="42" t="str">
        <f ca="1">IFERROR(__xludf.DUMMYFUNCTION("QUERY('Volunteer Survey'!H89)"),"Baseline")</f>
        <v>Baseline</v>
      </c>
      <c r="P83" s="49" t="str">
        <f ca="1">IFERROR(__xludf.DUMMYFUNCTION("QUERY('Volunteer Survey'!I89)"),"Clinical Actionability")</f>
        <v>Clinical Actionability</v>
      </c>
      <c r="Q83" s="54" t="str">
        <f ca="1">IFERROR(__xludf.DUMMYFUNCTION("QUERY('Volunteer Survey'!J89)"),"Gene-Disease Validity")</f>
        <v>Gene-Disease Validity</v>
      </c>
      <c r="R83" s="49" t="str">
        <f ca="1">IFERROR(__xludf.DUMMYFUNCTION("QUERY('Volunteer Survey'!K89)"),"Variant Pathogenicity")</f>
        <v>Variant Pathogenicity</v>
      </c>
      <c r="S83" s="49" t="str">
        <f ca="1">IFERROR(__xludf.DUMMYFUNCTION("QUERY('Volunteer Survey'!L89)"),"")</f>
        <v/>
      </c>
      <c r="T83" s="49" t="str">
        <f ca="1">IFERROR(__xludf.DUMMYFUNCTION("QUERY('Volunteer Survey'!M89)"),"")</f>
        <v/>
      </c>
      <c r="U83" s="58" t="str">
        <f ca="1">IFERROR(__xludf.DUMMYFUNCTION("QUERY('Volunteer Survey'!N89)"),"Yes")</f>
        <v>Yes</v>
      </c>
      <c r="V83" s="49" t="str">
        <f ca="1">IFERROR(__xludf.DUMMYFUNCTION("QUERY('Volunteer Survey'!O89)"),"Possibly")</f>
        <v>Possibly</v>
      </c>
      <c r="W83" s="60" t="str">
        <f ca="1">IFERROR(__xludf.DUMMYFUNCTION("QUERY('Volunteer Survey'!P89)"),"NA")</f>
        <v>NA</v>
      </c>
      <c r="X83" s="58" t="str">
        <f ca="1">IFERROR(__xludf.DUMMYFUNCTION("QUERY('Volunteer Survey'!R89)"),"Maybe -- please contact me with other options, and I will decide based on what is available")</f>
        <v>Maybe -- please contact me with other options, and I will decide based on what is available</v>
      </c>
      <c r="Y83" s="47"/>
      <c r="Z83" s="174">
        <f ca="1">IFERROR(__xludf.DUMMYFUNCTION("QUERY('Volunteer Survey'!A82)"),43418.4655555555)</f>
        <v>43418.4655555555</v>
      </c>
      <c r="AA83" s="175" t="str">
        <f ca="1">IFERROR(__xludf.DUMMYFUNCTION("QUERY('Volunteer Survey'!B82)"),"Alisdair Philp")</f>
        <v>Alisdair Philp</v>
      </c>
      <c r="AB83" s="175" t="str">
        <f ca="1">IFERROR(__xludf.DUMMYFUNCTION("QUERY('Volunteer Survey'!C82)"),"University of Kansas Hospitals System")</f>
        <v>University of Kansas Hospitals System</v>
      </c>
      <c r="AC83" s="175" t="str">
        <f ca="1">IFERROR(__xludf.DUMMYFUNCTION("QUERY('Volunteer Survey'!D82)"),"Kansas City, MO")</f>
        <v>Kansas City, MO</v>
      </c>
      <c r="AD83" s="175" t="str">
        <f ca="1">IFERROR(__xludf.DUMMYFUNCTION("QUERY('Volunteer Survey'!E82)"),"arphilp@gmail.com")</f>
        <v>arphilp@gmail.com</v>
      </c>
      <c r="AE83" s="175" t="str">
        <f ca="1">IFERROR(__xludf.DUMMYFUNCTION("QUERY('Volunteer Survey'!F82)"),"Genetic counselor")</f>
        <v>Genetic counselor</v>
      </c>
      <c r="AF83" s="175" t="str">
        <f ca="1">IFERROR(__xludf.DUMMYFUNCTION("QUERY('Volunteer Survey'!G82)"),"n/a")</f>
        <v>n/a</v>
      </c>
      <c r="AG83" s="175" t="str">
        <f ca="1">IFERROR(__xludf.DUMMYFUNCTION("QUERY('Volunteer Survey'!H82)"),"Comprehensive")</f>
        <v>Comprehensive</v>
      </c>
      <c r="AH83" s="175" t="str">
        <f ca="1">IFERROR(__xludf.DUMMYFUNCTION("QUERY('Volunteer Survey'!I82)"),"Variant Pathogenicity")</f>
        <v>Variant Pathogenicity</v>
      </c>
      <c r="AI83" s="175" t="str">
        <f ca="1">IFERROR(__xludf.DUMMYFUNCTION("QUERY('Volunteer Survey'!J82)"),"Gene-Disease Validity")</f>
        <v>Gene-Disease Validity</v>
      </c>
      <c r="AJ83" s="175" t="str">
        <f ca="1">IFERROR(__xludf.DUMMYFUNCTION("QUERY('Volunteer Survey'!K82)"),"Clinical Actionability")</f>
        <v>Clinical Actionability</v>
      </c>
      <c r="AK83" s="175" t="str">
        <f ca="1">IFERROR(__xludf.DUMMYFUNCTION("QUERY('Volunteer Survey'!L82)"),"Dosage Sensitivity")</f>
        <v>Dosage Sensitivity</v>
      </c>
      <c r="AL83" s="175" t="str">
        <f ca="1">IFERROR(__xludf.DUMMYFUNCTION("QUERY('Volunteer Survey'!M82)"),"Somatic Cancer")</f>
        <v>Somatic Cancer</v>
      </c>
      <c r="AM83" s="175" t="str">
        <f ca="1">IFERROR(__xludf.DUMMYFUNCTION("QUERY('Volunteer Survey'!N82)"),"yes")</f>
        <v>yes</v>
      </c>
      <c r="AN83" s="175" t="str">
        <f ca="1">IFERROR(__xludf.DUMMYFUNCTION("QUERY('Volunteer Survey'!O82)"),"No")</f>
        <v>No</v>
      </c>
      <c r="AO83" s="175" t="str">
        <f ca="1">IFERROR(__xludf.DUMMYFUNCTION("QUERY('Volunteer Survey'!P82)"),"Cnv")</f>
        <v>Cnv</v>
      </c>
    </row>
    <row r="84" spans="1:41" ht="14">
      <c r="A84" s="44">
        <f ca="1">IFERROR(__xludf.DUMMYFUNCTION("QUERY('Volunteer Survey'!A90)"),43332.5328472222)</f>
        <v>43332.532847222203</v>
      </c>
      <c r="B84" s="42" t="s">
        <v>108</v>
      </c>
      <c r="C84" s="47"/>
      <c r="D84" s="49"/>
      <c r="E84" s="42" t="s">
        <v>130</v>
      </c>
      <c r="F84" s="42" t="s">
        <v>130</v>
      </c>
      <c r="G84" s="42" t="s">
        <v>202</v>
      </c>
      <c r="H84" s="47"/>
      <c r="I84" s="45" t="s">
        <v>139</v>
      </c>
      <c r="J84" s="49"/>
      <c r="K84" s="49"/>
      <c r="L84" s="49" t="str">
        <f ca="1">IFERROR(__xludf.DUMMYFUNCTION("QUERY('Volunteer Survey'!B90)"),"David Ng")</f>
        <v>David Ng</v>
      </c>
      <c r="M84" s="49" t="str">
        <f ca="1">IFERROR(__xludf.DUMMYFUNCTION("QUERY('Volunteer Survey'!E90)"),"davidng@mail.nih.gov")</f>
        <v>davidng@mail.nih.gov</v>
      </c>
      <c r="N84" s="49" t="str">
        <f ca="1">IFERROR(__xludf.DUMMYFUNCTION("QUERY('Volunteer Survey'!F90)"),"Clinical medical geneticist/Variant Analyst/Scientist")</f>
        <v>Clinical medical geneticist/Variant Analyst/Scientist</v>
      </c>
      <c r="O84" s="42" t="str">
        <f ca="1">IFERROR(__xludf.DUMMYFUNCTION("QUERY('Volunteer Survey'!H90)"),"Baseline")</f>
        <v>Baseline</v>
      </c>
      <c r="P84" s="49" t="str">
        <f ca="1">IFERROR(__xludf.DUMMYFUNCTION("QUERY('Volunteer Survey'!I90)"),"Clinical Actionability")</f>
        <v>Clinical Actionability</v>
      </c>
      <c r="Q84" s="54" t="str">
        <f ca="1">IFERROR(__xludf.DUMMYFUNCTION("QUERY('Volunteer Survey'!J90)"),"Gene-Disease Validity")</f>
        <v>Gene-Disease Validity</v>
      </c>
      <c r="R84" s="49" t="str">
        <f ca="1">IFERROR(__xludf.DUMMYFUNCTION("QUERY('Volunteer Survey'!K90)"),"Variant Pathogenicity")</f>
        <v>Variant Pathogenicity</v>
      </c>
      <c r="S84" s="49" t="str">
        <f ca="1">IFERROR(__xludf.DUMMYFUNCTION("QUERY('Volunteer Survey'!L90)"),"")</f>
        <v/>
      </c>
      <c r="T84" s="49" t="str">
        <f ca="1">IFERROR(__xludf.DUMMYFUNCTION("QUERY('Volunteer Survey'!M90)"),"")</f>
        <v/>
      </c>
      <c r="U84" s="58" t="str">
        <f ca="1">IFERROR(__xludf.DUMMYFUNCTION("QUERY('Volunteer Survey'!N90)"),"Yes")</f>
        <v>Yes</v>
      </c>
      <c r="V84" s="49" t="str">
        <f ca="1">IFERROR(__xludf.DUMMYFUNCTION("QUERY('Volunteer Survey'!O90)"),"Possibly")</f>
        <v>Possibly</v>
      </c>
      <c r="W84" s="60" t="str">
        <f ca="1">IFERROR(__xludf.DUMMYFUNCTION("QUERY('Volunteer Survey'!P90)"),"Cardiology.")</f>
        <v>Cardiology.</v>
      </c>
      <c r="X84" s="58" t="str">
        <f ca="1">IFERROR(__xludf.DUMMYFUNCTION("QUERY('Volunteer Survey'!R90)"),"Maybe -- please contact me with other options, and I will decide based on what is available")</f>
        <v>Maybe -- please contact me with other options, and I will decide based on what is available</v>
      </c>
      <c r="Y84" s="47"/>
      <c r="Z84" s="174">
        <f ca="1">IFERROR(__xludf.DUMMYFUNCTION("QUERY('Volunteer Survey'!A83)"),43418.4674537037)</f>
        <v>43418.467453703699</v>
      </c>
      <c r="AA84" s="175" t="str">
        <f ca="1">IFERROR(__xludf.DUMMYFUNCTION("QUERY('Volunteer Survey'!B83)"),"Jenna Guiltinan")</f>
        <v>Jenna Guiltinan</v>
      </c>
      <c r="AB84" s="175" t="str">
        <f ca="1">IFERROR(__xludf.DUMMYFUNCTION("QUERY('Volunteer Survey'!C83)"),"Invitae")</f>
        <v>Invitae</v>
      </c>
      <c r="AC84" s="175" t="str">
        <f ca="1">IFERROR(__xludf.DUMMYFUNCTION("QUERY('Volunteer Survey'!D83)"),"CA ")</f>
        <v xml:space="preserve">CA </v>
      </c>
      <c r="AD84" s="175" t="str">
        <f ca="1">IFERROR(__xludf.DUMMYFUNCTION("QUERY('Volunteer Survey'!E83)"),"jenna.guiltinan@invitae.com")</f>
        <v>jenna.guiltinan@invitae.com</v>
      </c>
      <c r="AE84" s="175" t="str">
        <f ca="1">IFERROR(__xludf.DUMMYFUNCTION("QUERY('Volunteer Survey'!F83)"),"Variant Analyst/Scientist")</f>
        <v>Variant Analyst/Scientist</v>
      </c>
      <c r="AF84" s="175" t="str">
        <f ca="1">IFERROR(__xludf.DUMMYFUNCTION("QUERY('Volunteer Survey'!G83)"),"n/a")</f>
        <v>n/a</v>
      </c>
      <c r="AG84" s="175" t="str">
        <f ca="1">IFERROR(__xludf.DUMMYFUNCTION("QUERY('Volunteer Survey'!H83)"),"Comprehensive")</f>
        <v>Comprehensive</v>
      </c>
      <c r="AH84" s="175" t="str">
        <f ca="1">IFERROR(__xludf.DUMMYFUNCTION("QUERY('Volunteer Survey'!I83)"),"Dosage Sensitivity")</f>
        <v>Dosage Sensitivity</v>
      </c>
      <c r="AI84" s="175" t="str">
        <f ca="1">IFERROR(__xludf.DUMMYFUNCTION("QUERY('Volunteer Survey'!J83)"),"Variant Pathogenicity")</f>
        <v>Variant Pathogenicity</v>
      </c>
      <c r="AJ84" s="175" t="str">
        <f ca="1">IFERROR(__xludf.DUMMYFUNCTION("QUERY('Volunteer Survey'!K83)"),"Clinical Actionability")</f>
        <v>Clinical Actionability</v>
      </c>
      <c r="AK84" s="175" t="str">
        <f ca="1">IFERROR(__xludf.DUMMYFUNCTION("QUERY('Volunteer Survey'!L83)"),"Gene-Disease Validity")</f>
        <v>Gene-Disease Validity</v>
      </c>
      <c r="AL84" s="175" t="str">
        <f ca="1">IFERROR(__xludf.DUMMYFUNCTION("QUERY('Volunteer Survey'!M83)"),"Somatic Cancer")</f>
        <v>Somatic Cancer</v>
      </c>
      <c r="AM84" s="175" t="str">
        <f ca="1">IFERROR(__xludf.DUMMYFUNCTION("QUERY('Volunteer Survey'!N83)"),"yes")</f>
        <v>yes</v>
      </c>
      <c r="AN84" s="175" t="str">
        <f ca="1">IFERROR(__xludf.DUMMYFUNCTION("QUERY('Volunteer Survey'!O83)"),"No")</f>
        <v>No</v>
      </c>
      <c r="AO84" s="175" t="str">
        <f ca="1">IFERROR(__xludf.DUMMYFUNCTION("QUERY('Volunteer Survey'!P83)"),"Dosage- Hereditary Cancer sounds the most interesting to me, but any of the dosage sensitivity working groups would be great!")</f>
        <v>Dosage- Hereditary Cancer sounds the most interesting to me, but any of the dosage sensitivity working groups would be great!</v>
      </c>
    </row>
    <row r="85" spans="1:41" ht="14">
      <c r="A85" s="44">
        <f ca="1">IFERROR(__xludf.DUMMYFUNCTION("QUERY('Volunteer Survey'!A91)"),43483.533421493)</f>
        <v>43483.533421492997</v>
      </c>
      <c r="B85" s="42" t="s">
        <v>108</v>
      </c>
      <c r="C85" s="47"/>
      <c r="D85" s="59">
        <v>43580</v>
      </c>
      <c r="E85" s="42" t="s">
        <v>117</v>
      </c>
      <c r="F85" s="42" t="s">
        <v>117</v>
      </c>
      <c r="G85" s="42" t="s">
        <v>163</v>
      </c>
      <c r="H85" s="47"/>
      <c r="I85" s="45" t="s">
        <v>139</v>
      </c>
      <c r="J85" s="50">
        <v>43712</v>
      </c>
      <c r="K85" s="50"/>
      <c r="L85" s="49" t="str">
        <f ca="1">IFERROR(__xludf.DUMMYFUNCTION("QUERY('Volunteer Survey'!B91)"),"Nan Jiang")</f>
        <v>Nan Jiang</v>
      </c>
      <c r="M85" s="49" t="str">
        <f ca="1">IFERROR(__xludf.DUMMYFUNCTION("QUERY('Volunteer Survey'!E91)"),"naj018@ucsd.edu")</f>
        <v>naj018@ucsd.edu</v>
      </c>
      <c r="N85" s="49" t="str">
        <f ca="1">IFERROR(__xludf.DUMMYFUNCTION("QUERY('Volunteer Survey'!F91)"),"Post Doc/Resident/Fellow (MD and/or PhD)")</f>
        <v>Post Doc/Resident/Fellow (MD and/or PhD)</v>
      </c>
      <c r="O85" s="42" t="str">
        <f ca="1">IFERROR(__xludf.DUMMYFUNCTION("QUERY('Volunteer Survey'!H91)"),"Comprehensive")</f>
        <v>Comprehensive</v>
      </c>
      <c r="P85" s="49" t="str">
        <f ca="1">IFERROR(__xludf.DUMMYFUNCTION("QUERY('Volunteer Survey'!I91)"),"Dosage Sensitivity")</f>
        <v>Dosage Sensitivity</v>
      </c>
      <c r="Q85" s="54" t="str">
        <f ca="1">IFERROR(__xludf.DUMMYFUNCTION("QUERY('Volunteer Survey'!J91)"),"")</f>
        <v/>
      </c>
      <c r="R85" s="49" t="str">
        <f ca="1">IFERROR(__xludf.DUMMYFUNCTION("QUERY('Volunteer Survey'!K91)"),"Gene-Disease Validity")</f>
        <v>Gene-Disease Validity</v>
      </c>
      <c r="S85" s="49" t="str">
        <f ca="1">IFERROR(__xludf.DUMMYFUNCTION("QUERY('Volunteer Survey'!L91)"),"Somatic Cancer")</f>
        <v>Somatic Cancer</v>
      </c>
      <c r="T85" s="49" t="str">
        <f ca="1">IFERROR(__xludf.DUMMYFUNCTION("QUERY('Volunteer Survey'!M91)"),"Variant Pathogenicity")</f>
        <v>Variant Pathogenicity</v>
      </c>
      <c r="U85" s="58" t="str">
        <f ca="1">IFERROR(__xludf.DUMMYFUNCTION("QUERY('Volunteer Survey'!N91)"),"Yes. I work in a clinical genetics research lab identifying disease genes in pediatric neurological disorders using whole exome and whole genome sequencing. I do variants pathogenicity curation in daily bases. ")</f>
        <v xml:space="preserve">Yes. I work in a clinical genetics research lab identifying disease genes in pediatric neurological disorders using whole exome and whole genome sequencing. I do variants pathogenicity curation in daily bases. </v>
      </c>
      <c r="V85" s="49" t="str">
        <f ca="1">IFERROR(__xludf.DUMMYFUNCTION("QUERY('Volunteer Survey'!O91)"),"Possibly")</f>
        <v>Possibly</v>
      </c>
      <c r="W85" s="60" t="str">
        <f ca="1">IFERROR(__xludf.DUMMYFUNCTION("QUERY('Volunteer Survey'!P91)"),"I am particularly interested in the variant and gene curation expert panels under dosage sensitivity working group. ")</f>
        <v xml:space="preserve">I am particularly interested in the variant and gene curation expert panels under dosage sensitivity working group. </v>
      </c>
      <c r="X85" s="58" t="str">
        <f ca="1">IFERROR(__xludf.DUMMYFUNCTION("QUERY('Volunteer Survey'!R91)"),"Yes- I am willing to volunteer with any available ClinGen group")</f>
        <v>Yes- I am willing to volunteer with any available ClinGen group</v>
      </c>
      <c r="Y85" s="47"/>
      <c r="Z85" s="174">
        <f ca="1">IFERROR(__xludf.DUMMYFUNCTION("QUERY('Volunteer Survey'!A84)"),43483.526094074)</f>
        <v>43483.526094073997</v>
      </c>
      <c r="AA85" s="175" t="str">
        <f ca="1">IFERROR(__xludf.DUMMYFUNCTION("QUERY('Volunteer Survey'!B84)"),"Ron Agatep")</f>
        <v>Ron Agatep</v>
      </c>
      <c r="AB85" s="175" t="str">
        <f ca="1">IFERROR(__xludf.DUMMYFUNCTION("QUERY('Volunteer Survey'!C84)"),"Shared Health Manitoba")</f>
        <v>Shared Health Manitoba</v>
      </c>
      <c r="AC85" s="175" t="str">
        <f ca="1">IFERROR(__xludf.DUMMYFUNCTION("QUERY('Volunteer Survey'!D84)"),"820 Sherbrook St.  ")</f>
        <v xml:space="preserve">820 Sherbrook St.  </v>
      </c>
      <c r="AD85" s="175" t="str">
        <f ca="1">IFERROR(__xludf.DUMMYFUNCTION("QUERY('Volunteer Survey'!E84)"),"ragatep@sharedhealthmb.ca")</f>
        <v>ragatep@sharedhealthmb.ca</v>
      </c>
      <c r="AE85" s="175" t="str">
        <f ca="1">IFERROR(__xludf.DUMMYFUNCTION("QUERY('Volunteer Survey'!F84)"),"Clinical laboratory geneticist")</f>
        <v>Clinical laboratory geneticist</v>
      </c>
      <c r="AF85" s="175" t="str">
        <f ca="1">IFERROR(__xludf.DUMMYFUNCTION("QUERY('Volunteer Survey'!G84)"),"I am a molecular geneticist interested in curation.  I have a specific interest in cancer with a PhD in melanoma genetics (CDK4, CDKN2A) and would be interested in contributing to these genes.  As a resident to Manitoba with several founder specific mutat"&amp;"ions I would also be interested in leading working on rare diseases specific to our region (possibly working with local experts).  Our centre has long history of performing HBOC.")</f>
        <v>I am a molecular geneticist interested in curation.  I have a specific interest in cancer with a PhD in melanoma genetics (CDK4, CDKN2A) and would be interested in contributing to these genes.  As a resident to Manitoba with several founder specific mutations I would also be interested in leading working on rare diseases specific to our region (possibly working with local experts).  Our centre has long history of performing HBOC.</v>
      </c>
      <c r="AG85" s="175" t="str">
        <f ca="1">IFERROR(__xludf.DUMMYFUNCTION("QUERY('Volunteer Survey'!H84)"),"Comprehensive")</f>
        <v>Comprehensive</v>
      </c>
      <c r="AH85" s="175" t="str">
        <f ca="1">IFERROR(__xludf.DUMMYFUNCTION("QUERY('Volunteer Survey'!I84)"),"Variant Pathogenicity")</f>
        <v>Variant Pathogenicity</v>
      </c>
      <c r="AI85" s="175" t="str">
        <f ca="1">IFERROR(__xludf.DUMMYFUNCTION("QUERY('Volunteer Survey'!J84)"),"Gene-Disease Validity, Somatic Cancer")</f>
        <v>Gene-Disease Validity, Somatic Cancer</v>
      </c>
      <c r="AJ85" s="175" t="str">
        <f ca="1">IFERROR(__xludf.DUMMYFUNCTION("QUERY('Volunteer Survey'!K84)"),"")</f>
        <v/>
      </c>
      <c r="AK85" s="175" t="str">
        <f ca="1">IFERROR(__xludf.DUMMYFUNCTION("QUERY('Volunteer Survey'!L84)"),"")</f>
        <v/>
      </c>
      <c r="AL85" s="175" t="str">
        <f ca="1">IFERROR(__xludf.DUMMYFUNCTION("QUERY('Volunteer Survey'!M84)"),"")</f>
        <v/>
      </c>
      <c r="AM85" s="175" t="str">
        <f ca="1">IFERROR(__xludf.DUMMYFUNCTION("QUERY('Volunteer Survey'!N84)"),"")</f>
        <v/>
      </c>
      <c r="AN85" s="175" t="str">
        <f ca="1">IFERROR(__xludf.DUMMYFUNCTION("QUERY('Volunteer Survey'!O84)"),"Possibly")</f>
        <v>Possibly</v>
      </c>
      <c r="AO85" s="175" t="str">
        <f ca="1">IFERROR(__xludf.DUMMYFUNCTION("QUERY('Volunteer Survey'!P84)"),"Hereditary Breast and Ovarian Cancer")</f>
        <v>Hereditary Breast and Ovarian Cancer</v>
      </c>
    </row>
    <row r="86" spans="1:41" ht="14">
      <c r="A86" s="44">
        <f ca="1">IFERROR(__xludf.DUMMYFUNCTION("QUERY('Volunteer Survey'!A92)"),43366.5359259259)</f>
        <v>43366.535925925898</v>
      </c>
      <c r="B86" s="42" t="s">
        <v>108</v>
      </c>
      <c r="C86" s="47"/>
      <c r="D86" s="49"/>
      <c r="E86" s="42" t="s">
        <v>130</v>
      </c>
      <c r="F86" s="42" t="s">
        <v>130</v>
      </c>
      <c r="G86" s="42" t="s">
        <v>202</v>
      </c>
      <c r="H86" s="47"/>
      <c r="I86" s="47"/>
      <c r="J86" s="49"/>
      <c r="K86" s="49"/>
      <c r="L86" s="49" t="str">
        <f ca="1">IFERROR(__xludf.DUMMYFUNCTION("QUERY('Volunteer Survey'!B92)"),"Michelle Green")</f>
        <v>Michelle Green</v>
      </c>
      <c r="M86" s="49" t="str">
        <f ca="1">IFERROR(__xludf.DUMMYFUNCTION("QUERY('Volunteer Survey'!E92)"),"Michelle.green@n-of-one.com")</f>
        <v>Michelle.green@n-of-one.com</v>
      </c>
      <c r="N86" s="49" t="str">
        <f ca="1">IFERROR(__xludf.DUMMYFUNCTION("QUERY('Volunteer Survey'!F92)"),"Biocurator, Variant Analyst/Scientist")</f>
        <v>Biocurator, Variant Analyst/Scientist</v>
      </c>
      <c r="O86" s="42" t="str">
        <f ca="1">IFERROR(__xludf.DUMMYFUNCTION("QUERY('Volunteer Survey'!H92)"),"Baseline")</f>
        <v>Baseline</v>
      </c>
      <c r="P86" s="49" t="str">
        <f ca="1">IFERROR(__xludf.DUMMYFUNCTION("QUERY('Volunteer Survey'!I92)"),"Variant Pathogenicity")</f>
        <v>Variant Pathogenicity</v>
      </c>
      <c r="Q86" s="54" t="str">
        <f ca="1">IFERROR(__xludf.DUMMYFUNCTION("QUERY('Volunteer Survey'!J92)"),"")</f>
        <v/>
      </c>
      <c r="R86" s="49" t="str">
        <f ca="1">IFERROR(__xludf.DUMMYFUNCTION("QUERY('Volunteer Survey'!K92)"),"")</f>
        <v/>
      </c>
      <c r="S86" s="49" t="str">
        <f ca="1">IFERROR(__xludf.DUMMYFUNCTION("QUERY('Volunteer Survey'!L92)"),"")</f>
        <v/>
      </c>
      <c r="T86" s="49" t="str">
        <f ca="1">IFERROR(__xludf.DUMMYFUNCTION("QUERY('Volunteer Survey'!M92)"),"")</f>
        <v/>
      </c>
      <c r="U86" s="58" t="str">
        <f ca="1">IFERROR(__xludf.DUMMYFUNCTION("QUERY('Volunteer Survey'!N92)"),"Yes")</f>
        <v>Yes</v>
      </c>
      <c r="V86" s="49" t="str">
        <f ca="1">IFERROR(__xludf.DUMMYFUNCTION("QUERY('Volunteer Survey'!O92)"),"Possibly")</f>
        <v>Possibly</v>
      </c>
      <c r="W86" s="60" t="str">
        <f ca="1">IFERROR(__xludf.DUMMYFUNCTION("QUERY('Volunteer Survey'!P92)"),"NA")</f>
        <v>NA</v>
      </c>
      <c r="X86" s="58" t="str">
        <f ca="1">IFERROR(__xludf.DUMMYFUNCTION("QUERY('Volunteer Survey'!R92)"),"Maybe -- please contact me with other options, and I will decide based on what is available")</f>
        <v>Maybe -- please contact me with other options, and I will decide based on what is available</v>
      </c>
      <c r="Y86" s="47"/>
      <c r="Z86" s="174">
        <f ca="1">IFERROR(__xludf.DUMMYFUNCTION("QUERY('Volunteer Survey'!A85)"),43342.526261574)</f>
        <v>43342.526261573999</v>
      </c>
      <c r="AA86" s="175" t="str">
        <f ca="1">IFERROR(__xludf.DUMMYFUNCTION("QUERY('Volunteer Survey'!B85)"),"Danielle Croucher")</f>
        <v>Danielle Croucher</v>
      </c>
      <c r="AB86" s="175" t="str">
        <f ca="1">IFERROR(__xludf.DUMMYFUNCTION("QUERY('Volunteer Survey'!C85)"),"University of Toronto")</f>
        <v>University of Toronto</v>
      </c>
      <c r="AC86" s="175" t="str">
        <f ca="1">IFERROR(__xludf.DUMMYFUNCTION("QUERY('Volunteer Survey'!D85)"),"Toronto, Canada")</f>
        <v>Toronto, Canada</v>
      </c>
      <c r="AD86" s="175" t="str">
        <f ca="1">IFERROR(__xludf.DUMMYFUNCTION("QUERY('Volunteer Survey'!E85)"),"d.croucher@mail.utoronto.ca")</f>
        <v>d.croucher@mail.utoronto.ca</v>
      </c>
      <c r="AE86" s="175" t="str">
        <f ca="1">IFERROR(__xludf.DUMMYFUNCTION("QUERY('Volunteer Survey'!F85)"),"Graduate Student")</f>
        <v>Graduate Student</v>
      </c>
      <c r="AF86" s="175" t="str">
        <f ca="1">IFERROR(__xludf.DUMMYFUNCTION("QUERY('Volunteer Survey'!G85)"),"NA")</f>
        <v>NA</v>
      </c>
      <c r="AG86" s="175" t="str">
        <f ca="1">IFERROR(__xludf.DUMMYFUNCTION("QUERY('Volunteer Survey'!H85)"),"Baseline")</f>
        <v>Baseline</v>
      </c>
      <c r="AH86" s="175" t="str">
        <f ca="1">IFERROR(__xludf.DUMMYFUNCTION("QUERY('Volunteer Survey'!I85)"),"Clinical Actionability")</f>
        <v>Clinical Actionability</v>
      </c>
      <c r="AI86" s="175" t="str">
        <f ca="1">IFERROR(__xludf.DUMMYFUNCTION("QUERY('Volunteer Survey'!J85)"),"Gene-Disease Validity")</f>
        <v>Gene-Disease Validity</v>
      </c>
      <c r="AJ86" s="175" t="str">
        <f ca="1">IFERROR(__xludf.DUMMYFUNCTION("QUERY('Volunteer Survey'!K85)"),"Variant Pathogenicity")</f>
        <v>Variant Pathogenicity</v>
      </c>
      <c r="AK86" s="175" t="str">
        <f ca="1">IFERROR(__xludf.DUMMYFUNCTION("QUERY('Volunteer Survey'!L85)"),"Somatic Cancer")</f>
        <v>Somatic Cancer</v>
      </c>
      <c r="AL86" s="175" t="str">
        <f ca="1">IFERROR(__xludf.DUMMYFUNCTION("QUERY('Volunteer Survey'!M85)"),"")</f>
        <v/>
      </c>
      <c r="AM86" s="175" t="str">
        <f ca="1">IFERROR(__xludf.DUMMYFUNCTION("QUERY('Volunteer Survey'!N85)"),"yes")</f>
        <v>yes</v>
      </c>
      <c r="AN86" s="175" t="str">
        <f ca="1">IFERROR(__xludf.DUMMYFUNCTION("QUERY('Volunteer Survey'!O85)"),"Possibly")</f>
        <v>Possibly</v>
      </c>
      <c r="AO86" s="175" t="str">
        <f ca="1">IFERROR(__xludf.DUMMYFUNCTION("QUERY('Volunteer Survey'!P85)"),"Myeloid Malignancy Variant Curation Expert Panel, Somatic/Germline Variant Curation Group, TP53 Variant Curation Expert Panel, Hereditary Cancer Gene Curation Expert Panel, Breast and Ovarian Cancer Gene Curation Expert Panel")</f>
        <v>Myeloid Malignancy Variant Curation Expert Panel, Somatic/Germline Variant Curation Group, TP53 Variant Curation Expert Panel, Hereditary Cancer Gene Curation Expert Panel, Breast and Ovarian Cancer Gene Curation Expert Panel</v>
      </c>
    </row>
    <row r="87" spans="1:41" ht="14">
      <c r="A87" s="44">
        <f ca="1">IFERROR(__xludf.DUMMYFUNCTION("QUERY('Volunteer Survey'!A93)"),43371.539386574)</f>
        <v>43371.539386573997</v>
      </c>
      <c r="B87" s="42" t="s">
        <v>108</v>
      </c>
      <c r="C87" s="47"/>
      <c r="D87" s="49"/>
      <c r="E87" s="42" t="s">
        <v>130</v>
      </c>
      <c r="F87" s="42" t="s">
        <v>130</v>
      </c>
      <c r="G87" s="42" t="s">
        <v>202</v>
      </c>
      <c r="H87" s="47"/>
      <c r="I87" s="45" t="s">
        <v>139</v>
      </c>
      <c r="J87" s="49"/>
      <c r="K87" s="49"/>
      <c r="L87" s="49" t="str">
        <f ca="1">IFERROR(__xludf.DUMMYFUNCTION("QUERY('Volunteer Survey'!B93)"),"Mahsa")</f>
        <v>Mahsa</v>
      </c>
      <c r="M87" s="49" t="str">
        <f ca="1">IFERROR(__xludf.DUMMYFUNCTION("QUERY('Volunteer Survey'!E93)"),"mahsash@nmsu.edu")</f>
        <v>mahsash@nmsu.edu</v>
      </c>
      <c r="N87" s="49" t="str">
        <f ca="1">IFERROR(__xludf.DUMMYFUNCTION("QUERY('Volunteer Survey'!F93)"),"Graduate Student")</f>
        <v>Graduate Student</v>
      </c>
      <c r="O87" s="42" t="str">
        <f ca="1">IFERROR(__xludf.DUMMYFUNCTION("QUERY('Volunteer Survey'!H93)"),"Baseline")</f>
        <v>Baseline</v>
      </c>
      <c r="P87" s="49" t="str">
        <f ca="1">IFERROR(__xludf.DUMMYFUNCTION("QUERY('Volunteer Survey'!I93)"),"")</f>
        <v/>
      </c>
      <c r="Q87" s="54" t="str">
        <f ca="1">IFERROR(__xludf.DUMMYFUNCTION("QUERY('Volunteer Survey'!J93)"),"")</f>
        <v/>
      </c>
      <c r="R87" s="49" t="str">
        <f ca="1">IFERROR(__xludf.DUMMYFUNCTION("QUERY('Volunteer Survey'!K93)"),"")</f>
        <v/>
      </c>
      <c r="S87" s="49" t="str">
        <f ca="1">IFERROR(__xludf.DUMMYFUNCTION("QUERY('Volunteer Survey'!L93)"),"")</f>
        <v/>
      </c>
      <c r="T87" s="49" t="str">
        <f ca="1">IFERROR(__xludf.DUMMYFUNCTION("QUERY('Volunteer Survey'!M93)"),"")</f>
        <v/>
      </c>
      <c r="U87" s="58" t="str">
        <f ca="1">IFERROR(__xludf.DUMMYFUNCTION("QUERY('Volunteer Survey'!N93)"),"No")</f>
        <v>No</v>
      </c>
      <c r="V87" s="49" t="str">
        <f ca="1">IFERROR(__xludf.DUMMYFUNCTION("QUERY('Volunteer Survey'!O93)"),"Possibly")</f>
        <v>Possibly</v>
      </c>
      <c r="W87" s="60" t="str">
        <f ca="1">IFERROR(__xludf.DUMMYFUNCTION("QUERY('Volunteer Survey'!P93)"),"NA")</f>
        <v>NA</v>
      </c>
      <c r="X87" s="58" t="str">
        <f ca="1">IFERROR(__xludf.DUMMYFUNCTION("QUERY('Volunteer Survey'!R93)"),"Maybe -- please contact me with other options, and I will decide based on what is available")</f>
        <v>Maybe -- please contact me with other options, and I will decide based on what is available</v>
      </c>
      <c r="Y87" s="47"/>
      <c r="Z87" s="174">
        <f ca="1">IFERROR(__xludf.DUMMYFUNCTION("QUERY('Volunteer Survey'!A86)"),43339.5275231481)</f>
        <v>43339.527523148099</v>
      </c>
      <c r="AA87" s="175" t="str">
        <f ca="1">IFERROR(__xludf.DUMMYFUNCTION("QUERY('Volunteer Survey'!B86)"),"Fadel Alyaquob")</f>
        <v>Fadel Alyaquob</v>
      </c>
      <c r="AB87" s="175" t="str">
        <f ca="1">IFERROR(__xludf.DUMMYFUNCTION("QUERY('Volunteer Survey'!C86)"),"NA")</f>
        <v>NA</v>
      </c>
      <c r="AC87" s="175" t="str">
        <f ca="1">IFERROR(__xludf.DUMMYFUNCTION("QUERY('Volunteer Survey'!D86)"),"MA")</f>
        <v>MA</v>
      </c>
      <c r="AD87" s="175" t="str">
        <f ca="1">IFERROR(__xludf.DUMMYFUNCTION("QUERY('Volunteer Survey'!E86)"),"falyaqoub1@yahoo.com")</f>
        <v>falyaqoub1@yahoo.com</v>
      </c>
      <c r="AE87" s="175" t="str">
        <f ca="1">IFERROR(__xludf.DUMMYFUNCTION("QUERY('Volunteer Survey'!F86)"),"Variant Analyst/Scientist")</f>
        <v>Variant Analyst/Scientist</v>
      </c>
      <c r="AF87" s="175" t="str">
        <f ca="1">IFERROR(__xludf.DUMMYFUNCTION("QUERY('Volunteer Survey'!G86)"),"NA")</f>
        <v>NA</v>
      </c>
      <c r="AG87" s="175" t="str">
        <f ca="1">IFERROR(__xludf.DUMMYFUNCTION("QUERY('Volunteer Survey'!H86)"),"Baseline")</f>
        <v>Baseline</v>
      </c>
      <c r="AH87" s="175" t="str">
        <f ca="1">IFERROR(__xludf.DUMMYFUNCTION("QUERY('Volunteer Survey'!I86)"),"Clinical Actionability")</f>
        <v>Clinical Actionability</v>
      </c>
      <c r="AI87" s="175" t="str">
        <f ca="1">IFERROR(__xludf.DUMMYFUNCTION("QUERY('Volunteer Survey'!J86)"),"Gene-Disease Validity")</f>
        <v>Gene-Disease Validity</v>
      </c>
      <c r="AJ87" s="175" t="str">
        <f ca="1">IFERROR(__xludf.DUMMYFUNCTION("QUERY('Volunteer Survey'!K86)"),"Variant Pathogenicity")</f>
        <v>Variant Pathogenicity</v>
      </c>
      <c r="AK87" s="175" t="str">
        <f ca="1">IFERROR(__xludf.DUMMYFUNCTION("QUERY('Volunteer Survey'!L86)"),"Somatic Cancer")</f>
        <v>Somatic Cancer</v>
      </c>
      <c r="AL87" s="175" t="str">
        <f ca="1">IFERROR(__xludf.DUMMYFUNCTION("QUERY('Volunteer Survey'!M86)"),"")</f>
        <v/>
      </c>
      <c r="AM87" s="175" t="str">
        <f ca="1">IFERROR(__xludf.DUMMYFUNCTION("QUERY('Volunteer Survey'!N86)"),"yes")</f>
        <v>yes</v>
      </c>
      <c r="AN87" s="175" t="str">
        <f ca="1">IFERROR(__xludf.DUMMYFUNCTION("QUERY('Volunteer Survey'!O86)"),"Possibly")</f>
        <v>Possibly</v>
      </c>
      <c r="AO87" s="175" t="str">
        <f ca="1">IFERROR(__xludf.DUMMYFUNCTION("QUERY('Volunteer Survey'!P86)"),"No")</f>
        <v>No</v>
      </c>
    </row>
    <row r="88" spans="1:41" ht="14">
      <c r="A88" s="44">
        <f ca="1">IFERROR(__xludf.DUMMYFUNCTION("QUERY('Volunteer Survey'!A94)"),43372.5490509259)</f>
        <v>43372.549050925903</v>
      </c>
      <c r="B88" s="42" t="s">
        <v>108</v>
      </c>
      <c r="C88" s="47"/>
      <c r="D88" s="49"/>
      <c r="E88" s="42" t="s">
        <v>130</v>
      </c>
      <c r="F88" s="42" t="s">
        <v>130</v>
      </c>
      <c r="G88" s="42" t="s">
        <v>202</v>
      </c>
      <c r="H88" s="47"/>
      <c r="I88" s="47"/>
      <c r="J88" s="49"/>
      <c r="K88" s="49"/>
      <c r="L88" s="49" t="str">
        <f ca="1">IFERROR(__xludf.DUMMYFUNCTION("QUERY('Volunteer Survey'!B94)"),"Michelle Green")</f>
        <v>Michelle Green</v>
      </c>
      <c r="M88" s="49" t="str">
        <f ca="1">IFERROR(__xludf.DUMMYFUNCTION("QUERY('Volunteer Survey'!E94)"),"mfgreen14@gmail.com")</f>
        <v>mfgreen14@gmail.com</v>
      </c>
      <c r="N88" s="49" t="str">
        <f ca="1">IFERROR(__xludf.DUMMYFUNCTION("QUERY('Volunteer Survey'!F94)"),"Biocurator, Variant Analyst/Scientist")</f>
        <v>Biocurator, Variant Analyst/Scientist</v>
      </c>
      <c r="O88" s="42" t="str">
        <f ca="1">IFERROR(__xludf.DUMMYFUNCTION("QUERY('Volunteer Survey'!H94)"),"Baseline")</f>
        <v>Baseline</v>
      </c>
      <c r="P88" s="49" t="str">
        <f ca="1">IFERROR(__xludf.DUMMYFUNCTION("QUERY('Volunteer Survey'!I94)"),"")</f>
        <v/>
      </c>
      <c r="Q88" s="54" t="str">
        <f ca="1">IFERROR(__xludf.DUMMYFUNCTION("QUERY('Volunteer Survey'!J94)"),"")</f>
        <v/>
      </c>
      <c r="R88" s="49" t="str">
        <f ca="1">IFERROR(__xludf.DUMMYFUNCTION("QUERY('Volunteer Survey'!K94)"),"")</f>
        <v/>
      </c>
      <c r="S88" s="49" t="str">
        <f ca="1">IFERROR(__xludf.DUMMYFUNCTION("QUERY('Volunteer Survey'!L94)"),"")</f>
        <v/>
      </c>
      <c r="T88" s="49" t="str">
        <f ca="1">IFERROR(__xludf.DUMMYFUNCTION("QUERY('Volunteer Survey'!M94)"),"")</f>
        <v/>
      </c>
      <c r="U88" s="58" t="str">
        <f ca="1">IFERROR(__xludf.DUMMYFUNCTION("QUERY('Volunteer Survey'!N94)"),"Yes")</f>
        <v>Yes</v>
      </c>
      <c r="V88" s="49" t="str">
        <f ca="1">IFERROR(__xludf.DUMMYFUNCTION("QUERY('Volunteer Survey'!O94)"),"Possibly")</f>
        <v>Possibly</v>
      </c>
      <c r="W88" s="60" t="str">
        <f ca="1">IFERROR(__xludf.DUMMYFUNCTION("QUERY('Volunteer Survey'!P94)"),"NA")</f>
        <v>NA</v>
      </c>
      <c r="X88" s="58" t="str">
        <f ca="1">IFERROR(__xludf.DUMMYFUNCTION("QUERY('Volunteer Survey'!R94)"),"Maybe -- please contact me with other options, and I will decide based on what is available")</f>
        <v>Maybe -- please contact me with other options, and I will decide based on what is available</v>
      </c>
      <c r="Y88" s="47"/>
      <c r="Z88" s="174">
        <f ca="1">IFERROR(__xludf.DUMMYFUNCTION("QUERY('Volunteer Survey'!A87)"),43332.5285648148)</f>
        <v>43332.528564814798</v>
      </c>
      <c r="AA88" s="175" t="str">
        <f ca="1">IFERROR(__xludf.DUMMYFUNCTION("QUERY('Volunteer Survey'!B87)"),"Hilary Racher")</f>
        <v>Hilary Racher</v>
      </c>
      <c r="AB88" s="175" t="str">
        <f ca="1">IFERROR(__xludf.DUMMYFUNCTION("QUERY('Volunteer Survey'!C87)"),"Impact Genetics")</f>
        <v>Impact Genetics</v>
      </c>
      <c r="AC88" s="175" t="str">
        <f ca="1">IFERROR(__xludf.DUMMYFUNCTION("QUERY('Volunteer Survey'!D87)"),"Canada")</f>
        <v>Canada</v>
      </c>
      <c r="AD88" s="175" t="str">
        <f ca="1">IFERROR(__xludf.DUMMYFUNCTION("QUERY('Volunteer Survey'!E87)"),"racherh@dynacare.ca")</f>
        <v>racherh@dynacare.ca</v>
      </c>
      <c r="AE88" s="175" t="str">
        <f ca="1">IFERROR(__xludf.DUMMYFUNCTION("QUERY('Volunteer Survey'!F87)"),"Clinical laboratory geneticist")</f>
        <v>Clinical laboratory geneticist</v>
      </c>
      <c r="AF88" s="175" t="str">
        <f ca="1">IFERROR(__xludf.DUMMYFUNCTION("QUERY('Volunteer Survey'!G87)"),"NA")</f>
        <v>NA</v>
      </c>
      <c r="AG88" s="175" t="str">
        <f ca="1">IFERROR(__xludf.DUMMYFUNCTION("QUERY('Volunteer Survey'!H87)"),"Baseline")</f>
        <v>Baseline</v>
      </c>
      <c r="AH88" s="175" t="str">
        <f ca="1">IFERROR(__xludf.DUMMYFUNCTION("QUERY('Volunteer Survey'!I87)"),"Variant Pathogenicity")</f>
        <v>Variant Pathogenicity</v>
      </c>
      <c r="AI88" s="175" t="str">
        <f ca="1">IFERROR(__xludf.DUMMYFUNCTION("QUERY('Volunteer Survey'!J87)"),"Somatic Cancer")</f>
        <v>Somatic Cancer</v>
      </c>
      <c r="AJ88" s="175" t="str">
        <f ca="1">IFERROR(__xludf.DUMMYFUNCTION("QUERY('Volunteer Survey'!K87)"),"")</f>
        <v/>
      </c>
      <c r="AK88" s="175" t="str">
        <f ca="1">IFERROR(__xludf.DUMMYFUNCTION("QUERY('Volunteer Survey'!L87)"),"")</f>
        <v/>
      </c>
      <c r="AL88" s="175" t="str">
        <f ca="1">IFERROR(__xludf.DUMMYFUNCTION("QUERY('Volunteer Survey'!M87)"),"")</f>
        <v/>
      </c>
      <c r="AM88" s="175" t="str">
        <f ca="1">IFERROR(__xludf.DUMMYFUNCTION("QUERY('Volunteer Survey'!N87)"),"Yes")</f>
        <v>Yes</v>
      </c>
      <c r="AN88" s="175" t="str">
        <f ca="1">IFERROR(__xludf.DUMMYFUNCTION("QUERY('Volunteer Survey'!O87)"),"Possibly")</f>
        <v>Possibly</v>
      </c>
      <c r="AO88" s="175" t="str">
        <f ca="1">IFERROR(__xludf.DUMMYFUNCTION("QUERY('Volunteer Survey'!P87)"),"Somatic/Germline Variant Curation Group Hereditary Cancer Gene Curation Expert Panel Sequence Variant Interpretation")</f>
        <v>Somatic/Germline Variant Curation Group Hereditary Cancer Gene Curation Expert Panel Sequence Variant Interpretation</v>
      </c>
    </row>
    <row r="89" spans="1:41" ht="14">
      <c r="A89" s="44">
        <f ca="1">IFERROR(__xludf.DUMMYFUNCTION("QUERY('Volunteer Survey'!A95)"),43389.5503356481)</f>
        <v>43389.550335648099</v>
      </c>
      <c r="B89" s="42" t="s">
        <v>108</v>
      </c>
      <c r="C89" s="47"/>
      <c r="D89" s="49"/>
      <c r="E89" s="42" t="s">
        <v>130</v>
      </c>
      <c r="F89" s="42" t="s">
        <v>130</v>
      </c>
      <c r="G89" s="42" t="s">
        <v>202</v>
      </c>
      <c r="H89" s="47"/>
      <c r="I89" s="45" t="s">
        <v>139</v>
      </c>
      <c r="J89" s="49"/>
      <c r="K89" s="49"/>
      <c r="L89" s="49" t="str">
        <f ca="1">IFERROR(__xludf.DUMMYFUNCTION("QUERY('Volunteer Survey'!B95)"),"Xinkun ""Sequen"" Wang")</f>
        <v>Xinkun "Sequen" Wang</v>
      </c>
      <c r="M89" s="49" t="str">
        <f ca="1">IFERROR(__xludf.DUMMYFUNCTION("QUERY('Volunteer Survey'!E95)"),"xinkun.wang@northwestern.edu")</f>
        <v>xinkun.wang@northwestern.edu</v>
      </c>
      <c r="N89" s="49" t="str">
        <f ca="1">IFERROR(__xludf.DUMMYFUNCTION("QUERY('Volunteer Survey'!F95)"),"Scientific Researcher")</f>
        <v>Scientific Researcher</v>
      </c>
      <c r="O89" s="42" t="str">
        <f ca="1">IFERROR(__xludf.DUMMYFUNCTION("QUERY('Volunteer Survey'!H95)"),"Baseline")</f>
        <v>Baseline</v>
      </c>
      <c r="P89" s="49" t="str">
        <f ca="1">IFERROR(__xludf.DUMMYFUNCTION("QUERY('Volunteer Survey'!I95)"),"")</f>
        <v/>
      </c>
      <c r="Q89" s="54" t="str">
        <f ca="1">IFERROR(__xludf.DUMMYFUNCTION("QUERY('Volunteer Survey'!J95)"),"")</f>
        <v/>
      </c>
      <c r="R89" s="49" t="str">
        <f ca="1">IFERROR(__xludf.DUMMYFUNCTION("QUERY('Volunteer Survey'!K95)"),"")</f>
        <v/>
      </c>
      <c r="S89" s="49" t="str">
        <f ca="1">IFERROR(__xludf.DUMMYFUNCTION("QUERY('Volunteer Survey'!L95)"),"")</f>
        <v/>
      </c>
      <c r="T89" s="49" t="str">
        <f ca="1">IFERROR(__xludf.DUMMYFUNCTION("QUERY('Volunteer Survey'!M95)"),"")</f>
        <v/>
      </c>
      <c r="U89" s="58" t="str">
        <f ca="1">IFERROR(__xludf.DUMMYFUNCTION("QUERY('Volunteer Survey'!N95)"),"No")</f>
        <v>No</v>
      </c>
      <c r="V89" s="49" t="str">
        <f ca="1">IFERROR(__xludf.DUMMYFUNCTION("QUERY('Volunteer Survey'!O95)"),"Possibly")</f>
        <v>Possibly</v>
      </c>
      <c r="W89" s="60" t="str">
        <f ca="1">IFERROR(__xludf.DUMMYFUNCTION("QUERY('Volunteer Survey'!P95)"),"Epilepsy Gene Curation Expert Panel Autism and Intellectual Disability Gene Curation Expert Panel")</f>
        <v>Epilepsy Gene Curation Expert Panel Autism and Intellectual Disability Gene Curation Expert Panel</v>
      </c>
      <c r="X89" s="58" t="str">
        <f ca="1">IFERROR(__xludf.DUMMYFUNCTION("QUERY('Volunteer Survey'!R95)"),"Maybe -- please contact me with other options, and I will decide based on what is available")</f>
        <v>Maybe -- please contact me with other options, and I will decide based on what is available</v>
      </c>
      <c r="Y89" s="47"/>
      <c r="Z89" s="174">
        <f ca="1">IFERROR(__xludf.DUMMYFUNCTION("QUERY('Volunteer Survey'!A88)"),43332.5297800925)</f>
        <v>43332.529780092496</v>
      </c>
      <c r="AA89" s="175" t="str">
        <f ca="1">IFERROR(__xludf.DUMMYFUNCTION("QUERY('Volunteer Survey'!B88)"),"Juan Dong")</f>
        <v>Juan Dong</v>
      </c>
      <c r="AB89" s="175" t="str">
        <f ca="1">IFERROR(__xludf.DUMMYFUNCTION("QUERY('Volunteer Survey'!C88)"),"NA")</f>
        <v>NA</v>
      </c>
      <c r="AC89" s="175" t="str">
        <f ca="1">IFERROR(__xludf.DUMMYFUNCTION("QUERY('Volunteer Survey'!D88)"),"WI")</f>
        <v>WI</v>
      </c>
      <c r="AD89" s="175" t="str">
        <f ca="1">IFERROR(__xludf.DUMMYFUNCTION("QUERY('Volunteer Survey'!E88)"),"juan.dong@preventiongenetics.com")</f>
        <v>juan.dong@preventiongenetics.com</v>
      </c>
      <c r="AE89" s="175" t="str">
        <f ca="1">IFERROR(__xludf.DUMMYFUNCTION("QUERY('Volunteer Survey'!F88)"),"Clinical laboratory geneticist")</f>
        <v>Clinical laboratory geneticist</v>
      </c>
      <c r="AF89" s="175" t="str">
        <f ca="1">IFERROR(__xludf.DUMMYFUNCTION("QUERY('Volunteer Survey'!G88)"),"NA")</f>
        <v>NA</v>
      </c>
      <c r="AG89" s="175" t="str">
        <f ca="1">IFERROR(__xludf.DUMMYFUNCTION("QUERY('Volunteer Survey'!H88)"),"Baseline")</f>
        <v>Baseline</v>
      </c>
      <c r="AH89" s="175" t="str">
        <f ca="1">IFERROR(__xludf.DUMMYFUNCTION("QUERY('Volunteer Survey'!I88)"),"Gene-Disease Validity")</f>
        <v>Gene-Disease Validity</v>
      </c>
      <c r="AI89" s="175" t="str">
        <f ca="1">IFERROR(__xludf.DUMMYFUNCTION("QUERY('Volunteer Survey'!J88)"),"Variant Pathogenicity")</f>
        <v>Variant Pathogenicity</v>
      </c>
      <c r="AJ89" s="175" t="str">
        <f ca="1">IFERROR(__xludf.DUMMYFUNCTION("QUERY('Volunteer Survey'!K88)"),"")</f>
        <v/>
      </c>
      <c r="AK89" s="175" t="str">
        <f ca="1">IFERROR(__xludf.DUMMYFUNCTION("QUERY('Volunteer Survey'!L88)"),"")</f>
        <v/>
      </c>
      <c r="AL89" s="175" t="str">
        <f ca="1">IFERROR(__xludf.DUMMYFUNCTION("QUERY('Volunteer Survey'!M88)"),"")</f>
        <v/>
      </c>
      <c r="AM89" s="175" t="str">
        <f ca="1">IFERROR(__xludf.DUMMYFUNCTION("QUERY('Volunteer Survey'!N88)"),"Yes")</f>
        <v>Yes</v>
      </c>
      <c r="AN89" s="175" t="str">
        <f ca="1">IFERROR(__xludf.DUMMYFUNCTION("QUERY('Volunteer Survey'!O88)"),"Possibly")</f>
        <v>Possibly</v>
      </c>
      <c r="AO89" s="175" t="str">
        <f ca="1">IFERROR(__xludf.DUMMYFUNCTION("QUERY('Volunteer Survey'!P88)"),"Familial Thoracic Aortic Aneurysm and Dissection Gene Curation Expert Pane")</f>
        <v>Familial Thoracic Aortic Aneurysm and Dissection Gene Curation Expert Pane</v>
      </c>
    </row>
    <row r="90" spans="1:41" ht="14">
      <c r="A90" s="44">
        <f ca="1">IFERROR(__xludf.DUMMYFUNCTION("QUERY('Volunteer Survey'!A96)"),43402.551099537)</f>
        <v>43402.551099536999</v>
      </c>
      <c r="B90" s="42" t="s">
        <v>108</v>
      </c>
      <c r="C90" s="47"/>
      <c r="D90" s="49"/>
      <c r="E90" s="42" t="s">
        <v>130</v>
      </c>
      <c r="F90" s="42" t="s">
        <v>130</v>
      </c>
      <c r="G90" s="42" t="s">
        <v>202</v>
      </c>
      <c r="H90" s="47"/>
      <c r="I90" s="45" t="s">
        <v>139</v>
      </c>
      <c r="J90" s="49"/>
      <c r="K90" s="49"/>
      <c r="L90" s="49" t="str">
        <f ca="1">IFERROR(__xludf.DUMMYFUNCTION("QUERY('Volunteer Survey'!B96)"),"Siddharth Banka")</f>
        <v>Siddharth Banka</v>
      </c>
      <c r="M90" s="49" t="str">
        <f ca="1">IFERROR(__xludf.DUMMYFUNCTION("QUERY('Volunteer Survey'!E96)"),"Siddharth.Banka@manchester.ac.uk")</f>
        <v>Siddharth.Banka@manchester.ac.uk</v>
      </c>
      <c r="N90" s="49" t="str">
        <f ca="1">IFERROR(__xludf.DUMMYFUNCTION("QUERY('Volunteer Survey'!F96)"),"Clinical Medical Geneticist")</f>
        <v>Clinical Medical Geneticist</v>
      </c>
      <c r="O90" s="42" t="str">
        <f ca="1">IFERROR(__xludf.DUMMYFUNCTION("QUERY('Volunteer Survey'!H96)"),"Baseline")</f>
        <v>Baseline</v>
      </c>
      <c r="P90" s="49" t="str">
        <f ca="1">IFERROR(__xludf.DUMMYFUNCTION("QUERY('Volunteer Survey'!I96)"),"")</f>
        <v/>
      </c>
      <c r="Q90" s="54" t="str">
        <f ca="1">IFERROR(__xludf.DUMMYFUNCTION("QUERY('Volunteer Survey'!J96)"),"")</f>
        <v/>
      </c>
      <c r="R90" s="49" t="str">
        <f ca="1">IFERROR(__xludf.DUMMYFUNCTION("QUERY('Volunteer Survey'!K96)"),"")</f>
        <v/>
      </c>
      <c r="S90" s="49" t="str">
        <f ca="1">IFERROR(__xludf.DUMMYFUNCTION("QUERY('Volunteer Survey'!L96)"),"")</f>
        <v/>
      </c>
      <c r="T90" s="49" t="str">
        <f ca="1">IFERROR(__xludf.DUMMYFUNCTION("QUERY('Volunteer Survey'!M96)"),"")</f>
        <v/>
      </c>
      <c r="U90" s="58" t="str">
        <f ca="1">IFERROR(__xludf.DUMMYFUNCTION("QUERY('Volunteer Survey'!N96)"),"Yes")</f>
        <v>Yes</v>
      </c>
      <c r="V90" s="49" t="str">
        <f ca="1">IFERROR(__xludf.DUMMYFUNCTION("QUERY('Volunteer Survey'!O96)"),"Possibly")</f>
        <v>Possibly</v>
      </c>
      <c r="W90" s="60" t="str">
        <f ca="1">IFERROR(__xludf.DUMMYFUNCTION("QUERY('Volunteer Survey'!P96)"),"Neurodevelopmental Disorders, experience with curating CNVs (potentially Dosage)")</f>
        <v>Neurodevelopmental Disorders, experience with curating CNVs (potentially Dosage)</v>
      </c>
      <c r="X90" s="58" t="str">
        <f ca="1">IFERROR(__xludf.DUMMYFUNCTION("QUERY('Volunteer Survey'!R96)"),"Maybe -- please contact me with other options, and I will decide based on what is available")</f>
        <v>Maybe -- please contact me with other options, and I will decide based on what is available</v>
      </c>
      <c r="Y90" s="47"/>
      <c r="Z90" s="174">
        <f ca="1">IFERROR(__xludf.DUMMYFUNCTION("QUERY('Volunteer Survey'!A89)"),43332.5310879629)</f>
        <v>43332.531087962903</v>
      </c>
      <c r="AA90" s="175" t="str">
        <f ca="1">IFERROR(__xludf.DUMMYFUNCTION("QUERY('Volunteer Survey'!B89)"),"Julie Kaylor")</f>
        <v>Julie Kaylor</v>
      </c>
      <c r="AB90" s="175" t="str">
        <f ca="1">IFERROR(__xludf.DUMMYFUNCTION("QUERY('Volunteer Survey'!C89)"),"InformedDNA")</f>
        <v>InformedDNA</v>
      </c>
      <c r="AC90" s="175" t="str">
        <f ca="1">IFERROR(__xludf.DUMMYFUNCTION("QUERY('Volunteer Survey'!D89)"),"Arkansas")</f>
        <v>Arkansas</v>
      </c>
      <c r="AD90" s="175" t="str">
        <f ca="1">IFERROR(__xludf.DUMMYFUNCTION("QUERY('Volunteer Survey'!E89)"),"jkaylor@informeddna.com")</f>
        <v>jkaylor@informeddna.com</v>
      </c>
      <c r="AE90" s="175" t="str">
        <f ca="1">IFERROR(__xludf.DUMMYFUNCTION("QUERY('Volunteer Survey'!F89)"),"Genetic counselor")</f>
        <v>Genetic counselor</v>
      </c>
      <c r="AF90" s="175" t="str">
        <f ca="1">IFERROR(__xludf.DUMMYFUNCTION("QUERY('Volunteer Survey'!G89)"),"NA")</f>
        <v>NA</v>
      </c>
      <c r="AG90" s="175" t="str">
        <f ca="1">IFERROR(__xludf.DUMMYFUNCTION("QUERY('Volunteer Survey'!H89)"),"Baseline")</f>
        <v>Baseline</v>
      </c>
      <c r="AH90" s="175" t="str">
        <f ca="1">IFERROR(__xludf.DUMMYFUNCTION("QUERY('Volunteer Survey'!I89)"),"Clinical Actionability")</f>
        <v>Clinical Actionability</v>
      </c>
      <c r="AI90" s="175" t="str">
        <f ca="1">IFERROR(__xludf.DUMMYFUNCTION("QUERY('Volunteer Survey'!J89)"),"Gene-Disease Validity")</f>
        <v>Gene-Disease Validity</v>
      </c>
      <c r="AJ90" s="175" t="str">
        <f ca="1">IFERROR(__xludf.DUMMYFUNCTION("QUERY('Volunteer Survey'!K89)"),"Variant Pathogenicity")</f>
        <v>Variant Pathogenicity</v>
      </c>
      <c r="AK90" s="175" t="str">
        <f ca="1">IFERROR(__xludf.DUMMYFUNCTION("QUERY('Volunteer Survey'!L89)"),"")</f>
        <v/>
      </c>
      <c r="AL90" s="175" t="str">
        <f ca="1">IFERROR(__xludf.DUMMYFUNCTION("QUERY('Volunteer Survey'!M89)"),"")</f>
        <v/>
      </c>
      <c r="AM90" s="175" t="str">
        <f ca="1">IFERROR(__xludf.DUMMYFUNCTION("QUERY('Volunteer Survey'!N89)"),"Yes")</f>
        <v>Yes</v>
      </c>
      <c r="AN90" s="175" t="str">
        <f ca="1">IFERROR(__xludf.DUMMYFUNCTION("QUERY('Volunteer Survey'!O89)"),"Possibly")</f>
        <v>Possibly</v>
      </c>
      <c r="AO90" s="175" t="str">
        <f ca="1">IFERROR(__xludf.DUMMYFUNCTION("QUERY('Volunteer Survey'!P89)"),"NA")</f>
        <v>NA</v>
      </c>
    </row>
    <row r="91" spans="1:41" ht="14">
      <c r="A91" s="44">
        <f ca="1">IFERROR(__xludf.DUMMYFUNCTION("QUERY('Volunteer Survey'!A97)"),43426.5519328703)</f>
        <v>43426.551932870301</v>
      </c>
      <c r="B91" s="42" t="s">
        <v>168</v>
      </c>
      <c r="C91" s="47"/>
      <c r="D91" s="49"/>
      <c r="E91" s="42" t="s">
        <v>130</v>
      </c>
      <c r="F91" s="42" t="s">
        <v>130</v>
      </c>
      <c r="G91" s="42" t="s">
        <v>136</v>
      </c>
      <c r="H91" s="47"/>
      <c r="I91" s="45" t="s">
        <v>139</v>
      </c>
      <c r="J91" s="49"/>
      <c r="K91" s="49"/>
      <c r="L91" s="49" t="str">
        <f ca="1">IFERROR(__xludf.DUMMYFUNCTION("QUERY('Volunteer Survey'!B97)"),"Anna Tanska")</f>
        <v>Anna Tanska</v>
      </c>
      <c r="M91" s="49" t="str">
        <f ca="1">IFERROR(__xludf.DUMMYFUNCTION("QUERY('Volunteer Survey'!E97)"),"""anna.tanska@petermac.org """)</f>
        <v>"anna.tanska@petermac.org "</v>
      </c>
      <c r="N91" s="49" t="str">
        <f ca="1">IFERROR(__xludf.DUMMYFUNCTION("QUERY('Volunteer Survey'!F97)"),"Variant Analyst/Scientist")</f>
        <v>Variant Analyst/Scientist</v>
      </c>
      <c r="O91" s="42" t="str">
        <f ca="1">IFERROR(__xludf.DUMMYFUNCTION("QUERY('Volunteer Survey'!H97)"),"Comprehensive")</f>
        <v>Comprehensive</v>
      </c>
      <c r="P91" s="49" t="str">
        <f ca="1">IFERROR(__xludf.DUMMYFUNCTION("QUERY('Volunteer Survey'!I97)"),"")</f>
        <v/>
      </c>
      <c r="Q91" s="54" t="str">
        <f ca="1">IFERROR(__xludf.DUMMYFUNCTION("QUERY('Volunteer Survey'!J97)"),"")</f>
        <v/>
      </c>
      <c r="R91" s="49" t="str">
        <f ca="1">IFERROR(__xludf.DUMMYFUNCTION("QUERY('Volunteer Survey'!K97)"),"")</f>
        <v/>
      </c>
      <c r="S91" s="49" t="str">
        <f ca="1">IFERROR(__xludf.DUMMYFUNCTION("QUERY('Volunteer Survey'!L97)"),"")</f>
        <v/>
      </c>
      <c r="T91" s="49" t="str">
        <f ca="1">IFERROR(__xludf.DUMMYFUNCTION("QUERY('Volunteer Survey'!M97)"),"")</f>
        <v/>
      </c>
      <c r="U91" s="58" t="str">
        <f ca="1">IFERROR(__xludf.DUMMYFUNCTION("QUERY('Volunteer Survey'!N97)"),"Yes")</f>
        <v>Yes</v>
      </c>
      <c r="V91" s="49" t="str">
        <f ca="1">IFERROR(__xludf.DUMMYFUNCTION("QUERY('Volunteer Survey'!O97)"),"Possibly")</f>
        <v>Possibly</v>
      </c>
      <c r="W91" s="60" t="str">
        <f ca="1">IFERROR(__xludf.DUMMYFUNCTION("QUERY('Volunteer Survey'!P97)"),"Somatic cancer WG")</f>
        <v>Somatic cancer WG</v>
      </c>
      <c r="X91" s="58" t="str">
        <f ca="1">IFERROR(__xludf.DUMMYFUNCTION("QUERY('Volunteer Survey'!R97)"),"Maybe -- please contact me with other options, and I will decide based on what is available")</f>
        <v>Maybe -- please contact me with other options, and I will decide based on what is available</v>
      </c>
      <c r="Y91" s="47"/>
      <c r="Z91" s="174">
        <f ca="1">IFERROR(__xludf.DUMMYFUNCTION("QUERY('Volunteer Survey'!A90)"),43332.5328472222)</f>
        <v>43332.532847222203</v>
      </c>
      <c r="AA91" s="175" t="str">
        <f ca="1">IFERROR(__xludf.DUMMYFUNCTION("QUERY('Volunteer Survey'!B90)"),"David Ng")</f>
        <v>David Ng</v>
      </c>
      <c r="AB91" s="175" t="str">
        <f ca="1">IFERROR(__xludf.DUMMYFUNCTION("QUERY('Volunteer Survey'!C90)"),"NIH")</f>
        <v>NIH</v>
      </c>
      <c r="AC91" s="175" t="str">
        <f ca="1">IFERROR(__xludf.DUMMYFUNCTION("QUERY('Volunteer Survey'!D90)"),"MD")</f>
        <v>MD</v>
      </c>
      <c r="AD91" s="175" t="str">
        <f ca="1">IFERROR(__xludf.DUMMYFUNCTION("QUERY('Volunteer Survey'!E90)"),"davidng@mail.nih.gov")</f>
        <v>davidng@mail.nih.gov</v>
      </c>
      <c r="AE91" s="175" t="str">
        <f ca="1">IFERROR(__xludf.DUMMYFUNCTION("QUERY('Volunteer Survey'!F90)"),"Clinical medical geneticist/Variant Analyst/Scientist")</f>
        <v>Clinical medical geneticist/Variant Analyst/Scientist</v>
      </c>
      <c r="AF91" s="175" t="str">
        <f ca="1">IFERROR(__xludf.DUMMYFUNCTION("QUERY('Volunteer Survey'!G90)"),"NA")</f>
        <v>NA</v>
      </c>
      <c r="AG91" s="175" t="str">
        <f ca="1">IFERROR(__xludf.DUMMYFUNCTION("QUERY('Volunteer Survey'!H90)"),"Baseline")</f>
        <v>Baseline</v>
      </c>
      <c r="AH91" s="175" t="str">
        <f ca="1">IFERROR(__xludf.DUMMYFUNCTION("QUERY('Volunteer Survey'!I90)"),"Clinical Actionability")</f>
        <v>Clinical Actionability</v>
      </c>
      <c r="AI91" s="175" t="str">
        <f ca="1">IFERROR(__xludf.DUMMYFUNCTION("QUERY('Volunteer Survey'!J90)"),"Gene-Disease Validity")</f>
        <v>Gene-Disease Validity</v>
      </c>
      <c r="AJ91" s="175" t="str">
        <f ca="1">IFERROR(__xludf.DUMMYFUNCTION("QUERY('Volunteer Survey'!K90)"),"Variant Pathogenicity")</f>
        <v>Variant Pathogenicity</v>
      </c>
      <c r="AK91" s="175" t="str">
        <f ca="1">IFERROR(__xludf.DUMMYFUNCTION("QUERY('Volunteer Survey'!L90)"),"")</f>
        <v/>
      </c>
      <c r="AL91" s="175" t="str">
        <f ca="1">IFERROR(__xludf.DUMMYFUNCTION("QUERY('Volunteer Survey'!M90)"),"")</f>
        <v/>
      </c>
      <c r="AM91" s="175" t="str">
        <f ca="1">IFERROR(__xludf.DUMMYFUNCTION("QUERY('Volunteer Survey'!N90)"),"Yes")</f>
        <v>Yes</v>
      </c>
      <c r="AN91" s="175" t="str">
        <f ca="1">IFERROR(__xludf.DUMMYFUNCTION("QUERY('Volunteer Survey'!O90)"),"Possibly")</f>
        <v>Possibly</v>
      </c>
      <c r="AO91" s="175" t="str">
        <f ca="1">IFERROR(__xludf.DUMMYFUNCTION("QUERY('Volunteer Survey'!P90)"),"Cardiology.")</f>
        <v>Cardiology.</v>
      </c>
    </row>
    <row r="92" spans="1:41" ht="14">
      <c r="A92" s="44">
        <f ca="1">IFERROR(__xludf.DUMMYFUNCTION("QUERY('Volunteer Survey'!A98)"),43427.5528703703)</f>
        <v>43427.552870370302</v>
      </c>
      <c r="B92" s="42" t="s">
        <v>108</v>
      </c>
      <c r="C92" s="47"/>
      <c r="D92" s="49"/>
      <c r="E92" s="42" t="s">
        <v>130</v>
      </c>
      <c r="F92" s="42" t="s">
        <v>130</v>
      </c>
      <c r="G92" s="42" t="s">
        <v>202</v>
      </c>
      <c r="H92" s="47"/>
      <c r="I92" s="45" t="s">
        <v>139</v>
      </c>
      <c r="J92" s="49"/>
      <c r="K92" s="49"/>
      <c r="L92" s="49" t="str">
        <f ca="1">IFERROR(__xludf.DUMMYFUNCTION("QUERY('Volunteer Survey'!B98)"),"Amanda Fortier")</f>
        <v>Amanda Fortier</v>
      </c>
      <c r="M92" s="49" t="str">
        <f ca="1">IFERROR(__xludf.DUMMYFUNCTION("QUERY('Volunteer Survey'!E98)"),"amanda.fortier@advocatehealth.com")</f>
        <v>amanda.fortier@advocatehealth.com</v>
      </c>
      <c r="N92" s="49" t="str">
        <f ca="1">IFERROR(__xludf.DUMMYFUNCTION("QUERY('Volunteer Survey'!F98)"),"Clinical laboratory geneticist")</f>
        <v>Clinical laboratory geneticist</v>
      </c>
      <c r="O92" s="42" t="str">
        <f ca="1">IFERROR(__xludf.DUMMYFUNCTION("QUERY('Volunteer Survey'!H98)"),"Baseline")</f>
        <v>Baseline</v>
      </c>
      <c r="P92" s="49" t="str">
        <f ca="1">IFERROR(__xludf.DUMMYFUNCTION("QUERY('Volunteer Survey'!I98)"),"")</f>
        <v/>
      </c>
      <c r="Q92" s="54" t="str">
        <f ca="1">IFERROR(__xludf.DUMMYFUNCTION("QUERY('Volunteer Survey'!J98)"),"")</f>
        <v/>
      </c>
      <c r="R92" s="49" t="str">
        <f ca="1">IFERROR(__xludf.DUMMYFUNCTION("QUERY('Volunteer Survey'!K98)"),"")</f>
        <v/>
      </c>
      <c r="S92" s="49" t="str">
        <f ca="1">IFERROR(__xludf.DUMMYFUNCTION("QUERY('Volunteer Survey'!L98)"),"")</f>
        <v/>
      </c>
      <c r="T92" s="49" t="str">
        <f ca="1">IFERROR(__xludf.DUMMYFUNCTION("QUERY('Volunteer Survey'!M98)"),"")</f>
        <v/>
      </c>
      <c r="U92" s="58" t="str">
        <f ca="1">IFERROR(__xludf.DUMMYFUNCTION("QUERY('Volunteer Survey'!N98)"),"No")</f>
        <v>No</v>
      </c>
      <c r="V92" s="49" t="str">
        <f ca="1">IFERROR(__xludf.DUMMYFUNCTION("QUERY('Volunteer Survey'!O98)"),"Possibly")</f>
        <v>Possibly</v>
      </c>
      <c r="W92" s="60" t="str">
        <f ca="1">IFERROR(__xludf.DUMMYFUNCTION("QUERY('Volunteer Survey'!P98)"),"Yes, if needed. I am open to considering this type of activity.")</f>
        <v>Yes, if needed. I am open to considering this type of activity.</v>
      </c>
      <c r="X92" s="58" t="str">
        <f ca="1">IFERROR(__xludf.DUMMYFUNCTION("QUERY('Volunteer Survey'!R98)"),"Maybe -- please contact me with other options, and I will decide based on what is available")</f>
        <v>Maybe -- please contact me with other options, and I will decide based on what is available</v>
      </c>
      <c r="Y92" s="47"/>
      <c r="Z92" s="174">
        <f ca="1">IFERROR(__xludf.DUMMYFUNCTION("QUERY('Volunteer Survey'!A91)"),43483.533421493)</f>
        <v>43483.533421492997</v>
      </c>
      <c r="AA92" s="175" t="str">
        <f ca="1">IFERROR(__xludf.DUMMYFUNCTION("QUERY('Volunteer Survey'!B91)"),"Nan Jiang")</f>
        <v>Nan Jiang</v>
      </c>
      <c r="AB92" s="175" t="str">
        <f ca="1">IFERROR(__xludf.DUMMYFUNCTION("QUERY('Volunteer Survey'!C91)"),"University of California, San Diego")</f>
        <v>University of California, San Diego</v>
      </c>
      <c r="AC92" s="175" t="str">
        <f ca="1">IFERROR(__xludf.DUMMYFUNCTION("QUERY('Volunteer Survey'!D91)"),"")</f>
        <v/>
      </c>
      <c r="AD92" s="175" t="str">
        <f ca="1">IFERROR(__xludf.DUMMYFUNCTION("QUERY('Volunteer Survey'!E91)"),"naj018@ucsd.edu")</f>
        <v>naj018@ucsd.edu</v>
      </c>
      <c r="AE92" s="175" t="str">
        <f ca="1">IFERROR(__xludf.DUMMYFUNCTION("QUERY('Volunteer Survey'!F91)"),"Post Doc/Resident/Fellow (MD and/or PhD)")</f>
        <v>Post Doc/Resident/Fellow (MD and/or PhD)</v>
      </c>
      <c r="AF92" s="175" t="str">
        <f ca="1">IFERROR(__xludf.DUMMYFUNCTION("QUERY('Volunteer Survey'!G91)"),"I heard about ClinGen from some published papers.I would like to contribute to the community with my experience and knowledge at the same time learn more about how to interpret genetic variants in a comprehensive way. I am particularly interested in neura"&amp;"l tube defect. ")</f>
        <v xml:space="preserve">I heard about ClinGen from some published papers.I would like to contribute to the community with my experience and knowledge at the same time learn more about how to interpret genetic variants in a comprehensive way. I am particularly interested in neural tube defect. </v>
      </c>
      <c r="AG92" s="175" t="str">
        <f ca="1">IFERROR(__xludf.DUMMYFUNCTION("QUERY('Volunteer Survey'!H91)"),"Comprehensive")</f>
        <v>Comprehensive</v>
      </c>
      <c r="AH92" s="175" t="str">
        <f ca="1">IFERROR(__xludf.DUMMYFUNCTION("QUERY('Volunteer Survey'!I91)"),"Dosage Sensitivity")</f>
        <v>Dosage Sensitivity</v>
      </c>
      <c r="AI92" s="175" t="str">
        <f ca="1">IFERROR(__xludf.DUMMYFUNCTION("QUERY('Volunteer Survey'!J91)"),"")</f>
        <v/>
      </c>
      <c r="AJ92" s="175" t="str">
        <f ca="1">IFERROR(__xludf.DUMMYFUNCTION("QUERY('Volunteer Survey'!K91)"),"Gene-Disease Validity")</f>
        <v>Gene-Disease Validity</v>
      </c>
      <c r="AK92" s="175" t="str">
        <f ca="1">IFERROR(__xludf.DUMMYFUNCTION("QUERY('Volunteer Survey'!L91)"),"Somatic Cancer")</f>
        <v>Somatic Cancer</v>
      </c>
      <c r="AL92" s="175" t="str">
        <f ca="1">IFERROR(__xludf.DUMMYFUNCTION("QUERY('Volunteer Survey'!M91)"),"Variant Pathogenicity")</f>
        <v>Variant Pathogenicity</v>
      </c>
      <c r="AM92" s="175" t="str">
        <f ca="1">IFERROR(__xludf.DUMMYFUNCTION("QUERY('Volunteer Survey'!N91)"),"Yes. I work in a clinical genetics research lab identifying disease genes in pediatric neurological disorders using whole exome and whole genome sequencing. I do variants pathogenicity curation in daily bases. ")</f>
        <v xml:space="preserve">Yes. I work in a clinical genetics research lab identifying disease genes in pediatric neurological disorders using whole exome and whole genome sequencing. I do variants pathogenicity curation in daily bases. </v>
      </c>
      <c r="AN92" s="175" t="str">
        <f ca="1">IFERROR(__xludf.DUMMYFUNCTION("QUERY('Volunteer Survey'!O91)"),"Possibly")</f>
        <v>Possibly</v>
      </c>
      <c r="AO92" s="175" t="str">
        <f ca="1">IFERROR(__xludf.DUMMYFUNCTION("QUERY('Volunteer Survey'!P91)"),"I am particularly interested in the variant and gene curation expert panels under dosage sensitivity working group. ")</f>
        <v xml:space="preserve">I am particularly interested in the variant and gene curation expert panels under dosage sensitivity working group. </v>
      </c>
    </row>
    <row r="93" spans="1:41" ht="14">
      <c r="A93" s="44">
        <f ca="1">IFERROR(__xludf.DUMMYFUNCTION("QUERY('Volunteer Survey'!A100)"),43483.5545959027)</f>
        <v>43483.5545959027</v>
      </c>
      <c r="B93" s="42" t="s">
        <v>125</v>
      </c>
      <c r="C93" s="81">
        <v>43437</v>
      </c>
      <c r="D93" s="50">
        <v>43446</v>
      </c>
      <c r="E93" s="42" t="s">
        <v>117</v>
      </c>
      <c r="F93" s="42" t="s">
        <v>117</v>
      </c>
      <c r="G93" s="42" t="s">
        <v>122</v>
      </c>
      <c r="H93" s="45" t="s">
        <v>143</v>
      </c>
      <c r="I93" s="45" t="s">
        <v>139</v>
      </c>
      <c r="J93" s="50">
        <v>43592</v>
      </c>
      <c r="K93" s="50">
        <v>43713</v>
      </c>
      <c r="L93" s="49" t="str">
        <f ca="1">IFERROR(__xludf.DUMMYFUNCTION("QUERY('Volunteer Survey'!B100)"),"Ny Hoang")</f>
        <v>Ny Hoang</v>
      </c>
      <c r="M93" s="49" t="str">
        <f ca="1">IFERROR(__xludf.DUMMYFUNCTION("QUERY('Volunteer Survey'!E100)"),"ny.hoang@sickkids.ca")</f>
        <v>ny.hoang@sickkids.ca</v>
      </c>
      <c r="N93" s="49" t="str">
        <f ca="1">IFERROR(__xludf.DUMMYFUNCTION("QUERY('Volunteer Survey'!F100)"),"Genetic counselor")</f>
        <v>Genetic counselor</v>
      </c>
      <c r="O93" s="42" t="s">
        <v>63</v>
      </c>
      <c r="P93" s="49" t="str">
        <f ca="1">IFERROR(__xludf.DUMMYFUNCTION("QUERY('Volunteer Survey'!I100)"),"Gene-Disease Validity")</f>
        <v>Gene-Disease Validity</v>
      </c>
      <c r="Q93" s="54" t="str">
        <f ca="1">IFERROR(__xludf.DUMMYFUNCTION("QUERY('Volunteer Survey'!J100)"),"")</f>
        <v/>
      </c>
      <c r="R93" s="49" t="str">
        <f ca="1">IFERROR(__xludf.DUMMYFUNCTION("QUERY('Volunteer Survey'!K100)"),"")</f>
        <v/>
      </c>
      <c r="S93" s="49" t="str">
        <f ca="1">IFERROR(__xludf.DUMMYFUNCTION("QUERY('Volunteer Survey'!L100)"),"")</f>
        <v/>
      </c>
      <c r="T93" s="49" t="str">
        <f ca="1">IFERROR(__xludf.DUMMYFUNCTION("QUERY('Volunteer Survey'!M100)"),"")</f>
        <v/>
      </c>
      <c r="U93" s="58" t="str">
        <f ca="1">IFERROR(__xludf.DUMMYFUNCTION("QUERY('Volunteer Survey'!N100)"),"Yes")</f>
        <v>Yes</v>
      </c>
      <c r="V93" s="49" t="str">
        <f ca="1">IFERROR(__xludf.DUMMYFUNCTION("QUERY('Volunteer Survey'!O100)"),"Possibly")</f>
        <v>Possibly</v>
      </c>
      <c r="W93" s="60" t="str">
        <f ca="1">IFERROR(__xludf.DUMMYFUNCTION("QUERY('Volunteer Survey'!P100)"),"Autism and ID working group")</f>
        <v>Autism and ID working group</v>
      </c>
      <c r="X93" s="58" t="str">
        <f ca="1">IFERROR(__xludf.DUMMYFUNCTION("QUERY('Volunteer Survey'!R100)"),"Maybe -- please contact me with other options, and I will decide based on what is available")</f>
        <v>Maybe -- please contact me with other options, and I will decide based on what is available</v>
      </c>
      <c r="Y93" s="45" t="s">
        <v>318</v>
      </c>
      <c r="Z93" s="174">
        <f ca="1">IFERROR(__xludf.DUMMYFUNCTION("QUERY('Volunteer Survey'!A92)"),43366.5359259259)</f>
        <v>43366.535925925898</v>
      </c>
      <c r="AA93" s="175" t="str">
        <f ca="1">IFERROR(__xludf.DUMMYFUNCTION("QUERY('Volunteer Survey'!B92)"),"Michelle Green")</f>
        <v>Michelle Green</v>
      </c>
      <c r="AB93" s="175" t="str">
        <f ca="1">IFERROR(__xludf.DUMMYFUNCTION("QUERY('Volunteer Survey'!C92)"),"NA")</f>
        <v>NA</v>
      </c>
      <c r="AC93" s="175" t="str">
        <f ca="1">IFERROR(__xludf.DUMMYFUNCTION("QUERY('Volunteer Survey'!D92)"),"NC")</f>
        <v>NC</v>
      </c>
      <c r="AD93" s="175" t="str">
        <f ca="1">IFERROR(__xludf.DUMMYFUNCTION("QUERY('Volunteer Survey'!E92)"),"Michelle.green@n-of-one.com")</f>
        <v>Michelle.green@n-of-one.com</v>
      </c>
      <c r="AE93" s="175" t="str">
        <f ca="1">IFERROR(__xludf.DUMMYFUNCTION("QUERY('Volunteer Survey'!F92)"),"Biocurator, Variant Analyst/Scientist")</f>
        <v>Biocurator, Variant Analyst/Scientist</v>
      </c>
      <c r="AF93" s="175" t="str">
        <f ca="1">IFERROR(__xludf.DUMMYFUNCTION("QUERY('Volunteer Survey'!G92)"),"NA")</f>
        <v>NA</v>
      </c>
      <c r="AG93" s="175" t="str">
        <f ca="1">IFERROR(__xludf.DUMMYFUNCTION("QUERY('Volunteer Survey'!H92)"),"Baseline")</f>
        <v>Baseline</v>
      </c>
      <c r="AH93" s="175" t="str">
        <f ca="1">IFERROR(__xludf.DUMMYFUNCTION("QUERY('Volunteer Survey'!I92)"),"Variant Pathogenicity")</f>
        <v>Variant Pathogenicity</v>
      </c>
      <c r="AI93" s="175" t="str">
        <f ca="1">IFERROR(__xludf.DUMMYFUNCTION("QUERY('Volunteer Survey'!J92)"),"")</f>
        <v/>
      </c>
      <c r="AJ93" s="175" t="str">
        <f ca="1">IFERROR(__xludf.DUMMYFUNCTION("QUERY('Volunteer Survey'!K92)"),"")</f>
        <v/>
      </c>
      <c r="AK93" s="175" t="str">
        <f ca="1">IFERROR(__xludf.DUMMYFUNCTION("QUERY('Volunteer Survey'!L92)"),"")</f>
        <v/>
      </c>
      <c r="AL93" s="175" t="str">
        <f ca="1">IFERROR(__xludf.DUMMYFUNCTION("QUERY('Volunteer Survey'!M92)"),"")</f>
        <v/>
      </c>
      <c r="AM93" s="175" t="str">
        <f ca="1">IFERROR(__xludf.DUMMYFUNCTION("QUERY('Volunteer Survey'!N92)"),"Yes")</f>
        <v>Yes</v>
      </c>
      <c r="AN93" s="175" t="str">
        <f ca="1">IFERROR(__xludf.DUMMYFUNCTION("QUERY('Volunteer Survey'!O92)"),"Possibly")</f>
        <v>Possibly</v>
      </c>
      <c r="AO93" s="175" t="str">
        <f ca="1">IFERROR(__xludf.DUMMYFUNCTION("QUERY('Volunteer Survey'!P92)"),"NA")</f>
        <v>NA</v>
      </c>
    </row>
    <row r="94" spans="1:41" ht="14">
      <c r="A94" s="44">
        <f ca="1">IFERROR(__xludf.DUMMYFUNCTION("QUERY('Volunteer Survey'!A101)"),43434.5553472222)</f>
        <v>43434.555347222202</v>
      </c>
      <c r="B94" s="42" t="s">
        <v>160</v>
      </c>
      <c r="C94" s="81">
        <v>43437</v>
      </c>
      <c r="D94" s="50">
        <v>43446</v>
      </c>
      <c r="E94" s="42" t="s">
        <v>130</v>
      </c>
      <c r="F94" s="42" t="s">
        <v>130</v>
      </c>
      <c r="G94" s="42" t="s">
        <v>122</v>
      </c>
      <c r="H94" s="45" t="s">
        <v>143</v>
      </c>
      <c r="I94" s="45" t="s">
        <v>139</v>
      </c>
      <c r="J94" s="42"/>
      <c r="K94" s="42"/>
      <c r="L94" s="49" t="str">
        <f ca="1">IFERROR(__xludf.DUMMYFUNCTION("QUERY('Volunteer Survey'!B101)"),"Jacob Vorstman")</f>
        <v>Jacob Vorstman</v>
      </c>
      <c r="M94" s="49" t="str">
        <f ca="1">IFERROR(__xludf.DUMMYFUNCTION("QUERY('Volunteer Survey'!E101)"),"jacob.vorstman@sickkids.ca")</f>
        <v>jacob.vorstman@sickkids.ca</v>
      </c>
      <c r="N94" s="49" t="str">
        <f ca="1">IFERROR(__xludf.DUMMYFUNCTION("QUERY('Volunteer Survey'!F101)"),"Post Doc/Resident/Fellow (MD and/or Phd), Scientific Researcher, Physician (non-geneticist)")</f>
        <v>Post Doc/Resident/Fellow (MD and/or Phd), Scientific Researcher, Physician (non-geneticist)</v>
      </c>
      <c r="O94" s="42" t="s">
        <v>63</v>
      </c>
      <c r="P94" s="49" t="str">
        <f ca="1">IFERROR(__xludf.DUMMYFUNCTION("QUERY('Volunteer Survey'!I101)"),"Gene-Disease Validity")</f>
        <v>Gene-Disease Validity</v>
      </c>
      <c r="Q94" s="54" t="str">
        <f ca="1">IFERROR(__xludf.DUMMYFUNCTION("QUERY('Volunteer Survey'!J101)"),"")</f>
        <v/>
      </c>
      <c r="R94" s="49" t="str">
        <f ca="1">IFERROR(__xludf.DUMMYFUNCTION("QUERY('Volunteer Survey'!K101)"),"")</f>
        <v/>
      </c>
      <c r="S94" s="49" t="str">
        <f ca="1">IFERROR(__xludf.DUMMYFUNCTION("QUERY('Volunteer Survey'!L101)"),"")</f>
        <v/>
      </c>
      <c r="T94" s="49" t="str">
        <f ca="1">IFERROR(__xludf.DUMMYFUNCTION("QUERY('Volunteer Survey'!M101)"),"")</f>
        <v/>
      </c>
      <c r="U94" s="58" t="str">
        <f ca="1">IFERROR(__xludf.DUMMYFUNCTION("QUERY('Volunteer Survey'!N101)"),"Yes")</f>
        <v>Yes</v>
      </c>
      <c r="V94" s="49" t="str">
        <f ca="1">IFERROR(__xludf.DUMMYFUNCTION("QUERY('Volunteer Survey'!O101)"),"Possibly")</f>
        <v>Possibly</v>
      </c>
      <c r="W94" s="60" t="str">
        <f ca="1">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c r="X94" s="58" t="str">
        <f ca="1">IFERROR(__xludf.DUMMYFUNCTION("QUERY('Volunteer Survey'!R101)"),"Maybe -- please contact me with other options, and I will decide based on what is available")</f>
        <v>Maybe -- please contact me with other options, and I will decide based on what is available</v>
      </c>
      <c r="Y94" s="47"/>
      <c r="Z94" s="174">
        <f ca="1">IFERROR(__xludf.DUMMYFUNCTION("QUERY('Volunteer Survey'!A93)"),43371.539386574)</f>
        <v>43371.539386573997</v>
      </c>
      <c r="AA94" s="175" t="str">
        <f ca="1">IFERROR(__xludf.DUMMYFUNCTION("QUERY('Volunteer Survey'!B93)"),"Mahsa")</f>
        <v>Mahsa</v>
      </c>
      <c r="AB94" s="175" t="str">
        <f ca="1">IFERROR(__xludf.DUMMYFUNCTION("QUERY('Volunteer Survey'!C93)"),"New Mexico State University")</f>
        <v>New Mexico State University</v>
      </c>
      <c r="AC94" s="175" t="str">
        <f ca="1">IFERROR(__xludf.DUMMYFUNCTION("QUERY('Volunteer Survey'!D93)"),"New Mexico")</f>
        <v>New Mexico</v>
      </c>
      <c r="AD94" s="175" t="str">
        <f ca="1">IFERROR(__xludf.DUMMYFUNCTION("QUERY('Volunteer Survey'!E93)"),"mahsash@nmsu.edu")</f>
        <v>mahsash@nmsu.edu</v>
      </c>
      <c r="AE94" s="175" t="str">
        <f ca="1">IFERROR(__xludf.DUMMYFUNCTION("QUERY('Volunteer Survey'!F93)"),"Graduate Student")</f>
        <v>Graduate Student</v>
      </c>
      <c r="AF94" s="175" t="str">
        <f ca="1">IFERROR(__xludf.DUMMYFUNCTION("QUERY('Volunteer Survey'!G93)"),"NA")</f>
        <v>NA</v>
      </c>
      <c r="AG94" s="175" t="str">
        <f ca="1">IFERROR(__xludf.DUMMYFUNCTION("QUERY('Volunteer Survey'!H93)"),"Baseline")</f>
        <v>Baseline</v>
      </c>
      <c r="AH94" s="175" t="str">
        <f ca="1">IFERROR(__xludf.DUMMYFUNCTION("QUERY('Volunteer Survey'!I93)"),"")</f>
        <v/>
      </c>
      <c r="AI94" s="175" t="str">
        <f ca="1">IFERROR(__xludf.DUMMYFUNCTION("QUERY('Volunteer Survey'!J93)"),"")</f>
        <v/>
      </c>
      <c r="AJ94" s="175" t="str">
        <f ca="1">IFERROR(__xludf.DUMMYFUNCTION("QUERY('Volunteer Survey'!K93)"),"")</f>
        <v/>
      </c>
      <c r="AK94" s="175" t="str">
        <f ca="1">IFERROR(__xludf.DUMMYFUNCTION("QUERY('Volunteer Survey'!L93)"),"")</f>
        <v/>
      </c>
      <c r="AL94" s="175" t="str">
        <f ca="1">IFERROR(__xludf.DUMMYFUNCTION("QUERY('Volunteer Survey'!M93)"),"")</f>
        <v/>
      </c>
      <c r="AM94" s="175" t="str">
        <f ca="1">IFERROR(__xludf.DUMMYFUNCTION("QUERY('Volunteer Survey'!N93)"),"No")</f>
        <v>No</v>
      </c>
      <c r="AN94" s="175" t="str">
        <f ca="1">IFERROR(__xludf.DUMMYFUNCTION("QUERY('Volunteer Survey'!O93)"),"Possibly")</f>
        <v>Possibly</v>
      </c>
      <c r="AO94" s="175" t="str">
        <f ca="1">IFERROR(__xludf.DUMMYFUNCTION("QUERY('Volunteer Survey'!P93)"),"NA")</f>
        <v>NA</v>
      </c>
    </row>
    <row r="95" spans="1:41" ht="14">
      <c r="A95" s="44">
        <f ca="1">IFERROR(__xludf.DUMMYFUNCTION("QUERY('Volunteer Survey'!A102)"),43485.6961549652)</f>
        <v>43485.696154965197</v>
      </c>
      <c r="B95" s="42" t="s">
        <v>108</v>
      </c>
      <c r="C95" s="47"/>
      <c r="D95" s="43">
        <v>43598</v>
      </c>
      <c r="E95" s="42" t="s">
        <v>117</v>
      </c>
      <c r="F95" s="42" t="s">
        <v>130</v>
      </c>
      <c r="G95" s="42" t="s">
        <v>136</v>
      </c>
      <c r="H95" s="47"/>
      <c r="I95" s="45" t="s">
        <v>139</v>
      </c>
      <c r="J95" s="50">
        <v>43712</v>
      </c>
      <c r="K95" s="50"/>
      <c r="L95" s="49" t="str">
        <f ca="1">IFERROR(__xludf.DUMMYFUNCTION("QUERY('Volunteer Survey'!B102)"),"Qiuxiang Ou")</f>
        <v>Qiuxiang Ou</v>
      </c>
      <c r="M95" s="49" t="str">
        <f ca="1">IFERROR(__xludf.DUMMYFUNCTION("QUERY('Volunteer Survey'!E102)"),"dorothy.ou@gmail.com")</f>
        <v>dorothy.ou@gmail.com</v>
      </c>
      <c r="N95" s="49" t="str">
        <f ca="1">IFERROR(__xludf.DUMMYFUNCTION("QUERY('Volunteer Survey'!F102)"),"Scientific Researcher")</f>
        <v>Scientific Researcher</v>
      </c>
      <c r="O95" s="42" t="str">
        <f ca="1">IFERROR(__xludf.DUMMYFUNCTION("QUERY('Volunteer Survey'!H102)"),"Comprehensive")</f>
        <v>Comprehensive</v>
      </c>
      <c r="P95" s="49" t="str">
        <f ca="1">IFERROR(__xludf.DUMMYFUNCTION("QUERY('Volunteer Survey'!I102)"),"Somatic Cancer")</f>
        <v>Somatic Cancer</v>
      </c>
      <c r="Q95" s="54" t="str">
        <f ca="1">IFERROR(__xludf.DUMMYFUNCTION("QUERY('Volunteer Survey'!J102)"),"Variant Pathogenicity")</f>
        <v>Variant Pathogenicity</v>
      </c>
      <c r="R95" s="49" t="str">
        <f ca="1">IFERROR(__xludf.DUMMYFUNCTION("QUERY('Volunteer Survey'!K102)"),"Clinical Actionability")</f>
        <v>Clinical Actionability</v>
      </c>
      <c r="S95" s="49" t="str">
        <f ca="1">IFERROR(__xludf.DUMMYFUNCTION("QUERY('Volunteer Survey'!L102)"),"Gene-Disease Validity")</f>
        <v>Gene-Disease Validity</v>
      </c>
      <c r="T95" s="49" t="str">
        <f ca="1">IFERROR(__xludf.DUMMYFUNCTION("QUERY('Volunteer Survey'!M102)"),"Dosage Sensitivity")</f>
        <v>Dosage Sensitivity</v>
      </c>
      <c r="U95" s="58" t="str">
        <f ca="1">IFERROR(__xludf.DUMMYFUNCTION("QUERY('Volunteer Survey'!N102)"),"")</f>
        <v/>
      </c>
      <c r="V95" s="49" t="str">
        <f ca="1">IFERROR(__xludf.DUMMYFUNCTION("QUERY('Volunteer Survey'!O102)"),"Possibly")</f>
        <v>Possibly</v>
      </c>
      <c r="W95" s="60" t="str">
        <f ca="1">IFERROR(__xludf.DUMMYFUNCTION("QUERY('Volunteer Survey'!P102)"),"Somatic Cancer Working Group")</f>
        <v>Somatic Cancer Working Group</v>
      </c>
      <c r="X95" s="58" t="str">
        <f ca="1">IFERROR(__xludf.DUMMYFUNCTION("QUERY('Volunteer Survey'!R102)"),"Yes- I am willing to volunteer with any available ClinGen group")</f>
        <v>Yes- I am willing to volunteer with any available ClinGen group</v>
      </c>
      <c r="Y95" s="47"/>
      <c r="Z95" s="174">
        <f ca="1">IFERROR(__xludf.DUMMYFUNCTION("QUERY('Volunteer Survey'!A94)"),43372.5490509259)</f>
        <v>43372.549050925903</v>
      </c>
      <c r="AA95" s="175" t="str">
        <f ca="1">IFERROR(__xludf.DUMMYFUNCTION("QUERY('Volunteer Survey'!B94)"),"Michelle Green")</f>
        <v>Michelle Green</v>
      </c>
      <c r="AB95" s="175" t="str">
        <f ca="1">IFERROR(__xludf.DUMMYFUNCTION("QUERY('Volunteer Survey'!C94)"),"NA")</f>
        <v>NA</v>
      </c>
      <c r="AC95" s="175" t="str">
        <f ca="1">IFERROR(__xludf.DUMMYFUNCTION("QUERY('Volunteer Survey'!D94)"),"NC")</f>
        <v>NC</v>
      </c>
      <c r="AD95" s="175" t="str">
        <f ca="1">IFERROR(__xludf.DUMMYFUNCTION("QUERY('Volunteer Survey'!E94)"),"mfgreen14@gmail.com")</f>
        <v>mfgreen14@gmail.com</v>
      </c>
      <c r="AE95" s="175" t="str">
        <f ca="1">IFERROR(__xludf.DUMMYFUNCTION("QUERY('Volunteer Survey'!F94)"),"Biocurator, Variant Analyst/Scientist")</f>
        <v>Biocurator, Variant Analyst/Scientist</v>
      </c>
      <c r="AF95" s="175" t="str">
        <f ca="1">IFERROR(__xludf.DUMMYFUNCTION("QUERY('Volunteer Survey'!G94)"),"NA")</f>
        <v>NA</v>
      </c>
      <c r="AG95" s="175" t="str">
        <f ca="1">IFERROR(__xludf.DUMMYFUNCTION("QUERY('Volunteer Survey'!H94)"),"Baseline")</f>
        <v>Baseline</v>
      </c>
      <c r="AH95" s="175" t="str">
        <f ca="1">IFERROR(__xludf.DUMMYFUNCTION("QUERY('Volunteer Survey'!I94)"),"")</f>
        <v/>
      </c>
      <c r="AI95" s="175" t="str">
        <f ca="1">IFERROR(__xludf.DUMMYFUNCTION("QUERY('Volunteer Survey'!J94)"),"")</f>
        <v/>
      </c>
      <c r="AJ95" s="175" t="str">
        <f ca="1">IFERROR(__xludf.DUMMYFUNCTION("QUERY('Volunteer Survey'!K94)"),"")</f>
        <v/>
      </c>
      <c r="AK95" s="175" t="str">
        <f ca="1">IFERROR(__xludf.DUMMYFUNCTION("QUERY('Volunteer Survey'!L94)"),"")</f>
        <v/>
      </c>
      <c r="AL95" s="175" t="str">
        <f ca="1">IFERROR(__xludf.DUMMYFUNCTION("QUERY('Volunteer Survey'!M94)"),"")</f>
        <v/>
      </c>
      <c r="AM95" s="175" t="str">
        <f ca="1">IFERROR(__xludf.DUMMYFUNCTION("QUERY('Volunteer Survey'!N94)"),"Yes")</f>
        <v>Yes</v>
      </c>
      <c r="AN95" s="175" t="str">
        <f ca="1">IFERROR(__xludf.DUMMYFUNCTION("QUERY('Volunteer Survey'!O94)"),"Possibly")</f>
        <v>Possibly</v>
      </c>
      <c r="AO95" s="175" t="str">
        <f ca="1">IFERROR(__xludf.DUMMYFUNCTION("QUERY('Volunteer Survey'!P94)"),"NA")</f>
        <v>NA</v>
      </c>
    </row>
    <row r="96" spans="1:41" ht="14">
      <c r="A96" s="44">
        <f ca="1">IFERROR(__xludf.DUMMYFUNCTION("QUERY('Volunteer Survey'!A103)"),43416.3743634259)</f>
        <v>43416.374363425901</v>
      </c>
      <c r="B96" s="42" t="s">
        <v>160</v>
      </c>
      <c r="C96" s="73">
        <v>43434</v>
      </c>
      <c r="D96" s="67">
        <v>43522</v>
      </c>
      <c r="E96" s="42" t="s">
        <v>117</v>
      </c>
      <c r="F96" s="42" t="s">
        <v>117</v>
      </c>
      <c r="G96" s="42" t="s">
        <v>19</v>
      </c>
      <c r="H96" s="45" t="s">
        <v>19</v>
      </c>
      <c r="I96" s="45" t="s">
        <v>139</v>
      </c>
      <c r="J96" s="42"/>
      <c r="K96" s="42"/>
      <c r="L96" s="49" t="str">
        <f ca="1">IFERROR(__xludf.DUMMYFUNCTION("QUERY('Volunteer Survey'!B103)"),"Kylin Boehler")</f>
        <v>Kylin Boehler</v>
      </c>
      <c r="M96" s="49" t="str">
        <f ca="1">IFERROR(__xludf.DUMMYFUNCTION("QUERY('Volunteer Survey'!E103)"),"kylin.y.boehler@questdiagnostics.com")</f>
        <v>kylin.y.boehler@questdiagnostics.com</v>
      </c>
      <c r="N96" s="49" t="str">
        <f ca="1">IFERROR(__xludf.DUMMYFUNCTION("QUERY('Volunteer Survey'!F103)"),"Genetic counselor")</f>
        <v>Genetic counselor</v>
      </c>
      <c r="O96" s="42" t="str">
        <f ca="1">IFERROR(__xludf.DUMMYFUNCTION("QUERY('Volunteer Survey'!H103)"),"Comprehensive")</f>
        <v>Comprehensive</v>
      </c>
      <c r="P96" s="49" t="str">
        <f ca="1">IFERROR(__xludf.DUMMYFUNCTION("QUERY('Volunteer Survey'!I103)"),"Clinical Actionability")</f>
        <v>Clinical Actionability</v>
      </c>
      <c r="Q96" s="54" t="str">
        <f ca="1">IFERROR(__xludf.DUMMYFUNCTION("QUERY('Volunteer Survey'!J103)"),"Dosage Sensitivity")</f>
        <v>Dosage Sensitivity</v>
      </c>
      <c r="R96" s="49" t="str">
        <f ca="1">IFERROR(__xludf.DUMMYFUNCTION("QUERY('Volunteer Survey'!K103)"),"Gene-Disease Validity")</f>
        <v>Gene-Disease Validity</v>
      </c>
      <c r="S96" s="49" t="str">
        <f ca="1">IFERROR(__xludf.DUMMYFUNCTION("QUERY('Volunteer Survey'!L103)"),"Variant Pathogenicity")</f>
        <v>Variant Pathogenicity</v>
      </c>
      <c r="T96" s="49" t="str">
        <f ca="1">IFERROR(__xludf.DUMMYFUNCTION("QUERY('Volunteer Survey'!M103)"),"Somatic Cancer")</f>
        <v>Somatic Cancer</v>
      </c>
      <c r="U96" s="58" t="str">
        <f ca="1">IFERROR(__xludf.DUMMYFUNCTION("QUERY('Volunteer Survey'!N103)"),"Yes")</f>
        <v>Yes</v>
      </c>
      <c r="V96" s="49" t="str">
        <f ca="1">IFERROR(__xludf.DUMMYFUNCTION("QUERY('Volunteer Survey'!O103)"),"No")</f>
        <v>No</v>
      </c>
      <c r="W96" s="60" t="str">
        <f ca="1">IFERROR(__xludf.DUMMYFUNCTION("QUERY('Volunteer Survey'!P103)"),"I am mainly interested in the Hereditary Cancer Gene Dosage Sensitivity Curation group.")</f>
        <v>I am mainly interested in the Hereditary Cancer Gene Dosage Sensitivity Curation group.</v>
      </c>
      <c r="X96" s="58" t="str">
        <f ca="1">IFERROR(__xludf.DUMMYFUNCTION("QUERY('Volunteer Survey'!R103)"),"Maybe -- please contact me with other options, and I will decide based on what is available")</f>
        <v>Maybe -- please contact me with other options, and I will decide based on what is available</v>
      </c>
      <c r="Y96" s="45" t="s">
        <v>332</v>
      </c>
      <c r="Z96" s="174">
        <f ca="1">IFERROR(__xludf.DUMMYFUNCTION("QUERY('Volunteer Survey'!A95)"),43389.5503356481)</f>
        <v>43389.550335648099</v>
      </c>
      <c r="AA96" s="175" t="str">
        <f ca="1">IFERROR(__xludf.DUMMYFUNCTION("QUERY('Volunteer Survey'!B95)"),"Xinkun ""Sequen"" Wang")</f>
        <v>Xinkun "Sequen" Wang</v>
      </c>
      <c r="AB96" s="175" t="str">
        <f ca="1">IFERROR(__xludf.DUMMYFUNCTION("QUERY('Volunteer Survey'!C95)"),"Northwestern University")</f>
        <v>Northwestern University</v>
      </c>
      <c r="AC96" s="175" t="str">
        <f ca="1">IFERROR(__xludf.DUMMYFUNCTION("QUERY('Volunteer Survey'!D95)"),"Chicago, IL")</f>
        <v>Chicago, IL</v>
      </c>
      <c r="AD96" s="175" t="str">
        <f ca="1">IFERROR(__xludf.DUMMYFUNCTION("QUERY('Volunteer Survey'!E95)"),"xinkun.wang@northwestern.edu")</f>
        <v>xinkun.wang@northwestern.edu</v>
      </c>
      <c r="AE96" s="175" t="str">
        <f ca="1">IFERROR(__xludf.DUMMYFUNCTION("QUERY('Volunteer Survey'!F95)"),"Scientific Researcher")</f>
        <v>Scientific Researcher</v>
      </c>
      <c r="AF96" s="175" t="str">
        <f ca="1">IFERROR(__xludf.DUMMYFUNCTION("QUERY('Volunteer Survey'!G95)"),"NA")</f>
        <v>NA</v>
      </c>
      <c r="AG96" s="175" t="str">
        <f ca="1">IFERROR(__xludf.DUMMYFUNCTION("QUERY('Volunteer Survey'!H95)"),"Baseline")</f>
        <v>Baseline</v>
      </c>
      <c r="AH96" s="175" t="str">
        <f ca="1">IFERROR(__xludf.DUMMYFUNCTION("QUERY('Volunteer Survey'!I95)"),"")</f>
        <v/>
      </c>
      <c r="AI96" s="175" t="str">
        <f ca="1">IFERROR(__xludf.DUMMYFUNCTION("QUERY('Volunteer Survey'!J95)"),"")</f>
        <v/>
      </c>
      <c r="AJ96" s="175" t="str">
        <f ca="1">IFERROR(__xludf.DUMMYFUNCTION("QUERY('Volunteer Survey'!K95)"),"")</f>
        <v/>
      </c>
      <c r="AK96" s="175" t="str">
        <f ca="1">IFERROR(__xludf.DUMMYFUNCTION("QUERY('Volunteer Survey'!L95)"),"")</f>
        <v/>
      </c>
      <c r="AL96" s="175" t="str">
        <f ca="1">IFERROR(__xludf.DUMMYFUNCTION("QUERY('Volunteer Survey'!M95)"),"")</f>
        <v/>
      </c>
      <c r="AM96" s="175" t="str">
        <f ca="1">IFERROR(__xludf.DUMMYFUNCTION("QUERY('Volunteer Survey'!N95)"),"No")</f>
        <v>No</v>
      </c>
      <c r="AN96" s="175" t="str">
        <f ca="1">IFERROR(__xludf.DUMMYFUNCTION("QUERY('Volunteer Survey'!O95)"),"Possibly")</f>
        <v>Possibly</v>
      </c>
      <c r="AO96" s="175" t="str">
        <f ca="1">IFERROR(__xludf.DUMMYFUNCTION("QUERY('Volunteer Survey'!P95)"),"Epilepsy Gene Curation Expert Panel Autism and Intellectual Disability Gene Curation Expert Panel")</f>
        <v>Epilepsy Gene Curation Expert Panel Autism and Intellectual Disability Gene Curation Expert Panel</v>
      </c>
    </row>
    <row r="97" spans="1:41" ht="14">
      <c r="A97" s="44">
        <f ca="1">IFERROR(__xludf.DUMMYFUNCTION("QUERY('Volunteer Survey'!A104)"),43347.3795486111)</f>
        <v>43347.379548611098</v>
      </c>
      <c r="B97" s="42" t="s">
        <v>168</v>
      </c>
      <c r="C97" s="73">
        <v>43434</v>
      </c>
      <c r="D97" s="49"/>
      <c r="E97" s="42" t="s">
        <v>130</v>
      </c>
      <c r="F97" s="42" t="s">
        <v>130</v>
      </c>
      <c r="G97" s="42" t="s">
        <v>19</v>
      </c>
      <c r="H97" s="45"/>
      <c r="I97" s="45" t="s">
        <v>139</v>
      </c>
      <c r="J97" s="42"/>
      <c r="K97" s="42"/>
      <c r="L97" s="49" t="str">
        <f ca="1">IFERROR(__xludf.DUMMYFUNCTION("QUERY('Volunteer Survey'!B104)"),"Lisa Diller")</f>
        <v>Lisa Diller</v>
      </c>
      <c r="M97" s="49" t="str">
        <f ca="1">IFERROR(__xludf.DUMMYFUNCTION("QUERY('Volunteer Survey'!E104)"),"lisa_diller@dfci.harvard.edu")</f>
        <v>lisa_diller@dfci.harvard.edu</v>
      </c>
      <c r="N97" s="49" t="str">
        <f ca="1">IFERROR(__xludf.DUMMYFUNCTION("QUERY('Volunteer Survey'!F104)"),"Physician (Non-geneticist)")</f>
        <v>Physician (Non-geneticist)</v>
      </c>
      <c r="O97" s="42" t="str">
        <f ca="1">IFERROR(__xludf.DUMMYFUNCTION("QUERY('Volunteer Survey'!H104)"),"Comprehensive")</f>
        <v>Comprehensive</v>
      </c>
      <c r="P97" s="49" t="str">
        <f ca="1">IFERROR(__xludf.DUMMYFUNCTION("QUERY('Volunteer Survey'!I104)"),"Clinical Actionability")</f>
        <v>Clinical Actionability</v>
      </c>
      <c r="Q97" s="54" t="str">
        <f ca="1">IFERROR(__xludf.DUMMYFUNCTION("QUERY('Volunteer Survey'!J104)"),"Gene-Disease Validity")</f>
        <v>Gene-Disease Validity</v>
      </c>
      <c r="R97" s="49" t="str">
        <f ca="1">IFERROR(__xludf.DUMMYFUNCTION("QUERY('Volunteer Survey'!K104)"),"Somatic Cancer")</f>
        <v>Somatic Cancer</v>
      </c>
      <c r="S97" s="49" t="str">
        <f ca="1">IFERROR(__xludf.DUMMYFUNCTION("QUERY('Volunteer Survey'!L104)"),"Variant Pathogenicity")</f>
        <v>Variant Pathogenicity</v>
      </c>
      <c r="T97" s="49" t="str">
        <f ca="1">IFERROR(__xludf.DUMMYFUNCTION("QUERY('Volunteer Survey'!M104)"),"Dosage Sensitivity")</f>
        <v>Dosage Sensitivity</v>
      </c>
      <c r="U97" s="58" t="str">
        <f ca="1">IFERROR(__xludf.DUMMYFUNCTION("QUERY('Volunteer Survey'!N104)"),"No")</f>
        <v>No</v>
      </c>
      <c r="V97" s="49" t="str">
        <f ca="1">IFERROR(__xludf.DUMMYFUNCTION("QUERY('Volunteer Survey'!O104)"),"Yes")</f>
        <v>Yes</v>
      </c>
      <c r="W97" s="60" t="str">
        <f ca="1">IFERROR(__xludf.DUMMYFUNCTION("QUERY('Volunteer Survey'!P104)"),"Hereditary Cancer")</f>
        <v>Hereditary Cancer</v>
      </c>
      <c r="X97" s="58" t="str">
        <f ca="1">IFERROR(__xludf.DUMMYFUNCTION("QUERY('Volunteer Survey'!R104)"),"No - I am only interested in the group(s) I previously indicated")</f>
        <v>No - I am only interested in the group(s) I previously indicated</v>
      </c>
      <c r="Y97" s="47"/>
      <c r="Z97" s="174">
        <f ca="1">IFERROR(__xludf.DUMMYFUNCTION("QUERY('Volunteer Survey'!A96)"),43402.551099537)</f>
        <v>43402.551099536999</v>
      </c>
      <c r="AA97" s="175" t="str">
        <f ca="1">IFERROR(__xludf.DUMMYFUNCTION("QUERY('Volunteer Survey'!B96)"),"Siddharth Banka")</f>
        <v>Siddharth Banka</v>
      </c>
      <c r="AB97" s="175" t="str">
        <f ca="1">IFERROR(__xludf.DUMMYFUNCTION("QUERY('Volunteer Survey'!C96)"),"Manchester Centre for Genomic Medicine")</f>
        <v>Manchester Centre for Genomic Medicine</v>
      </c>
      <c r="AC97" s="175" t="str">
        <f ca="1">IFERROR(__xludf.DUMMYFUNCTION("QUERY('Volunteer Survey'!D96)"),"Manchester, UK")</f>
        <v>Manchester, UK</v>
      </c>
      <c r="AD97" s="175" t="str">
        <f ca="1">IFERROR(__xludf.DUMMYFUNCTION("QUERY('Volunteer Survey'!E96)"),"Siddharth.Banka@manchester.ac.uk")</f>
        <v>Siddharth.Banka@manchester.ac.uk</v>
      </c>
      <c r="AE97" s="175" t="str">
        <f ca="1">IFERROR(__xludf.DUMMYFUNCTION("QUERY('Volunteer Survey'!F96)"),"Clinical Medical Geneticist")</f>
        <v>Clinical Medical Geneticist</v>
      </c>
      <c r="AF97" s="175" t="str">
        <f ca="1">IFERROR(__xludf.DUMMYFUNCTION("QUERY('Volunteer Survey'!G96)"),"NA")</f>
        <v>NA</v>
      </c>
      <c r="AG97" s="175" t="str">
        <f ca="1">IFERROR(__xludf.DUMMYFUNCTION("QUERY('Volunteer Survey'!H96)"),"Baseline")</f>
        <v>Baseline</v>
      </c>
      <c r="AH97" s="175" t="str">
        <f ca="1">IFERROR(__xludf.DUMMYFUNCTION("QUERY('Volunteer Survey'!I96)"),"")</f>
        <v/>
      </c>
      <c r="AI97" s="175" t="str">
        <f ca="1">IFERROR(__xludf.DUMMYFUNCTION("QUERY('Volunteer Survey'!J96)"),"")</f>
        <v/>
      </c>
      <c r="AJ97" s="175" t="str">
        <f ca="1">IFERROR(__xludf.DUMMYFUNCTION("QUERY('Volunteer Survey'!K96)"),"")</f>
        <v/>
      </c>
      <c r="AK97" s="175" t="str">
        <f ca="1">IFERROR(__xludf.DUMMYFUNCTION("QUERY('Volunteer Survey'!L96)"),"")</f>
        <v/>
      </c>
      <c r="AL97" s="175" t="str">
        <f ca="1">IFERROR(__xludf.DUMMYFUNCTION("QUERY('Volunteer Survey'!M96)"),"")</f>
        <v/>
      </c>
      <c r="AM97" s="175" t="str">
        <f ca="1">IFERROR(__xludf.DUMMYFUNCTION("QUERY('Volunteer Survey'!N96)"),"Yes")</f>
        <v>Yes</v>
      </c>
      <c r="AN97" s="175" t="str">
        <f ca="1">IFERROR(__xludf.DUMMYFUNCTION("QUERY('Volunteer Survey'!O96)"),"Possibly")</f>
        <v>Possibly</v>
      </c>
      <c r="AO97" s="175" t="str">
        <f ca="1">IFERROR(__xludf.DUMMYFUNCTION("QUERY('Volunteer Survey'!P96)"),"Neurodevelopmental Disorders, experience with curating CNVs (potentially Dosage)")</f>
        <v>Neurodevelopmental Disorders, experience with curating CNVs (potentially Dosage)</v>
      </c>
    </row>
    <row r="98" spans="1:41" ht="14">
      <c r="A98" s="44">
        <f ca="1">IFERROR(__xludf.DUMMYFUNCTION("QUERY('Volunteer Survey'!A105)"),43378.381261574)</f>
        <v>43378.381261574003</v>
      </c>
      <c r="B98" s="42" t="s">
        <v>168</v>
      </c>
      <c r="C98" s="73">
        <v>43434</v>
      </c>
      <c r="D98" s="67">
        <v>43567</v>
      </c>
      <c r="E98" s="42" t="s">
        <v>117</v>
      </c>
      <c r="F98" s="42" t="s">
        <v>130</v>
      </c>
      <c r="G98" s="42" t="s">
        <v>19</v>
      </c>
      <c r="H98" s="45"/>
      <c r="I98" s="45" t="s">
        <v>139</v>
      </c>
      <c r="J98" s="42"/>
      <c r="K98" s="42"/>
      <c r="L98" s="49" t="str">
        <f ca="1">IFERROR(__xludf.DUMMYFUNCTION("QUERY('Volunteer Survey'!B105)"),"Nharimann Azima")</f>
        <v>Nharimann Azima</v>
      </c>
      <c r="M98" s="49" t="str">
        <f ca="1">IFERROR(__xludf.DUMMYFUNCTION("QUERY('Volunteer Survey'!E105)"),"naa3f@gwu.edu")</f>
        <v>naa3f@gwu.edu</v>
      </c>
      <c r="N98" s="49" t="str">
        <f ca="1">IFERROR(__xludf.DUMMYFUNCTION("QUERY('Volunteer Survey'!F105)"),"Analyst")</f>
        <v>Analyst</v>
      </c>
      <c r="O98" s="42" t="str">
        <f ca="1">IFERROR(__xludf.DUMMYFUNCTION("QUERY('Volunteer Survey'!H105)"),"Comprehensive")</f>
        <v>Comprehensive</v>
      </c>
      <c r="P98" s="49" t="str">
        <f ca="1">IFERROR(__xludf.DUMMYFUNCTION("QUERY('Volunteer Survey'!I105)"),"Clinical Actionability")</f>
        <v>Clinical Actionability</v>
      </c>
      <c r="Q98" s="54" t="str">
        <f ca="1">IFERROR(__xludf.DUMMYFUNCTION("QUERY('Volunteer Survey'!J105)"),"Somatic Cancer")</f>
        <v>Somatic Cancer</v>
      </c>
      <c r="R98" s="49" t="str">
        <f ca="1">IFERROR(__xludf.DUMMYFUNCTION("QUERY('Volunteer Survey'!K105)"),"Gene-Disease Validity")</f>
        <v>Gene-Disease Validity</v>
      </c>
      <c r="S98" s="49" t="str">
        <f ca="1">IFERROR(__xludf.DUMMYFUNCTION("QUERY('Volunteer Survey'!L105)"),"Variant Pathogenicity")</f>
        <v>Variant Pathogenicity</v>
      </c>
      <c r="T98" s="49" t="str">
        <f ca="1">IFERROR(__xludf.DUMMYFUNCTION("QUERY('Volunteer Survey'!M105)"),"Dosage Sensitivity")</f>
        <v>Dosage Sensitivity</v>
      </c>
      <c r="U98" s="58" t="str">
        <f ca="1">IFERROR(__xludf.DUMMYFUNCTION("QUERY('Volunteer Survey'!N105)"),"Yes")</f>
        <v>Yes</v>
      </c>
      <c r="V98" s="49" t="str">
        <f ca="1">IFERROR(__xludf.DUMMYFUNCTION("QUERY('Volunteer Survey'!O105)"),"Yes")</f>
        <v>Yes</v>
      </c>
      <c r="W98" s="60" t="str">
        <f ca="1">IFERROR(__xludf.DUMMYFUNCTION("QUERY('Volunteer Survey'!P105)"),"I am flexible")</f>
        <v>I am flexible</v>
      </c>
      <c r="X98" s="58" t="str">
        <f ca="1">IFERROR(__xludf.DUMMYFUNCTION("QUERY('Volunteer Survey'!R105)"),"Yes- I am willing to volunteer with any available ClinGen group")</f>
        <v>Yes- I am willing to volunteer with any available ClinGen group</v>
      </c>
      <c r="Y98" s="45" t="s">
        <v>339</v>
      </c>
      <c r="Z98" s="174">
        <f ca="1">IFERROR(__xludf.DUMMYFUNCTION("QUERY('Volunteer Survey'!A97)"),43426.5519328703)</f>
        <v>43426.551932870301</v>
      </c>
      <c r="AA98" s="175" t="str">
        <f ca="1">IFERROR(__xludf.DUMMYFUNCTION("QUERY('Volunteer Survey'!B97)"),"Anna Tanska")</f>
        <v>Anna Tanska</v>
      </c>
      <c r="AB98" s="175" t="str">
        <f ca="1">IFERROR(__xludf.DUMMYFUNCTION("QUERY('Volunteer Survey'!C97)"),"Peter mac")</f>
        <v>Peter mac</v>
      </c>
      <c r="AC98" s="175" t="str">
        <f ca="1">IFERROR(__xludf.DUMMYFUNCTION("QUERY('Volunteer Survey'!D97)"),"Victoria, Australia")</f>
        <v>Victoria, Australia</v>
      </c>
      <c r="AD98" s="175" t="str">
        <f ca="1">IFERROR(__xludf.DUMMYFUNCTION("QUERY('Volunteer Survey'!E97)"),"""anna.tanska@petermac.org """)</f>
        <v>"anna.tanska@petermac.org "</v>
      </c>
      <c r="AE98" s="175" t="str">
        <f ca="1">IFERROR(__xludf.DUMMYFUNCTION("QUERY('Volunteer Survey'!F97)"),"Variant Analyst/Scientist")</f>
        <v>Variant Analyst/Scientist</v>
      </c>
      <c r="AF98" s="175" t="str">
        <f ca="1">IFERROR(__xludf.DUMMYFUNCTION("QUERY('Volunteer Survey'!G97)"),"NA")</f>
        <v>NA</v>
      </c>
      <c r="AG98" s="175" t="str">
        <f ca="1">IFERROR(__xludf.DUMMYFUNCTION("QUERY('Volunteer Survey'!H97)"),"Comprehensive")</f>
        <v>Comprehensive</v>
      </c>
      <c r="AH98" s="175" t="str">
        <f ca="1">IFERROR(__xludf.DUMMYFUNCTION("QUERY('Volunteer Survey'!I97)"),"")</f>
        <v/>
      </c>
      <c r="AI98" s="175" t="str">
        <f ca="1">IFERROR(__xludf.DUMMYFUNCTION("QUERY('Volunteer Survey'!J97)"),"")</f>
        <v/>
      </c>
      <c r="AJ98" s="175" t="str">
        <f ca="1">IFERROR(__xludf.DUMMYFUNCTION("QUERY('Volunteer Survey'!K97)"),"")</f>
        <v/>
      </c>
      <c r="AK98" s="175" t="str">
        <f ca="1">IFERROR(__xludf.DUMMYFUNCTION("QUERY('Volunteer Survey'!L97)"),"")</f>
        <v/>
      </c>
      <c r="AL98" s="175" t="str">
        <f ca="1">IFERROR(__xludf.DUMMYFUNCTION("QUERY('Volunteer Survey'!M97)"),"")</f>
        <v/>
      </c>
      <c r="AM98" s="175" t="str">
        <f ca="1">IFERROR(__xludf.DUMMYFUNCTION("QUERY('Volunteer Survey'!N97)"),"Yes")</f>
        <v>Yes</v>
      </c>
      <c r="AN98" s="175" t="str">
        <f ca="1">IFERROR(__xludf.DUMMYFUNCTION("QUERY('Volunteer Survey'!O97)"),"Possibly")</f>
        <v>Possibly</v>
      </c>
      <c r="AO98" s="175" t="str">
        <f ca="1">IFERROR(__xludf.DUMMYFUNCTION("QUERY('Volunteer Survey'!P97)"),"Somatic cancer WG")</f>
        <v>Somatic cancer WG</v>
      </c>
    </row>
    <row r="99" spans="1:41" ht="14">
      <c r="A99" s="44">
        <f ca="1">IFERROR(__xludf.DUMMYFUNCTION("QUERY('Volunteer Survey'!A106)"),43415.383449074)</f>
        <v>43415.383449073997</v>
      </c>
      <c r="B99" s="42" t="s">
        <v>160</v>
      </c>
      <c r="C99" s="73">
        <v>43434</v>
      </c>
      <c r="D99" s="59">
        <v>43678</v>
      </c>
      <c r="E99" s="42" t="s">
        <v>117</v>
      </c>
      <c r="F99" s="42" t="s">
        <v>117</v>
      </c>
      <c r="G99" s="42" t="s">
        <v>19</v>
      </c>
      <c r="H99" s="45" t="s">
        <v>19</v>
      </c>
      <c r="I99" s="45" t="s">
        <v>139</v>
      </c>
      <c r="J99" s="42"/>
      <c r="K99" s="42"/>
      <c r="L99" s="49" t="str">
        <f ca="1">IFERROR(__xludf.DUMMYFUNCTION("QUERY('Volunteer Survey'!B106)"),"Krzysztof Szczaluba")</f>
        <v>Krzysztof Szczaluba</v>
      </c>
      <c r="M99" s="49" t="str">
        <f ca="1">IFERROR(__xludf.DUMMYFUNCTION("QUERY('Volunteer Survey'!E106)"),"krzysztof.szczaluba@gmail.com")</f>
        <v>krzysztof.szczaluba@gmail.com</v>
      </c>
      <c r="N99" s="49" t="str">
        <f ca="1">IFERROR(__xludf.DUMMYFUNCTION("QUERY('Volunteer Survey'!F106)"),"Clinical Medical Geneticist")</f>
        <v>Clinical Medical Geneticist</v>
      </c>
      <c r="O99" s="42" t="str">
        <f ca="1">IFERROR(__xludf.DUMMYFUNCTION("QUERY('Volunteer Survey'!H106)"),"Comprehensive")</f>
        <v>Comprehensive</v>
      </c>
      <c r="P99" s="49" t="str">
        <f ca="1">IFERROR(__xludf.DUMMYFUNCTION("QUERY('Volunteer Survey'!I106)"),"Clinical Actionability")</f>
        <v>Clinical Actionability</v>
      </c>
      <c r="Q99" s="54" t="str">
        <f ca="1">IFERROR(__xludf.DUMMYFUNCTION("QUERY('Volunteer Survey'!J106)"),"Gene-Disease Validity")</f>
        <v>Gene-Disease Validity</v>
      </c>
      <c r="R99" s="49" t="str">
        <f ca="1">IFERROR(__xludf.DUMMYFUNCTION("QUERY('Volunteer Survey'!K106)"),"Variant Pathogenicity")</f>
        <v>Variant Pathogenicity</v>
      </c>
      <c r="S99" s="49" t="str">
        <f ca="1">IFERROR(__xludf.DUMMYFUNCTION("QUERY('Volunteer Survey'!L106)"),"Dosage Sensitivity")</f>
        <v>Dosage Sensitivity</v>
      </c>
      <c r="T99" s="49" t="str">
        <f ca="1">IFERROR(__xludf.DUMMYFUNCTION("QUERY('Volunteer Survey'!M106)"),"Somatic Cancer")</f>
        <v>Somatic Cancer</v>
      </c>
      <c r="U99" s="58" t="str">
        <f ca="1">IFERROR(__xludf.DUMMYFUNCTION("QUERY('Volunteer Survey'!N106)"),"No")</f>
        <v>No</v>
      </c>
      <c r="V99" s="49" t="str">
        <f ca="1">IFERROR(__xludf.DUMMYFUNCTION("QUERY('Volunteer Survey'!O106)"),"Possibly")</f>
        <v>Possibly</v>
      </c>
      <c r="W99" s="60" t="str">
        <f ca="1">IFERROR(__xludf.DUMMYFUNCTION("QUERY('Volunteer Survey'!P106)"),"autism/ID, epi, brovca")</f>
        <v>autism/ID, epi, brovca</v>
      </c>
      <c r="X99" s="58" t="str">
        <f ca="1">IFERROR(__xludf.DUMMYFUNCTION("QUERY('Volunteer Survey'!R106)"),"Maybe -- please contact me with other options, and I will decide based on what is available")</f>
        <v>Maybe -- please contact me with other options, and I will decide based on what is available</v>
      </c>
      <c r="Y99" s="45" t="s">
        <v>340</v>
      </c>
      <c r="Z99" s="174">
        <f ca="1">IFERROR(__xludf.DUMMYFUNCTION("QUERY('Volunteer Survey'!A98)"),43427.5528703703)</f>
        <v>43427.552870370302</v>
      </c>
      <c r="AA99" s="175" t="str">
        <f ca="1">IFERROR(__xludf.DUMMYFUNCTION("QUERY('Volunteer Survey'!B98)"),"Amanda Fortier")</f>
        <v>Amanda Fortier</v>
      </c>
      <c r="AB99" s="175" t="str">
        <f ca="1">IFERROR(__xludf.DUMMYFUNCTION("QUERY('Volunteer Survey'!C98)"),"ACL Laboratories")</f>
        <v>ACL Laboratories</v>
      </c>
      <c r="AC99" s="175" t="str">
        <f ca="1">IFERROR(__xludf.DUMMYFUNCTION("QUERY('Volunteer Survey'!D98)"),"IL")</f>
        <v>IL</v>
      </c>
      <c r="AD99" s="175" t="str">
        <f ca="1">IFERROR(__xludf.DUMMYFUNCTION("QUERY('Volunteer Survey'!E98)"),"amanda.fortier@advocatehealth.com")</f>
        <v>amanda.fortier@advocatehealth.com</v>
      </c>
      <c r="AE99" s="175" t="str">
        <f ca="1">IFERROR(__xludf.DUMMYFUNCTION("QUERY('Volunteer Survey'!F98)"),"Clinical laboratory geneticist")</f>
        <v>Clinical laboratory geneticist</v>
      </c>
      <c r="AF99" s="175" t="str">
        <f ca="1">IFERROR(__xludf.DUMMYFUNCTION("QUERY('Volunteer Survey'!G98)"),"NA")</f>
        <v>NA</v>
      </c>
      <c r="AG99" s="175" t="str">
        <f ca="1">IFERROR(__xludf.DUMMYFUNCTION("QUERY('Volunteer Survey'!H98)"),"Baseline")</f>
        <v>Baseline</v>
      </c>
      <c r="AH99" s="175" t="str">
        <f ca="1">IFERROR(__xludf.DUMMYFUNCTION("QUERY('Volunteer Survey'!I98)"),"")</f>
        <v/>
      </c>
      <c r="AI99" s="175" t="str">
        <f ca="1">IFERROR(__xludf.DUMMYFUNCTION("QUERY('Volunteer Survey'!J98)"),"")</f>
        <v/>
      </c>
      <c r="AJ99" s="175" t="str">
        <f ca="1">IFERROR(__xludf.DUMMYFUNCTION("QUERY('Volunteer Survey'!K98)"),"")</f>
        <v/>
      </c>
      <c r="AK99" s="175" t="str">
        <f ca="1">IFERROR(__xludf.DUMMYFUNCTION("QUERY('Volunteer Survey'!L98)"),"")</f>
        <v/>
      </c>
      <c r="AL99" s="175" t="str">
        <f ca="1">IFERROR(__xludf.DUMMYFUNCTION("QUERY('Volunteer Survey'!M98)"),"")</f>
        <v/>
      </c>
      <c r="AM99" s="175" t="str">
        <f ca="1">IFERROR(__xludf.DUMMYFUNCTION("QUERY('Volunteer Survey'!N98)"),"No")</f>
        <v>No</v>
      </c>
      <c r="AN99" s="175" t="str">
        <f ca="1">IFERROR(__xludf.DUMMYFUNCTION("QUERY('Volunteer Survey'!O98)"),"Possibly")</f>
        <v>Possibly</v>
      </c>
      <c r="AO99" s="175" t="str">
        <f ca="1">IFERROR(__xludf.DUMMYFUNCTION("QUERY('Volunteer Survey'!P98)"),"Yes, if needed. I am open to considering this type of activity.")</f>
        <v>Yes, if needed. I am open to considering this type of activity.</v>
      </c>
    </row>
    <row r="100" spans="1:41" ht="14">
      <c r="A100" s="44">
        <f ca="1">IFERROR(__xludf.DUMMYFUNCTION("QUERY('Volunteer Survey'!A107)"),43416.3851273148)</f>
        <v>43416.385127314803</v>
      </c>
      <c r="B100" s="42" t="s">
        <v>168</v>
      </c>
      <c r="C100" s="73">
        <v>43434</v>
      </c>
      <c r="D100" s="49"/>
      <c r="E100" s="42" t="s">
        <v>130</v>
      </c>
      <c r="F100" s="42" t="s">
        <v>130</v>
      </c>
      <c r="G100" s="42" t="s">
        <v>19</v>
      </c>
      <c r="H100" s="45"/>
      <c r="I100" s="45" t="s">
        <v>139</v>
      </c>
      <c r="J100" s="42"/>
      <c r="K100" s="42"/>
      <c r="L100" s="49" t="str">
        <f ca="1">IFERROR(__xludf.DUMMYFUNCTION("QUERY('Volunteer Survey'!B107)"),"Robin Bennett")</f>
        <v>Robin Bennett</v>
      </c>
      <c r="M100" s="49" t="str">
        <f ca="1">IFERROR(__xludf.DUMMYFUNCTION("QUERY('Volunteer Survey'!E107)"),"robinb@uw.edu")</f>
        <v>robinb@uw.edu</v>
      </c>
      <c r="N100" s="49" t="str">
        <f ca="1">IFERROR(__xludf.DUMMYFUNCTION("QUERY('Volunteer Survey'!F107)"),"Genetic counselor")</f>
        <v>Genetic counselor</v>
      </c>
      <c r="O100" s="42" t="str">
        <f ca="1">IFERROR(__xludf.DUMMYFUNCTION("QUERY('Volunteer Survey'!H107)"),"Comprehensive")</f>
        <v>Comprehensive</v>
      </c>
      <c r="P100" s="49" t="str">
        <f ca="1">IFERROR(__xludf.DUMMYFUNCTION("QUERY('Volunteer Survey'!I107)"),"Clinical Actionability")</f>
        <v>Clinical Actionability</v>
      </c>
      <c r="Q100" s="54" t="str">
        <f ca="1">IFERROR(__xludf.DUMMYFUNCTION("QUERY('Volunteer Survey'!J107)"),"Variant Pathogenicity")</f>
        <v>Variant Pathogenicity</v>
      </c>
      <c r="R100" s="49" t="str">
        <f ca="1">IFERROR(__xludf.DUMMYFUNCTION("QUERY('Volunteer Survey'!K107)"),"Gene-Disease Validity")</f>
        <v>Gene-Disease Validity</v>
      </c>
      <c r="S100" s="49" t="str">
        <f ca="1">IFERROR(__xludf.DUMMYFUNCTION("QUERY('Volunteer Survey'!L107)"),"Somatic Cancer")</f>
        <v>Somatic Cancer</v>
      </c>
      <c r="T100" s="49" t="str">
        <f ca="1">IFERROR(__xludf.DUMMYFUNCTION("QUERY('Volunteer Survey'!M107)"),"Dosage Sensitivity")</f>
        <v>Dosage Sensitivity</v>
      </c>
      <c r="U100" s="58" t="str">
        <f ca="1">IFERROR(__xludf.DUMMYFUNCTION("QUERY('Volunteer Survey'!N107)"),"Yes")</f>
        <v>Yes</v>
      </c>
      <c r="V100" s="49" t="str">
        <f ca="1">IFERROR(__xludf.DUMMYFUNCTION("QUERY('Volunteer Survey'!O107)"),"Possibly")</f>
        <v>Possibly</v>
      </c>
      <c r="W100" s="60" t="str">
        <f ca="1">IFERROR(__xludf.DUMMYFUNCTION("QUERY('Volunteer Survey'!P107)"),"Variant curation expert panels: PTEN, VHL, CDH1, Colorectal cancer, breast-ovarian")</f>
        <v>Variant curation expert panels: PTEN, VHL, CDH1, Colorectal cancer, breast-ovarian</v>
      </c>
      <c r="X100" s="58" t="str">
        <f ca="1">IFERROR(__xludf.DUMMYFUNCTION("QUERY('Volunteer Survey'!R107)"),"Maybe -- please contact me with other options, and I will decide based on what is available")</f>
        <v>Maybe -- please contact me with other options, and I will decide based on what is available</v>
      </c>
      <c r="Y100" s="47"/>
      <c r="Z100" s="174">
        <f ca="1">IFERROR(__xludf.DUMMYFUNCTION("QUERY('Volunteer Survey'!A99)"),43434.5538078703)</f>
        <v>43434.553807870303</v>
      </c>
      <c r="AA100" s="175" t="str">
        <f ca="1">IFERROR(__xludf.DUMMYFUNCTION("QUERY('Volunteer Survey'!B99)"),"Kira Dies")</f>
        <v>Kira Dies</v>
      </c>
      <c r="AB100" s="175" t="str">
        <f ca="1">IFERROR(__xludf.DUMMYFUNCTION("QUERY('Volunteer Survey'!C99)"),"Boston Children's Hospital")</f>
        <v>Boston Children's Hospital</v>
      </c>
      <c r="AC100" s="175" t="str">
        <f ca="1">IFERROR(__xludf.DUMMYFUNCTION("QUERY('Volunteer Survey'!D99)"),"Boston, MA")</f>
        <v>Boston, MA</v>
      </c>
      <c r="AD100" s="175" t="str">
        <f ca="1">IFERROR(__xludf.DUMMYFUNCTION("QUERY('Volunteer Survey'!E99)"),"Kira.Dies@childrens.harvard.edu")</f>
        <v>Kira.Dies@childrens.harvard.edu</v>
      </c>
      <c r="AE100" s="175" t="str">
        <f ca="1">IFERROR(__xludf.DUMMYFUNCTION("QUERY('Volunteer Survey'!F99)"),"Genetic counselor")</f>
        <v>Genetic counselor</v>
      </c>
      <c r="AF100" s="175" t="str">
        <f ca="1">IFERROR(__xludf.DUMMYFUNCTION("QUERY('Volunteer Survey'!G99)"),"NA")</f>
        <v>NA</v>
      </c>
      <c r="AG100" s="175" t="str">
        <f ca="1">IFERROR(__xludf.DUMMYFUNCTION("QUERY('Volunteer Survey'!H99)"),"Comprehensive")</f>
        <v>Comprehensive</v>
      </c>
      <c r="AH100" s="175" t="str">
        <f ca="1">IFERROR(__xludf.DUMMYFUNCTION("QUERY('Volunteer Survey'!I99)"),"Gene-Disease Validity")</f>
        <v>Gene-Disease Validity</v>
      </c>
      <c r="AI100" s="175" t="str">
        <f ca="1">IFERROR(__xludf.DUMMYFUNCTION("QUERY('Volunteer Survey'!J99)"),"")</f>
        <v/>
      </c>
      <c r="AJ100" s="175" t="str">
        <f ca="1">IFERROR(__xludf.DUMMYFUNCTION("QUERY('Volunteer Survey'!K99)"),"")</f>
        <v/>
      </c>
      <c r="AK100" s="175" t="str">
        <f ca="1">IFERROR(__xludf.DUMMYFUNCTION("QUERY('Volunteer Survey'!L99)"),"")</f>
        <v/>
      </c>
      <c r="AL100" s="175" t="str">
        <f ca="1">IFERROR(__xludf.DUMMYFUNCTION("QUERY('Volunteer Survey'!M99)"),"")</f>
        <v/>
      </c>
      <c r="AM100" s="175" t="str">
        <f ca="1">IFERROR(__xludf.DUMMYFUNCTION("QUERY('Volunteer Survey'!N99)"),"No")</f>
        <v>No</v>
      </c>
      <c r="AN100" s="175" t="str">
        <f ca="1">IFERROR(__xludf.DUMMYFUNCTION("QUERY('Volunteer Survey'!O99)"),"Possibly")</f>
        <v>Possibly</v>
      </c>
      <c r="AO100" s="175" t="str">
        <f ca="1">IFERROR(__xludf.DUMMYFUNCTION("QUERY('Volunteer Survey'!P99)"),"ASD/NDD")</f>
        <v>ASD/NDD</v>
      </c>
    </row>
    <row r="101" spans="1:41" ht="14">
      <c r="A101" s="44">
        <f ca="1">IFERROR(__xludf.DUMMYFUNCTION("QUERY('Volunteer Survey'!A108)"),43418.3868287037)</f>
        <v>43418.386828703697</v>
      </c>
      <c r="B101" s="42" t="s">
        <v>168</v>
      </c>
      <c r="C101" s="73">
        <v>43434</v>
      </c>
      <c r="D101" s="67">
        <v>43522</v>
      </c>
      <c r="E101" s="42" t="s">
        <v>117</v>
      </c>
      <c r="F101" s="42" t="s">
        <v>130</v>
      </c>
      <c r="G101" s="42" t="s">
        <v>19</v>
      </c>
      <c r="H101" s="45" t="s">
        <v>19</v>
      </c>
      <c r="I101" s="45" t="s">
        <v>139</v>
      </c>
      <c r="J101" s="42"/>
      <c r="K101" s="42"/>
      <c r="L101" s="49" t="str">
        <f ca="1">IFERROR(__xludf.DUMMYFUNCTION("QUERY('Volunteer Survey'!B108)"),"Fiona Curtis")</f>
        <v>Fiona Curtis</v>
      </c>
      <c r="M101" s="49" t="str">
        <f ca="1">IFERROR(__xludf.DUMMYFUNCTION("QUERY('Volunteer Survey'!E108)"),"fionakatherinecurtis@yahoo.ca")</f>
        <v>fionakatherinecurtis@yahoo.ca</v>
      </c>
      <c r="N101" s="49" t="str">
        <f ca="1">IFERROR(__xludf.DUMMYFUNCTION("QUERY('Volunteer Survey'!F108)"),"Genetic counselor")</f>
        <v>Genetic counselor</v>
      </c>
      <c r="O101" s="42" t="str">
        <f ca="1">IFERROR(__xludf.DUMMYFUNCTION("QUERY('Volunteer Survey'!H108)"),"Comprehensive")</f>
        <v>Comprehensive</v>
      </c>
      <c r="P101" s="49" t="str">
        <f ca="1">IFERROR(__xludf.DUMMYFUNCTION("QUERY('Volunteer Survey'!I108)"),"Clinical Actionability")</f>
        <v>Clinical Actionability</v>
      </c>
      <c r="Q101" s="54" t="str">
        <f ca="1">IFERROR(__xludf.DUMMYFUNCTION("QUERY('Volunteer Survey'!J108)"),"Gene-Disease Validity")</f>
        <v>Gene-Disease Validity</v>
      </c>
      <c r="R101" s="49" t="str">
        <f ca="1">IFERROR(__xludf.DUMMYFUNCTION("QUERY('Volunteer Survey'!K108)"),"Variant Pathogenicity")</f>
        <v>Variant Pathogenicity</v>
      </c>
      <c r="S101" s="49" t="str">
        <f ca="1">IFERROR(__xludf.DUMMYFUNCTION("QUERY('Volunteer Survey'!L108)"),"Dosage Sensitivity")</f>
        <v>Dosage Sensitivity</v>
      </c>
      <c r="T101" s="49" t="str">
        <f ca="1">IFERROR(__xludf.DUMMYFUNCTION("QUERY('Volunteer Survey'!M108)"),"Somatic Cancer")</f>
        <v>Somatic Cancer</v>
      </c>
      <c r="U101" s="58" t="str">
        <f ca="1">IFERROR(__xludf.DUMMYFUNCTION("QUERY('Volunteer Survey'!N108)"),"No")</f>
        <v>No</v>
      </c>
      <c r="V101" s="49" t="str">
        <f ca="1">IFERROR(__xludf.DUMMYFUNCTION("QUERY('Volunteer Survey'!O108)"),"Possibly")</f>
        <v>Possibly</v>
      </c>
      <c r="W101" s="60" t="str">
        <f ca="1">IFERROR(__xludf.DUMMYFUNCTION("QUERY('Volunteer Survey'!P108)"),"inherited cardiomyopathy or other CV diseases")</f>
        <v>inherited cardiomyopathy or other CV diseases</v>
      </c>
      <c r="X101" s="58" t="str">
        <f ca="1">IFERROR(__xludf.DUMMYFUNCTION("QUERY('Volunteer Survey'!R108)"),"Maybe -- please contact me with other options, and I will decide based on what is available")</f>
        <v>Maybe -- please contact me with other options, and I will decide based on what is available</v>
      </c>
      <c r="Y101" s="45" t="s">
        <v>341</v>
      </c>
      <c r="Z101" s="174">
        <f ca="1">IFERROR(__xludf.DUMMYFUNCTION("QUERY('Volunteer Survey'!A100)"),43483.5545959027)</f>
        <v>43483.5545959027</v>
      </c>
      <c r="AA101" s="175" t="str">
        <f ca="1">IFERROR(__xludf.DUMMYFUNCTION("QUERY('Volunteer Survey'!B100)"),"Ny Hoang")</f>
        <v>Ny Hoang</v>
      </c>
      <c r="AB101" s="175" t="str">
        <f ca="1">IFERROR(__xludf.DUMMYFUNCTION("QUERY('Volunteer Survey'!C100)"),"The Hospital for Sick Children")</f>
        <v>The Hospital for Sick Children</v>
      </c>
      <c r="AC101" s="175" t="str">
        <f ca="1">IFERROR(__xludf.DUMMYFUNCTION("QUERY('Volunteer Survey'!D100)"),"Toronto, Canada")</f>
        <v>Toronto, Canada</v>
      </c>
      <c r="AD101" s="175" t="str">
        <f ca="1">IFERROR(__xludf.DUMMYFUNCTION("QUERY('Volunteer Survey'!E100)"),"ny.hoang@sickkids.ca")</f>
        <v>ny.hoang@sickkids.ca</v>
      </c>
      <c r="AE101" s="175" t="str">
        <f ca="1">IFERROR(__xludf.DUMMYFUNCTION("QUERY('Volunteer Survey'!F100)"),"Genetic counselor")</f>
        <v>Genetic counselor</v>
      </c>
      <c r="AF101" s="175" t="str">
        <f ca="1">IFERROR(__xludf.DUMMYFUNCTION("QUERY('Volunteer Survey'!G100)"),"NA")</f>
        <v>NA</v>
      </c>
      <c r="AG101" s="175" t="str">
        <f ca="1">IFERROR(__xludf.DUMMYFUNCTION("QUERY('Volunteer Survey'!H100)"),"Comprehensive")</f>
        <v>Comprehensive</v>
      </c>
      <c r="AH101" s="175" t="str">
        <f ca="1">IFERROR(__xludf.DUMMYFUNCTION("QUERY('Volunteer Survey'!I100)"),"Gene-Disease Validity")</f>
        <v>Gene-Disease Validity</v>
      </c>
      <c r="AI101" s="175" t="str">
        <f ca="1">IFERROR(__xludf.DUMMYFUNCTION("QUERY('Volunteer Survey'!J100)"),"")</f>
        <v/>
      </c>
      <c r="AJ101" s="175" t="str">
        <f ca="1">IFERROR(__xludf.DUMMYFUNCTION("QUERY('Volunteer Survey'!K100)"),"")</f>
        <v/>
      </c>
      <c r="AK101" s="175" t="str">
        <f ca="1">IFERROR(__xludf.DUMMYFUNCTION("QUERY('Volunteer Survey'!L100)"),"")</f>
        <v/>
      </c>
      <c r="AL101" s="175" t="str">
        <f ca="1">IFERROR(__xludf.DUMMYFUNCTION("QUERY('Volunteer Survey'!M100)"),"")</f>
        <v/>
      </c>
      <c r="AM101" s="175" t="str">
        <f ca="1">IFERROR(__xludf.DUMMYFUNCTION("QUERY('Volunteer Survey'!N100)"),"Yes")</f>
        <v>Yes</v>
      </c>
      <c r="AN101" s="175" t="str">
        <f ca="1">IFERROR(__xludf.DUMMYFUNCTION("QUERY('Volunteer Survey'!O100)"),"Possibly")</f>
        <v>Possibly</v>
      </c>
      <c r="AO101" s="175" t="str">
        <f ca="1">IFERROR(__xludf.DUMMYFUNCTION("QUERY('Volunteer Survey'!P100)"),"Autism and ID working group")</f>
        <v>Autism and ID working group</v>
      </c>
    </row>
    <row r="102" spans="1:41" ht="14">
      <c r="A102" s="44">
        <f ca="1">IFERROR(__xludf.DUMMYFUNCTION("QUERY('Volunteer Survey'!A109)"),43419.3945254629)</f>
        <v>43419.3945254629</v>
      </c>
      <c r="B102" s="42" t="s">
        <v>168</v>
      </c>
      <c r="C102" s="73">
        <v>43434</v>
      </c>
      <c r="D102" s="49"/>
      <c r="E102" s="42" t="s">
        <v>130</v>
      </c>
      <c r="F102" s="42" t="s">
        <v>130</v>
      </c>
      <c r="G102" s="42" t="s">
        <v>19</v>
      </c>
      <c r="H102" s="45"/>
      <c r="I102" s="45" t="s">
        <v>139</v>
      </c>
      <c r="J102" s="42"/>
      <c r="K102" s="42"/>
      <c r="L102" s="49" t="str">
        <f ca="1">IFERROR(__xludf.DUMMYFUNCTION("QUERY('Volunteer Survey'!B109)"),"Jennifer Marie Lee")</f>
        <v>Jennifer Marie Lee</v>
      </c>
      <c r="M102" s="49" t="str">
        <f ca="1">IFERROR(__xludf.DUMMYFUNCTION("QUERY('Volunteer Survey'!E109)"),"Jennifer.Lee2@nih.gov")</f>
        <v>Jennifer.Lee2@nih.gov</v>
      </c>
      <c r="N102" s="49" t="str">
        <f ca="1">IFERROR(__xludf.DUMMYFUNCTION("QUERY('Volunteer Survey'!F109)"),"Scientific Researcher")</f>
        <v>Scientific Researcher</v>
      </c>
      <c r="O102" s="42" t="str">
        <f ca="1">IFERROR(__xludf.DUMMYFUNCTION("QUERY('Volunteer Survey'!H109)"),"Comprehensive")</f>
        <v>Comprehensive</v>
      </c>
      <c r="P102" s="49" t="str">
        <f ca="1">IFERROR(__xludf.DUMMYFUNCTION("QUERY('Volunteer Survey'!I109)"),"Clinical Actionability")</f>
        <v>Clinical Actionability</v>
      </c>
      <c r="Q102" s="54" t="str">
        <f ca="1">IFERROR(__xludf.DUMMYFUNCTION("QUERY('Volunteer Survey'!J109)"),"Somatic Cancer")</f>
        <v>Somatic Cancer</v>
      </c>
      <c r="R102" s="49" t="str">
        <f ca="1">IFERROR(__xludf.DUMMYFUNCTION("QUERY('Volunteer Survey'!K109)"),"Gene-Disease Validity")</f>
        <v>Gene-Disease Validity</v>
      </c>
      <c r="S102" s="49" t="str">
        <f ca="1">IFERROR(__xludf.DUMMYFUNCTION("QUERY('Volunteer Survey'!L109)"),"Variant Pathogenicity")</f>
        <v>Variant Pathogenicity</v>
      </c>
      <c r="T102" s="49" t="str">
        <f ca="1">IFERROR(__xludf.DUMMYFUNCTION("QUERY('Volunteer Survey'!M109)"),"")</f>
        <v/>
      </c>
      <c r="U102" s="58" t="str">
        <f ca="1">IFERROR(__xludf.DUMMYFUNCTION("QUERY('Volunteer Survey'!N109)"),"Yes")</f>
        <v>Yes</v>
      </c>
      <c r="V102" s="49" t="str">
        <f ca="1">IFERROR(__xludf.DUMMYFUNCTION("QUERY('Volunteer Survey'!O109)"),"Possibly")</f>
        <v>Possibly</v>
      </c>
      <c r="W102" s="60" t="str">
        <f ca="1">IFERROR(__xludf.DUMMYFUNCTION("QUERY('Volunteer Survey'!P109)"),"NA")</f>
        <v>NA</v>
      </c>
      <c r="X102" s="58" t="str">
        <f ca="1">IFERROR(__xludf.DUMMYFUNCTION("QUERY('Volunteer Survey'!R109)"),"")</f>
        <v/>
      </c>
      <c r="Y102" s="47"/>
      <c r="Z102" s="174">
        <f ca="1">IFERROR(__xludf.DUMMYFUNCTION("QUERY('Volunteer Survey'!A101)"),43434.5553472222)</f>
        <v>43434.555347222202</v>
      </c>
      <c r="AA102" s="175" t="str">
        <f ca="1">IFERROR(__xludf.DUMMYFUNCTION("QUERY('Volunteer Survey'!B101)"),"Jacob Vorstman")</f>
        <v>Jacob Vorstman</v>
      </c>
      <c r="AB102" s="175" t="str">
        <f ca="1">IFERROR(__xludf.DUMMYFUNCTION("QUERY('Volunteer Survey'!C101)"),"The Hospital for Sick Children")</f>
        <v>The Hospital for Sick Children</v>
      </c>
      <c r="AC102" s="175" t="str">
        <f ca="1">IFERROR(__xludf.DUMMYFUNCTION("QUERY('Volunteer Survey'!D101)"),"Toronto, Canada")</f>
        <v>Toronto, Canada</v>
      </c>
      <c r="AD102" s="175" t="str">
        <f ca="1">IFERROR(__xludf.DUMMYFUNCTION("QUERY('Volunteer Survey'!E101)"),"jacob.vorstman@sickkids.ca")</f>
        <v>jacob.vorstman@sickkids.ca</v>
      </c>
      <c r="AE102" s="175" t="str">
        <f ca="1">IFERROR(__xludf.DUMMYFUNCTION("QUERY('Volunteer Survey'!F101)"),"Post Doc/Resident/Fellow (MD and/or Phd), Scientific Researcher, Physician (non-geneticist)")</f>
        <v>Post Doc/Resident/Fellow (MD and/or Phd), Scientific Researcher, Physician (non-geneticist)</v>
      </c>
      <c r="AF102" s="175" t="str">
        <f ca="1">IFERROR(__xludf.DUMMYFUNCTION("QUERY('Volunteer Survey'!G101)"),"NA")</f>
        <v>NA</v>
      </c>
      <c r="AG102" s="175" t="str">
        <f ca="1">IFERROR(__xludf.DUMMYFUNCTION("QUERY('Volunteer Survey'!H101)"),"Comprehensive")</f>
        <v>Comprehensive</v>
      </c>
      <c r="AH102" s="175" t="str">
        <f ca="1">IFERROR(__xludf.DUMMYFUNCTION("QUERY('Volunteer Survey'!I101)"),"Gene-Disease Validity")</f>
        <v>Gene-Disease Validity</v>
      </c>
      <c r="AI102" s="175" t="str">
        <f ca="1">IFERROR(__xludf.DUMMYFUNCTION("QUERY('Volunteer Survey'!J101)"),"")</f>
        <v/>
      </c>
      <c r="AJ102" s="175" t="str">
        <f ca="1">IFERROR(__xludf.DUMMYFUNCTION("QUERY('Volunteer Survey'!K101)"),"")</f>
        <v/>
      </c>
      <c r="AK102" s="175" t="str">
        <f ca="1">IFERROR(__xludf.DUMMYFUNCTION("QUERY('Volunteer Survey'!L101)"),"")</f>
        <v/>
      </c>
      <c r="AL102" s="175" t="str">
        <f ca="1">IFERROR(__xludf.DUMMYFUNCTION("QUERY('Volunteer Survey'!M101)"),"")</f>
        <v/>
      </c>
      <c r="AM102" s="175" t="str">
        <f ca="1">IFERROR(__xludf.DUMMYFUNCTION("QUERY('Volunteer Survey'!N101)"),"Yes")</f>
        <v>Yes</v>
      </c>
      <c r="AN102" s="175" t="str">
        <f ca="1">IFERROR(__xludf.DUMMYFUNCTION("QUERY('Volunteer Survey'!O101)"),"Possibly")</f>
        <v>Possibly</v>
      </c>
      <c r="AO102" s="175" t="str">
        <f ca="1">IFERROR(__xludf.DUMMYFUNCTION("QUERY('Volunteer Survey'!P101)"),"Autism Spectrum Disorder - see previous and ongoing discussions following the Toronto ASD gene list meeting this fall")</f>
        <v>Autism Spectrum Disorder - see previous and ongoing discussions following the Toronto ASD gene list meeting this fall</v>
      </c>
    </row>
    <row r="103" spans="1:41" ht="14">
      <c r="A103" s="44">
        <f ca="1">IFERROR(__xludf.DUMMYFUNCTION("QUERY('Volunteer Survey'!A110)"),43430.4000462963)</f>
        <v>43430.400046296301</v>
      </c>
      <c r="B103" s="42" t="s">
        <v>160</v>
      </c>
      <c r="C103" s="81">
        <v>43467</v>
      </c>
      <c r="D103" s="50">
        <v>43476</v>
      </c>
      <c r="E103" s="42" t="s">
        <v>117</v>
      </c>
      <c r="F103" s="42" t="s">
        <v>130</v>
      </c>
      <c r="G103" s="42" t="s">
        <v>19</v>
      </c>
      <c r="H103" s="45" t="s">
        <v>19</v>
      </c>
      <c r="I103" s="45" t="s">
        <v>299</v>
      </c>
      <c r="J103" s="50">
        <v>43593</v>
      </c>
      <c r="K103" s="50">
        <v>43713</v>
      </c>
      <c r="L103" s="49" t="str">
        <f ca="1">IFERROR(__xludf.DUMMYFUNCTION("QUERY('Volunteer Survey'!B110)"),"Laura Fuqua")</f>
        <v>Laura Fuqua</v>
      </c>
      <c r="M103" s="49" t="str">
        <f ca="1">IFERROR(__xludf.DUMMYFUNCTION("QUERY('Volunteer Survey'!E110)"),"laura.fuqua@gmail.com")</f>
        <v>laura.fuqua@gmail.com</v>
      </c>
      <c r="N103" s="49" t="str">
        <f ca="1">IFERROR(__xludf.DUMMYFUNCTION("QUERY('Volunteer Survey'!F110)"),"Genetic counselor")</f>
        <v>Genetic counselor</v>
      </c>
      <c r="O103" s="42" t="str">
        <f ca="1">IFERROR(__xludf.DUMMYFUNCTION("QUERY('Volunteer Survey'!H110)"),"Comprehensive")</f>
        <v>Comprehensive</v>
      </c>
      <c r="P103" s="42" t="str">
        <f ca="1">IFERROR(__xludf.DUMMYFUNCTION("QUERY('Volunteer Survey'!I110)"),"Somatic Cancer")</f>
        <v>Somatic Cancer</v>
      </c>
      <c r="Q103" s="54" t="str">
        <f ca="1">IFERROR(__xludf.DUMMYFUNCTION("QUERY('Volunteer Survey'!J110)"),"Variant Pathogenicity")</f>
        <v>Variant Pathogenicity</v>
      </c>
      <c r="R103" s="42" t="str">
        <f ca="1">IFERROR(__xludf.DUMMYFUNCTION("QUERY('Volunteer Survey'!K110)"),"Clinical Actionability")</f>
        <v>Clinical Actionability</v>
      </c>
      <c r="S103" s="49" t="str">
        <f ca="1">IFERROR(__xludf.DUMMYFUNCTION("QUERY('Volunteer Survey'!L110)"),"Dosage Sensitivity")</f>
        <v>Dosage Sensitivity</v>
      </c>
      <c r="T103" s="49" t="str">
        <f ca="1">IFERROR(__xludf.DUMMYFUNCTION("QUERY('Volunteer Survey'!M110)"),"Gene-Disease Validity")</f>
        <v>Gene-Disease Validity</v>
      </c>
      <c r="U103" s="58" t="str">
        <f ca="1">IFERROR(__xludf.DUMMYFUNCTION("QUERY('Volunteer Survey'!N110)"),"Yes")</f>
        <v>Yes</v>
      </c>
      <c r="V103" s="49" t="str">
        <f ca="1">IFERROR(__xludf.DUMMYFUNCTION("QUERY('Volunteer Survey'!O110)"),"Yes")</f>
        <v>Yes</v>
      </c>
      <c r="W103" s="60" t="str">
        <f ca="1">IFERROR(__xludf.DUMMYFUNCTION("QUERY('Volunteer Survey'!P110)"),"NA")</f>
        <v>NA</v>
      </c>
      <c r="X103" s="58" t="str">
        <f ca="1">IFERROR(__xludf.DUMMYFUNCTION("QUERY('Volunteer Survey'!R110)"),"Yes- I am willing to volunteer with any available ClinGen group")</f>
        <v>Yes- I am willing to volunteer with any available ClinGen group</v>
      </c>
      <c r="Y103" s="86" t="s">
        <v>342</v>
      </c>
      <c r="Z103" s="174">
        <f ca="1">IFERROR(__xludf.DUMMYFUNCTION("QUERY('Volunteer Survey'!A102)"),43485.6961549652)</f>
        <v>43485.696154965197</v>
      </c>
      <c r="AA103" s="175" t="str">
        <f ca="1">IFERROR(__xludf.DUMMYFUNCTION("QUERY('Volunteer Survey'!B102)"),"Qiuxiang Ou")</f>
        <v>Qiuxiang Ou</v>
      </c>
      <c r="AB103" s="175" t="str">
        <f ca="1">IFERROR(__xludf.DUMMYFUNCTION("QUERY('Volunteer Survey'!C102)"),"University of Alberta")</f>
        <v>University of Alberta</v>
      </c>
      <c r="AC103" s="175" t="str">
        <f ca="1">IFERROR(__xludf.DUMMYFUNCTION("QUERY('Volunteer Survey'!D102)"),"")</f>
        <v/>
      </c>
      <c r="AD103" s="175" t="str">
        <f ca="1">IFERROR(__xludf.DUMMYFUNCTION("QUERY('Volunteer Survey'!E102)"),"dorothy.ou@gmail.com")</f>
        <v>dorothy.ou@gmail.com</v>
      </c>
      <c r="AE103" s="175" t="str">
        <f ca="1">IFERROR(__xludf.DUMMYFUNCTION("QUERY('Volunteer Survey'!F102)"),"Scientific Researcher")</f>
        <v>Scientific Researcher</v>
      </c>
      <c r="AF103" s="175" t="str">
        <f ca="1">IFERROR(__xludf.DUMMYFUNCTION("QUERY('Volunteer Survey'!G102)"),"My academic background is oncology. I learnt this opportunity from the website of ClinGen when I was searching for resources I needed. ")</f>
        <v xml:space="preserve">My academic background is oncology. I learnt this opportunity from the website of ClinGen when I was searching for resources I needed. </v>
      </c>
      <c r="AG103" s="175" t="str">
        <f ca="1">IFERROR(__xludf.DUMMYFUNCTION("QUERY('Volunteer Survey'!H102)"),"Comprehensive")</f>
        <v>Comprehensive</v>
      </c>
      <c r="AH103" s="175" t="str">
        <f ca="1">IFERROR(__xludf.DUMMYFUNCTION("QUERY('Volunteer Survey'!I102)"),"Somatic Cancer")</f>
        <v>Somatic Cancer</v>
      </c>
      <c r="AI103" s="175" t="str">
        <f ca="1">IFERROR(__xludf.DUMMYFUNCTION("QUERY('Volunteer Survey'!J102)"),"Variant Pathogenicity")</f>
        <v>Variant Pathogenicity</v>
      </c>
      <c r="AJ103" s="175" t="str">
        <f ca="1">IFERROR(__xludf.DUMMYFUNCTION("QUERY('Volunteer Survey'!K102)"),"Clinical Actionability")</f>
        <v>Clinical Actionability</v>
      </c>
      <c r="AK103" s="175" t="str">
        <f ca="1">IFERROR(__xludf.DUMMYFUNCTION("QUERY('Volunteer Survey'!L102)"),"Gene-Disease Validity")</f>
        <v>Gene-Disease Validity</v>
      </c>
      <c r="AL103" s="175" t="str">
        <f ca="1">IFERROR(__xludf.DUMMYFUNCTION("QUERY('Volunteer Survey'!M102)"),"Dosage Sensitivity")</f>
        <v>Dosage Sensitivity</v>
      </c>
      <c r="AM103" s="175" t="str">
        <f ca="1">IFERROR(__xludf.DUMMYFUNCTION("QUERY('Volunteer Survey'!N102)"),"")</f>
        <v/>
      </c>
      <c r="AN103" s="175" t="str">
        <f ca="1">IFERROR(__xludf.DUMMYFUNCTION("QUERY('Volunteer Survey'!O102)"),"Possibly")</f>
        <v>Possibly</v>
      </c>
      <c r="AO103" s="175" t="str">
        <f ca="1">IFERROR(__xludf.DUMMYFUNCTION("QUERY('Volunteer Survey'!P102)"),"Somatic Cancer Working Group")</f>
        <v>Somatic Cancer Working Group</v>
      </c>
    </row>
    <row r="104" spans="1:41" ht="98">
      <c r="A104" s="44">
        <f ca="1">IFERROR(__xludf.DUMMYFUNCTION("QUERY('Volunteer Survey'!A111)"),43437.4019097222)</f>
        <v>43437.401909722197</v>
      </c>
      <c r="B104" s="42" t="s">
        <v>343</v>
      </c>
      <c r="C104" s="45" t="s">
        <v>344</v>
      </c>
      <c r="D104" s="59">
        <v>43769</v>
      </c>
      <c r="E104" s="42" t="s">
        <v>117</v>
      </c>
      <c r="F104" s="42" t="s">
        <v>117</v>
      </c>
      <c r="G104" s="42" t="s">
        <v>19</v>
      </c>
      <c r="H104" s="45" t="s">
        <v>19</v>
      </c>
      <c r="I104" s="45" t="s">
        <v>139</v>
      </c>
      <c r="J104" s="42"/>
      <c r="K104" s="42"/>
      <c r="L104" s="49" t="str">
        <f ca="1">IFERROR(__xludf.DUMMYFUNCTION("QUERY('Volunteer Survey'!B111)"),"Morgan Similuk")</f>
        <v>Morgan Similuk</v>
      </c>
      <c r="M104" s="49" t="str">
        <f ca="1">IFERROR(__xludf.DUMMYFUNCTION("QUERY('Volunteer Survey'!E111)"),"Morgan.similuk@nih.gov")</f>
        <v>Morgan.similuk@nih.gov</v>
      </c>
      <c r="N104" s="49" t="str">
        <f ca="1">IFERROR(__xludf.DUMMYFUNCTION("QUERY('Volunteer Survey'!F111)"),"Genetic counselor")</f>
        <v>Genetic counselor</v>
      </c>
      <c r="O104" s="42" t="str">
        <f ca="1">IFERROR(__xludf.DUMMYFUNCTION("QUERY('Volunteer Survey'!H111)"),"Comprehensive")</f>
        <v>Comprehensive</v>
      </c>
      <c r="P104" s="49" t="str">
        <f ca="1">IFERROR(__xludf.DUMMYFUNCTION("QUERY('Volunteer Survey'!I111)"),"Clinical Actionability")</f>
        <v>Clinical Actionability</v>
      </c>
      <c r="Q104" s="54" t="str">
        <f ca="1">IFERROR(__xludf.DUMMYFUNCTION("QUERY('Volunteer Survey'!J111)"),"Gene-Disease Validity")</f>
        <v>Gene-Disease Validity</v>
      </c>
      <c r="R104" s="49" t="str">
        <f ca="1">IFERROR(__xludf.DUMMYFUNCTION("QUERY('Volunteer Survey'!K111)"),"Variant Pathogenicity")</f>
        <v>Variant Pathogenicity</v>
      </c>
      <c r="S104" s="49" t="str">
        <f ca="1">IFERROR(__xludf.DUMMYFUNCTION("QUERY('Volunteer Survey'!L111)"),"Dosage Sensitivity")</f>
        <v>Dosage Sensitivity</v>
      </c>
      <c r="T104" s="49" t="str">
        <f ca="1">IFERROR(__xludf.DUMMYFUNCTION("QUERY('Volunteer Survey'!M111)"),"Somatic Cancer")</f>
        <v>Somatic Cancer</v>
      </c>
      <c r="U104" s="58" t="str">
        <f ca="1">IFERROR(__xludf.DUMMYFUNCTION("QUERY('Volunteer Survey'!N111)"),"Yes")</f>
        <v>Yes</v>
      </c>
      <c r="V104" s="49" t="str">
        <f ca="1">IFERROR(__xludf.DUMMYFUNCTION("QUERY('Volunteer Survey'!O111)"),"No")</f>
        <v>No</v>
      </c>
      <c r="W104" s="60" t="str">
        <f ca="1">IFERROR(__xludf.DUMMYFUNCTION("QUERY('Volunteer Survey'!P111)"),"NA")</f>
        <v>NA</v>
      </c>
      <c r="X104" s="58" t="str">
        <f ca="1">IFERROR(__xludf.DUMMYFUNCTION("QUERY('Volunteer Survey'!R111)"),"Maybe -- please contact me with other options, and I will decide based on what is available")</f>
        <v>Maybe -- please contact me with other options, and I will decide based on what is available</v>
      </c>
      <c r="Y104" s="47"/>
      <c r="Z104" s="174">
        <f ca="1">IFERROR(__xludf.DUMMYFUNCTION("QUERY('Volunteer Survey'!A103)"),43416.3743634259)</f>
        <v>43416.374363425901</v>
      </c>
      <c r="AA104" s="175" t="str">
        <f ca="1">IFERROR(__xludf.DUMMYFUNCTION("QUERY('Volunteer Survey'!B103)"),"Kylin Boehler")</f>
        <v>Kylin Boehler</v>
      </c>
      <c r="AB104" s="175" t="str">
        <f ca="1">IFERROR(__xludf.DUMMYFUNCTION("QUERY('Volunteer Survey'!C103)"),"Quest Diagnostics")</f>
        <v>Quest Diagnostics</v>
      </c>
      <c r="AC104" s="175" t="str">
        <f ca="1">IFERROR(__xludf.DUMMYFUNCTION("QUERY('Volunteer Survey'!D103)"),"OH")</f>
        <v>OH</v>
      </c>
      <c r="AD104" s="175" t="str">
        <f ca="1">IFERROR(__xludf.DUMMYFUNCTION("QUERY('Volunteer Survey'!E103)"),"kylin.y.boehler@questdiagnostics.com")</f>
        <v>kylin.y.boehler@questdiagnostics.com</v>
      </c>
      <c r="AE104" s="175" t="str">
        <f ca="1">IFERROR(__xludf.DUMMYFUNCTION("QUERY('Volunteer Survey'!F103)"),"Genetic counselor")</f>
        <v>Genetic counselor</v>
      </c>
      <c r="AF104" s="175" t="str">
        <f ca="1">IFERROR(__xludf.DUMMYFUNCTION("QUERY('Volunteer Survey'!G103)"),"Actionability")</f>
        <v>Actionability</v>
      </c>
      <c r="AG104" s="175" t="str">
        <f ca="1">IFERROR(__xludf.DUMMYFUNCTION("QUERY('Volunteer Survey'!H103)"),"Comprehensive")</f>
        <v>Comprehensive</v>
      </c>
      <c r="AH104" s="175" t="str">
        <f ca="1">IFERROR(__xludf.DUMMYFUNCTION("QUERY('Volunteer Survey'!I103)"),"Clinical Actionability")</f>
        <v>Clinical Actionability</v>
      </c>
      <c r="AI104" s="175" t="str">
        <f ca="1">IFERROR(__xludf.DUMMYFUNCTION("QUERY('Volunteer Survey'!J103)"),"Dosage Sensitivity")</f>
        <v>Dosage Sensitivity</v>
      </c>
      <c r="AJ104" s="175" t="str">
        <f ca="1">IFERROR(__xludf.DUMMYFUNCTION("QUERY('Volunteer Survey'!K103)"),"Gene-Disease Validity")</f>
        <v>Gene-Disease Validity</v>
      </c>
      <c r="AK104" s="175" t="str">
        <f ca="1">IFERROR(__xludf.DUMMYFUNCTION("QUERY('Volunteer Survey'!L103)"),"Variant Pathogenicity")</f>
        <v>Variant Pathogenicity</v>
      </c>
      <c r="AL104" s="175" t="str">
        <f ca="1">IFERROR(__xludf.DUMMYFUNCTION("QUERY('Volunteer Survey'!M103)"),"Somatic Cancer")</f>
        <v>Somatic Cancer</v>
      </c>
      <c r="AM104" s="175" t="str">
        <f ca="1">IFERROR(__xludf.DUMMYFUNCTION("QUERY('Volunteer Survey'!N103)"),"Yes")</f>
        <v>Yes</v>
      </c>
      <c r="AN104" s="175" t="str">
        <f ca="1">IFERROR(__xludf.DUMMYFUNCTION("QUERY('Volunteer Survey'!O103)"),"No")</f>
        <v>No</v>
      </c>
      <c r="AO104" s="175" t="str">
        <f ca="1">IFERROR(__xludf.DUMMYFUNCTION("QUERY('Volunteer Survey'!P103)"),"I am mainly interested in the Hereditary Cancer Gene Dosage Sensitivity Curation group.")</f>
        <v>I am mainly interested in the Hereditary Cancer Gene Dosage Sensitivity Curation group.</v>
      </c>
    </row>
    <row r="105" spans="1:41" ht="14">
      <c r="A105" s="44">
        <f ca="1">IFERROR(__xludf.DUMMYFUNCTION("QUERY('Volunteer Survey'!A112)"),43439.406574074)</f>
        <v>43439.406574073997</v>
      </c>
      <c r="B105" s="42" t="s">
        <v>168</v>
      </c>
      <c r="C105" s="73">
        <v>43452</v>
      </c>
      <c r="D105" s="59">
        <v>43678</v>
      </c>
      <c r="E105" s="42" t="s">
        <v>117</v>
      </c>
      <c r="F105" s="42" t="s">
        <v>130</v>
      </c>
      <c r="G105" s="42" t="s">
        <v>19</v>
      </c>
      <c r="H105" s="45"/>
      <c r="I105" s="45" t="s">
        <v>139</v>
      </c>
      <c r="J105" s="42"/>
      <c r="K105" s="42"/>
      <c r="L105" s="49" t="str">
        <f ca="1">IFERROR(__xludf.DUMMYFUNCTION("QUERY('Volunteer Survey'!B112)"),"Sandra P Smieszek")</f>
        <v>Sandra P Smieszek</v>
      </c>
      <c r="M105" s="49" t="str">
        <f ca="1">IFERROR(__xludf.DUMMYFUNCTION("QUERY('Volunteer Survey'!E112)"),"sps92@case.edu")</f>
        <v>sps92@case.edu</v>
      </c>
      <c r="N105" s="49" t="str">
        <f ca="1">IFERROR(__xludf.DUMMYFUNCTION("QUERY('Volunteer Survey'!F112)"),"Post Doc/Resident/Fellow (MD and/or PhD)")</f>
        <v>Post Doc/Resident/Fellow (MD and/or PhD)</v>
      </c>
      <c r="O105" s="42" t="str">
        <f ca="1">IFERROR(__xludf.DUMMYFUNCTION("QUERY('Volunteer Survey'!H112)"),"Comprehensive")</f>
        <v>Comprehensive</v>
      </c>
      <c r="P105" s="49" t="str">
        <f ca="1">IFERROR(__xludf.DUMMYFUNCTION("QUERY('Volunteer Survey'!I112)"),"Clinical Actionability")</f>
        <v>Clinical Actionability</v>
      </c>
      <c r="Q105" s="54" t="str">
        <f ca="1">IFERROR(__xludf.DUMMYFUNCTION("QUERY('Volunteer Survey'!J112)"),"Gene-Disease Validity")</f>
        <v>Gene-Disease Validity</v>
      </c>
      <c r="R105" s="49" t="str">
        <f ca="1">IFERROR(__xludf.DUMMYFUNCTION("QUERY('Volunteer Survey'!K112)"),"Variant Pathogenicity")</f>
        <v>Variant Pathogenicity</v>
      </c>
      <c r="S105" s="49" t="str">
        <f ca="1">IFERROR(__xludf.DUMMYFUNCTION("QUERY('Volunteer Survey'!L112)"),"Dosage Sensitivity")</f>
        <v>Dosage Sensitivity</v>
      </c>
      <c r="T105" s="49" t="str">
        <f ca="1">IFERROR(__xludf.DUMMYFUNCTION("QUERY('Volunteer Survey'!M112)"),"Somatic Cancer")</f>
        <v>Somatic Cancer</v>
      </c>
      <c r="U105" s="58" t="str">
        <f ca="1">IFERROR(__xludf.DUMMYFUNCTION("QUERY('Volunteer Survey'!N112)"),"Yes")</f>
        <v>Yes</v>
      </c>
      <c r="V105" s="49" t="str">
        <f ca="1">IFERROR(__xludf.DUMMYFUNCTION("QUERY('Volunteer Survey'!O112)"),"No")</f>
        <v>No</v>
      </c>
      <c r="W105" s="60" t="str">
        <f ca="1">IFERROR(__xludf.DUMMYFUNCTION("QUERY('Volunteer Survey'!P112)"),"Autism")</f>
        <v>Autism</v>
      </c>
      <c r="X105" s="58" t="str">
        <f ca="1">IFERROR(__xludf.DUMMYFUNCTION("QUERY('Volunteer Survey'!R112)"),"Maybe -- please contact me with other options, and I will decide based on what is available")</f>
        <v>Maybe -- please contact me with other options, and I will decide based on what is available</v>
      </c>
      <c r="Y105" s="45" t="s">
        <v>345</v>
      </c>
      <c r="Z105" s="174">
        <f ca="1">IFERROR(__xludf.DUMMYFUNCTION("QUERY('Volunteer Survey'!A104)"),43347.3795486111)</f>
        <v>43347.379548611098</v>
      </c>
      <c r="AA105" s="175" t="str">
        <f ca="1">IFERROR(__xludf.DUMMYFUNCTION("QUERY('Volunteer Survey'!B104)"),"Lisa Diller")</f>
        <v>Lisa Diller</v>
      </c>
      <c r="AB105" s="175" t="str">
        <f ca="1">IFERROR(__xludf.DUMMYFUNCTION("QUERY('Volunteer Survey'!C104)"),"Dana-Farber Cancer Institute")</f>
        <v>Dana-Farber Cancer Institute</v>
      </c>
      <c r="AC105" s="175" t="str">
        <f ca="1">IFERROR(__xludf.DUMMYFUNCTION("QUERY('Volunteer Survey'!D104)"),"MA")</f>
        <v>MA</v>
      </c>
      <c r="AD105" s="175" t="str">
        <f ca="1">IFERROR(__xludf.DUMMYFUNCTION("QUERY('Volunteer Survey'!E104)"),"lisa_diller@dfci.harvard.edu")</f>
        <v>lisa_diller@dfci.harvard.edu</v>
      </c>
      <c r="AE105" s="175" t="str">
        <f ca="1">IFERROR(__xludf.DUMMYFUNCTION("QUERY('Volunteer Survey'!F104)"),"Physician (Non-geneticist)")</f>
        <v>Physician (Non-geneticist)</v>
      </c>
      <c r="AF105" s="175" t="str">
        <f ca="1">IFERROR(__xludf.DUMMYFUNCTION("QUERY('Volunteer Survey'!G104)"),"NA")</f>
        <v>NA</v>
      </c>
      <c r="AG105" s="175" t="str">
        <f ca="1">IFERROR(__xludf.DUMMYFUNCTION("QUERY('Volunteer Survey'!H104)"),"Comprehensive")</f>
        <v>Comprehensive</v>
      </c>
      <c r="AH105" s="175" t="str">
        <f ca="1">IFERROR(__xludf.DUMMYFUNCTION("QUERY('Volunteer Survey'!I104)"),"Clinical Actionability")</f>
        <v>Clinical Actionability</v>
      </c>
      <c r="AI105" s="175" t="str">
        <f ca="1">IFERROR(__xludf.DUMMYFUNCTION("QUERY('Volunteer Survey'!J104)"),"Gene-Disease Validity")</f>
        <v>Gene-Disease Validity</v>
      </c>
      <c r="AJ105" s="175" t="str">
        <f ca="1">IFERROR(__xludf.DUMMYFUNCTION("QUERY('Volunteer Survey'!K104)"),"Somatic Cancer")</f>
        <v>Somatic Cancer</v>
      </c>
      <c r="AK105" s="175" t="str">
        <f ca="1">IFERROR(__xludf.DUMMYFUNCTION("QUERY('Volunteer Survey'!L104)"),"Variant Pathogenicity")</f>
        <v>Variant Pathogenicity</v>
      </c>
      <c r="AL105" s="175" t="str">
        <f ca="1">IFERROR(__xludf.DUMMYFUNCTION("QUERY('Volunteer Survey'!M104)"),"Dosage Sensitivity")</f>
        <v>Dosage Sensitivity</v>
      </c>
      <c r="AM105" s="175" t="str">
        <f ca="1">IFERROR(__xludf.DUMMYFUNCTION("QUERY('Volunteer Survey'!N104)"),"No")</f>
        <v>No</v>
      </c>
      <c r="AN105" s="175" t="str">
        <f ca="1">IFERROR(__xludf.DUMMYFUNCTION("QUERY('Volunteer Survey'!O104)"),"Yes")</f>
        <v>Yes</v>
      </c>
      <c r="AO105" s="175" t="str">
        <f ca="1">IFERROR(__xludf.DUMMYFUNCTION("QUERY('Volunteer Survey'!P104)"),"Hereditary Cancer")</f>
        <v>Hereditary Cancer</v>
      </c>
    </row>
    <row r="106" spans="1:41" ht="14">
      <c r="A106" s="44">
        <f ca="1">IFERROR(__xludf.DUMMYFUNCTION("QUERY('Volunteer Survey'!A113)"),43488.2157181597)</f>
        <v>43488.215718159699</v>
      </c>
      <c r="B106" s="42" t="s">
        <v>108</v>
      </c>
      <c r="C106" s="47"/>
      <c r="D106" s="49"/>
      <c r="E106" s="42" t="s">
        <v>130</v>
      </c>
      <c r="F106" s="42" t="s">
        <v>130</v>
      </c>
      <c r="G106" s="42" t="s">
        <v>202</v>
      </c>
      <c r="H106" s="47"/>
      <c r="I106" s="45" t="s">
        <v>139</v>
      </c>
      <c r="J106" s="49"/>
      <c r="K106" s="49"/>
      <c r="L106" s="49" t="str">
        <f ca="1">IFERROR(__xludf.DUMMYFUNCTION("QUERY('Volunteer Survey'!B113)"),"Can Ding")</f>
        <v>Can Ding</v>
      </c>
      <c r="M106" s="49" t="str">
        <f ca="1">IFERROR(__xludf.DUMMYFUNCTION("QUERY('Volunteer Survey'!E113)"),"can.ding@unimedizin-mainz.de")</f>
        <v>can.ding@unimedizin-mainz.de</v>
      </c>
      <c r="N106" s="49" t="str">
        <f ca="1">IFERROR(__xludf.DUMMYFUNCTION("QUERY('Volunteer Survey'!F113)"),"Clinical Medical Geneticist")</f>
        <v>Clinical Medical Geneticist</v>
      </c>
      <c r="O106" s="42" t="str">
        <f ca="1">IFERROR(__xludf.DUMMYFUNCTION("QUERY('Volunteer Survey'!H113)"),"Baseline")</f>
        <v>Baseline</v>
      </c>
      <c r="P106" s="49" t="str">
        <f ca="1">IFERROR(__xludf.DUMMYFUNCTION("QUERY('Volunteer Survey'!I113)"),"Gene-Disease Validity")</f>
        <v>Gene-Disease Validity</v>
      </c>
      <c r="Q106" s="54" t="str">
        <f ca="1">IFERROR(__xludf.DUMMYFUNCTION("QUERY('Volunteer Survey'!J113)"),"Variant Pathogenicity")</f>
        <v>Variant Pathogenicity</v>
      </c>
      <c r="R106" s="49" t="str">
        <f ca="1">IFERROR(__xludf.DUMMYFUNCTION("QUERY('Volunteer Survey'!K113)"),"Clinical Actionability")</f>
        <v>Clinical Actionability</v>
      </c>
      <c r="S106" s="49" t="str">
        <f ca="1">IFERROR(__xludf.DUMMYFUNCTION("QUERY('Volunteer Survey'!L113)"),"Dosage Sensitivity")</f>
        <v>Dosage Sensitivity</v>
      </c>
      <c r="T106" s="49" t="str">
        <f ca="1">IFERROR(__xludf.DUMMYFUNCTION("QUERY('Volunteer Survey'!M113)"),"Somatic Cancer")</f>
        <v>Somatic Cancer</v>
      </c>
      <c r="U106" s="58" t="str">
        <f ca="1">IFERROR(__xludf.DUMMYFUNCTION("QUERY('Volunteer Survey'!N113)"),"I have over two years experiences in variant classification.")</f>
        <v>I have over two years experiences in variant classification.</v>
      </c>
      <c r="V106" s="49" t="str">
        <f ca="1">IFERROR(__xludf.DUMMYFUNCTION("QUERY('Volunteer Survey'!O113)"),"Yes")</f>
        <v>Yes</v>
      </c>
      <c r="W106" s="60" t="str">
        <f ca="1">IFERROR(__xludf.DUMMYFUNCTION("QUERY('Volunteer Survey'!P113)"),"I would be interested in a muscular disorder group.")</f>
        <v>I would be interested in a muscular disorder group.</v>
      </c>
      <c r="X106" s="58" t="str">
        <f ca="1">IFERROR(__xludf.DUMMYFUNCTION("QUERY('Volunteer Survey'!R113)"),"Maybe -- please contact me with other options, and I will decide based on what is available")</f>
        <v>Maybe -- please contact me with other options, and I will decide based on what is available</v>
      </c>
      <c r="Y106" s="47"/>
      <c r="Z106" s="174">
        <f ca="1">IFERROR(__xludf.DUMMYFUNCTION("QUERY('Volunteer Survey'!A105)"),43378.381261574)</f>
        <v>43378.381261574003</v>
      </c>
      <c r="AA106" s="175" t="str">
        <f ca="1">IFERROR(__xludf.DUMMYFUNCTION("QUERY('Volunteer Survey'!B105)"),"Nharimann Azima")</f>
        <v>Nharimann Azima</v>
      </c>
      <c r="AB106" s="175" t="str">
        <f ca="1">IFERROR(__xludf.DUMMYFUNCTION("QUERY('Volunteer Survey'!C105)"),"NA")</f>
        <v>NA</v>
      </c>
      <c r="AC106" s="175" t="str">
        <f ca="1">IFERROR(__xludf.DUMMYFUNCTION("QUERY('Volunteer Survey'!D105)"),"")</f>
        <v/>
      </c>
      <c r="AD106" s="175" t="str">
        <f ca="1">IFERROR(__xludf.DUMMYFUNCTION("QUERY('Volunteer Survey'!E105)"),"naa3f@gwu.edu")</f>
        <v>naa3f@gwu.edu</v>
      </c>
      <c r="AE106" s="175" t="str">
        <f ca="1">IFERROR(__xludf.DUMMYFUNCTION("QUERY('Volunteer Survey'!F105)"),"Analyst")</f>
        <v>Analyst</v>
      </c>
      <c r="AF106" s="175" t="str">
        <f ca="1">IFERROR(__xludf.DUMMYFUNCTION("QUERY('Volunteer Survey'!G105)"),"NA")</f>
        <v>NA</v>
      </c>
      <c r="AG106" s="175" t="str">
        <f ca="1">IFERROR(__xludf.DUMMYFUNCTION("QUERY('Volunteer Survey'!H105)"),"Comprehensive")</f>
        <v>Comprehensive</v>
      </c>
      <c r="AH106" s="175" t="str">
        <f ca="1">IFERROR(__xludf.DUMMYFUNCTION("QUERY('Volunteer Survey'!I105)"),"Clinical Actionability")</f>
        <v>Clinical Actionability</v>
      </c>
      <c r="AI106" s="175" t="str">
        <f ca="1">IFERROR(__xludf.DUMMYFUNCTION("QUERY('Volunteer Survey'!J105)"),"Somatic Cancer")</f>
        <v>Somatic Cancer</v>
      </c>
      <c r="AJ106" s="175" t="str">
        <f ca="1">IFERROR(__xludf.DUMMYFUNCTION("QUERY('Volunteer Survey'!K105)"),"Gene-Disease Validity")</f>
        <v>Gene-Disease Validity</v>
      </c>
      <c r="AK106" s="175" t="str">
        <f ca="1">IFERROR(__xludf.DUMMYFUNCTION("QUERY('Volunteer Survey'!L105)"),"Variant Pathogenicity")</f>
        <v>Variant Pathogenicity</v>
      </c>
      <c r="AL106" s="175" t="str">
        <f ca="1">IFERROR(__xludf.DUMMYFUNCTION("QUERY('Volunteer Survey'!M105)"),"Dosage Sensitivity")</f>
        <v>Dosage Sensitivity</v>
      </c>
      <c r="AM106" s="175" t="str">
        <f ca="1">IFERROR(__xludf.DUMMYFUNCTION("QUERY('Volunteer Survey'!N105)"),"Yes")</f>
        <v>Yes</v>
      </c>
      <c r="AN106" s="175" t="str">
        <f ca="1">IFERROR(__xludf.DUMMYFUNCTION("QUERY('Volunteer Survey'!O105)"),"Yes")</f>
        <v>Yes</v>
      </c>
      <c r="AO106" s="175" t="str">
        <f ca="1">IFERROR(__xludf.DUMMYFUNCTION("QUERY('Volunteer Survey'!P105)"),"I am flexible")</f>
        <v>I am flexible</v>
      </c>
    </row>
    <row r="107" spans="1:41" ht="14">
      <c r="A107" s="44">
        <f ca="1">IFERROR(__xludf.DUMMYFUNCTION("QUERY('Volunteer Survey'!A114)"),43489.186652662)</f>
        <v>43489.186652662</v>
      </c>
      <c r="B107" s="42" t="s">
        <v>168</v>
      </c>
      <c r="C107" s="47"/>
      <c r="D107" s="49"/>
      <c r="E107" s="42" t="s">
        <v>130</v>
      </c>
      <c r="F107" s="42" t="s">
        <v>130</v>
      </c>
      <c r="G107" s="42" t="s">
        <v>136</v>
      </c>
      <c r="H107" s="47"/>
      <c r="I107" s="45" t="s">
        <v>139</v>
      </c>
      <c r="J107" s="49"/>
      <c r="K107" s="49"/>
      <c r="L107" s="49" t="str">
        <f ca="1">IFERROR(__xludf.DUMMYFUNCTION("QUERY('Volunteer Survey'!B114)"),"Milda Auglyte")</f>
        <v>Milda Auglyte</v>
      </c>
      <c r="M107" s="49" t="str">
        <f ca="1">IFERROR(__xludf.DUMMYFUNCTION("QUERY('Volunteer Survey'!E114)"),"mildaaug@gmail.com")</f>
        <v>mildaaug@gmail.com</v>
      </c>
      <c r="N107" s="49" t="str">
        <f ca="1">IFERROR(__xludf.DUMMYFUNCTION("QUERY('Volunteer Survey'!F114)"),"Graduate Student")</f>
        <v>Graduate Student</v>
      </c>
      <c r="O107" s="42" t="str">
        <f ca="1">IFERROR(__xludf.DUMMYFUNCTION("QUERY('Volunteer Survey'!H114)"),"Comprehensive")</f>
        <v>Comprehensive</v>
      </c>
      <c r="P107" s="49" t="str">
        <f ca="1">IFERROR(__xludf.DUMMYFUNCTION("QUERY('Volunteer Survey'!I114)"),"Somatic Cancer")</f>
        <v>Somatic Cancer</v>
      </c>
      <c r="Q107" s="54" t="str">
        <f ca="1">IFERROR(__xludf.DUMMYFUNCTION("QUERY('Volunteer Survey'!J114)"),"Clinical Actionability")</f>
        <v>Clinical Actionability</v>
      </c>
      <c r="R107" s="49" t="str">
        <f ca="1">IFERROR(__xludf.DUMMYFUNCTION("QUERY('Volunteer Survey'!K114)"),"Variant Pathogenicity")</f>
        <v>Variant Pathogenicity</v>
      </c>
      <c r="S107" s="49" t="str">
        <f ca="1">IFERROR(__xludf.DUMMYFUNCTION("QUERY('Volunteer Survey'!L114)"),"")</f>
        <v/>
      </c>
      <c r="T107" s="49" t="str">
        <f ca="1">IFERROR(__xludf.DUMMYFUNCTION("QUERY('Volunteer Survey'!M114)"),"")</f>
        <v/>
      </c>
      <c r="U107" s="58" t="str">
        <f ca="1">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V107" s="49" t="str">
        <f ca="1">IFERROR(__xludf.DUMMYFUNCTION("QUERY('Volunteer Survey'!O114)"),"Possibly")</f>
        <v>Possibly</v>
      </c>
      <c r="W107" s="60" t="str">
        <f ca="1">IFERROR(__xludf.DUMMYFUNCTION("QUERY('Volunteer Survey'!P114)"),"I would be interested in newly forming groups: Breast/Ovarian Cancer, Nonsmall cell lung cancer and Somatic TP53.")</f>
        <v>I would be interested in newly forming groups: Breast/Ovarian Cancer, Nonsmall cell lung cancer and Somatic TP53.</v>
      </c>
      <c r="X107" s="58" t="str">
        <f ca="1">IFERROR(__xludf.DUMMYFUNCTION("QUERY('Volunteer Survey'!R114)"),"Maybe -- please contact me with other options, and I will decide based on what is available")</f>
        <v>Maybe -- please contact me with other options, and I will decide based on what is available</v>
      </c>
      <c r="Y107" s="47"/>
      <c r="Z107" s="174">
        <f ca="1">IFERROR(__xludf.DUMMYFUNCTION("QUERY('Volunteer Survey'!A106)"),43415.383449074)</f>
        <v>43415.383449073997</v>
      </c>
      <c r="AA107" s="175" t="str">
        <f ca="1">IFERROR(__xludf.DUMMYFUNCTION("QUERY('Volunteer Survey'!B106)"),"Krzysztof Szczaluba")</f>
        <v>Krzysztof Szczaluba</v>
      </c>
      <c r="AB107" s="175" t="str">
        <f ca="1">IFERROR(__xludf.DUMMYFUNCTION("QUERY('Volunteer Survey'!C106)"),"Dept of Medical Genetics. Warsaw Medical University")</f>
        <v>Dept of Medical Genetics. Warsaw Medical University</v>
      </c>
      <c r="AC107" s="175" t="str">
        <f ca="1">IFERROR(__xludf.DUMMYFUNCTION("QUERY('Volunteer Survey'!D106)"),"Warsaw, Poland")</f>
        <v>Warsaw, Poland</v>
      </c>
      <c r="AD107" s="175" t="str">
        <f ca="1">IFERROR(__xludf.DUMMYFUNCTION("QUERY('Volunteer Survey'!E106)"),"krzysztof.szczaluba@gmail.com")</f>
        <v>krzysztof.szczaluba@gmail.com</v>
      </c>
      <c r="AE107" s="175" t="str">
        <f ca="1">IFERROR(__xludf.DUMMYFUNCTION("QUERY('Volunteer Survey'!F106)"),"Clinical Medical Geneticist")</f>
        <v>Clinical Medical Geneticist</v>
      </c>
      <c r="AF107" s="175" t="str">
        <f ca="1">IFERROR(__xludf.DUMMYFUNCTION("QUERY('Volunteer Survey'!G106)"),"NA")</f>
        <v>NA</v>
      </c>
      <c r="AG107" s="175" t="str">
        <f ca="1">IFERROR(__xludf.DUMMYFUNCTION("QUERY('Volunteer Survey'!H106)"),"Comprehensive")</f>
        <v>Comprehensive</v>
      </c>
      <c r="AH107" s="175" t="str">
        <f ca="1">IFERROR(__xludf.DUMMYFUNCTION("QUERY('Volunteer Survey'!I106)"),"Clinical Actionability")</f>
        <v>Clinical Actionability</v>
      </c>
      <c r="AI107" s="175" t="str">
        <f ca="1">IFERROR(__xludf.DUMMYFUNCTION("QUERY('Volunteer Survey'!J106)"),"Gene-Disease Validity")</f>
        <v>Gene-Disease Validity</v>
      </c>
      <c r="AJ107" s="175" t="str">
        <f ca="1">IFERROR(__xludf.DUMMYFUNCTION("QUERY('Volunteer Survey'!K106)"),"Variant Pathogenicity")</f>
        <v>Variant Pathogenicity</v>
      </c>
      <c r="AK107" s="175" t="str">
        <f ca="1">IFERROR(__xludf.DUMMYFUNCTION("QUERY('Volunteer Survey'!L106)"),"Dosage Sensitivity")</f>
        <v>Dosage Sensitivity</v>
      </c>
      <c r="AL107" s="175" t="str">
        <f ca="1">IFERROR(__xludf.DUMMYFUNCTION("QUERY('Volunteer Survey'!M106)"),"Somatic Cancer")</f>
        <v>Somatic Cancer</v>
      </c>
      <c r="AM107" s="175" t="str">
        <f ca="1">IFERROR(__xludf.DUMMYFUNCTION("QUERY('Volunteer Survey'!N106)"),"No")</f>
        <v>No</v>
      </c>
      <c r="AN107" s="175" t="str">
        <f ca="1">IFERROR(__xludf.DUMMYFUNCTION("QUERY('Volunteer Survey'!O106)"),"Possibly")</f>
        <v>Possibly</v>
      </c>
      <c r="AO107" s="175" t="str">
        <f ca="1">IFERROR(__xludf.DUMMYFUNCTION("QUERY('Volunteer Survey'!P106)"),"autism/ID, epi, brovca")</f>
        <v>autism/ID, epi, brovca</v>
      </c>
    </row>
    <row r="108" spans="1:41" ht="28">
      <c r="A108" s="44">
        <f ca="1">IFERROR(__xludf.DUMMYFUNCTION("QUERY('Volunteer Survey'!A115)"),43489.3104167824)</f>
        <v>43489.310416782399</v>
      </c>
      <c r="B108" s="42" t="s">
        <v>125</v>
      </c>
      <c r="C108" s="47"/>
      <c r="D108" s="49"/>
      <c r="E108" s="42" t="s">
        <v>130</v>
      </c>
      <c r="F108" s="42" t="s">
        <v>130</v>
      </c>
      <c r="G108" s="42" t="s">
        <v>136</v>
      </c>
      <c r="H108" s="45" t="s">
        <v>308</v>
      </c>
      <c r="I108" s="45" t="s">
        <v>139</v>
      </c>
      <c r="J108" s="50">
        <v>43592</v>
      </c>
      <c r="K108" s="50"/>
      <c r="L108" s="49" t="str">
        <f ca="1">IFERROR(__xludf.DUMMYFUNCTION("QUERY('Volunteer Survey'!B115)"),"Andres Ressia")</f>
        <v>Andres Ressia</v>
      </c>
      <c r="M108" s="49" t="str">
        <f ca="1">IFERROR(__xludf.DUMMYFUNCTION("QUERY('Volunteer Survey'!E115)"),"andresressiacolino@gmail.com")</f>
        <v>andresressiacolino@gmail.com</v>
      </c>
      <c r="N108" s="49" t="str">
        <f ca="1">IFERROR(__xludf.DUMMYFUNCTION("QUERY('Volunteer Survey'!F115)"),"Post-Bachelors")</f>
        <v>Post-Bachelors</v>
      </c>
      <c r="O108" s="42" t="str">
        <f ca="1">IFERROR(__xludf.DUMMYFUNCTION("QUERY('Volunteer Survey'!H115)"),"Comprehensive")</f>
        <v>Comprehensive</v>
      </c>
      <c r="P108" s="49" t="str">
        <f ca="1">IFERROR(__xludf.DUMMYFUNCTION("QUERY('Volunteer Survey'!I115)"),"Somatic Cancer")</f>
        <v>Somatic Cancer</v>
      </c>
      <c r="Q108" s="54" t="str">
        <f ca="1">IFERROR(__xludf.DUMMYFUNCTION("QUERY('Volunteer Survey'!J115)"),"Gene-Disease Validity")</f>
        <v>Gene-Disease Validity</v>
      </c>
      <c r="R108" s="49" t="str">
        <f ca="1">IFERROR(__xludf.DUMMYFUNCTION("QUERY('Volunteer Survey'!K115)"),"")</f>
        <v/>
      </c>
      <c r="S108" s="49" t="str">
        <f ca="1">IFERROR(__xludf.DUMMYFUNCTION("QUERY('Volunteer Survey'!L115)"),"")</f>
        <v/>
      </c>
      <c r="T108" s="49" t="str">
        <f ca="1">IFERROR(__xludf.DUMMYFUNCTION("QUERY('Volunteer Survey'!M115)"),"")</f>
        <v/>
      </c>
      <c r="U108" s="58" t="str">
        <f ca="1">IFERROR(__xludf.DUMMYFUNCTION("QUERY('Volunteer Survey'!N115)"),"No")</f>
        <v>No</v>
      </c>
      <c r="V108" s="49" t="str">
        <f ca="1">IFERROR(__xludf.DUMMYFUNCTION("QUERY('Volunteer Survey'!O115)"),"No")</f>
        <v>No</v>
      </c>
      <c r="W108" s="60" t="str">
        <f ca="1">IFERROR(__xludf.DUMMYFUNCTION("QUERY('Volunteer Survey'!P115)"),"Breast/Ovarian Cancer (newly forming)")</f>
        <v>Breast/Ovarian Cancer (newly forming)</v>
      </c>
      <c r="X108" s="58" t="str">
        <f ca="1">IFERROR(__xludf.DUMMYFUNCTION("QUERY('Volunteer Survey'!R115)"),"Maybe -- please contact me with other options, and I will decide based on what is available")</f>
        <v>Maybe -- please contact me with other options, and I will decide based on what is available</v>
      </c>
      <c r="Y108" s="47"/>
      <c r="Z108" s="174">
        <f ca="1">IFERROR(__xludf.DUMMYFUNCTION("QUERY('Volunteer Survey'!A107)"),43416.3851273148)</f>
        <v>43416.385127314803</v>
      </c>
      <c r="AA108" s="175" t="str">
        <f ca="1">IFERROR(__xludf.DUMMYFUNCTION("QUERY('Volunteer Survey'!B107)"),"Robin Bennett")</f>
        <v>Robin Bennett</v>
      </c>
      <c r="AB108" s="175" t="str">
        <f ca="1">IFERROR(__xludf.DUMMYFUNCTION("QUERY('Volunteer Survey'!C107)"),"University of Washington")</f>
        <v>University of Washington</v>
      </c>
      <c r="AC108" s="175" t="str">
        <f ca="1">IFERROR(__xludf.DUMMYFUNCTION("QUERY('Volunteer Survey'!D107)"),"Seattle, WA")</f>
        <v>Seattle, WA</v>
      </c>
      <c r="AD108" s="175" t="str">
        <f ca="1">IFERROR(__xludf.DUMMYFUNCTION("QUERY('Volunteer Survey'!E107)"),"robinb@uw.edu")</f>
        <v>robinb@uw.edu</v>
      </c>
      <c r="AE108" s="175" t="str">
        <f ca="1">IFERROR(__xludf.DUMMYFUNCTION("QUERY('Volunteer Survey'!F107)"),"Genetic counselor")</f>
        <v>Genetic counselor</v>
      </c>
      <c r="AF108" s="175" t="str">
        <f ca="1">IFERROR(__xludf.DUMMYFUNCTION("QUERY('Volunteer Survey'!G107)"),"NA")</f>
        <v>NA</v>
      </c>
      <c r="AG108" s="175" t="str">
        <f ca="1">IFERROR(__xludf.DUMMYFUNCTION("QUERY('Volunteer Survey'!H107)"),"Comprehensive")</f>
        <v>Comprehensive</v>
      </c>
      <c r="AH108" s="175" t="str">
        <f ca="1">IFERROR(__xludf.DUMMYFUNCTION("QUERY('Volunteer Survey'!I107)"),"Clinical Actionability")</f>
        <v>Clinical Actionability</v>
      </c>
      <c r="AI108" s="175" t="str">
        <f ca="1">IFERROR(__xludf.DUMMYFUNCTION("QUERY('Volunteer Survey'!J107)"),"Variant Pathogenicity")</f>
        <v>Variant Pathogenicity</v>
      </c>
      <c r="AJ108" s="175" t="str">
        <f ca="1">IFERROR(__xludf.DUMMYFUNCTION("QUERY('Volunteer Survey'!K107)"),"Gene-Disease Validity")</f>
        <v>Gene-Disease Validity</v>
      </c>
      <c r="AK108" s="175" t="str">
        <f ca="1">IFERROR(__xludf.DUMMYFUNCTION("QUERY('Volunteer Survey'!L107)"),"Somatic Cancer")</f>
        <v>Somatic Cancer</v>
      </c>
      <c r="AL108" s="175" t="str">
        <f ca="1">IFERROR(__xludf.DUMMYFUNCTION("QUERY('Volunteer Survey'!M107)"),"Dosage Sensitivity")</f>
        <v>Dosage Sensitivity</v>
      </c>
      <c r="AM108" s="175" t="str">
        <f ca="1">IFERROR(__xludf.DUMMYFUNCTION("QUERY('Volunteer Survey'!N107)"),"Yes")</f>
        <v>Yes</v>
      </c>
      <c r="AN108" s="175" t="str">
        <f ca="1">IFERROR(__xludf.DUMMYFUNCTION("QUERY('Volunteer Survey'!O107)"),"Possibly")</f>
        <v>Possibly</v>
      </c>
      <c r="AO108" s="175" t="str">
        <f ca="1">IFERROR(__xludf.DUMMYFUNCTION("QUERY('Volunteer Survey'!P107)"),"Variant curation expert panels: PTEN, VHL, CDH1, Colorectal cancer, breast-ovarian")</f>
        <v>Variant curation expert panels: PTEN, VHL, CDH1, Colorectal cancer, breast-ovarian</v>
      </c>
    </row>
    <row r="109" spans="1:41" ht="28">
      <c r="A109" s="44">
        <f ca="1">IFERROR(__xludf.DUMMYFUNCTION("QUERY('Volunteer Survey'!A116)"),43354.4229282407)</f>
        <v>43354.422928240703</v>
      </c>
      <c r="B109" s="42" t="s">
        <v>160</v>
      </c>
      <c r="C109" s="73">
        <v>43452</v>
      </c>
      <c r="D109" s="43">
        <v>43581</v>
      </c>
      <c r="E109" s="42" t="s">
        <v>117</v>
      </c>
      <c r="F109" s="42" t="s">
        <v>130</v>
      </c>
      <c r="G109" s="42" t="s">
        <v>136</v>
      </c>
      <c r="H109" s="45" t="s">
        <v>306</v>
      </c>
      <c r="I109" s="45" t="s">
        <v>139</v>
      </c>
      <c r="J109" s="50">
        <v>43712</v>
      </c>
      <c r="K109" s="50"/>
      <c r="L109" s="49" t="str">
        <f ca="1">IFERROR(__xludf.DUMMYFUNCTION("QUERY('Volunteer Survey'!B116)"),"Parisa Lotfi")</f>
        <v>Parisa Lotfi</v>
      </c>
      <c r="M109" s="49" t="str">
        <f ca="1">IFERROR(__xludf.DUMMYFUNCTION("QUERY('Volunteer Survey'!E116)"),"Parisa_Lotfi@yahoo.com")</f>
        <v>Parisa_Lotfi@yahoo.com</v>
      </c>
      <c r="N109" s="49" t="str">
        <f ca="1">IFERROR(__xludf.DUMMYFUNCTION("QUERY('Volunteer Survey'!F116)"),"Post Doc/Resident/Fellow (MD and/or Phd), Scientific Researcher")</f>
        <v>Post Doc/Resident/Fellow (MD and/or Phd), Scientific Researcher</v>
      </c>
      <c r="O109" s="42" t="str">
        <f ca="1">IFERROR(__xludf.DUMMYFUNCTION("QUERY('Volunteer Survey'!H116)"),"Comprehensive")</f>
        <v>Comprehensive</v>
      </c>
      <c r="P109" s="49" t="str">
        <f ca="1">IFERROR(__xludf.DUMMYFUNCTION("QUERY('Volunteer Survey'!I116)"),"Somatic Cancer")</f>
        <v>Somatic Cancer</v>
      </c>
      <c r="Q109" s="54" t="str">
        <f ca="1">IFERROR(__xludf.DUMMYFUNCTION("QUERY('Volunteer Survey'!J116)"),"Dosage Sensitivity")</f>
        <v>Dosage Sensitivity</v>
      </c>
      <c r="R109" s="49" t="str">
        <f ca="1">IFERROR(__xludf.DUMMYFUNCTION("QUERY('Volunteer Survey'!K116)"),"Variant Pathogenicity")</f>
        <v>Variant Pathogenicity</v>
      </c>
      <c r="S109" s="49" t="str">
        <f ca="1">IFERROR(__xludf.DUMMYFUNCTION("QUERY('Volunteer Survey'!L116)"),"Gene-Disease Validity")</f>
        <v>Gene-Disease Validity</v>
      </c>
      <c r="T109" s="49" t="str">
        <f ca="1">IFERROR(__xludf.DUMMYFUNCTION("QUERY('Volunteer Survey'!M116)"),"")</f>
        <v/>
      </c>
      <c r="U109" s="58" t="str">
        <f ca="1">IFERROR(__xludf.DUMMYFUNCTION("QUERY('Volunteer Survey'!N116)"),"no")</f>
        <v>no</v>
      </c>
      <c r="V109" s="49" t="str">
        <f ca="1">IFERROR(__xludf.DUMMYFUNCTION("QUERY('Volunteer Survey'!O116)"),"Possibly")</f>
        <v>Possibly</v>
      </c>
      <c r="W109" s="60" t="str">
        <f ca="1">IFERROR(__xludf.DUMMYFUNCTION("QUERY('Volunteer Survey'!P116)"),"intellectual disability/autism group")</f>
        <v>intellectual disability/autism group</v>
      </c>
      <c r="X109" s="58" t="str">
        <f ca="1">IFERROR(__xludf.DUMMYFUNCTION("QUERY('Volunteer Survey'!R116)"),"Yes- I am willing to volunteer with any available ClinGen group")</f>
        <v>Yes- I am willing to volunteer with any available ClinGen group</v>
      </c>
      <c r="Y109" s="47"/>
      <c r="Z109" s="174">
        <f ca="1">IFERROR(__xludf.DUMMYFUNCTION("QUERY('Volunteer Survey'!A108)"),43418.3868287037)</f>
        <v>43418.386828703697</v>
      </c>
      <c r="AA109" s="175" t="str">
        <f ca="1">IFERROR(__xludf.DUMMYFUNCTION("QUERY('Volunteer Survey'!B108)"),"Fiona Curtis")</f>
        <v>Fiona Curtis</v>
      </c>
      <c r="AB109" s="175" t="str">
        <f ca="1">IFERROR(__xludf.DUMMYFUNCTION("QUERY('Volunteer Survey'!C108)"),"Eastern Health/Memorial University of NL")</f>
        <v>Eastern Health/Memorial University of NL</v>
      </c>
      <c r="AC109" s="175" t="str">
        <f ca="1">IFERROR(__xludf.DUMMYFUNCTION("QUERY('Volunteer Survey'!D108)"),"NL, Canada")</f>
        <v>NL, Canada</v>
      </c>
      <c r="AD109" s="175" t="str">
        <f ca="1">IFERROR(__xludf.DUMMYFUNCTION("QUERY('Volunteer Survey'!E108)"),"fionakatherinecurtis@yahoo.ca")</f>
        <v>fionakatherinecurtis@yahoo.ca</v>
      </c>
      <c r="AE109" s="175" t="str">
        <f ca="1">IFERROR(__xludf.DUMMYFUNCTION("QUERY('Volunteer Survey'!F108)"),"Genetic counselor")</f>
        <v>Genetic counselor</v>
      </c>
      <c r="AF109" s="175" t="str">
        <f ca="1">IFERROR(__xludf.DUMMYFUNCTION("QUERY('Volunteer Survey'!G108)"),"NA")</f>
        <v>NA</v>
      </c>
      <c r="AG109" s="175" t="str">
        <f ca="1">IFERROR(__xludf.DUMMYFUNCTION("QUERY('Volunteer Survey'!H108)"),"Comprehensive")</f>
        <v>Comprehensive</v>
      </c>
      <c r="AH109" s="175" t="str">
        <f ca="1">IFERROR(__xludf.DUMMYFUNCTION("QUERY('Volunteer Survey'!I108)"),"Clinical Actionability")</f>
        <v>Clinical Actionability</v>
      </c>
      <c r="AI109" s="175" t="str">
        <f ca="1">IFERROR(__xludf.DUMMYFUNCTION("QUERY('Volunteer Survey'!J108)"),"Gene-Disease Validity")</f>
        <v>Gene-Disease Validity</v>
      </c>
      <c r="AJ109" s="175" t="str">
        <f ca="1">IFERROR(__xludf.DUMMYFUNCTION("QUERY('Volunteer Survey'!K108)"),"Variant Pathogenicity")</f>
        <v>Variant Pathogenicity</v>
      </c>
      <c r="AK109" s="175" t="str">
        <f ca="1">IFERROR(__xludf.DUMMYFUNCTION("QUERY('Volunteer Survey'!L108)"),"Dosage Sensitivity")</f>
        <v>Dosage Sensitivity</v>
      </c>
      <c r="AL109" s="175" t="str">
        <f ca="1">IFERROR(__xludf.DUMMYFUNCTION("QUERY('Volunteer Survey'!M108)"),"Somatic Cancer")</f>
        <v>Somatic Cancer</v>
      </c>
      <c r="AM109" s="175" t="str">
        <f ca="1">IFERROR(__xludf.DUMMYFUNCTION("QUERY('Volunteer Survey'!N108)"),"No")</f>
        <v>No</v>
      </c>
      <c r="AN109" s="175" t="str">
        <f ca="1">IFERROR(__xludf.DUMMYFUNCTION("QUERY('Volunteer Survey'!O108)"),"Possibly")</f>
        <v>Possibly</v>
      </c>
      <c r="AO109" s="175" t="str">
        <f ca="1">IFERROR(__xludf.DUMMYFUNCTION("QUERY('Volunteer Survey'!P108)"),"inherited cardiomyopathy or other CV diseases")</f>
        <v>inherited cardiomyopathy or other CV diseases</v>
      </c>
    </row>
    <row r="110" spans="1:41" ht="28">
      <c r="A110" s="44">
        <f ca="1">IFERROR(__xludf.DUMMYFUNCTION("QUERY('Volunteer Survey'!A117)"),43423.4245949074)</f>
        <v>43423.424594907403</v>
      </c>
      <c r="B110" s="42" t="s">
        <v>125</v>
      </c>
      <c r="C110" s="73">
        <v>43452</v>
      </c>
      <c r="D110" s="49"/>
      <c r="E110" s="42" t="s">
        <v>130</v>
      </c>
      <c r="F110" s="42" t="s">
        <v>130</v>
      </c>
      <c r="G110" s="42" t="s">
        <v>136</v>
      </c>
      <c r="H110" s="45" t="s">
        <v>308</v>
      </c>
      <c r="I110" s="45" t="s">
        <v>139</v>
      </c>
      <c r="J110" s="50">
        <v>43592</v>
      </c>
      <c r="K110" s="50">
        <v>43713</v>
      </c>
      <c r="L110" s="49" t="str">
        <f ca="1">IFERROR(__xludf.DUMMYFUNCTION("QUERY('Volunteer Survey'!B117)"),"Huei San Leong")</f>
        <v>Huei San Leong</v>
      </c>
      <c r="M110" s="49" t="str">
        <f ca="1">IFERROR(__xludf.DUMMYFUNCTION("QUERY('Volunteer Survey'!E117)"),"hueisan.leong@petermac.org")</f>
        <v>hueisan.leong@petermac.org</v>
      </c>
      <c r="N110" s="49" t="str">
        <f ca="1">IFERROR(__xludf.DUMMYFUNCTION("QUERY('Volunteer Survey'!F117)"),"Variant Analyst/Scientist")</f>
        <v>Variant Analyst/Scientist</v>
      </c>
      <c r="O110" s="42" t="str">
        <f ca="1">IFERROR(__xludf.DUMMYFUNCTION("QUERY('Volunteer Survey'!H117)"),"Comprehensive")</f>
        <v>Comprehensive</v>
      </c>
      <c r="P110" s="49" t="str">
        <f ca="1">IFERROR(__xludf.DUMMYFUNCTION("QUERY('Volunteer Survey'!I117)"),"Somatic Cancer")</f>
        <v>Somatic Cancer</v>
      </c>
      <c r="Q110" s="54" t="str">
        <f ca="1">IFERROR(__xludf.DUMMYFUNCTION("QUERY('Volunteer Survey'!J117)"),"Variant Pathogenicity")</f>
        <v>Variant Pathogenicity</v>
      </c>
      <c r="R110" s="49" t="str">
        <f ca="1">IFERROR(__xludf.DUMMYFUNCTION("QUERY('Volunteer Survey'!K117)"),"Clinical Actionability")</f>
        <v>Clinical Actionability</v>
      </c>
      <c r="S110" s="49" t="str">
        <f ca="1">IFERROR(__xludf.DUMMYFUNCTION("QUERY('Volunteer Survey'!L117)"),"Gene-Disease Validity")</f>
        <v>Gene-Disease Validity</v>
      </c>
      <c r="T110" s="49" t="str">
        <f ca="1">IFERROR(__xludf.DUMMYFUNCTION("QUERY('Volunteer Survey'!M117)"),"")</f>
        <v/>
      </c>
      <c r="U110" s="58" t="str">
        <f ca="1">IFERROR(__xludf.DUMMYFUNCTION("QUERY('Volunteer Survey'!N117)"),"Yes")</f>
        <v>Yes</v>
      </c>
      <c r="V110" s="49" t="str">
        <f ca="1">IFERROR(__xludf.DUMMYFUNCTION("QUERY('Volunteer Survey'!O117)"),"Yes")</f>
        <v>Yes</v>
      </c>
      <c r="W110" s="60" t="str">
        <f ca="1">IFERROR(__xludf.DUMMYFUNCTION("QUERY('Volunteer Survey'!P117)"),"1) Breast/Ovarian Cancer 2) Colorectal Cancer 3) CDH1")</f>
        <v>1) Breast/Ovarian Cancer 2) Colorectal Cancer 3) CDH1</v>
      </c>
      <c r="X110" s="58" t="str">
        <f ca="1">IFERROR(__xludf.DUMMYFUNCTION("QUERY('Volunteer Survey'!R117)"),"Maybe -- please contact me with other options, and I will decide based on what is available")</f>
        <v>Maybe -- please contact me with other options, and I will decide based on what is available</v>
      </c>
      <c r="Y110" s="86" t="s">
        <v>318</v>
      </c>
      <c r="Z110" s="174">
        <f ca="1">IFERROR(__xludf.DUMMYFUNCTION("QUERY('Volunteer Survey'!A109)"),43419.3945254629)</f>
        <v>43419.3945254629</v>
      </c>
      <c r="AA110" s="175" t="str">
        <f ca="1">IFERROR(__xludf.DUMMYFUNCTION("QUERY('Volunteer Survey'!B109)"),"Jennifer Marie Lee")</f>
        <v>Jennifer Marie Lee</v>
      </c>
      <c r="AB110" s="175" t="str">
        <f ca="1">IFERROR(__xludf.DUMMYFUNCTION("QUERY('Volunteer Survey'!C109)"),"National Cancer Institute")</f>
        <v>National Cancer Institute</v>
      </c>
      <c r="AC110" s="175" t="str">
        <f ca="1">IFERROR(__xludf.DUMMYFUNCTION("QUERY('Volunteer Survey'!D109)"),"MD")</f>
        <v>MD</v>
      </c>
      <c r="AD110" s="175" t="str">
        <f ca="1">IFERROR(__xludf.DUMMYFUNCTION("QUERY('Volunteer Survey'!E109)"),"Jennifer.Lee2@nih.gov")</f>
        <v>Jennifer.Lee2@nih.gov</v>
      </c>
      <c r="AE110" s="175" t="str">
        <f ca="1">IFERROR(__xludf.DUMMYFUNCTION("QUERY('Volunteer Survey'!F109)"),"Scientific Researcher")</f>
        <v>Scientific Researcher</v>
      </c>
      <c r="AF110" s="175" t="str">
        <f ca="1">IFERROR(__xludf.DUMMYFUNCTION("QUERY('Volunteer Survey'!G109)"),"NA")</f>
        <v>NA</v>
      </c>
      <c r="AG110" s="175" t="str">
        <f ca="1">IFERROR(__xludf.DUMMYFUNCTION("QUERY('Volunteer Survey'!H109)"),"Comprehensive")</f>
        <v>Comprehensive</v>
      </c>
      <c r="AH110" s="175" t="str">
        <f ca="1">IFERROR(__xludf.DUMMYFUNCTION("QUERY('Volunteer Survey'!I109)"),"Clinical Actionability")</f>
        <v>Clinical Actionability</v>
      </c>
      <c r="AI110" s="175" t="str">
        <f ca="1">IFERROR(__xludf.DUMMYFUNCTION("QUERY('Volunteer Survey'!J109)"),"Somatic Cancer")</f>
        <v>Somatic Cancer</v>
      </c>
      <c r="AJ110" s="175" t="str">
        <f ca="1">IFERROR(__xludf.DUMMYFUNCTION("QUERY('Volunteer Survey'!K109)"),"Gene-Disease Validity")</f>
        <v>Gene-Disease Validity</v>
      </c>
      <c r="AK110" s="175" t="str">
        <f ca="1">IFERROR(__xludf.DUMMYFUNCTION("QUERY('Volunteer Survey'!L109)"),"Variant Pathogenicity")</f>
        <v>Variant Pathogenicity</v>
      </c>
      <c r="AL110" s="175" t="str">
        <f ca="1">IFERROR(__xludf.DUMMYFUNCTION("QUERY('Volunteer Survey'!M109)"),"")</f>
        <v/>
      </c>
      <c r="AM110" s="175" t="str">
        <f ca="1">IFERROR(__xludf.DUMMYFUNCTION("QUERY('Volunteer Survey'!N109)"),"Yes")</f>
        <v>Yes</v>
      </c>
      <c r="AN110" s="175" t="str">
        <f ca="1">IFERROR(__xludf.DUMMYFUNCTION("QUERY('Volunteer Survey'!O109)"),"Possibly")</f>
        <v>Possibly</v>
      </c>
      <c r="AO110" s="175" t="str">
        <f ca="1">IFERROR(__xludf.DUMMYFUNCTION("QUERY('Volunteer Survey'!P109)"),"NA")</f>
        <v>NA</v>
      </c>
    </row>
    <row r="111" spans="1:41" ht="14">
      <c r="A111" s="44">
        <f ca="1">IFERROR(__xludf.DUMMYFUNCTION("QUERY('Volunteer Survey'!A118)"),43439.427199074)</f>
        <v>43439.427199074002</v>
      </c>
      <c r="B111" s="42" t="s">
        <v>168</v>
      </c>
      <c r="C111" s="73">
        <v>43452</v>
      </c>
      <c r="D111" s="49"/>
      <c r="E111" s="42" t="s">
        <v>130</v>
      </c>
      <c r="F111" s="42" t="s">
        <v>130</v>
      </c>
      <c r="G111" s="42" t="s">
        <v>136</v>
      </c>
      <c r="H111" s="47"/>
      <c r="I111" s="45" t="s">
        <v>139</v>
      </c>
      <c r="J111" s="49"/>
      <c r="K111" s="49"/>
      <c r="L111" s="49" t="str">
        <f ca="1">IFERROR(__xludf.DUMMYFUNCTION("QUERY('Volunteer Survey'!B118)"),"Pandurang Kolekar")</f>
        <v>Pandurang Kolekar</v>
      </c>
      <c r="M111" s="49" t="str">
        <f ca="1">IFERROR(__xludf.DUMMYFUNCTION("QUERY('Volunteer Survey'!E118)"),"pandurang.kolekar@gmail.com")</f>
        <v>pandurang.kolekar@gmail.com</v>
      </c>
      <c r="N111" s="49" t="str">
        <f ca="1">IFERROR(__xludf.DUMMYFUNCTION("QUERY('Volunteer Survey'!F118)"),"""Scientific Researcher, Biocurator, Variant Analyst/Scientist, Other (please specify): Bioinformatics Engineer""")</f>
        <v>"Scientific Researcher, Biocurator, Variant Analyst/Scientist, Other (please specify): Bioinformatics Engineer"</v>
      </c>
      <c r="O111" s="42" t="str">
        <f ca="1">IFERROR(__xludf.DUMMYFUNCTION("QUERY('Volunteer Survey'!H118)"),"Comprehensive")</f>
        <v>Comprehensive</v>
      </c>
      <c r="P111" s="49" t="str">
        <f ca="1">IFERROR(__xludf.DUMMYFUNCTION("QUERY('Volunteer Survey'!I118)"),"Somatic Cancer")</f>
        <v>Somatic Cancer</v>
      </c>
      <c r="Q111" s="54" t="str">
        <f ca="1">IFERROR(__xludf.DUMMYFUNCTION("QUERY('Volunteer Survey'!J118)"),"Variant Pathogenicity")</f>
        <v>Variant Pathogenicity</v>
      </c>
      <c r="R111" s="49" t="str">
        <f ca="1">IFERROR(__xludf.DUMMYFUNCTION("QUERY('Volunteer Survey'!K118)"),"Gene-Disease Validity")</f>
        <v>Gene-Disease Validity</v>
      </c>
      <c r="S111" s="49" t="str">
        <f ca="1">IFERROR(__xludf.DUMMYFUNCTION("QUERY('Volunteer Survey'!L118)"),"Clinical Actionability")</f>
        <v>Clinical Actionability</v>
      </c>
      <c r="T111" s="49" t="str">
        <f ca="1">IFERROR(__xludf.DUMMYFUNCTION("QUERY('Volunteer Survey'!M118)"),"Dosage Sensitivity")</f>
        <v>Dosage Sensitivity</v>
      </c>
      <c r="U111" s="58" t="str">
        <f ca="1">IFERROR(__xludf.DUMMYFUNCTION("QUERY('Volunteer Survey'!N118)"),"Yes")</f>
        <v>Yes</v>
      </c>
      <c r="V111" s="49" t="str">
        <f ca="1">IFERROR(__xludf.DUMMYFUNCTION("QUERY('Volunteer Survey'!O118)"),"Possibly")</f>
        <v>Possibly</v>
      </c>
      <c r="W111" s="60" t="str">
        <f ca="1">IFERROR(__xludf.DUMMYFUNCTION("QUERY('Volunteer Survey'!P118)"),"Somatic cancer WG")</f>
        <v>Somatic cancer WG</v>
      </c>
      <c r="X111" s="58" t="str">
        <f ca="1">IFERROR(__xludf.DUMMYFUNCTION("QUERY('Volunteer Survey'!R118)"),"Maybe -- please contact me with other options, and I will decide based on what is available")</f>
        <v>Maybe -- please contact me with other options, and I will decide based on what is available</v>
      </c>
      <c r="Y111" s="47"/>
      <c r="Z111" s="174">
        <f ca="1">IFERROR(__xludf.DUMMYFUNCTION("QUERY('Volunteer Survey'!A110)"),43430.4000462963)</f>
        <v>43430.400046296301</v>
      </c>
      <c r="AA111" s="175" t="str">
        <f ca="1">IFERROR(__xludf.DUMMYFUNCTION("QUERY('Volunteer Survey'!B110)"),"Laura Fuqua")</f>
        <v>Laura Fuqua</v>
      </c>
      <c r="AB111" s="175" t="str">
        <f ca="1">IFERROR(__xludf.DUMMYFUNCTION("QUERY('Volunteer Survey'!C110)"),"NA")</f>
        <v>NA</v>
      </c>
      <c r="AC111" s="175" t="str">
        <f ca="1">IFERROR(__xludf.DUMMYFUNCTION("QUERY('Volunteer Survey'!D110)"),"CA")</f>
        <v>CA</v>
      </c>
      <c r="AD111" s="175" t="str">
        <f ca="1">IFERROR(__xludf.DUMMYFUNCTION("QUERY('Volunteer Survey'!E110)"),"laura.fuqua@gmail.com")</f>
        <v>laura.fuqua@gmail.com</v>
      </c>
      <c r="AE111" s="175" t="str">
        <f ca="1">IFERROR(__xludf.DUMMYFUNCTION("QUERY('Volunteer Survey'!F110)"),"Genetic counselor")</f>
        <v>Genetic counselor</v>
      </c>
      <c r="AF111" s="175" t="str">
        <f ca="1">IFERROR(__xludf.DUMMYFUNCTION("QUERY('Volunteer Survey'!G110)"),"NA")</f>
        <v>NA</v>
      </c>
      <c r="AG111" s="175" t="str">
        <f ca="1">IFERROR(__xludf.DUMMYFUNCTION("QUERY('Volunteer Survey'!H110)"),"Comprehensive")</f>
        <v>Comprehensive</v>
      </c>
      <c r="AH111" s="175" t="str">
        <f ca="1">IFERROR(__xludf.DUMMYFUNCTION("QUERY('Volunteer Survey'!I110)"),"Somatic Cancer")</f>
        <v>Somatic Cancer</v>
      </c>
      <c r="AI111" s="175" t="str">
        <f ca="1">IFERROR(__xludf.DUMMYFUNCTION("QUERY('Volunteer Survey'!J110)"),"Variant Pathogenicity")</f>
        <v>Variant Pathogenicity</v>
      </c>
      <c r="AJ111" s="175" t="str">
        <f ca="1">IFERROR(__xludf.DUMMYFUNCTION("QUERY('Volunteer Survey'!K110)"),"Clinical Actionability")</f>
        <v>Clinical Actionability</v>
      </c>
      <c r="AK111" s="175" t="str">
        <f ca="1">IFERROR(__xludf.DUMMYFUNCTION("QUERY('Volunteer Survey'!L110)"),"Dosage Sensitivity")</f>
        <v>Dosage Sensitivity</v>
      </c>
      <c r="AL111" s="175" t="str">
        <f ca="1">IFERROR(__xludf.DUMMYFUNCTION("QUERY('Volunteer Survey'!M110)"),"Gene-Disease Validity")</f>
        <v>Gene-Disease Validity</v>
      </c>
      <c r="AM111" s="175" t="str">
        <f ca="1">IFERROR(__xludf.DUMMYFUNCTION("QUERY('Volunteer Survey'!N110)"),"Yes")</f>
        <v>Yes</v>
      </c>
      <c r="AN111" s="175" t="str">
        <f ca="1">IFERROR(__xludf.DUMMYFUNCTION("QUERY('Volunteer Survey'!O110)"),"Yes")</f>
        <v>Yes</v>
      </c>
      <c r="AO111" s="175" t="str">
        <f ca="1">IFERROR(__xludf.DUMMYFUNCTION("QUERY('Volunteer Survey'!P110)"),"NA")</f>
        <v>NA</v>
      </c>
    </row>
    <row r="112" spans="1:41" ht="14">
      <c r="A112" s="44">
        <f ca="1">IFERROR(__xludf.DUMMYFUNCTION("QUERY('Volunteer Survey'!A119)"),43494.4564740856)</f>
        <v>43494.4564740856</v>
      </c>
      <c r="B112" s="42" t="s">
        <v>168</v>
      </c>
      <c r="C112" s="47"/>
      <c r="D112" s="49"/>
      <c r="E112" s="42" t="s">
        <v>130</v>
      </c>
      <c r="F112" s="42" t="s">
        <v>130</v>
      </c>
      <c r="G112" s="42" t="s">
        <v>19</v>
      </c>
      <c r="H112" s="63"/>
      <c r="I112" s="63" t="s">
        <v>139</v>
      </c>
      <c r="J112" s="49"/>
      <c r="K112" s="49"/>
      <c r="L112" s="49" t="str">
        <f ca="1">IFERROR(__xludf.DUMMYFUNCTION("QUERY('Volunteer Survey'!B119)"),"Samata Singhi")</f>
        <v>Samata Singhi</v>
      </c>
      <c r="M112" s="49" t="str">
        <f ca="1">IFERROR(__xludf.DUMMYFUNCTION("QUERY('Volunteer Survey'!E119)"),"samata.singhi@gmail.com")</f>
        <v>samata.singhi@gmail.com</v>
      </c>
      <c r="N112" s="49" t="str">
        <f ca="1">IFERROR(__xludf.DUMMYFUNCTION("QUERY('Volunteer Survey'!F119)"),"Physician (Non-geneticist)")</f>
        <v>Physician (Non-geneticist)</v>
      </c>
      <c r="O112" s="42" t="str">
        <f ca="1">IFERROR(__xludf.DUMMYFUNCTION("QUERY('Volunteer Survey'!H119)"),"Comprehensive")</f>
        <v>Comprehensive</v>
      </c>
      <c r="P112" s="49" t="str">
        <f ca="1">IFERROR(__xludf.DUMMYFUNCTION("QUERY('Volunteer Survey'!I119)"),"Clinical Actionability")</f>
        <v>Clinical Actionability</v>
      </c>
      <c r="Q112" s="54" t="str">
        <f ca="1">IFERROR(__xludf.DUMMYFUNCTION("QUERY('Volunteer Survey'!J119)"),"Gene-Disease Validity")</f>
        <v>Gene-Disease Validity</v>
      </c>
      <c r="R112" s="49" t="str">
        <f ca="1">IFERROR(__xludf.DUMMYFUNCTION("QUERY('Volunteer Survey'!K119)"),"")</f>
        <v/>
      </c>
      <c r="S112" s="49" t="str">
        <f ca="1">IFERROR(__xludf.DUMMYFUNCTION("QUERY('Volunteer Survey'!L119)"),"")</f>
        <v/>
      </c>
      <c r="T112" s="49" t="str">
        <f ca="1">IFERROR(__xludf.DUMMYFUNCTION("QUERY('Volunteer Survey'!M119)"),"")</f>
        <v/>
      </c>
      <c r="U112" s="58" t="str">
        <f ca="1">IFERROR(__xludf.DUMMYFUNCTION("QUERY('Volunteer Survey'!N119)"),"")</f>
        <v/>
      </c>
      <c r="V112" s="49" t="str">
        <f ca="1">IFERROR(__xludf.DUMMYFUNCTION("QUERY('Volunteer Survey'!O119)"),"Possibly")</f>
        <v>Possibly</v>
      </c>
      <c r="W112" s="60" t="str">
        <f ca="1">IFERROR(__xludf.DUMMYFUNCTION("QUERY('Volunteer Survey'!P119)"),"Epilepsy")</f>
        <v>Epilepsy</v>
      </c>
      <c r="X112" s="58" t="str">
        <f ca="1">IFERROR(__xludf.DUMMYFUNCTION("QUERY('Volunteer Survey'!R119)"),"Maybe -- please contact me with other options, and I will decide based on what is available")</f>
        <v>Maybe -- please contact me with other options, and I will decide based on what is available</v>
      </c>
      <c r="Y112" s="47"/>
      <c r="Z112" s="174">
        <f ca="1">IFERROR(__xludf.DUMMYFUNCTION("QUERY('Volunteer Survey'!A111)"),43437.4019097222)</f>
        <v>43437.401909722197</v>
      </c>
      <c r="AA112" s="175" t="str">
        <f ca="1">IFERROR(__xludf.DUMMYFUNCTION("QUERY('Volunteer Survey'!B111)"),"Morgan Similuk")</f>
        <v>Morgan Similuk</v>
      </c>
      <c r="AB112" s="175" t="str">
        <f ca="1">IFERROR(__xludf.DUMMYFUNCTION("QUERY('Volunteer Survey'!C111)"),"NIAID/NIH")</f>
        <v>NIAID/NIH</v>
      </c>
      <c r="AC112" s="175" t="str">
        <f ca="1">IFERROR(__xludf.DUMMYFUNCTION("QUERY('Volunteer Survey'!D111)"),"Bethesda, MD")</f>
        <v>Bethesda, MD</v>
      </c>
      <c r="AD112" s="175" t="str">
        <f ca="1">IFERROR(__xludf.DUMMYFUNCTION("QUERY('Volunteer Survey'!E111)"),"Morgan.similuk@nih.gov")</f>
        <v>Morgan.similuk@nih.gov</v>
      </c>
      <c r="AE112" s="175" t="str">
        <f ca="1">IFERROR(__xludf.DUMMYFUNCTION("QUERY('Volunteer Survey'!F111)"),"Genetic counselor")</f>
        <v>Genetic counselor</v>
      </c>
      <c r="AF112" s="175" t="str">
        <f ca="1">IFERROR(__xludf.DUMMYFUNCTION("QUERY('Volunteer Survey'!G111)"),"NA")</f>
        <v>NA</v>
      </c>
      <c r="AG112" s="175" t="str">
        <f ca="1">IFERROR(__xludf.DUMMYFUNCTION("QUERY('Volunteer Survey'!H111)"),"Comprehensive")</f>
        <v>Comprehensive</v>
      </c>
      <c r="AH112" s="175" t="str">
        <f ca="1">IFERROR(__xludf.DUMMYFUNCTION("QUERY('Volunteer Survey'!I111)"),"Clinical Actionability")</f>
        <v>Clinical Actionability</v>
      </c>
      <c r="AI112" s="175" t="str">
        <f ca="1">IFERROR(__xludf.DUMMYFUNCTION("QUERY('Volunteer Survey'!J111)"),"Gene-Disease Validity")</f>
        <v>Gene-Disease Validity</v>
      </c>
      <c r="AJ112" s="175" t="str">
        <f ca="1">IFERROR(__xludf.DUMMYFUNCTION("QUERY('Volunteer Survey'!K111)"),"Variant Pathogenicity")</f>
        <v>Variant Pathogenicity</v>
      </c>
      <c r="AK112" s="175" t="str">
        <f ca="1">IFERROR(__xludf.DUMMYFUNCTION("QUERY('Volunteer Survey'!L111)"),"Dosage Sensitivity")</f>
        <v>Dosage Sensitivity</v>
      </c>
      <c r="AL112" s="175" t="str">
        <f ca="1">IFERROR(__xludf.DUMMYFUNCTION("QUERY('Volunteer Survey'!M111)"),"Somatic Cancer")</f>
        <v>Somatic Cancer</v>
      </c>
      <c r="AM112" s="175" t="str">
        <f ca="1">IFERROR(__xludf.DUMMYFUNCTION("QUERY('Volunteer Survey'!N111)"),"Yes")</f>
        <v>Yes</v>
      </c>
      <c r="AN112" s="175" t="str">
        <f ca="1">IFERROR(__xludf.DUMMYFUNCTION("QUERY('Volunteer Survey'!O111)"),"No")</f>
        <v>No</v>
      </c>
      <c r="AO112" s="175" t="str">
        <f ca="1">IFERROR(__xludf.DUMMYFUNCTION("QUERY('Volunteer Survey'!P111)"),"NA")</f>
        <v>NA</v>
      </c>
    </row>
    <row r="113" spans="1:41" ht="14">
      <c r="A113" s="44">
        <f ca="1">IFERROR(__xludf.DUMMYFUNCTION("QUERY('Volunteer Survey'!A120)"),43496.5735918171)</f>
        <v>43496.573591817098</v>
      </c>
      <c r="B113" s="42" t="s">
        <v>108</v>
      </c>
      <c r="C113" s="47"/>
      <c r="D113" s="59">
        <v>43692</v>
      </c>
      <c r="E113" s="42" t="s">
        <v>117</v>
      </c>
      <c r="F113" s="42" t="s">
        <v>130</v>
      </c>
      <c r="G113" s="42" t="s">
        <v>122</v>
      </c>
      <c r="H113" s="47"/>
      <c r="I113" s="45" t="s">
        <v>139</v>
      </c>
      <c r="J113" s="49"/>
      <c r="K113" s="49"/>
      <c r="L113" s="49" t="str">
        <f ca="1">IFERROR(__xludf.DUMMYFUNCTION("QUERY('Volunteer Survey'!B120)"),"Szabolcs Szelinger")</f>
        <v>Szabolcs Szelinger</v>
      </c>
      <c r="M113" s="49" t="str">
        <f ca="1">IFERROR(__xludf.DUMMYFUNCTION("QUERY('Volunteer Survey'!E120)"),"sszelinger@tgen.org")</f>
        <v>sszelinger@tgen.org</v>
      </c>
      <c r="N113" s="49" t="str">
        <f ca="1">IFERROR(__xludf.DUMMYFUNCTION("QUERY('Volunteer Survey'!F120)"),"Clinical laboratory geneticist")</f>
        <v>Clinical laboratory geneticist</v>
      </c>
      <c r="O113" s="42" t="str">
        <f ca="1">IFERROR(__xludf.DUMMYFUNCTION("QUERY('Volunteer Survey'!H120)"),"Comprehensive")</f>
        <v>Comprehensive</v>
      </c>
      <c r="P113" s="49" t="str">
        <f ca="1">IFERROR(__xludf.DUMMYFUNCTION("QUERY('Volunteer Survey'!I120)"),"Gene-Disease Validity")</f>
        <v>Gene-Disease Validity</v>
      </c>
      <c r="Q113" s="54" t="str">
        <f ca="1">IFERROR(__xludf.DUMMYFUNCTION("QUERY('Volunteer Survey'!J120)"),"Variant Pathogenicity")</f>
        <v>Variant Pathogenicity</v>
      </c>
      <c r="R113" s="49" t="str">
        <f ca="1">IFERROR(__xludf.DUMMYFUNCTION("QUERY('Volunteer Survey'!K120)"),"Somatic Cancer")</f>
        <v>Somatic Cancer</v>
      </c>
      <c r="S113" s="49" t="str">
        <f ca="1">IFERROR(__xludf.DUMMYFUNCTION("QUERY('Volunteer Survey'!L120)"),"Clinical Actionability")</f>
        <v>Clinical Actionability</v>
      </c>
      <c r="T113" s="49" t="str">
        <f ca="1">IFERROR(__xludf.DUMMYFUNCTION("QUERY('Volunteer Survey'!M120)"),"")</f>
        <v/>
      </c>
      <c r="U113" s="58" t="str">
        <f ca="1">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V113" s="49" t="str">
        <f ca="1">IFERROR(__xludf.DUMMYFUNCTION("QUERY('Volunteer Survey'!O120)"),"Possibly")</f>
        <v>Possibly</v>
      </c>
      <c r="W113" s="60" t="str">
        <f ca="1">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c r="X113" s="58" t="str">
        <f ca="1">IFERROR(__xludf.DUMMYFUNCTION("QUERY('Volunteer Survey'!R120)"),"Yes- I am willing to volunteer with any available ClinGen group")</f>
        <v>Yes- I am willing to volunteer with any available ClinGen group</v>
      </c>
      <c r="Y113" s="47"/>
      <c r="Z113" s="174">
        <f ca="1">IFERROR(__xludf.DUMMYFUNCTION("QUERY('Volunteer Survey'!A112)"),43439.406574074)</f>
        <v>43439.406574073997</v>
      </c>
      <c r="AA113" s="175" t="str">
        <f ca="1">IFERROR(__xludf.DUMMYFUNCTION("QUERY('Volunteer Survey'!B112)"),"Sandra P Smieszek")</f>
        <v>Sandra P Smieszek</v>
      </c>
      <c r="AB113" s="175" t="str">
        <f ca="1">IFERROR(__xludf.DUMMYFUNCTION("QUERY('Volunteer Survey'!C112)"),"NA")</f>
        <v>NA</v>
      </c>
      <c r="AC113" s="175" t="str">
        <f ca="1">IFERROR(__xludf.DUMMYFUNCTION("QUERY('Volunteer Survey'!D112)"),"DC")</f>
        <v>DC</v>
      </c>
      <c r="AD113" s="175" t="str">
        <f ca="1">IFERROR(__xludf.DUMMYFUNCTION("QUERY('Volunteer Survey'!E112)"),"sps92@case.edu")</f>
        <v>sps92@case.edu</v>
      </c>
      <c r="AE113" s="175" t="str">
        <f ca="1">IFERROR(__xludf.DUMMYFUNCTION("QUERY('Volunteer Survey'!F112)"),"Post Doc/Resident/Fellow (MD and/or PhD)")</f>
        <v>Post Doc/Resident/Fellow (MD and/or PhD)</v>
      </c>
      <c r="AF113" s="175" t="str">
        <f ca="1">IFERROR(__xludf.DUMMYFUNCTION("QUERY('Volunteer Survey'!G112)"),"NA")</f>
        <v>NA</v>
      </c>
      <c r="AG113" s="175" t="str">
        <f ca="1">IFERROR(__xludf.DUMMYFUNCTION("QUERY('Volunteer Survey'!H112)"),"Comprehensive")</f>
        <v>Comprehensive</v>
      </c>
      <c r="AH113" s="175" t="str">
        <f ca="1">IFERROR(__xludf.DUMMYFUNCTION("QUERY('Volunteer Survey'!I112)"),"Clinical Actionability")</f>
        <v>Clinical Actionability</v>
      </c>
      <c r="AI113" s="175" t="str">
        <f ca="1">IFERROR(__xludf.DUMMYFUNCTION("QUERY('Volunteer Survey'!J112)"),"Gene-Disease Validity")</f>
        <v>Gene-Disease Validity</v>
      </c>
      <c r="AJ113" s="175" t="str">
        <f ca="1">IFERROR(__xludf.DUMMYFUNCTION("QUERY('Volunteer Survey'!K112)"),"Variant Pathogenicity")</f>
        <v>Variant Pathogenicity</v>
      </c>
      <c r="AK113" s="175" t="str">
        <f ca="1">IFERROR(__xludf.DUMMYFUNCTION("QUERY('Volunteer Survey'!L112)"),"Dosage Sensitivity")</f>
        <v>Dosage Sensitivity</v>
      </c>
      <c r="AL113" s="175" t="str">
        <f ca="1">IFERROR(__xludf.DUMMYFUNCTION("QUERY('Volunteer Survey'!M112)"),"Somatic Cancer")</f>
        <v>Somatic Cancer</v>
      </c>
      <c r="AM113" s="175" t="str">
        <f ca="1">IFERROR(__xludf.DUMMYFUNCTION("QUERY('Volunteer Survey'!N112)"),"Yes")</f>
        <v>Yes</v>
      </c>
      <c r="AN113" s="175" t="str">
        <f ca="1">IFERROR(__xludf.DUMMYFUNCTION("QUERY('Volunteer Survey'!O112)"),"No")</f>
        <v>No</v>
      </c>
      <c r="AO113" s="175" t="str">
        <f ca="1">IFERROR(__xludf.DUMMYFUNCTION("QUERY('Volunteer Survey'!P112)"),"Autism")</f>
        <v>Autism</v>
      </c>
    </row>
    <row r="114" spans="1:41" ht="14">
      <c r="A114" s="44">
        <f ca="1">IFERROR(__xludf.DUMMYFUNCTION("QUERY('Volunteer Survey'!A121)"),43431.4727662037)</f>
        <v>43431.472766203697</v>
      </c>
      <c r="B114" s="42" t="s">
        <v>168</v>
      </c>
      <c r="C114" s="73">
        <v>43452</v>
      </c>
      <c r="D114" s="49"/>
      <c r="E114" s="42" t="s">
        <v>130</v>
      </c>
      <c r="F114" s="42" t="s">
        <v>130</v>
      </c>
      <c r="G114" s="42" t="s">
        <v>136</v>
      </c>
      <c r="H114" s="47"/>
      <c r="I114" s="45" t="s">
        <v>139</v>
      </c>
      <c r="J114" s="49"/>
      <c r="K114" s="49"/>
      <c r="L114" s="49" t="str">
        <f ca="1">IFERROR(__xludf.DUMMYFUNCTION("QUERY('Volunteer Survey'!B121)"),"Jianhong Zhou")</f>
        <v>Jianhong Zhou</v>
      </c>
      <c r="M114" s="49" t="str">
        <f ca="1">IFERROR(__xludf.DUMMYFUNCTION("QUERY('Volunteer Survey'!E121)"),"jhzhou2008@hotmail.com")</f>
        <v>jhzhou2008@hotmail.com</v>
      </c>
      <c r="N114" s="49" t="str">
        <f ca="1">IFERROR(__xludf.DUMMYFUNCTION("QUERY('Volunteer Survey'!F121)"),"Post Doc/Resident/Fellow (MD and/or Phd), Scientific Researcher, Focus on bioinformatics and computational biology")</f>
        <v>Post Doc/Resident/Fellow (MD and/or Phd), Scientific Researcher, Focus on bioinformatics and computational biology</v>
      </c>
      <c r="O114" s="42" t="str">
        <f ca="1">IFERROR(__xludf.DUMMYFUNCTION("QUERY('Volunteer Survey'!H121)"),"Comprehensive")</f>
        <v>Comprehensive</v>
      </c>
      <c r="P114" s="49" t="str">
        <f ca="1">IFERROR(__xludf.DUMMYFUNCTION("QUERY('Volunteer Survey'!I121)"),"Somatic Cancer")</f>
        <v>Somatic Cancer</v>
      </c>
      <c r="Q114" s="54" t="str">
        <f ca="1">IFERROR(__xludf.DUMMYFUNCTION("QUERY('Volunteer Survey'!J121)"),"Gene-Disease Validity")</f>
        <v>Gene-Disease Validity</v>
      </c>
      <c r="R114" s="49" t="str">
        <f ca="1">IFERROR(__xludf.DUMMYFUNCTION("QUERY('Volunteer Survey'!K121)"),"Variant Pathogenicity")</f>
        <v>Variant Pathogenicity</v>
      </c>
      <c r="S114" s="49" t="str">
        <f ca="1">IFERROR(__xludf.DUMMYFUNCTION("QUERY('Volunteer Survey'!L121)"),"Clinical Actionability")</f>
        <v>Clinical Actionability</v>
      </c>
      <c r="T114" s="49" t="str">
        <f ca="1">IFERROR(__xludf.DUMMYFUNCTION("QUERY('Volunteer Survey'!M121)"),"Dosage Sensitivity")</f>
        <v>Dosage Sensitivity</v>
      </c>
      <c r="U114" s="58" t="str">
        <f ca="1">IFERROR(__xludf.DUMMYFUNCTION("QUERY('Volunteer Survey'!N121)"),"No")</f>
        <v>No</v>
      </c>
      <c r="V114" s="49" t="str">
        <f ca="1">IFERROR(__xludf.DUMMYFUNCTION("QUERY('Volunteer Survey'!O121)"),"Yes")</f>
        <v>Yes</v>
      </c>
      <c r="W114" s="60" t="str">
        <f ca="1">IFERROR(__xludf.DUMMYFUNCTION("QUERY('Volunteer Survey'!P121)"),"Somatic Cancer WG")</f>
        <v>Somatic Cancer WG</v>
      </c>
      <c r="X114" s="58" t="str">
        <f ca="1">IFERROR(__xludf.DUMMYFUNCTION("QUERY('Volunteer Survey'!R121)"),"Yes- I am willing to volunteer with any available ClinGen group")</f>
        <v>Yes- I am willing to volunteer with any available ClinGen group</v>
      </c>
      <c r="Y114" s="47"/>
      <c r="Z114" s="174">
        <f ca="1">IFERROR(__xludf.DUMMYFUNCTION("QUERY('Volunteer Survey'!A113)"),43488.2157181597)</f>
        <v>43488.215718159699</v>
      </c>
      <c r="AA114" s="175" t="str">
        <f ca="1">IFERROR(__xludf.DUMMYFUNCTION("QUERY('Volunteer Survey'!B113)"),"Can Ding")</f>
        <v>Can Ding</v>
      </c>
      <c r="AB114" s="175" t="str">
        <f ca="1">IFERROR(__xludf.DUMMYFUNCTION("QUERY('Volunteer Survey'!C113)"),"Institut für Humangenetik")</f>
        <v>Institut für Humangenetik</v>
      </c>
      <c r="AC114" s="175" t="str">
        <f ca="1">IFERROR(__xludf.DUMMYFUNCTION("QUERY('Volunteer Survey'!D113)"),"Langenbeckstr. 1, 55131 Mainz, Germany")</f>
        <v>Langenbeckstr. 1, 55131 Mainz, Germany</v>
      </c>
      <c r="AD114" s="175" t="str">
        <f ca="1">IFERROR(__xludf.DUMMYFUNCTION("QUERY('Volunteer Survey'!E113)"),"can.ding@unimedizin-mainz.de")</f>
        <v>can.ding@unimedizin-mainz.de</v>
      </c>
      <c r="AE114" s="175" t="str">
        <f ca="1">IFERROR(__xludf.DUMMYFUNCTION("QUERY('Volunteer Survey'!F113)"),"Clinical Medical Geneticist")</f>
        <v>Clinical Medical Geneticist</v>
      </c>
      <c r="AF114" s="175" t="str">
        <f ca="1">IFERROR(__xludf.DUMMYFUNCTION("QUERY('Volunteer Survey'!G113)"),"I am a medical clinical genetist in training. Previously I was a neurologist in training and during my PhD I conducted reaserch in muscular disorders. Thus, neurogenetist is my special interest. ")</f>
        <v xml:space="preserve">I am a medical clinical genetist in training. Previously I was a neurologist in training and during my PhD I conducted reaserch in muscular disorders. Thus, neurogenetist is my special interest. </v>
      </c>
      <c r="AG114" s="175" t="str">
        <f ca="1">IFERROR(__xludf.DUMMYFUNCTION("QUERY('Volunteer Survey'!H113)"),"Baseline")</f>
        <v>Baseline</v>
      </c>
      <c r="AH114" s="175" t="str">
        <f ca="1">IFERROR(__xludf.DUMMYFUNCTION("QUERY('Volunteer Survey'!I113)"),"Gene-Disease Validity")</f>
        <v>Gene-Disease Validity</v>
      </c>
      <c r="AI114" s="175" t="str">
        <f ca="1">IFERROR(__xludf.DUMMYFUNCTION("QUERY('Volunteer Survey'!J113)"),"Variant Pathogenicity")</f>
        <v>Variant Pathogenicity</v>
      </c>
      <c r="AJ114" s="175" t="str">
        <f ca="1">IFERROR(__xludf.DUMMYFUNCTION("QUERY('Volunteer Survey'!K113)"),"Clinical Actionability")</f>
        <v>Clinical Actionability</v>
      </c>
      <c r="AK114" s="175" t="str">
        <f ca="1">IFERROR(__xludf.DUMMYFUNCTION("QUERY('Volunteer Survey'!L113)"),"Dosage Sensitivity")</f>
        <v>Dosage Sensitivity</v>
      </c>
      <c r="AL114" s="175" t="str">
        <f ca="1">IFERROR(__xludf.DUMMYFUNCTION("QUERY('Volunteer Survey'!M113)"),"Somatic Cancer")</f>
        <v>Somatic Cancer</v>
      </c>
      <c r="AM114" s="175" t="str">
        <f ca="1">IFERROR(__xludf.DUMMYFUNCTION("QUERY('Volunteer Survey'!N113)"),"I have over two years experiences in variant classification.")</f>
        <v>I have over two years experiences in variant classification.</v>
      </c>
      <c r="AN114" s="175" t="str">
        <f ca="1">IFERROR(__xludf.DUMMYFUNCTION("QUERY('Volunteer Survey'!O113)"),"Yes")</f>
        <v>Yes</v>
      </c>
      <c r="AO114" s="175" t="str">
        <f ca="1">IFERROR(__xludf.DUMMYFUNCTION("QUERY('Volunteer Survey'!P113)"),"I would be interested in a muscular disorder group.")</f>
        <v>I would be interested in a muscular disorder group.</v>
      </c>
    </row>
    <row r="115" spans="1:41" ht="14">
      <c r="A115" s="44">
        <f ca="1">IFERROR(__xludf.DUMMYFUNCTION("QUERY('Volunteer Survey'!A122)"),43498.5072570138)</f>
        <v>43498.5072570138</v>
      </c>
      <c r="B115" s="42" t="s">
        <v>168</v>
      </c>
      <c r="C115" s="47"/>
      <c r="D115" s="67">
        <v>43567</v>
      </c>
      <c r="E115" s="42" t="s">
        <v>117</v>
      </c>
      <c r="F115" s="42" t="s">
        <v>117</v>
      </c>
      <c r="G115" s="42" t="s">
        <v>19</v>
      </c>
      <c r="H115" s="63" t="s">
        <v>19</v>
      </c>
      <c r="I115" s="63" t="s">
        <v>139</v>
      </c>
      <c r="J115" s="50">
        <v>43712</v>
      </c>
      <c r="K115" s="50"/>
      <c r="L115" s="49" t="str">
        <f ca="1">IFERROR(__xludf.DUMMYFUNCTION("QUERY('Volunteer Survey'!B122)"),"Ramesh Vaidyanathan")</f>
        <v>Ramesh Vaidyanathan</v>
      </c>
      <c r="M115" s="49" t="str">
        <f ca="1">IFERROR(__xludf.DUMMYFUNCTION("QUERY('Volunteer Survey'!E122)"),"vaid@rocketmail.com")</f>
        <v>vaid@rocketmail.com</v>
      </c>
      <c r="N115" s="49" t="str">
        <f ca="1">IFERROR(__xludf.DUMMYFUNCTION("QUERY('Volunteer Survey'!F122)"),"Biotech Professional with Biochemistry and Genomics background and a Citizen Scientist")</f>
        <v>Biotech Professional with Biochemistry and Genomics background and a Citizen Scientist</v>
      </c>
      <c r="O115" s="42" t="str">
        <f ca="1">IFERROR(__xludf.DUMMYFUNCTION("QUERY('Volunteer Survey'!H122)"),"Comprehensive")</f>
        <v>Comprehensive</v>
      </c>
      <c r="P115" s="49" t="str">
        <f ca="1">IFERROR(__xludf.DUMMYFUNCTION("QUERY('Volunteer Survey'!I122)"),"Clinical Actionability")</f>
        <v>Clinical Actionability</v>
      </c>
      <c r="Q115" s="54" t="str">
        <f ca="1">IFERROR(__xludf.DUMMYFUNCTION("QUERY('Volunteer Survey'!J122)"),"Dosage Sensitivity")</f>
        <v>Dosage Sensitivity</v>
      </c>
      <c r="R115" s="49" t="str">
        <f ca="1">IFERROR(__xludf.DUMMYFUNCTION("QUERY('Volunteer Survey'!K122)"),"Somatic Cancer")</f>
        <v>Somatic Cancer</v>
      </c>
      <c r="S115" s="49" t="str">
        <f ca="1">IFERROR(__xludf.DUMMYFUNCTION("QUERY('Volunteer Survey'!L122)"),"Gene-Disease Validity")</f>
        <v>Gene-Disease Validity</v>
      </c>
      <c r="T115" s="49" t="str">
        <f ca="1">IFERROR(__xludf.DUMMYFUNCTION("QUERY('Volunteer Survey'!M122)"),"Variant Pathogenicity")</f>
        <v>Variant Pathogenicity</v>
      </c>
      <c r="U115" s="58" t="str">
        <f ca="1">IFERROR(__xludf.DUMMYFUNCTION("QUERY('Volunteer Survey'!N122)"),"No ")</f>
        <v xml:space="preserve">No </v>
      </c>
      <c r="V115" s="49" t="str">
        <f ca="1">IFERROR(__xludf.DUMMYFUNCTION("QUERY('Volunteer Survey'!O122)"),"Yes")</f>
        <v>Yes</v>
      </c>
      <c r="W115" s="60" t="str">
        <f ca="1">IFERROR(__xludf.DUMMYFUNCTION("QUERY('Volunteer Survey'!P122)"),"")</f>
        <v/>
      </c>
      <c r="X115" s="58" t="str">
        <f ca="1">IFERROR(__xludf.DUMMYFUNCTION("QUERY('Volunteer Survey'!R122)"),"Yes- I am willing to volunteer with any available ClinGen group")</f>
        <v>Yes- I am willing to volunteer with any available ClinGen group</v>
      </c>
      <c r="Y115" s="47"/>
      <c r="Z115" s="174">
        <f ca="1">IFERROR(__xludf.DUMMYFUNCTION("QUERY('Volunteer Survey'!A114)"),43489.186652662)</f>
        <v>43489.186652662</v>
      </c>
      <c r="AA115" s="175" t="str">
        <f ca="1">IFERROR(__xludf.DUMMYFUNCTION("QUERY('Volunteer Survey'!B114)"),"Milda Auglyte")</f>
        <v>Milda Auglyte</v>
      </c>
      <c r="AB115" s="175" t="str">
        <f ca="1">IFERROR(__xludf.DUMMYFUNCTION("QUERY('Volunteer Survey'!C114)"),"Hospital Universitario Puerta de Hierro Majadahonda")</f>
        <v>Hospital Universitario Puerta de Hierro Majadahonda</v>
      </c>
      <c r="AC115" s="175" t="str">
        <f ca="1">IFERROR(__xludf.DUMMYFUNCTION("QUERY('Volunteer Survey'!D114)"),"Spain")</f>
        <v>Spain</v>
      </c>
      <c r="AD115" s="175" t="str">
        <f ca="1">IFERROR(__xludf.DUMMYFUNCTION("QUERY('Volunteer Survey'!E114)"),"mildaaug@gmail.com")</f>
        <v>mildaaug@gmail.com</v>
      </c>
      <c r="AE115" s="175" t="str">
        <f ca="1">IFERROR(__xludf.DUMMYFUNCTION("QUERY('Volunteer Survey'!F114)"),"Graduate Student")</f>
        <v>Graduate Student</v>
      </c>
      <c r="AF115" s="175" t="str">
        <f ca="1">IFERROR(__xludf.DUMMYFUNCTION("QUERY('Volunteer Survey'!G114)"),"I found Clinical Genome website by an accident by searching genetic variants for my work. This curation community intrigue me by variety of different working groups and at the same time by theirs topics.")</f>
        <v>I found Clinical Genome website by an accident by searching genetic variants for my work. This curation community intrigue me by variety of different working groups and at the same time by theirs topics.</v>
      </c>
      <c r="AG115" s="175" t="str">
        <f ca="1">IFERROR(__xludf.DUMMYFUNCTION("QUERY('Volunteer Survey'!H114)"),"Comprehensive")</f>
        <v>Comprehensive</v>
      </c>
      <c r="AH115" s="175" t="str">
        <f ca="1">IFERROR(__xludf.DUMMYFUNCTION("QUERY('Volunteer Survey'!I114)"),"Somatic Cancer")</f>
        <v>Somatic Cancer</v>
      </c>
      <c r="AI115" s="175" t="str">
        <f ca="1">IFERROR(__xludf.DUMMYFUNCTION("QUERY('Volunteer Survey'!J114)"),"Clinical Actionability")</f>
        <v>Clinical Actionability</v>
      </c>
      <c r="AJ115" s="175" t="str">
        <f ca="1">IFERROR(__xludf.DUMMYFUNCTION("QUERY('Volunteer Survey'!K114)"),"Variant Pathogenicity")</f>
        <v>Variant Pathogenicity</v>
      </c>
      <c r="AK115" s="175" t="str">
        <f ca="1">IFERROR(__xludf.DUMMYFUNCTION("QUERY('Volunteer Survey'!L114)"),"")</f>
        <v/>
      </c>
      <c r="AL115" s="175" t="str">
        <f ca="1">IFERROR(__xludf.DUMMYFUNCTION("QUERY('Volunteer Survey'!M114)"),"")</f>
        <v/>
      </c>
      <c r="AM115" s="175" t="str">
        <f ca="1">IFERROR(__xludf.DUMMYFUNCTION("QUERY('Volunteer Survey'!N114)"),"During my master's I performed NSCLC solid and liquid biopsies testing by target NGS. Nowadays, I'm still continuing this path, but additionally I am working with hereditary breast and ovarian cancer clinical testing.")</f>
        <v>During my master's I performed NSCLC solid and liquid biopsies testing by target NGS. Nowadays, I'm still continuing this path, but additionally I am working with hereditary breast and ovarian cancer clinical testing.</v>
      </c>
      <c r="AN115" s="175" t="str">
        <f ca="1">IFERROR(__xludf.DUMMYFUNCTION("QUERY('Volunteer Survey'!O114)"),"Possibly")</f>
        <v>Possibly</v>
      </c>
      <c r="AO115" s="175" t="str">
        <f ca="1">IFERROR(__xludf.DUMMYFUNCTION("QUERY('Volunteer Survey'!P114)"),"I would be interested in newly forming groups: Breast/Ovarian Cancer, Nonsmall cell lung cancer and Somatic TP53.")</f>
        <v>I would be interested in newly forming groups: Breast/Ovarian Cancer, Nonsmall cell lung cancer and Somatic TP53.</v>
      </c>
    </row>
    <row r="116" spans="1:41" ht="14">
      <c r="A116" s="44">
        <f ca="1">IFERROR(__xludf.DUMMYFUNCTION("QUERY('Volunteer Survey'!A123)"),43504.6443726967)</f>
        <v>43504.644372696697</v>
      </c>
      <c r="B116" s="42" t="s">
        <v>108</v>
      </c>
      <c r="C116" s="47"/>
      <c r="D116" s="43">
        <v>43598</v>
      </c>
      <c r="E116" s="42" t="s">
        <v>117</v>
      </c>
      <c r="F116" s="42" t="s">
        <v>130</v>
      </c>
      <c r="G116" s="42" t="s">
        <v>136</v>
      </c>
      <c r="H116" s="47"/>
      <c r="I116" s="45" t="s">
        <v>139</v>
      </c>
      <c r="J116" s="49"/>
      <c r="K116" s="49"/>
      <c r="L116" s="49" t="str">
        <f ca="1">IFERROR(__xludf.DUMMYFUNCTION("QUERY('Volunteer Survey'!B123)"),"Ranjit Shetty")</f>
        <v>Ranjit Shetty</v>
      </c>
      <c r="M116" s="49" t="str">
        <f ca="1">IFERROR(__xludf.DUMMYFUNCTION("QUERY('Volunteer Survey'!E123)"),"ranjit.shetty@novartis.com")</f>
        <v>ranjit.shetty@novartis.com</v>
      </c>
      <c r="N116" s="49" t="str">
        <f ca="1">IFERROR(__xludf.DUMMYFUNCTION("QUERY('Volunteer Survey'!F123)"),"Scientific Researcher")</f>
        <v>Scientific Researcher</v>
      </c>
      <c r="O116" s="42" t="str">
        <f ca="1">IFERROR(__xludf.DUMMYFUNCTION("QUERY('Volunteer Survey'!H123)"),"Comprehensive")</f>
        <v>Comprehensive</v>
      </c>
      <c r="P116" s="49" t="str">
        <f ca="1">IFERROR(__xludf.DUMMYFUNCTION("QUERY('Volunteer Survey'!I123)"),"Somatic Cancer")</f>
        <v>Somatic Cancer</v>
      </c>
      <c r="Q116" s="54" t="str">
        <f ca="1">IFERROR(__xludf.DUMMYFUNCTION("QUERY('Volunteer Survey'!J123)"),"Variant Pathogenicity")</f>
        <v>Variant Pathogenicity</v>
      </c>
      <c r="R116" s="49" t="str">
        <f ca="1">IFERROR(__xludf.DUMMYFUNCTION("QUERY('Volunteer Survey'!K123)"),"Gene-Disease Validity")</f>
        <v>Gene-Disease Validity</v>
      </c>
      <c r="S116" s="49" t="str">
        <f ca="1">IFERROR(__xludf.DUMMYFUNCTION("QUERY('Volunteer Survey'!L123)"),"Clinical Actionability")</f>
        <v>Clinical Actionability</v>
      </c>
      <c r="T116" s="49" t="str">
        <f ca="1">IFERROR(__xludf.DUMMYFUNCTION("QUERY('Volunteer Survey'!M123)"),"Dosage Sensitivity")</f>
        <v>Dosage Sensitivity</v>
      </c>
      <c r="U116" s="58" t="str">
        <f ca="1">IFERROR(__xludf.DUMMYFUNCTION("QUERY('Volunteer Survey'!N123)"),"Evaluating TP53 and NF2 variants from NGS data")</f>
        <v>Evaluating TP53 and NF2 variants from NGS data</v>
      </c>
      <c r="V116" s="49" t="str">
        <f ca="1">IFERROR(__xludf.DUMMYFUNCTION("QUERY('Volunteer Survey'!O123)"),"No")</f>
        <v>No</v>
      </c>
      <c r="W116" s="60" t="str">
        <f ca="1">IFERROR(__xludf.DUMMYFUNCTION("QUERY('Volunteer Survey'!P123)"),"")</f>
        <v/>
      </c>
      <c r="X116" s="58" t="str">
        <f ca="1">IFERROR(__xludf.DUMMYFUNCTION("QUERY('Volunteer Survey'!R123)"),"Maybe -- please contact me with other options, and I will decide based on what is available")</f>
        <v>Maybe -- please contact me with other options, and I will decide based on what is available</v>
      </c>
      <c r="Y116" s="45" t="s">
        <v>346</v>
      </c>
      <c r="Z116" s="174">
        <f ca="1">IFERROR(__xludf.DUMMYFUNCTION("QUERY('Volunteer Survey'!A115)"),43489.3104167824)</f>
        <v>43489.310416782399</v>
      </c>
      <c r="AA116" s="175" t="str">
        <f ca="1">IFERROR(__xludf.DUMMYFUNCTION("QUERY('Volunteer Survey'!B115)"),"Andres Ressia")</f>
        <v>Andres Ressia</v>
      </c>
      <c r="AB116" s="175" t="str">
        <f ca="1">IFERROR(__xludf.DUMMYFUNCTION("QUERY('Volunteer Survey'!C115)"),"TRIO Oncology")</f>
        <v>TRIO Oncology</v>
      </c>
      <c r="AC116" s="175" t="str">
        <f ca="1">IFERROR(__xludf.DUMMYFUNCTION("QUERY('Volunteer Survey'!D115)"),"Dr. Emilio Frugoni 906 apto 301")</f>
        <v>Dr. Emilio Frugoni 906 apto 301</v>
      </c>
      <c r="AD116" s="175" t="str">
        <f ca="1">IFERROR(__xludf.DUMMYFUNCTION("QUERY('Volunteer Survey'!E115)"),"andresressiacolino@gmail.com")</f>
        <v>andresressiacolino@gmail.com</v>
      </c>
      <c r="AE116" s="175" t="str">
        <f ca="1">IFERROR(__xludf.DUMMYFUNCTION("QUERY('Volunteer Survey'!F115)"),"Post-Bachelors")</f>
        <v>Post-Bachelors</v>
      </c>
      <c r="AF116" s="175" t="str">
        <f ca="1">IFERROR(__xludf.DUMMYFUNCTION("QUERY('Volunteer Survey'!G115)"),"I knew about ClinGen for my work in a national program on Familial Hypercholesterolaemia  in Uruguay. My interest comes from the interest in linking clinic and genetics.")</f>
        <v>I knew about ClinGen for my work in a national program on Familial Hypercholesterolaemia  in Uruguay. My interest comes from the interest in linking clinic and genetics.</v>
      </c>
      <c r="AG116" s="175" t="str">
        <f ca="1">IFERROR(__xludf.DUMMYFUNCTION("QUERY('Volunteer Survey'!H115)"),"Comprehensive")</f>
        <v>Comprehensive</v>
      </c>
      <c r="AH116" s="175" t="str">
        <f ca="1">IFERROR(__xludf.DUMMYFUNCTION("QUERY('Volunteer Survey'!I115)"),"Somatic Cancer")</f>
        <v>Somatic Cancer</v>
      </c>
      <c r="AI116" s="175" t="str">
        <f ca="1">IFERROR(__xludf.DUMMYFUNCTION("QUERY('Volunteer Survey'!J115)"),"Gene-Disease Validity")</f>
        <v>Gene-Disease Validity</v>
      </c>
      <c r="AJ116" s="175" t="str">
        <f ca="1">IFERROR(__xludf.DUMMYFUNCTION("QUERY('Volunteer Survey'!K115)"),"")</f>
        <v/>
      </c>
      <c r="AK116" s="175" t="str">
        <f ca="1">IFERROR(__xludf.DUMMYFUNCTION("QUERY('Volunteer Survey'!L115)"),"")</f>
        <v/>
      </c>
      <c r="AL116" s="175" t="str">
        <f ca="1">IFERROR(__xludf.DUMMYFUNCTION("QUERY('Volunteer Survey'!M115)"),"")</f>
        <v/>
      </c>
      <c r="AM116" s="175" t="str">
        <f ca="1">IFERROR(__xludf.DUMMYFUNCTION("QUERY('Volunteer Survey'!N115)"),"No")</f>
        <v>No</v>
      </c>
      <c r="AN116" s="175" t="str">
        <f ca="1">IFERROR(__xludf.DUMMYFUNCTION("QUERY('Volunteer Survey'!O115)"),"No")</f>
        <v>No</v>
      </c>
      <c r="AO116" s="175" t="str">
        <f ca="1">IFERROR(__xludf.DUMMYFUNCTION("QUERY('Volunteer Survey'!P115)"),"Breast/Ovarian Cancer (newly forming)")</f>
        <v>Breast/Ovarian Cancer (newly forming)</v>
      </c>
    </row>
    <row r="117" spans="1:41" ht="14">
      <c r="A117" s="44">
        <f ca="1">IFERROR(__xludf.DUMMYFUNCTION("QUERY('Volunteer Survey'!A124)"),43510.1569569444)</f>
        <v>43510.156956944396</v>
      </c>
      <c r="B117" s="42" t="s">
        <v>108</v>
      </c>
      <c r="C117" s="47"/>
      <c r="D117" s="59">
        <v>43696</v>
      </c>
      <c r="E117" s="42" t="s">
        <v>117</v>
      </c>
      <c r="F117" s="42" t="s">
        <v>130</v>
      </c>
      <c r="G117" s="42" t="s">
        <v>122</v>
      </c>
      <c r="H117" s="47"/>
      <c r="I117" s="45" t="s">
        <v>139</v>
      </c>
      <c r="J117" s="49"/>
      <c r="K117" s="49"/>
      <c r="L117" s="49" t="str">
        <f ca="1">IFERROR(__xludf.DUMMYFUNCTION("QUERY('Volunteer Survey'!B124)"),"Brooke H. Miller")</f>
        <v>Brooke H. Miller</v>
      </c>
      <c r="M117" s="49" t="str">
        <f ca="1">IFERROR(__xludf.DUMMYFUNCTION("QUERY('Volunteer Survey'!E124)"),"brooke.h.miller@gmail.com")</f>
        <v>brooke.h.miller@gmail.com</v>
      </c>
      <c r="N117" s="49" t="str">
        <f ca="1">IFERROR(__xludf.DUMMYFUNCTION("QUERY('Volunteer Survey'!F124)"),"Scientific Researcher")</f>
        <v>Scientific Researcher</v>
      </c>
      <c r="O117" s="42" t="str">
        <f ca="1">IFERROR(__xludf.DUMMYFUNCTION("QUERY('Volunteer Survey'!H124)"),"Comprehensive")</f>
        <v>Comprehensive</v>
      </c>
      <c r="P117" s="49" t="str">
        <f ca="1">IFERROR(__xludf.DUMMYFUNCTION("QUERY('Volunteer Survey'!I124)"),"Gene-Disease Validity")</f>
        <v>Gene-Disease Validity</v>
      </c>
      <c r="Q117" s="54" t="str">
        <f ca="1">IFERROR(__xludf.DUMMYFUNCTION("QUERY('Volunteer Survey'!J124)"),"Variant Pathogenicity")</f>
        <v>Variant Pathogenicity</v>
      </c>
      <c r="R117" s="49" t="str">
        <f ca="1">IFERROR(__xludf.DUMMYFUNCTION("QUERY('Volunteer Survey'!K124)"),"Clinical Actionability")</f>
        <v>Clinical Actionability</v>
      </c>
      <c r="S117" s="49" t="str">
        <f ca="1">IFERROR(__xludf.DUMMYFUNCTION("QUERY('Volunteer Survey'!L124)"),"")</f>
        <v/>
      </c>
      <c r="T117" s="49" t="str">
        <f ca="1">IFERROR(__xludf.DUMMYFUNCTION("QUERY('Volunteer Survey'!M124)"),"")</f>
        <v/>
      </c>
      <c r="U117" s="58" t="str">
        <f ca="1">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V117" s="49" t="str">
        <f ca="1">IFERROR(__xludf.DUMMYFUNCTION("QUERY('Volunteer Survey'!O124)"),"Possibly")</f>
        <v>Possibly</v>
      </c>
      <c r="W117" s="60" t="str">
        <f ca="1">IFERROR(__xludf.DUMMYFUNCTION("QUERY('Volunteer Survey'!P124)"),"Not at the moment, but wouldn't rule out future involvement")</f>
        <v>Not at the moment, but wouldn't rule out future involvement</v>
      </c>
      <c r="X117" s="58" t="str">
        <f ca="1">IFERROR(__xludf.DUMMYFUNCTION("QUERY('Volunteer Survey'!R124)"),"Yes- I am willing to volunteer with any available ClinGen group")</f>
        <v>Yes- I am willing to volunteer with any available ClinGen group</v>
      </c>
      <c r="Y117" s="47"/>
      <c r="Z117" s="174">
        <f ca="1">IFERROR(__xludf.DUMMYFUNCTION("QUERY('Volunteer Survey'!A116)"),43354.4229282407)</f>
        <v>43354.422928240703</v>
      </c>
      <c r="AA117" s="175" t="str">
        <f ca="1">IFERROR(__xludf.DUMMYFUNCTION("QUERY('Volunteer Survey'!B116)"),"Parisa Lotfi")</f>
        <v>Parisa Lotfi</v>
      </c>
      <c r="AB117" s="175" t="str">
        <f ca="1">IFERROR(__xludf.DUMMYFUNCTION("QUERY('Volunteer Survey'!C116)"),"NA")</f>
        <v>NA</v>
      </c>
      <c r="AC117" s="175" t="str">
        <f ca="1">IFERROR(__xludf.DUMMYFUNCTION("QUERY('Volunteer Survey'!D116)"),"TX")</f>
        <v>TX</v>
      </c>
      <c r="AD117" s="175" t="str">
        <f ca="1">IFERROR(__xludf.DUMMYFUNCTION("QUERY('Volunteer Survey'!E116)"),"Parisa_Lotfi@yahoo.com")</f>
        <v>Parisa_Lotfi@yahoo.com</v>
      </c>
      <c r="AE117" s="175" t="str">
        <f ca="1">IFERROR(__xludf.DUMMYFUNCTION("QUERY('Volunteer Survey'!F116)"),"Post Doc/Resident/Fellow (MD and/or Phd), Scientific Researcher")</f>
        <v>Post Doc/Resident/Fellow (MD and/or Phd), Scientific Researcher</v>
      </c>
      <c r="AF117" s="175" t="str">
        <f ca="1">IFERROR(__xludf.DUMMYFUNCTION("QUERY('Volunteer Survey'!G116)"),"NA")</f>
        <v>NA</v>
      </c>
      <c r="AG117" s="175" t="str">
        <f ca="1">IFERROR(__xludf.DUMMYFUNCTION("QUERY('Volunteer Survey'!H116)"),"Comprehensive")</f>
        <v>Comprehensive</v>
      </c>
      <c r="AH117" s="175" t="str">
        <f ca="1">IFERROR(__xludf.DUMMYFUNCTION("QUERY('Volunteer Survey'!I116)"),"Somatic Cancer")</f>
        <v>Somatic Cancer</v>
      </c>
      <c r="AI117" s="175" t="str">
        <f ca="1">IFERROR(__xludf.DUMMYFUNCTION("QUERY('Volunteer Survey'!J116)"),"Dosage Sensitivity")</f>
        <v>Dosage Sensitivity</v>
      </c>
      <c r="AJ117" s="175" t="str">
        <f ca="1">IFERROR(__xludf.DUMMYFUNCTION("QUERY('Volunteer Survey'!K116)"),"Variant Pathogenicity")</f>
        <v>Variant Pathogenicity</v>
      </c>
      <c r="AK117" s="175" t="str">
        <f ca="1">IFERROR(__xludf.DUMMYFUNCTION("QUERY('Volunteer Survey'!L116)"),"Gene-Disease Validity")</f>
        <v>Gene-Disease Validity</v>
      </c>
      <c r="AL117" s="175" t="str">
        <f ca="1">IFERROR(__xludf.DUMMYFUNCTION("QUERY('Volunteer Survey'!M116)"),"")</f>
        <v/>
      </c>
      <c r="AM117" s="175" t="str">
        <f ca="1">IFERROR(__xludf.DUMMYFUNCTION("QUERY('Volunteer Survey'!N116)"),"no")</f>
        <v>no</v>
      </c>
      <c r="AN117" s="175" t="str">
        <f ca="1">IFERROR(__xludf.DUMMYFUNCTION("QUERY('Volunteer Survey'!O116)"),"Possibly")</f>
        <v>Possibly</v>
      </c>
      <c r="AO117" s="175" t="str">
        <f ca="1">IFERROR(__xludf.DUMMYFUNCTION("QUERY('Volunteer Survey'!P116)"),"intellectual disability/autism group")</f>
        <v>intellectual disability/autism group</v>
      </c>
    </row>
    <row r="118" spans="1:41" ht="14">
      <c r="A118" s="44">
        <f ca="1">IFERROR(__xludf.DUMMYFUNCTION("QUERY('Volunteer Survey'!A125)"),43510.645928368)</f>
        <v>43510.645928368001</v>
      </c>
      <c r="B118" s="42" t="s">
        <v>168</v>
      </c>
      <c r="C118" s="47"/>
      <c r="D118" s="49"/>
      <c r="E118" s="42" t="s">
        <v>130</v>
      </c>
      <c r="F118" s="42" t="s">
        <v>130</v>
      </c>
      <c r="G118" s="42" t="s">
        <v>163</v>
      </c>
      <c r="H118" s="47"/>
      <c r="I118" s="45" t="s">
        <v>139</v>
      </c>
      <c r="J118" s="49"/>
      <c r="K118" s="49"/>
      <c r="L118" s="49" t="str">
        <f ca="1">IFERROR(__xludf.DUMMYFUNCTION("QUERY('Volunteer Survey'!B125)"),"Elizabeth Spiteri")</f>
        <v>Elizabeth Spiteri</v>
      </c>
      <c r="M118" s="49" t="str">
        <f ca="1">IFERROR(__xludf.DUMMYFUNCTION("QUERY('Volunteer Survey'!E125)"),"espiteri@gmail.com")</f>
        <v>espiteri@gmail.com</v>
      </c>
      <c r="N118" s="49" t="str">
        <f ca="1">IFERROR(__xludf.DUMMYFUNCTION("QUERY('Volunteer Survey'!F125)"),"Clinical laboratory geneticist")</f>
        <v>Clinical laboratory geneticist</v>
      </c>
      <c r="O118" s="42" t="str">
        <f ca="1">IFERROR(__xludf.DUMMYFUNCTION("QUERY('Volunteer Survey'!H125)"),"Comprehensive")</f>
        <v>Comprehensive</v>
      </c>
      <c r="P118" s="49" t="str">
        <f ca="1">IFERROR(__xludf.DUMMYFUNCTION("QUERY('Volunteer Survey'!I125)"),"Dosage Sensitivity")</f>
        <v>Dosage Sensitivity</v>
      </c>
      <c r="Q118" s="54" t="str">
        <f ca="1">IFERROR(__xludf.DUMMYFUNCTION("QUERY('Volunteer Survey'!J125)"),"Somatic Cancer")</f>
        <v>Somatic Cancer</v>
      </c>
      <c r="R118" s="49" t="str">
        <f ca="1">IFERROR(__xludf.DUMMYFUNCTION("QUERY('Volunteer Survey'!K125)"),"Gene-Disease Validity")</f>
        <v>Gene-Disease Validity</v>
      </c>
      <c r="S118" s="49" t="str">
        <f ca="1">IFERROR(__xludf.DUMMYFUNCTION("QUERY('Volunteer Survey'!L125)"),"Variant Pathogenicity")</f>
        <v>Variant Pathogenicity</v>
      </c>
      <c r="T118" s="49" t="str">
        <f ca="1">IFERROR(__xludf.DUMMYFUNCTION("QUERY('Volunteer Survey'!M125)"),"")</f>
        <v/>
      </c>
      <c r="U118" s="58" t="str">
        <f ca="1">IFERROR(__xludf.DUMMYFUNCTION("QUERY('Volunteer Survey'!N125)"),"I have participated in a Clinical Genomics Consortium for Copy Number Variants")</f>
        <v>I have participated in a Clinical Genomics Consortium for Copy Number Variants</v>
      </c>
      <c r="V118" s="49" t="str">
        <f ca="1">IFERROR(__xludf.DUMMYFUNCTION("QUERY('Volunteer Survey'!O125)"),"Yes")</f>
        <v>Yes</v>
      </c>
      <c r="W118" s="60" t="str">
        <f ca="1">IFERROR(__xludf.DUMMYFUNCTION("QUERY('Volunteer Survey'!P125)"),"In addition to the somatic panel curation I would also be interested in Breast/Ovarian or Colon Cancer Expert panels ")</f>
        <v xml:space="preserve">In addition to the somatic panel curation I would also be interested in Breast/Ovarian or Colon Cancer Expert panels </v>
      </c>
      <c r="X118" s="58" t="str">
        <f ca="1">IFERROR(__xludf.DUMMYFUNCTION("QUERY('Volunteer Survey'!R125)"),"Yes- I am willing to volunteer with any available ClinGen group")</f>
        <v>Yes- I am willing to volunteer with any available ClinGen group</v>
      </c>
      <c r="Y118" s="47"/>
      <c r="Z118" s="174">
        <f ca="1">IFERROR(__xludf.DUMMYFUNCTION("QUERY('Volunteer Survey'!A117)"),43423.4245949074)</f>
        <v>43423.424594907403</v>
      </c>
      <c r="AA118" s="175" t="str">
        <f ca="1">IFERROR(__xludf.DUMMYFUNCTION("QUERY('Volunteer Survey'!B117)"),"Huei San Leong")</f>
        <v>Huei San Leong</v>
      </c>
      <c r="AB118" s="175" t="str">
        <f ca="1">IFERROR(__xludf.DUMMYFUNCTION("QUERY('Volunteer Survey'!C117)"),"PETER MACCALLUM CANCER CENTRE")</f>
        <v>PETER MACCALLUM CANCER CENTRE</v>
      </c>
      <c r="AC118" s="175" t="str">
        <f ca="1">IFERROR(__xludf.DUMMYFUNCTION("QUERY('Volunteer Survey'!D117)"),"Victoria, Australia")</f>
        <v>Victoria, Australia</v>
      </c>
      <c r="AD118" s="175" t="str">
        <f ca="1">IFERROR(__xludf.DUMMYFUNCTION("QUERY('Volunteer Survey'!E117)"),"hueisan.leong@petermac.org")</f>
        <v>hueisan.leong@petermac.org</v>
      </c>
      <c r="AE118" s="175" t="str">
        <f ca="1">IFERROR(__xludf.DUMMYFUNCTION("QUERY('Volunteer Survey'!F117)"),"Variant Analyst/Scientist")</f>
        <v>Variant Analyst/Scientist</v>
      </c>
      <c r="AF118" s="175" t="str">
        <f ca="1">IFERROR(__xludf.DUMMYFUNCTION("QUERY('Volunteer Survey'!G117)"),"NA")</f>
        <v>NA</v>
      </c>
      <c r="AG118" s="175" t="str">
        <f ca="1">IFERROR(__xludf.DUMMYFUNCTION("QUERY('Volunteer Survey'!H117)"),"Comprehensive")</f>
        <v>Comprehensive</v>
      </c>
      <c r="AH118" s="175" t="str">
        <f ca="1">IFERROR(__xludf.DUMMYFUNCTION("QUERY('Volunteer Survey'!I117)"),"Somatic Cancer")</f>
        <v>Somatic Cancer</v>
      </c>
      <c r="AI118" s="175" t="str">
        <f ca="1">IFERROR(__xludf.DUMMYFUNCTION("QUERY('Volunteer Survey'!J117)"),"Variant Pathogenicity")</f>
        <v>Variant Pathogenicity</v>
      </c>
      <c r="AJ118" s="175" t="str">
        <f ca="1">IFERROR(__xludf.DUMMYFUNCTION("QUERY('Volunteer Survey'!K117)"),"Clinical Actionability")</f>
        <v>Clinical Actionability</v>
      </c>
      <c r="AK118" s="175" t="str">
        <f ca="1">IFERROR(__xludf.DUMMYFUNCTION("QUERY('Volunteer Survey'!L117)"),"Gene-Disease Validity")</f>
        <v>Gene-Disease Validity</v>
      </c>
      <c r="AL118" s="175" t="str">
        <f ca="1">IFERROR(__xludf.DUMMYFUNCTION("QUERY('Volunteer Survey'!M117)"),"")</f>
        <v/>
      </c>
      <c r="AM118" s="175" t="str">
        <f ca="1">IFERROR(__xludf.DUMMYFUNCTION("QUERY('Volunteer Survey'!N117)"),"Yes")</f>
        <v>Yes</v>
      </c>
      <c r="AN118" s="175" t="str">
        <f ca="1">IFERROR(__xludf.DUMMYFUNCTION("QUERY('Volunteer Survey'!O117)"),"Yes")</f>
        <v>Yes</v>
      </c>
      <c r="AO118" s="175" t="str">
        <f ca="1">IFERROR(__xludf.DUMMYFUNCTION("QUERY('Volunteer Survey'!P117)"),"1) Breast/Ovarian Cancer 2) Colorectal Cancer 3) CDH1")</f>
        <v>1) Breast/Ovarian Cancer 2) Colorectal Cancer 3) CDH1</v>
      </c>
    </row>
    <row r="119" spans="1:41" ht="14">
      <c r="A119" s="44">
        <f ca="1">IFERROR(__xludf.DUMMYFUNCTION("QUERY('Volunteer Survey'!A126)"),43511.5149267129)</f>
        <v>43511.514926712902</v>
      </c>
      <c r="B119" s="42" t="s">
        <v>168</v>
      </c>
      <c r="C119" s="47"/>
      <c r="D119" s="49"/>
      <c r="E119" s="42" t="s">
        <v>130</v>
      </c>
      <c r="F119" s="42" t="s">
        <v>130</v>
      </c>
      <c r="G119" s="42" t="s">
        <v>251</v>
      </c>
      <c r="H119" s="47"/>
      <c r="I119" s="47"/>
      <c r="J119" s="49"/>
      <c r="K119" s="49"/>
      <c r="L119" s="49" t="str">
        <f ca="1">IFERROR(__xludf.DUMMYFUNCTION("QUERY('Volunteer Survey'!B126)"),"Yasser Sullcahuaman")</f>
        <v>Yasser Sullcahuaman</v>
      </c>
      <c r="M119" s="49" t="str">
        <f ca="1">IFERROR(__xludf.DUMMYFUNCTION("QUERY('Volunteer Survey'!E126)"),"ysullcahuaman@gmail.com")</f>
        <v>ysullcahuaman@gmail.com</v>
      </c>
      <c r="N119" s="49" t="str">
        <f ca="1">IFERROR(__xludf.DUMMYFUNCTION("QUERY('Volunteer Survey'!F126)"),"Clinical Medical Geneticist")</f>
        <v>Clinical Medical Geneticist</v>
      </c>
      <c r="O119" s="42" t="str">
        <f ca="1">IFERROR(__xludf.DUMMYFUNCTION("QUERY('Volunteer Survey'!H126)"),"Comprehensive")</f>
        <v>Comprehensive</v>
      </c>
      <c r="P119" s="49" t="str">
        <f ca="1">IFERROR(__xludf.DUMMYFUNCTION("QUERY('Volunteer Survey'!I126)"),"Variant Pathogenicity")</f>
        <v>Variant Pathogenicity</v>
      </c>
      <c r="Q119" s="54" t="str">
        <f ca="1">IFERROR(__xludf.DUMMYFUNCTION("QUERY('Volunteer Survey'!J126)"),"Gene-Disease Validity")</f>
        <v>Gene-Disease Validity</v>
      </c>
      <c r="R119" s="49" t="str">
        <f ca="1">IFERROR(__xludf.DUMMYFUNCTION("QUERY('Volunteer Survey'!K126)"),"Clinical Actionability")</f>
        <v>Clinical Actionability</v>
      </c>
      <c r="S119" s="49" t="str">
        <f ca="1">IFERROR(__xludf.DUMMYFUNCTION("QUERY('Volunteer Survey'!L126)"),"Somatic Cancer")</f>
        <v>Somatic Cancer</v>
      </c>
      <c r="T119" s="49" t="str">
        <f ca="1">IFERROR(__xludf.DUMMYFUNCTION("QUERY('Volunteer Survey'!M126)"),"Dosage Sensitivity")</f>
        <v>Dosage Sensitivity</v>
      </c>
      <c r="U119" s="58" t="str">
        <f ca="1">IFERROR(__xludf.DUMMYFUNCTION("QUERY('Volunteer Survey'!N126)"),"")</f>
        <v/>
      </c>
      <c r="V119" s="49" t="str">
        <f ca="1">IFERROR(__xludf.DUMMYFUNCTION("QUERY('Volunteer Survey'!O126)"),"Possibly")</f>
        <v>Possibly</v>
      </c>
      <c r="W119" s="60" t="str">
        <f ca="1">IFERROR(__xludf.DUMMYFUNCTION("QUERY('Volunteer Survey'!P126)"),"")</f>
        <v/>
      </c>
      <c r="X119" s="58" t="str">
        <f ca="1">IFERROR(__xludf.DUMMYFUNCTION("QUERY('Volunteer Survey'!R126)"),"Maybe -- please contact me with other options, and I will decide based on what is available")</f>
        <v>Maybe -- please contact me with other options, and I will decide based on what is available</v>
      </c>
      <c r="Y119" s="47"/>
      <c r="Z119" s="174">
        <f ca="1">IFERROR(__xludf.DUMMYFUNCTION("QUERY('Volunteer Survey'!A118)"),43439.427199074)</f>
        <v>43439.427199074002</v>
      </c>
      <c r="AA119" s="175" t="str">
        <f ca="1">IFERROR(__xludf.DUMMYFUNCTION("QUERY('Volunteer Survey'!B118)"),"Pandurang Kolekar")</f>
        <v>Pandurang Kolekar</v>
      </c>
      <c r="AB119" s="175" t="str">
        <f ca="1">IFERROR(__xludf.DUMMYFUNCTION("QUERY('Volunteer Survey'!C118)"),"Thermo Fisher Scientific")</f>
        <v>Thermo Fisher Scientific</v>
      </c>
      <c r="AC119" s="175" t="str">
        <f ca="1">IFERROR(__xludf.DUMMYFUNCTION("QUERY('Volunteer Survey'!D118)"),"India")</f>
        <v>India</v>
      </c>
      <c r="AD119" s="175" t="str">
        <f ca="1">IFERROR(__xludf.DUMMYFUNCTION("QUERY('Volunteer Survey'!E118)"),"pandurang.kolekar@gmail.com")</f>
        <v>pandurang.kolekar@gmail.com</v>
      </c>
      <c r="AE119" s="175" t="str">
        <f ca="1">IFERROR(__xludf.DUMMYFUNCTION("QUERY('Volunteer Survey'!F118)"),"""Scientific Researcher, Biocurator, Variant Analyst/Scientist, Other (please specify): Bioinformatics Engineer""")</f>
        <v>"Scientific Researcher, Biocurator, Variant Analyst/Scientist, Other (please specify): Bioinformatics Engineer"</v>
      </c>
      <c r="AF119" s="175" t="str">
        <f ca="1">IFERROR(__xludf.DUMMYFUNCTION("QUERY('Volunteer Survey'!G118)"),"NA")</f>
        <v>NA</v>
      </c>
      <c r="AG119" s="175" t="str">
        <f ca="1">IFERROR(__xludf.DUMMYFUNCTION("QUERY('Volunteer Survey'!H118)"),"Comprehensive")</f>
        <v>Comprehensive</v>
      </c>
      <c r="AH119" s="175" t="str">
        <f ca="1">IFERROR(__xludf.DUMMYFUNCTION("QUERY('Volunteer Survey'!I118)"),"Somatic Cancer")</f>
        <v>Somatic Cancer</v>
      </c>
      <c r="AI119" s="175" t="str">
        <f ca="1">IFERROR(__xludf.DUMMYFUNCTION("QUERY('Volunteer Survey'!J118)"),"Variant Pathogenicity")</f>
        <v>Variant Pathogenicity</v>
      </c>
      <c r="AJ119" s="175" t="str">
        <f ca="1">IFERROR(__xludf.DUMMYFUNCTION("QUERY('Volunteer Survey'!K118)"),"Gene-Disease Validity")</f>
        <v>Gene-Disease Validity</v>
      </c>
      <c r="AK119" s="175" t="str">
        <f ca="1">IFERROR(__xludf.DUMMYFUNCTION("QUERY('Volunteer Survey'!L118)"),"Clinical Actionability")</f>
        <v>Clinical Actionability</v>
      </c>
      <c r="AL119" s="175" t="str">
        <f ca="1">IFERROR(__xludf.DUMMYFUNCTION("QUERY('Volunteer Survey'!M118)"),"Dosage Sensitivity")</f>
        <v>Dosage Sensitivity</v>
      </c>
      <c r="AM119" s="175" t="str">
        <f ca="1">IFERROR(__xludf.DUMMYFUNCTION("QUERY('Volunteer Survey'!N118)"),"Yes")</f>
        <v>Yes</v>
      </c>
      <c r="AN119" s="175" t="str">
        <f ca="1">IFERROR(__xludf.DUMMYFUNCTION("QUERY('Volunteer Survey'!O118)"),"Possibly")</f>
        <v>Possibly</v>
      </c>
      <c r="AO119" s="175" t="str">
        <f ca="1">IFERROR(__xludf.DUMMYFUNCTION("QUERY('Volunteer Survey'!P118)"),"Somatic cancer WG")</f>
        <v>Somatic cancer WG</v>
      </c>
    </row>
    <row r="120" spans="1:41" ht="16.5" customHeight="1">
      <c r="A120" s="44">
        <f ca="1">IFERROR(__xludf.DUMMYFUNCTION("QUERY('Volunteer Survey'!A127)"),43515.3258305902)</f>
        <v>43515.325830590198</v>
      </c>
      <c r="B120" s="42" t="s">
        <v>108</v>
      </c>
      <c r="C120" s="47"/>
      <c r="D120" s="43">
        <v>43581</v>
      </c>
      <c r="E120" s="42" t="s">
        <v>117</v>
      </c>
      <c r="F120" s="42" t="s">
        <v>130</v>
      </c>
      <c r="G120" s="42" t="s">
        <v>136</v>
      </c>
      <c r="H120" s="45" t="s">
        <v>308</v>
      </c>
      <c r="I120" s="45" t="s">
        <v>139</v>
      </c>
      <c r="J120" s="50">
        <v>43712</v>
      </c>
      <c r="K120" s="50"/>
      <c r="L120" s="49" t="str">
        <f ca="1">IFERROR(__xludf.DUMMYFUNCTION("QUERY('Volunteer Survey'!B127)"),"HUILING XU")</f>
        <v>HUILING XU</v>
      </c>
      <c r="M120" s="49" t="str">
        <f ca="1">IFERROR(__xludf.DUMMYFUNCTION("QUERY('Volunteer Survey'!E127)"),"huiling.xu@petermac.org")</f>
        <v>huiling.xu@petermac.org</v>
      </c>
      <c r="N120" s="49" t="str">
        <f ca="1">IFERROR(__xludf.DUMMYFUNCTION("QUERY('Volunteer Survey'!F127)"),"Variant Analyst/Scientist - Academic")</f>
        <v>Variant Analyst/Scientist - Academic</v>
      </c>
      <c r="O120" s="42" t="str">
        <f ca="1">IFERROR(__xludf.DUMMYFUNCTION("QUERY('Volunteer Survey'!H127)"),"Comprehensive")</f>
        <v>Comprehensive</v>
      </c>
      <c r="P120" s="49" t="str">
        <f ca="1">IFERROR(__xludf.DUMMYFUNCTION("QUERY('Volunteer Survey'!I127)"),"Somatic Cancer")</f>
        <v>Somatic Cancer</v>
      </c>
      <c r="Q120" s="54" t="str">
        <f ca="1">IFERROR(__xludf.DUMMYFUNCTION("QUERY('Volunteer Survey'!J127)"),"")</f>
        <v/>
      </c>
      <c r="R120" s="49" t="str">
        <f ca="1">IFERROR(__xludf.DUMMYFUNCTION("QUERY('Volunteer Survey'!K127)"),"")</f>
        <v/>
      </c>
      <c r="S120" s="49" t="str">
        <f ca="1">IFERROR(__xludf.DUMMYFUNCTION("QUERY('Volunteer Survey'!L127)"),"")</f>
        <v/>
      </c>
      <c r="T120" s="49" t="str">
        <f ca="1">IFERROR(__xludf.DUMMYFUNCTION("QUERY('Volunteer Survey'!M127)"),"")</f>
        <v/>
      </c>
      <c r="U120" s="58" t="str">
        <f ca="1">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V120" s="49" t="str">
        <f ca="1">IFERROR(__xludf.DUMMYFUNCTION("QUERY('Volunteer Survey'!O127)"),"Yes")</f>
        <v>Yes</v>
      </c>
      <c r="W120" s="60" t="str">
        <f ca="1">IFERROR(__xludf.DUMMYFUNCTION("QUERY('Volunteer Survey'!P127)"),"Somatic cancer working groups")</f>
        <v>Somatic cancer working groups</v>
      </c>
      <c r="X120" s="58" t="str">
        <f ca="1">IFERROR(__xludf.DUMMYFUNCTION("QUERY('Volunteer Survey'!R127)"),"Yes- I am willing to volunteer with any available ClinGen group")</f>
        <v>Yes- I am willing to volunteer with any available ClinGen group</v>
      </c>
      <c r="Y120" s="47"/>
      <c r="Z120" s="174">
        <f ca="1">IFERROR(__xludf.DUMMYFUNCTION("QUERY('Volunteer Survey'!A119)"),43494.4564740856)</f>
        <v>43494.4564740856</v>
      </c>
      <c r="AA120" s="175" t="str">
        <f ca="1">IFERROR(__xludf.DUMMYFUNCTION("QUERY('Volunteer Survey'!B119)"),"Samata Singhi")</f>
        <v>Samata Singhi</v>
      </c>
      <c r="AB120" s="175" t="str">
        <f ca="1">IFERROR(__xludf.DUMMYFUNCTION("QUERY('Volunteer Survey'!C119)"),"Kennedy Krieger Institute/ Johns Hopkins Hospital")</f>
        <v>Kennedy Krieger Institute/ Johns Hopkins Hospital</v>
      </c>
      <c r="AC120" s="175" t="str">
        <f ca="1">IFERROR(__xludf.DUMMYFUNCTION("QUERY('Volunteer Survey'!D119)"),"1204 Linden Green, Baltimore, MD 21217")</f>
        <v>1204 Linden Green, Baltimore, MD 21217</v>
      </c>
      <c r="AD120" s="175" t="str">
        <f ca="1">IFERROR(__xludf.DUMMYFUNCTION("QUERY('Volunteer Survey'!E119)"),"samata.singhi@gmail.com")</f>
        <v>samata.singhi@gmail.com</v>
      </c>
      <c r="AE120" s="175" t="str">
        <f ca="1">IFERROR(__xludf.DUMMYFUNCTION("QUERY('Volunteer Survey'!F119)"),"Physician (Non-geneticist)")</f>
        <v>Physician (Non-geneticist)</v>
      </c>
      <c r="AF120" s="175" t="str">
        <f ca="1">IFERROR(__xludf.DUMMYFUNCTION("QUERY('Volunteer Survey'!G119)"),"I am interested in epilepsy genetics and heard about ClinGen from Ann Poduri")</f>
        <v>I am interested in epilepsy genetics and heard about ClinGen from Ann Poduri</v>
      </c>
      <c r="AG120" s="175" t="str">
        <f ca="1">IFERROR(__xludf.DUMMYFUNCTION("QUERY('Volunteer Survey'!H119)"),"Comprehensive")</f>
        <v>Comprehensive</v>
      </c>
      <c r="AH120" s="175" t="str">
        <f ca="1">IFERROR(__xludf.DUMMYFUNCTION("QUERY('Volunteer Survey'!I119)"),"Clinical Actionability")</f>
        <v>Clinical Actionability</v>
      </c>
      <c r="AI120" s="175" t="str">
        <f ca="1">IFERROR(__xludf.DUMMYFUNCTION("QUERY('Volunteer Survey'!J119)"),"Gene-Disease Validity")</f>
        <v>Gene-Disease Validity</v>
      </c>
      <c r="AJ120" s="175" t="str">
        <f ca="1">IFERROR(__xludf.DUMMYFUNCTION("QUERY('Volunteer Survey'!K119)"),"")</f>
        <v/>
      </c>
      <c r="AK120" s="175" t="str">
        <f ca="1">IFERROR(__xludf.DUMMYFUNCTION("QUERY('Volunteer Survey'!L119)"),"")</f>
        <v/>
      </c>
      <c r="AL120" s="175" t="str">
        <f ca="1">IFERROR(__xludf.DUMMYFUNCTION("QUERY('Volunteer Survey'!M119)"),"")</f>
        <v/>
      </c>
      <c r="AM120" s="175" t="str">
        <f ca="1">IFERROR(__xludf.DUMMYFUNCTION("QUERY('Volunteer Survey'!N119)"),"")</f>
        <v/>
      </c>
      <c r="AN120" s="175" t="str">
        <f ca="1">IFERROR(__xludf.DUMMYFUNCTION("QUERY('Volunteer Survey'!O119)"),"Possibly")</f>
        <v>Possibly</v>
      </c>
      <c r="AO120" s="175" t="str">
        <f ca="1">IFERROR(__xludf.DUMMYFUNCTION("QUERY('Volunteer Survey'!P119)"),"Epilepsy")</f>
        <v>Epilepsy</v>
      </c>
    </row>
    <row r="121" spans="1:41" ht="14">
      <c r="A121" s="44">
        <f ca="1">IFERROR(__xludf.DUMMYFUNCTION("QUERY('Volunteer Survey'!A128)"),43524.4983121643)</f>
        <v>43524.498312164302</v>
      </c>
      <c r="B121" s="42" t="s">
        <v>108</v>
      </c>
      <c r="C121" s="47"/>
      <c r="D121" s="43">
        <v>43570</v>
      </c>
      <c r="E121" s="42" t="s">
        <v>117</v>
      </c>
      <c r="F121" s="42" t="s">
        <v>117</v>
      </c>
      <c r="G121" s="42" t="s">
        <v>122</v>
      </c>
      <c r="H121" s="45" t="s">
        <v>294</v>
      </c>
      <c r="I121" s="45" t="s">
        <v>139</v>
      </c>
      <c r="J121" s="50">
        <v>43712</v>
      </c>
      <c r="K121" s="50"/>
      <c r="L121" s="49" t="str">
        <f ca="1">IFERROR(__xludf.DUMMYFUNCTION("QUERY('Volunteer Survey'!B128)"),"Nilufar Inamdar")</f>
        <v>Nilufar Inamdar</v>
      </c>
      <c r="M121" s="49" t="str">
        <f ca="1">IFERROR(__xludf.DUMMYFUNCTION("QUERY('Volunteer Survey'!E128)"),"inamdar555@yahoo.com")</f>
        <v>inamdar555@yahoo.com</v>
      </c>
      <c r="N121" s="49" t="str">
        <f ca="1">IFERROR(__xludf.DUMMYFUNCTION("QUERY('Volunteer Survey'!F128)"),"Clinical laboratory geneticist")</f>
        <v>Clinical laboratory geneticist</v>
      </c>
      <c r="O121" s="42" t="str">
        <f ca="1">IFERROR(__xludf.DUMMYFUNCTION("QUERY('Volunteer Survey'!H128)"),"Comprehensive")</f>
        <v>Comprehensive</v>
      </c>
      <c r="P121" s="49" t="str">
        <f ca="1">IFERROR(__xludf.DUMMYFUNCTION("QUERY('Volunteer Survey'!I128)"),"Gene-Disease Validity")</f>
        <v>Gene-Disease Validity</v>
      </c>
      <c r="Q121" s="54" t="str">
        <f ca="1">IFERROR(__xludf.DUMMYFUNCTION("QUERY('Volunteer Survey'!J128)"),"Dosage Sensitivity")</f>
        <v>Dosage Sensitivity</v>
      </c>
      <c r="R121" s="49" t="str">
        <f ca="1">IFERROR(__xludf.DUMMYFUNCTION("QUERY('Volunteer Survey'!K128)"),"Variant Pathogenicity")</f>
        <v>Variant Pathogenicity</v>
      </c>
      <c r="S121" s="49" t="str">
        <f ca="1">IFERROR(__xludf.DUMMYFUNCTION("QUERY('Volunteer Survey'!L128)"),"Somatic Cancer")</f>
        <v>Somatic Cancer</v>
      </c>
      <c r="T121" s="49" t="str">
        <f ca="1">IFERROR(__xludf.DUMMYFUNCTION("QUERY('Volunteer Survey'!M128)"),"Clinical Actionability")</f>
        <v>Clinical Actionability</v>
      </c>
      <c r="U121" s="58" t="str">
        <f ca="1">IFERROR(__xludf.DUMMYFUNCTION("QUERY('Volunteer Survey'!N128)"),"No")</f>
        <v>No</v>
      </c>
      <c r="V121" s="49" t="str">
        <f ca="1">IFERROR(__xludf.DUMMYFUNCTION("QUERY('Volunteer Survey'!O128)"),"Yes")</f>
        <v>Yes</v>
      </c>
      <c r="W121" s="60" t="str">
        <f ca="1">IFERROR(__xludf.DUMMYFUNCTION("QUERY('Volunteer Survey'!P128)"),"Mitochondrial or Aminoaciopathy")</f>
        <v>Mitochondrial or Aminoaciopathy</v>
      </c>
      <c r="X121" s="58" t="str">
        <f ca="1">IFERROR(__xludf.DUMMYFUNCTION("QUERY('Volunteer Survey'!R128)"),"Yes- I am willing to volunteer with any available ClinGen group")</f>
        <v>Yes- I am willing to volunteer with any available ClinGen group</v>
      </c>
      <c r="Y121" s="47"/>
      <c r="Z121" s="174">
        <f ca="1">IFERROR(__xludf.DUMMYFUNCTION("QUERY('Volunteer Survey'!A120)"),43496.5735918171)</f>
        <v>43496.573591817098</v>
      </c>
      <c r="AA121" s="175" t="str">
        <f ca="1">IFERROR(__xludf.DUMMYFUNCTION("QUERY('Volunteer Survey'!B120)"),"Szabolcs Szelinger")</f>
        <v>Szabolcs Szelinger</v>
      </c>
      <c r="AB121" s="175" t="str">
        <f ca="1">IFERROR(__xludf.DUMMYFUNCTION("QUERY('Volunteer Survey'!C120)"),"Translational Genomics Research Institute")</f>
        <v>Translational Genomics Research Institute</v>
      </c>
      <c r="AC121" s="175" t="str">
        <f ca="1">IFERROR(__xludf.DUMMYFUNCTION("QUERY('Volunteer Survey'!D120)"),"445 N. 5th St Phoenix AZ 85004")</f>
        <v>445 N. 5th St Phoenix AZ 85004</v>
      </c>
      <c r="AD121" s="175" t="str">
        <f ca="1">IFERROR(__xludf.DUMMYFUNCTION("QUERY('Volunteer Survey'!E120)"),"sszelinger@tgen.org")</f>
        <v>sszelinger@tgen.org</v>
      </c>
      <c r="AE121" s="175" t="str">
        <f ca="1">IFERROR(__xludf.DUMMYFUNCTION("QUERY('Volunteer Survey'!F120)"),"Clinical laboratory geneticist")</f>
        <v>Clinical laboratory geneticist</v>
      </c>
      <c r="AF121" s="175" t="str">
        <f ca="1">IFERROR(__xludf.DUMMYFUNCTION("QUERY('Volunteer Survey'!G120)"),"I am an ACMG Candidate Fellow working in a CLIA/CAP clinical laboratory and also in basic research. Joining ClinGen curation team would allow me to learn best practices in the assessment of genetic variants, potentially could guide interpretation workflow"&amp;" and variant/gene reporting in the clinical laboratory, and it would assist with in my research interest of rare, pediatric disease gene identification. ")</f>
        <v xml:space="preserve">I am an ACMG Candidate Fellow working in a CLIA/CAP clinical laboratory and also in basic research. Joining ClinGen curation team would allow me to learn best practices in the assessment of genetic variants, potentially could guide interpretation workflow and variant/gene reporting in the clinical laboratory, and it would assist with in my research interest of rare, pediatric disease gene identification. </v>
      </c>
      <c r="AG121" s="175" t="str">
        <f ca="1">IFERROR(__xludf.DUMMYFUNCTION("QUERY('Volunteer Survey'!H120)"),"Comprehensive")</f>
        <v>Comprehensive</v>
      </c>
      <c r="AH121" s="175" t="str">
        <f ca="1">IFERROR(__xludf.DUMMYFUNCTION("QUERY('Volunteer Survey'!I120)"),"Gene-Disease Validity")</f>
        <v>Gene-Disease Validity</v>
      </c>
      <c r="AI121" s="175" t="str">
        <f ca="1">IFERROR(__xludf.DUMMYFUNCTION("QUERY('Volunteer Survey'!J120)"),"Variant Pathogenicity")</f>
        <v>Variant Pathogenicity</v>
      </c>
      <c r="AJ121" s="175" t="str">
        <f ca="1">IFERROR(__xludf.DUMMYFUNCTION("QUERY('Volunteer Survey'!K120)"),"Somatic Cancer")</f>
        <v>Somatic Cancer</v>
      </c>
      <c r="AK121" s="175" t="str">
        <f ca="1">IFERROR(__xludf.DUMMYFUNCTION("QUERY('Volunteer Survey'!L120)"),"Clinical Actionability")</f>
        <v>Clinical Actionability</v>
      </c>
      <c r="AL121" s="175" t="str">
        <f ca="1">IFERROR(__xludf.DUMMYFUNCTION("QUERY('Volunteer Survey'!M120)"),"")</f>
        <v/>
      </c>
      <c r="AM121" s="175" t="str">
        <f ca="1">IFERROR(__xludf.DUMMYFUNCTION("QUERY('Volunteer Survey'!N120)"),"As an ACMG fellow at UCLA, and at the CLIA lab I work, we routinely assess variants for pathogenicity and disease-gene validity. In addition, I have experience in curating somatic mutations for actionability. In the research laboratory we sequenced and in"&amp;"terpreted hundreds of trio exomes in rare pediatric disease. ")</f>
        <v xml:space="preserve">As an ACMG fellow at UCLA, and at the CLIA lab I work, we routinely assess variants for pathogenicity and disease-gene validity. In addition, I have experience in curating somatic mutations for actionability. In the research laboratory we sequenced and interpreted hundreds of trio exomes in rare pediatric disease. </v>
      </c>
      <c r="AN121" s="175" t="str">
        <f ca="1">IFERROR(__xludf.DUMMYFUNCTION("QUERY('Volunteer Survey'!O120)"),"Possibly")</f>
        <v>Possibly</v>
      </c>
      <c r="AO121" s="175" t="str">
        <f ca="1">IFERROR(__xludf.DUMMYFUNCTION("QUERY('Volunteer Survey'!P120)"),"There are many interesting groups such as the mitochondrial disease, inherited cardiomyopathy, Epilepsy and Somatic TP53 group.")</f>
        <v>There are many interesting groups such as the mitochondrial disease, inherited cardiomyopathy, Epilepsy and Somatic TP53 group.</v>
      </c>
    </row>
    <row r="122" spans="1:41" ht="14">
      <c r="A122" s="44">
        <f ca="1">IFERROR(__xludf.DUMMYFUNCTION("QUERY('Volunteer Survey'!A129)"),43525.5038873958)</f>
        <v>43525.503887395796</v>
      </c>
      <c r="B122" s="42" t="s">
        <v>108</v>
      </c>
      <c r="C122" s="47"/>
      <c r="D122" s="50">
        <v>43608</v>
      </c>
      <c r="E122" s="42" t="s">
        <v>117</v>
      </c>
      <c r="F122" s="42" t="s">
        <v>117</v>
      </c>
      <c r="G122" s="42" t="s">
        <v>251</v>
      </c>
      <c r="H122" s="45" t="s">
        <v>169</v>
      </c>
      <c r="I122" s="45" t="s">
        <v>139</v>
      </c>
      <c r="J122" s="50">
        <v>43712</v>
      </c>
      <c r="K122" s="50"/>
      <c r="L122" s="49" t="str">
        <f ca="1">IFERROR(__xludf.DUMMYFUNCTION("QUERY('Volunteer Survey'!B129)"),"Michael McLachlan")</f>
        <v>Michael McLachlan</v>
      </c>
      <c r="M122" s="49" t="str">
        <f ca="1">IFERROR(__xludf.DUMMYFUNCTION("QUERY('Volunteer Survey'!E129)"),"mikejmclachlan@gmail.com")</f>
        <v>mikejmclachlan@gmail.com</v>
      </c>
      <c r="N122" s="49" t="str">
        <f ca="1">IFERROR(__xludf.DUMMYFUNCTION("QUERY('Volunteer Survey'!F129)"),"Scientific Researcher")</f>
        <v>Scientific Researcher</v>
      </c>
      <c r="O122" s="42" t="str">
        <f ca="1">IFERROR(__xludf.DUMMYFUNCTION("QUERY('Volunteer Survey'!H129)"),"Comprehensive")</f>
        <v>Comprehensive</v>
      </c>
      <c r="P122" s="49" t="str">
        <f ca="1">IFERROR(__xludf.DUMMYFUNCTION("QUERY('Volunteer Survey'!I129)"),"Variant Pathogenicity")</f>
        <v>Variant Pathogenicity</v>
      </c>
      <c r="Q122" s="54" t="str">
        <f ca="1">IFERROR(__xludf.DUMMYFUNCTION("QUERY('Volunteer Survey'!J129)"),"Gene-Disease Validity")</f>
        <v>Gene-Disease Validity</v>
      </c>
      <c r="R122" s="49" t="str">
        <f ca="1">IFERROR(__xludf.DUMMYFUNCTION("QUERY('Volunteer Survey'!K129)"),"Dosage Sensitivity")</f>
        <v>Dosage Sensitivity</v>
      </c>
      <c r="S122" s="49" t="str">
        <f ca="1">IFERROR(__xludf.DUMMYFUNCTION("QUERY('Volunteer Survey'!L129)"),"")</f>
        <v/>
      </c>
      <c r="T122" s="49" t="str">
        <f ca="1">IFERROR(__xludf.DUMMYFUNCTION("QUERY('Volunteer Survey'!M129)"),"")</f>
        <v/>
      </c>
      <c r="U122" s="58" t="str">
        <f ca="1">IFERROR(__xludf.DUMMYFUNCTION("QUERY('Volunteer Survey'!N129)"),"No curation experience but professional experience with genome analysis and disease models")</f>
        <v>No curation experience but professional experience with genome analysis and disease models</v>
      </c>
      <c r="V122" s="49" t="str">
        <f ca="1">IFERROR(__xludf.DUMMYFUNCTION("QUERY('Volunteer Survey'!O129)"),"Yes")</f>
        <v>Yes</v>
      </c>
      <c r="W122" s="60" t="str">
        <f ca="1">IFERROR(__xludf.DUMMYFUNCTION("QUERY('Volunteer Survey'!P129)"),"")</f>
        <v/>
      </c>
      <c r="X122" s="58" t="str">
        <f ca="1">IFERROR(__xludf.DUMMYFUNCTION("QUERY('Volunteer Survey'!R129)"),"Yes- I am willing to volunteer with any available ClinGen group")</f>
        <v>Yes- I am willing to volunteer with any available ClinGen group</v>
      </c>
      <c r="Y122" s="47"/>
      <c r="Z122" s="174">
        <f ca="1">IFERROR(__xludf.DUMMYFUNCTION("QUERY('Volunteer Survey'!A121)"),43431.4727662037)</f>
        <v>43431.472766203697</v>
      </c>
      <c r="AA122" s="175" t="str">
        <f ca="1">IFERROR(__xludf.DUMMYFUNCTION("QUERY('Volunteer Survey'!B121)"),"Jianhong Zhou")</f>
        <v>Jianhong Zhou</v>
      </c>
      <c r="AB122" s="175" t="str">
        <f ca="1">IFERROR(__xludf.DUMMYFUNCTION("QUERY('Volunteer Survey'!C121)"),"NA")</f>
        <v>NA</v>
      </c>
      <c r="AC122" s="175" t="str">
        <f ca="1">IFERROR(__xludf.DUMMYFUNCTION("QUERY('Volunteer Survey'!D121)"),"CA ")</f>
        <v xml:space="preserve">CA </v>
      </c>
      <c r="AD122" s="175" t="str">
        <f ca="1">IFERROR(__xludf.DUMMYFUNCTION("QUERY('Volunteer Survey'!E121)"),"jhzhou2008@hotmail.com")</f>
        <v>jhzhou2008@hotmail.com</v>
      </c>
      <c r="AE122" s="175" t="str">
        <f ca="1">IFERROR(__xludf.DUMMYFUNCTION("QUERY('Volunteer Survey'!F121)"),"Post Doc/Resident/Fellow (MD and/or Phd), Scientific Researcher, Focus on bioinformatics and computational biology")</f>
        <v>Post Doc/Resident/Fellow (MD and/or Phd), Scientific Researcher, Focus on bioinformatics and computational biology</v>
      </c>
      <c r="AF122" s="175" t="str">
        <f ca="1">IFERROR(__xludf.DUMMYFUNCTION("QUERY('Volunteer Survey'!G121)"),"NA")</f>
        <v>NA</v>
      </c>
      <c r="AG122" s="175" t="str">
        <f ca="1">IFERROR(__xludf.DUMMYFUNCTION("QUERY('Volunteer Survey'!H121)"),"Comprehensive")</f>
        <v>Comprehensive</v>
      </c>
      <c r="AH122" s="175" t="str">
        <f ca="1">IFERROR(__xludf.DUMMYFUNCTION("QUERY('Volunteer Survey'!I121)"),"Somatic Cancer")</f>
        <v>Somatic Cancer</v>
      </c>
      <c r="AI122" s="175" t="str">
        <f ca="1">IFERROR(__xludf.DUMMYFUNCTION("QUERY('Volunteer Survey'!J121)"),"Gene-Disease Validity")</f>
        <v>Gene-Disease Validity</v>
      </c>
      <c r="AJ122" s="175" t="str">
        <f ca="1">IFERROR(__xludf.DUMMYFUNCTION("QUERY('Volunteer Survey'!K121)"),"Variant Pathogenicity")</f>
        <v>Variant Pathogenicity</v>
      </c>
      <c r="AK122" s="175" t="str">
        <f ca="1">IFERROR(__xludf.DUMMYFUNCTION("QUERY('Volunteer Survey'!L121)"),"Clinical Actionability")</f>
        <v>Clinical Actionability</v>
      </c>
      <c r="AL122" s="175" t="str">
        <f ca="1">IFERROR(__xludf.DUMMYFUNCTION("QUERY('Volunteer Survey'!M121)"),"Dosage Sensitivity")</f>
        <v>Dosage Sensitivity</v>
      </c>
      <c r="AM122" s="175" t="str">
        <f ca="1">IFERROR(__xludf.DUMMYFUNCTION("QUERY('Volunteer Survey'!N121)"),"No")</f>
        <v>No</v>
      </c>
      <c r="AN122" s="175" t="str">
        <f ca="1">IFERROR(__xludf.DUMMYFUNCTION("QUERY('Volunteer Survey'!O121)"),"Yes")</f>
        <v>Yes</v>
      </c>
      <c r="AO122" s="175" t="str">
        <f ca="1">IFERROR(__xludf.DUMMYFUNCTION("QUERY('Volunteer Survey'!P121)"),"Somatic Cancer WG")</f>
        <v>Somatic Cancer WG</v>
      </c>
    </row>
    <row r="123" spans="1:41" ht="14">
      <c r="A123" s="44">
        <f ca="1">IFERROR(__xludf.DUMMYFUNCTION("QUERY('Volunteer Survey'!A130)"),43530.323665868)</f>
        <v>43530.323665868003</v>
      </c>
      <c r="B123" s="42" t="s">
        <v>168</v>
      </c>
      <c r="C123" s="47"/>
      <c r="D123" s="49"/>
      <c r="E123" s="42" t="s">
        <v>130</v>
      </c>
      <c r="F123" s="42" t="s">
        <v>130</v>
      </c>
      <c r="G123" s="42" t="s">
        <v>122</v>
      </c>
      <c r="H123" s="47"/>
      <c r="I123" s="45" t="s">
        <v>139</v>
      </c>
      <c r="J123" s="49"/>
      <c r="K123" s="49"/>
      <c r="L123" s="49" t="str">
        <f ca="1">IFERROR(__xludf.DUMMYFUNCTION("QUERY('Volunteer Survey'!B130)"),"Anand Narayanan")</f>
        <v>Anand Narayanan</v>
      </c>
      <c r="M123" s="49" t="str">
        <f ca="1">IFERROR(__xludf.DUMMYFUNCTION("QUERY('Volunteer Survey'!E130)"),"anandnpillai@gmail.com")</f>
        <v>anandnpillai@gmail.com</v>
      </c>
      <c r="N123" s="49" t="str">
        <f ca="1">IFERROR(__xludf.DUMMYFUNCTION("QUERY('Volunteer Survey'!F130)"),"Post Doc/Resident/Fellow (MD and/or PhD)")</f>
        <v>Post Doc/Resident/Fellow (MD and/or PhD)</v>
      </c>
      <c r="O123" s="42" t="str">
        <f ca="1">IFERROR(__xludf.DUMMYFUNCTION("QUERY('Volunteer Survey'!H130)"),"Comprehensive")</f>
        <v>Comprehensive</v>
      </c>
      <c r="P123" s="49" t="str">
        <f ca="1">IFERROR(__xludf.DUMMYFUNCTION("QUERY('Volunteer Survey'!I130)"),"Gene-Disease Validity")</f>
        <v>Gene-Disease Validity</v>
      </c>
      <c r="Q123" s="54" t="str">
        <f ca="1">IFERROR(__xludf.DUMMYFUNCTION("QUERY('Volunteer Survey'!J130)"),"Variant Pathogenicity")</f>
        <v>Variant Pathogenicity</v>
      </c>
      <c r="R123" s="49" t="str">
        <f ca="1">IFERROR(__xludf.DUMMYFUNCTION("QUERY('Volunteer Survey'!K130)"),"Dosage Sensitivity")</f>
        <v>Dosage Sensitivity</v>
      </c>
      <c r="S123" s="49" t="str">
        <f ca="1">IFERROR(__xludf.DUMMYFUNCTION("QUERY('Volunteer Survey'!L130)"),"Clinical Actionability")</f>
        <v>Clinical Actionability</v>
      </c>
      <c r="T123" s="49" t="str">
        <f ca="1">IFERROR(__xludf.DUMMYFUNCTION("QUERY('Volunteer Survey'!M130)"),"Somatic Cancer")</f>
        <v>Somatic Cancer</v>
      </c>
      <c r="U123" s="58" t="str">
        <f ca="1">IFERROR(__xludf.DUMMYFUNCTION("QUERY('Volunteer Survey'!N130)"),"I have served as a liaison of groups comprising clinicians, genetic counselors, researchers and bioinformatic staff. I am involved in the novel gene discovery and characterization ")</f>
        <v xml:space="preserve">I have served as a liaison of groups comprising clinicians, genetic counselors, researchers and bioinformatic staff. I am involved in the novel gene discovery and characterization </v>
      </c>
      <c r="V123" s="49" t="str">
        <f ca="1">IFERROR(__xludf.DUMMYFUNCTION("QUERY('Volunteer Survey'!O130)"),"Yes")</f>
        <v>Yes</v>
      </c>
      <c r="W123" s="60" t="str">
        <f ca="1">IFERROR(__xludf.DUMMYFUNCTION("QUERY('Volunteer Survey'!P130)"),"No")</f>
        <v>No</v>
      </c>
      <c r="X123" s="58" t="str">
        <f ca="1">IFERROR(__xludf.DUMMYFUNCTION("QUERY('Volunteer Survey'!R130)"),"Yes- I am willing to volunteer with any available ClinGen group")</f>
        <v>Yes- I am willing to volunteer with any available ClinGen group</v>
      </c>
      <c r="Y123" s="47"/>
      <c r="Z123" s="174">
        <f ca="1">IFERROR(__xludf.DUMMYFUNCTION("QUERY('Volunteer Survey'!A122)"),43498.5072570138)</f>
        <v>43498.5072570138</v>
      </c>
      <c r="AA123" s="175" t="str">
        <f ca="1">IFERROR(__xludf.DUMMYFUNCTION("QUERY('Volunteer Survey'!B122)"),"Ramesh Vaidyanathan")</f>
        <v>Ramesh Vaidyanathan</v>
      </c>
      <c r="AB123" s="175" t="str">
        <f ca="1">IFERROR(__xludf.DUMMYFUNCTION("QUERY('Volunteer Survey'!C122)"),"Not Applicable")</f>
        <v>Not Applicable</v>
      </c>
      <c r="AC123" s="175" t="str">
        <f ca="1">IFERROR(__xludf.DUMMYFUNCTION("QUERY('Volunteer Survey'!D122)"),"2 Windhaven Circle")</f>
        <v>2 Windhaven Circle</v>
      </c>
      <c r="AD123" s="175" t="str">
        <f ca="1">IFERROR(__xludf.DUMMYFUNCTION("QUERY('Volunteer Survey'!E122)"),"vaid@rocketmail.com")</f>
        <v>vaid@rocketmail.com</v>
      </c>
      <c r="AE123" s="175" t="str">
        <f ca="1">IFERROR(__xludf.DUMMYFUNCTION("QUERY('Volunteer Survey'!F122)"),"Biotech Professional with Biochemistry and Genomics background and a Citizen Scientist")</f>
        <v>Biotech Professional with Biochemistry and Genomics background and a Citizen Scientist</v>
      </c>
      <c r="AF123" s="175" t="str">
        <f ca="1">IFERROR(__xludf.DUMMYFUNCTION("QUERY('Volunteer Survey'!G122)"),"I came to know about ClinGen curation through the All of Us Research Program (NIH).  Given my background, I understand that in order to take full advantage of the technological advancements in Genomics we need more data and I am excited about this initiat"&amp;"ive by NIH.  The UK BioBank released genomics data of 500,000 Britons and within a couple of days scientists doubled the number of  genetic markers linked to diseases and traits.   ")</f>
        <v xml:space="preserve">I came to know about ClinGen curation through the All of Us Research Program (NIH).  Given my background, I understand that in order to take full advantage of the technological advancements in Genomics we need more data and I am excited about this initiative by NIH.  The UK BioBank released genomics data of 500,000 Britons and within a couple of days scientists doubled the number of  genetic markers linked to diseases and traits.   </v>
      </c>
      <c r="AG123" s="175" t="str">
        <f ca="1">IFERROR(__xludf.DUMMYFUNCTION("QUERY('Volunteer Survey'!H122)"),"Comprehensive")</f>
        <v>Comprehensive</v>
      </c>
      <c r="AH123" s="175" t="str">
        <f ca="1">IFERROR(__xludf.DUMMYFUNCTION("QUERY('Volunteer Survey'!I122)"),"Clinical Actionability")</f>
        <v>Clinical Actionability</v>
      </c>
      <c r="AI123" s="175" t="str">
        <f ca="1">IFERROR(__xludf.DUMMYFUNCTION("QUERY('Volunteer Survey'!J122)"),"Dosage Sensitivity")</f>
        <v>Dosage Sensitivity</v>
      </c>
      <c r="AJ123" s="175" t="str">
        <f ca="1">IFERROR(__xludf.DUMMYFUNCTION("QUERY('Volunteer Survey'!K122)"),"Somatic Cancer")</f>
        <v>Somatic Cancer</v>
      </c>
      <c r="AK123" s="175" t="str">
        <f ca="1">IFERROR(__xludf.DUMMYFUNCTION("QUERY('Volunteer Survey'!L122)"),"Gene-Disease Validity")</f>
        <v>Gene-Disease Validity</v>
      </c>
      <c r="AL123" s="175" t="str">
        <f ca="1">IFERROR(__xludf.DUMMYFUNCTION("QUERY('Volunteer Survey'!M122)"),"Variant Pathogenicity")</f>
        <v>Variant Pathogenicity</v>
      </c>
      <c r="AM123" s="175" t="str">
        <f ca="1">IFERROR(__xludf.DUMMYFUNCTION("QUERY('Volunteer Survey'!N122)"),"No ")</f>
        <v xml:space="preserve">No </v>
      </c>
      <c r="AN123" s="175" t="str">
        <f ca="1">IFERROR(__xludf.DUMMYFUNCTION("QUERY('Volunteer Survey'!O122)"),"Yes")</f>
        <v>Yes</v>
      </c>
      <c r="AO123" s="175" t="str">
        <f ca="1">IFERROR(__xludf.DUMMYFUNCTION("QUERY('Volunteer Survey'!P122)"),"")</f>
        <v/>
      </c>
    </row>
    <row r="124" spans="1:41" ht="14">
      <c r="A124" s="44">
        <f ca="1">IFERROR(__xludf.DUMMYFUNCTION("QUERY('Volunteer Survey'!A131)"),43531.5780772222)</f>
        <v>43531.578077222199</v>
      </c>
      <c r="B124" s="42" t="s">
        <v>108</v>
      </c>
      <c r="C124" s="47"/>
      <c r="D124" s="49"/>
      <c r="E124" s="42" t="s">
        <v>130</v>
      </c>
      <c r="F124" s="42" t="s">
        <v>130</v>
      </c>
      <c r="G124" s="42" t="s">
        <v>202</v>
      </c>
      <c r="H124" s="47"/>
      <c r="I124" s="45" t="s">
        <v>139</v>
      </c>
      <c r="J124" s="49"/>
      <c r="K124" s="49"/>
      <c r="L124" s="49" t="str">
        <f ca="1">IFERROR(__xludf.DUMMYFUNCTION("QUERY('Volunteer Survey'!B131)"),"Rebekah Waikel")</f>
        <v>Rebekah Waikel</v>
      </c>
      <c r="M124" s="49" t="str">
        <f ca="1">IFERROR(__xludf.DUMMYFUNCTION("QUERY('Volunteer Survey'!E131)"),"rebekah.waikel@uky.edu")</f>
        <v>rebekah.waikel@uky.edu</v>
      </c>
      <c r="N124" s="49" t="str">
        <f ca="1">IFERROR(__xludf.DUMMYFUNCTION("QUERY('Volunteer Survey'!F131)"),"Clinical laboratory geneticist")</f>
        <v>Clinical laboratory geneticist</v>
      </c>
      <c r="O124" s="42" t="str">
        <f ca="1">IFERROR(__xludf.DUMMYFUNCTION("QUERY('Volunteer Survey'!H131)"),"Baseline")</f>
        <v>Baseline</v>
      </c>
      <c r="P124" s="49" t="str">
        <f ca="1">IFERROR(__xludf.DUMMYFUNCTION("QUERY('Volunteer Survey'!I131)"),"")</f>
        <v/>
      </c>
      <c r="Q124" s="54" t="str">
        <f ca="1">IFERROR(__xludf.DUMMYFUNCTION("QUERY('Volunteer Survey'!J131)"),"")</f>
        <v/>
      </c>
      <c r="R124" s="49" t="str">
        <f ca="1">IFERROR(__xludf.DUMMYFUNCTION("QUERY('Volunteer Survey'!K131)"),"")</f>
        <v/>
      </c>
      <c r="S124" s="49" t="str">
        <f ca="1">IFERROR(__xludf.DUMMYFUNCTION("QUERY('Volunteer Survey'!L131)"),"")</f>
        <v/>
      </c>
      <c r="T124" s="49" t="str">
        <f ca="1">IFERROR(__xludf.DUMMYFUNCTION("QUERY('Volunteer Survey'!M131)"),"")</f>
        <v/>
      </c>
      <c r="U124" s="58" t="str">
        <f ca="1">IFERROR(__xludf.DUMMYFUNCTION("QUERY('Volunteer Survey'!N131)"),"")</f>
        <v/>
      </c>
      <c r="V124" s="49" t="str">
        <f ca="1">IFERROR(__xludf.DUMMYFUNCTION("QUERY('Volunteer Survey'!O131)"),"Yes")</f>
        <v>Yes</v>
      </c>
      <c r="W124" s="60" t="str">
        <f ca="1">IFERROR(__xludf.DUMMYFUNCTION("QUERY('Volunteer Survey'!P131)"),"Inherited cardiopathy")</f>
        <v>Inherited cardiopathy</v>
      </c>
      <c r="X124" s="58" t="str">
        <f ca="1">IFERROR(__xludf.DUMMYFUNCTION("QUERY('Volunteer Survey'!R131)"),"Maybe -- please contact me with other options, and I will decide based on what is available")</f>
        <v>Maybe -- please contact me with other options, and I will decide based on what is available</v>
      </c>
      <c r="Y124" s="47"/>
      <c r="Z124" s="174">
        <f ca="1">IFERROR(__xludf.DUMMYFUNCTION("QUERY('Volunteer Survey'!A123)"),43504.6443726967)</f>
        <v>43504.644372696697</v>
      </c>
      <c r="AA124" s="175" t="str">
        <f ca="1">IFERROR(__xludf.DUMMYFUNCTION("QUERY('Volunteer Survey'!B123)"),"Ranjit Shetty")</f>
        <v>Ranjit Shetty</v>
      </c>
      <c r="AB124" s="175" t="str">
        <f ca="1">IFERROR(__xludf.DUMMYFUNCTION("QUERY('Volunteer Survey'!C123)"),"Novartis")</f>
        <v>Novartis</v>
      </c>
      <c r="AC124" s="175" t="str">
        <f ca="1">IFERROR(__xludf.DUMMYFUNCTION("QUERY('Volunteer Survey'!D123)"),"Cambridge MA")</f>
        <v>Cambridge MA</v>
      </c>
      <c r="AD124" s="175" t="str">
        <f ca="1">IFERROR(__xludf.DUMMYFUNCTION("QUERY('Volunteer Survey'!E123)"),"ranjit.shetty@novartis.com")</f>
        <v>ranjit.shetty@novartis.com</v>
      </c>
      <c r="AE124" s="175" t="str">
        <f ca="1">IFERROR(__xludf.DUMMYFUNCTION("QUERY('Volunteer Survey'!F123)"),"Scientific Researcher")</f>
        <v>Scientific Researcher</v>
      </c>
      <c r="AF124" s="175" t="str">
        <f ca="1">IFERROR(__xludf.DUMMYFUNCTION("QUERY('Volunteer Survey'!G123)"),"I work in a Precision Medicine group at Novartis. I have previously used various sources (COSMIC etc) for evaluating my NGS data")</f>
        <v>I work in a Precision Medicine group at Novartis. I have previously used various sources (COSMIC etc) for evaluating my NGS data</v>
      </c>
      <c r="AG124" s="175" t="str">
        <f ca="1">IFERROR(__xludf.DUMMYFUNCTION("QUERY('Volunteer Survey'!H123)"),"Comprehensive")</f>
        <v>Comprehensive</v>
      </c>
      <c r="AH124" s="175" t="str">
        <f ca="1">IFERROR(__xludf.DUMMYFUNCTION("QUERY('Volunteer Survey'!I123)"),"Somatic Cancer")</f>
        <v>Somatic Cancer</v>
      </c>
      <c r="AI124" s="175" t="str">
        <f ca="1">IFERROR(__xludf.DUMMYFUNCTION("QUERY('Volunteer Survey'!J123)"),"Variant Pathogenicity")</f>
        <v>Variant Pathogenicity</v>
      </c>
      <c r="AJ124" s="175" t="str">
        <f ca="1">IFERROR(__xludf.DUMMYFUNCTION("QUERY('Volunteer Survey'!K123)"),"Gene-Disease Validity")</f>
        <v>Gene-Disease Validity</v>
      </c>
      <c r="AK124" s="175" t="str">
        <f ca="1">IFERROR(__xludf.DUMMYFUNCTION("QUERY('Volunteer Survey'!L123)"),"Clinical Actionability")</f>
        <v>Clinical Actionability</v>
      </c>
      <c r="AL124" s="175" t="str">
        <f ca="1">IFERROR(__xludf.DUMMYFUNCTION("QUERY('Volunteer Survey'!M123)"),"Dosage Sensitivity")</f>
        <v>Dosage Sensitivity</v>
      </c>
      <c r="AM124" s="175" t="str">
        <f ca="1">IFERROR(__xludf.DUMMYFUNCTION("QUERY('Volunteer Survey'!N123)"),"Evaluating TP53 and NF2 variants from NGS data")</f>
        <v>Evaluating TP53 and NF2 variants from NGS data</v>
      </c>
      <c r="AN124" s="175" t="str">
        <f ca="1">IFERROR(__xludf.DUMMYFUNCTION("QUERY('Volunteer Survey'!O123)"),"No")</f>
        <v>No</v>
      </c>
      <c r="AO124" s="175" t="str">
        <f ca="1">IFERROR(__xludf.DUMMYFUNCTION("QUERY('Volunteer Survey'!P123)"),"")</f>
        <v/>
      </c>
    </row>
    <row r="125" spans="1:41" ht="14">
      <c r="A125" s="44">
        <f ca="1">IFERROR(__xludf.DUMMYFUNCTION("QUERY('Volunteer Survey'!A132)"),43531.6083638425)</f>
        <v>43531.608363842497</v>
      </c>
      <c r="B125" s="42" t="s">
        <v>108</v>
      </c>
      <c r="C125" s="47"/>
      <c r="D125" s="59">
        <v>43585</v>
      </c>
      <c r="E125" s="42" t="s">
        <v>117</v>
      </c>
      <c r="F125" s="42" t="s">
        <v>117</v>
      </c>
      <c r="G125" s="42" t="s">
        <v>122</v>
      </c>
      <c r="H125" s="47"/>
      <c r="I125" s="45" t="s">
        <v>139</v>
      </c>
      <c r="J125" s="50">
        <v>43712</v>
      </c>
      <c r="K125" s="50"/>
      <c r="L125" s="49" t="str">
        <f ca="1">IFERROR(__xludf.DUMMYFUNCTION("QUERY('Volunteer Survey'!B132)"),"Urjit Patel")</f>
        <v>Urjit Patel</v>
      </c>
      <c r="M125" s="49" t="str">
        <f ca="1">IFERROR(__xludf.DUMMYFUNCTION("QUERY('Volunteer Survey'!E132)"),"urjit.x.patel@questdiagnostics.com")</f>
        <v>urjit.x.patel@questdiagnostics.com</v>
      </c>
      <c r="N125" s="49" t="str">
        <f ca="1">IFERROR(__xludf.DUMMYFUNCTION("QUERY('Volunteer Survey'!F132)"),"Variant Analyst/Scientist - Industry")</f>
        <v>Variant Analyst/Scientist - Industry</v>
      </c>
      <c r="O125" s="42" t="str">
        <f ca="1">IFERROR(__xludf.DUMMYFUNCTION("QUERY('Volunteer Survey'!H132)"),"Comprehensive")</f>
        <v>Comprehensive</v>
      </c>
      <c r="P125" s="49" t="str">
        <f ca="1">IFERROR(__xludf.DUMMYFUNCTION("QUERY('Volunteer Survey'!I132)"),"Gene-Disease Validity")</f>
        <v>Gene-Disease Validity</v>
      </c>
      <c r="Q125" s="54" t="str">
        <f ca="1">IFERROR(__xludf.DUMMYFUNCTION("QUERY('Volunteer Survey'!J132)"),"Dosage Sensitivity")</f>
        <v>Dosage Sensitivity</v>
      </c>
      <c r="R125" s="49" t="str">
        <f ca="1">IFERROR(__xludf.DUMMYFUNCTION("QUERY('Volunteer Survey'!K132)"),"Variant Pathogenicity")</f>
        <v>Variant Pathogenicity</v>
      </c>
      <c r="S125" s="49" t="str">
        <f ca="1">IFERROR(__xludf.DUMMYFUNCTION("QUERY('Volunteer Survey'!L132)"),"")</f>
        <v/>
      </c>
      <c r="T125" s="49" t="str">
        <f ca="1">IFERROR(__xludf.DUMMYFUNCTION("QUERY('Volunteer Survey'!M132)"),"")</f>
        <v/>
      </c>
      <c r="U125" s="58" t="str">
        <f ca="1">IFERROR(__xludf.DUMMYFUNCTION("QUERY('Volunteer Survey'!N132)"),"")</f>
        <v/>
      </c>
      <c r="V125" s="49" t="str">
        <f ca="1">IFERROR(__xludf.DUMMYFUNCTION("QUERY('Volunteer Survey'!O132)"),"Possibly")</f>
        <v>Possibly</v>
      </c>
      <c r="W125" s="60" t="str">
        <f ca="1">IFERROR(__xludf.DUMMYFUNCTION("QUERY('Volunteer Survey'!P132)"),"")</f>
        <v/>
      </c>
      <c r="X125" s="58" t="str">
        <f ca="1">IFERROR(__xludf.DUMMYFUNCTION("QUERY('Volunteer Survey'!R132)"),"Maybe -- please contact me with other options, and I will decide based on what is available")</f>
        <v>Maybe -- please contact me with other options, and I will decide based on what is available</v>
      </c>
      <c r="Y125" s="47"/>
      <c r="Z125" s="174">
        <f ca="1">IFERROR(__xludf.DUMMYFUNCTION("QUERY('Volunteer Survey'!A124)"),43510.1569569444)</f>
        <v>43510.156956944396</v>
      </c>
      <c r="AA125" s="175" t="str">
        <f ca="1">IFERROR(__xludf.DUMMYFUNCTION("QUERY('Volunteer Survey'!B124)"),"Brooke H. Miller")</f>
        <v>Brooke H. Miller</v>
      </c>
      <c r="AB125" s="175" t="str">
        <f ca="1">IFERROR(__xludf.DUMMYFUNCTION("QUERY('Volunteer Survey'!C124)"),"Self/University of Florida")</f>
        <v>Self/University of Florida</v>
      </c>
      <c r="AC125" s="175" t="str">
        <f ca="1">IFERROR(__xludf.DUMMYFUNCTION("QUERY('Volunteer Survey'!D124)"),"4171 San Marino Blvd, Apt. 208, West Palm Beach, FL 33409")</f>
        <v>4171 San Marino Blvd, Apt. 208, West Palm Beach, FL 33409</v>
      </c>
      <c r="AD125" s="175" t="str">
        <f ca="1">IFERROR(__xludf.DUMMYFUNCTION("QUERY('Volunteer Survey'!E124)"),"brooke.h.miller@gmail.com")</f>
        <v>brooke.h.miller@gmail.com</v>
      </c>
      <c r="AE125" s="175" t="str">
        <f ca="1">IFERROR(__xludf.DUMMYFUNCTION("QUERY('Volunteer Survey'!F124)"),"Scientific Researcher")</f>
        <v>Scientific Researcher</v>
      </c>
      <c r="AF125" s="175" t="str">
        <f ca="1">IFERROR(__xludf.DUMMYFUNCTION("QUERY('Volunteer Survey'!G124)"),"Helped a friend interpret a Genomind report, got sucked down rabbit hole of PGX, eventually came across ClinGen via the FDA website")</f>
        <v>Helped a friend interpret a Genomind report, got sucked down rabbit hole of PGX, eventually came across ClinGen via the FDA website</v>
      </c>
      <c r="AG125" s="175" t="str">
        <f ca="1">IFERROR(__xludf.DUMMYFUNCTION("QUERY('Volunteer Survey'!H124)"),"Comprehensive")</f>
        <v>Comprehensive</v>
      </c>
      <c r="AH125" s="175" t="str">
        <f ca="1">IFERROR(__xludf.DUMMYFUNCTION("QUERY('Volunteer Survey'!I124)"),"Gene-Disease Validity")</f>
        <v>Gene-Disease Validity</v>
      </c>
      <c r="AI125" s="175" t="str">
        <f ca="1">IFERROR(__xludf.DUMMYFUNCTION("QUERY('Volunteer Survey'!J124)"),"Variant Pathogenicity")</f>
        <v>Variant Pathogenicity</v>
      </c>
      <c r="AJ125" s="175" t="str">
        <f ca="1">IFERROR(__xludf.DUMMYFUNCTION("QUERY('Volunteer Survey'!K124)"),"Clinical Actionability")</f>
        <v>Clinical Actionability</v>
      </c>
      <c r="AK125" s="175" t="str">
        <f ca="1">IFERROR(__xludf.DUMMYFUNCTION("QUERY('Volunteer Survey'!L124)"),"")</f>
        <v/>
      </c>
      <c r="AL125" s="175" t="str">
        <f ca="1">IFERROR(__xludf.DUMMYFUNCTION("QUERY('Volunteer Survey'!M124)"),"")</f>
        <v/>
      </c>
      <c r="AM125" s="175" t="str">
        <f ca="1">IFERROR(__xludf.DUMMYFUNCTION("QUERY('Volunteer Survey'!N124)"),"Yes--used inbred strain haplotype mapping, gene expression analysis, and re-sequencing to identify SNPs associated with behavioral despair and antidepressant efficacy in mice. Research profile available: https://www.researchgate.net/profile/Brooke_Miller3")</f>
        <v>Yes--used inbred strain haplotype mapping, gene expression analysis, and re-sequencing to identify SNPs associated with behavioral despair and antidepressant efficacy in mice. Research profile available: https://www.researchgate.net/profile/Brooke_Miller3</v>
      </c>
      <c r="AN125" s="175" t="str">
        <f ca="1">IFERROR(__xludf.DUMMYFUNCTION("QUERY('Volunteer Survey'!O124)"),"Possibly")</f>
        <v>Possibly</v>
      </c>
      <c r="AO125" s="175" t="str">
        <f ca="1">IFERROR(__xludf.DUMMYFUNCTION("QUERY('Volunteer Survey'!P124)"),"Not at the moment, but wouldn't rule out future involvement")</f>
        <v>Not at the moment, but wouldn't rule out future involvement</v>
      </c>
    </row>
    <row r="126" spans="1:41" ht="14">
      <c r="A126" s="44">
        <f ca="1">IFERROR(__xludf.DUMMYFUNCTION("QUERY('Volunteer Survey'!A133)"),43531.6175765162)</f>
        <v>43531.617576516197</v>
      </c>
      <c r="B126" s="42" t="s">
        <v>168</v>
      </c>
      <c r="C126" s="47"/>
      <c r="D126" s="67">
        <v>43567</v>
      </c>
      <c r="E126" s="42" t="s">
        <v>117</v>
      </c>
      <c r="F126" s="42" t="s">
        <v>117</v>
      </c>
      <c r="G126" s="42" t="s">
        <v>19</v>
      </c>
      <c r="H126" s="63" t="s">
        <v>19</v>
      </c>
      <c r="I126" s="63" t="s">
        <v>139</v>
      </c>
      <c r="J126" s="50">
        <v>43712</v>
      </c>
      <c r="K126" s="50"/>
      <c r="L126" s="49" t="str">
        <f ca="1">IFERROR(__xludf.DUMMYFUNCTION("QUERY('Volunteer Survey'!B133)"),"Lesley Northrop")</f>
        <v>Lesley Northrop</v>
      </c>
      <c r="M126" s="49" t="str">
        <f ca="1">IFERROR(__xludf.DUMMYFUNCTION("QUERY('Volunteer Survey'!E133)"),"lesleyenorthrop@gmail.com")</f>
        <v>lesleyenorthrop@gmail.com</v>
      </c>
      <c r="N126" s="49" t="str">
        <f ca="1">IFERROR(__xludf.DUMMYFUNCTION("QUERY('Volunteer Survey'!F133)"),"Clinical laboratory geneticist")</f>
        <v>Clinical laboratory geneticist</v>
      </c>
      <c r="O126" s="42" t="str">
        <f ca="1">IFERROR(__xludf.DUMMYFUNCTION("QUERY('Volunteer Survey'!H133)"),"Comprehensive")</f>
        <v>Comprehensive</v>
      </c>
      <c r="P126" s="49" t="str">
        <f ca="1">IFERROR(__xludf.DUMMYFUNCTION("QUERY('Volunteer Survey'!I133)"),"Clinical Actionability")</f>
        <v>Clinical Actionability</v>
      </c>
      <c r="Q126" s="54" t="str">
        <f ca="1">IFERROR(__xludf.DUMMYFUNCTION("QUERY('Volunteer Survey'!J133)"),"Gene-Disease Validity")</f>
        <v>Gene-Disease Validity</v>
      </c>
      <c r="R126" s="49" t="str">
        <f ca="1">IFERROR(__xludf.DUMMYFUNCTION("QUERY('Volunteer Survey'!K133)"),"Variant Pathogenicity")</f>
        <v>Variant Pathogenicity</v>
      </c>
      <c r="S126" s="49" t="str">
        <f ca="1">IFERROR(__xludf.DUMMYFUNCTION("QUERY('Volunteer Survey'!L133)"),"Dosage Sensitivity")</f>
        <v>Dosage Sensitivity</v>
      </c>
      <c r="T126" s="49" t="str">
        <f ca="1">IFERROR(__xludf.DUMMYFUNCTION("QUERY('Volunteer Survey'!M133)"),"Somatic Cancer")</f>
        <v>Somatic Cancer</v>
      </c>
      <c r="U126" s="58" t="str">
        <f ca="1">IFERROR(__xludf.DUMMYFUNCTION("QUERY('Volunteer Survey'!N133)"),"within my own institution designing a panel following ClinGen guidelines")</f>
        <v>within my own institution designing a panel following ClinGen guidelines</v>
      </c>
      <c r="V126" s="49" t="str">
        <f ca="1">IFERROR(__xludf.DUMMYFUNCTION("QUERY('Volunteer Survey'!O133)"),"Yes")</f>
        <v>Yes</v>
      </c>
      <c r="W126" s="60" t="str">
        <f ca="1">IFERROR(__xludf.DUMMYFUNCTION("QUERY('Volunteer Survey'!P133)"),"Gene Curation - Epilepsy or Autism &amp; ID")</f>
        <v>Gene Curation - Epilepsy or Autism &amp; ID</v>
      </c>
      <c r="X126" s="58" t="str">
        <f ca="1">IFERROR(__xludf.DUMMYFUNCTION("QUERY('Volunteer Survey'!R133)"),"Yes- I am willing to volunteer with any available ClinGen group")</f>
        <v>Yes- I am willing to volunteer with any available ClinGen group</v>
      </c>
      <c r="Y126" s="47"/>
      <c r="Z126" s="174">
        <f ca="1">IFERROR(__xludf.DUMMYFUNCTION("QUERY('Volunteer Survey'!A125)"),43510.645928368)</f>
        <v>43510.645928368001</v>
      </c>
      <c r="AA126" s="175" t="str">
        <f ca="1">IFERROR(__xludf.DUMMYFUNCTION("QUERY('Volunteer Survey'!B125)"),"Elizabeth Spiteri")</f>
        <v>Elizabeth Spiteri</v>
      </c>
      <c r="AB126" s="175" t="str">
        <f ca="1">IFERROR(__xludf.DUMMYFUNCTION("QUERY('Volunteer Survey'!C125)"),"Stanford Medicine")</f>
        <v>Stanford Medicine</v>
      </c>
      <c r="AC126" s="175" t="str">
        <f ca="1">IFERROR(__xludf.DUMMYFUNCTION("QUERY('Volunteer Survey'!D125)"),"901 Varian Way")</f>
        <v>901 Varian Way</v>
      </c>
      <c r="AD126" s="175" t="str">
        <f ca="1">IFERROR(__xludf.DUMMYFUNCTION("QUERY('Volunteer Survey'!E125)"),"espiteri@gmail.com")</f>
        <v>espiteri@gmail.com</v>
      </c>
      <c r="AE126" s="175" t="str">
        <f ca="1">IFERROR(__xludf.DUMMYFUNCTION("QUERY('Volunteer Survey'!F125)"),"Clinical laboratory geneticist")</f>
        <v>Clinical laboratory geneticist</v>
      </c>
      <c r="AF126" s="175" t="str">
        <f ca="1">IFERROR(__xludf.DUMMYFUNCTION("QUERY('Volunteer Survey'!G125)"),"I utilize the ClinGen Dosage Map and noticed there were additional groups being formed")</f>
        <v>I utilize the ClinGen Dosage Map and noticed there were additional groups being formed</v>
      </c>
      <c r="AG126" s="175" t="str">
        <f ca="1">IFERROR(__xludf.DUMMYFUNCTION("QUERY('Volunteer Survey'!H125)"),"Comprehensive")</f>
        <v>Comprehensive</v>
      </c>
      <c r="AH126" s="175" t="str">
        <f ca="1">IFERROR(__xludf.DUMMYFUNCTION("QUERY('Volunteer Survey'!I125)"),"Dosage Sensitivity")</f>
        <v>Dosage Sensitivity</v>
      </c>
      <c r="AI126" s="175" t="str">
        <f ca="1">IFERROR(__xludf.DUMMYFUNCTION("QUERY('Volunteer Survey'!J125)"),"Somatic Cancer")</f>
        <v>Somatic Cancer</v>
      </c>
      <c r="AJ126" s="175" t="str">
        <f ca="1">IFERROR(__xludf.DUMMYFUNCTION("QUERY('Volunteer Survey'!K125)"),"Gene-Disease Validity")</f>
        <v>Gene-Disease Validity</v>
      </c>
      <c r="AK126" s="175" t="str">
        <f ca="1">IFERROR(__xludf.DUMMYFUNCTION("QUERY('Volunteer Survey'!L125)"),"Variant Pathogenicity")</f>
        <v>Variant Pathogenicity</v>
      </c>
      <c r="AL126" s="175" t="str">
        <f ca="1">IFERROR(__xludf.DUMMYFUNCTION("QUERY('Volunteer Survey'!M125)"),"")</f>
        <v/>
      </c>
      <c r="AM126" s="175" t="str">
        <f ca="1">IFERROR(__xludf.DUMMYFUNCTION("QUERY('Volunteer Survey'!N125)"),"I have participated in a Clinical Genomics Consortium for Copy Number Variants")</f>
        <v>I have participated in a Clinical Genomics Consortium for Copy Number Variants</v>
      </c>
      <c r="AN126" s="175" t="str">
        <f ca="1">IFERROR(__xludf.DUMMYFUNCTION("QUERY('Volunteer Survey'!O125)"),"Yes")</f>
        <v>Yes</v>
      </c>
      <c r="AO126" s="175" t="str">
        <f ca="1">IFERROR(__xludf.DUMMYFUNCTION("QUERY('Volunteer Survey'!P125)"),"In addition to the somatic panel curation I would also be interested in Breast/Ovarian or Colon Cancer Expert panels ")</f>
        <v xml:space="preserve">In addition to the somatic panel curation I would also be interested in Breast/Ovarian or Colon Cancer Expert panels </v>
      </c>
    </row>
    <row r="127" spans="1:41" ht="18" customHeight="1">
      <c r="A127" s="44">
        <f ca="1">IFERROR(__xludf.DUMMYFUNCTION("QUERY('Volunteer Survey'!A134)"),43535.0067611458)</f>
        <v>43535.0067611458</v>
      </c>
      <c r="B127" s="42" t="s">
        <v>168</v>
      </c>
      <c r="C127" s="47"/>
      <c r="D127" s="49"/>
      <c r="E127" s="42" t="s">
        <v>130</v>
      </c>
      <c r="F127" s="42" t="s">
        <v>130</v>
      </c>
      <c r="G127" s="42" t="s">
        <v>163</v>
      </c>
      <c r="H127" s="47"/>
      <c r="I127" s="45" t="s">
        <v>139</v>
      </c>
      <c r="J127" s="49"/>
      <c r="K127" s="49"/>
      <c r="L127" s="49" t="str">
        <f ca="1">IFERROR(__xludf.DUMMYFUNCTION("QUERY('Volunteer Survey'!B134)"),"Hafsa Amtul")</f>
        <v>Hafsa Amtul</v>
      </c>
      <c r="M127" s="49" t="str">
        <f ca="1">IFERROR(__xludf.DUMMYFUNCTION("QUERY('Volunteer Survey'!E134)"),"hafsa.amtul2502@gmail.com")</f>
        <v>hafsa.amtul2502@gmail.com</v>
      </c>
      <c r="N127" s="49" t="str">
        <f ca="1">IFERROR(__xludf.DUMMYFUNCTION("QUERY('Volunteer Survey'!F134)"),"Scientific Researcher")</f>
        <v>Scientific Researcher</v>
      </c>
      <c r="O127" s="42" t="str">
        <f ca="1">IFERROR(__xludf.DUMMYFUNCTION("QUERY('Volunteer Survey'!H134)"),"Comprehensive")</f>
        <v>Comprehensive</v>
      </c>
      <c r="P127" s="49" t="str">
        <f ca="1">IFERROR(__xludf.DUMMYFUNCTION("QUERY('Volunteer Survey'!I134)"),"Dosage Sensitivity")</f>
        <v>Dosage Sensitivity</v>
      </c>
      <c r="Q127" s="54" t="str">
        <f ca="1">IFERROR(__xludf.DUMMYFUNCTION("QUERY('Volunteer Survey'!J134)"),"Clinical Actionability")</f>
        <v>Clinical Actionability</v>
      </c>
      <c r="R127" s="49" t="str">
        <f ca="1">IFERROR(__xludf.DUMMYFUNCTION("QUERY('Volunteer Survey'!K134)"),"Gene-Disease Validity")</f>
        <v>Gene-Disease Validity</v>
      </c>
      <c r="S127" s="49" t="str">
        <f ca="1">IFERROR(__xludf.DUMMYFUNCTION("QUERY('Volunteer Survey'!L134)"),"Somatic Cancer")</f>
        <v>Somatic Cancer</v>
      </c>
      <c r="T127" s="49" t="str">
        <f ca="1">IFERROR(__xludf.DUMMYFUNCTION("QUERY('Volunteer Survey'!M134)"),"Variant Pathogenicity")</f>
        <v>Variant Pathogenicity</v>
      </c>
      <c r="U127" s="58" t="str">
        <f ca="1">IFERROR(__xludf.DUMMYFUNCTION("QUERY('Volunteer Survey'!N134)"),"drug toxicity associated with tpmt genetic variants *1, *2, *3A, *3B")</f>
        <v>drug toxicity associated with tpmt genetic variants *1, *2, *3A, *3B</v>
      </c>
      <c r="V127" s="49" t="str">
        <f ca="1">IFERROR(__xludf.DUMMYFUNCTION("QUERY('Volunteer Survey'!O134)"),"Yes")</f>
        <v>Yes</v>
      </c>
      <c r="W127" s="60" t="str">
        <f ca="1">IFERROR(__xludf.DUMMYFUNCTION("QUERY('Volunteer Survey'!P134)"),"Dosage- Neurodevelopemental, Pediatric, Nonsmall cell lung cancer, 
Somatic TP53 ")</f>
        <v xml:space="preserve">Dosage- Neurodevelopemental, Pediatric, Nonsmall cell lung cancer, 
Somatic TP53 </v>
      </c>
      <c r="X127" s="58" t="str">
        <f ca="1">IFERROR(__xludf.DUMMYFUNCTION("QUERY('Volunteer Survey'!R134)"),"Maybe -- please contact me with other options, and I will decide based on what is available")</f>
        <v>Maybe -- please contact me with other options, and I will decide based on what is available</v>
      </c>
      <c r="Y127" s="47"/>
      <c r="Z127" s="174">
        <f ca="1">IFERROR(__xludf.DUMMYFUNCTION("QUERY('Volunteer Survey'!A126)"),43511.5149267129)</f>
        <v>43511.514926712902</v>
      </c>
      <c r="AA127" s="175" t="str">
        <f ca="1">IFERROR(__xludf.DUMMYFUNCTION("QUERY('Volunteer Survey'!B126)"),"Yasser Sullcahuaman")</f>
        <v>Yasser Sullcahuaman</v>
      </c>
      <c r="AB127" s="175" t="str">
        <f ca="1">IFERROR(__xludf.DUMMYFUNCTION("QUERY('Volunteer Survey'!C126)"),"Instituto Nacional de Enfermedades Neoplasicas")</f>
        <v>Instituto Nacional de Enfermedades Neoplasicas</v>
      </c>
      <c r="AC127" s="175" t="str">
        <f ca="1">IFERROR(__xludf.DUMMYFUNCTION("QUERY('Volunteer Survey'!D126)"),"Av. Angamos Este  F- 53, Urb. Juan XXII, Distrito de San Borja, LIMA- Peru")</f>
        <v>Av. Angamos Este  F- 53, Urb. Juan XXII, Distrito de San Borja, LIMA- Peru</v>
      </c>
      <c r="AD127" s="175" t="str">
        <f ca="1">IFERROR(__xludf.DUMMYFUNCTION("QUERY('Volunteer Survey'!E126)"),"ysullcahuaman@gmail.com")</f>
        <v>ysullcahuaman@gmail.com</v>
      </c>
      <c r="AE127" s="175" t="str">
        <f ca="1">IFERROR(__xludf.DUMMYFUNCTION("QUERY('Volunteer Survey'!F126)"),"Clinical Medical Geneticist")</f>
        <v>Clinical Medical Geneticist</v>
      </c>
      <c r="AF127" s="175" t="str">
        <f ca="1">IFERROR(__xludf.DUMMYFUNCTION("QUERY('Volunteer Survey'!G126)"),"I am interested because I am a geneticist and every year I treat more than 500 patients with suspected hereditary cancer and many times the results of the genetic test are not clear and the relation of the genotype to the phenotype is still to be determin"&amp;"ed.I found clingen online while looking for how to classify genetic variants of Peruvian population")</f>
        <v>I am interested because I am a geneticist and every year I treat more than 500 patients with suspected hereditary cancer and many times the results of the genetic test are not clear and the relation of the genotype to the phenotype is still to be determined.I found clingen online while looking for how to classify genetic variants of Peruvian population</v>
      </c>
      <c r="AG127" s="175" t="str">
        <f ca="1">IFERROR(__xludf.DUMMYFUNCTION("QUERY('Volunteer Survey'!H126)"),"Comprehensive")</f>
        <v>Comprehensive</v>
      </c>
      <c r="AH127" s="175" t="str">
        <f ca="1">IFERROR(__xludf.DUMMYFUNCTION("QUERY('Volunteer Survey'!I126)"),"Variant Pathogenicity")</f>
        <v>Variant Pathogenicity</v>
      </c>
      <c r="AI127" s="175" t="str">
        <f ca="1">IFERROR(__xludf.DUMMYFUNCTION("QUERY('Volunteer Survey'!J126)"),"Gene-Disease Validity")</f>
        <v>Gene-Disease Validity</v>
      </c>
      <c r="AJ127" s="175" t="str">
        <f ca="1">IFERROR(__xludf.DUMMYFUNCTION("QUERY('Volunteer Survey'!K126)"),"Clinical Actionability")</f>
        <v>Clinical Actionability</v>
      </c>
      <c r="AK127" s="175" t="str">
        <f ca="1">IFERROR(__xludf.DUMMYFUNCTION("QUERY('Volunteer Survey'!L126)"),"Somatic Cancer")</f>
        <v>Somatic Cancer</v>
      </c>
      <c r="AL127" s="175" t="str">
        <f ca="1">IFERROR(__xludf.DUMMYFUNCTION("QUERY('Volunteer Survey'!M126)"),"Dosage Sensitivity")</f>
        <v>Dosage Sensitivity</v>
      </c>
      <c r="AM127" s="175" t="str">
        <f ca="1">IFERROR(__xludf.DUMMYFUNCTION("QUERY('Volunteer Survey'!N126)"),"")</f>
        <v/>
      </c>
      <c r="AN127" s="175" t="str">
        <f ca="1">IFERROR(__xludf.DUMMYFUNCTION("QUERY('Volunteer Survey'!O126)"),"Possibly")</f>
        <v>Possibly</v>
      </c>
      <c r="AO127" s="175" t="str">
        <f ca="1">IFERROR(__xludf.DUMMYFUNCTION("QUERY('Volunteer Survey'!P126)"),"")</f>
        <v/>
      </c>
    </row>
    <row r="128" spans="1:41" ht="14">
      <c r="A128" s="44">
        <f ca="1">IFERROR(__xludf.DUMMYFUNCTION("QUERY('Volunteer Survey'!A135)"),43537.387839074)</f>
        <v>43537.387839073999</v>
      </c>
      <c r="B128" s="42" t="s">
        <v>108</v>
      </c>
      <c r="C128" s="47"/>
      <c r="D128" s="49"/>
      <c r="E128" s="42" t="s">
        <v>130</v>
      </c>
      <c r="F128" s="42" t="s">
        <v>130</v>
      </c>
      <c r="G128" s="42" t="s">
        <v>202</v>
      </c>
      <c r="H128" s="47"/>
      <c r="I128" s="45" t="s">
        <v>139</v>
      </c>
      <c r="J128" s="49"/>
      <c r="K128" s="49"/>
      <c r="L128" s="49" t="str">
        <f ca="1">IFERROR(__xludf.DUMMYFUNCTION("QUERY('Volunteer Survey'!B135)"),"Manya Warrier")</f>
        <v>Manya Warrier</v>
      </c>
      <c r="M128" s="49" t="str">
        <f ca="1">IFERROR(__xludf.DUMMYFUNCTION("QUERY('Volunteer Survey'!E135)"),"manyawarrier@gmail.com")</f>
        <v>manyawarrier@gmail.com</v>
      </c>
      <c r="N128" s="49" t="str">
        <f ca="1">IFERROR(__xludf.DUMMYFUNCTION("QUERY('Volunteer Survey'!F135)"),"Variant Analyst/Scientist - Industry")</f>
        <v>Variant Analyst/Scientist - Industry</v>
      </c>
      <c r="O128" s="42" t="str">
        <f ca="1">IFERROR(__xludf.DUMMYFUNCTION("QUERY('Volunteer Survey'!H135)"),"Baseline")</f>
        <v>Baseline</v>
      </c>
      <c r="P128" s="49" t="str">
        <f ca="1">IFERROR(__xludf.DUMMYFUNCTION("QUERY('Volunteer Survey'!I135)"),"")</f>
        <v/>
      </c>
      <c r="Q128" s="54" t="str">
        <f ca="1">IFERROR(__xludf.DUMMYFUNCTION("QUERY('Volunteer Survey'!J135)"),"")</f>
        <v/>
      </c>
      <c r="R128" s="49" t="str">
        <f ca="1">IFERROR(__xludf.DUMMYFUNCTION("QUERY('Volunteer Survey'!K135)"),"")</f>
        <v/>
      </c>
      <c r="S128" s="49" t="str">
        <f ca="1">IFERROR(__xludf.DUMMYFUNCTION("QUERY('Volunteer Survey'!L135)"),"")</f>
        <v/>
      </c>
      <c r="T128" s="49" t="str">
        <f ca="1">IFERROR(__xludf.DUMMYFUNCTION("QUERY('Volunteer Survey'!M135)"),"")</f>
        <v/>
      </c>
      <c r="U128" s="58" t="str">
        <f ca="1">IFERROR(__xludf.DUMMYFUNCTION("QUERY('Volunteer Survey'!N135)"),"")</f>
        <v/>
      </c>
      <c r="V128" s="49" t="str">
        <f ca="1">IFERROR(__xludf.DUMMYFUNCTION("QUERY('Volunteer Survey'!O135)"),"Possibly")</f>
        <v>Possibly</v>
      </c>
      <c r="W128" s="60" t="str">
        <f ca="1">IFERROR(__xludf.DUMMYFUNCTION("QUERY('Volunteer Survey'!P135)"),"")</f>
        <v/>
      </c>
      <c r="X128" s="58" t="str">
        <f ca="1">IFERROR(__xludf.DUMMYFUNCTION("QUERY('Volunteer Survey'!R135)"),"Yes- I am willing to volunteer with any available ClinGen group")</f>
        <v>Yes- I am willing to volunteer with any available ClinGen group</v>
      </c>
      <c r="Y128" s="47"/>
      <c r="Z128" s="174">
        <f ca="1">IFERROR(__xludf.DUMMYFUNCTION("QUERY('Volunteer Survey'!A127)"),43515.3258305902)</f>
        <v>43515.325830590198</v>
      </c>
      <c r="AA128" s="175" t="str">
        <f ca="1">IFERROR(__xludf.DUMMYFUNCTION("QUERY('Volunteer Survey'!B127)"),"HUILING XU")</f>
        <v>HUILING XU</v>
      </c>
      <c r="AB128" s="175" t="str">
        <f ca="1">IFERROR(__xludf.DUMMYFUNCTION("QUERY('Volunteer Survey'!C127)"),"Peter MacCallum Cancer Centre")</f>
        <v>Peter MacCallum Cancer Centre</v>
      </c>
      <c r="AC128" s="175" t="str">
        <f ca="1">IFERROR(__xludf.DUMMYFUNCTION("QUERY('Volunteer Survey'!D127)"),"305 Grattan Street
Melbourne VIC 3000
Australia")</f>
        <v>305 Grattan Street
Melbourne VIC 3000
Australia</v>
      </c>
      <c r="AD128" s="175" t="str">
        <f ca="1">IFERROR(__xludf.DUMMYFUNCTION("QUERY('Volunteer Survey'!E127)"),"huiling.xu@petermac.org")</f>
        <v>huiling.xu@petermac.org</v>
      </c>
      <c r="AE128" s="175" t="str">
        <f ca="1">IFERROR(__xludf.DUMMYFUNCTION("QUERY('Volunteer Survey'!F127)"),"Variant Analyst/Scientist - Academic")</f>
        <v>Variant Analyst/Scientist - Academic</v>
      </c>
      <c r="AF128" s="175" t="str">
        <f ca="1">IFERROR(__xludf.DUMMYFUNCTION("QUERY('Volunteer Survey'!G127)"),"The clinicalgenome.org website")</f>
        <v>The clinicalgenome.org website</v>
      </c>
      <c r="AG128" s="175" t="str">
        <f ca="1">IFERROR(__xludf.DUMMYFUNCTION("QUERY('Volunteer Survey'!H127)"),"Comprehensive")</f>
        <v>Comprehensive</v>
      </c>
      <c r="AH128" s="175" t="str">
        <f ca="1">IFERROR(__xludf.DUMMYFUNCTION("QUERY('Volunteer Survey'!I127)"),"Somatic Cancer")</f>
        <v>Somatic Cancer</v>
      </c>
      <c r="AI128" s="175" t="str">
        <f ca="1">IFERROR(__xludf.DUMMYFUNCTION("QUERY('Volunteer Survey'!J127)"),"")</f>
        <v/>
      </c>
      <c r="AJ128" s="175" t="str">
        <f ca="1">IFERROR(__xludf.DUMMYFUNCTION("QUERY('Volunteer Survey'!K127)"),"")</f>
        <v/>
      </c>
      <c r="AK128" s="175" t="str">
        <f ca="1">IFERROR(__xludf.DUMMYFUNCTION("QUERY('Volunteer Survey'!L127)"),"")</f>
        <v/>
      </c>
      <c r="AL128" s="175" t="str">
        <f ca="1">IFERROR(__xludf.DUMMYFUNCTION("QUERY('Volunteer Survey'!M127)"),"")</f>
        <v/>
      </c>
      <c r="AM128" s="175" t="str">
        <f ca="1">IFERROR(__xludf.DUMMYFUNCTION("QUERY('Volunteer Survey'!N127)"),"I am a senior clinical genomic analyst/scientist in the Molecular Pathology Section of the Department of Pathology, Peter MacCallum Cancer Centre, Australia. I have been involved in interpreting and reporting cancer genomic alterations to guide targeted t"&amp;"herapy in multiple government-funded prospective precision oncology programs for the past four years. I have extensive knowledge of clinical laboratory practise, cancer biology, targeted therapy, and clinical care. 
I am also a researcher with 20 years c"&amp;"ancer research experience and have a strong track record in cancer research. I have a career total of 54 publications including a number of papers in the highly influential clinical and scientific journals.")</f>
        <v>I am a senior clinical genomic analyst/scientist in the Molecular Pathology Section of the Department of Pathology, Peter MacCallum Cancer Centre, Australia. I have been involved in interpreting and reporting cancer genomic alterations to guide targeted therapy in multiple government-funded prospective precision oncology programs for the past four years. I have extensive knowledge of clinical laboratory practise, cancer biology, targeted therapy, and clinical care. 
I am also a researcher with 20 years cancer research experience and have a strong track record in cancer research. I have a career total of 54 publications including a number of papers in the highly influential clinical and scientific journals.</v>
      </c>
      <c r="AN128" s="175" t="str">
        <f ca="1">IFERROR(__xludf.DUMMYFUNCTION("QUERY('Volunteer Survey'!O127)"),"Yes")</f>
        <v>Yes</v>
      </c>
      <c r="AO128" s="175" t="str">
        <f ca="1">IFERROR(__xludf.DUMMYFUNCTION("QUERY('Volunteer Survey'!P127)"),"Somatic cancer working groups")</f>
        <v>Somatic cancer working groups</v>
      </c>
    </row>
    <row r="129" spans="1:41" ht="14">
      <c r="A129" s="44">
        <f ca="1">IFERROR(__xludf.DUMMYFUNCTION("QUERY('Volunteer Survey'!A136)"),43542.6378533333)</f>
        <v>43542.637853333297</v>
      </c>
      <c r="B129" s="42" t="s">
        <v>108</v>
      </c>
      <c r="C129" s="47"/>
      <c r="D129" s="43">
        <v>43570</v>
      </c>
      <c r="E129" s="42" t="s">
        <v>117</v>
      </c>
      <c r="F129" s="42" t="s">
        <v>117</v>
      </c>
      <c r="G129" s="42" t="s">
        <v>122</v>
      </c>
      <c r="H129" s="45" t="s">
        <v>123</v>
      </c>
      <c r="I129" s="45" t="s">
        <v>139</v>
      </c>
      <c r="J129" s="50">
        <v>43712</v>
      </c>
      <c r="K129" s="50"/>
      <c r="L129" s="49" t="str">
        <f ca="1">IFERROR(__xludf.DUMMYFUNCTION("QUERY('Volunteer Survey'!B136)"),"Angela Pickart")</f>
        <v>Angela Pickart</v>
      </c>
      <c r="M129" s="49" t="str">
        <f ca="1">IFERROR(__xludf.DUMMYFUNCTION("QUERY('Volunteer Survey'!E136)"),"pickart.angela@mayo.edu")</f>
        <v>pickart.angela@mayo.edu</v>
      </c>
      <c r="N129" s="49" t="str">
        <f ca="1">IFERROR(__xludf.DUMMYFUNCTION("QUERY('Volunteer Survey'!F136)"),"Genetic counselor")</f>
        <v>Genetic counselor</v>
      </c>
      <c r="O129" s="42" t="str">
        <f ca="1">IFERROR(__xludf.DUMMYFUNCTION("QUERY('Volunteer Survey'!H136)"),"Comprehensive")</f>
        <v>Comprehensive</v>
      </c>
      <c r="P129" s="49" t="str">
        <f ca="1">IFERROR(__xludf.DUMMYFUNCTION("QUERY('Volunteer Survey'!I136)"),"Gene-Disease Validity")</f>
        <v>Gene-Disease Validity</v>
      </c>
      <c r="Q129" s="54" t="str">
        <f ca="1">IFERROR(__xludf.DUMMYFUNCTION("QUERY('Volunteer Survey'!J136)"),"Variant Pathogenicity")</f>
        <v>Variant Pathogenicity</v>
      </c>
      <c r="R129" s="49" t="str">
        <f ca="1">IFERROR(__xludf.DUMMYFUNCTION("QUERY('Volunteer Survey'!K136)"),"")</f>
        <v/>
      </c>
      <c r="S129" s="49" t="str">
        <f ca="1">IFERROR(__xludf.DUMMYFUNCTION("QUERY('Volunteer Survey'!L136)"),"")</f>
        <v/>
      </c>
      <c r="T129" s="49" t="str">
        <f ca="1">IFERROR(__xludf.DUMMYFUNCTION("QUERY('Volunteer Survey'!M136)"),"")</f>
        <v/>
      </c>
      <c r="U129" s="58" t="str">
        <f ca="1">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V129" s="49" t="str">
        <f ca="1">IFERROR(__xludf.DUMMYFUNCTION("QUERY('Volunteer Survey'!O136)"),"Possibly")</f>
        <v>Possibly</v>
      </c>
      <c r="W129" s="60" t="str">
        <f ca="1">IFERROR(__xludf.DUMMYFUNCTION("QUERY('Volunteer Survey'!P136)"),"Epilepsy")</f>
        <v>Epilepsy</v>
      </c>
      <c r="X129" s="58" t="str">
        <f ca="1">IFERROR(__xludf.DUMMYFUNCTION("QUERY('Volunteer Survey'!R136)"),"Maybe -- please contact me with other options, and I will decide based on what is available")</f>
        <v>Maybe -- please contact me with other options, and I will decide based on what is available</v>
      </c>
      <c r="Y129" s="47"/>
      <c r="Z129" s="174">
        <f ca="1">IFERROR(__xludf.DUMMYFUNCTION("QUERY('Volunteer Survey'!A128)"),43524.4983121643)</f>
        <v>43524.498312164302</v>
      </c>
      <c r="AA129" s="175" t="str">
        <f ca="1">IFERROR(__xludf.DUMMYFUNCTION("QUERY('Volunteer Survey'!B128)"),"Nilufar Inamdar")</f>
        <v>Nilufar Inamdar</v>
      </c>
      <c r="AB129" s="175" t="str">
        <f ca="1">IFERROR(__xludf.DUMMYFUNCTION("QUERY('Volunteer Survey'!C128)"),"Cairo Diagnostics (Part time project)")</f>
        <v>Cairo Diagnostics (Part time project)</v>
      </c>
      <c r="AC129" s="175" t="str">
        <f ca="1">IFERROR(__xludf.DUMMYFUNCTION("QUERY('Volunteer Survey'!D128)"),"43-23 Colden St, Flushing, NY 11355")</f>
        <v>43-23 Colden St, Flushing, NY 11355</v>
      </c>
      <c r="AD129" s="175" t="str">
        <f ca="1">IFERROR(__xludf.DUMMYFUNCTION("QUERY('Volunteer Survey'!E128)"),"inamdar555@yahoo.com")</f>
        <v>inamdar555@yahoo.com</v>
      </c>
      <c r="AE129" s="175" t="str">
        <f ca="1">IFERROR(__xludf.DUMMYFUNCTION("QUERY('Volunteer Survey'!F128)"),"Clinical laboratory geneticist")</f>
        <v>Clinical laboratory geneticist</v>
      </c>
      <c r="AF129" s="175" t="str">
        <f ca="1">IFERROR(__xludf.DUMMYFUNCTION("QUERY('Volunteer Survey'!G128)"),"The clinicalgenome.org website")</f>
        <v>The clinicalgenome.org website</v>
      </c>
      <c r="AG129" s="175" t="str">
        <f ca="1">IFERROR(__xludf.DUMMYFUNCTION("QUERY('Volunteer Survey'!H128)"),"Comprehensive")</f>
        <v>Comprehensive</v>
      </c>
      <c r="AH129" s="175" t="str">
        <f ca="1">IFERROR(__xludf.DUMMYFUNCTION("QUERY('Volunteer Survey'!I128)"),"Gene-Disease Validity")</f>
        <v>Gene-Disease Validity</v>
      </c>
      <c r="AI129" s="175" t="str">
        <f ca="1">IFERROR(__xludf.DUMMYFUNCTION("QUERY('Volunteer Survey'!J128)"),"Dosage Sensitivity")</f>
        <v>Dosage Sensitivity</v>
      </c>
      <c r="AJ129" s="175" t="str">
        <f ca="1">IFERROR(__xludf.DUMMYFUNCTION("QUERY('Volunteer Survey'!K128)"),"Variant Pathogenicity")</f>
        <v>Variant Pathogenicity</v>
      </c>
      <c r="AK129" s="175" t="str">
        <f ca="1">IFERROR(__xludf.DUMMYFUNCTION("QUERY('Volunteer Survey'!L128)"),"Somatic Cancer")</f>
        <v>Somatic Cancer</v>
      </c>
      <c r="AL129" s="175" t="str">
        <f ca="1">IFERROR(__xludf.DUMMYFUNCTION("QUERY('Volunteer Survey'!M128)"),"Clinical Actionability")</f>
        <v>Clinical Actionability</v>
      </c>
      <c r="AM129" s="175" t="str">
        <f ca="1">IFERROR(__xludf.DUMMYFUNCTION("QUERY('Volunteer Survey'!N128)"),"No")</f>
        <v>No</v>
      </c>
      <c r="AN129" s="175" t="str">
        <f ca="1">IFERROR(__xludf.DUMMYFUNCTION("QUERY('Volunteer Survey'!O128)"),"Yes")</f>
        <v>Yes</v>
      </c>
      <c r="AO129" s="175" t="str">
        <f ca="1">IFERROR(__xludf.DUMMYFUNCTION("QUERY('Volunteer Survey'!P128)"),"Mitochondrial or Aminoaciopathy")</f>
        <v>Mitochondrial or Aminoaciopathy</v>
      </c>
    </row>
    <row r="130" spans="1:41" ht="14">
      <c r="A130" s="44">
        <f ca="1">IFERROR(__xludf.DUMMYFUNCTION("QUERY('Volunteer Survey'!A137)"),43543.4405140277)</f>
        <v>43543.440514027701</v>
      </c>
      <c r="B130" s="42" t="s">
        <v>160</v>
      </c>
      <c r="C130" s="47"/>
      <c r="D130" s="59">
        <v>43605</v>
      </c>
      <c r="E130" s="42" t="s">
        <v>117</v>
      </c>
      <c r="F130" s="42" t="s">
        <v>117</v>
      </c>
      <c r="G130" s="42" t="s">
        <v>251</v>
      </c>
      <c r="H130" s="45" t="s">
        <v>248</v>
      </c>
      <c r="I130" s="45" t="s">
        <v>139</v>
      </c>
      <c r="J130" s="50">
        <v>43712</v>
      </c>
      <c r="K130" s="50"/>
      <c r="L130" s="49" t="str">
        <f ca="1">IFERROR(__xludf.DUMMYFUNCTION("QUERY('Volunteer Survey'!B137)"),"Jing Xie")</f>
        <v>Jing Xie</v>
      </c>
      <c r="M130" s="49" t="str">
        <f ca="1">IFERROR(__xludf.DUMMYFUNCTION("QUERY('Volunteer Survey'!E137)"),"jingxiegene@gmail.com")</f>
        <v>jingxiegene@gmail.com</v>
      </c>
      <c r="N130" s="49" t="str">
        <f ca="1">IFERROR(__xludf.DUMMYFUNCTION("QUERY('Volunteer Survey'!F137)"),"Clinical laboratory geneticist")</f>
        <v>Clinical laboratory geneticist</v>
      </c>
      <c r="O130" s="42" t="str">
        <f ca="1">IFERROR(__xludf.DUMMYFUNCTION("QUERY('Volunteer Survey'!H137)"),"Comprehensive")</f>
        <v>Comprehensive</v>
      </c>
      <c r="P130" s="49" t="str">
        <f ca="1">IFERROR(__xludf.DUMMYFUNCTION("QUERY('Volunteer Survey'!I137)"),"Variant Pathogenicity")</f>
        <v>Variant Pathogenicity</v>
      </c>
      <c r="Q130" s="54" t="str">
        <f ca="1">IFERROR(__xludf.DUMMYFUNCTION("QUERY('Volunteer Survey'!J137)"),"Gene-Disease Validity")</f>
        <v>Gene-Disease Validity</v>
      </c>
      <c r="R130" s="49" t="str">
        <f ca="1">IFERROR(__xludf.DUMMYFUNCTION("QUERY('Volunteer Survey'!K137)"),"Clinical Actionability")</f>
        <v>Clinical Actionability</v>
      </c>
      <c r="S130" s="49" t="str">
        <f ca="1">IFERROR(__xludf.DUMMYFUNCTION("QUERY('Volunteer Survey'!L137)"),"Dosage Sensitivity")</f>
        <v>Dosage Sensitivity</v>
      </c>
      <c r="T130" s="49" t="str">
        <f ca="1">IFERROR(__xludf.DUMMYFUNCTION("QUERY('Volunteer Survey'!M137)"),"Somatic Cancer")</f>
        <v>Somatic Cancer</v>
      </c>
      <c r="U130" s="58" t="str">
        <f ca="1">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c r="V130" s="49" t="str">
        <f ca="1">IFERROR(__xludf.DUMMYFUNCTION("QUERY('Volunteer Survey'!O137)"),"Yes")</f>
        <v>Yes</v>
      </c>
      <c r="W130" s="60" t="str">
        <f ca="1">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c r="X130" s="58" t="str">
        <f ca="1">IFERROR(__xludf.DUMMYFUNCTION("QUERY('Volunteer Survey'!R137)"),"Yes- I am willing to volunteer with any available ClinGen group")</f>
        <v>Yes- I am willing to volunteer with any available ClinGen group</v>
      </c>
      <c r="Y130" s="45" t="s">
        <v>349</v>
      </c>
      <c r="Z130" s="174">
        <f ca="1">IFERROR(__xludf.DUMMYFUNCTION("QUERY('Volunteer Survey'!A129)"),43525.5038873958)</f>
        <v>43525.503887395796</v>
      </c>
      <c r="AA130" s="175" t="str">
        <f ca="1">IFERROR(__xludf.DUMMYFUNCTION("QUERY('Volunteer Survey'!B129)"),"Michael McLachlan")</f>
        <v>Michael McLachlan</v>
      </c>
      <c r="AB130" s="175" t="str">
        <f ca="1">IFERROR(__xludf.DUMMYFUNCTION("QUERY('Volunteer Survey'!C129)"),"Fujifilm Cellular Dynamics, Inc")</f>
        <v>Fujifilm Cellular Dynamics, Inc</v>
      </c>
      <c r="AC130" s="175" t="str">
        <f ca="1">IFERROR(__xludf.DUMMYFUNCTION("QUERY('Volunteer Survey'!D129)"),"1102 Feather Edge Dr")</f>
        <v>1102 Feather Edge Dr</v>
      </c>
      <c r="AD130" s="175" t="str">
        <f ca="1">IFERROR(__xludf.DUMMYFUNCTION("QUERY('Volunteer Survey'!E129)"),"mikejmclachlan@gmail.com")</f>
        <v>mikejmclachlan@gmail.com</v>
      </c>
      <c r="AE130" s="175" t="str">
        <f ca="1">IFERROR(__xludf.DUMMYFUNCTION("QUERY('Volunteer Survey'!F129)"),"Scientific Researcher")</f>
        <v>Scientific Researcher</v>
      </c>
      <c r="AF130" s="175" t="str">
        <f ca="1">IFERROR(__xludf.DUMMYFUNCTION("QUERY('Volunteer Survey'!G129)"),"The clinicalgenome.org website")</f>
        <v>The clinicalgenome.org website</v>
      </c>
      <c r="AG130" s="175" t="str">
        <f ca="1">IFERROR(__xludf.DUMMYFUNCTION("QUERY('Volunteer Survey'!H129)"),"Comprehensive")</f>
        <v>Comprehensive</v>
      </c>
      <c r="AH130" s="175" t="str">
        <f ca="1">IFERROR(__xludf.DUMMYFUNCTION("QUERY('Volunteer Survey'!I129)"),"Variant Pathogenicity")</f>
        <v>Variant Pathogenicity</v>
      </c>
      <c r="AI130" s="175" t="str">
        <f ca="1">IFERROR(__xludf.DUMMYFUNCTION("QUERY('Volunteer Survey'!J129)"),"Gene-Disease Validity")</f>
        <v>Gene-Disease Validity</v>
      </c>
      <c r="AJ130" s="175" t="str">
        <f ca="1">IFERROR(__xludf.DUMMYFUNCTION("QUERY('Volunteer Survey'!K129)"),"Dosage Sensitivity")</f>
        <v>Dosage Sensitivity</v>
      </c>
      <c r="AK130" s="175" t="str">
        <f ca="1">IFERROR(__xludf.DUMMYFUNCTION("QUERY('Volunteer Survey'!L129)"),"")</f>
        <v/>
      </c>
      <c r="AL130" s="175" t="str">
        <f ca="1">IFERROR(__xludf.DUMMYFUNCTION("QUERY('Volunteer Survey'!M129)"),"")</f>
        <v/>
      </c>
      <c r="AM130" s="175" t="str">
        <f ca="1">IFERROR(__xludf.DUMMYFUNCTION("QUERY('Volunteer Survey'!N129)"),"No curation experience but professional experience with genome analysis and disease models")</f>
        <v>No curation experience but professional experience with genome analysis and disease models</v>
      </c>
      <c r="AN130" s="175" t="str">
        <f ca="1">IFERROR(__xludf.DUMMYFUNCTION("QUERY('Volunteer Survey'!O129)"),"Yes")</f>
        <v>Yes</v>
      </c>
      <c r="AO130" s="175" t="str">
        <f ca="1">IFERROR(__xludf.DUMMYFUNCTION("QUERY('Volunteer Survey'!P129)"),"")</f>
        <v/>
      </c>
    </row>
    <row r="131" spans="1:41" ht="14">
      <c r="A131" s="44">
        <f ca="1">IFERROR(__xludf.DUMMYFUNCTION("QUERY('Volunteer Survey'!A138)"),43549.5145897801)</f>
        <v>43549.514589780098</v>
      </c>
      <c r="B131" s="42" t="s">
        <v>108</v>
      </c>
      <c r="C131" s="47"/>
      <c r="D131" s="49"/>
      <c r="E131" s="42" t="s">
        <v>130</v>
      </c>
      <c r="F131" s="42" t="s">
        <v>130</v>
      </c>
      <c r="G131" s="42" t="s">
        <v>202</v>
      </c>
      <c r="H131" s="47"/>
      <c r="I131" s="45" t="s">
        <v>139</v>
      </c>
      <c r="J131" s="49"/>
      <c r="K131" s="49"/>
      <c r="L131" s="49" t="str">
        <f ca="1">IFERROR(__xludf.DUMMYFUNCTION("QUERY('Volunteer Survey'!B138)"),"Jianli Dong")</f>
        <v>Jianli Dong</v>
      </c>
      <c r="M131" s="49" t="str">
        <f ca="1">IFERROR(__xludf.DUMMYFUNCTION("QUERY('Volunteer Survey'!E138)"),"jidong@utmb.edu")</f>
        <v>jidong@utmb.edu</v>
      </c>
      <c r="N131" s="49" t="str">
        <f ca="1">IFERROR(__xludf.DUMMYFUNCTION("QUERY('Volunteer Survey'!F138)"),"Clinical laboratory geneticist")</f>
        <v>Clinical laboratory geneticist</v>
      </c>
      <c r="O131" s="42" t="str">
        <f ca="1">IFERROR(__xludf.DUMMYFUNCTION("QUERY('Volunteer Survey'!H138)"),"Baseline")</f>
        <v>Baseline</v>
      </c>
      <c r="P131" s="49" t="str">
        <f ca="1">IFERROR(__xludf.DUMMYFUNCTION("QUERY('Volunteer Survey'!I138)"),"")</f>
        <v/>
      </c>
      <c r="Q131" s="54" t="str">
        <f ca="1">IFERROR(__xludf.DUMMYFUNCTION("QUERY('Volunteer Survey'!J138)"),"")</f>
        <v/>
      </c>
      <c r="R131" s="49" t="str">
        <f ca="1">IFERROR(__xludf.DUMMYFUNCTION("QUERY('Volunteer Survey'!K138)"),"")</f>
        <v/>
      </c>
      <c r="S131" s="49" t="str">
        <f ca="1">IFERROR(__xludf.DUMMYFUNCTION("QUERY('Volunteer Survey'!L138)"),"")</f>
        <v/>
      </c>
      <c r="T131" s="49" t="str">
        <f ca="1">IFERROR(__xludf.DUMMYFUNCTION("QUERY('Volunteer Survey'!M138)"),"")</f>
        <v/>
      </c>
      <c r="U131" s="58" t="str">
        <f ca="1">IFERROR(__xludf.DUMMYFUNCTION("QUERY('Volunteer Survey'!N138)"),"")</f>
        <v/>
      </c>
      <c r="V131" s="49" t="str">
        <f ca="1">IFERROR(__xludf.DUMMYFUNCTION("QUERY('Volunteer Survey'!O138)"),"No")</f>
        <v>No</v>
      </c>
      <c r="W131" s="60" t="str">
        <f ca="1">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c r="X131" s="58" t="str">
        <f ca="1">IFERROR(__xludf.DUMMYFUNCTION("QUERY('Volunteer Survey'!R138)"),"Maybe -- please contact me with other options, and I will decide based on what is available")</f>
        <v>Maybe -- please contact me with other options, and I will decide based on what is available</v>
      </c>
      <c r="Y131" s="47"/>
      <c r="Z131" s="174">
        <f ca="1">IFERROR(__xludf.DUMMYFUNCTION("QUERY('Volunteer Survey'!A130)"),43530.323665868)</f>
        <v>43530.323665868003</v>
      </c>
      <c r="AA131" s="175" t="str">
        <f ca="1">IFERROR(__xludf.DUMMYFUNCTION("QUERY('Volunteer Survey'!B130)"),"Anand Narayanan")</f>
        <v>Anand Narayanan</v>
      </c>
      <c r="AB131" s="175" t="str">
        <f ca="1">IFERROR(__xludf.DUMMYFUNCTION("QUERY('Volunteer Survey'!C130)"),"Yale University")</f>
        <v>Yale University</v>
      </c>
      <c r="AC131" s="175" t="str">
        <f ca="1">IFERROR(__xludf.DUMMYFUNCTION("QUERY('Volunteer Survey'!D130)"),"100 YORK ST
3B")</f>
        <v>100 YORK ST
3B</v>
      </c>
      <c r="AD131" s="175" t="str">
        <f ca="1">IFERROR(__xludf.DUMMYFUNCTION("QUERY('Volunteer Survey'!E130)"),"anandnpillai@gmail.com")</f>
        <v>anandnpillai@gmail.com</v>
      </c>
      <c r="AE131" s="175" t="str">
        <f ca="1">IFERROR(__xludf.DUMMYFUNCTION("QUERY('Volunteer Survey'!F130)"),"Post Doc/Resident/Fellow (MD and/or PhD)")</f>
        <v>Post Doc/Resident/Fellow (MD and/or PhD)</v>
      </c>
      <c r="AF131" s="175" t="str">
        <f ca="1">IFERROR(__xludf.DUMMYFUNCTION("QUERY('Volunteer Survey'!G130)"),"Networking")</f>
        <v>Networking</v>
      </c>
      <c r="AG131" s="175" t="str">
        <f ca="1">IFERROR(__xludf.DUMMYFUNCTION("QUERY('Volunteer Survey'!H130)"),"Comprehensive")</f>
        <v>Comprehensive</v>
      </c>
      <c r="AH131" s="175" t="str">
        <f ca="1">IFERROR(__xludf.DUMMYFUNCTION("QUERY('Volunteer Survey'!I130)"),"Gene-Disease Validity")</f>
        <v>Gene-Disease Validity</v>
      </c>
      <c r="AI131" s="175" t="str">
        <f ca="1">IFERROR(__xludf.DUMMYFUNCTION("QUERY('Volunteer Survey'!J130)"),"Variant Pathogenicity")</f>
        <v>Variant Pathogenicity</v>
      </c>
      <c r="AJ131" s="175" t="str">
        <f ca="1">IFERROR(__xludf.DUMMYFUNCTION("QUERY('Volunteer Survey'!K130)"),"Dosage Sensitivity")</f>
        <v>Dosage Sensitivity</v>
      </c>
      <c r="AK131" s="175" t="str">
        <f ca="1">IFERROR(__xludf.DUMMYFUNCTION("QUERY('Volunteer Survey'!L130)"),"Clinical Actionability")</f>
        <v>Clinical Actionability</v>
      </c>
      <c r="AL131" s="175" t="str">
        <f ca="1">IFERROR(__xludf.DUMMYFUNCTION("QUERY('Volunteer Survey'!M130)"),"Somatic Cancer")</f>
        <v>Somatic Cancer</v>
      </c>
      <c r="AM131" s="175" t="str">
        <f ca="1">IFERROR(__xludf.DUMMYFUNCTION("QUERY('Volunteer Survey'!N130)"),"I have served as a liaison of groups comprising clinicians, genetic counselors, researchers and bioinformatic staff. I am involved in the novel gene discovery and characterization ")</f>
        <v xml:space="preserve">I have served as a liaison of groups comprising clinicians, genetic counselors, researchers and bioinformatic staff. I am involved in the novel gene discovery and characterization </v>
      </c>
      <c r="AN131" s="175" t="str">
        <f ca="1">IFERROR(__xludf.DUMMYFUNCTION("QUERY('Volunteer Survey'!O130)"),"Yes")</f>
        <v>Yes</v>
      </c>
      <c r="AO131" s="175" t="str">
        <f ca="1">IFERROR(__xludf.DUMMYFUNCTION("QUERY('Volunteer Survey'!P130)"),"No")</f>
        <v>No</v>
      </c>
    </row>
    <row r="132" spans="1:41" ht="14">
      <c r="A132" s="44">
        <f ca="1">IFERROR(__xludf.DUMMYFUNCTION("QUERY('Volunteer Survey'!A139)"),43549.5304612731)</f>
        <v>43549.530461273098</v>
      </c>
      <c r="B132" s="42" t="s">
        <v>108</v>
      </c>
      <c r="C132" s="47"/>
      <c r="D132" s="59">
        <v>43605</v>
      </c>
      <c r="E132" s="42" t="s">
        <v>117</v>
      </c>
      <c r="F132" s="42" t="s">
        <v>117</v>
      </c>
      <c r="G132" s="42" t="s">
        <v>251</v>
      </c>
      <c r="H132" s="45" t="s">
        <v>242</v>
      </c>
      <c r="I132" s="45" t="s">
        <v>139</v>
      </c>
      <c r="J132" s="50">
        <v>43712</v>
      </c>
      <c r="K132" s="50"/>
      <c r="L132" s="49" t="str">
        <f ca="1">IFERROR(__xludf.DUMMYFUNCTION("QUERY('Volunteer Survey'!B139)"),"Kathryn Kronquist")</f>
        <v>Kathryn Kronquist</v>
      </c>
      <c r="M132" s="49" t="str">
        <f ca="1">IFERROR(__xludf.DUMMYFUNCTION("QUERY('Volunteer Survey'!E139)"),"Kathryn.Kronquist@childrenscolorado.org")</f>
        <v>Kathryn.Kronquist@childrenscolorado.org</v>
      </c>
      <c r="N132" s="49" t="str">
        <f ca="1">IFERROR(__xludf.DUMMYFUNCTION("QUERY('Volunteer Survey'!F139)"),"Clinical laboratory geneticist")</f>
        <v>Clinical laboratory geneticist</v>
      </c>
      <c r="O132" s="42" t="str">
        <f ca="1">IFERROR(__xludf.DUMMYFUNCTION("QUERY('Volunteer Survey'!H139)"),"Comprehensive")</f>
        <v>Comprehensive</v>
      </c>
      <c r="P132" s="49" t="str">
        <f ca="1">IFERROR(__xludf.DUMMYFUNCTION("QUERY('Volunteer Survey'!I139)"),"Variant Pathogenicity")</f>
        <v>Variant Pathogenicity</v>
      </c>
      <c r="Q132" s="54" t="str">
        <f ca="1">IFERROR(__xludf.DUMMYFUNCTION("QUERY('Volunteer Survey'!J139)"),"Dosage Sensitivity")</f>
        <v>Dosage Sensitivity</v>
      </c>
      <c r="R132" s="49" t="str">
        <f ca="1">IFERROR(__xludf.DUMMYFUNCTION("QUERY('Volunteer Survey'!K139)"),"")</f>
        <v/>
      </c>
      <c r="S132" s="49" t="str">
        <f ca="1">IFERROR(__xludf.DUMMYFUNCTION("QUERY('Volunteer Survey'!L139)"),"")</f>
        <v/>
      </c>
      <c r="T132" s="49" t="str">
        <f ca="1">IFERROR(__xludf.DUMMYFUNCTION("QUERY('Volunteer Survey'!M139)"),"")</f>
        <v/>
      </c>
      <c r="U132" s="58" t="str">
        <f ca="1">IFERROR(__xludf.DUMMYFUNCTION("QUERY('Volunteer Survey'!N139)"),"applying ACMG Guidelines for variant curation in daily work")</f>
        <v>applying ACMG Guidelines for variant curation in daily work</v>
      </c>
      <c r="V132" s="49" t="str">
        <f ca="1">IFERROR(__xludf.DUMMYFUNCTION("QUERY('Volunteer Survey'!O139)"),"Possibly")</f>
        <v>Possibly</v>
      </c>
      <c r="W132" s="60" t="str">
        <f ca="1">IFERROR(__xludf.DUMMYFUNCTION("QUERY('Volunteer Survey'!P139)"),"epilepsy, RASopathy")</f>
        <v>epilepsy, RASopathy</v>
      </c>
      <c r="X132" s="58" t="str">
        <f ca="1">IFERROR(__xludf.DUMMYFUNCTION("QUERY('Volunteer Survey'!R139)"),"Yes- I am willing to volunteer with any available ClinGen group")</f>
        <v>Yes- I am willing to volunteer with any available ClinGen group</v>
      </c>
      <c r="Y132" s="47"/>
      <c r="Z132" s="174">
        <f ca="1">IFERROR(__xludf.DUMMYFUNCTION("QUERY('Volunteer Survey'!A131)"),43531.5780772222)</f>
        <v>43531.578077222199</v>
      </c>
      <c r="AA132" s="175" t="str">
        <f ca="1">IFERROR(__xludf.DUMMYFUNCTION("QUERY('Volunteer Survey'!B131)"),"Rebekah Waikel")</f>
        <v>Rebekah Waikel</v>
      </c>
      <c r="AB132" s="175" t="str">
        <f ca="1">IFERROR(__xludf.DUMMYFUNCTION("QUERY('Volunteer Survey'!C131)"),"University of Kentucky ")</f>
        <v xml:space="preserve">University of Kentucky </v>
      </c>
      <c r="AC132" s="175" t="str">
        <f ca="1">IFERROR(__xludf.DUMMYFUNCTION("QUERY('Volunteer Survey'!D131)"),"")</f>
        <v/>
      </c>
      <c r="AD132" s="175" t="str">
        <f ca="1">IFERROR(__xludf.DUMMYFUNCTION("QUERY('Volunteer Survey'!E131)"),"rebekah.waikel@uky.edu")</f>
        <v>rebekah.waikel@uky.edu</v>
      </c>
      <c r="AE132" s="175" t="str">
        <f ca="1">IFERROR(__xludf.DUMMYFUNCTION("QUERY('Volunteer Survey'!F131)"),"Clinical laboratory geneticist")</f>
        <v>Clinical laboratory geneticist</v>
      </c>
      <c r="AF132" s="175" t="str">
        <f ca="1">IFERROR(__xludf.DUMMYFUNCTION("QUERY('Volunteer Survey'!G131)"),"ClinGen conference advertisements (i.e. booth, workshop, presentation)")</f>
        <v>ClinGen conference advertisements (i.e. booth, workshop, presentation)</v>
      </c>
      <c r="AG132" s="175" t="str">
        <f ca="1">IFERROR(__xludf.DUMMYFUNCTION("QUERY('Volunteer Survey'!H131)"),"Baseline")</f>
        <v>Baseline</v>
      </c>
      <c r="AH132" s="175" t="str">
        <f ca="1">IFERROR(__xludf.DUMMYFUNCTION("QUERY('Volunteer Survey'!I131)"),"")</f>
        <v/>
      </c>
      <c r="AI132" s="175" t="str">
        <f ca="1">IFERROR(__xludf.DUMMYFUNCTION("QUERY('Volunteer Survey'!J131)"),"")</f>
        <v/>
      </c>
      <c r="AJ132" s="175" t="str">
        <f ca="1">IFERROR(__xludf.DUMMYFUNCTION("QUERY('Volunteer Survey'!K131)"),"")</f>
        <v/>
      </c>
      <c r="AK132" s="175" t="str">
        <f ca="1">IFERROR(__xludf.DUMMYFUNCTION("QUERY('Volunteer Survey'!L131)"),"")</f>
        <v/>
      </c>
      <c r="AL132" s="175" t="str">
        <f ca="1">IFERROR(__xludf.DUMMYFUNCTION("QUERY('Volunteer Survey'!M131)"),"")</f>
        <v/>
      </c>
      <c r="AM132" s="175" t="str">
        <f ca="1">IFERROR(__xludf.DUMMYFUNCTION("QUERY('Volunteer Survey'!N131)"),"")</f>
        <v/>
      </c>
      <c r="AN132" s="175" t="str">
        <f ca="1">IFERROR(__xludf.DUMMYFUNCTION("QUERY('Volunteer Survey'!O131)"),"Yes")</f>
        <v>Yes</v>
      </c>
      <c r="AO132" s="175" t="str">
        <f ca="1">IFERROR(__xludf.DUMMYFUNCTION("QUERY('Volunteer Survey'!P131)"),"Inherited cardiopathy")</f>
        <v>Inherited cardiopathy</v>
      </c>
    </row>
    <row r="133" spans="1:41" ht="14">
      <c r="A133" s="44">
        <f ca="1">IFERROR(__xludf.DUMMYFUNCTION("QUERY('Volunteer Survey'!A140)"),43549.6709430902)</f>
        <v>43549.670943090197</v>
      </c>
      <c r="B133" s="42" t="s">
        <v>108</v>
      </c>
      <c r="C133" s="47"/>
      <c r="D133" s="49"/>
      <c r="E133" s="42" t="s">
        <v>130</v>
      </c>
      <c r="F133" s="42" t="s">
        <v>130</v>
      </c>
      <c r="G133" s="42" t="s">
        <v>202</v>
      </c>
      <c r="H133" s="47"/>
      <c r="I133" s="45" t="s">
        <v>139</v>
      </c>
      <c r="J133" s="49"/>
      <c r="K133" s="49"/>
      <c r="L133" s="49" t="str">
        <f ca="1">IFERROR(__xludf.DUMMYFUNCTION("QUERY('Volunteer Survey'!B140)"),"Kristen L Deak")</f>
        <v>Kristen L Deak</v>
      </c>
      <c r="M133" s="49" t="str">
        <f ca="1">IFERROR(__xludf.DUMMYFUNCTION("QUERY('Volunteer Survey'!E140)"),"kristen.deak@duke.edu")</f>
        <v>kristen.deak@duke.edu</v>
      </c>
      <c r="N133" s="49" t="str">
        <f ca="1">IFERROR(__xludf.DUMMYFUNCTION("QUERY('Volunteer Survey'!F140)"),"Clinical laboratory geneticist")</f>
        <v>Clinical laboratory geneticist</v>
      </c>
      <c r="O133" s="42" t="str">
        <f ca="1">IFERROR(__xludf.DUMMYFUNCTION("QUERY('Volunteer Survey'!H140)"),"Comprehensive")</f>
        <v>Comprehensive</v>
      </c>
      <c r="P133" s="49" t="str">
        <f ca="1">IFERROR(__xludf.DUMMYFUNCTION("QUERY('Volunteer Survey'!I140)"),"Variant Pathogenicity")</f>
        <v>Variant Pathogenicity</v>
      </c>
      <c r="Q133" s="54" t="str">
        <f ca="1">IFERROR(__xludf.DUMMYFUNCTION("QUERY('Volunteer Survey'!J140)"),"Somatic Cancer")</f>
        <v>Somatic Cancer</v>
      </c>
      <c r="R133" s="49" t="str">
        <f ca="1">IFERROR(__xludf.DUMMYFUNCTION("QUERY('Volunteer Survey'!K140)"),"Dosage Sensitivity")</f>
        <v>Dosage Sensitivity</v>
      </c>
      <c r="S133" s="49" t="str">
        <f ca="1">IFERROR(__xludf.DUMMYFUNCTION("QUERY('Volunteer Survey'!L140)"),"Clinical Actionability")</f>
        <v>Clinical Actionability</v>
      </c>
      <c r="T133" s="49" t="str">
        <f ca="1">IFERROR(__xludf.DUMMYFUNCTION("QUERY('Volunteer Survey'!M140)"),"Gene-Disease Validity")</f>
        <v>Gene-Disease Validity</v>
      </c>
      <c r="U133" s="58" t="str">
        <f ca="1">IFERROR(__xludf.DUMMYFUNCTION("QUERY('Volunteer Survey'!N140)"),"Not other than evaluation and signout of patient reports")</f>
        <v>Not other than evaluation and signout of patient reports</v>
      </c>
      <c r="V133" s="49" t="str">
        <f ca="1">IFERROR(__xludf.DUMMYFUNCTION("QUERY('Volunteer Survey'!O140)"),"Yes")</f>
        <v>Yes</v>
      </c>
      <c r="W133" s="60" t="str">
        <f ca="1">IFERROR(__xludf.DUMMYFUNCTION("QUERY('Volunteer Survey'!P140)"),"")</f>
        <v/>
      </c>
      <c r="X133" s="58" t="str">
        <f ca="1">IFERROR(__xludf.DUMMYFUNCTION("QUERY('Volunteer Survey'!R140)"),"Yes- I am willing to volunteer with any available ClinGen group")</f>
        <v>Yes- I am willing to volunteer with any available ClinGen group</v>
      </c>
      <c r="Y133" s="47"/>
      <c r="Z133" s="174">
        <f ca="1">IFERROR(__xludf.DUMMYFUNCTION("QUERY('Volunteer Survey'!A132)"),43531.6083638425)</f>
        <v>43531.608363842497</v>
      </c>
      <c r="AA133" s="175" t="str">
        <f ca="1">IFERROR(__xludf.DUMMYFUNCTION("QUERY('Volunteer Survey'!B132)"),"Urjit Patel")</f>
        <v>Urjit Patel</v>
      </c>
      <c r="AB133" s="175" t="str">
        <f ca="1">IFERROR(__xludf.DUMMYFUNCTION("QUERY('Volunteer Survey'!C132)"),"Quest Diagnostics, Marlborough")</f>
        <v>Quest Diagnostics, Marlborough</v>
      </c>
      <c r="AC133" s="175" t="str">
        <f ca="1">IFERROR(__xludf.DUMMYFUNCTION("QUERY('Volunteer Survey'!D132)"),"177 Crescent St Apt 21")</f>
        <v>177 Crescent St Apt 21</v>
      </c>
      <c r="AD133" s="175" t="str">
        <f ca="1">IFERROR(__xludf.DUMMYFUNCTION("QUERY('Volunteer Survey'!E132)"),"urjit.x.patel@questdiagnostics.com")</f>
        <v>urjit.x.patel@questdiagnostics.com</v>
      </c>
      <c r="AE133" s="175" t="str">
        <f ca="1">IFERROR(__xludf.DUMMYFUNCTION("QUERY('Volunteer Survey'!F132)"),"Variant Analyst/Scientist - Industry")</f>
        <v>Variant Analyst/Scientist - Industry</v>
      </c>
      <c r="AF133" s="175" t="str">
        <f ca="1">IFERROR(__xludf.DUMMYFUNCTION("QUERY('Volunteer Survey'!G132)"),"Networking, The clinicalgenome.org website, Dr. Marina DiStefano")</f>
        <v>Networking, The clinicalgenome.org website, Dr. Marina DiStefano</v>
      </c>
      <c r="AG133" s="175" t="str">
        <f ca="1">IFERROR(__xludf.DUMMYFUNCTION("QUERY('Volunteer Survey'!H132)"),"Comprehensive")</f>
        <v>Comprehensive</v>
      </c>
      <c r="AH133" s="175" t="str">
        <f ca="1">IFERROR(__xludf.DUMMYFUNCTION("QUERY('Volunteer Survey'!I132)"),"Gene-Disease Validity")</f>
        <v>Gene-Disease Validity</v>
      </c>
      <c r="AI133" s="175" t="str">
        <f ca="1">IFERROR(__xludf.DUMMYFUNCTION("QUERY('Volunteer Survey'!J132)"),"Dosage Sensitivity")</f>
        <v>Dosage Sensitivity</v>
      </c>
      <c r="AJ133" s="175" t="str">
        <f ca="1">IFERROR(__xludf.DUMMYFUNCTION("QUERY('Volunteer Survey'!K132)"),"Variant Pathogenicity")</f>
        <v>Variant Pathogenicity</v>
      </c>
      <c r="AK133" s="175" t="str">
        <f ca="1">IFERROR(__xludf.DUMMYFUNCTION("QUERY('Volunteer Survey'!L132)"),"")</f>
        <v/>
      </c>
      <c r="AL133" s="175" t="str">
        <f ca="1">IFERROR(__xludf.DUMMYFUNCTION("QUERY('Volunteer Survey'!M132)"),"")</f>
        <v/>
      </c>
      <c r="AM133" s="175" t="str">
        <f ca="1">IFERROR(__xludf.DUMMYFUNCTION("QUERY('Volunteer Survey'!N132)"),"")</f>
        <v/>
      </c>
      <c r="AN133" s="175" t="str">
        <f ca="1">IFERROR(__xludf.DUMMYFUNCTION("QUERY('Volunteer Survey'!O132)"),"Possibly")</f>
        <v>Possibly</v>
      </c>
      <c r="AO133" s="175" t="str">
        <f ca="1">IFERROR(__xludf.DUMMYFUNCTION("QUERY('Volunteer Survey'!P132)"),"")</f>
        <v/>
      </c>
    </row>
    <row r="134" spans="1:41" ht="14">
      <c r="A134" s="44">
        <f ca="1">IFERROR(__xludf.DUMMYFUNCTION("QUERY('Volunteer Survey'!A141)"),43550.1773354629)</f>
        <v>43550.177335462897</v>
      </c>
      <c r="B134" s="42" t="s">
        <v>108</v>
      </c>
      <c r="C134" s="47"/>
      <c r="D134" s="43">
        <v>43581</v>
      </c>
      <c r="E134" s="42" t="s">
        <v>117</v>
      </c>
      <c r="F134" s="42" t="s">
        <v>130</v>
      </c>
      <c r="G134" s="42" t="s">
        <v>136</v>
      </c>
      <c r="H134" s="47"/>
      <c r="I134" s="45" t="s">
        <v>139</v>
      </c>
      <c r="J134" s="50">
        <v>43712</v>
      </c>
      <c r="K134" s="50"/>
      <c r="L134" s="49" t="str">
        <f ca="1">IFERROR(__xludf.DUMMYFUNCTION("QUERY('Volunteer Survey'!B141)"),"Venkataswamy Eswarachari")</f>
        <v>Venkataswamy Eswarachari</v>
      </c>
      <c r="M134" s="49" t="str">
        <f ca="1">IFERROR(__xludf.DUMMYFUNCTION("QUERY('Volunteer Survey'!E141)"),"venkataswamy@medgenome.com")</f>
        <v>venkataswamy@medgenome.com</v>
      </c>
      <c r="N134" s="49" t="str">
        <f ca="1">IFERROR(__xludf.DUMMYFUNCTION("QUERY('Volunteer Survey'!F141)"),"Clinical laboratory geneticist")</f>
        <v>Clinical laboratory geneticist</v>
      </c>
      <c r="O134" s="42" t="str">
        <f ca="1">IFERROR(__xludf.DUMMYFUNCTION("QUERY('Volunteer Survey'!H141)"),"Comprehensive")</f>
        <v>Comprehensive</v>
      </c>
      <c r="P134" s="49" t="str">
        <f ca="1">IFERROR(__xludf.DUMMYFUNCTION("QUERY('Volunteer Survey'!I141)"),"Somatic Cancer")</f>
        <v>Somatic Cancer</v>
      </c>
      <c r="Q134" s="54" t="str">
        <f ca="1">IFERROR(__xludf.DUMMYFUNCTION("QUERY('Volunteer Survey'!J141)"),"Gene-Disease Validity")</f>
        <v>Gene-Disease Validity</v>
      </c>
      <c r="R134" s="49" t="str">
        <f ca="1">IFERROR(__xludf.DUMMYFUNCTION("QUERY('Volunteer Survey'!K141)"),"Clinical Actionability")</f>
        <v>Clinical Actionability</v>
      </c>
      <c r="S134" s="49" t="str">
        <f ca="1">IFERROR(__xludf.DUMMYFUNCTION("QUERY('Volunteer Survey'!L141)"),"Variant Pathogenicity")</f>
        <v>Variant Pathogenicity</v>
      </c>
      <c r="T134" s="49" t="str">
        <f ca="1">IFERROR(__xludf.DUMMYFUNCTION("QUERY('Volunteer Survey'!M141)"),"Dosage Sensitivity")</f>
        <v>Dosage Sensitivity</v>
      </c>
      <c r="U134" s="58" t="str">
        <f ca="1">IFERROR(__xludf.DUMMYFUNCTION("QUERY('Volunteer Survey'!N141)"),"Not professionally but for clinical reporting I have done some curation. ")</f>
        <v xml:space="preserve">Not professionally but for clinical reporting I have done some curation. </v>
      </c>
      <c r="V134" s="49" t="str">
        <f ca="1">IFERROR(__xludf.DUMMYFUNCTION("QUERY('Volunteer Survey'!O141)"),"Possibly")</f>
        <v>Possibly</v>
      </c>
      <c r="W134" s="60" t="str">
        <f ca="1">IFERROR(__xludf.DUMMYFUNCTION("QUERY('Volunteer Survey'!P141)"),"")</f>
        <v/>
      </c>
      <c r="X134" s="58" t="str">
        <f ca="1">IFERROR(__xludf.DUMMYFUNCTION("QUERY('Volunteer Survey'!R141)"),"Yes- I am willing to volunteer with any available ClinGen group")</f>
        <v>Yes- I am willing to volunteer with any available ClinGen group</v>
      </c>
      <c r="Y134" s="47"/>
      <c r="Z134" s="174">
        <f ca="1">IFERROR(__xludf.DUMMYFUNCTION("QUERY('Volunteer Survey'!A133)"),43531.6175765162)</f>
        <v>43531.617576516197</v>
      </c>
      <c r="AA134" s="175" t="str">
        <f ca="1">IFERROR(__xludf.DUMMYFUNCTION("QUERY('Volunteer Survey'!B133)"),"Lesley Northrop")</f>
        <v>Lesley Northrop</v>
      </c>
      <c r="AB134" s="175" t="str">
        <f ca="1">IFERROR(__xludf.DUMMYFUNCTION("QUERY('Volunteer Survey'!C133)"),"Celmatix")</f>
        <v>Celmatix</v>
      </c>
      <c r="AC134" s="175" t="str">
        <f ca="1">IFERROR(__xludf.DUMMYFUNCTION("QUERY('Volunteer Survey'!D133)"),"165 E66th Street
Apt. 12H")</f>
        <v>165 E66th Street
Apt. 12H</v>
      </c>
      <c r="AD134" s="175" t="str">
        <f ca="1">IFERROR(__xludf.DUMMYFUNCTION("QUERY('Volunteer Survey'!E133)"),"lesleyenorthrop@gmail.com")</f>
        <v>lesleyenorthrop@gmail.com</v>
      </c>
      <c r="AE134" s="175" t="str">
        <f ca="1">IFERROR(__xludf.DUMMYFUNCTION("QUERY('Volunteer Survey'!F133)"),"Clinical laboratory geneticist")</f>
        <v>Clinical laboratory geneticist</v>
      </c>
      <c r="AF134" s="175" t="str">
        <f ca="1">IFERROR(__xludf.DUMMYFUNCTION("QUERY('Volunteer Survey'!G133)"),"ClinGen affiliated emails and/or newsletters")</f>
        <v>ClinGen affiliated emails and/or newsletters</v>
      </c>
      <c r="AG134" s="175" t="str">
        <f ca="1">IFERROR(__xludf.DUMMYFUNCTION("QUERY('Volunteer Survey'!H133)"),"Comprehensive")</f>
        <v>Comprehensive</v>
      </c>
      <c r="AH134" s="175" t="str">
        <f ca="1">IFERROR(__xludf.DUMMYFUNCTION("QUERY('Volunteer Survey'!I133)"),"Clinical Actionability")</f>
        <v>Clinical Actionability</v>
      </c>
      <c r="AI134" s="175" t="str">
        <f ca="1">IFERROR(__xludf.DUMMYFUNCTION("QUERY('Volunteer Survey'!J133)"),"Gene-Disease Validity")</f>
        <v>Gene-Disease Validity</v>
      </c>
      <c r="AJ134" s="175" t="str">
        <f ca="1">IFERROR(__xludf.DUMMYFUNCTION("QUERY('Volunteer Survey'!K133)"),"Variant Pathogenicity")</f>
        <v>Variant Pathogenicity</v>
      </c>
      <c r="AK134" s="175" t="str">
        <f ca="1">IFERROR(__xludf.DUMMYFUNCTION("QUERY('Volunteer Survey'!L133)"),"Dosage Sensitivity")</f>
        <v>Dosage Sensitivity</v>
      </c>
      <c r="AL134" s="175" t="str">
        <f ca="1">IFERROR(__xludf.DUMMYFUNCTION("QUERY('Volunteer Survey'!M133)"),"Somatic Cancer")</f>
        <v>Somatic Cancer</v>
      </c>
      <c r="AM134" s="175" t="str">
        <f ca="1">IFERROR(__xludf.DUMMYFUNCTION("QUERY('Volunteer Survey'!N133)"),"within my own institution designing a panel following ClinGen guidelines")</f>
        <v>within my own institution designing a panel following ClinGen guidelines</v>
      </c>
      <c r="AN134" s="175" t="str">
        <f ca="1">IFERROR(__xludf.DUMMYFUNCTION("QUERY('Volunteer Survey'!O133)"),"Yes")</f>
        <v>Yes</v>
      </c>
      <c r="AO134" s="175" t="str">
        <f ca="1">IFERROR(__xludf.DUMMYFUNCTION("QUERY('Volunteer Survey'!P133)"),"Gene Curation - Epilepsy or Autism &amp; ID")</f>
        <v>Gene Curation - Epilepsy or Autism &amp; ID</v>
      </c>
    </row>
    <row r="135" spans="1:41" ht="14">
      <c r="A135" s="44">
        <f ca="1">IFERROR(__xludf.DUMMYFUNCTION("QUERY('Volunteer Survey'!A142)"),43551.4242412268)</f>
        <v>43551.424241226799</v>
      </c>
      <c r="B135" s="42" t="s">
        <v>108</v>
      </c>
      <c r="C135" s="47"/>
      <c r="D135" s="49"/>
      <c r="E135" s="42" t="s">
        <v>130</v>
      </c>
      <c r="F135" s="42" t="s">
        <v>130</v>
      </c>
      <c r="G135" s="42" t="s">
        <v>202</v>
      </c>
      <c r="H135" s="47"/>
      <c r="I135" s="45" t="s">
        <v>139</v>
      </c>
      <c r="J135" s="49"/>
      <c r="K135" s="49"/>
      <c r="L135" s="49" t="str">
        <f ca="1">IFERROR(__xludf.DUMMYFUNCTION("QUERY('Volunteer Survey'!B142)"),"Tyler Parris")</f>
        <v>Tyler Parris</v>
      </c>
      <c r="M135" s="49" t="str">
        <f ca="1">IFERROR(__xludf.DUMMYFUNCTION("QUERY('Volunteer Survey'!E142)"),"tylerchristianparrismd@gmail.com")</f>
        <v>tylerchristianparrismd@gmail.com</v>
      </c>
      <c r="N135" s="49" t="str">
        <f ca="1">IFERROR(__xludf.DUMMYFUNCTION("QUERY('Volunteer Survey'!F142)"),"Post Doc/Resident/Fellow (MD and/or PhD)")</f>
        <v>Post Doc/Resident/Fellow (MD and/or PhD)</v>
      </c>
      <c r="O135" s="42" t="str">
        <f ca="1">IFERROR(__xludf.DUMMYFUNCTION("QUERY('Volunteer Survey'!H142)"),"Baseline")</f>
        <v>Baseline</v>
      </c>
      <c r="P135" s="49" t="str">
        <f ca="1">IFERROR(__xludf.DUMMYFUNCTION("QUERY('Volunteer Survey'!I142)"),"Clinical Actionability")</f>
        <v>Clinical Actionability</v>
      </c>
      <c r="Q135" s="54" t="str">
        <f ca="1">IFERROR(__xludf.DUMMYFUNCTION("QUERY('Volunteer Survey'!J142)"),"")</f>
        <v/>
      </c>
      <c r="R135" s="49" t="str">
        <f ca="1">IFERROR(__xludf.DUMMYFUNCTION("QUERY('Volunteer Survey'!K142)"),"")</f>
        <v/>
      </c>
      <c r="S135" s="49" t="str">
        <f ca="1">IFERROR(__xludf.DUMMYFUNCTION("QUERY('Volunteer Survey'!L142)"),"")</f>
        <v/>
      </c>
      <c r="T135" s="49" t="str">
        <f ca="1">IFERROR(__xludf.DUMMYFUNCTION("QUERY('Volunteer Survey'!M142)"),"")</f>
        <v/>
      </c>
      <c r="U135" s="58" t="str">
        <f ca="1">IFERROR(__xludf.DUMMYFUNCTION("QUERY('Volunteer Survey'!N142)"),"")</f>
        <v/>
      </c>
      <c r="V135" s="49" t="str">
        <f ca="1">IFERROR(__xludf.DUMMYFUNCTION("QUERY('Volunteer Survey'!O142)"),"Possibly")</f>
        <v>Possibly</v>
      </c>
      <c r="W135" s="60" t="str">
        <f ca="1">IFERROR(__xludf.DUMMYFUNCTION("QUERY('Volunteer Survey'!P142)"),"")</f>
        <v/>
      </c>
      <c r="X135" s="58" t="str">
        <f ca="1">IFERROR(__xludf.DUMMYFUNCTION("QUERY('Volunteer Survey'!R142)"),"Maybe -- please contact me with other options, and I will decide based on what is available")</f>
        <v>Maybe -- please contact me with other options, and I will decide based on what is available</v>
      </c>
      <c r="Y135" s="47"/>
      <c r="Z135" s="174">
        <f ca="1">IFERROR(__xludf.DUMMYFUNCTION("QUERY('Volunteer Survey'!A134)"),43535.0067611458)</f>
        <v>43535.0067611458</v>
      </c>
      <c r="AA135" s="175" t="str">
        <f ca="1">IFERROR(__xludf.DUMMYFUNCTION("QUERY('Volunteer Survey'!B134)"),"Hafsa Amtul")</f>
        <v>Hafsa Amtul</v>
      </c>
      <c r="AB135" s="175" t="str">
        <f ca="1">IFERROR(__xludf.DUMMYFUNCTION("QUERY('Volunteer Survey'!C134)"),"Rush University")</f>
        <v>Rush University</v>
      </c>
      <c r="AC135" s="175" t="str">
        <f ca="1">IFERROR(__xludf.DUMMYFUNCTION("QUERY('Volunteer Survey'!D134)"),"9029 federal ct apt 1h")</f>
        <v>9029 federal ct apt 1h</v>
      </c>
      <c r="AD135" s="175" t="str">
        <f ca="1">IFERROR(__xludf.DUMMYFUNCTION("QUERY('Volunteer Survey'!E134)"),"hafsa.amtul2502@gmail.com")</f>
        <v>hafsa.amtul2502@gmail.com</v>
      </c>
      <c r="AE135" s="175" t="str">
        <f ca="1">IFERROR(__xludf.DUMMYFUNCTION("QUERY('Volunteer Survey'!F134)"),"Scientific Researcher")</f>
        <v>Scientific Researcher</v>
      </c>
      <c r="AF135" s="175" t="str">
        <f ca="1">IFERROR(__xludf.DUMMYFUNCTION("QUERY('Volunteer Survey'!G134)"),"ClinGen website")</f>
        <v>ClinGen website</v>
      </c>
      <c r="AG135" s="175" t="str">
        <f ca="1">IFERROR(__xludf.DUMMYFUNCTION("QUERY('Volunteer Survey'!H134)"),"Comprehensive")</f>
        <v>Comprehensive</v>
      </c>
      <c r="AH135" s="175" t="str">
        <f ca="1">IFERROR(__xludf.DUMMYFUNCTION("QUERY('Volunteer Survey'!I134)"),"Dosage Sensitivity")</f>
        <v>Dosage Sensitivity</v>
      </c>
      <c r="AI135" s="175" t="str">
        <f ca="1">IFERROR(__xludf.DUMMYFUNCTION("QUERY('Volunteer Survey'!J134)"),"Clinical Actionability")</f>
        <v>Clinical Actionability</v>
      </c>
      <c r="AJ135" s="175" t="str">
        <f ca="1">IFERROR(__xludf.DUMMYFUNCTION("QUERY('Volunteer Survey'!K134)"),"Gene-Disease Validity")</f>
        <v>Gene-Disease Validity</v>
      </c>
      <c r="AK135" s="175" t="str">
        <f ca="1">IFERROR(__xludf.DUMMYFUNCTION("QUERY('Volunteer Survey'!L134)"),"Somatic Cancer")</f>
        <v>Somatic Cancer</v>
      </c>
      <c r="AL135" s="175" t="str">
        <f ca="1">IFERROR(__xludf.DUMMYFUNCTION("QUERY('Volunteer Survey'!M134)"),"Variant Pathogenicity")</f>
        <v>Variant Pathogenicity</v>
      </c>
      <c r="AM135" s="175" t="str">
        <f ca="1">IFERROR(__xludf.DUMMYFUNCTION("QUERY('Volunteer Survey'!N134)"),"drug toxicity associated with tpmt genetic variants *1, *2, *3A, *3B")</f>
        <v>drug toxicity associated with tpmt genetic variants *1, *2, *3A, *3B</v>
      </c>
      <c r="AN135" s="175" t="str">
        <f ca="1">IFERROR(__xludf.DUMMYFUNCTION("QUERY('Volunteer Survey'!O134)"),"Yes")</f>
        <v>Yes</v>
      </c>
      <c r="AO135" s="175" t="str">
        <f ca="1">IFERROR(__xludf.DUMMYFUNCTION("QUERY('Volunteer Survey'!P134)"),"Dosage- Neurodevelopemental, Pediatric, Nonsmall cell lung cancer, 
Somatic TP53 ")</f>
        <v xml:space="preserve">Dosage- Neurodevelopemental, Pediatric, Nonsmall cell lung cancer, 
Somatic TP53 </v>
      </c>
    </row>
    <row r="136" spans="1:41" ht="14">
      <c r="A136" s="44">
        <f ca="1">IFERROR(__xludf.DUMMYFUNCTION("QUERY('Volunteer Survey'!A143)"),43556.9679415162)</f>
        <v>43556.967941516203</v>
      </c>
      <c r="B136" s="42" t="s">
        <v>108</v>
      </c>
      <c r="C136" s="47"/>
      <c r="D136" s="49"/>
      <c r="E136" s="42" t="s">
        <v>130</v>
      </c>
      <c r="F136" s="42" t="s">
        <v>130</v>
      </c>
      <c r="G136" s="42" t="s">
        <v>202</v>
      </c>
      <c r="H136" s="47"/>
      <c r="I136" s="45" t="s">
        <v>139</v>
      </c>
      <c r="J136" s="49"/>
      <c r="K136" s="49"/>
      <c r="L136" s="49" t="str">
        <f ca="1">IFERROR(__xludf.DUMMYFUNCTION("QUERY('Volunteer Survey'!B143)"),"Edward Shadiack")</f>
        <v>Edward Shadiack</v>
      </c>
      <c r="M136" s="49" t="str">
        <f ca="1">IFERROR(__xludf.DUMMYFUNCTION("QUERY('Volunteer Survey'!E143)"),"shadiaec@gmail.com")</f>
        <v>shadiaec@gmail.com</v>
      </c>
      <c r="N136" s="49" t="str">
        <f ca="1">IFERROR(__xludf.DUMMYFUNCTION("QUERY('Volunteer Survey'!F143)"),"Physician (Non-geneticist)")</f>
        <v>Physician (Non-geneticist)</v>
      </c>
      <c r="O136" s="42" t="str">
        <f ca="1">IFERROR(__xludf.DUMMYFUNCTION("QUERY('Volunteer Survey'!H143)"),"Baseline")</f>
        <v>Baseline</v>
      </c>
      <c r="P136" s="49" t="str">
        <f ca="1">IFERROR(__xludf.DUMMYFUNCTION("QUERY('Volunteer Survey'!I143)"),"Variant Pathogenicity")</f>
        <v>Variant Pathogenicity</v>
      </c>
      <c r="Q136" s="54" t="str">
        <f ca="1">IFERROR(__xludf.DUMMYFUNCTION("QUERY('Volunteer Survey'!J143)"),"Gene-Disease Validity")</f>
        <v>Gene-Disease Validity</v>
      </c>
      <c r="R136" s="49" t="str">
        <f ca="1">IFERROR(__xludf.DUMMYFUNCTION("QUERY('Volunteer Survey'!K143)"),"Clinical Actionability")</f>
        <v>Clinical Actionability</v>
      </c>
      <c r="S136" s="49" t="str">
        <f ca="1">IFERROR(__xludf.DUMMYFUNCTION("QUERY('Volunteer Survey'!L143)"),"Dosage Sensitivity")</f>
        <v>Dosage Sensitivity</v>
      </c>
      <c r="T136" s="49" t="str">
        <f ca="1">IFERROR(__xludf.DUMMYFUNCTION("QUERY('Volunteer Survey'!M143)"),"Somatic Cancer")</f>
        <v>Somatic Cancer</v>
      </c>
      <c r="U136" s="58" t="str">
        <f ca="1">IFERROR(__xludf.DUMMYFUNCTION("QUERY('Volunteer Survey'!N143)"),"No experience whatsoever")</f>
        <v>No experience whatsoever</v>
      </c>
      <c r="V136" s="49" t="str">
        <f ca="1">IFERROR(__xludf.DUMMYFUNCTION("QUERY('Volunteer Survey'!O143)"),"No")</f>
        <v>No</v>
      </c>
      <c r="W136" s="60" t="str">
        <f ca="1">IFERROR(__xludf.DUMMYFUNCTION("QUERY('Volunteer Survey'!P143)"),"Mitochondrial Diseases")</f>
        <v>Mitochondrial Diseases</v>
      </c>
      <c r="X136" s="58" t="str">
        <f ca="1">IFERROR(__xludf.DUMMYFUNCTION("QUERY('Volunteer Survey'!R143)"),"Yes- I am willing to volunteer with any available ClinGen group")</f>
        <v>Yes- I am willing to volunteer with any available ClinGen group</v>
      </c>
      <c r="Y136" s="47"/>
      <c r="Z136" s="174">
        <f ca="1">IFERROR(__xludf.DUMMYFUNCTION("QUERY('Volunteer Survey'!A135)"),43537.387839074)</f>
        <v>43537.387839073999</v>
      </c>
      <c r="AA136" s="175" t="str">
        <f ca="1">IFERROR(__xludf.DUMMYFUNCTION("QUERY('Volunteer Survey'!B135)"),"Manya Warrier")</f>
        <v>Manya Warrier</v>
      </c>
      <c r="AB136" s="175" t="str">
        <f ca="1">IFERROR(__xludf.DUMMYFUNCTION("QUERY('Volunteer Survey'!C135)"),"LabCorp")</f>
        <v>LabCorp</v>
      </c>
      <c r="AC136" s="175" t="str">
        <f ca="1">IFERROR(__xludf.DUMMYFUNCTION("QUERY('Volunteer Survey'!D135)"),"769 Franklin Tree Drive, Concord, NC 28027")</f>
        <v>769 Franklin Tree Drive, Concord, NC 28027</v>
      </c>
      <c r="AD136" s="175" t="str">
        <f ca="1">IFERROR(__xludf.DUMMYFUNCTION("QUERY('Volunteer Survey'!E135)"),"manyawarrier@gmail.com")</f>
        <v>manyawarrier@gmail.com</v>
      </c>
      <c r="AE136" s="175" t="str">
        <f ca="1">IFERROR(__xludf.DUMMYFUNCTION("QUERY('Volunteer Survey'!F135)"),"Variant Analyst/Scientist - Industry")</f>
        <v>Variant Analyst/Scientist - Industry</v>
      </c>
      <c r="AF136" s="175" t="str">
        <f ca="1">IFERROR(__xludf.DUMMYFUNCTION("QUERY('Volunteer Survey'!G135)"),"The clinicalgenome.org website")</f>
        <v>The clinicalgenome.org website</v>
      </c>
      <c r="AG136" s="175" t="str">
        <f ca="1">IFERROR(__xludf.DUMMYFUNCTION("QUERY('Volunteer Survey'!H135)"),"Baseline")</f>
        <v>Baseline</v>
      </c>
      <c r="AH136" s="175" t="str">
        <f ca="1">IFERROR(__xludf.DUMMYFUNCTION("QUERY('Volunteer Survey'!I135)"),"")</f>
        <v/>
      </c>
      <c r="AI136" s="175" t="str">
        <f ca="1">IFERROR(__xludf.DUMMYFUNCTION("QUERY('Volunteer Survey'!J135)"),"")</f>
        <v/>
      </c>
      <c r="AJ136" s="175" t="str">
        <f ca="1">IFERROR(__xludf.DUMMYFUNCTION("QUERY('Volunteer Survey'!K135)"),"")</f>
        <v/>
      </c>
      <c r="AK136" s="175" t="str">
        <f ca="1">IFERROR(__xludf.DUMMYFUNCTION("QUERY('Volunteer Survey'!L135)"),"")</f>
        <v/>
      </c>
      <c r="AL136" s="175" t="str">
        <f ca="1">IFERROR(__xludf.DUMMYFUNCTION("QUERY('Volunteer Survey'!M135)"),"")</f>
        <v/>
      </c>
      <c r="AM136" s="175" t="str">
        <f ca="1">IFERROR(__xludf.DUMMYFUNCTION("QUERY('Volunteer Survey'!N135)"),"")</f>
        <v/>
      </c>
      <c r="AN136" s="175" t="str">
        <f ca="1">IFERROR(__xludf.DUMMYFUNCTION("QUERY('Volunteer Survey'!O135)"),"Possibly")</f>
        <v>Possibly</v>
      </c>
      <c r="AO136" s="175" t="str">
        <f ca="1">IFERROR(__xludf.DUMMYFUNCTION("QUERY('Volunteer Survey'!P135)"),"")</f>
        <v/>
      </c>
    </row>
    <row r="137" spans="1:41" ht="14">
      <c r="A137" s="44">
        <f ca="1">IFERROR(__xludf.DUMMYFUNCTION("QUERY('Volunteer Survey'!A144)"),43558.1369910763)</f>
        <v>43558.136991076302</v>
      </c>
      <c r="B137" s="42" t="s">
        <v>160</v>
      </c>
      <c r="C137" s="47"/>
      <c r="D137" s="50">
        <v>43626</v>
      </c>
      <c r="E137" s="42" t="s">
        <v>117</v>
      </c>
      <c r="F137" s="42" t="s">
        <v>117</v>
      </c>
      <c r="G137" s="42" t="s">
        <v>251</v>
      </c>
      <c r="H137" s="45" t="s">
        <v>252</v>
      </c>
      <c r="I137" s="45" t="s">
        <v>139</v>
      </c>
      <c r="J137" s="50">
        <v>43712</v>
      </c>
      <c r="K137" s="50"/>
      <c r="L137" s="49" t="str">
        <f ca="1">IFERROR(__xludf.DUMMYFUNCTION("QUERY('Volunteer Survey'!B144)"),"Barbara Vona")</f>
        <v>Barbara Vona</v>
      </c>
      <c r="M137" s="49" t="str">
        <f ca="1">IFERROR(__xludf.DUMMYFUNCTION("QUERY('Volunteer Survey'!E144)"),"barbara.vona@uni-tuebingen.de")</f>
        <v>barbara.vona@uni-tuebingen.de</v>
      </c>
      <c r="N137" s="49" t="str">
        <f ca="1">IFERROR(__xludf.DUMMYFUNCTION("QUERY('Volunteer Survey'!F144)"),"Half variant analyst, half scientific researcher")</f>
        <v>Half variant analyst, half scientific researcher</v>
      </c>
      <c r="O137" s="42" t="str">
        <f ca="1">IFERROR(__xludf.DUMMYFUNCTION("QUERY('Volunteer Survey'!H144)"),"Comprehensive")</f>
        <v>Comprehensive</v>
      </c>
      <c r="P137" s="49" t="str">
        <f ca="1">IFERROR(__xludf.DUMMYFUNCTION("QUERY('Volunteer Survey'!I144)"),"Variant Pathogenicity")</f>
        <v>Variant Pathogenicity</v>
      </c>
      <c r="Q137" s="54" t="str">
        <f ca="1">IFERROR(__xludf.DUMMYFUNCTION("QUERY('Volunteer Survey'!J144)"),"Gene-Disease Validity")</f>
        <v>Gene-Disease Validity</v>
      </c>
      <c r="R137" s="49" t="str">
        <f ca="1">IFERROR(__xludf.DUMMYFUNCTION("QUERY('Volunteer Survey'!K144)"),"")</f>
        <v/>
      </c>
      <c r="S137" s="49" t="str">
        <f ca="1">IFERROR(__xludf.DUMMYFUNCTION("QUERY('Volunteer Survey'!L144)"),"")</f>
        <v/>
      </c>
      <c r="T137" s="49" t="str">
        <f ca="1">IFERROR(__xludf.DUMMYFUNCTION("QUERY('Volunteer Survey'!M144)"),"")</f>
        <v/>
      </c>
      <c r="U137" s="58" t="str">
        <f ca="1">IFERROR(__xludf.DUMMYFUNCTION("QUERY('Volunteer Survey'!N144)"),"LOVD3 variant curation for several hearing loss genes (STRC, GRHL2, CEACAM16, S1PR2)")</f>
        <v>LOVD3 variant curation for several hearing loss genes (STRC, GRHL2, CEACAM16, S1PR2)</v>
      </c>
      <c r="V137" s="49" t="str">
        <f ca="1">IFERROR(__xludf.DUMMYFUNCTION("QUERY('Volunteer Survey'!O144)"),"Yes")</f>
        <v>Yes</v>
      </c>
      <c r="W137" s="60" t="str">
        <f ca="1">IFERROR(__xludf.DUMMYFUNCTION("QUERY('Volunteer Survey'!P144)"),"Hearing Loss Variant and Gene Curation Expert Panels")</f>
        <v>Hearing Loss Variant and Gene Curation Expert Panels</v>
      </c>
      <c r="X137" s="58" t="str">
        <f ca="1">IFERROR(__xludf.DUMMYFUNCTION("QUERY('Volunteer Survey'!R144)"),"Maybe -- please contact me with other options, and I will decide based on what is available")</f>
        <v>Maybe -- please contact me with other options, and I will decide based on what is available</v>
      </c>
      <c r="Y137" s="47"/>
      <c r="Z137" s="174">
        <f ca="1">IFERROR(__xludf.DUMMYFUNCTION("QUERY('Volunteer Survey'!A136)"),43542.6378533333)</f>
        <v>43542.637853333297</v>
      </c>
      <c r="AA137" s="175" t="str">
        <f ca="1">IFERROR(__xludf.DUMMYFUNCTION("QUERY('Volunteer Survey'!B136)"),"Angela Pickart")</f>
        <v>Angela Pickart</v>
      </c>
      <c r="AB137" s="175" t="str">
        <f ca="1">IFERROR(__xludf.DUMMYFUNCTION("QUERY('Volunteer Survey'!C136)"),"Mayo Clinic")</f>
        <v>Mayo Clinic</v>
      </c>
      <c r="AC137" s="175" t="str">
        <f ca="1">IFERROR(__xludf.DUMMYFUNCTION("QUERY('Volunteer Survey'!D136)"),"Rochester, MN")</f>
        <v>Rochester, MN</v>
      </c>
      <c r="AD137" s="175" t="str">
        <f ca="1">IFERROR(__xludf.DUMMYFUNCTION("QUERY('Volunteer Survey'!E136)"),"pickart.angela@mayo.edu")</f>
        <v>pickart.angela@mayo.edu</v>
      </c>
      <c r="AE137" s="175" t="str">
        <f ca="1">IFERROR(__xludf.DUMMYFUNCTION("QUERY('Volunteer Survey'!F136)"),"Genetic counselor")</f>
        <v>Genetic counselor</v>
      </c>
      <c r="AF137" s="175" t="str">
        <f ca="1">IFERROR(__xludf.DUMMYFUNCTION("QUERY('Volunteer Survey'!G136)"),"Colleagues")</f>
        <v>Colleagues</v>
      </c>
      <c r="AG137" s="175" t="str">
        <f ca="1">IFERROR(__xludf.DUMMYFUNCTION("QUERY('Volunteer Survey'!H136)"),"Comprehensive")</f>
        <v>Comprehensive</v>
      </c>
      <c r="AH137" s="175" t="str">
        <f ca="1">IFERROR(__xludf.DUMMYFUNCTION("QUERY('Volunteer Survey'!I136)"),"Gene-Disease Validity")</f>
        <v>Gene-Disease Validity</v>
      </c>
      <c r="AI137" s="175" t="str">
        <f ca="1">IFERROR(__xludf.DUMMYFUNCTION("QUERY('Volunteer Survey'!J136)"),"Variant Pathogenicity")</f>
        <v>Variant Pathogenicity</v>
      </c>
      <c r="AJ137" s="175" t="str">
        <f ca="1">IFERROR(__xludf.DUMMYFUNCTION("QUERY('Volunteer Survey'!K136)"),"")</f>
        <v/>
      </c>
      <c r="AK137" s="175" t="str">
        <f ca="1">IFERROR(__xludf.DUMMYFUNCTION("QUERY('Volunteer Survey'!L136)"),"")</f>
        <v/>
      </c>
      <c r="AL137" s="175" t="str">
        <f ca="1">IFERROR(__xludf.DUMMYFUNCTION("QUERY('Volunteer Survey'!M136)"),"")</f>
        <v/>
      </c>
      <c r="AM137" s="175" t="str">
        <f ca="1">IFERROR(__xludf.DUMMYFUNCTION("QUERY('Volunteer Survey'!N136)"),"I work for a clinical laboratory and both assess gene-disease validity and provide variant annotation for a variety of molecular tests, including large epilepsy panels")</f>
        <v>I work for a clinical laboratory and both assess gene-disease validity and provide variant annotation for a variety of molecular tests, including large epilepsy panels</v>
      </c>
      <c r="AN137" s="175" t="str">
        <f ca="1">IFERROR(__xludf.DUMMYFUNCTION("QUERY('Volunteer Survey'!O136)"),"Possibly")</f>
        <v>Possibly</v>
      </c>
      <c r="AO137" s="175" t="str">
        <f ca="1">IFERROR(__xludf.DUMMYFUNCTION("QUERY('Volunteer Survey'!P136)"),"Epilepsy")</f>
        <v>Epilepsy</v>
      </c>
    </row>
    <row r="138" spans="1:41" ht="14">
      <c r="A138" s="44">
        <f ca="1">IFERROR(__xludf.DUMMYFUNCTION("QUERY('Volunteer Survey'!A145)"),43558.6059017245)</f>
        <v>43558.605901724499</v>
      </c>
      <c r="B138" s="42" t="s">
        <v>160</v>
      </c>
      <c r="C138" s="47"/>
      <c r="D138" s="59">
        <v>43605</v>
      </c>
      <c r="E138" s="42" t="s">
        <v>117</v>
      </c>
      <c r="F138" s="42" t="s">
        <v>117</v>
      </c>
      <c r="G138" s="42" t="s">
        <v>251</v>
      </c>
      <c r="H138" s="45" t="s">
        <v>309</v>
      </c>
      <c r="I138" s="45" t="s">
        <v>139</v>
      </c>
      <c r="J138" s="50">
        <v>43712</v>
      </c>
      <c r="K138" s="50"/>
      <c r="L138" s="49" t="str">
        <f ca="1">IFERROR(__xludf.DUMMYFUNCTION("QUERY('Volunteer Survey'!B145)"),"Viridiana Murillo")</f>
        <v>Viridiana Murillo</v>
      </c>
      <c r="M138" s="49" t="str">
        <f ca="1">IFERROR(__xludf.DUMMYFUNCTION("QUERY('Volunteer Survey'!E145)"),"vmurillo18@students.kgi.edu")</f>
        <v>vmurillo18@students.kgi.edu</v>
      </c>
      <c r="N138" s="49" t="str">
        <f ca="1">IFERROR(__xludf.DUMMYFUNCTION("QUERY('Volunteer Survey'!F145)"),"Graduate Student")</f>
        <v>Graduate Student</v>
      </c>
      <c r="O138" s="42" t="str">
        <f ca="1">IFERROR(__xludf.DUMMYFUNCTION("QUERY('Volunteer Survey'!H145)"),"Comprehensive")</f>
        <v>Comprehensive</v>
      </c>
      <c r="P138" s="49" t="str">
        <f ca="1">IFERROR(__xludf.DUMMYFUNCTION("QUERY('Volunteer Survey'!I145)"),"Variant Pathogenicity")</f>
        <v>Variant Pathogenicity</v>
      </c>
      <c r="Q138" s="54" t="str">
        <f ca="1">IFERROR(__xludf.DUMMYFUNCTION("QUERY('Volunteer Survey'!J145)"),"")</f>
        <v/>
      </c>
      <c r="R138" s="49" t="str">
        <f ca="1">IFERROR(__xludf.DUMMYFUNCTION("QUERY('Volunteer Survey'!K145)"),"")</f>
        <v/>
      </c>
      <c r="S138" s="49" t="str">
        <f ca="1">IFERROR(__xludf.DUMMYFUNCTION("QUERY('Volunteer Survey'!L145)"),"")</f>
        <v/>
      </c>
      <c r="T138" s="49" t="str">
        <f ca="1">IFERROR(__xludf.DUMMYFUNCTION("QUERY('Volunteer Survey'!M145)"),"")</f>
        <v/>
      </c>
      <c r="U138" s="58" t="str">
        <f ca="1">IFERROR(__xludf.DUMMYFUNCTION("QUERY('Volunteer Survey'!N145)"),"We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c r="V138" s="49" t="str">
        <f ca="1">IFERROR(__xludf.DUMMYFUNCTION("QUERY('Volunteer Survey'!O145)"),"Possibly")</f>
        <v>Possibly</v>
      </c>
      <c r="W138" s="60" t="str">
        <f ca="1">IFERROR(__xludf.DUMMYFUNCTION("QUERY('Volunteer Survey'!P145)"),"Metabolism (PAH) workgroup and/or  Epilepsy work group")</f>
        <v>Metabolism (PAH) workgroup and/or  Epilepsy work group</v>
      </c>
      <c r="X138" s="58" t="str">
        <f ca="1">IFERROR(__xludf.DUMMYFUNCTION("QUERY('Volunteer Survey'!R145)"),"Yes- I am willing to volunteer with any available ClinGen group")</f>
        <v>Yes- I am willing to volunteer with any available ClinGen group</v>
      </c>
      <c r="Y138" s="47"/>
      <c r="Z138" s="174">
        <f ca="1">IFERROR(__xludf.DUMMYFUNCTION("QUERY('Volunteer Survey'!A137)"),43543.4405140277)</f>
        <v>43543.440514027701</v>
      </c>
      <c r="AA138" s="175" t="str">
        <f ca="1">IFERROR(__xludf.DUMMYFUNCTION("QUERY('Volunteer Survey'!B137)"),"Jing Xie")</f>
        <v>Jing Xie</v>
      </c>
      <c r="AB138" s="175" t="str">
        <f ca="1">IFERROR(__xludf.DUMMYFUNCTION("QUERY('Volunteer Survey'!C137)"),"PerkinElmer Genomics")</f>
        <v>PerkinElmer Genomics</v>
      </c>
      <c r="AC138" s="175" t="str">
        <f ca="1">IFERROR(__xludf.DUMMYFUNCTION("QUERY('Volunteer Survey'!D137)"),"")</f>
        <v/>
      </c>
      <c r="AD138" s="175" t="str">
        <f ca="1">IFERROR(__xludf.DUMMYFUNCTION("QUERY('Volunteer Survey'!E137)"),"jingxiegene@gmail.com")</f>
        <v>jingxiegene@gmail.com</v>
      </c>
      <c r="AE138" s="175" t="str">
        <f ca="1">IFERROR(__xludf.DUMMYFUNCTION("QUERY('Volunteer Survey'!F137)"),"Clinical laboratory geneticist")</f>
        <v>Clinical laboratory geneticist</v>
      </c>
      <c r="AF138" s="175" t="str">
        <f ca="1">IFERROR(__xludf.DUMMYFUNCTION("QUERY('Volunteer Survey'!G137)"),"The clinicalgenome.org website")</f>
        <v>The clinicalgenome.org website</v>
      </c>
      <c r="AG138" s="175" t="str">
        <f ca="1">IFERROR(__xludf.DUMMYFUNCTION("QUERY('Volunteer Survey'!H137)"),"Comprehensive")</f>
        <v>Comprehensive</v>
      </c>
      <c r="AH138" s="175" t="str">
        <f ca="1">IFERROR(__xludf.DUMMYFUNCTION("QUERY('Volunteer Survey'!I137)"),"Variant Pathogenicity")</f>
        <v>Variant Pathogenicity</v>
      </c>
      <c r="AI138" s="175" t="str">
        <f ca="1">IFERROR(__xludf.DUMMYFUNCTION("QUERY('Volunteer Survey'!J137)"),"Gene-Disease Validity")</f>
        <v>Gene-Disease Validity</v>
      </c>
      <c r="AJ138" s="175" t="str">
        <f ca="1">IFERROR(__xludf.DUMMYFUNCTION("QUERY('Volunteer Survey'!K137)"),"Clinical Actionability")</f>
        <v>Clinical Actionability</v>
      </c>
      <c r="AK138" s="175" t="str">
        <f ca="1">IFERROR(__xludf.DUMMYFUNCTION("QUERY('Volunteer Survey'!L137)"),"Dosage Sensitivity")</f>
        <v>Dosage Sensitivity</v>
      </c>
      <c r="AL138" s="175" t="str">
        <f ca="1">IFERROR(__xludf.DUMMYFUNCTION("QUERY('Volunteer Survey'!M137)"),"Somatic Cancer")</f>
        <v>Somatic Cancer</v>
      </c>
      <c r="AM138" s="175" t="str">
        <f ca="1">IFERROR(__xludf.DUMMYFUNCTION("QUERY('Volunteer Survey'!N137)"),"Yes, as a clinical laboratory director, I have been heavily involved in variant pathogenicity evaluation myself and variant analyst training. Meanwhile, I also worked on gene-disease curation periodically for our interpretation pipeline. ")</f>
        <v xml:space="preserve">Yes, as a clinical laboratory director, I have been heavily involved in variant pathogenicity evaluation myself and variant analyst training. Meanwhile, I also worked on gene-disease curation periodically for our interpretation pipeline. </v>
      </c>
      <c r="AN138" s="175" t="str">
        <f ca="1">IFERROR(__xludf.DUMMYFUNCTION("QUERY('Volunteer Survey'!O137)"),"Yes")</f>
        <v>Yes</v>
      </c>
      <c r="AO138" s="175" t="str">
        <f ca="1">IFERROR(__xludf.DUMMYFUNCTION("QUERY('Volunteer Survey'!P137)"),"Gene Curation Panel: Hereditary Cancer; Storage Diseases. Variant Curation Panel: Breast/Ovarian Cancer; Colorectal Cancer; Fatty Acid Oxidation; Cerebral Creatine Deficiency Syndrome")</f>
        <v>Gene Curation Panel: Hereditary Cancer; Storage Diseases. Variant Curation Panel: Breast/Ovarian Cancer; Colorectal Cancer; Fatty Acid Oxidation; Cerebral Creatine Deficiency Syndrome</v>
      </c>
    </row>
    <row r="139" spans="1:41" ht="14">
      <c r="A139" s="44">
        <f ca="1">IFERROR(__xludf.DUMMYFUNCTION("QUERY('Volunteer Survey'!A146)"),43558.6269870023)</f>
        <v>43558.626987002302</v>
      </c>
      <c r="B139" s="42" t="s">
        <v>168</v>
      </c>
      <c r="C139" s="47"/>
      <c r="D139" s="59">
        <v>43605</v>
      </c>
      <c r="E139" s="42" t="s">
        <v>117</v>
      </c>
      <c r="F139" s="42" t="s">
        <v>130</v>
      </c>
      <c r="G139" s="42" t="s">
        <v>251</v>
      </c>
      <c r="H139" s="47"/>
      <c r="I139" s="45" t="s">
        <v>139</v>
      </c>
      <c r="J139" s="49"/>
      <c r="K139" s="49"/>
      <c r="L139" s="49" t="str">
        <f ca="1">IFERROR(__xludf.DUMMYFUNCTION("QUERY('Volunteer Survey'!B146)"),"Sharon Suchy")</f>
        <v>Sharon Suchy</v>
      </c>
      <c r="M139" s="49" t="str">
        <f ca="1">IFERROR(__xludf.DUMMYFUNCTION("QUERY('Volunteer Survey'!E146)"),"ssuchy@genedx.com")</f>
        <v>ssuchy@genedx.com</v>
      </c>
      <c r="N139" s="49" t="str">
        <f ca="1">IFERROR(__xludf.DUMMYFUNCTION("QUERY('Volunteer Survey'!F146)"),"Clinical laboratory geneticist")</f>
        <v>Clinical laboratory geneticist</v>
      </c>
      <c r="O139" s="42" t="str">
        <f ca="1">IFERROR(__xludf.DUMMYFUNCTION("QUERY('Volunteer Survey'!H146)"),"Comprehensive")</f>
        <v>Comprehensive</v>
      </c>
      <c r="P139" s="49" t="str">
        <f ca="1">IFERROR(__xludf.DUMMYFUNCTION("QUERY('Volunteer Survey'!I146)"),"Variant Pathogenicity")</f>
        <v>Variant Pathogenicity</v>
      </c>
      <c r="Q139" s="54" t="str">
        <f ca="1">IFERROR(__xludf.DUMMYFUNCTION("QUERY('Volunteer Survey'!J146)"),"Clinical Actionability")</f>
        <v>Clinical Actionability</v>
      </c>
      <c r="R139" s="49" t="str">
        <f ca="1">IFERROR(__xludf.DUMMYFUNCTION("QUERY('Volunteer Survey'!K146)"),"Gene-Disease Validity")</f>
        <v>Gene-Disease Validity</v>
      </c>
      <c r="S139" s="49" t="str">
        <f ca="1">IFERROR(__xludf.DUMMYFUNCTION("QUERY('Volunteer Survey'!L146)"),"")</f>
        <v/>
      </c>
      <c r="T139" s="49" t="str">
        <f ca="1">IFERROR(__xludf.DUMMYFUNCTION("QUERY('Volunteer Survey'!M146)"),"")</f>
        <v/>
      </c>
      <c r="U139" s="58" t="str">
        <f ca="1">IFERROR(__xludf.DUMMYFUNCTION("QUERY('Volunteer Survey'!N146)"),"yes, assessing variant pathogenicity /clinical actionability issues")</f>
        <v>yes, assessing variant pathogenicity /clinical actionability issues</v>
      </c>
      <c r="V139" s="49" t="str">
        <f ca="1">IFERROR(__xludf.DUMMYFUNCTION("QUERY('Volunteer Survey'!O146)"),"Possibly")</f>
        <v>Possibly</v>
      </c>
      <c r="W139" s="60" t="str">
        <f ca="1">IFERROR(__xludf.DUMMYFUNCTION("QUERY('Volunteer Survey'!P146)"),"lysosomal storage, inborn errors of metabolism")</f>
        <v>lysosomal storage, inborn errors of metabolism</v>
      </c>
      <c r="X139" s="58" t="str">
        <f ca="1">IFERROR(__xludf.DUMMYFUNCTION("QUERY('Volunteer Survey'!R146)"),"Maybe -- please contact me with other options, and I will decide based on what is available")</f>
        <v>Maybe -- please contact me with other options, and I will decide based on what is available</v>
      </c>
      <c r="Y139" s="47"/>
      <c r="Z139" s="174">
        <f ca="1">IFERROR(__xludf.DUMMYFUNCTION("QUERY('Volunteer Survey'!A138)"),43549.5145897801)</f>
        <v>43549.514589780098</v>
      </c>
      <c r="AA139" s="175" t="str">
        <f ca="1">IFERROR(__xludf.DUMMYFUNCTION("QUERY('Volunteer Survey'!B138)"),"Jianli Dong")</f>
        <v>Jianli Dong</v>
      </c>
      <c r="AB139" s="175" t="str">
        <f ca="1">IFERROR(__xludf.DUMMYFUNCTION("QUERY('Volunteer Survey'!C138)"),"The University of Texas Medical Branch")</f>
        <v>The University of Texas Medical Branch</v>
      </c>
      <c r="AC139" s="175" t="str">
        <f ca="1">IFERROR(__xludf.DUMMYFUNCTION("QUERY('Volunteer Survey'!D138)"),"301 University Blvd, Galveston, TX 77555")</f>
        <v>301 University Blvd, Galveston, TX 77555</v>
      </c>
      <c r="AD139" s="175" t="str">
        <f ca="1">IFERROR(__xludf.DUMMYFUNCTION("QUERY('Volunteer Survey'!E138)"),"jidong@utmb.edu")</f>
        <v>jidong@utmb.edu</v>
      </c>
      <c r="AE139" s="175" t="str">
        <f ca="1">IFERROR(__xludf.DUMMYFUNCTION("QUERY('Volunteer Survey'!F138)"),"Clinical laboratory geneticist")</f>
        <v>Clinical laboratory geneticist</v>
      </c>
      <c r="AF139" s="175" t="str">
        <f ca="1">IFERROR(__xludf.DUMMYFUNCTION("QUERY('Volunteer Survey'!G138)"),"ClinGen affiliated emails and/or newsletters")</f>
        <v>ClinGen affiliated emails and/or newsletters</v>
      </c>
      <c r="AG139" s="175" t="str">
        <f ca="1">IFERROR(__xludf.DUMMYFUNCTION("QUERY('Volunteer Survey'!H138)"),"Baseline")</f>
        <v>Baseline</v>
      </c>
      <c r="AH139" s="175" t="str">
        <f ca="1">IFERROR(__xludf.DUMMYFUNCTION("QUERY('Volunteer Survey'!I138)"),"")</f>
        <v/>
      </c>
      <c r="AI139" s="175" t="str">
        <f ca="1">IFERROR(__xludf.DUMMYFUNCTION("QUERY('Volunteer Survey'!J138)"),"")</f>
        <v/>
      </c>
      <c r="AJ139" s="175" t="str">
        <f ca="1">IFERROR(__xludf.DUMMYFUNCTION("QUERY('Volunteer Survey'!K138)"),"")</f>
        <v/>
      </c>
      <c r="AK139" s="175" t="str">
        <f ca="1">IFERROR(__xludf.DUMMYFUNCTION("QUERY('Volunteer Survey'!L138)"),"")</f>
        <v/>
      </c>
      <c r="AL139" s="175" t="str">
        <f ca="1">IFERROR(__xludf.DUMMYFUNCTION("QUERY('Volunteer Survey'!M138)"),"")</f>
        <v/>
      </c>
      <c r="AM139" s="175" t="str">
        <f ca="1">IFERROR(__xludf.DUMMYFUNCTION("QUERY('Volunteer Survey'!N138)"),"")</f>
        <v/>
      </c>
      <c r="AN139" s="175" t="str">
        <f ca="1">IFERROR(__xludf.DUMMYFUNCTION("QUERY('Volunteer Survey'!O138)"),"No")</f>
        <v>No</v>
      </c>
      <c r="AO139" s="175" t="str">
        <f ca="1">IFERROR(__xludf.DUMMYFUNCTION("QUERY('Volunteer Survey'!P138)"),"Breast/Ovarian Cancer (newly forming), Dosage- Hereditary Cancer (newly forming)*, Colorectal Cancer (newly forming), Somatic Cancer")</f>
        <v>Breast/Ovarian Cancer (newly forming), Dosage- Hereditary Cancer (newly forming)*, Colorectal Cancer (newly forming), Somatic Cancer</v>
      </c>
    </row>
    <row r="140" spans="1:41" ht="28">
      <c r="A140" s="44">
        <f ca="1">IFERROR(__xludf.DUMMYFUNCTION("QUERY('Volunteer Survey'!A147)"),43558.9757799768)</f>
        <v>43558.975779976798</v>
      </c>
      <c r="B140" s="42" t="s">
        <v>108</v>
      </c>
      <c r="C140" s="45" t="s">
        <v>350</v>
      </c>
      <c r="D140" s="49"/>
      <c r="E140" s="42" t="s">
        <v>130</v>
      </c>
      <c r="F140" s="42" t="s">
        <v>130</v>
      </c>
      <c r="G140" s="42" t="s">
        <v>122</v>
      </c>
      <c r="H140" s="47"/>
      <c r="I140" s="45" t="s">
        <v>299</v>
      </c>
      <c r="J140" s="49"/>
      <c r="K140" s="49"/>
      <c r="L140" s="49" t="str">
        <f ca="1">IFERROR(__xludf.DUMMYFUNCTION("QUERY('Volunteer Survey'!B147)"),"GIFTY BHAT")</f>
        <v>GIFTY BHAT</v>
      </c>
      <c r="M140" s="49" t="str">
        <f ca="1">IFERROR(__xludf.DUMMYFUNCTION("QUERY('Volunteer Survey'!E147)"),"drgiftybhat@gmail.com")</f>
        <v>drgiftybhat@gmail.com</v>
      </c>
      <c r="N140" s="49" t="str">
        <f ca="1">IFERROR(__xludf.DUMMYFUNCTION("QUERY('Volunteer Survey'!F147)"),"Clinical Medical Geneticist")</f>
        <v>Clinical Medical Geneticist</v>
      </c>
      <c r="O140" s="42" t="str">
        <f ca="1">IFERROR(__xludf.DUMMYFUNCTION("QUERY('Volunteer Survey'!H147)"),"Comprehensive")</f>
        <v>Comprehensive</v>
      </c>
      <c r="P140" s="49" t="str">
        <f ca="1">IFERROR(__xludf.DUMMYFUNCTION("QUERY('Volunteer Survey'!I147)"),"Gene-Disease Validity")</f>
        <v>Gene-Disease Validity</v>
      </c>
      <c r="Q140" s="54" t="str">
        <f ca="1">IFERROR(__xludf.DUMMYFUNCTION("QUERY('Volunteer Survey'!J147)"),"Variant Pathogenicity")</f>
        <v>Variant Pathogenicity</v>
      </c>
      <c r="R140" s="49" t="str">
        <f ca="1">IFERROR(__xludf.DUMMYFUNCTION("QUERY('Volunteer Survey'!K147)"),"Clinical Actionability")</f>
        <v>Clinical Actionability</v>
      </c>
      <c r="S140" s="49" t="str">
        <f ca="1">IFERROR(__xludf.DUMMYFUNCTION("QUERY('Volunteer Survey'!L147)"),"Dosage Sensitivity")</f>
        <v>Dosage Sensitivity</v>
      </c>
      <c r="T140" s="49" t="str">
        <f ca="1">IFERROR(__xludf.DUMMYFUNCTION("QUERY('Volunteer Survey'!M147)"),"Somatic Cancer")</f>
        <v>Somatic Cancer</v>
      </c>
      <c r="U140" s="58" t="str">
        <f ca="1">IFERROR(__xludf.DUMMYFUNCTION("QUERY('Volunteer Survey'!N147)"),"Research activity for 6 months for neurodevelopmental disorders in consanguineous population")</f>
        <v>Research activity for 6 months for neurodevelopmental disorders in consanguineous population</v>
      </c>
      <c r="V140" s="49" t="str">
        <f ca="1">IFERROR(__xludf.DUMMYFUNCTION("QUERY('Volunteer Survey'!O147)"),"Yes")</f>
        <v>Yes</v>
      </c>
      <c r="W140" s="60" t="str">
        <f ca="1">IFERROR(__xludf.DUMMYFUNCTION("QUERY('Volunteer Survey'!P147)"),"Neurodevelopmental/intellectual disability, Rett-Angelman syndrome, PTEN related disorders")</f>
        <v>Neurodevelopmental/intellectual disability, Rett-Angelman syndrome, PTEN related disorders</v>
      </c>
      <c r="X140" s="58" t="str">
        <f ca="1">IFERROR(__xludf.DUMMYFUNCTION("QUERY('Volunteer Survey'!R147)"),"Yes- I am willing to volunteer with any available ClinGen group")</f>
        <v>Yes- I am willing to volunteer with any available ClinGen group</v>
      </c>
      <c r="Y140" s="47"/>
      <c r="Z140" s="174">
        <f ca="1">IFERROR(__xludf.DUMMYFUNCTION("QUERY('Volunteer Survey'!A139)"),43549.5304612731)</f>
        <v>43549.530461273098</v>
      </c>
      <c r="AA140" s="175" t="str">
        <f ca="1">IFERROR(__xludf.DUMMYFUNCTION("QUERY('Volunteer Survey'!B139)"),"Kathryn Kronquist")</f>
        <v>Kathryn Kronquist</v>
      </c>
      <c r="AB140" s="175" t="str">
        <f ca="1">IFERROR(__xludf.DUMMYFUNCTION("QUERY('Volunteer Survey'!C139)"),"University of Colorado Department of Pediatrics")</f>
        <v>University of Colorado Department of Pediatrics</v>
      </c>
      <c r="AC140" s="175" t="str">
        <f ca="1">IFERROR(__xludf.DUMMYFUNCTION("QUERY('Volunteer Survey'!D139)"),"13123East 16th Avenue, B120, Aurora CO 80045")</f>
        <v>13123East 16th Avenue, B120, Aurora CO 80045</v>
      </c>
      <c r="AD140" s="175" t="str">
        <f ca="1">IFERROR(__xludf.DUMMYFUNCTION("QUERY('Volunteer Survey'!E139)"),"Kathryn.Kronquist@childrenscolorado.org")</f>
        <v>Kathryn.Kronquist@childrenscolorado.org</v>
      </c>
      <c r="AE140" s="175" t="str">
        <f ca="1">IFERROR(__xludf.DUMMYFUNCTION("QUERY('Volunteer Survey'!F139)"),"Clinical laboratory geneticist")</f>
        <v>Clinical laboratory geneticist</v>
      </c>
      <c r="AF140" s="175" t="str">
        <f ca="1">IFERROR(__xludf.DUMMYFUNCTION("QUERY('Volunteer Survey'!G139)"),"ClinGen conference advertisements (i.e. booth, workshop, presentation)")</f>
        <v>ClinGen conference advertisements (i.e. booth, workshop, presentation)</v>
      </c>
      <c r="AG140" s="175" t="str">
        <f ca="1">IFERROR(__xludf.DUMMYFUNCTION("QUERY('Volunteer Survey'!H139)"),"Comprehensive")</f>
        <v>Comprehensive</v>
      </c>
      <c r="AH140" s="175" t="str">
        <f ca="1">IFERROR(__xludf.DUMMYFUNCTION("QUERY('Volunteer Survey'!I139)"),"Variant Pathogenicity")</f>
        <v>Variant Pathogenicity</v>
      </c>
      <c r="AI140" s="175" t="str">
        <f ca="1">IFERROR(__xludf.DUMMYFUNCTION("QUERY('Volunteer Survey'!J139)"),"Dosage Sensitivity")</f>
        <v>Dosage Sensitivity</v>
      </c>
      <c r="AJ140" s="175" t="str">
        <f ca="1">IFERROR(__xludf.DUMMYFUNCTION("QUERY('Volunteer Survey'!K139)"),"")</f>
        <v/>
      </c>
      <c r="AK140" s="175" t="str">
        <f ca="1">IFERROR(__xludf.DUMMYFUNCTION("QUERY('Volunteer Survey'!L139)"),"")</f>
        <v/>
      </c>
      <c r="AL140" s="175" t="str">
        <f ca="1">IFERROR(__xludf.DUMMYFUNCTION("QUERY('Volunteer Survey'!M139)"),"")</f>
        <v/>
      </c>
      <c r="AM140" s="175" t="str">
        <f ca="1">IFERROR(__xludf.DUMMYFUNCTION("QUERY('Volunteer Survey'!N139)"),"applying ACMG Guidelines for variant curation in daily work")</f>
        <v>applying ACMG Guidelines for variant curation in daily work</v>
      </c>
      <c r="AN140" s="175" t="str">
        <f ca="1">IFERROR(__xludf.DUMMYFUNCTION("QUERY('Volunteer Survey'!O139)"),"Possibly")</f>
        <v>Possibly</v>
      </c>
      <c r="AO140" s="175" t="str">
        <f ca="1">IFERROR(__xludf.DUMMYFUNCTION("QUERY('Volunteer Survey'!P139)"),"epilepsy, RASopathy")</f>
        <v>epilepsy, RASopathy</v>
      </c>
    </row>
    <row r="141" spans="1:41" ht="14">
      <c r="A141" s="44">
        <f ca="1">IFERROR(__xludf.DUMMYFUNCTION("QUERY('Volunteer Survey'!A148)"),43559.4506282291)</f>
        <v>43559.450628229097</v>
      </c>
      <c r="B141" s="42" t="s">
        <v>160</v>
      </c>
      <c r="C141" s="47"/>
      <c r="D141" s="59">
        <v>43608</v>
      </c>
      <c r="E141" s="42" t="s">
        <v>117</v>
      </c>
      <c r="F141" s="42" t="s">
        <v>117</v>
      </c>
      <c r="G141" s="42" t="s">
        <v>251</v>
      </c>
      <c r="H141" s="45" t="s">
        <v>310</v>
      </c>
      <c r="I141" s="45" t="s">
        <v>139</v>
      </c>
      <c r="J141" s="50">
        <v>43712</v>
      </c>
      <c r="K141" s="50"/>
      <c r="L141" s="49" t="str">
        <f ca="1">IFERROR(__xludf.DUMMYFUNCTION("QUERY('Volunteer Survey'!B148)"),"Theodore E. Wilson")</f>
        <v>Theodore E. Wilson</v>
      </c>
      <c r="M141" s="49" t="str">
        <f ca="1">IFERROR(__xludf.DUMMYFUNCTION("QUERY('Volunteer Survey'!E148)"),"theowils@iu.edu")</f>
        <v>theowils@iu.edu</v>
      </c>
      <c r="N141" s="49" t="str">
        <f ca="1">IFERROR(__xludf.DUMMYFUNCTION("QUERY('Volunteer Survey'!F148)"),"Clinical Medical Geneticist")</f>
        <v>Clinical Medical Geneticist</v>
      </c>
      <c r="O141" s="42" t="str">
        <f ca="1">IFERROR(__xludf.DUMMYFUNCTION("QUERY('Volunteer Survey'!H148)"),"Comprehensive")</f>
        <v>Comprehensive</v>
      </c>
      <c r="P141" s="49" t="str">
        <f ca="1">IFERROR(__xludf.DUMMYFUNCTION("QUERY('Volunteer Survey'!I148)"),"Variant Pathogenicity")</f>
        <v>Variant Pathogenicity</v>
      </c>
      <c r="Q141" s="54" t="str">
        <f ca="1">IFERROR(__xludf.DUMMYFUNCTION("QUERY('Volunteer Survey'!J148)"),"Gene-Disease Validity")</f>
        <v>Gene-Disease Validity</v>
      </c>
      <c r="R141" s="49" t="str">
        <f ca="1">IFERROR(__xludf.DUMMYFUNCTION("QUERY('Volunteer Survey'!K148)"),"")</f>
        <v/>
      </c>
      <c r="S141" s="49" t="str">
        <f ca="1">IFERROR(__xludf.DUMMYFUNCTION("QUERY('Volunteer Survey'!L148)"),"")</f>
        <v/>
      </c>
      <c r="T141" s="49" t="str">
        <f ca="1">IFERROR(__xludf.DUMMYFUNCTION("QUERY('Volunteer Survey'!M148)"),"")</f>
        <v/>
      </c>
      <c r="U141" s="58" t="str">
        <f ca="1">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V141" s="49" t="str">
        <f ca="1">IFERROR(__xludf.DUMMYFUNCTION("QUERY('Volunteer Survey'!O148)"),"No")</f>
        <v>No</v>
      </c>
      <c r="W141" s="60" t="str">
        <f ca="1">IFERROR(__xludf.DUMMYFUNCTION("QUERY('Volunteer Survey'!P148)"),"cardiomyopathy")</f>
        <v>cardiomyopathy</v>
      </c>
      <c r="X141" s="58" t="str">
        <f ca="1">IFERROR(__xludf.DUMMYFUNCTION("QUERY('Volunteer Survey'!R148)"),"Maybe -- please contact me with other options, and I will decide based on what is available")</f>
        <v>Maybe -- please contact me with other options, and I will decide based on what is available</v>
      </c>
      <c r="Y141" s="47"/>
      <c r="Z141" s="174">
        <f ca="1">IFERROR(__xludf.DUMMYFUNCTION("QUERY('Volunteer Survey'!A140)"),43549.6709430902)</f>
        <v>43549.670943090197</v>
      </c>
      <c r="AA141" s="175" t="str">
        <f ca="1">IFERROR(__xludf.DUMMYFUNCTION("QUERY('Volunteer Survey'!B140)"),"Kristen L Deak")</f>
        <v>Kristen L Deak</v>
      </c>
      <c r="AB141" s="175" t="str">
        <f ca="1">IFERROR(__xludf.DUMMYFUNCTION("QUERY('Volunteer Survey'!C140)"),"Duke University")</f>
        <v>Duke University</v>
      </c>
      <c r="AC141" s="175" t="str">
        <f ca="1">IFERROR(__xludf.DUMMYFUNCTION("QUERY('Volunteer Survey'!D140)"),"2531 Erwin Road, Wadsworth Building 0213c, Durham, NC 27705 ")</f>
        <v xml:space="preserve">2531 Erwin Road, Wadsworth Building 0213c, Durham, NC 27705 </v>
      </c>
      <c r="AD141" s="175" t="str">
        <f ca="1">IFERROR(__xludf.DUMMYFUNCTION("QUERY('Volunteer Survey'!E140)"),"kristen.deak@duke.edu")</f>
        <v>kristen.deak@duke.edu</v>
      </c>
      <c r="AE141" s="175" t="str">
        <f ca="1">IFERROR(__xludf.DUMMYFUNCTION("QUERY('Volunteer Survey'!F140)"),"Clinical laboratory geneticist")</f>
        <v>Clinical laboratory geneticist</v>
      </c>
      <c r="AF141" s="175" t="str">
        <f ca="1">IFERROR(__xludf.DUMMYFUNCTION("QUERY('Volunteer Survey'!G140)"),"Colleagues")</f>
        <v>Colleagues</v>
      </c>
      <c r="AG141" s="175" t="str">
        <f ca="1">IFERROR(__xludf.DUMMYFUNCTION("QUERY('Volunteer Survey'!H140)"),"Comprehensive")</f>
        <v>Comprehensive</v>
      </c>
      <c r="AH141" s="175" t="str">
        <f ca="1">IFERROR(__xludf.DUMMYFUNCTION("QUERY('Volunteer Survey'!I140)"),"Variant Pathogenicity")</f>
        <v>Variant Pathogenicity</v>
      </c>
      <c r="AI141" s="175" t="str">
        <f ca="1">IFERROR(__xludf.DUMMYFUNCTION("QUERY('Volunteer Survey'!J140)"),"Somatic Cancer")</f>
        <v>Somatic Cancer</v>
      </c>
      <c r="AJ141" s="175" t="str">
        <f ca="1">IFERROR(__xludf.DUMMYFUNCTION("QUERY('Volunteer Survey'!K140)"),"Dosage Sensitivity")</f>
        <v>Dosage Sensitivity</v>
      </c>
      <c r="AK141" s="175" t="str">
        <f ca="1">IFERROR(__xludf.DUMMYFUNCTION("QUERY('Volunteer Survey'!L140)"),"Clinical Actionability")</f>
        <v>Clinical Actionability</v>
      </c>
      <c r="AL141" s="175" t="str">
        <f ca="1">IFERROR(__xludf.DUMMYFUNCTION("QUERY('Volunteer Survey'!M140)"),"Gene-Disease Validity")</f>
        <v>Gene-Disease Validity</v>
      </c>
      <c r="AM141" s="175" t="str">
        <f ca="1">IFERROR(__xludf.DUMMYFUNCTION("QUERY('Volunteer Survey'!N140)"),"Not other than evaluation and signout of patient reports")</f>
        <v>Not other than evaluation and signout of patient reports</v>
      </c>
      <c r="AN141" s="175" t="str">
        <f ca="1">IFERROR(__xludf.DUMMYFUNCTION("QUERY('Volunteer Survey'!O140)"),"Yes")</f>
        <v>Yes</v>
      </c>
      <c r="AO141" s="175" t="str">
        <f ca="1">IFERROR(__xludf.DUMMYFUNCTION("QUERY('Volunteer Survey'!P140)"),"")</f>
        <v/>
      </c>
    </row>
    <row r="142" spans="1:41" ht="14">
      <c r="A142" s="44">
        <f ca="1">IFERROR(__xludf.DUMMYFUNCTION("QUERY('Volunteer Survey'!A149)"),43559.4900039699)</f>
        <v>43559.490003969899</v>
      </c>
      <c r="B142" s="42" t="s">
        <v>160</v>
      </c>
      <c r="C142" s="47"/>
      <c r="D142" s="59">
        <v>43605</v>
      </c>
      <c r="E142" s="42" t="s">
        <v>117</v>
      </c>
      <c r="F142" s="42" t="s">
        <v>117</v>
      </c>
      <c r="G142" s="42" t="s">
        <v>251</v>
      </c>
      <c r="H142" s="45" t="s">
        <v>248</v>
      </c>
      <c r="I142" s="45" t="s">
        <v>139</v>
      </c>
      <c r="J142" s="50">
        <v>43712</v>
      </c>
      <c r="K142" s="50"/>
      <c r="L142" s="49" t="str">
        <f ca="1">IFERROR(__xludf.DUMMYFUNCTION("QUERY('Volunteer Survey'!B149)"),"Christina Y Hung")</f>
        <v>Christina Y Hung</v>
      </c>
      <c r="M142" s="49" t="str">
        <f ca="1">IFERROR(__xludf.DUMMYFUNCTION("QUERY('Volunteer Survey'!E149)"),"christina.hung@childrens.harvard.edu")</f>
        <v>christina.hung@childrens.harvard.edu</v>
      </c>
      <c r="N142" s="49" t="str">
        <f ca="1">IFERROR(__xludf.DUMMYFUNCTION("QUERY('Volunteer Survey'!F149)"),"Scientific Researcher")</f>
        <v>Scientific Researcher</v>
      </c>
      <c r="O142" s="42" t="str">
        <f ca="1">IFERROR(__xludf.DUMMYFUNCTION("QUERY('Volunteer Survey'!H149)"),"Comprehensive")</f>
        <v>Comprehensive</v>
      </c>
      <c r="P142" s="49" t="str">
        <f ca="1">IFERROR(__xludf.DUMMYFUNCTION("QUERY('Volunteer Survey'!I149)"),"Variant Pathogenicity")</f>
        <v>Variant Pathogenicity</v>
      </c>
      <c r="Q142" s="54" t="str">
        <f ca="1">IFERROR(__xludf.DUMMYFUNCTION("QUERY('Volunteer Survey'!J149)"),"Gene-Disease Validity")</f>
        <v>Gene-Disease Validity</v>
      </c>
      <c r="R142" s="49" t="str">
        <f ca="1">IFERROR(__xludf.DUMMYFUNCTION("QUERY('Volunteer Survey'!K149)"),"Clinical Actionability")</f>
        <v>Clinical Actionability</v>
      </c>
      <c r="S142" s="49" t="str">
        <f ca="1">IFERROR(__xludf.DUMMYFUNCTION("QUERY('Volunteer Survey'!L149)"),"Dosage Sensitivity")</f>
        <v>Dosage Sensitivity</v>
      </c>
      <c r="T142" s="49" t="str">
        <f ca="1">IFERROR(__xludf.DUMMYFUNCTION("QUERY('Volunteer Survey'!M149)"),"")</f>
        <v/>
      </c>
      <c r="U142" s="58" t="str">
        <f ca="1">IFERROR(__xludf.DUMMYFUNCTION("QUERY('Volunteer Survey'!N149)"),"ABMGG training/fellowships")</f>
        <v>ABMGG training/fellowships</v>
      </c>
      <c r="V142" s="49" t="str">
        <f ca="1">IFERROR(__xludf.DUMMYFUNCTION("QUERY('Volunteer Survey'!O149)"),"Possibly")</f>
        <v>Possibly</v>
      </c>
      <c r="W142" s="60" t="str">
        <f ca="1">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c r="X142" s="58" t="str">
        <f ca="1">IFERROR(__xludf.DUMMYFUNCTION("QUERY('Volunteer Survey'!R149)"),"Maybe -- please contact me with other options, and I will decide based on what is available")</f>
        <v>Maybe -- please contact me with other options, and I will decide based on what is available</v>
      </c>
      <c r="Y142" s="47"/>
      <c r="Z142" s="174">
        <f ca="1">IFERROR(__xludf.DUMMYFUNCTION("QUERY('Volunteer Survey'!A141)"),43550.1773354629)</f>
        <v>43550.177335462897</v>
      </c>
      <c r="AA142" s="175" t="str">
        <f ca="1">IFERROR(__xludf.DUMMYFUNCTION("QUERY('Volunteer Survey'!B141)"),"Venkataswamy Eswarachari")</f>
        <v>Venkataswamy Eswarachari</v>
      </c>
      <c r="AB142" s="175" t="str">
        <f ca="1">IFERROR(__xludf.DUMMYFUNCTION("QUERY('Volunteer Survey'!C141)"),"MedGenome Labs Limited")</f>
        <v>MedGenome Labs Limited</v>
      </c>
      <c r="AC142" s="175" t="str">
        <f ca="1">IFERROR(__xludf.DUMMYFUNCTION("QUERY('Volunteer Survey'!D141)"),"3rd Floor, Narayana Netralaya Building, Narayana Health City, 258/A Hosur Road, Bommasandra, Bangalore, Karnataka, India - 560099")</f>
        <v>3rd Floor, Narayana Netralaya Building, Narayana Health City, 258/A Hosur Road, Bommasandra, Bangalore, Karnataka, India - 560099</v>
      </c>
      <c r="AD142" s="175" t="str">
        <f ca="1">IFERROR(__xludf.DUMMYFUNCTION("QUERY('Volunteer Survey'!E141)"),"venkataswamy@medgenome.com")</f>
        <v>venkataswamy@medgenome.com</v>
      </c>
      <c r="AE142" s="175" t="str">
        <f ca="1">IFERROR(__xludf.DUMMYFUNCTION("QUERY('Volunteer Survey'!F141)"),"Clinical laboratory geneticist")</f>
        <v>Clinical laboratory geneticist</v>
      </c>
      <c r="AF142" s="175" t="str">
        <f ca="1">IFERROR(__xludf.DUMMYFUNCTION("QUERY('Volunteer Survey'!G141)"),"ClinGen affiliated emails and/or newsletters")</f>
        <v>ClinGen affiliated emails and/or newsletters</v>
      </c>
      <c r="AG142" s="175" t="str">
        <f ca="1">IFERROR(__xludf.DUMMYFUNCTION("QUERY('Volunteer Survey'!H141)"),"Comprehensive")</f>
        <v>Comprehensive</v>
      </c>
      <c r="AH142" s="175" t="str">
        <f ca="1">IFERROR(__xludf.DUMMYFUNCTION("QUERY('Volunteer Survey'!I141)"),"Somatic Cancer")</f>
        <v>Somatic Cancer</v>
      </c>
      <c r="AI142" s="175" t="str">
        <f ca="1">IFERROR(__xludf.DUMMYFUNCTION("QUERY('Volunteer Survey'!J141)"),"Gene-Disease Validity")</f>
        <v>Gene-Disease Validity</v>
      </c>
      <c r="AJ142" s="175" t="str">
        <f ca="1">IFERROR(__xludf.DUMMYFUNCTION("QUERY('Volunteer Survey'!K141)"),"Clinical Actionability")</f>
        <v>Clinical Actionability</v>
      </c>
      <c r="AK142" s="175" t="str">
        <f ca="1">IFERROR(__xludf.DUMMYFUNCTION("QUERY('Volunteer Survey'!L141)"),"Variant Pathogenicity")</f>
        <v>Variant Pathogenicity</v>
      </c>
      <c r="AL142" s="175" t="str">
        <f ca="1">IFERROR(__xludf.DUMMYFUNCTION("QUERY('Volunteer Survey'!M141)"),"Dosage Sensitivity")</f>
        <v>Dosage Sensitivity</v>
      </c>
      <c r="AM142" s="175" t="str">
        <f ca="1">IFERROR(__xludf.DUMMYFUNCTION("QUERY('Volunteer Survey'!N141)"),"Not professionally but for clinical reporting I have done some curation. ")</f>
        <v xml:space="preserve">Not professionally but for clinical reporting I have done some curation. </v>
      </c>
      <c r="AN142" s="175" t="str">
        <f ca="1">IFERROR(__xludf.DUMMYFUNCTION("QUERY('Volunteer Survey'!O141)"),"Possibly")</f>
        <v>Possibly</v>
      </c>
      <c r="AO142" s="175" t="str">
        <f ca="1">IFERROR(__xludf.DUMMYFUNCTION("QUERY('Volunteer Survey'!P141)"),"")</f>
        <v/>
      </c>
    </row>
    <row r="143" spans="1:41" ht="70">
      <c r="A143" s="44">
        <f ca="1">IFERROR(__xludf.DUMMYFUNCTION("QUERY('Volunteer Survey'!A150)"),43560.447733368)</f>
        <v>43560.447733367997</v>
      </c>
      <c r="B143" s="42" t="s">
        <v>168</v>
      </c>
      <c r="C143" s="45" t="s">
        <v>351</v>
      </c>
      <c r="D143" s="49"/>
      <c r="E143" s="42" t="s">
        <v>130</v>
      </c>
      <c r="F143" s="42" t="s">
        <v>130</v>
      </c>
      <c r="G143" s="42" t="s">
        <v>19</v>
      </c>
      <c r="H143" s="63"/>
      <c r="I143" s="63" t="s">
        <v>139</v>
      </c>
      <c r="J143" s="49"/>
      <c r="K143" s="49"/>
      <c r="L143" s="49" t="str">
        <f ca="1">IFERROR(__xludf.DUMMYFUNCTION("QUERY('Volunteer Survey'!B150)"),"Alka Chaubey")</f>
        <v>Alka Chaubey</v>
      </c>
      <c r="M143" s="49" t="str">
        <f ca="1">IFERROR(__xludf.DUMMYFUNCTION("QUERY('Volunteer Survey'!E150)"),"")</f>
        <v/>
      </c>
      <c r="N143" s="49" t="str">
        <f ca="1">IFERROR(__xludf.DUMMYFUNCTION("QUERY('Volunteer Survey'!F150)"),"Clinical laboratory geneticist")</f>
        <v>Clinical laboratory geneticist</v>
      </c>
      <c r="O143" s="42" t="str">
        <f ca="1">IFERROR(__xludf.DUMMYFUNCTION("QUERY('Volunteer Survey'!H150)"),"Comprehensive")</f>
        <v>Comprehensive</v>
      </c>
      <c r="P143" s="49" t="str">
        <f ca="1">IFERROR(__xludf.DUMMYFUNCTION("QUERY('Volunteer Survey'!I150)"),"Clinical Actionability")</f>
        <v>Clinical Actionability</v>
      </c>
      <c r="Q143" s="54" t="str">
        <f ca="1">IFERROR(__xludf.DUMMYFUNCTION("QUERY('Volunteer Survey'!J150)"),"Gene-Disease Validity")</f>
        <v>Gene-Disease Validity</v>
      </c>
      <c r="R143" s="49" t="str">
        <f ca="1">IFERROR(__xludf.DUMMYFUNCTION("QUERY('Volunteer Survey'!K150)"),"Variant Pathogenicity")</f>
        <v>Variant Pathogenicity</v>
      </c>
      <c r="S143" s="49" t="str">
        <f ca="1">IFERROR(__xludf.DUMMYFUNCTION("QUERY('Volunteer Survey'!L150)"),"")</f>
        <v/>
      </c>
      <c r="T143" s="49" t="str">
        <f ca="1">IFERROR(__xludf.DUMMYFUNCTION("QUERY('Volunteer Survey'!M150)"),"")</f>
        <v/>
      </c>
      <c r="U143" s="58" t="str">
        <f ca="1">IFERROR(__xludf.DUMMYFUNCTION("QUERY('Volunteer Survey'!N150)"),"Participated in pilot dosage sensitivity effort of analyzing and curating CNVs")</f>
        <v>Participated in pilot dosage sensitivity effort of analyzing and curating CNVs</v>
      </c>
      <c r="V143" s="49" t="str">
        <f ca="1">IFERROR(__xludf.DUMMYFUNCTION("QUERY('Volunteer Survey'!O150)"),"Possibly")</f>
        <v>Possibly</v>
      </c>
      <c r="W143" s="60" t="str">
        <f ca="1">IFERROR(__xludf.DUMMYFUNCTION("QUERY('Volunteer Survey'!P150)"),"Dosage sensitivity and somatic cancer ")</f>
        <v xml:space="preserve">Dosage sensitivity and somatic cancer </v>
      </c>
      <c r="X143" s="58" t="str">
        <f ca="1">IFERROR(__xludf.DUMMYFUNCTION("QUERY('Volunteer Survey'!R150)"),"Maybe -- please contact me with other options, and I will decide based on what is available")</f>
        <v>Maybe -- please contact me with other options, and I will decide based on what is available</v>
      </c>
      <c r="Y143" s="47"/>
      <c r="Z143" s="174">
        <f ca="1">IFERROR(__xludf.DUMMYFUNCTION("QUERY('Volunteer Survey'!A142)"),43551.4242412268)</f>
        <v>43551.424241226799</v>
      </c>
      <c r="AA143" s="175" t="str">
        <f ca="1">IFERROR(__xludf.DUMMYFUNCTION("QUERY('Volunteer Survey'!B142)"),"Tyler Parris")</f>
        <v>Tyler Parris</v>
      </c>
      <c r="AB143" s="175" t="str">
        <f ca="1">IFERROR(__xludf.DUMMYFUNCTION("QUERY('Volunteer Survey'!C142)"),"Massachusetts General Hospital")</f>
        <v>Massachusetts General Hospital</v>
      </c>
      <c r="AC143" s="175" t="str">
        <f ca="1">IFERROR(__xludf.DUMMYFUNCTION("QUERY('Volunteer Survey'!D142)"),"25 Morrissey Blvd, Apt 1236, Boston MA 02125")</f>
        <v>25 Morrissey Blvd, Apt 1236, Boston MA 02125</v>
      </c>
      <c r="AD143" s="175" t="str">
        <f ca="1">IFERROR(__xludf.DUMMYFUNCTION("QUERY('Volunteer Survey'!E142)"),"tylerchristianparrismd@gmail.com")</f>
        <v>tylerchristianparrismd@gmail.com</v>
      </c>
      <c r="AE143" s="175" t="str">
        <f ca="1">IFERROR(__xludf.DUMMYFUNCTION("QUERY('Volunteer Survey'!F142)"),"Post Doc/Resident/Fellow (MD and/or PhD)")</f>
        <v>Post Doc/Resident/Fellow (MD and/or PhD)</v>
      </c>
      <c r="AF143" s="175" t="str">
        <f ca="1">IFERROR(__xludf.DUMMYFUNCTION("QUERY('Volunteer Survey'!G142)"),"GeneDx testing results packet of a patient")</f>
        <v>GeneDx testing results packet of a patient</v>
      </c>
      <c r="AG143" s="175" t="str">
        <f ca="1">IFERROR(__xludf.DUMMYFUNCTION("QUERY('Volunteer Survey'!H142)"),"Baseline")</f>
        <v>Baseline</v>
      </c>
      <c r="AH143" s="175" t="str">
        <f ca="1">IFERROR(__xludf.DUMMYFUNCTION("QUERY('Volunteer Survey'!I142)"),"Clinical Actionability")</f>
        <v>Clinical Actionability</v>
      </c>
      <c r="AI143" s="175" t="str">
        <f ca="1">IFERROR(__xludf.DUMMYFUNCTION("QUERY('Volunteer Survey'!J142)"),"")</f>
        <v/>
      </c>
      <c r="AJ143" s="175" t="str">
        <f ca="1">IFERROR(__xludf.DUMMYFUNCTION("QUERY('Volunteer Survey'!K142)"),"")</f>
        <v/>
      </c>
      <c r="AK143" s="175" t="str">
        <f ca="1">IFERROR(__xludf.DUMMYFUNCTION("QUERY('Volunteer Survey'!L142)"),"")</f>
        <v/>
      </c>
      <c r="AL143" s="175" t="str">
        <f ca="1">IFERROR(__xludf.DUMMYFUNCTION("QUERY('Volunteer Survey'!M142)"),"")</f>
        <v/>
      </c>
      <c r="AM143" s="175" t="str">
        <f ca="1">IFERROR(__xludf.DUMMYFUNCTION("QUERY('Volunteer Survey'!N142)"),"")</f>
        <v/>
      </c>
      <c r="AN143" s="175" t="str">
        <f ca="1">IFERROR(__xludf.DUMMYFUNCTION("QUERY('Volunteer Survey'!O142)"),"Possibly")</f>
        <v>Possibly</v>
      </c>
      <c r="AO143" s="175" t="str">
        <f ca="1">IFERROR(__xludf.DUMMYFUNCTION("QUERY('Volunteer Survey'!P142)"),"")</f>
        <v/>
      </c>
    </row>
    <row r="144" spans="1:41" ht="14">
      <c r="A144" s="44">
        <f ca="1">IFERROR(__xludf.DUMMYFUNCTION("QUERY('Volunteer Survey'!A151)"),43560.4518106481)</f>
        <v>43560.451810648097</v>
      </c>
      <c r="B144" s="42" t="s">
        <v>160</v>
      </c>
      <c r="C144" s="47"/>
      <c r="D144" s="59">
        <v>43605</v>
      </c>
      <c r="E144" s="42" t="s">
        <v>117</v>
      </c>
      <c r="F144" s="42" t="s">
        <v>117</v>
      </c>
      <c r="G144" s="42" t="s">
        <v>251</v>
      </c>
      <c r="H144" s="45" t="s">
        <v>302</v>
      </c>
      <c r="I144" s="45" t="s">
        <v>139</v>
      </c>
      <c r="J144" s="50">
        <v>43712</v>
      </c>
      <c r="K144" s="50"/>
      <c r="L144" s="49" t="str">
        <f ca="1">IFERROR(__xludf.DUMMYFUNCTION("QUERY('Volunteer Survey'!B151)"),"Junyu Zhang")</f>
        <v>Junyu Zhang</v>
      </c>
      <c r="M144" s="49" t="str">
        <f ca="1">IFERROR(__xludf.DUMMYFUNCTION("QUERY('Volunteer Survey'!E151)"),"junyuzhang@hotmail.com")</f>
        <v>junyuzhang@hotmail.com</v>
      </c>
      <c r="N144" s="49" t="str">
        <f ca="1">IFERROR(__xludf.DUMMYFUNCTION("QUERY('Volunteer Survey'!F151)"),"Clinical laboratory geneticist")</f>
        <v>Clinical laboratory geneticist</v>
      </c>
      <c r="O144" s="42" t="str">
        <f ca="1">IFERROR(__xludf.DUMMYFUNCTION("QUERY('Volunteer Survey'!H151)"),"Comprehensive")</f>
        <v>Comprehensive</v>
      </c>
      <c r="P144" s="49" t="str">
        <f ca="1">IFERROR(__xludf.DUMMYFUNCTION("QUERY('Volunteer Survey'!I151)"),"Variant Pathogenicity")</f>
        <v>Variant Pathogenicity</v>
      </c>
      <c r="Q144" s="54" t="str">
        <f ca="1">IFERROR(__xludf.DUMMYFUNCTION("QUERY('Volunteer Survey'!J151)"),"Gene-Disease Validity")</f>
        <v>Gene-Disease Validity</v>
      </c>
      <c r="R144" s="49" t="str">
        <f ca="1">IFERROR(__xludf.DUMMYFUNCTION("QUERY('Volunteer Survey'!K151)"),"Clinical Actionability")</f>
        <v>Clinical Actionability</v>
      </c>
      <c r="S144" s="49" t="str">
        <f ca="1">IFERROR(__xludf.DUMMYFUNCTION("QUERY('Volunteer Survey'!L151)"),"")</f>
        <v/>
      </c>
      <c r="T144" s="49" t="str">
        <f ca="1">IFERROR(__xludf.DUMMYFUNCTION("QUERY('Volunteer Survey'!M151)"),"")</f>
        <v/>
      </c>
      <c r="U144" s="58" t="str">
        <f ca="1">IFERROR(__xludf.DUMMYFUNCTION("QUERY('Volunteer Survey'!N151)"),"Curate more than 1000 variants in Chinese patients ")</f>
        <v xml:space="preserve">Curate more than 1000 variants in Chinese patients </v>
      </c>
      <c r="V144" s="49" t="str">
        <f ca="1">IFERROR(__xludf.DUMMYFUNCTION("QUERY('Volunteer Survey'!O151)"),"Possibly")</f>
        <v>Possibly</v>
      </c>
      <c r="W144" s="60" t="str">
        <f ca="1">IFERROR(__xludf.DUMMYFUNCTION("QUERY('Volunteer Survey'!P151)"),"Yes. Brain Malformations")</f>
        <v>Yes. Brain Malformations</v>
      </c>
      <c r="X144" s="58" t="str">
        <f ca="1">IFERROR(__xludf.DUMMYFUNCTION("QUERY('Volunteer Survey'!R151)"),"Maybe -- please contact me with other options, and I will decide based on what is available")</f>
        <v>Maybe -- please contact me with other options, and I will decide based on what is available</v>
      </c>
      <c r="Y144" s="47"/>
      <c r="Z144" s="174">
        <f ca="1">IFERROR(__xludf.DUMMYFUNCTION("QUERY('Volunteer Survey'!A143)"),43556.9679415162)</f>
        <v>43556.967941516203</v>
      </c>
      <c r="AA144" s="175" t="str">
        <f ca="1">IFERROR(__xludf.DUMMYFUNCTION("QUERY('Volunteer Survey'!B143)"),"Edward Shadiack")</f>
        <v>Edward Shadiack</v>
      </c>
      <c r="AB144" s="175" t="str">
        <f ca="1">IFERROR(__xludf.DUMMYFUNCTION("QUERY('Volunteer Survey'!C143)"),"VA")</f>
        <v>VA</v>
      </c>
      <c r="AC144" s="175" t="str">
        <f ca="1">IFERROR(__xludf.DUMMYFUNCTION("QUERY('Volunteer Survey'!D143)"),"1200 NE Central Ave, Seaside Park, NJ 08752")</f>
        <v>1200 NE Central Ave, Seaside Park, NJ 08752</v>
      </c>
      <c r="AD144" s="175" t="str">
        <f ca="1">IFERROR(__xludf.DUMMYFUNCTION("QUERY('Volunteer Survey'!E143)"),"shadiaec@gmail.com")</f>
        <v>shadiaec@gmail.com</v>
      </c>
      <c r="AE144" s="175" t="str">
        <f ca="1">IFERROR(__xludf.DUMMYFUNCTION("QUERY('Volunteer Survey'!F143)"),"Physician (Non-geneticist)")</f>
        <v>Physician (Non-geneticist)</v>
      </c>
      <c r="AF144" s="175" t="str">
        <f ca="1">IFERROR(__xludf.DUMMYFUNCTION("QUERY('Volunteer Survey'!G143)"),"ClinGen website")</f>
        <v>ClinGen website</v>
      </c>
      <c r="AG144" s="175" t="str">
        <f ca="1">IFERROR(__xludf.DUMMYFUNCTION("QUERY('Volunteer Survey'!H143)"),"Baseline")</f>
        <v>Baseline</v>
      </c>
      <c r="AH144" s="175" t="str">
        <f ca="1">IFERROR(__xludf.DUMMYFUNCTION("QUERY('Volunteer Survey'!I143)"),"Variant Pathogenicity")</f>
        <v>Variant Pathogenicity</v>
      </c>
      <c r="AI144" s="175" t="str">
        <f ca="1">IFERROR(__xludf.DUMMYFUNCTION("QUERY('Volunteer Survey'!J143)"),"Gene-Disease Validity")</f>
        <v>Gene-Disease Validity</v>
      </c>
      <c r="AJ144" s="175" t="str">
        <f ca="1">IFERROR(__xludf.DUMMYFUNCTION("QUERY('Volunteer Survey'!K143)"),"Clinical Actionability")</f>
        <v>Clinical Actionability</v>
      </c>
      <c r="AK144" s="175" t="str">
        <f ca="1">IFERROR(__xludf.DUMMYFUNCTION("QUERY('Volunteer Survey'!L143)"),"Dosage Sensitivity")</f>
        <v>Dosage Sensitivity</v>
      </c>
      <c r="AL144" s="175" t="str">
        <f ca="1">IFERROR(__xludf.DUMMYFUNCTION("QUERY('Volunteer Survey'!M143)"),"Somatic Cancer")</f>
        <v>Somatic Cancer</v>
      </c>
      <c r="AM144" s="175" t="str">
        <f ca="1">IFERROR(__xludf.DUMMYFUNCTION("QUERY('Volunteer Survey'!N143)"),"No experience whatsoever")</f>
        <v>No experience whatsoever</v>
      </c>
      <c r="AN144" s="175" t="str">
        <f ca="1">IFERROR(__xludf.DUMMYFUNCTION("QUERY('Volunteer Survey'!O143)"),"No")</f>
        <v>No</v>
      </c>
      <c r="AO144" s="175" t="str">
        <f ca="1">IFERROR(__xludf.DUMMYFUNCTION("QUERY('Volunteer Survey'!P143)"),"Mitochondrial Diseases")</f>
        <v>Mitochondrial Diseases</v>
      </c>
    </row>
    <row r="145" spans="1:41" ht="14">
      <c r="A145" s="44">
        <f ca="1">IFERROR(__xludf.DUMMYFUNCTION("QUERY('Volunteer Survey'!A152)"),43560.4531269791)</f>
        <v>43560.453126979097</v>
      </c>
      <c r="B145" s="42" t="s">
        <v>108</v>
      </c>
      <c r="C145" s="47"/>
      <c r="D145" s="59">
        <v>43585</v>
      </c>
      <c r="E145" s="42" t="s">
        <v>117</v>
      </c>
      <c r="F145" s="42" t="s">
        <v>117</v>
      </c>
      <c r="G145" s="42" t="s">
        <v>122</v>
      </c>
      <c r="H145" s="45" t="s">
        <v>220</v>
      </c>
      <c r="I145" s="45" t="s">
        <v>139</v>
      </c>
      <c r="J145" s="50">
        <v>43712</v>
      </c>
      <c r="K145" s="50"/>
      <c r="L145" s="49" t="str">
        <f ca="1">IFERROR(__xludf.DUMMYFUNCTION("QUERY('Volunteer Survey'!B152)"),"Jing Zhang")</f>
        <v>Jing Zhang</v>
      </c>
      <c r="M145" s="49" t="str">
        <f ca="1">IFERROR(__xludf.DUMMYFUNCTION("QUERY('Volunteer Survey'!E152)"),"jzhang@wuxinextcode.com")</f>
        <v>jzhang@wuxinextcode.com</v>
      </c>
      <c r="N145" s="49" t="str">
        <f ca="1">IFERROR(__xludf.DUMMYFUNCTION("QUERY('Volunteer Survey'!F152)"),"Clinical laboratory geneticist")</f>
        <v>Clinical laboratory geneticist</v>
      </c>
      <c r="O145" s="42" t="str">
        <f ca="1">IFERROR(__xludf.DUMMYFUNCTION("QUERY('Volunteer Survey'!H152)"),"Comprehensive")</f>
        <v>Comprehensive</v>
      </c>
      <c r="P145" s="49" t="str">
        <f ca="1">IFERROR(__xludf.DUMMYFUNCTION("QUERY('Volunteer Survey'!I152)"),"Gene-Disease Validity")</f>
        <v>Gene-Disease Validity</v>
      </c>
      <c r="Q145" s="54" t="str">
        <f ca="1">IFERROR(__xludf.DUMMYFUNCTION("QUERY('Volunteer Survey'!J152)"),"Variant Pathogenicity")</f>
        <v>Variant Pathogenicity</v>
      </c>
      <c r="R145" s="49" t="str">
        <f ca="1">IFERROR(__xludf.DUMMYFUNCTION("QUERY('Volunteer Survey'!K152)"),"Clinical Actionability")</f>
        <v>Clinical Actionability</v>
      </c>
      <c r="S145" s="49" t="str">
        <f ca="1">IFERROR(__xludf.DUMMYFUNCTION("QUERY('Volunteer Survey'!L152)"),"Somatic Cancer")</f>
        <v>Somatic Cancer</v>
      </c>
      <c r="T145" s="49" t="str">
        <f ca="1">IFERROR(__xludf.DUMMYFUNCTION("QUERY('Volunteer Survey'!M152)"),"")</f>
        <v/>
      </c>
      <c r="U145" s="58" t="str">
        <f ca="1">IFERROR(__xludf.DUMMYFUNCTION("QUERY('Volunteer Survey'!N152)"),"As the director of clinical genomic interpretation division of WuXi NextCODE, I do gene/variant curation on daily basis. ")</f>
        <v xml:space="preserve">As the director of clinical genomic interpretation division of WuXi NextCODE, I do gene/variant curation on daily basis. </v>
      </c>
      <c r="V145" s="49" t="str">
        <f ca="1">IFERROR(__xludf.DUMMYFUNCTION("QUERY('Volunteer Survey'!O152)"),"Possibly")</f>
        <v>Possibly</v>
      </c>
      <c r="W145" s="60" t="str">
        <f ca="1">IFERROR(__xludf.DUMMYFUNCTION("QUERY('Volunteer Survey'!P152)"),"")</f>
        <v/>
      </c>
      <c r="X145" s="58" t="str">
        <f ca="1">IFERROR(__xludf.DUMMYFUNCTION("QUERY('Volunteer Survey'!R152)"),"Yes- I am willing to volunteer with any available ClinGen group")</f>
        <v>Yes- I am willing to volunteer with any available ClinGen group</v>
      </c>
      <c r="Y145" s="47"/>
      <c r="Z145" s="174">
        <f ca="1">IFERROR(__xludf.DUMMYFUNCTION("QUERY('Volunteer Survey'!A144)"),43558.1369910763)</f>
        <v>43558.136991076302</v>
      </c>
      <c r="AA145" s="175" t="str">
        <f ca="1">IFERROR(__xludf.DUMMYFUNCTION("QUERY('Volunteer Survey'!B144)"),"Barbara Vona")</f>
        <v>Barbara Vona</v>
      </c>
      <c r="AB145" s="175" t="str">
        <f ca="1">IFERROR(__xludf.DUMMYFUNCTION("QUERY('Volunteer Survey'!C144)"),"University of Tuebingen, Dept. of Otolaryngology, Hearing Research Centre")</f>
        <v>University of Tuebingen, Dept. of Otolaryngology, Hearing Research Centre</v>
      </c>
      <c r="AC145" s="175" t="str">
        <f ca="1">IFERROR(__xludf.DUMMYFUNCTION("QUERY('Volunteer Survey'!D144)"),"Elfriede-Aulhorn-Str. 5")</f>
        <v>Elfriede-Aulhorn-Str. 5</v>
      </c>
      <c r="AD145" s="175" t="str">
        <f ca="1">IFERROR(__xludf.DUMMYFUNCTION("QUERY('Volunteer Survey'!E144)"),"barbara.vona@uni-tuebingen.de")</f>
        <v>barbara.vona@uni-tuebingen.de</v>
      </c>
      <c r="AE145" s="175" t="str">
        <f ca="1">IFERROR(__xludf.DUMMYFUNCTION("QUERY('Volunteer Survey'!F144)"),"Half variant analyst, half scientific researcher")</f>
        <v>Half variant analyst, half scientific researcher</v>
      </c>
      <c r="AF145" s="175" t="str">
        <f ca="1">IFERROR(__xludf.DUMMYFUNCTION("QUERY('Volunteer Survey'!G144)"),"Networking, Colleagues, Twitter")</f>
        <v>Networking, Colleagues, Twitter</v>
      </c>
      <c r="AG145" s="175" t="str">
        <f ca="1">IFERROR(__xludf.DUMMYFUNCTION("QUERY('Volunteer Survey'!H144)"),"Comprehensive")</f>
        <v>Comprehensive</v>
      </c>
      <c r="AH145" s="175" t="str">
        <f ca="1">IFERROR(__xludf.DUMMYFUNCTION("QUERY('Volunteer Survey'!I144)"),"Variant Pathogenicity")</f>
        <v>Variant Pathogenicity</v>
      </c>
      <c r="AI145" s="175" t="str">
        <f ca="1">IFERROR(__xludf.DUMMYFUNCTION("QUERY('Volunteer Survey'!J144)"),"Gene-Disease Validity")</f>
        <v>Gene-Disease Validity</v>
      </c>
      <c r="AJ145" s="175" t="str">
        <f ca="1">IFERROR(__xludf.DUMMYFUNCTION("QUERY('Volunteer Survey'!K144)"),"")</f>
        <v/>
      </c>
      <c r="AK145" s="175" t="str">
        <f ca="1">IFERROR(__xludf.DUMMYFUNCTION("QUERY('Volunteer Survey'!L144)"),"")</f>
        <v/>
      </c>
      <c r="AL145" s="175" t="str">
        <f ca="1">IFERROR(__xludf.DUMMYFUNCTION("QUERY('Volunteer Survey'!M144)"),"")</f>
        <v/>
      </c>
      <c r="AM145" s="175" t="str">
        <f ca="1">IFERROR(__xludf.DUMMYFUNCTION("QUERY('Volunteer Survey'!N144)"),"LOVD3 variant curation for several hearing loss genes (STRC, GRHL2, CEACAM16, S1PR2)")</f>
        <v>LOVD3 variant curation for several hearing loss genes (STRC, GRHL2, CEACAM16, S1PR2)</v>
      </c>
      <c r="AN145" s="175" t="str">
        <f ca="1">IFERROR(__xludf.DUMMYFUNCTION("QUERY('Volunteer Survey'!O144)"),"Yes")</f>
        <v>Yes</v>
      </c>
      <c r="AO145" s="175" t="str">
        <f ca="1">IFERROR(__xludf.DUMMYFUNCTION("QUERY('Volunteer Survey'!P144)"),"Hearing Loss Variant and Gene Curation Expert Panels")</f>
        <v>Hearing Loss Variant and Gene Curation Expert Panels</v>
      </c>
    </row>
    <row r="146" spans="1:41" ht="14">
      <c r="A146" s="44">
        <f ca="1">IFERROR(__xludf.DUMMYFUNCTION("QUERY('Volunteer Survey'!A153)"),43560.4764596643)</f>
        <v>43560.4764596643</v>
      </c>
      <c r="B146" s="42" t="s">
        <v>168</v>
      </c>
      <c r="C146" s="47"/>
      <c r="D146" s="49"/>
      <c r="E146" s="42" t="s">
        <v>130</v>
      </c>
      <c r="F146" s="42" t="s">
        <v>130</v>
      </c>
      <c r="G146" s="42" t="s">
        <v>122</v>
      </c>
      <c r="H146" s="47"/>
      <c r="I146" s="45" t="s">
        <v>139</v>
      </c>
      <c r="J146" s="49"/>
      <c r="K146" s="49"/>
      <c r="L146" s="49" t="str">
        <f ca="1">IFERROR(__xludf.DUMMYFUNCTION("QUERY('Volunteer Survey'!B153)"),"Mary-Alice Abbott")</f>
        <v>Mary-Alice Abbott</v>
      </c>
      <c r="M146" s="49" t="str">
        <f ca="1">IFERROR(__xludf.DUMMYFUNCTION("QUERY('Volunteer Survey'!E153)"),"Maryalice.abbott@baystatehealth.org")</f>
        <v>Maryalice.abbott@baystatehealth.org</v>
      </c>
      <c r="N146" s="49" t="str">
        <f ca="1">IFERROR(__xludf.DUMMYFUNCTION("QUERY('Volunteer Survey'!F153)"),"Clinical Medical Geneticist")</f>
        <v>Clinical Medical Geneticist</v>
      </c>
      <c r="O146" s="42" t="str">
        <f ca="1">IFERROR(__xludf.DUMMYFUNCTION("QUERY('Volunteer Survey'!H153)"),"Comprehensive")</f>
        <v>Comprehensive</v>
      </c>
      <c r="P146" s="49" t="str">
        <f ca="1">IFERROR(__xludf.DUMMYFUNCTION("QUERY('Volunteer Survey'!I153)"),"Gene-Disease Validity")</f>
        <v>Gene-Disease Validity</v>
      </c>
      <c r="Q146" s="54" t="str">
        <f ca="1">IFERROR(__xludf.DUMMYFUNCTION("QUERY('Volunteer Survey'!J153)"),"Clinical Actionability")</f>
        <v>Clinical Actionability</v>
      </c>
      <c r="R146" s="49" t="str">
        <f ca="1">IFERROR(__xludf.DUMMYFUNCTION("QUERY('Volunteer Survey'!K153)"),"")</f>
        <v/>
      </c>
      <c r="S146" s="49" t="str">
        <f ca="1">IFERROR(__xludf.DUMMYFUNCTION("QUERY('Volunteer Survey'!L153)"),"")</f>
        <v/>
      </c>
      <c r="T146" s="49" t="str">
        <f ca="1">IFERROR(__xludf.DUMMYFUNCTION("QUERY('Volunteer Survey'!M153)"),"")</f>
        <v/>
      </c>
      <c r="U146" s="58" t="str">
        <f ca="1">IFERROR(__xludf.DUMMYFUNCTION("QUERY('Volunteer Survey'!N153)"),"As clinical geneticist I regularly interpret clinical significance of gene variants for my patients but do not have formal variant interpretation experience ")</f>
        <v xml:space="preserve">As clinical geneticist I regularly interpret clinical significance of gene variants for my patients but do not have formal variant interpretation experience </v>
      </c>
      <c r="V146" s="49" t="str">
        <f ca="1">IFERROR(__xludf.DUMMYFUNCTION("QUERY('Volunteer Survey'!O153)"),"No")</f>
        <v>No</v>
      </c>
      <c r="W146" s="60" t="str">
        <f ca="1">IFERROR(__xludf.DUMMYFUNCTION("QUERY('Volunteer Survey'!P153)"),"LSD, ID, actionability")</f>
        <v>LSD, ID, actionability</v>
      </c>
      <c r="X146" s="58" t="str">
        <f ca="1">IFERROR(__xludf.DUMMYFUNCTION("QUERY('Volunteer Survey'!R153)"),"Maybe -- please contact me with other options, and I will decide based on what is available")</f>
        <v>Maybe -- please contact me with other options, and I will decide based on what is available</v>
      </c>
      <c r="Y146" s="47"/>
      <c r="Z146" s="174">
        <f ca="1">IFERROR(__xludf.DUMMYFUNCTION("QUERY('Volunteer Survey'!A145)"),43558.6059017245)</f>
        <v>43558.605901724499</v>
      </c>
      <c r="AA146" s="175" t="str">
        <f ca="1">IFERROR(__xludf.DUMMYFUNCTION("QUERY('Volunteer Survey'!B145)"),"Viridiana Murillo")</f>
        <v>Viridiana Murillo</v>
      </c>
      <c r="AB146" s="175" t="str">
        <f ca="1">IFERROR(__xludf.DUMMYFUNCTION("QUERY('Volunteer Survey'!C145)"),"Keck Graduate Institute")</f>
        <v>Keck Graduate Institute</v>
      </c>
      <c r="AC146" s="175" t="str">
        <f ca="1">IFERROR(__xludf.DUMMYFUNCTION("QUERY('Volunteer Survey'!D145)"),"725 N. Mountain Ave")</f>
        <v>725 N. Mountain Ave</v>
      </c>
      <c r="AD146" s="175" t="str">
        <f ca="1">IFERROR(__xludf.DUMMYFUNCTION("QUERY('Volunteer Survey'!E145)"),"vmurillo18@students.kgi.edu")</f>
        <v>vmurillo18@students.kgi.edu</v>
      </c>
      <c r="AE146" s="175" t="str">
        <f ca="1">IFERROR(__xludf.DUMMYFUNCTION("QUERY('Volunteer Survey'!F145)"),"Graduate Student")</f>
        <v>Graduate Student</v>
      </c>
      <c r="AF146" s="175" t="str">
        <f ca="1">IFERROR(__xludf.DUMMYFUNCTION("QUERY('Volunteer Survey'!G145)"),"Diane Zastrow")</f>
        <v>Diane Zastrow</v>
      </c>
      <c r="AG146" s="175" t="str">
        <f ca="1">IFERROR(__xludf.DUMMYFUNCTION("QUERY('Volunteer Survey'!H145)"),"Comprehensive")</f>
        <v>Comprehensive</v>
      </c>
      <c r="AH146" s="175" t="str">
        <f ca="1">IFERROR(__xludf.DUMMYFUNCTION("QUERY('Volunteer Survey'!I145)"),"Variant Pathogenicity")</f>
        <v>Variant Pathogenicity</v>
      </c>
      <c r="AI146" s="175" t="str">
        <f ca="1">IFERROR(__xludf.DUMMYFUNCTION("QUERY('Volunteer Survey'!J145)"),"")</f>
        <v/>
      </c>
      <c r="AJ146" s="175" t="str">
        <f ca="1">IFERROR(__xludf.DUMMYFUNCTION("QUERY('Volunteer Survey'!K145)"),"")</f>
        <v/>
      </c>
      <c r="AK146" s="175" t="str">
        <f ca="1">IFERROR(__xludf.DUMMYFUNCTION("QUERY('Volunteer Survey'!L145)"),"")</f>
        <v/>
      </c>
      <c r="AL146" s="175" t="str">
        <f ca="1">IFERROR(__xludf.DUMMYFUNCTION("QUERY('Volunteer Survey'!M145)"),"")</f>
        <v/>
      </c>
      <c r="AM146" s="175" t="str">
        <f ca="1">IFERROR(__xludf.DUMMYFUNCTION("QUERY('Volunteer Survey'!N145)"),"We have had some introduction to variant curation using the ACMG guidelines in my Human Genomics course and a training we attended on variant curation. ")</f>
        <v xml:space="preserve">We have had some introduction to variant curation using the ACMG guidelines in my Human Genomics course and a training we attended on variant curation. </v>
      </c>
      <c r="AN146" s="175" t="str">
        <f ca="1">IFERROR(__xludf.DUMMYFUNCTION("QUERY('Volunteer Survey'!O145)"),"Possibly")</f>
        <v>Possibly</v>
      </c>
      <c r="AO146" s="175" t="str">
        <f ca="1">IFERROR(__xludf.DUMMYFUNCTION("QUERY('Volunteer Survey'!P145)"),"Metabolism (PAH) workgroup and/or  Epilepsy work group")</f>
        <v>Metabolism (PAH) workgroup and/or  Epilepsy work group</v>
      </c>
    </row>
    <row r="147" spans="1:41" ht="14">
      <c r="A147" s="44">
        <f ca="1">IFERROR(__xludf.DUMMYFUNCTION("QUERY('Volunteer Survey'!A154)"),43560.5073359838)</f>
        <v>43560.507335983799</v>
      </c>
      <c r="B147" s="42" t="s">
        <v>160</v>
      </c>
      <c r="C147" s="47"/>
      <c r="D147" s="59">
        <v>43605</v>
      </c>
      <c r="E147" s="42" t="s">
        <v>117</v>
      </c>
      <c r="F147" s="42" t="s">
        <v>117</v>
      </c>
      <c r="G147" s="42" t="s">
        <v>251</v>
      </c>
      <c r="H147" s="45" t="s">
        <v>305</v>
      </c>
      <c r="I147" s="45" t="s">
        <v>139</v>
      </c>
      <c r="J147" s="50">
        <v>43712</v>
      </c>
      <c r="K147" s="50"/>
      <c r="L147" s="49" t="str">
        <f ca="1">IFERROR(__xludf.DUMMYFUNCTION("QUERY('Volunteer Survey'!B154)"),"Emily Higgs")</f>
        <v>Emily Higgs</v>
      </c>
      <c r="M147" s="49" t="str">
        <f ca="1">IFERROR(__xludf.DUMMYFUNCTION("QUERY('Volunteer Survey'!E154)"),"ehiggs@stanford.edu")</f>
        <v>ehiggs@stanford.edu</v>
      </c>
      <c r="N147" s="49" t="str">
        <f ca="1">IFERROR(__xludf.DUMMYFUNCTION("QUERY('Volunteer Survey'!F154)"),"Variant Analyst/Scientist - Academic")</f>
        <v>Variant Analyst/Scientist - Academic</v>
      </c>
      <c r="O147" s="42" t="str">
        <f ca="1">IFERROR(__xludf.DUMMYFUNCTION("QUERY('Volunteer Survey'!H154)"),"Comprehensive")</f>
        <v>Comprehensive</v>
      </c>
      <c r="P147" s="49" t="str">
        <f ca="1">IFERROR(__xludf.DUMMYFUNCTION("QUERY('Volunteer Survey'!I154)"),"Variant Pathogenicity")</f>
        <v>Variant Pathogenicity</v>
      </c>
      <c r="Q147" s="54" t="str">
        <f ca="1">IFERROR(__xludf.DUMMYFUNCTION("QUERY('Volunteer Survey'!J154)"),"Gene-Disease Validity")</f>
        <v>Gene-Disease Validity</v>
      </c>
      <c r="R147" s="49" t="str">
        <f ca="1">IFERROR(__xludf.DUMMYFUNCTION("QUERY('Volunteer Survey'!K154)"),"Dosage Sensitivity")</f>
        <v>Dosage Sensitivity</v>
      </c>
      <c r="S147" s="49" t="str">
        <f ca="1">IFERROR(__xludf.DUMMYFUNCTION("QUERY('Volunteer Survey'!L154)"),"")</f>
        <v/>
      </c>
      <c r="T147" s="49" t="str">
        <f ca="1">IFERROR(__xludf.DUMMYFUNCTION("QUERY('Volunteer Survey'!M154)"),"")</f>
        <v/>
      </c>
      <c r="U147" s="58" t="str">
        <f ca="1">IFERROR(__xludf.DUMMYFUNCTION("QUERY('Volunteer Survey'!N154)"),"For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c r="V147" s="49" t="str">
        <f ca="1">IFERROR(__xludf.DUMMYFUNCTION("QUERY('Volunteer Survey'!O154)"),"Possibly")</f>
        <v>Possibly</v>
      </c>
      <c r="W147" s="60" t="str">
        <f ca="1">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c r="X147" s="58" t="str">
        <f ca="1">IFERROR(__xludf.DUMMYFUNCTION("QUERY('Volunteer Survey'!R154)"),"Yes- I am willing to volunteer with any available ClinGen group")</f>
        <v>Yes- I am willing to volunteer with any available ClinGen group</v>
      </c>
      <c r="Y147" s="47"/>
      <c r="Z147" s="174">
        <f ca="1">IFERROR(__xludf.DUMMYFUNCTION("QUERY('Volunteer Survey'!A146)"),43558.6269870023)</f>
        <v>43558.626987002302</v>
      </c>
      <c r="AA147" s="175" t="str">
        <f ca="1">IFERROR(__xludf.DUMMYFUNCTION("QUERY('Volunteer Survey'!B146)"),"Sharon Suchy")</f>
        <v>Sharon Suchy</v>
      </c>
      <c r="AB147" s="175" t="str">
        <f ca="1">IFERROR(__xludf.DUMMYFUNCTION("QUERY('Volunteer Survey'!C146)"),"GeneDx ")</f>
        <v xml:space="preserve">GeneDx </v>
      </c>
      <c r="AC147" s="175" t="str">
        <f ca="1">IFERROR(__xludf.DUMMYFUNCTION("QUERY('Volunteer Survey'!D146)"),"207 Perry Parkway, Gaithersburg, MD")</f>
        <v>207 Perry Parkway, Gaithersburg, MD</v>
      </c>
      <c r="AD147" s="175" t="str">
        <f ca="1">IFERROR(__xludf.DUMMYFUNCTION("QUERY('Volunteer Survey'!E146)"),"ssuchy@genedx.com")</f>
        <v>ssuchy@genedx.com</v>
      </c>
      <c r="AE147" s="175" t="str">
        <f ca="1">IFERROR(__xludf.DUMMYFUNCTION("QUERY('Volunteer Survey'!F146)"),"Clinical laboratory geneticist")</f>
        <v>Clinical laboratory geneticist</v>
      </c>
      <c r="AF147" s="175" t="str">
        <f ca="1">IFERROR(__xludf.DUMMYFUNCTION("QUERY('Volunteer Survey'!G146)"),"Colleagues")</f>
        <v>Colleagues</v>
      </c>
      <c r="AG147" s="175" t="str">
        <f ca="1">IFERROR(__xludf.DUMMYFUNCTION("QUERY('Volunteer Survey'!H146)"),"Comprehensive")</f>
        <v>Comprehensive</v>
      </c>
      <c r="AH147" s="175" t="str">
        <f ca="1">IFERROR(__xludf.DUMMYFUNCTION("QUERY('Volunteer Survey'!I146)"),"Variant Pathogenicity")</f>
        <v>Variant Pathogenicity</v>
      </c>
      <c r="AI147" s="175" t="str">
        <f ca="1">IFERROR(__xludf.DUMMYFUNCTION("QUERY('Volunteer Survey'!J146)"),"Clinical Actionability")</f>
        <v>Clinical Actionability</v>
      </c>
      <c r="AJ147" s="175" t="str">
        <f ca="1">IFERROR(__xludf.DUMMYFUNCTION("QUERY('Volunteer Survey'!K146)"),"Gene-Disease Validity")</f>
        <v>Gene-Disease Validity</v>
      </c>
      <c r="AK147" s="175" t="str">
        <f ca="1">IFERROR(__xludf.DUMMYFUNCTION("QUERY('Volunteer Survey'!L146)"),"")</f>
        <v/>
      </c>
      <c r="AL147" s="175" t="str">
        <f ca="1">IFERROR(__xludf.DUMMYFUNCTION("QUERY('Volunteer Survey'!M146)"),"")</f>
        <v/>
      </c>
      <c r="AM147" s="175" t="str">
        <f ca="1">IFERROR(__xludf.DUMMYFUNCTION("QUERY('Volunteer Survey'!N146)"),"yes, assessing variant pathogenicity /clinical actionability issues")</f>
        <v>yes, assessing variant pathogenicity /clinical actionability issues</v>
      </c>
      <c r="AN147" s="175" t="str">
        <f ca="1">IFERROR(__xludf.DUMMYFUNCTION("QUERY('Volunteer Survey'!O146)"),"Possibly")</f>
        <v>Possibly</v>
      </c>
      <c r="AO147" s="175" t="str">
        <f ca="1">IFERROR(__xludf.DUMMYFUNCTION("QUERY('Volunteer Survey'!P146)"),"lysosomal storage, inborn errors of metabolism")</f>
        <v>lysosomal storage, inborn errors of metabolism</v>
      </c>
    </row>
    <row r="148" spans="1:41" ht="14">
      <c r="A148" s="44">
        <f ca="1">IFERROR(__xludf.DUMMYFUNCTION("QUERY('Volunteer Survey'!A155)"),43560.6503204976)</f>
        <v>43560.650320497603</v>
      </c>
      <c r="B148" s="42" t="s">
        <v>108</v>
      </c>
      <c r="C148" s="73">
        <v>43819</v>
      </c>
      <c r="D148" s="49"/>
      <c r="E148" s="42" t="s">
        <v>130</v>
      </c>
      <c r="F148" s="42" t="s">
        <v>130</v>
      </c>
      <c r="G148" s="42" t="s">
        <v>251</v>
      </c>
      <c r="H148" s="47"/>
      <c r="I148" s="45" t="s">
        <v>139</v>
      </c>
      <c r="J148" s="49"/>
      <c r="K148" s="49"/>
      <c r="L148" s="49" t="str">
        <f ca="1">IFERROR(__xludf.DUMMYFUNCTION("QUERY('Volunteer Survey'!B155)"),"Matt Wright")</f>
        <v>Matt Wright</v>
      </c>
      <c r="M148" s="49" t="str">
        <f ca="1">IFERROR(__xludf.DUMMYFUNCTION("QUERY('Volunteer Survey'!E155)"),"wrightmw@stanford.edu")</f>
        <v>wrightmw@stanford.edu</v>
      </c>
      <c r="N148" s="49" t="str">
        <f ca="1">IFERROR(__xludf.DUMMYFUNCTION("QUERY('Volunteer Survey'!F155)"),"Biocurator")</f>
        <v>Biocurator</v>
      </c>
      <c r="O148" s="42" t="str">
        <f ca="1">IFERROR(__xludf.DUMMYFUNCTION("QUERY('Volunteer Survey'!H155)"),"Comprehensive")</f>
        <v>Comprehensive</v>
      </c>
      <c r="P148" s="49" t="str">
        <f ca="1">IFERROR(__xludf.DUMMYFUNCTION("QUERY('Volunteer Survey'!I155)"),"Variant Pathogenicity")</f>
        <v>Variant Pathogenicity</v>
      </c>
      <c r="Q148" s="54" t="str">
        <f ca="1">IFERROR(__xludf.DUMMYFUNCTION("QUERY('Volunteer Survey'!J155)"),"")</f>
        <v/>
      </c>
      <c r="R148" s="49" t="str">
        <f ca="1">IFERROR(__xludf.DUMMYFUNCTION("QUERY('Volunteer Survey'!K155)"),"")</f>
        <v/>
      </c>
      <c r="S148" s="49" t="str">
        <f ca="1">IFERROR(__xludf.DUMMYFUNCTION("QUERY('Volunteer Survey'!L155)"),"")</f>
        <v/>
      </c>
      <c r="T148" s="49" t="str">
        <f ca="1">IFERROR(__xludf.DUMMYFUNCTION("QUERY('Volunteer Survey'!M155)"),"")</f>
        <v/>
      </c>
      <c r="U148" s="58" t="str">
        <f ca="1">IFERROR(__xludf.DUMMYFUNCTION("QUERY('Volunteer Survey'!N155)"),"Most of my experience is gene-level curation but I’m especially interested in the variant curator’s experience")</f>
        <v>Most of my experience is gene-level curation but I’m especially interested in the variant curator’s experience</v>
      </c>
      <c r="V148" s="49" t="str">
        <f ca="1">IFERROR(__xludf.DUMMYFUNCTION("QUERY('Volunteer Survey'!O155)"),"No")</f>
        <v>No</v>
      </c>
      <c r="W148" s="60" t="str">
        <f ca="1">IFERROR(__xludf.DUMMYFUNCTION("QUERY('Volunteer Survey'!P155)"),"Hearing Loss or Brain Malformations or Cardiomyopathy ")</f>
        <v xml:space="preserve">Hearing Loss or Brain Malformations or Cardiomyopathy </v>
      </c>
      <c r="X148" s="58" t="str">
        <f ca="1">IFERROR(__xludf.DUMMYFUNCTION("QUERY('Volunteer Survey'!R155)"),"Maybe -- please contact me with other options, and I will decide based on what is available")</f>
        <v>Maybe -- please contact me with other options, and I will decide based on what is available</v>
      </c>
      <c r="Y148" s="47"/>
      <c r="Z148" s="174">
        <f ca="1">IFERROR(__xludf.DUMMYFUNCTION("QUERY('Volunteer Survey'!A147)"),43558.9757799768)</f>
        <v>43558.975779976798</v>
      </c>
      <c r="AA148" s="175" t="str">
        <f ca="1">IFERROR(__xludf.DUMMYFUNCTION("QUERY('Volunteer Survey'!B147)"),"GIFTY BHAT")</f>
        <v>GIFTY BHAT</v>
      </c>
      <c r="AB148" s="175" t="str">
        <f ca="1">IFERROR(__xludf.DUMMYFUNCTION("QUERY('Volunteer Survey'!C147)"),"University of Illinois at Chicago")</f>
        <v>University of Illinois at Chicago</v>
      </c>
      <c r="AC148" s="175" t="str">
        <f ca="1">IFERROR(__xludf.DUMMYFUNCTION("QUERY('Volunteer Survey'!D147)"),"41 E 8th st apt 3202 chicago IL 60605")</f>
        <v>41 E 8th st apt 3202 chicago IL 60605</v>
      </c>
      <c r="AD148" s="175" t="str">
        <f ca="1">IFERROR(__xludf.DUMMYFUNCTION("QUERY('Volunteer Survey'!E147)"),"drgiftybhat@gmail.com")</f>
        <v>drgiftybhat@gmail.com</v>
      </c>
      <c r="AE148" s="175" t="str">
        <f ca="1">IFERROR(__xludf.DUMMYFUNCTION("QUERY('Volunteer Survey'!F147)"),"Clinical Medical Geneticist")</f>
        <v>Clinical Medical Geneticist</v>
      </c>
      <c r="AF148" s="175" t="str">
        <f ca="1">IFERROR(__xludf.DUMMYFUNCTION("QUERY('Volunteer Survey'!G147)"),"ACMG Conference 2019, ClinGen conference advertisements (i.e. booth, workshop, presentation)")</f>
        <v>ACMG Conference 2019, ClinGen conference advertisements (i.e. booth, workshop, presentation)</v>
      </c>
      <c r="AG148" s="175" t="str">
        <f ca="1">IFERROR(__xludf.DUMMYFUNCTION("QUERY('Volunteer Survey'!H147)"),"Comprehensive")</f>
        <v>Comprehensive</v>
      </c>
      <c r="AH148" s="175" t="str">
        <f ca="1">IFERROR(__xludf.DUMMYFUNCTION("QUERY('Volunteer Survey'!I147)"),"Gene-Disease Validity")</f>
        <v>Gene-Disease Validity</v>
      </c>
      <c r="AI148" s="175" t="str">
        <f ca="1">IFERROR(__xludf.DUMMYFUNCTION("QUERY('Volunteer Survey'!J147)"),"Variant Pathogenicity")</f>
        <v>Variant Pathogenicity</v>
      </c>
      <c r="AJ148" s="175" t="str">
        <f ca="1">IFERROR(__xludf.DUMMYFUNCTION("QUERY('Volunteer Survey'!K147)"),"Clinical Actionability")</f>
        <v>Clinical Actionability</v>
      </c>
      <c r="AK148" s="175" t="str">
        <f ca="1">IFERROR(__xludf.DUMMYFUNCTION("QUERY('Volunteer Survey'!L147)"),"Dosage Sensitivity")</f>
        <v>Dosage Sensitivity</v>
      </c>
      <c r="AL148" s="175" t="str">
        <f ca="1">IFERROR(__xludf.DUMMYFUNCTION("QUERY('Volunteer Survey'!M147)"),"Somatic Cancer")</f>
        <v>Somatic Cancer</v>
      </c>
      <c r="AM148" s="175" t="str">
        <f ca="1">IFERROR(__xludf.DUMMYFUNCTION("QUERY('Volunteer Survey'!N147)"),"Research activity for 6 months for neurodevelopmental disorders in consanguineous population")</f>
        <v>Research activity for 6 months for neurodevelopmental disorders in consanguineous population</v>
      </c>
      <c r="AN148" s="175" t="str">
        <f ca="1">IFERROR(__xludf.DUMMYFUNCTION("QUERY('Volunteer Survey'!O147)"),"Yes")</f>
        <v>Yes</v>
      </c>
      <c r="AO148" s="175" t="str">
        <f ca="1">IFERROR(__xludf.DUMMYFUNCTION("QUERY('Volunteer Survey'!P147)"),"Neurodevelopmental/intellectual disability, Rett-Angelman syndrome, PTEN related disorders")</f>
        <v>Neurodevelopmental/intellectual disability, Rett-Angelman syndrome, PTEN related disorders</v>
      </c>
    </row>
    <row r="149" spans="1:41" ht="14">
      <c r="A149" s="44">
        <f ca="1">IFERROR(__xludf.DUMMYFUNCTION("QUERY('Volunteer Survey'!A156)"),43560.8008204513)</f>
        <v>43560.800820451303</v>
      </c>
      <c r="B149" s="42" t="s">
        <v>125</v>
      </c>
      <c r="C149" s="47"/>
      <c r="D149" s="43">
        <v>43570</v>
      </c>
      <c r="E149" s="42" t="s">
        <v>117</v>
      </c>
      <c r="F149" s="42" t="s">
        <v>117</v>
      </c>
      <c r="G149" s="42" t="s">
        <v>122</v>
      </c>
      <c r="H149" s="45" t="s">
        <v>220</v>
      </c>
      <c r="I149" s="45" t="s">
        <v>139</v>
      </c>
      <c r="J149" s="50">
        <v>43712</v>
      </c>
      <c r="K149" s="50"/>
      <c r="L149" s="49" t="str">
        <f ca="1">IFERROR(__xludf.DUMMYFUNCTION("QUERY('Volunteer Survey'!B156)"),"Samantha Chill")</f>
        <v>Samantha Chill</v>
      </c>
      <c r="M149" s="49" t="str">
        <f ca="1">IFERROR(__xludf.DUMMYFUNCTION("QUERY('Volunteer Survey'!E156)"),"slsevilla@gmail.com")</f>
        <v>slsevilla@gmail.com</v>
      </c>
      <c r="N149" s="49" t="str">
        <f ca="1">IFERROR(__xludf.DUMMYFUNCTION("QUERY('Volunteer Survey'!F156)"),"Graduate Student")</f>
        <v>Graduate Student</v>
      </c>
      <c r="O149" s="42" t="str">
        <f ca="1">IFERROR(__xludf.DUMMYFUNCTION("QUERY('Volunteer Survey'!H156)"),"Comprehensive")</f>
        <v>Comprehensive</v>
      </c>
      <c r="P149" s="49" t="str">
        <f ca="1">IFERROR(__xludf.DUMMYFUNCTION("QUERY('Volunteer Survey'!I156)"),"Gene-Disease Validity")</f>
        <v>Gene-Disease Validity</v>
      </c>
      <c r="Q149" s="54" t="str">
        <f ca="1">IFERROR(__xludf.DUMMYFUNCTION("QUERY('Volunteer Survey'!J156)"),"Variant Pathogenicity")</f>
        <v>Variant Pathogenicity</v>
      </c>
      <c r="R149" s="49" t="str">
        <f ca="1">IFERROR(__xludf.DUMMYFUNCTION("QUERY('Volunteer Survey'!K156)"),"Somatic Cancer")</f>
        <v>Somatic Cancer</v>
      </c>
      <c r="S149" s="49" t="str">
        <f ca="1">IFERROR(__xludf.DUMMYFUNCTION("QUERY('Volunteer Survey'!L156)"),"Dosage Sensitivity")</f>
        <v>Dosage Sensitivity</v>
      </c>
      <c r="T149" s="49" t="str">
        <f ca="1">IFERROR(__xludf.DUMMYFUNCTION("QUERY('Volunteer Survey'!M156)"),"Clinical Actionability")</f>
        <v>Clinical Actionability</v>
      </c>
      <c r="U149" s="58" t="str">
        <f ca="1">IFERROR(__xludf.DUMMYFUNCTION("QUERY('Volunteer Survey'!N156)"),"")</f>
        <v/>
      </c>
      <c r="V149" s="49" t="str">
        <f ca="1">IFERROR(__xludf.DUMMYFUNCTION("QUERY('Volunteer Survey'!O156)"),"Possibly")</f>
        <v>Possibly</v>
      </c>
      <c r="W149" s="60" t="str">
        <f ca="1">IFERROR(__xludf.DUMMYFUNCTION("QUERY('Volunteer Survey'!P156)"),"")</f>
        <v/>
      </c>
      <c r="X149" s="58" t="str">
        <f ca="1">IFERROR(__xludf.DUMMYFUNCTION("QUERY('Volunteer Survey'!R156)"),"Maybe -- please contact me with other options, and I will decide based on what is available")</f>
        <v>Maybe -- please contact me with other options, and I will decide based on what is available</v>
      </c>
      <c r="Y149" s="47"/>
      <c r="Z149" s="174">
        <f ca="1">IFERROR(__xludf.DUMMYFUNCTION("QUERY('Volunteer Survey'!A148)"),43559.4506282291)</f>
        <v>43559.450628229097</v>
      </c>
      <c r="AA149" s="175" t="str">
        <f ca="1">IFERROR(__xludf.DUMMYFUNCTION("QUERY('Volunteer Survey'!B148)"),"Theodore E. Wilson")</f>
        <v>Theodore E. Wilson</v>
      </c>
      <c r="AB149" s="175" t="str">
        <f ca="1">IFERROR(__xludf.DUMMYFUNCTION("QUERY('Volunteer Survey'!C148)"),"Indiana University / Riley Children’s Hospital")</f>
        <v>Indiana University / Riley Children’s Hospital</v>
      </c>
      <c r="AC149" s="175" t="str">
        <f ca="1">IFERROR(__xludf.DUMMYFUNCTION("QUERY('Volunteer Survey'!D148)"),"974 West Walnut, Indianapolis, IN 46202")</f>
        <v>974 West Walnut, Indianapolis, IN 46202</v>
      </c>
      <c r="AD149" s="175" t="str">
        <f ca="1">IFERROR(__xludf.DUMMYFUNCTION("QUERY('Volunteer Survey'!E148)"),"theowils@iu.edu")</f>
        <v>theowils@iu.edu</v>
      </c>
      <c r="AE149" s="175" t="str">
        <f ca="1">IFERROR(__xludf.DUMMYFUNCTION("QUERY('Volunteer Survey'!F148)"),"Clinical Medical Geneticist")</f>
        <v>Clinical Medical Geneticist</v>
      </c>
      <c r="AF149" s="175" t="str">
        <f ca="1">IFERROR(__xludf.DUMMYFUNCTION("QUERY('Volunteer Survey'!G148)"),"ACMG Conference 2019, Colleagues, Suggestion from mentor")</f>
        <v>ACMG Conference 2019, Colleagues, Suggestion from mentor</v>
      </c>
      <c r="AG149" s="175" t="str">
        <f ca="1">IFERROR(__xludf.DUMMYFUNCTION("QUERY('Volunteer Survey'!H148)"),"Comprehensive")</f>
        <v>Comprehensive</v>
      </c>
      <c r="AH149" s="175" t="str">
        <f ca="1">IFERROR(__xludf.DUMMYFUNCTION("QUERY('Volunteer Survey'!I148)"),"Variant Pathogenicity")</f>
        <v>Variant Pathogenicity</v>
      </c>
      <c r="AI149" s="175" t="str">
        <f ca="1">IFERROR(__xludf.DUMMYFUNCTION("QUERY('Volunteer Survey'!J148)"),"Gene-Disease Validity")</f>
        <v>Gene-Disease Validity</v>
      </c>
      <c r="AJ149" s="175" t="str">
        <f ca="1">IFERROR(__xludf.DUMMYFUNCTION("QUERY('Volunteer Survey'!K148)"),"")</f>
        <v/>
      </c>
      <c r="AK149" s="175" t="str">
        <f ca="1">IFERROR(__xludf.DUMMYFUNCTION("QUERY('Volunteer Survey'!L148)"),"")</f>
        <v/>
      </c>
      <c r="AL149" s="175" t="str">
        <f ca="1">IFERROR(__xludf.DUMMYFUNCTION("QUERY('Volunteer Survey'!M148)"),"")</f>
        <v/>
      </c>
      <c r="AM149" s="175" t="str">
        <f ca="1">IFERROR(__xludf.DUMMYFUNCTION("QUERY('Volunteer Survey'!N148)"),"During my fellowship I worked closely with ARUP Molecular geneticists to call variant pathogenicity based on the 2015 criteria.")</f>
        <v>During my fellowship I worked closely with ARUP Molecular geneticists to call variant pathogenicity based on the 2015 criteria.</v>
      </c>
      <c r="AN149" s="175" t="str">
        <f ca="1">IFERROR(__xludf.DUMMYFUNCTION("QUERY('Volunteer Survey'!O148)"),"No")</f>
        <v>No</v>
      </c>
      <c r="AO149" s="175" t="str">
        <f ca="1">IFERROR(__xludf.DUMMYFUNCTION("QUERY('Volunteer Survey'!P148)"),"cardiomyopathy")</f>
        <v>cardiomyopathy</v>
      </c>
    </row>
    <row r="150" spans="1:41" ht="14">
      <c r="A150" s="44">
        <f ca="1">IFERROR(__xludf.DUMMYFUNCTION("QUERY('Volunteer Survey'!A157)"),43560.8420587384)</f>
        <v>43560.842058738403</v>
      </c>
      <c r="B150" s="42" t="s">
        <v>108</v>
      </c>
      <c r="C150" s="47"/>
      <c r="D150" s="59"/>
      <c r="E150" s="42" t="s">
        <v>130</v>
      </c>
      <c r="F150" s="42" t="s">
        <v>130</v>
      </c>
      <c r="G150" s="42" t="s">
        <v>202</v>
      </c>
      <c r="H150" s="47"/>
      <c r="I150" s="45" t="s">
        <v>139</v>
      </c>
      <c r="J150" s="49"/>
      <c r="K150" s="49"/>
      <c r="L150" s="49" t="str">
        <f ca="1">IFERROR(__xludf.DUMMYFUNCTION("QUERY('Volunteer Survey'!B157)"),"Kristin Maloney")</f>
        <v>Kristin Maloney</v>
      </c>
      <c r="M150" s="49" t="str">
        <f ca="1">IFERROR(__xludf.DUMMYFUNCTION("QUERY('Volunteer Survey'!E157)"),"kmaloney1@som.umaryland.edu")</f>
        <v>kmaloney1@som.umaryland.edu</v>
      </c>
      <c r="N150" s="49" t="str">
        <f ca="1">IFERROR(__xludf.DUMMYFUNCTION("QUERY('Volunteer Survey'!F157)"),"Genetic counselor")</f>
        <v>Genetic counselor</v>
      </c>
      <c r="O150" s="42" t="str">
        <f ca="1">IFERROR(__xludf.DUMMYFUNCTION("QUERY('Volunteer Survey'!H157)"),"Baseline")</f>
        <v>Baseline</v>
      </c>
      <c r="P150" s="49" t="str">
        <f ca="1">IFERROR(__xludf.DUMMYFUNCTION("QUERY('Volunteer Survey'!I157)"),"Somatic Cancer")</f>
        <v>Somatic Cancer</v>
      </c>
      <c r="Q150" s="54" t="str">
        <f ca="1">IFERROR(__xludf.DUMMYFUNCTION("QUERY('Volunteer Survey'!J157)"),"")</f>
        <v/>
      </c>
      <c r="R150" s="49" t="str">
        <f ca="1">IFERROR(__xludf.DUMMYFUNCTION("QUERY('Volunteer Survey'!K157)"),"")</f>
        <v/>
      </c>
      <c r="S150" s="49" t="str">
        <f ca="1">IFERROR(__xludf.DUMMYFUNCTION("QUERY('Volunteer Survey'!L157)"),"")</f>
        <v/>
      </c>
      <c r="T150" s="49" t="str">
        <f ca="1">IFERROR(__xludf.DUMMYFUNCTION("QUERY('Volunteer Survey'!M157)"),"")</f>
        <v/>
      </c>
      <c r="U150" s="58" t="str">
        <f ca="1">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V150" s="49" t="str">
        <f ca="1">IFERROR(__xludf.DUMMYFUNCTION("QUERY('Volunteer Survey'!O157)"),"No")</f>
        <v>No</v>
      </c>
      <c r="W150" s="60" t="str">
        <f ca="1">IFERROR(__xludf.DUMMYFUNCTION("QUERY('Volunteer Survey'!P157)"),"Somatic cancer (am already on the monogenic diabetes expert panel)")</f>
        <v>Somatic cancer (am already on the monogenic diabetes expert panel)</v>
      </c>
      <c r="X150" s="58" t="str">
        <f ca="1">IFERROR(__xludf.DUMMYFUNCTION("QUERY('Volunteer Survey'!R157)"),"No - I am only interested in the group(s) I previously indicated")</f>
        <v>No - I am only interested in the group(s) I previously indicated</v>
      </c>
      <c r="Y150" s="47"/>
      <c r="Z150" s="174">
        <f ca="1">IFERROR(__xludf.DUMMYFUNCTION("QUERY('Volunteer Survey'!A149)"),43559.4900039699)</f>
        <v>43559.490003969899</v>
      </c>
      <c r="AA150" s="175" t="str">
        <f ca="1">IFERROR(__xludf.DUMMYFUNCTION("QUERY('Volunteer Survey'!B149)"),"Christina Y Hung")</f>
        <v>Christina Y Hung</v>
      </c>
      <c r="AB150" s="175" t="str">
        <f ca="1">IFERROR(__xludf.DUMMYFUNCTION("QUERY('Volunteer Survey'!C149)"),"Boston Children's Hospital")</f>
        <v>Boston Children's Hospital</v>
      </c>
      <c r="AC150" s="175" t="str">
        <f ca="1">IFERROR(__xludf.DUMMYFUNCTION("QUERY('Volunteer Survey'!D149)"),"3 Blackfan Circle, Boston, MA 02115")</f>
        <v>3 Blackfan Circle, Boston, MA 02115</v>
      </c>
      <c r="AD150" s="175" t="str">
        <f ca="1">IFERROR(__xludf.DUMMYFUNCTION("QUERY('Volunteer Survey'!E149)"),"christina.hung@childrens.harvard.edu")</f>
        <v>christina.hung@childrens.harvard.edu</v>
      </c>
      <c r="AE150" s="175" t="str">
        <f ca="1">IFERROR(__xludf.DUMMYFUNCTION("QUERY('Volunteer Survey'!F149)"),"Scientific Researcher")</f>
        <v>Scientific Researcher</v>
      </c>
      <c r="AF150" s="175" t="str">
        <f ca="1">IFERROR(__xludf.DUMMYFUNCTION("QUERY('Volunteer Survey'!G149)"),"ACMG Conference 2019, Colleagues")</f>
        <v>ACMG Conference 2019, Colleagues</v>
      </c>
      <c r="AG150" s="175" t="str">
        <f ca="1">IFERROR(__xludf.DUMMYFUNCTION("QUERY('Volunteer Survey'!H149)"),"Comprehensive")</f>
        <v>Comprehensive</v>
      </c>
      <c r="AH150" s="175" t="str">
        <f ca="1">IFERROR(__xludf.DUMMYFUNCTION("QUERY('Volunteer Survey'!I149)"),"Variant Pathogenicity")</f>
        <v>Variant Pathogenicity</v>
      </c>
      <c r="AI150" s="175" t="str">
        <f ca="1">IFERROR(__xludf.DUMMYFUNCTION("QUERY('Volunteer Survey'!J149)"),"Gene-Disease Validity")</f>
        <v>Gene-Disease Validity</v>
      </c>
      <c r="AJ150" s="175" t="str">
        <f ca="1">IFERROR(__xludf.DUMMYFUNCTION("QUERY('Volunteer Survey'!K149)"),"Clinical Actionability")</f>
        <v>Clinical Actionability</v>
      </c>
      <c r="AK150" s="175" t="str">
        <f ca="1">IFERROR(__xludf.DUMMYFUNCTION("QUERY('Volunteer Survey'!L149)"),"Dosage Sensitivity")</f>
        <v>Dosage Sensitivity</v>
      </c>
      <c r="AL150" s="175" t="str">
        <f ca="1">IFERROR(__xludf.DUMMYFUNCTION("QUERY('Volunteer Survey'!M149)"),"")</f>
        <v/>
      </c>
      <c r="AM150" s="175" t="str">
        <f ca="1">IFERROR(__xludf.DUMMYFUNCTION("QUERY('Volunteer Survey'!N149)"),"ABMGG training/fellowships")</f>
        <v>ABMGG training/fellowships</v>
      </c>
      <c r="AN150" s="175" t="str">
        <f ca="1">IFERROR(__xludf.DUMMYFUNCTION("QUERY('Volunteer Survey'!O149)"),"Possibly")</f>
        <v>Possibly</v>
      </c>
      <c r="AO150" s="175" t="str">
        <f ca="1">IFERROR(__xludf.DUMMYFUNCTION("QUERY('Volunteer Survey'!P149)"),"Inborn error of Metabolism, Lysosomal Storage Disorders, Aminoacidopathy; have talked to Meredith Weaver regarding options of joining Metabolism Workgroup")</f>
        <v>Inborn error of Metabolism, Lysosomal Storage Disorders, Aminoacidopathy; have talked to Meredith Weaver regarding options of joining Metabolism Workgroup</v>
      </c>
    </row>
    <row r="151" spans="1:41" ht="14">
      <c r="A151" s="44">
        <f ca="1">IFERROR(__xludf.DUMMYFUNCTION("QUERY('Volunteer Survey'!A158)"),43560.9882557638)</f>
        <v>43560.988255763797</v>
      </c>
      <c r="B151" s="42" t="s">
        <v>108</v>
      </c>
      <c r="C151" s="47"/>
      <c r="D151" s="59">
        <v>43585</v>
      </c>
      <c r="E151" s="42" t="s">
        <v>117</v>
      </c>
      <c r="F151" s="42" t="s">
        <v>117</v>
      </c>
      <c r="G151" s="42" t="s">
        <v>122</v>
      </c>
      <c r="H151" s="45" t="s">
        <v>197</v>
      </c>
      <c r="I151" s="45" t="s">
        <v>139</v>
      </c>
      <c r="J151" s="50">
        <v>43712</v>
      </c>
      <c r="K151" s="50"/>
      <c r="L151" s="49" t="str">
        <f ca="1">IFERROR(__xludf.DUMMYFUNCTION("QUERY('Volunteer Survey'!B158)"),"HECTOR RODRIGO MENDEZ")</f>
        <v>HECTOR RODRIGO MENDEZ</v>
      </c>
      <c r="M151" s="49" t="str">
        <f ca="1">IFERROR(__xludf.DUMMYFUNCTION("QUERY('Volunteer Survey'!E158)"),"rodrigomendezh@gmail.com")</f>
        <v>rodrigomendezh@gmail.com</v>
      </c>
      <c r="N151" s="49" t="str">
        <f ca="1">IFERROR(__xludf.DUMMYFUNCTION("QUERY('Volunteer Survey'!F158)"),"Clinical Medical Geneticist")</f>
        <v>Clinical Medical Geneticist</v>
      </c>
      <c r="O151" s="42" t="str">
        <f ca="1">IFERROR(__xludf.DUMMYFUNCTION("QUERY('Volunteer Survey'!H158)"),"Comprehensive")</f>
        <v>Comprehensive</v>
      </c>
      <c r="P151" s="49" t="str">
        <f ca="1">IFERROR(__xludf.DUMMYFUNCTION("QUERY('Volunteer Survey'!I158)"),"Gene-Disease Validity")</f>
        <v>Gene-Disease Validity</v>
      </c>
      <c r="Q151" s="54" t="str">
        <f ca="1">IFERROR(__xludf.DUMMYFUNCTION("QUERY('Volunteer Survey'!J158)"),"Variant Pathogenicity")</f>
        <v>Variant Pathogenicity</v>
      </c>
      <c r="R151" s="49" t="str">
        <f ca="1">IFERROR(__xludf.DUMMYFUNCTION("QUERY('Volunteer Survey'!K158)"),"Clinical Actionability")</f>
        <v>Clinical Actionability</v>
      </c>
      <c r="S151" s="49" t="str">
        <f ca="1">IFERROR(__xludf.DUMMYFUNCTION("QUERY('Volunteer Survey'!L158)"),"")</f>
        <v/>
      </c>
      <c r="T151" s="49" t="str">
        <f ca="1">IFERROR(__xludf.DUMMYFUNCTION("QUERY('Volunteer Survey'!M158)"),"")</f>
        <v/>
      </c>
      <c r="U151" s="58" t="str">
        <f ca="1">IFERROR(__xludf.DUMMYFUNCTION("QUERY('Volunteer Survey'!N158)"),"My Master´s thesis project was about the utility of whole Exome sequencing in some patient in the NICU.")</f>
        <v>My Master´s thesis project was about the utility of whole Exome sequencing in some patient in the NICU.</v>
      </c>
      <c r="V151" s="49" t="str">
        <f ca="1">IFERROR(__xludf.DUMMYFUNCTION("QUERY('Volunteer Survey'!O158)"),"Possibly")</f>
        <v>Possibly</v>
      </c>
      <c r="W151" s="60" t="str">
        <f ca="1">IFERROR(__xludf.DUMMYFUNCTION("QUERY('Volunteer Survey'!P158)"),"Intellectual Disability and Autism, RASopathy")</f>
        <v>Intellectual Disability and Autism, RASopathy</v>
      </c>
      <c r="X151" s="58" t="str">
        <f ca="1">IFERROR(__xludf.DUMMYFUNCTION("QUERY('Volunteer Survey'!R158)"),"Yes- I am willing to volunteer with any available ClinGen group")</f>
        <v>Yes- I am willing to volunteer with any available ClinGen group</v>
      </c>
      <c r="Y151" s="47"/>
      <c r="Z151" s="174">
        <f ca="1">IFERROR(__xludf.DUMMYFUNCTION("QUERY('Volunteer Survey'!A150)"),43560.447733368)</f>
        <v>43560.447733367997</v>
      </c>
      <c r="AA151" s="175" t="str">
        <f ca="1">IFERROR(__xludf.DUMMYFUNCTION("QUERY('Volunteer Survey'!B150)"),"Alka Chaubey")</f>
        <v>Alka Chaubey</v>
      </c>
      <c r="AB151" s="175" t="str">
        <f ca="1">IFERROR(__xludf.DUMMYFUNCTION("QUERY('Volunteer Survey'!C150)"),"Perkin Elmer Genomics ")</f>
        <v xml:space="preserve">Perkin Elmer Genomics </v>
      </c>
      <c r="AC151" s="175" t="str">
        <f ca="1">IFERROR(__xludf.DUMMYFUNCTION("QUERY('Volunteer Survey'!D150)"),"103 Lauren circle , Greenwood 29649")</f>
        <v>103 Lauren circle , Greenwood 29649</v>
      </c>
      <c r="AD151" s="175" t="str">
        <f ca="1">IFERROR(__xludf.DUMMYFUNCTION("QUERY('Volunteer Survey'!E150)"),"")</f>
        <v/>
      </c>
      <c r="AE151" s="175" t="str">
        <f ca="1">IFERROR(__xludf.DUMMYFUNCTION("QUERY('Volunteer Survey'!F150)"),"Clinical laboratory geneticist")</f>
        <v>Clinical laboratory geneticist</v>
      </c>
      <c r="AF151" s="175" t="str">
        <f ca="1">IFERROR(__xludf.DUMMYFUNCTION("QUERY('Volunteer Survey'!G150)"),"ACMG Conference 2019")</f>
        <v>ACMG Conference 2019</v>
      </c>
      <c r="AG151" s="175" t="str">
        <f ca="1">IFERROR(__xludf.DUMMYFUNCTION("QUERY('Volunteer Survey'!H150)"),"Comprehensive")</f>
        <v>Comprehensive</v>
      </c>
      <c r="AH151" s="175" t="str">
        <f ca="1">IFERROR(__xludf.DUMMYFUNCTION("QUERY('Volunteer Survey'!I150)"),"Clinical Actionability")</f>
        <v>Clinical Actionability</v>
      </c>
      <c r="AI151" s="175" t="str">
        <f ca="1">IFERROR(__xludf.DUMMYFUNCTION("QUERY('Volunteer Survey'!J150)"),"Gene-Disease Validity")</f>
        <v>Gene-Disease Validity</v>
      </c>
      <c r="AJ151" s="175" t="str">
        <f ca="1">IFERROR(__xludf.DUMMYFUNCTION("QUERY('Volunteer Survey'!K150)"),"Variant Pathogenicity")</f>
        <v>Variant Pathogenicity</v>
      </c>
      <c r="AK151" s="175" t="str">
        <f ca="1">IFERROR(__xludf.DUMMYFUNCTION("QUERY('Volunteer Survey'!L150)"),"")</f>
        <v/>
      </c>
      <c r="AL151" s="175" t="str">
        <f ca="1">IFERROR(__xludf.DUMMYFUNCTION("QUERY('Volunteer Survey'!M150)"),"")</f>
        <v/>
      </c>
      <c r="AM151" s="175" t="str">
        <f ca="1">IFERROR(__xludf.DUMMYFUNCTION("QUERY('Volunteer Survey'!N150)"),"Participated in pilot dosage sensitivity effort of analyzing and curating CNVs")</f>
        <v>Participated in pilot dosage sensitivity effort of analyzing and curating CNVs</v>
      </c>
      <c r="AN151" s="175" t="str">
        <f ca="1">IFERROR(__xludf.DUMMYFUNCTION("QUERY('Volunteer Survey'!O150)"),"Possibly")</f>
        <v>Possibly</v>
      </c>
      <c r="AO151" s="175" t="str">
        <f ca="1">IFERROR(__xludf.DUMMYFUNCTION("QUERY('Volunteer Survey'!P150)"),"Dosage sensitivity and somatic cancer ")</f>
        <v xml:space="preserve">Dosage sensitivity and somatic cancer </v>
      </c>
    </row>
    <row r="152" spans="1:41" ht="14">
      <c r="A152" s="44">
        <f ca="1">IFERROR(__xludf.DUMMYFUNCTION("QUERY('Volunteer Survey'!A159)"),43562.7487611921)</f>
        <v>43562.748761192102</v>
      </c>
      <c r="B152" s="42" t="s">
        <v>108</v>
      </c>
      <c r="C152" s="47"/>
      <c r="D152" s="49"/>
      <c r="E152" s="42" t="s">
        <v>130</v>
      </c>
      <c r="F152" s="42" t="s">
        <v>130</v>
      </c>
      <c r="G152" s="42" t="s">
        <v>202</v>
      </c>
      <c r="H152" s="47"/>
      <c r="I152" s="45" t="s">
        <v>139</v>
      </c>
      <c r="J152" s="49"/>
      <c r="K152" s="49"/>
      <c r="L152" s="49" t="str">
        <f ca="1">IFERROR(__xludf.DUMMYFUNCTION("QUERY('Volunteer Survey'!B159)"),"M.I. anwar")</f>
        <v>M.I. anwar</v>
      </c>
      <c r="M152" s="49" t="str">
        <f ca="1">IFERROR(__xludf.DUMMYFUNCTION("QUERY('Volunteer Survey'!E159)"),"mimtiazanwar@gmail.com")</f>
        <v>mimtiazanwar@gmail.com</v>
      </c>
      <c r="N152" s="49" t="str">
        <f ca="1">IFERROR(__xludf.DUMMYFUNCTION("QUERY('Volunteer Survey'!F159)"),"Scientific Researcher")</f>
        <v>Scientific Researcher</v>
      </c>
      <c r="O152" s="42" t="str">
        <f ca="1">IFERROR(__xludf.DUMMYFUNCTION("QUERY('Volunteer Survey'!H159)"),"Baseline")</f>
        <v>Baseline</v>
      </c>
      <c r="P152" s="49" t="str">
        <f ca="1">IFERROR(__xludf.DUMMYFUNCTION("QUERY('Volunteer Survey'!I159)"),"Clinical Actionability")</f>
        <v>Clinical Actionability</v>
      </c>
      <c r="Q152" s="54" t="str">
        <f ca="1">IFERROR(__xludf.DUMMYFUNCTION("QUERY('Volunteer Survey'!J159)"),"")</f>
        <v/>
      </c>
      <c r="R152" s="49" t="str">
        <f ca="1">IFERROR(__xludf.DUMMYFUNCTION("QUERY('Volunteer Survey'!K159)"),"")</f>
        <v/>
      </c>
      <c r="S152" s="49" t="str">
        <f ca="1">IFERROR(__xludf.DUMMYFUNCTION("QUERY('Volunteer Survey'!L159)"),"")</f>
        <v/>
      </c>
      <c r="T152" s="49" t="str">
        <f ca="1">IFERROR(__xludf.DUMMYFUNCTION("QUERY('Volunteer Survey'!M159)"),"")</f>
        <v/>
      </c>
      <c r="U152" s="58" t="str">
        <f ca="1">IFERROR(__xludf.DUMMYFUNCTION("QUERY('Volunteer Survey'!N159)"),"")</f>
        <v/>
      </c>
      <c r="V152" s="49" t="str">
        <f ca="1">IFERROR(__xludf.DUMMYFUNCTION("QUERY('Volunteer Survey'!O159)"),"Yes")</f>
        <v>Yes</v>
      </c>
      <c r="W152" s="60" t="str">
        <f ca="1">IFERROR(__xludf.DUMMYFUNCTION("QUERY('Volunteer Survey'!P159)"),"YES I AM")</f>
        <v>YES I AM</v>
      </c>
      <c r="X152" s="58" t="str">
        <f ca="1">IFERROR(__xludf.DUMMYFUNCTION("QUERY('Volunteer Survey'!R159)"),"Yes- I am willing to volunteer with any available ClinGen group")</f>
        <v>Yes- I am willing to volunteer with any available ClinGen group</v>
      </c>
      <c r="Y152" s="47"/>
      <c r="Z152" s="174">
        <f ca="1">IFERROR(__xludf.DUMMYFUNCTION("QUERY('Volunteer Survey'!A151)"),43560.4518106481)</f>
        <v>43560.451810648097</v>
      </c>
      <c r="AA152" s="175" t="str">
        <f ca="1">IFERROR(__xludf.DUMMYFUNCTION("QUERY('Volunteer Survey'!B151)"),"Junyu Zhang")</f>
        <v>Junyu Zhang</v>
      </c>
      <c r="AB152" s="175" t="str">
        <f ca="1">IFERROR(__xludf.DUMMYFUNCTION("QUERY('Volunteer Survey'!C151)"),"IPMCH, Shanghai Jiao Tong University")</f>
        <v>IPMCH, Shanghai Jiao Tong University</v>
      </c>
      <c r="AC152" s="175" t="str">
        <f ca="1">IFERROR(__xludf.DUMMYFUNCTION("QUERY('Volunteer Survey'!D151)"),"")</f>
        <v/>
      </c>
      <c r="AD152" s="175" t="str">
        <f ca="1">IFERROR(__xludf.DUMMYFUNCTION("QUERY('Volunteer Survey'!E151)"),"junyuzhang@hotmail.com")</f>
        <v>junyuzhang@hotmail.com</v>
      </c>
      <c r="AE152" s="175" t="str">
        <f ca="1">IFERROR(__xludf.DUMMYFUNCTION("QUERY('Volunteer Survey'!F151)"),"Clinical laboratory geneticist")</f>
        <v>Clinical laboratory geneticist</v>
      </c>
      <c r="AF152" s="175" t="str">
        <f ca="1">IFERROR(__xludf.DUMMYFUNCTION("QUERY('Volunteer Survey'!G151)"),"ACMG Conference 2019, ClinGen conference advertisements (i.e. booth, workshop, presentation)")</f>
        <v>ACMG Conference 2019, ClinGen conference advertisements (i.e. booth, workshop, presentation)</v>
      </c>
      <c r="AG152" s="175" t="str">
        <f ca="1">IFERROR(__xludf.DUMMYFUNCTION("QUERY('Volunteer Survey'!H151)"),"Comprehensive")</f>
        <v>Comprehensive</v>
      </c>
      <c r="AH152" s="175" t="str">
        <f ca="1">IFERROR(__xludf.DUMMYFUNCTION("QUERY('Volunteer Survey'!I151)"),"Variant Pathogenicity")</f>
        <v>Variant Pathogenicity</v>
      </c>
      <c r="AI152" s="175" t="str">
        <f ca="1">IFERROR(__xludf.DUMMYFUNCTION("QUERY('Volunteer Survey'!J151)"),"Gene-Disease Validity")</f>
        <v>Gene-Disease Validity</v>
      </c>
      <c r="AJ152" s="175" t="str">
        <f ca="1">IFERROR(__xludf.DUMMYFUNCTION("QUERY('Volunteer Survey'!K151)"),"Clinical Actionability")</f>
        <v>Clinical Actionability</v>
      </c>
      <c r="AK152" s="175" t="str">
        <f ca="1">IFERROR(__xludf.DUMMYFUNCTION("QUERY('Volunteer Survey'!L151)"),"")</f>
        <v/>
      </c>
      <c r="AL152" s="175" t="str">
        <f ca="1">IFERROR(__xludf.DUMMYFUNCTION("QUERY('Volunteer Survey'!M151)"),"")</f>
        <v/>
      </c>
      <c r="AM152" s="175" t="str">
        <f ca="1">IFERROR(__xludf.DUMMYFUNCTION("QUERY('Volunteer Survey'!N151)"),"Curate more than 1000 variants in Chinese patients ")</f>
        <v xml:space="preserve">Curate more than 1000 variants in Chinese patients </v>
      </c>
      <c r="AN152" s="175" t="str">
        <f ca="1">IFERROR(__xludf.DUMMYFUNCTION("QUERY('Volunteer Survey'!O151)"),"Possibly")</f>
        <v>Possibly</v>
      </c>
      <c r="AO152" s="175" t="str">
        <f ca="1">IFERROR(__xludf.DUMMYFUNCTION("QUERY('Volunteer Survey'!P151)"),"Yes. Brain Malformations")</f>
        <v>Yes. Brain Malformations</v>
      </c>
    </row>
    <row r="153" spans="1:41" ht="14">
      <c r="A153" s="44">
        <f ca="1">IFERROR(__xludf.DUMMYFUNCTION("QUERY('Volunteer Survey'!A160)"),43563.39827228)</f>
        <v>43563.398272279999</v>
      </c>
      <c r="B153" s="42" t="s">
        <v>108</v>
      </c>
      <c r="C153" s="47"/>
      <c r="D153" s="59">
        <v>43594</v>
      </c>
      <c r="E153" s="42" t="s">
        <v>117</v>
      </c>
      <c r="F153" s="42" t="s">
        <v>117</v>
      </c>
      <c r="G153" s="42" t="s">
        <v>19</v>
      </c>
      <c r="H153" s="63" t="s">
        <v>19</v>
      </c>
      <c r="I153" s="63" t="s">
        <v>139</v>
      </c>
      <c r="J153" s="50">
        <v>43712</v>
      </c>
      <c r="K153" s="50"/>
      <c r="L153" s="49" t="str">
        <f ca="1">IFERROR(__xludf.DUMMYFUNCTION("QUERY('Volunteer Survey'!B160)"),"Karen Hanson")</f>
        <v>Karen Hanson</v>
      </c>
      <c r="M153" s="49" t="str">
        <f ca="1">IFERROR(__xludf.DUMMYFUNCTION("QUERY('Volunteer Survey'!E160)"),"krhms3@gmail.com")</f>
        <v>krhms3@gmail.com</v>
      </c>
      <c r="N153" s="49" t="str">
        <f ca="1">IFERROR(__xludf.DUMMYFUNCTION("QUERY('Volunteer Survey'!F160)"),"Genetic counselor")</f>
        <v>Genetic counselor</v>
      </c>
      <c r="O153" s="42" t="str">
        <f ca="1">IFERROR(__xludf.DUMMYFUNCTION("QUERY('Volunteer Survey'!H160)"),"Comprehensive")</f>
        <v>Comprehensive</v>
      </c>
      <c r="P153" s="49" t="str">
        <f ca="1">IFERROR(__xludf.DUMMYFUNCTION("QUERY('Volunteer Survey'!I160)"),"Clinical Actionability")</f>
        <v>Clinical Actionability</v>
      </c>
      <c r="Q153" s="54" t="str">
        <f ca="1">IFERROR(__xludf.DUMMYFUNCTION("QUERY('Volunteer Survey'!J160)"),"Gene-Disease Validity")</f>
        <v>Gene-Disease Validity</v>
      </c>
      <c r="R153" s="49" t="str">
        <f ca="1">IFERROR(__xludf.DUMMYFUNCTION("QUERY('Volunteer Survey'!K160)"),"Somatic Cancer")</f>
        <v>Somatic Cancer</v>
      </c>
      <c r="S153" s="49" t="str">
        <f ca="1">IFERROR(__xludf.DUMMYFUNCTION("QUERY('Volunteer Survey'!L160)"),"")</f>
        <v/>
      </c>
      <c r="T153" s="49" t="str">
        <f ca="1">IFERROR(__xludf.DUMMYFUNCTION("QUERY('Volunteer Survey'!M160)"),"")</f>
        <v/>
      </c>
      <c r="U153" s="58" t="str">
        <f ca="1">IFERROR(__xludf.DUMMYFUNCTION("QUERY('Volunteer Survey'!N160)"),"n/a")</f>
        <v>n/a</v>
      </c>
      <c r="V153" s="49" t="str">
        <f ca="1">IFERROR(__xludf.DUMMYFUNCTION("QUERY('Volunteer Survey'!O160)"),"Possibly")</f>
        <v>Possibly</v>
      </c>
      <c r="W153" s="60" t="str">
        <f ca="1">IFERROR(__xludf.DUMMYFUNCTION("QUERY('Volunteer Survey'!P160)"),"brain malformations, cancer")</f>
        <v>brain malformations, cancer</v>
      </c>
      <c r="X153" s="58" t="str">
        <f ca="1">IFERROR(__xludf.DUMMYFUNCTION("QUERY('Volunteer Survey'!R160)"),"Yes- I am willing to volunteer with any available ClinGen group")</f>
        <v>Yes- I am willing to volunteer with any available ClinGen group</v>
      </c>
      <c r="Y153" s="47"/>
      <c r="Z153" s="174">
        <f ca="1">IFERROR(__xludf.DUMMYFUNCTION("QUERY('Volunteer Survey'!A152)"),43560.4531269791)</f>
        <v>43560.453126979097</v>
      </c>
      <c r="AA153" s="175" t="str">
        <f ca="1">IFERROR(__xludf.DUMMYFUNCTION("QUERY('Volunteer Survey'!B152)"),"Jing Zhang")</f>
        <v>Jing Zhang</v>
      </c>
      <c r="AB153" s="175" t="str">
        <f ca="1">IFERROR(__xludf.DUMMYFUNCTION("QUERY('Volunteer Survey'!C152)"),"WuXi NextCODE")</f>
        <v>WuXi NextCODE</v>
      </c>
      <c r="AC153" s="175" t="str">
        <f ca="1">IFERROR(__xludf.DUMMYFUNCTION("QUERY('Volunteer Survey'!D152)"),"")</f>
        <v/>
      </c>
      <c r="AD153" s="175" t="str">
        <f ca="1">IFERROR(__xludf.DUMMYFUNCTION("QUERY('Volunteer Survey'!E152)"),"jzhang@wuxinextcode.com")</f>
        <v>jzhang@wuxinextcode.com</v>
      </c>
      <c r="AE153" s="175" t="str">
        <f ca="1">IFERROR(__xludf.DUMMYFUNCTION("QUERY('Volunteer Survey'!F152)"),"Clinical laboratory geneticist")</f>
        <v>Clinical laboratory geneticist</v>
      </c>
      <c r="AF153" s="175" t="str">
        <f ca="1">IFERROR(__xludf.DUMMYFUNCTION("QUERY('Volunteer Survey'!G152)"),"ACMG Conference 2019, ClinGen affiliated emails and/or newsletters, The clinicalgenome.org website")</f>
        <v>ACMG Conference 2019, ClinGen affiliated emails and/or newsletters, The clinicalgenome.org website</v>
      </c>
      <c r="AG153" s="175" t="str">
        <f ca="1">IFERROR(__xludf.DUMMYFUNCTION("QUERY('Volunteer Survey'!H152)"),"Comprehensive")</f>
        <v>Comprehensive</v>
      </c>
      <c r="AH153" s="175" t="str">
        <f ca="1">IFERROR(__xludf.DUMMYFUNCTION("QUERY('Volunteer Survey'!I152)"),"Gene-Disease Validity")</f>
        <v>Gene-Disease Validity</v>
      </c>
      <c r="AI153" s="175" t="str">
        <f ca="1">IFERROR(__xludf.DUMMYFUNCTION("QUERY('Volunteer Survey'!J152)"),"Variant Pathogenicity")</f>
        <v>Variant Pathogenicity</v>
      </c>
      <c r="AJ153" s="175" t="str">
        <f ca="1">IFERROR(__xludf.DUMMYFUNCTION("QUERY('Volunteer Survey'!K152)"),"Clinical Actionability")</f>
        <v>Clinical Actionability</v>
      </c>
      <c r="AK153" s="175" t="str">
        <f ca="1">IFERROR(__xludf.DUMMYFUNCTION("QUERY('Volunteer Survey'!L152)"),"Somatic Cancer")</f>
        <v>Somatic Cancer</v>
      </c>
      <c r="AL153" s="175" t="str">
        <f ca="1">IFERROR(__xludf.DUMMYFUNCTION("QUERY('Volunteer Survey'!M152)"),"")</f>
        <v/>
      </c>
      <c r="AM153" s="175" t="str">
        <f ca="1">IFERROR(__xludf.DUMMYFUNCTION("QUERY('Volunteer Survey'!N152)"),"As the director of clinical genomic interpretation division of WuXi NextCODE, I do gene/variant curation on daily basis. ")</f>
        <v xml:space="preserve">As the director of clinical genomic interpretation division of WuXi NextCODE, I do gene/variant curation on daily basis. </v>
      </c>
      <c r="AN153" s="175" t="str">
        <f ca="1">IFERROR(__xludf.DUMMYFUNCTION("QUERY('Volunteer Survey'!O152)"),"Possibly")</f>
        <v>Possibly</v>
      </c>
      <c r="AO153" s="175" t="str">
        <f ca="1">IFERROR(__xludf.DUMMYFUNCTION("QUERY('Volunteer Survey'!P152)"),"")</f>
        <v/>
      </c>
    </row>
    <row r="154" spans="1:41" ht="14">
      <c r="A154" s="44">
        <f ca="1">IFERROR(__xludf.DUMMYFUNCTION("QUERY('Volunteer Survey'!A161)"),43563.560402824)</f>
        <v>43563.560402823998</v>
      </c>
      <c r="B154" s="42" t="s">
        <v>168</v>
      </c>
      <c r="C154" s="47"/>
      <c r="D154" s="49"/>
      <c r="E154" s="42" t="s">
        <v>130</v>
      </c>
      <c r="F154" s="42" t="s">
        <v>130</v>
      </c>
      <c r="G154" s="42" t="s">
        <v>251</v>
      </c>
      <c r="H154" s="47"/>
      <c r="I154" s="45" t="s">
        <v>139</v>
      </c>
      <c r="J154" s="49"/>
      <c r="K154" s="49"/>
      <c r="L154" s="49" t="str">
        <f ca="1">IFERROR(__xludf.DUMMYFUNCTION("QUERY('Volunteer Survey'!B161)"),"Daniel Reich")</f>
        <v>Daniel Reich</v>
      </c>
      <c r="M154" s="49" t="str">
        <f ca="1">IFERROR(__xludf.DUMMYFUNCTION("QUERY('Volunteer Survey'!E161)"),"daniel.reich@aruplab.com")</f>
        <v>daniel.reich@aruplab.com</v>
      </c>
      <c r="N154" s="49" t="str">
        <f ca="1">IFERROR(__xludf.DUMMYFUNCTION("QUERY('Volunteer Survey'!F161)"),"Variant Analyst/Scientist - Industry")</f>
        <v>Variant Analyst/Scientist - Industry</v>
      </c>
      <c r="O154" s="42" t="str">
        <f ca="1">IFERROR(__xludf.DUMMYFUNCTION("QUERY('Volunteer Survey'!H161)"),"Comprehensive")</f>
        <v>Comprehensive</v>
      </c>
      <c r="P154" s="49" t="str">
        <f ca="1">IFERROR(__xludf.DUMMYFUNCTION("QUERY('Volunteer Survey'!I161)"),"Variant Pathogenicity")</f>
        <v>Variant Pathogenicity</v>
      </c>
      <c r="Q154" s="54" t="str">
        <f ca="1">IFERROR(__xludf.DUMMYFUNCTION("QUERY('Volunteer Survey'!J161)"),"Gene-Disease Validity")</f>
        <v>Gene-Disease Validity</v>
      </c>
      <c r="R154" s="49" t="str">
        <f ca="1">IFERROR(__xludf.DUMMYFUNCTION("QUERY('Volunteer Survey'!K161)"),"Clinical Actionability")</f>
        <v>Clinical Actionability</v>
      </c>
      <c r="S154" s="49" t="str">
        <f ca="1">IFERROR(__xludf.DUMMYFUNCTION("QUERY('Volunteer Survey'!L161)"),"")</f>
        <v/>
      </c>
      <c r="T154" s="49" t="str">
        <f ca="1">IFERROR(__xludf.DUMMYFUNCTION("QUERY('Volunteer Survey'!M161)"),"")</f>
        <v/>
      </c>
      <c r="U154" s="58" t="str">
        <f ca="1">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V154" s="49" t="str">
        <f ca="1">IFERROR(__xludf.DUMMYFUNCTION("QUERY('Volunteer Survey'!O161)"),"No")</f>
        <v>No</v>
      </c>
      <c r="W154" s="60" t="str">
        <f ca="1">IFERROR(__xludf.DUMMYFUNCTION("QUERY('Volunteer Survey'!P161)"),"Cerebral Creatine Deficiency Syndromes")</f>
        <v>Cerebral Creatine Deficiency Syndromes</v>
      </c>
      <c r="X154" s="58" t="str">
        <f ca="1">IFERROR(__xludf.DUMMYFUNCTION("QUERY('Volunteer Survey'!R161)"),"Yes- I am willing to volunteer with any available ClinGen group")</f>
        <v>Yes- I am willing to volunteer with any available ClinGen group</v>
      </c>
      <c r="Y154" s="47"/>
      <c r="Z154" s="174">
        <f ca="1">IFERROR(__xludf.DUMMYFUNCTION("QUERY('Volunteer Survey'!A153)"),43560.4764596643)</f>
        <v>43560.4764596643</v>
      </c>
      <c r="AA154" s="175" t="str">
        <f ca="1">IFERROR(__xludf.DUMMYFUNCTION("QUERY('Volunteer Survey'!B153)"),"Mary-Alice Abbott")</f>
        <v>Mary-Alice Abbott</v>
      </c>
      <c r="AB154" s="175" t="str">
        <f ca="1">IFERROR(__xludf.DUMMYFUNCTION("QUERY('Volunteer Survey'!C153)"),"Baystate Medical Center")</f>
        <v>Baystate Medical Center</v>
      </c>
      <c r="AC154" s="175" t="str">
        <f ca="1">IFERROR(__xludf.DUMMYFUNCTION("QUERY('Volunteer Survey'!D153)"),"50 Wason Ave Springfield, MA")</f>
        <v>50 Wason Ave Springfield, MA</v>
      </c>
      <c r="AD154" s="175" t="str">
        <f ca="1">IFERROR(__xludf.DUMMYFUNCTION("QUERY('Volunteer Survey'!E153)"),"Maryalice.abbott@baystatehealth.org")</f>
        <v>Maryalice.abbott@baystatehealth.org</v>
      </c>
      <c r="AE154" s="175" t="str">
        <f ca="1">IFERROR(__xludf.DUMMYFUNCTION("QUERY('Volunteer Survey'!F153)"),"Clinical Medical Geneticist")</f>
        <v>Clinical Medical Geneticist</v>
      </c>
      <c r="AF154" s="175" t="str">
        <f ca="1">IFERROR(__xludf.DUMMYFUNCTION("QUERY('Volunteer Survey'!G153)"),"ACMG Conference 2019")</f>
        <v>ACMG Conference 2019</v>
      </c>
      <c r="AG154" s="175" t="str">
        <f ca="1">IFERROR(__xludf.DUMMYFUNCTION("QUERY('Volunteer Survey'!H153)"),"Comprehensive")</f>
        <v>Comprehensive</v>
      </c>
      <c r="AH154" s="175" t="str">
        <f ca="1">IFERROR(__xludf.DUMMYFUNCTION("QUERY('Volunteer Survey'!I153)"),"Gene-Disease Validity")</f>
        <v>Gene-Disease Validity</v>
      </c>
      <c r="AI154" s="175" t="str">
        <f ca="1">IFERROR(__xludf.DUMMYFUNCTION("QUERY('Volunteer Survey'!J153)"),"Clinical Actionability")</f>
        <v>Clinical Actionability</v>
      </c>
      <c r="AJ154" s="175" t="str">
        <f ca="1">IFERROR(__xludf.DUMMYFUNCTION("QUERY('Volunteer Survey'!K153)"),"")</f>
        <v/>
      </c>
      <c r="AK154" s="175" t="str">
        <f ca="1">IFERROR(__xludf.DUMMYFUNCTION("QUERY('Volunteer Survey'!L153)"),"")</f>
        <v/>
      </c>
      <c r="AL154" s="175" t="str">
        <f ca="1">IFERROR(__xludf.DUMMYFUNCTION("QUERY('Volunteer Survey'!M153)"),"")</f>
        <v/>
      </c>
      <c r="AM154" s="175" t="str">
        <f ca="1">IFERROR(__xludf.DUMMYFUNCTION("QUERY('Volunteer Survey'!N153)"),"As clinical geneticist I regularly interpret clinical significance of gene variants for my patients but do not have formal variant interpretation experience ")</f>
        <v xml:space="preserve">As clinical geneticist I regularly interpret clinical significance of gene variants for my patients but do not have formal variant interpretation experience </v>
      </c>
      <c r="AN154" s="175" t="str">
        <f ca="1">IFERROR(__xludf.DUMMYFUNCTION("QUERY('Volunteer Survey'!O153)"),"No")</f>
        <v>No</v>
      </c>
      <c r="AO154" s="175" t="str">
        <f ca="1">IFERROR(__xludf.DUMMYFUNCTION("QUERY('Volunteer Survey'!P153)"),"LSD, ID, actionability")</f>
        <v>LSD, ID, actionability</v>
      </c>
    </row>
    <row r="155" spans="1:41" ht="14">
      <c r="A155" s="44">
        <f ca="1">IFERROR(__xludf.DUMMYFUNCTION("QUERY('Volunteer Survey'!A162)"),43563.6184702314)</f>
        <v>43563.618470231399</v>
      </c>
      <c r="B155" s="42" t="s">
        <v>108</v>
      </c>
      <c r="C155" s="47"/>
      <c r="D155" s="59">
        <v>43580</v>
      </c>
      <c r="E155" s="42" t="s">
        <v>117</v>
      </c>
      <c r="F155" s="42" t="s">
        <v>117</v>
      </c>
      <c r="G155" s="42" t="s">
        <v>163</v>
      </c>
      <c r="H155" s="47"/>
      <c r="I155" s="45" t="s">
        <v>139</v>
      </c>
      <c r="J155" s="50">
        <v>43712</v>
      </c>
      <c r="K155" s="50"/>
      <c r="L155" s="49" t="str">
        <f ca="1">IFERROR(__xludf.DUMMYFUNCTION("QUERY('Volunteer Survey'!B162)"),"Christine Preston")</f>
        <v>Christine Preston</v>
      </c>
      <c r="M155" s="49" t="str">
        <f ca="1">IFERROR(__xludf.DUMMYFUNCTION("QUERY('Volunteer Survey'!E162)"),"christip@stanford.edu")</f>
        <v>christip@stanford.edu</v>
      </c>
      <c r="N155" s="49" t="str">
        <f ca="1">IFERROR(__xludf.DUMMYFUNCTION("QUERY('Volunteer Survey'!F162)"),"Biocurator")</f>
        <v>Biocurator</v>
      </c>
      <c r="O155" s="42" t="str">
        <f ca="1">IFERROR(__xludf.DUMMYFUNCTION("QUERY('Volunteer Survey'!H162)"),"Comprehensive")</f>
        <v>Comprehensive</v>
      </c>
      <c r="P155" s="49" t="str">
        <f ca="1">IFERROR(__xludf.DUMMYFUNCTION("QUERY('Volunteer Survey'!I162)"),"Dosage Sensitivity")</f>
        <v>Dosage Sensitivity</v>
      </c>
      <c r="Q155" s="54" t="str">
        <f ca="1">IFERROR(__xludf.DUMMYFUNCTION("QUERY('Volunteer Survey'!J162)"),"Clinical Actionability")</f>
        <v>Clinical Actionability</v>
      </c>
      <c r="R155" s="49" t="str">
        <f ca="1">IFERROR(__xludf.DUMMYFUNCTION("QUERY('Volunteer Survey'!K162)"),"Variant Pathogenicity")</f>
        <v>Variant Pathogenicity</v>
      </c>
      <c r="S155" s="49" t="str">
        <f ca="1">IFERROR(__xludf.DUMMYFUNCTION("QUERY('Volunteer Survey'!L162)"),"")</f>
        <v/>
      </c>
      <c r="T155" s="49" t="str">
        <f ca="1">IFERROR(__xludf.DUMMYFUNCTION("QUERY('Volunteer Survey'!M162)"),"")</f>
        <v/>
      </c>
      <c r="U155" s="58" t="str">
        <f ca="1">IFERROR(__xludf.DUMMYFUNCTION("QUERY('Volunteer Survey'!N162)"),"")</f>
        <v/>
      </c>
      <c r="V155" s="49" t="str">
        <f ca="1">IFERROR(__xludf.DUMMYFUNCTION("QUERY('Volunteer Survey'!O162)"),"No")</f>
        <v>No</v>
      </c>
      <c r="W155" s="60" t="str">
        <f ca="1">IFERROR(__xludf.DUMMYFUNCTION("QUERY('Volunteer Survey'!P162)"),"Dosage Sensitivity Working Group")</f>
        <v>Dosage Sensitivity Working Group</v>
      </c>
      <c r="X155" s="58" t="str">
        <f ca="1">IFERROR(__xludf.DUMMYFUNCTION("QUERY('Volunteer Survey'!R162)"),"Maybe -- please contact me with other options, and I will decide based on what is available")</f>
        <v>Maybe -- please contact me with other options, and I will decide based on what is available</v>
      </c>
      <c r="Y155" s="47"/>
      <c r="Z155" s="174">
        <f ca="1">IFERROR(__xludf.DUMMYFUNCTION("QUERY('Volunteer Survey'!A154)"),43560.5073359838)</f>
        <v>43560.507335983799</v>
      </c>
      <c r="AA155" s="175" t="str">
        <f ca="1">IFERROR(__xludf.DUMMYFUNCTION("QUERY('Volunteer Survey'!B154)"),"Emily Higgs")</f>
        <v>Emily Higgs</v>
      </c>
      <c r="AB155" s="175" t="str">
        <f ca="1">IFERROR(__xludf.DUMMYFUNCTION("QUERY('Volunteer Survey'!C154)"),"Stanford University")</f>
        <v>Stanford University</v>
      </c>
      <c r="AC155" s="175" t="str">
        <f ca="1">IFERROR(__xludf.DUMMYFUNCTION("QUERY('Volunteer Survey'!D154)"),"")</f>
        <v/>
      </c>
      <c r="AD155" s="175" t="str">
        <f ca="1">IFERROR(__xludf.DUMMYFUNCTION("QUERY('Volunteer Survey'!E154)"),"ehiggs@stanford.edu")</f>
        <v>ehiggs@stanford.edu</v>
      </c>
      <c r="AE155" s="175" t="str">
        <f ca="1">IFERROR(__xludf.DUMMYFUNCTION("QUERY('Volunteer Survey'!F154)"),"Variant Analyst/Scientist - Academic")</f>
        <v>Variant Analyst/Scientist - Academic</v>
      </c>
      <c r="AF155" s="175" t="str">
        <f ca="1">IFERROR(__xludf.DUMMYFUNCTION("QUERY('Volunteer Survey'!G154)"),"The clinicalgenome.org website")</f>
        <v>The clinicalgenome.org website</v>
      </c>
      <c r="AG155" s="175" t="str">
        <f ca="1">IFERROR(__xludf.DUMMYFUNCTION("QUERY('Volunteer Survey'!H154)"),"Comprehensive")</f>
        <v>Comprehensive</v>
      </c>
      <c r="AH155" s="175" t="str">
        <f ca="1">IFERROR(__xludf.DUMMYFUNCTION("QUERY('Volunteer Survey'!I154)"),"Variant Pathogenicity")</f>
        <v>Variant Pathogenicity</v>
      </c>
      <c r="AI155" s="175" t="str">
        <f ca="1">IFERROR(__xludf.DUMMYFUNCTION("QUERY('Volunteer Survey'!J154)"),"Gene-Disease Validity")</f>
        <v>Gene-Disease Validity</v>
      </c>
      <c r="AJ155" s="175" t="str">
        <f ca="1">IFERROR(__xludf.DUMMYFUNCTION("QUERY('Volunteer Survey'!K154)"),"Dosage Sensitivity")</f>
        <v>Dosage Sensitivity</v>
      </c>
      <c r="AK155" s="175" t="str">
        <f ca="1">IFERROR(__xludf.DUMMYFUNCTION("QUERY('Volunteer Survey'!L154)"),"")</f>
        <v/>
      </c>
      <c r="AL155" s="175" t="str">
        <f ca="1">IFERROR(__xludf.DUMMYFUNCTION("QUERY('Volunteer Survey'!M154)"),"")</f>
        <v/>
      </c>
      <c r="AM155" s="175" t="str">
        <f ca="1">IFERROR(__xludf.DUMMYFUNCTION("QUERY('Volunteer Survey'!N154)"),"For the past year I have been doing variant interpretation for 'healthy exomes' in the research setting and supervising Master of Genetic Counseling students' variant interpretation rotations.  ")</f>
        <v xml:space="preserve">For the past year I have been doing variant interpretation for 'healthy exomes' in the research setting and supervising Master of Genetic Counseling students' variant interpretation rotations.  </v>
      </c>
      <c r="AN155" s="175" t="str">
        <f ca="1">IFERROR(__xludf.DUMMYFUNCTION("QUERY('Volunteer Survey'!O154)"),"Possibly")</f>
        <v>Possibly</v>
      </c>
      <c r="AO155" s="175" t="str">
        <f ca="1">IFERROR(__xludf.DUMMYFUNCTION("QUERY('Volunteer Survey'!P154)"),"Dosage- Neurodevelopemental; Gene curation - Intellectual Disability and Autism,
Epilepsy, Hereditary Cancer, Mitochondrial Diseases, Brain Malformations, Monogenic Diabetes; Variant curation - VHL, CDH1, Brain Malformations, Monogenic Diabetes, Colorecta"&amp;"l Cancer ")</f>
        <v xml:space="preserve">Dosage- Neurodevelopemental; Gene curation - Intellectual Disability and Autism,
Epilepsy, Hereditary Cancer, Mitochondrial Diseases, Brain Malformations, Monogenic Diabetes; Variant curation - VHL, CDH1, Brain Malformations, Monogenic Diabetes, Colorectal Cancer </v>
      </c>
    </row>
    <row r="156" spans="1:41" ht="14">
      <c r="A156" s="44">
        <f ca="1">IFERROR(__xludf.DUMMYFUNCTION("QUERY('Volunteer Survey'!A163)"),43564.4175901736)</f>
        <v>43564.417590173602</v>
      </c>
      <c r="B156" s="42" t="s">
        <v>108</v>
      </c>
      <c r="C156" s="73">
        <v>43819</v>
      </c>
      <c r="D156" s="49"/>
      <c r="E156" s="42" t="s">
        <v>130</v>
      </c>
      <c r="F156" s="42" t="s">
        <v>130</v>
      </c>
      <c r="G156" s="42" t="s">
        <v>122</v>
      </c>
      <c r="H156" s="47"/>
      <c r="I156" s="45" t="s">
        <v>139</v>
      </c>
      <c r="J156" s="49"/>
      <c r="K156" s="49"/>
      <c r="L156" s="49" t="str">
        <f ca="1">IFERROR(__xludf.DUMMYFUNCTION("QUERY('Volunteer Survey'!B163)"),"Julie Hathaway")</f>
        <v>Julie Hathaway</v>
      </c>
      <c r="M156" s="49" t="str">
        <f ca="1">IFERROR(__xludf.DUMMYFUNCTION("QUERY('Volunteer Survey'!E163)"),"julie.hathaway@blueprintgenetics.com")</f>
        <v>julie.hathaway@blueprintgenetics.com</v>
      </c>
      <c r="N156" s="49" t="str">
        <f ca="1">IFERROR(__xludf.DUMMYFUNCTION("QUERY('Volunteer Survey'!F163)"),"Genetic counselor")</f>
        <v>Genetic counselor</v>
      </c>
      <c r="O156" s="42" t="str">
        <f ca="1">IFERROR(__xludf.DUMMYFUNCTION("QUERY('Volunteer Survey'!H163)"),"Comprehensive")</f>
        <v>Comprehensive</v>
      </c>
      <c r="P156" s="49" t="str">
        <f ca="1">IFERROR(__xludf.DUMMYFUNCTION("QUERY('Volunteer Survey'!I163)"),"Variant Pathogenicity")</f>
        <v>Variant Pathogenicity</v>
      </c>
      <c r="Q156" s="54" t="str">
        <f ca="1">IFERROR(__xludf.DUMMYFUNCTION("QUERY('Volunteer Survey'!J163)"),"Gene-Disease Validity")</f>
        <v>Gene-Disease Validity</v>
      </c>
      <c r="R156" s="49" t="str">
        <f ca="1">IFERROR(__xludf.DUMMYFUNCTION("QUERY('Volunteer Survey'!K163)"),"Clinical Actionability")</f>
        <v>Clinical Actionability</v>
      </c>
      <c r="S156" s="49" t="str">
        <f ca="1">IFERROR(__xludf.DUMMYFUNCTION("QUERY('Volunteer Survey'!L163)"),"Dosage Sensitivity")</f>
        <v>Dosage Sensitivity</v>
      </c>
      <c r="T156" s="49" t="str">
        <f ca="1">IFERROR(__xludf.DUMMYFUNCTION("QUERY('Volunteer Survey'!M163)"),"Somatic Cancer")</f>
        <v>Somatic Cancer</v>
      </c>
      <c r="U156" s="58" t="str">
        <f ca="1">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V156" s="49" t="str">
        <f ca="1">IFERROR(__xludf.DUMMYFUNCTION("QUERY('Volunteer Survey'!O163)"),"No")</f>
        <v>No</v>
      </c>
      <c r="W156" s="60" t="str">
        <f ca="1">IFERROR(__xludf.DUMMYFUNCTION("QUERY('Volunteer Survey'!P163)"),"Cardiomyopathy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c r="X156" s="58" t="str">
        <f ca="1">IFERROR(__xludf.DUMMYFUNCTION("QUERY('Volunteer Survey'!R163)"),"Maybe -- please contact me with other options, and I will decide based on what is available")</f>
        <v>Maybe -- please contact me with other options, and I will decide based on what is available</v>
      </c>
      <c r="Y156" s="47"/>
      <c r="Z156" s="174">
        <f ca="1">IFERROR(__xludf.DUMMYFUNCTION("QUERY('Volunteer Survey'!A155)"),43560.6503204976)</f>
        <v>43560.650320497603</v>
      </c>
      <c r="AA156" s="175" t="str">
        <f ca="1">IFERROR(__xludf.DUMMYFUNCTION("QUERY('Volunteer Survey'!B155)"),"Matt Wright")</f>
        <v>Matt Wright</v>
      </c>
      <c r="AB156" s="175" t="str">
        <f ca="1">IFERROR(__xludf.DUMMYFUNCTION("QUERY('Volunteer Survey'!C155)"),"Stanford University ")</f>
        <v xml:space="preserve">Stanford University </v>
      </c>
      <c r="AC156" s="175" t="str">
        <f ca="1">IFERROR(__xludf.DUMMYFUNCTION("QUERY('Volunteer Survey'!D155)"),"")</f>
        <v/>
      </c>
      <c r="AD156" s="175" t="str">
        <f ca="1">IFERROR(__xludf.DUMMYFUNCTION("QUERY('Volunteer Survey'!E155)"),"wrightmw@stanford.edu")</f>
        <v>wrightmw@stanford.edu</v>
      </c>
      <c r="AE156" s="175" t="str">
        <f ca="1">IFERROR(__xludf.DUMMYFUNCTION("QUERY('Volunteer Survey'!F155)"),"Biocurator")</f>
        <v>Biocurator</v>
      </c>
      <c r="AF156" s="175" t="str">
        <f ca="1">IFERROR(__xludf.DUMMYFUNCTION("QUERY('Volunteer Survey'!G155)"),"I’m already a part of ClinGen")</f>
        <v>I’m already a part of ClinGen</v>
      </c>
      <c r="AG156" s="175" t="str">
        <f ca="1">IFERROR(__xludf.DUMMYFUNCTION("QUERY('Volunteer Survey'!H155)"),"Comprehensive")</f>
        <v>Comprehensive</v>
      </c>
      <c r="AH156" s="175" t="str">
        <f ca="1">IFERROR(__xludf.DUMMYFUNCTION("QUERY('Volunteer Survey'!I155)"),"Variant Pathogenicity")</f>
        <v>Variant Pathogenicity</v>
      </c>
      <c r="AI156" s="175" t="str">
        <f ca="1">IFERROR(__xludf.DUMMYFUNCTION("QUERY('Volunteer Survey'!J155)"),"")</f>
        <v/>
      </c>
      <c r="AJ156" s="175" t="str">
        <f ca="1">IFERROR(__xludf.DUMMYFUNCTION("QUERY('Volunteer Survey'!K155)"),"")</f>
        <v/>
      </c>
      <c r="AK156" s="175" t="str">
        <f ca="1">IFERROR(__xludf.DUMMYFUNCTION("QUERY('Volunteer Survey'!L155)"),"")</f>
        <v/>
      </c>
      <c r="AL156" s="175" t="str">
        <f ca="1">IFERROR(__xludf.DUMMYFUNCTION("QUERY('Volunteer Survey'!M155)"),"")</f>
        <v/>
      </c>
      <c r="AM156" s="175" t="str">
        <f ca="1">IFERROR(__xludf.DUMMYFUNCTION("QUERY('Volunteer Survey'!N155)"),"Most of my experience is gene-level curation but I’m especially interested in the variant curator’s experience")</f>
        <v>Most of my experience is gene-level curation but I’m especially interested in the variant curator’s experience</v>
      </c>
      <c r="AN156" s="175" t="str">
        <f ca="1">IFERROR(__xludf.DUMMYFUNCTION("QUERY('Volunteer Survey'!O155)"),"No")</f>
        <v>No</v>
      </c>
      <c r="AO156" s="175" t="str">
        <f ca="1">IFERROR(__xludf.DUMMYFUNCTION("QUERY('Volunteer Survey'!P155)"),"Hearing Loss or Brain Malformations or Cardiomyopathy ")</f>
        <v xml:space="preserve">Hearing Loss or Brain Malformations or Cardiomyopathy </v>
      </c>
    </row>
    <row r="157" spans="1:41" ht="14">
      <c r="A157" s="44">
        <f ca="1">IFERROR(__xludf.DUMMYFUNCTION("QUERY('Volunteer Survey'!A164)"),43564.4196003356)</f>
        <v>43564.419600335597</v>
      </c>
      <c r="B157" s="42" t="s">
        <v>108</v>
      </c>
      <c r="C157" s="47"/>
      <c r="D157" s="49"/>
      <c r="E157" s="42" t="s">
        <v>130</v>
      </c>
      <c r="F157" s="42" t="s">
        <v>130</v>
      </c>
      <c r="G157" s="42" t="s">
        <v>202</v>
      </c>
      <c r="H157" s="47"/>
      <c r="I157" s="45" t="s">
        <v>139</v>
      </c>
      <c r="J157" s="49"/>
      <c r="K157" s="49"/>
      <c r="L157" s="49" t="str">
        <f ca="1">IFERROR(__xludf.DUMMYFUNCTION("QUERY('Volunteer Survey'!B164)"),"Jose Maria Urbano")</f>
        <v>Jose Maria Urbano</v>
      </c>
      <c r="M157" s="49" t="str">
        <f ca="1">IFERROR(__xludf.DUMMYFUNCTION("QUERY('Volunteer Survey'!E164)"),"jmu22@cam.ac.uk")</f>
        <v>jmu22@cam.ac.uk</v>
      </c>
      <c r="N157" s="49" t="str">
        <f ca="1">IFERROR(__xludf.DUMMYFUNCTION("QUERY('Volunteer Survey'!F164)"),"Biocurator")</f>
        <v>Biocurator</v>
      </c>
      <c r="O157" s="42" t="str">
        <f ca="1">IFERROR(__xludf.DUMMYFUNCTION("QUERY('Volunteer Survey'!H164)"),"Baseline")</f>
        <v>Baseline</v>
      </c>
      <c r="P157" s="49" t="str">
        <f ca="1">IFERROR(__xludf.DUMMYFUNCTION("QUERY('Volunteer Survey'!I164)"),"Gene-Disease Validity")</f>
        <v>Gene-Disease Validity</v>
      </c>
      <c r="Q157" s="54" t="str">
        <f ca="1">IFERROR(__xludf.DUMMYFUNCTION("QUERY('Volunteer Survey'!J164)"),"Variant Pathogenicity")</f>
        <v>Variant Pathogenicity</v>
      </c>
      <c r="R157" s="49" t="str">
        <f ca="1">IFERROR(__xludf.DUMMYFUNCTION("QUERY('Volunteer Survey'!K164)"),"Dosage Sensitivity")</f>
        <v>Dosage Sensitivity</v>
      </c>
      <c r="S157" s="49" t="str">
        <f ca="1">IFERROR(__xludf.DUMMYFUNCTION("QUERY('Volunteer Survey'!L164)"),"Somatic Cancer")</f>
        <v>Somatic Cancer</v>
      </c>
      <c r="T157" s="49" t="str">
        <f ca="1">IFERROR(__xludf.DUMMYFUNCTION("QUERY('Volunteer Survey'!M164)"),"Clinical Actionability")</f>
        <v>Clinical Actionability</v>
      </c>
      <c r="U157" s="58" t="str">
        <f ca="1">IFERROR(__xludf.DUMMYFUNCTION("QUERY('Volunteer Survey'!N164)"),"I am a Drosophila biocurator. I've been working for FlyBase for 4 years")</f>
        <v>I am a Drosophila biocurator. I've been working for FlyBase for 4 years</v>
      </c>
      <c r="V157" s="49" t="str">
        <f ca="1">IFERROR(__xludf.DUMMYFUNCTION("QUERY('Volunteer Survey'!O164)"),"No")</f>
        <v>No</v>
      </c>
      <c r="W157" s="60" t="str">
        <f ca="1">IFERROR(__xludf.DUMMYFUNCTION("QUERY('Volunteer Survey'!P164)"),"")</f>
        <v/>
      </c>
      <c r="X157" s="58" t="str">
        <f ca="1">IFERROR(__xludf.DUMMYFUNCTION("QUERY('Volunteer Survey'!R164)"),"")</f>
        <v/>
      </c>
      <c r="Y157" s="47"/>
      <c r="Z157" s="174">
        <f ca="1">IFERROR(__xludf.DUMMYFUNCTION("QUERY('Volunteer Survey'!A156)"),43560.8008204513)</f>
        <v>43560.800820451303</v>
      </c>
      <c r="AA157" s="175" t="str">
        <f ca="1">IFERROR(__xludf.DUMMYFUNCTION("QUERY('Volunteer Survey'!B156)"),"Samantha Chill")</f>
        <v>Samantha Chill</v>
      </c>
      <c r="AB157" s="175" t="str">
        <f ca="1">IFERROR(__xludf.DUMMYFUNCTION("QUERY('Volunteer Survey'!C156)"),"George Mason University")</f>
        <v>George Mason University</v>
      </c>
      <c r="AC157" s="175" t="str">
        <f ca="1">IFERROR(__xludf.DUMMYFUNCTION("QUERY('Volunteer Survey'!D156)"),"4923 Americana Dr, Annandale VA 22003")</f>
        <v>4923 Americana Dr, Annandale VA 22003</v>
      </c>
      <c r="AD157" s="175" t="str">
        <f ca="1">IFERROR(__xludf.DUMMYFUNCTION("QUERY('Volunteer Survey'!E156)"),"slsevilla@gmail.com")</f>
        <v>slsevilla@gmail.com</v>
      </c>
      <c r="AE157" s="175" t="str">
        <f ca="1">IFERROR(__xludf.DUMMYFUNCTION("QUERY('Volunteer Survey'!F156)"),"Graduate Student")</f>
        <v>Graduate Student</v>
      </c>
      <c r="AF157" s="175" t="str">
        <f ca="1">IFERROR(__xludf.DUMMYFUNCTION("QUERY('Volunteer Survey'!G156)"),"ACMG Conference 2019")</f>
        <v>ACMG Conference 2019</v>
      </c>
      <c r="AG157" s="175" t="str">
        <f ca="1">IFERROR(__xludf.DUMMYFUNCTION("QUERY('Volunteer Survey'!H156)"),"Comprehensive")</f>
        <v>Comprehensive</v>
      </c>
      <c r="AH157" s="175" t="str">
        <f ca="1">IFERROR(__xludf.DUMMYFUNCTION("QUERY('Volunteer Survey'!I156)"),"Gene-Disease Validity")</f>
        <v>Gene-Disease Validity</v>
      </c>
      <c r="AI157" s="175" t="str">
        <f ca="1">IFERROR(__xludf.DUMMYFUNCTION("QUERY('Volunteer Survey'!J156)"),"Variant Pathogenicity")</f>
        <v>Variant Pathogenicity</v>
      </c>
      <c r="AJ157" s="175" t="str">
        <f ca="1">IFERROR(__xludf.DUMMYFUNCTION("QUERY('Volunteer Survey'!K156)"),"Somatic Cancer")</f>
        <v>Somatic Cancer</v>
      </c>
      <c r="AK157" s="175" t="str">
        <f ca="1">IFERROR(__xludf.DUMMYFUNCTION("QUERY('Volunteer Survey'!L156)"),"Dosage Sensitivity")</f>
        <v>Dosage Sensitivity</v>
      </c>
      <c r="AL157" s="175" t="str">
        <f ca="1">IFERROR(__xludf.DUMMYFUNCTION("QUERY('Volunteer Survey'!M156)"),"Clinical Actionability")</f>
        <v>Clinical Actionability</v>
      </c>
      <c r="AM157" s="175" t="str">
        <f ca="1">IFERROR(__xludf.DUMMYFUNCTION("QUERY('Volunteer Survey'!N156)"),"")</f>
        <v/>
      </c>
      <c r="AN157" s="175" t="str">
        <f ca="1">IFERROR(__xludf.DUMMYFUNCTION("QUERY('Volunteer Survey'!O156)"),"Possibly")</f>
        <v>Possibly</v>
      </c>
      <c r="AO157" s="175" t="str">
        <f ca="1">IFERROR(__xludf.DUMMYFUNCTION("QUERY('Volunteer Survey'!P156)"),"")</f>
        <v/>
      </c>
    </row>
    <row r="158" spans="1:41" ht="14">
      <c r="A158" s="44">
        <f ca="1">IFERROR(__xludf.DUMMYFUNCTION("QUERY('Volunteer Survey'!A165)"),43564.4933464004)</f>
        <v>43564.493346400399</v>
      </c>
      <c r="B158" s="42" t="s">
        <v>108</v>
      </c>
      <c r="C158" s="47"/>
      <c r="D158" s="59">
        <v>43585</v>
      </c>
      <c r="E158" s="42" t="s">
        <v>117</v>
      </c>
      <c r="F158" s="42" t="s">
        <v>117</v>
      </c>
      <c r="G158" s="42" t="s">
        <v>122</v>
      </c>
      <c r="H158" s="45" t="s">
        <v>123</v>
      </c>
      <c r="I158" s="45" t="s">
        <v>139</v>
      </c>
      <c r="J158" s="50">
        <v>43712</v>
      </c>
      <c r="K158" s="50"/>
      <c r="L158" s="49" t="str">
        <f ca="1">IFERROR(__xludf.DUMMYFUNCTION("QUERY('Volunteer Survey'!B165)"),"Alexander Ing")</f>
        <v>Alexander Ing</v>
      </c>
      <c r="M158" s="49" t="str">
        <f ca="1">IFERROR(__xludf.DUMMYFUNCTION("QUERY('Volunteer Survey'!E165)"),"aing@luriechildrens.org")</f>
        <v>aing@luriechildrens.org</v>
      </c>
      <c r="N158" s="49" t="str">
        <f ca="1">IFERROR(__xludf.DUMMYFUNCTION("QUERY('Volunteer Survey'!F165)"),"Genetic counselor")</f>
        <v>Genetic counselor</v>
      </c>
      <c r="O158" s="42" t="str">
        <f ca="1">IFERROR(__xludf.DUMMYFUNCTION("QUERY('Volunteer Survey'!H165)"),"Comprehensive")</f>
        <v>Comprehensive</v>
      </c>
      <c r="P158" s="49" t="str">
        <f ca="1">IFERROR(__xludf.DUMMYFUNCTION("QUERY('Volunteer Survey'!I165)"),"Gene-Disease Validity")</f>
        <v>Gene-Disease Validity</v>
      </c>
      <c r="Q158" s="54" t="str">
        <f ca="1">IFERROR(__xludf.DUMMYFUNCTION("QUERY('Volunteer Survey'!J165)"),"Variant Pathogenicity")</f>
        <v>Variant Pathogenicity</v>
      </c>
      <c r="R158" s="49" t="str">
        <f ca="1">IFERROR(__xludf.DUMMYFUNCTION("QUERY('Volunteer Survey'!K165)"),"Clinical Actionability")</f>
        <v>Clinical Actionability</v>
      </c>
      <c r="S158" s="49" t="str">
        <f ca="1">IFERROR(__xludf.DUMMYFUNCTION("QUERY('Volunteer Survey'!L165)"),"")</f>
        <v/>
      </c>
      <c r="T158" s="49" t="str">
        <f ca="1">IFERROR(__xludf.DUMMYFUNCTION("QUERY('Volunteer Survey'!M165)"),"")</f>
        <v/>
      </c>
      <c r="U158" s="58" t="str">
        <f ca="1">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V158" s="49" t="str">
        <f ca="1">IFERROR(__xludf.DUMMYFUNCTION("QUERY('Volunteer Survey'!O165)"),"Possibly")</f>
        <v>Possibly</v>
      </c>
      <c r="W158" s="60" t="str">
        <f ca="1">IFERROR(__xludf.DUMMYFUNCTION("QUERY('Volunteer Survey'!P165)"),"epilepsy")</f>
        <v>epilepsy</v>
      </c>
      <c r="X158" s="58" t="str">
        <f ca="1">IFERROR(__xludf.DUMMYFUNCTION("QUERY('Volunteer Survey'!R165)"),"Maybe -- please contact me with other options, and I will decide based on what is available")</f>
        <v>Maybe -- please contact me with other options, and I will decide based on what is available</v>
      </c>
      <c r="Y158" s="47"/>
      <c r="Z158" s="174">
        <f ca="1">IFERROR(__xludf.DUMMYFUNCTION("QUERY('Volunteer Survey'!A157)"),43560.8420587384)</f>
        <v>43560.842058738403</v>
      </c>
      <c r="AA158" s="175" t="str">
        <f ca="1">IFERROR(__xludf.DUMMYFUNCTION("QUERY('Volunteer Survey'!B157)"),"Kristin Maloney")</f>
        <v>Kristin Maloney</v>
      </c>
      <c r="AB158" s="175" t="str">
        <f ca="1">IFERROR(__xludf.DUMMYFUNCTION("QUERY('Volunteer Survey'!C157)"),"University of Maryland School of Medicine")</f>
        <v>University of Maryland School of Medicine</v>
      </c>
      <c r="AC158" s="175" t="str">
        <f ca="1">IFERROR(__xludf.DUMMYFUNCTION("QUERY('Volunteer Survey'!D157)"),"685 W. Baltimore St, MSTF 3-14H, Baltimore, MD  21201")</f>
        <v>685 W. Baltimore St, MSTF 3-14H, Baltimore, MD  21201</v>
      </c>
      <c r="AD158" s="175" t="str">
        <f ca="1">IFERROR(__xludf.DUMMYFUNCTION("QUERY('Volunteer Survey'!E157)"),"kmaloney1@som.umaryland.edu")</f>
        <v>kmaloney1@som.umaryland.edu</v>
      </c>
      <c r="AE158" s="175" t="str">
        <f ca="1">IFERROR(__xludf.DUMMYFUNCTION("QUERY('Volunteer Survey'!F157)"),"Genetic counselor")</f>
        <v>Genetic counselor</v>
      </c>
      <c r="AF158" s="175" t="str">
        <f ca="1">IFERROR(__xludf.DUMMYFUNCTION("QUERY('Volunteer Survey'!G157)"),"ClinGen affiliated emails and/or newsletters")</f>
        <v>ClinGen affiliated emails and/or newsletters</v>
      </c>
      <c r="AG158" s="175" t="str">
        <f ca="1">IFERROR(__xludf.DUMMYFUNCTION("QUERY('Volunteer Survey'!H157)"),"Baseline")</f>
        <v>Baseline</v>
      </c>
      <c r="AH158" s="175" t="str">
        <f ca="1">IFERROR(__xludf.DUMMYFUNCTION("QUERY('Volunteer Survey'!I157)"),"Somatic Cancer")</f>
        <v>Somatic Cancer</v>
      </c>
      <c r="AI158" s="175" t="str">
        <f ca="1">IFERROR(__xludf.DUMMYFUNCTION("QUERY('Volunteer Survey'!J157)"),"")</f>
        <v/>
      </c>
      <c r="AJ158" s="175" t="str">
        <f ca="1">IFERROR(__xludf.DUMMYFUNCTION("QUERY('Volunteer Survey'!K157)"),"")</f>
        <v/>
      </c>
      <c r="AK158" s="175" t="str">
        <f ca="1">IFERROR(__xludf.DUMMYFUNCTION("QUERY('Volunteer Survey'!L157)"),"")</f>
        <v/>
      </c>
      <c r="AL158" s="175" t="str">
        <f ca="1">IFERROR(__xludf.DUMMYFUNCTION("QUERY('Volunteer Survey'!M157)"),"")</f>
        <v/>
      </c>
      <c r="AM158" s="175" t="str">
        <f ca="1">IFERROR(__xludf.DUMMYFUNCTION("QUERY('Volunteer Survey'!N157)"),"I don't have much experience with somatic variant interpretation, but am a biocurator on the monogenic diabetes expert panel.")</f>
        <v>I don't have much experience with somatic variant interpretation, but am a biocurator on the monogenic diabetes expert panel.</v>
      </c>
      <c r="AN158" s="175" t="str">
        <f ca="1">IFERROR(__xludf.DUMMYFUNCTION("QUERY('Volunteer Survey'!O157)"),"No")</f>
        <v>No</v>
      </c>
      <c r="AO158" s="175" t="str">
        <f ca="1">IFERROR(__xludf.DUMMYFUNCTION("QUERY('Volunteer Survey'!P157)"),"Somatic cancer (am already on the monogenic diabetes expert panel)")</f>
        <v>Somatic cancer (am already on the monogenic diabetes expert panel)</v>
      </c>
    </row>
    <row r="159" spans="1:41" ht="14">
      <c r="A159" s="44">
        <f ca="1">IFERROR(__xludf.DUMMYFUNCTION("QUERY('Volunteer Survey'!A166)"),43564.6942130555)</f>
        <v>43564.694213055503</v>
      </c>
      <c r="B159" s="42" t="s">
        <v>108</v>
      </c>
      <c r="C159" s="47"/>
      <c r="D159" s="59">
        <v>43692</v>
      </c>
      <c r="E159" s="42" t="s">
        <v>117</v>
      </c>
      <c r="F159" s="42" t="s">
        <v>130</v>
      </c>
      <c r="G159" s="42" t="s">
        <v>122</v>
      </c>
      <c r="H159" s="47"/>
      <c r="I159" s="45" t="s">
        <v>139</v>
      </c>
      <c r="J159" s="49"/>
      <c r="K159" s="49"/>
      <c r="L159" s="49" t="str">
        <f ca="1">IFERROR(__xludf.DUMMYFUNCTION("QUERY('Volunteer Survey'!B166)"),"Jun Liao")</f>
        <v>Jun Liao</v>
      </c>
      <c r="M159" s="49" t="str">
        <f ca="1">IFERROR(__xludf.DUMMYFUNCTION("QUERY('Volunteer Survey'!E166)"),"jl5098@cumc.columbia.edu")</f>
        <v>jl5098@cumc.columbia.edu</v>
      </c>
      <c r="N159" s="49" t="str">
        <f ca="1">IFERROR(__xludf.DUMMYFUNCTION("QUERY('Volunteer Survey'!F166)"),"Clinical laboratory geneticist")</f>
        <v>Clinical laboratory geneticist</v>
      </c>
      <c r="O159" s="42" t="str">
        <f ca="1">IFERROR(__xludf.DUMMYFUNCTION("QUERY('Volunteer Survey'!H166)"),"Comprehensive")</f>
        <v>Comprehensive</v>
      </c>
      <c r="P159" s="49" t="str">
        <f ca="1">IFERROR(__xludf.DUMMYFUNCTION("QUERY('Volunteer Survey'!I166)"),"Gene-Disease Validity")</f>
        <v>Gene-Disease Validity</v>
      </c>
      <c r="Q159" s="54" t="str">
        <f ca="1">IFERROR(__xludf.DUMMYFUNCTION("QUERY('Volunteer Survey'!J166)"),"Variant Pathogenicity")</f>
        <v>Variant Pathogenicity</v>
      </c>
      <c r="R159" s="49" t="str">
        <f ca="1">IFERROR(__xludf.DUMMYFUNCTION("QUERY('Volunteer Survey'!K166)"),"Dosage Sensitivity")</f>
        <v>Dosage Sensitivity</v>
      </c>
      <c r="S159" s="49" t="str">
        <f ca="1">IFERROR(__xludf.DUMMYFUNCTION("QUERY('Volunteer Survey'!L166)"),"Clinical Actionability")</f>
        <v>Clinical Actionability</v>
      </c>
      <c r="T159" s="49" t="str">
        <f ca="1">IFERROR(__xludf.DUMMYFUNCTION("QUERY('Volunteer Survey'!M166)"),"Somatic Cancer")</f>
        <v>Somatic Cancer</v>
      </c>
      <c r="U159" s="58" t="str">
        <f ca="1">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V159" s="49" t="str">
        <f ca="1">IFERROR(__xludf.DUMMYFUNCTION("QUERY('Volunteer Survey'!O166)"),"Yes")</f>
        <v>Yes</v>
      </c>
      <c r="W159" s="60" t="str">
        <f ca="1">IFERROR(__xludf.DUMMYFUNCTION("QUERY('Volunteer Survey'!P166)"),"1. Lysosomal Storage Disorders VCEP; 2. ID/Autism GCEP")</f>
        <v>1. Lysosomal Storage Disorders VCEP; 2. ID/Autism GCEP</v>
      </c>
      <c r="X159" s="58" t="str">
        <f ca="1">IFERROR(__xludf.DUMMYFUNCTION("QUERY('Volunteer Survey'!R166)"),"Maybe -- please contact me with other options, and I will decide based on what is available")</f>
        <v>Maybe -- please contact me with other options, and I will decide based on what is available</v>
      </c>
      <c r="Y159" s="47"/>
      <c r="Z159" s="174">
        <f ca="1">IFERROR(__xludf.DUMMYFUNCTION("QUERY('Volunteer Survey'!A158)"),43560.9882557638)</f>
        <v>43560.988255763797</v>
      </c>
      <c r="AA159" s="175" t="str">
        <f ca="1">IFERROR(__xludf.DUMMYFUNCTION("QUERY('Volunteer Survey'!B158)"),"HECTOR RODRIGO MENDEZ")</f>
        <v>HECTOR RODRIGO MENDEZ</v>
      </c>
      <c r="AB159" s="175" t="str">
        <f ca="1">IFERROR(__xludf.DUMMYFUNCTION("QUERY('Volunteer Survey'!C158)"),"National Medical Genetics Centre")</f>
        <v>National Medical Genetics Centre</v>
      </c>
      <c r="AC159" s="175" t="str">
        <f ca="1">IFERROR(__xludf.DUMMYFUNCTION("QUERY('Volunteer Survey'!D158)"),"Las Heras 2670")</f>
        <v>Las Heras 2670</v>
      </c>
      <c r="AD159" s="175" t="str">
        <f ca="1">IFERROR(__xludf.DUMMYFUNCTION("QUERY('Volunteer Survey'!E158)"),"rodrigomendezh@gmail.com")</f>
        <v>rodrigomendezh@gmail.com</v>
      </c>
      <c r="AE159" s="175" t="str">
        <f ca="1">IFERROR(__xludf.DUMMYFUNCTION("QUERY('Volunteer Survey'!F158)"),"Clinical Medical Geneticist")</f>
        <v>Clinical Medical Geneticist</v>
      </c>
      <c r="AF159" s="175" t="str">
        <f ca="1">IFERROR(__xludf.DUMMYFUNCTION("QUERY('Volunteer Survey'!G158)"),"The clinicalgenome.org website")</f>
        <v>The clinicalgenome.org website</v>
      </c>
      <c r="AG159" s="175" t="str">
        <f ca="1">IFERROR(__xludf.DUMMYFUNCTION("QUERY('Volunteer Survey'!H158)"),"Comprehensive")</f>
        <v>Comprehensive</v>
      </c>
      <c r="AH159" s="175" t="str">
        <f ca="1">IFERROR(__xludf.DUMMYFUNCTION("QUERY('Volunteer Survey'!I158)"),"Gene-Disease Validity")</f>
        <v>Gene-Disease Validity</v>
      </c>
      <c r="AI159" s="175" t="str">
        <f ca="1">IFERROR(__xludf.DUMMYFUNCTION("QUERY('Volunteer Survey'!J158)"),"Variant Pathogenicity")</f>
        <v>Variant Pathogenicity</v>
      </c>
      <c r="AJ159" s="175" t="str">
        <f ca="1">IFERROR(__xludf.DUMMYFUNCTION("QUERY('Volunteer Survey'!K158)"),"Clinical Actionability")</f>
        <v>Clinical Actionability</v>
      </c>
      <c r="AK159" s="175" t="str">
        <f ca="1">IFERROR(__xludf.DUMMYFUNCTION("QUERY('Volunteer Survey'!L158)"),"")</f>
        <v/>
      </c>
      <c r="AL159" s="175" t="str">
        <f ca="1">IFERROR(__xludf.DUMMYFUNCTION("QUERY('Volunteer Survey'!M158)"),"")</f>
        <v/>
      </c>
      <c r="AM159" s="175" t="str">
        <f ca="1">IFERROR(__xludf.DUMMYFUNCTION("QUERY('Volunteer Survey'!N158)"),"My Master´s thesis project was about the utility of whole Exome sequencing in some patient in the NICU.")</f>
        <v>My Master´s thesis project was about the utility of whole Exome sequencing in some patient in the NICU.</v>
      </c>
      <c r="AN159" s="175" t="str">
        <f ca="1">IFERROR(__xludf.DUMMYFUNCTION("QUERY('Volunteer Survey'!O158)"),"Possibly")</f>
        <v>Possibly</v>
      </c>
      <c r="AO159" s="175" t="str">
        <f ca="1">IFERROR(__xludf.DUMMYFUNCTION("QUERY('Volunteer Survey'!P158)"),"Intellectual Disability and Autism, RASopathy")</f>
        <v>Intellectual Disability and Autism, RASopathy</v>
      </c>
    </row>
    <row r="160" spans="1:41" ht="14">
      <c r="A160" s="44">
        <f ca="1">IFERROR(__xludf.DUMMYFUNCTION("QUERY('Volunteer Survey'!A167)"),43564.7106672569)</f>
        <v>43564.710667256899</v>
      </c>
      <c r="B160" s="42" t="s">
        <v>108</v>
      </c>
      <c r="C160" s="47"/>
      <c r="D160" s="59">
        <v>43585</v>
      </c>
      <c r="E160" s="42" t="s">
        <v>117</v>
      </c>
      <c r="F160" s="42" t="s">
        <v>117</v>
      </c>
      <c r="G160" s="42" t="s">
        <v>122</v>
      </c>
      <c r="H160" s="45" t="s">
        <v>123</v>
      </c>
      <c r="I160" s="45" t="s">
        <v>139</v>
      </c>
      <c r="J160" s="50">
        <v>43712</v>
      </c>
      <c r="K160" s="50"/>
      <c r="L160" s="49" t="str">
        <f ca="1">IFERROR(__xludf.DUMMYFUNCTION("QUERY('Volunteer Survey'!B167)"),"Maki Kaneko")</f>
        <v>Maki Kaneko</v>
      </c>
      <c r="M160" s="49" t="str">
        <f ca="1">IFERROR(__xludf.DUMMYFUNCTION("QUERY('Volunteer Survey'!E167)"),"mkaneko@chla.usc.edu")</f>
        <v>mkaneko@chla.usc.edu</v>
      </c>
      <c r="N160" s="49" t="str">
        <f ca="1">IFERROR(__xludf.DUMMYFUNCTION("QUERY('Volunteer Survey'!F167)"),"Genetic counselor")</f>
        <v>Genetic counselor</v>
      </c>
      <c r="O160" s="42" t="str">
        <f ca="1">IFERROR(__xludf.DUMMYFUNCTION("QUERY('Volunteer Survey'!H167)"),"Comprehensive")</f>
        <v>Comprehensive</v>
      </c>
      <c r="P160" s="49" t="str">
        <f ca="1">IFERROR(__xludf.DUMMYFUNCTION("QUERY('Volunteer Survey'!I167)"),"Gene-Disease Validity")</f>
        <v>Gene-Disease Validity</v>
      </c>
      <c r="Q160" s="54" t="str">
        <f ca="1">IFERROR(__xludf.DUMMYFUNCTION("QUERY('Volunteer Survey'!J167)"),"Variant Pathogenicity")</f>
        <v>Variant Pathogenicity</v>
      </c>
      <c r="R160" s="49" t="str">
        <f ca="1">IFERROR(__xludf.DUMMYFUNCTION("QUERY('Volunteer Survey'!K167)"),"Clinical Actionability")</f>
        <v>Clinical Actionability</v>
      </c>
      <c r="S160" s="49" t="str">
        <f ca="1">IFERROR(__xludf.DUMMYFUNCTION("QUERY('Volunteer Survey'!L167)"),"Dosage Sensitivity")</f>
        <v>Dosage Sensitivity</v>
      </c>
      <c r="T160" s="49" t="str">
        <f ca="1">IFERROR(__xludf.DUMMYFUNCTION("QUERY('Volunteer Survey'!M167)"),"Somatic Cancer")</f>
        <v>Somatic Cancer</v>
      </c>
      <c r="U160" s="58" t="str">
        <f ca="1">IFERROR(__xludf.DUMMYFUNCTION("QUERY('Volunteer Survey'!N167)"),"")</f>
        <v/>
      </c>
      <c r="V160" s="49" t="str">
        <f ca="1">IFERROR(__xludf.DUMMYFUNCTION("QUERY('Volunteer Survey'!O167)"),"No")</f>
        <v>No</v>
      </c>
      <c r="W160" s="60" t="str">
        <f ca="1">IFERROR(__xludf.DUMMYFUNCTION("QUERY('Volunteer Survey'!P167)"),"Epilepsy")</f>
        <v>Epilepsy</v>
      </c>
      <c r="X160" s="58" t="str">
        <f ca="1">IFERROR(__xludf.DUMMYFUNCTION("QUERY('Volunteer Survey'!R167)"),"Maybe -- please contact me with other options, and I will decide based on what is available")</f>
        <v>Maybe -- please contact me with other options, and I will decide based on what is available</v>
      </c>
      <c r="Y160" s="47"/>
      <c r="Z160" s="174">
        <f ca="1">IFERROR(__xludf.DUMMYFUNCTION("QUERY('Volunteer Survey'!A159)"),43562.7487611921)</f>
        <v>43562.748761192102</v>
      </c>
      <c r="AA160" s="175" t="str">
        <f ca="1">IFERROR(__xludf.DUMMYFUNCTION("QUERY('Volunteer Survey'!B159)"),"M.I. anwar")</f>
        <v>M.I. anwar</v>
      </c>
      <c r="AB160" s="175" t="str">
        <f ca="1">IFERROR(__xludf.DUMMYFUNCTION("QUERY('Volunteer Survey'!C159)"),"lahore leads university")</f>
        <v>lahore leads university</v>
      </c>
      <c r="AC160" s="175" t="str">
        <f ca="1">IFERROR(__xludf.DUMMYFUNCTION("QUERY('Volunteer Survey'!D159)"),"pakistan")</f>
        <v>pakistan</v>
      </c>
      <c r="AD160" s="175" t="str">
        <f ca="1">IFERROR(__xludf.DUMMYFUNCTION("QUERY('Volunteer Survey'!E159)"),"mimtiazanwar@gmail.com")</f>
        <v>mimtiazanwar@gmail.com</v>
      </c>
      <c r="AE160" s="175" t="str">
        <f ca="1">IFERROR(__xludf.DUMMYFUNCTION("QUERY('Volunteer Survey'!F159)"),"Scientific Researcher")</f>
        <v>Scientific Researcher</v>
      </c>
      <c r="AF160" s="175" t="str">
        <f ca="1">IFERROR(__xludf.DUMMYFUNCTION("QUERY('Volunteer Survey'!G159)"),"Networking")</f>
        <v>Networking</v>
      </c>
      <c r="AG160" s="175" t="str">
        <f ca="1">IFERROR(__xludf.DUMMYFUNCTION("QUERY('Volunteer Survey'!H159)"),"Baseline")</f>
        <v>Baseline</v>
      </c>
      <c r="AH160" s="175" t="str">
        <f ca="1">IFERROR(__xludf.DUMMYFUNCTION("QUERY('Volunteer Survey'!I159)"),"Clinical Actionability")</f>
        <v>Clinical Actionability</v>
      </c>
      <c r="AI160" s="175" t="str">
        <f ca="1">IFERROR(__xludf.DUMMYFUNCTION("QUERY('Volunteer Survey'!J159)"),"")</f>
        <v/>
      </c>
      <c r="AJ160" s="175" t="str">
        <f ca="1">IFERROR(__xludf.DUMMYFUNCTION("QUERY('Volunteer Survey'!K159)"),"")</f>
        <v/>
      </c>
      <c r="AK160" s="175" t="str">
        <f ca="1">IFERROR(__xludf.DUMMYFUNCTION("QUERY('Volunteer Survey'!L159)"),"")</f>
        <v/>
      </c>
      <c r="AL160" s="175" t="str">
        <f ca="1">IFERROR(__xludf.DUMMYFUNCTION("QUERY('Volunteer Survey'!M159)"),"")</f>
        <v/>
      </c>
      <c r="AM160" s="175" t="str">
        <f ca="1">IFERROR(__xludf.DUMMYFUNCTION("QUERY('Volunteer Survey'!N159)"),"")</f>
        <v/>
      </c>
      <c r="AN160" s="175" t="str">
        <f ca="1">IFERROR(__xludf.DUMMYFUNCTION("QUERY('Volunteer Survey'!O159)"),"Yes")</f>
        <v>Yes</v>
      </c>
      <c r="AO160" s="175" t="str">
        <f ca="1">IFERROR(__xludf.DUMMYFUNCTION("QUERY('Volunteer Survey'!P159)"),"YES I AM")</f>
        <v>YES I AM</v>
      </c>
    </row>
    <row r="161" spans="1:41" ht="14">
      <c r="A161" s="44">
        <f ca="1">IFERROR(__xludf.DUMMYFUNCTION("QUERY('Volunteer Survey'!A168)"),43564.7604356018)</f>
        <v>43564.760435601798</v>
      </c>
      <c r="B161" s="42" t="s">
        <v>108</v>
      </c>
      <c r="C161" s="47"/>
      <c r="D161" s="49"/>
      <c r="E161" s="42" t="s">
        <v>130</v>
      </c>
      <c r="F161" s="42" t="s">
        <v>130</v>
      </c>
      <c r="G161" s="42" t="s">
        <v>202</v>
      </c>
      <c r="H161" s="47"/>
      <c r="I161" s="45" t="s">
        <v>139</v>
      </c>
      <c r="J161" s="49"/>
      <c r="K161" s="49"/>
      <c r="L161" s="49" t="str">
        <f ca="1">IFERROR(__xludf.DUMMYFUNCTION("QUERY('Volunteer Survey'!B168)"),"Emma Leach")</f>
        <v>Emma Leach</v>
      </c>
      <c r="M161" s="49" t="str">
        <f ca="1">IFERROR(__xludf.DUMMYFUNCTION("QUERY('Volunteer Survey'!E168)"),"eleach@providencehealth.bc.ca")</f>
        <v>eleach@providencehealth.bc.ca</v>
      </c>
      <c r="N161" s="49" t="str">
        <f ca="1">IFERROR(__xludf.DUMMYFUNCTION("QUERY('Volunteer Survey'!F168)"),"Genetic counselor")</f>
        <v>Genetic counselor</v>
      </c>
      <c r="O161" s="42" t="str">
        <f ca="1">IFERROR(__xludf.DUMMYFUNCTION("QUERY('Volunteer Survey'!H168)"),"Baseline")</f>
        <v>Baseline</v>
      </c>
      <c r="P161" s="49" t="str">
        <f ca="1">IFERROR(__xludf.DUMMYFUNCTION("QUERY('Volunteer Survey'!I168)"),"Clinical Actionability")</f>
        <v>Clinical Actionability</v>
      </c>
      <c r="Q161" s="54" t="str">
        <f ca="1">IFERROR(__xludf.DUMMYFUNCTION("QUERY('Volunteer Survey'!J168)"),"Gene-Disease Validity")</f>
        <v>Gene-Disease Validity</v>
      </c>
      <c r="R161" s="49" t="str">
        <f ca="1">IFERROR(__xludf.DUMMYFUNCTION("QUERY('Volunteer Survey'!K168)"),"Variant Pathogenicity")</f>
        <v>Variant Pathogenicity</v>
      </c>
      <c r="S161" s="49" t="str">
        <f ca="1">IFERROR(__xludf.DUMMYFUNCTION("QUERY('Volunteer Survey'!L168)"),"Somatic Cancer")</f>
        <v>Somatic Cancer</v>
      </c>
      <c r="T161" s="49" t="str">
        <f ca="1">IFERROR(__xludf.DUMMYFUNCTION("QUERY('Volunteer Survey'!M168)"),"Dosage Sensitivity")</f>
        <v>Dosage Sensitivity</v>
      </c>
      <c r="U161" s="58" t="str">
        <f ca="1">IFERROR(__xludf.DUMMYFUNCTION("QUERY('Volunteer Survey'!N168)"),"previously published systematic literature review")</f>
        <v>previously published systematic literature review</v>
      </c>
      <c r="V161" s="49" t="str">
        <f ca="1">IFERROR(__xludf.DUMMYFUNCTION("QUERY('Volunteer Survey'!O168)"),"Yes")</f>
        <v>Yes</v>
      </c>
      <c r="W161" s="60" t="str">
        <f ca="1">IFERROR(__xludf.DUMMYFUNCTION("QUERY('Volunteer Survey'!P168)"),"cardiomyopathy")</f>
        <v>cardiomyopathy</v>
      </c>
      <c r="X161" s="58" t="str">
        <f ca="1">IFERROR(__xludf.DUMMYFUNCTION("QUERY('Volunteer Survey'!R168)"),"Yes- I am willing to volunteer with any available ClinGen group")</f>
        <v>Yes- I am willing to volunteer with any available ClinGen group</v>
      </c>
      <c r="Y161" s="47"/>
      <c r="Z161" s="174">
        <f ca="1">IFERROR(__xludf.DUMMYFUNCTION("QUERY('Volunteer Survey'!A160)"),43563.39827228)</f>
        <v>43563.398272279999</v>
      </c>
      <c r="AA161" s="175" t="str">
        <f ca="1">IFERROR(__xludf.DUMMYFUNCTION("QUERY('Volunteer Survey'!B160)"),"Karen Hanson")</f>
        <v>Karen Hanson</v>
      </c>
      <c r="AB161" s="175" t="str">
        <f ca="1">IFERROR(__xludf.DUMMYFUNCTION("QUERY('Volunteer Survey'!C160)"),"ICF international, ")</f>
        <v xml:space="preserve">ICF international, </v>
      </c>
      <c r="AC161" s="175" t="str">
        <f ca="1">IFERROR(__xludf.DUMMYFUNCTION("QUERY('Volunteer Survey'!D160)"),"12256 CARROLL MILL RD")</f>
        <v>12256 CARROLL MILL RD</v>
      </c>
      <c r="AD161" s="175" t="str">
        <f ca="1">IFERROR(__xludf.DUMMYFUNCTION("QUERY('Volunteer Survey'!E160)"),"krhms3@gmail.com")</f>
        <v>krhms3@gmail.com</v>
      </c>
      <c r="AE161" s="175" t="str">
        <f ca="1">IFERROR(__xludf.DUMMYFUNCTION("QUERY('Volunteer Survey'!F160)"),"Genetic counselor")</f>
        <v>Genetic counselor</v>
      </c>
      <c r="AF161" s="175" t="str">
        <f ca="1">IFERROR(__xludf.DUMMYFUNCTION("QUERY('Volunteer Survey'!G160)"),"ACMG Conference 2019")</f>
        <v>ACMG Conference 2019</v>
      </c>
      <c r="AG161" s="175" t="str">
        <f ca="1">IFERROR(__xludf.DUMMYFUNCTION("QUERY('Volunteer Survey'!H160)"),"Comprehensive")</f>
        <v>Comprehensive</v>
      </c>
      <c r="AH161" s="175" t="str">
        <f ca="1">IFERROR(__xludf.DUMMYFUNCTION("QUERY('Volunteer Survey'!I160)"),"Clinical Actionability")</f>
        <v>Clinical Actionability</v>
      </c>
      <c r="AI161" s="175" t="str">
        <f ca="1">IFERROR(__xludf.DUMMYFUNCTION("QUERY('Volunteer Survey'!J160)"),"Gene-Disease Validity")</f>
        <v>Gene-Disease Validity</v>
      </c>
      <c r="AJ161" s="175" t="str">
        <f ca="1">IFERROR(__xludf.DUMMYFUNCTION("QUERY('Volunteer Survey'!K160)"),"Somatic Cancer")</f>
        <v>Somatic Cancer</v>
      </c>
      <c r="AK161" s="175" t="str">
        <f ca="1">IFERROR(__xludf.DUMMYFUNCTION("QUERY('Volunteer Survey'!L160)"),"")</f>
        <v/>
      </c>
      <c r="AL161" s="175" t="str">
        <f ca="1">IFERROR(__xludf.DUMMYFUNCTION("QUERY('Volunteer Survey'!M160)"),"")</f>
        <v/>
      </c>
      <c r="AM161" s="175" t="str">
        <f ca="1">IFERROR(__xludf.DUMMYFUNCTION("QUERY('Volunteer Survey'!N160)"),"n/a")</f>
        <v>n/a</v>
      </c>
      <c r="AN161" s="175" t="str">
        <f ca="1">IFERROR(__xludf.DUMMYFUNCTION("QUERY('Volunteer Survey'!O160)"),"Possibly")</f>
        <v>Possibly</v>
      </c>
      <c r="AO161" s="175" t="str">
        <f ca="1">IFERROR(__xludf.DUMMYFUNCTION("QUERY('Volunteer Survey'!P160)"),"brain malformations, cancer")</f>
        <v>brain malformations, cancer</v>
      </c>
    </row>
    <row r="162" spans="1:41" ht="14">
      <c r="A162" s="44">
        <f ca="1">IFERROR(__xludf.DUMMYFUNCTION("QUERY('Volunteer Survey'!A169)"),43565.6199570717)</f>
        <v>43565.6199570717</v>
      </c>
      <c r="B162" s="42" t="s">
        <v>108</v>
      </c>
      <c r="C162" s="47"/>
      <c r="D162" s="49"/>
      <c r="E162" s="42" t="s">
        <v>130</v>
      </c>
      <c r="F162" s="42" t="s">
        <v>130</v>
      </c>
      <c r="G162" s="42" t="s">
        <v>202</v>
      </c>
      <c r="H162" s="47"/>
      <c r="I162" s="45" t="s">
        <v>139</v>
      </c>
      <c r="J162" s="49"/>
      <c r="K162" s="49"/>
      <c r="L162" s="49" t="str">
        <f ca="1">IFERROR(__xludf.DUMMYFUNCTION("QUERY('Volunteer Survey'!B169)"),"Megan Lynch")</f>
        <v>Megan Lynch</v>
      </c>
      <c r="M162" s="49" t="str">
        <f ca="1">IFERROR(__xludf.DUMMYFUNCTION("QUERY('Volunteer Survey'!E169)"),"megan.lynch@umaryland.edu")</f>
        <v>megan.lynch@umaryland.edu</v>
      </c>
      <c r="N162" s="49" t="str">
        <f ca="1">IFERROR(__xludf.DUMMYFUNCTION("QUERY('Volunteer Survey'!F169)"),"Graduate Student")</f>
        <v>Graduate Student</v>
      </c>
      <c r="O162" s="42" t="str">
        <f ca="1">IFERROR(__xludf.DUMMYFUNCTION("QUERY('Volunteer Survey'!H169)"),"Baseline")</f>
        <v>Baseline</v>
      </c>
      <c r="P162" s="49" t="str">
        <f ca="1">IFERROR(__xludf.DUMMYFUNCTION("QUERY('Volunteer Survey'!I169)"),"Dosage Sensitivity")</f>
        <v>Dosage Sensitivity</v>
      </c>
      <c r="Q162" s="54" t="str">
        <f ca="1">IFERROR(__xludf.DUMMYFUNCTION("QUERY('Volunteer Survey'!J169)"),"Variant Pathogenicity")</f>
        <v>Variant Pathogenicity</v>
      </c>
      <c r="R162" s="49" t="str">
        <f ca="1">IFERROR(__xludf.DUMMYFUNCTION("QUERY('Volunteer Survey'!K169)"),"Clinical Actionability")</f>
        <v>Clinical Actionability</v>
      </c>
      <c r="S162" s="49" t="str">
        <f ca="1">IFERROR(__xludf.DUMMYFUNCTION("QUERY('Volunteer Survey'!L169)"),"")</f>
        <v/>
      </c>
      <c r="T162" s="49" t="str">
        <f ca="1">IFERROR(__xludf.DUMMYFUNCTION("QUERY('Volunteer Survey'!M169)"),"")</f>
        <v/>
      </c>
      <c r="U162" s="58" t="str">
        <f ca="1">IFERROR(__xludf.DUMMYFUNCTION("QUERY('Volunteer Survey'!N169)"),"")</f>
        <v/>
      </c>
      <c r="V162" s="49" t="str">
        <f ca="1">IFERROR(__xludf.DUMMYFUNCTION("QUERY('Volunteer Survey'!O169)"),"Possibly")</f>
        <v>Possibly</v>
      </c>
      <c r="W162" s="60" t="str">
        <f ca="1">IFERROR(__xludf.DUMMYFUNCTION("QUERY('Volunteer Survey'!P169)"),"any of the cardiovascular working groups")</f>
        <v>any of the cardiovascular working groups</v>
      </c>
      <c r="X162" s="58" t="str">
        <f ca="1">IFERROR(__xludf.DUMMYFUNCTION("QUERY('Volunteer Survey'!R169)"),"No - I am only interested in the group(s) I previously indicated")</f>
        <v>No - I am only interested in the group(s) I previously indicated</v>
      </c>
      <c r="Y162" s="47"/>
      <c r="Z162" s="174">
        <f ca="1">IFERROR(__xludf.DUMMYFUNCTION("QUERY('Volunteer Survey'!A161)"),43563.560402824)</f>
        <v>43563.560402823998</v>
      </c>
      <c r="AA162" s="175" t="str">
        <f ca="1">IFERROR(__xludf.DUMMYFUNCTION("QUERY('Volunteer Survey'!B161)"),"Daniel Reich")</f>
        <v>Daniel Reich</v>
      </c>
      <c r="AB162" s="175" t="str">
        <f ca="1">IFERROR(__xludf.DUMMYFUNCTION("QUERY('Volunteer Survey'!C161)"),"ARUP Laboratories")</f>
        <v>ARUP Laboratories</v>
      </c>
      <c r="AC162" s="175" t="str">
        <f ca="1">IFERROR(__xludf.DUMMYFUNCTION("QUERY('Volunteer Survey'!D161)"),"500 Chipeta Way, Salt Lake City, UT 84108")</f>
        <v>500 Chipeta Way, Salt Lake City, UT 84108</v>
      </c>
      <c r="AD162" s="175" t="str">
        <f ca="1">IFERROR(__xludf.DUMMYFUNCTION("QUERY('Volunteer Survey'!E161)"),"daniel.reich@aruplab.com")</f>
        <v>daniel.reich@aruplab.com</v>
      </c>
      <c r="AE162" s="175" t="str">
        <f ca="1">IFERROR(__xludf.DUMMYFUNCTION("QUERY('Volunteer Survey'!F161)"),"Variant Analyst/Scientist - Industry")</f>
        <v>Variant Analyst/Scientist - Industry</v>
      </c>
      <c r="AF162" s="175" t="str">
        <f ca="1">IFERROR(__xludf.DUMMYFUNCTION("QUERY('Volunteer Survey'!G161)"),"ACMG Conference 2019, Colleagues")</f>
        <v>ACMG Conference 2019, Colleagues</v>
      </c>
      <c r="AG162" s="175" t="str">
        <f ca="1">IFERROR(__xludf.DUMMYFUNCTION("QUERY('Volunteer Survey'!H161)"),"Comprehensive")</f>
        <v>Comprehensive</v>
      </c>
      <c r="AH162" s="175" t="str">
        <f ca="1">IFERROR(__xludf.DUMMYFUNCTION("QUERY('Volunteer Survey'!I161)"),"Variant Pathogenicity")</f>
        <v>Variant Pathogenicity</v>
      </c>
      <c r="AI162" s="175" t="str">
        <f ca="1">IFERROR(__xludf.DUMMYFUNCTION("QUERY('Volunteer Survey'!J161)"),"Gene-Disease Validity")</f>
        <v>Gene-Disease Validity</v>
      </c>
      <c r="AJ162" s="175" t="str">
        <f ca="1">IFERROR(__xludf.DUMMYFUNCTION("QUERY('Volunteer Survey'!K161)"),"Clinical Actionability")</f>
        <v>Clinical Actionability</v>
      </c>
      <c r="AK162" s="175" t="str">
        <f ca="1">IFERROR(__xludf.DUMMYFUNCTION("QUERY('Volunteer Survey'!L161)"),"")</f>
        <v/>
      </c>
      <c r="AL162" s="175" t="str">
        <f ca="1">IFERROR(__xludf.DUMMYFUNCTION("QUERY('Volunteer Survey'!M161)"),"")</f>
        <v/>
      </c>
      <c r="AM162" s="175" t="str">
        <f ca="1">IFERROR(__xludf.DUMMYFUNCTION("QUERY('Volunteer Survey'!N161)"),"As a variant scientist, I have been doing variant classification for clinical genetics tests for ~10 months. I have been involved in discussing gene-disease validity, though only for the last 1-2 months.")</f>
        <v>As a variant scientist, I have been doing variant classification for clinical genetics tests for ~10 months. I have been involved in discussing gene-disease validity, though only for the last 1-2 months.</v>
      </c>
      <c r="AN162" s="175" t="str">
        <f ca="1">IFERROR(__xludf.DUMMYFUNCTION("QUERY('Volunteer Survey'!O161)"),"No")</f>
        <v>No</v>
      </c>
      <c r="AO162" s="175" t="str">
        <f ca="1">IFERROR(__xludf.DUMMYFUNCTION("QUERY('Volunteer Survey'!P161)"),"Cerebral Creatine Deficiency Syndromes")</f>
        <v>Cerebral Creatine Deficiency Syndromes</v>
      </c>
    </row>
    <row r="163" spans="1:41" ht="14">
      <c r="A163" s="44">
        <f ca="1">IFERROR(__xludf.DUMMYFUNCTION("QUERY('Volunteer Survey'!A170)"),43566.0396503819)</f>
        <v>43566.039650381899</v>
      </c>
      <c r="B163" s="42" t="s">
        <v>160</v>
      </c>
      <c r="C163" s="47"/>
      <c r="D163" s="50">
        <v>43627</v>
      </c>
      <c r="E163" s="42" t="s">
        <v>117</v>
      </c>
      <c r="F163" s="42" t="s">
        <v>117</v>
      </c>
      <c r="G163" s="42" t="s">
        <v>251</v>
      </c>
      <c r="H163" s="45" t="s">
        <v>311</v>
      </c>
      <c r="I163" s="45" t="s">
        <v>139</v>
      </c>
      <c r="J163" s="50">
        <v>43712</v>
      </c>
      <c r="K163" s="50"/>
      <c r="L163" s="49" t="str">
        <f ca="1">IFERROR(__xludf.DUMMYFUNCTION("QUERY('Volunteer Survey'!B170)"),"Suvina To")</f>
        <v>Suvina To</v>
      </c>
      <c r="M163" s="49" t="str">
        <f ca="1">IFERROR(__xludf.DUMMYFUNCTION("QUERY('Volunteer Survey'!E170)"),"suvina@gmail.com")</f>
        <v>suvina@gmail.com</v>
      </c>
      <c r="N163" s="49" t="str">
        <f ca="1">IFERROR(__xludf.DUMMYFUNCTION("QUERY('Volunteer Survey'!F170)"),"Variant Analyst/Scientist - Industry")</f>
        <v>Variant Analyst/Scientist - Industry</v>
      </c>
      <c r="O163" s="42" t="str">
        <f ca="1">IFERROR(__xludf.DUMMYFUNCTION("QUERY('Volunteer Survey'!H170)"),"Comprehensive")</f>
        <v>Comprehensive</v>
      </c>
      <c r="P163" s="49" t="str">
        <f ca="1">IFERROR(__xludf.DUMMYFUNCTION("QUERY('Volunteer Survey'!I170)"),"Variant Pathogenicity")</f>
        <v>Variant Pathogenicity</v>
      </c>
      <c r="Q163" s="54" t="str">
        <f ca="1">IFERROR(__xludf.DUMMYFUNCTION("QUERY('Volunteer Survey'!J170)"),"Dosage Sensitivity")</f>
        <v>Dosage Sensitivity</v>
      </c>
      <c r="R163" s="49" t="str">
        <f ca="1">IFERROR(__xludf.DUMMYFUNCTION("QUERY('Volunteer Survey'!K170)"),"Gene-Disease Validity")</f>
        <v>Gene-Disease Validity</v>
      </c>
      <c r="S163" s="49" t="str">
        <f ca="1">IFERROR(__xludf.DUMMYFUNCTION("QUERY('Volunteer Survey'!L170)"),"Clinical Actionability")</f>
        <v>Clinical Actionability</v>
      </c>
      <c r="T163" s="49" t="str">
        <f ca="1">IFERROR(__xludf.DUMMYFUNCTION("QUERY('Volunteer Survey'!M170)"),"Somatic Cancer")</f>
        <v>Somatic Cancer</v>
      </c>
      <c r="U163" s="58" t="str">
        <f ca="1">IFERROR(__xludf.DUMMYFUNCTION("QUERY('Volunteer Survey'!N170)"),"I am a variant curation specialist in my company")</f>
        <v>I am a variant curation specialist in my company</v>
      </c>
      <c r="V163" s="49" t="str">
        <f ca="1">IFERROR(__xludf.DUMMYFUNCTION("QUERY('Volunteer Survey'!O170)"),"Possibly")</f>
        <v>Possibly</v>
      </c>
      <c r="W163" s="60" t="str">
        <f ca="1">IFERROR(__xludf.DUMMYFUNCTION("QUERY('Volunteer Survey'!P170)"),"monogenic diabetes")</f>
        <v>monogenic diabetes</v>
      </c>
      <c r="X163" s="58" t="str">
        <f ca="1">IFERROR(__xludf.DUMMYFUNCTION("QUERY('Volunteer Survey'!R170)"),"Yes- I am willing to volunteer with any available ClinGen group")</f>
        <v>Yes- I am willing to volunteer with any available ClinGen group</v>
      </c>
      <c r="Y163" s="47"/>
      <c r="Z163" s="174">
        <f ca="1">IFERROR(__xludf.DUMMYFUNCTION("QUERY('Volunteer Survey'!A162)"),43563.6184702314)</f>
        <v>43563.618470231399</v>
      </c>
      <c r="AA163" s="175" t="str">
        <f ca="1">IFERROR(__xludf.DUMMYFUNCTION("QUERY('Volunteer Survey'!B162)"),"Christine Preston")</f>
        <v>Christine Preston</v>
      </c>
      <c r="AB163" s="175" t="str">
        <f ca="1">IFERROR(__xludf.DUMMYFUNCTION("QUERY('Volunteer Survey'!C162)"),"Stanford")</f>
        <v>Stanford</v>
      </c>
      <c r="AC163" s="175" t="str">
        <f ca="1">IFERROR(__xludf.DUMMYFUNCTION("QUERY('Volunteer Survey'!D162)"),"")</f>
        <v/>
      </c>
      <c r="AD163" s="175" t="str">
        <f ca="1">IFERROR(__xludf.DUMMYFUNCTION("QUERY('Volunteer Survey'!E162)"),"christip@stanford.edu")</f>
        <v>christip@stanford.edu</v>
      </c>
      <c r="AE163" s="175" t="str">
        <f ca="1">IFERROR(__xludf.DUMMYFUNCTION("QUERY('Volunteer Survey'!F162)"),"Biocurator")</f>
        <v>Biocurator</v>
      </c>
      <c r="AF163" s="175" t="str">
        <f ca="1">IFERROR(__xludf.DUMMYFUNCTION("QUERY('Volunteer Survey'!G162)"),"Networking")</f>
        <v>Networking</v>
      </c>
      <c r="AG163" s="175" t="str">
        <f ca="1">IFERROR(__xludf.DUMMYFUNCTION("QUERY('Volunteer Survey'!H162)"),"Comprehensive")</f>
        <v>Comprehensive</v>
      </c>
      <c r="AH163" s="175" t="str">
        <f ca="1">IFERROR(__xludf.DUMMYFUNCTION("QUERY('Volunteer Survey'!I162)"),"Dosage Sensitivity")</f>
        <v>Dosage Sensitivity</v>
      </c>
      <c r="AI163" s="175" t="str">
        <f ca="1">IFERROR(__xludf.DUMMYFUNCTION("QUERY('Volunteer Survey'!J162)"),"Clinical Actionability")</f>
        <v>Clinical Actionability</v>
      </c>
      <c r="AJ163" s="175" t="str">
        <f ca="1">IFERROR(__xludf.DUMMYFUNCTION("QUERY('Volunteer Survey'!K162)"),"Variant Pathogenicity")</f>
        <v>Variant Pathogenicity</v>
      </c>
      <c r="AK163" s="175" t="str">
        <f ca="1">IFERROR(__xludf.DUMMYFUNCTION("QUERY('Volunteer Survey'!L162)"),"")</f>
        <v/>
      </c>
      <c r="AL163" s="175" t="str">
        <f ca="1">IFERROR(__xludf.DUMMYFUNCTION("QUERY('Volunteer Survey'!M162)"),"")</f>
        <v/>
      </c>
      <c r="AM163" s="175" t="str">
        <f ca="1">IFERROR(__xludf.DUMMYFUNCTION("QUERY('Volunteer Survey'!N162)"),"")</f>
        <v/>
      </c>
      <c r="AN163" s="175" t="str">
        <f ca="1">IFERROR(__xludf.DUMMYFUNCTION("QUERY('Volunteer Survey'!O162)"),"No")</f>
        <v>No</v>
      </c>
      <c r="AO163" s="175" t="str">
        <f ca="1">IFERROR(__xludf.DUMMYFUNCTION("QUERY('Volunteer Survey'!P162)"),"Dosage Sensitivity Working Group")</f>
        <v>Dosage Sensitivity Working Group</v>
      </c>
    </row>
    <row r="164" spans="1:41" ht="14">
      <c r="A164" s="44">
        <f ca="1">IFERROR(__xludf.DUMMYFUNCTION("QUERY('Volunteer Survey'!A171)"),43566.5250714467)</f>
        <v>43566.525071446697</v>
      </c>
      <c r="B164" s="42" t="s">
        <v>160</v>
      </c>
      <c r="C164" s="47"/>
      <c r="D164" s="59">
        <v>43608</v>
      </c>
      <c r="E164" s="42" t="s">
        <v>117</v>
      </c>
      <c r="F164" s="42" t="s">
        <v>117</v>
      </c>
      <c r="G164" s="42" t="s">
        <v>251</v>
      </c>
      <c r="H164" s="45" t="s">
        <v>169</v>
      </c>
      <c r="I164" s="45" t="s">
        <v>139</v>
      </c>
      <c r="J164" s="50">
        <v>43712</v>
      </c>
      <c r="K164" s="50"/>
      <c r="L164" s="49" t="str">
        <f ca="1">IFERROR(__xludf.DUMMYFUNCTION("QUERY('Volunteer Survey'!B171)"),"Lemuel Racacho")</f>
        <v>Lemuel Racacho</v>
      </c>
      <c r="M164" s="49" t="str">
        <f ca="1">IFERROR(__xludf.DUMMYFUNCTION("QUERY('Volunteer Survey'!E171)"),"lracacho@cheo.on.ca")</f>
        <v>lracacho@cheo.on.ca</v>
      </c>
      <c r="N164" s="49" t="str">
        <f ca="1">IFERROR(__xludf.DUMMYFUNCTION("QUERY('Volunteer Survey'!F171)"),"Post Doc/Resident/Fellow (MD and/or PhD)")</f>
        <v>Post Doc/Resident/Fellow (MD and/or PhD)</v>
      </c>
      <c r="O164" s="42" t="str">
        <f ca="1">IFERROR(__xludf.DUMMYFUNCTION("QUERY('Volunteer Survey'!H171)"),"Comprehensive")</f>
        <v>Comprehensive</v>
      </c>
      <c r="P164" s="49" t="str">
        <f ca="1">IFERROR(__xludf.DUMMYFUNCTION("QUERY('Volunteer Survey'!I171)"),"Variant Pathogenicity")</f>
        <v>Variant Pathogenicity</v>
      </c>
      <c r="Q164" s="54" t="str">
        <f ca="1">IFERROR(__xludf.DUMMYFUNCTION("QUERY('Volunteer Survey'!J171)"),"Gene-Disease Validity")</f>
        <v>Gene-Disease Validity</v>
      </c>
      <c r="R164" s="49" t="str">
        <f ca="1">IFERROR(__xludf.DUMMYFUNCTION("QUERY('Volunteer Survey'!K171)"),"Clinical Actionability")</f>
        <v>Clinical Actionability</v>
      </c>
      <c r="S164" s="49" t="str">
        <f ca="1">IFERROR(__xludf.DUMMYFUNCTION("QUERY('Volunteer Survey'!L171)"),"Dosage Sensitivity")</f>
        <v>Dosage Sensitivity</v>
      </c>
      <c r="T164" s="49" t="str">
        <f ca="1">IFERROR(__xludf.DUMMYFUNCTION("QUERY('Volunteer Survey'!M171)"),"Somatic Cancer")</f>
        <v>Somatic Cancer</v>
      </c>
      <c r="U164" s="58" t="str">
        <f ca="1">IFERROR(__xludf.DUMMYFUNCTION("QUERY('Volunteer Survey'!N171)"),"Yes, I currently interpret variants for mitochondrial based disorders")</f>
        <v>Yes, I currently interpret variants for mitochondrial based disorders</v>
      </c>
      <c r="V164" s="49" t="str">
        <f ca="1">IFERROR(__xludf.DUMMYFUNCTION("QUERY('Volunteer Survey'!O171)"),"Possibly")</f>
        <v>Possibly</v>
      </c>
      <c r="W164" s="60" t="str">
        <f ca="1">IFERROR(__xludf.DUMMYFUNCTION("QUERY('Volunteer Survey'!P171)"),"Inborn errors of metabolism; Low penetrance/risk allele")</f>
        <v>Inborn errors of metabolism; Low penetrance/risk allele</v>
      </c>
      <c r="X164" s="58" t="str">
        <f ca="1">IFERROR(__xludf.DUMMYFUNCTION("QUERY('Volunteer Survey'!R171)"),"Yes- I am willing to volunteer with any available ClinGen group")</f>
        <v>Yes- I am willing to volunteer with any available ClinGen group</v>
      </c>
      <c r="Y164" s="47"/>
      <c r="Z164" s="174">
        <f ca="1">IFERROR(__xludf.DUMMYFUNCTION("QUERY('Volunteer Survey'!A163)"),43564.4175901736)</f>
        <v>43564.417590173602</v>
      </c>
      <c r="AA164" s="175" t="str">
        <f ca="1">IFERROR(__xludf.DUMMYFUNCTION("QUERY('Volunteer Survey'!B163)"),"Julie Hathaway")</f>
        <v>Julie Hathaway</v>
      </c>
      <c r="AB164" s="175" t="str">
        <f ca="1">IFERROR(__xludf.DUMMYFUNCTION("QUERY('Volunteer Survey'!C163)"),"Blueprint Genetics")</f>
        <v>Blueprint Genetics</v>
      </c>
      <c r="AC164" s="175" t="str">
        <f ca="1">IFERROR(__xludf.DUMMYFUNCTION("QUERY('Volunteer Survey'!D163)"),"1623 East 2nd Avenue
Apt. 403")</f>
        <v>1623 East 2nd Avenue
Apt. 403</v>
      </c>
      <c r="AD164" s="175" t="str">
        <f ca="1">IFERROR(__xludf.DUMMYFUNCTION("QUERY('Volunteer Survey'!E163)"),"julie.hathaway@blueprintgenetics.com")</f>
        <v>julie.hathaway@blueprintgenetics.com</v>
      </c>
      <c r="AE164" s="175" t="str">
        <f ca="1">IFERROR(__xludf.DUMMYFUNCTION("QUERY('Volunteer Survey'!F163)"),"Genetic counselor")</f>
        <v>Genetic counselor</v>
      </c>
      <c r="AF164" s="175" t="str">
        <f ca="1">IFERROR(__xludf.DUMMYFUNCTION("QUERY('Volunteer Survey'!G163)"),"ACMG Conference 2019, Colleagues")</f>
        <v>ACMG Conference 2019, Colleagues</v>
      </c>
      <c r="AG164" s="175" t="str">
        <f ca="1">IFERROR(__xludf.DUMMYFUNCTION("QUERY('Volunteer Survey'!H163)"),"Comprehensive")</f>
        <v>Comprehensive</v>
      </c>
      <c r="AH164" s="175" t="str">
        <f ca="1">IFERROR(__xludf.DUMMYFUNCTION("QUERY('Volunteer Survey'!I163)"),"Variant Pathogenicity")</f>
        <v>Variant Pathogenicity</v>
      </c>
      <c r="AI164" s="175" t="str">
        <f ca="1">IFERROR(__xludf.DUMMYFUNCTION("QUERY('Volunteer Survey'!J163)"),"Gene-Disease Validity")</f>
        <v>Gene-Disease Validity</v>
      </c>
      <c r="AJ164" s="175" t="str">
        <f ca="1">IFERROR(__xludf.DUMMYFUNCTION("QUERY('Volunteer Survey'!K163)"),"Clinical Actionability")</f>
        <v>Clinical Actionability</v>
      </c>
      <c r="AK164" s="175" t="str">
        <f ca="1">IFERROR(__xludf.DUMMYFUNCTION("QUERY('Volunteer Survey'!L163)"),"Dosage Sensitivity")</f>
        <v>Dosage Sensitivity</v>
      </c>
      <c r="AL164" s="175" t="str">
        <f ca="1">IFERROR(__xludf.DUMMYFUNCTION("QUERY('Volunteer Survey'!M163)"),"Somatic Cancer")</f>
        <v>Somatic Cancer</v>
      </c>
      <c r="AM164" s="175" t="str">
        <f ca="1">IFERROR(__xludf.DUMMYFUNCTION("QUERY('Volunteer Survey'!N163)"),"I have worked in the clinic and now in a commercial laboratory. In the clinic, we performed our own internal variant classifications and also, part of this included thoroughly researching gene-disease associations. In the laboratory, I have a clinical sup"&amp;"port role, contributing to gene panel curation/creation. ")</f>
        <v xml:space="preserve">I have worked in the clinic and now in a commercial laboratory. In the clinic, we performed our own internal variant classifications and also, part of this included thoroughly researching gene-disease associations. In the laboratory, I have a clinical support role, contributing to gene panel curation/creation. </v>
      </c>
      <c r="AN164" s="175" t="str">
        <f ca="1">IFERROR(__xludf.DUMMYFUNCTION("QUERY('Volunteer Survey'!O163)"),"No")</f>
        <v>No</v>
      </c>
      <c r="AO164" s="175" t="str">
        <f ca="1">IFERROR(__xludf.DUMMYFUNCTION("QUERY('Volunteer Survey'!P163)"),"Cardiomyopathy (or arrhythmias if available- I tried to be involved in the KCNQ1 variant curation group but I understand their group is now full) ")</f>
        <v xml:space="preserve">Cardiomyopathy (or arrhythmias if available- I tried to be involved in the KCNQ1 variant curation group but I understand their group is now full) </v>
      </c>
    </row>
    <row r="165" spans="1:41" ht="14">
      <c r="A165" s="44">
        <f ca="1">IFERROR(__xludf.DUMMYFUNCTION("QUERY('Volunteer Survey'!A172)"),43566.6674040393)</f>
        <v>43566.667404039297</v>
      </c>
      <c r="B165" s="42" t="s">
        <v>108</v>
      </c>
      <c r="C165" s="73">
        <v>43819</v>
      </c>
      <c r="D165" s="49"/>
      <c r="E165" s="42" t="s">
        <v>130</v>
      </c>
      <c r="F165" s="42" t="s">
        <v>130</v>
      </c>
      <c r="G165" s="42" t="s">
        <v>122</v>
      </c>
      <c r="H165" s="47"/>
      <c r="I165" s="45" t="s">
        <v>139</v>
      </c>
      <c r="J165" s="49"/>
      <c r="K165" s="49"/>
      <c r="L165" s="49" t="str">
        <f ca="1">IFERROR(__xludf.DUMMYFUNCTION("QUERY('Volunteer Survey'!B172)"),"Bo Yuan")</f>
        <v>Bo Yuan</v>
      </c>
      <c r="M165" s="49" t="str">
        <f ca="1">IFERROR(__xludf.DUMMYFUNCTION("QUERY('Volunteer Survey'!E172)"),"by2@bcm.edu")</f>
        <v>by2@bcm.edu</v>
      </c>
      <c r="N165" s="49" t="str">
        <f ca="1">IFERROR(__xludf.DUMMYFUNCTION("QUERY('Volunteer Survey'!F172)"),"Clinical laboratory geneticist")</f>
        <v>Clinical laboratory geneticist</v>
      </c>
      <c r="O165" s="42" t="str">
        <f ca="1">IFERROR(__xludf.DUMMYFUNCTION("QUERY('Volunteer Survey'!H172)"),"Comprehensive")</f>
        <v>Comprehensive</v>
      </c>
      <c r="P165" s="49" t="str">
        <f ca="1">IFERROR(__xludf.DUMMYFUNCTION("QUERY('Volunteer Survey'!I172)"),"Gene-Disease Validity")</f>
        <v>Gene-Disease Validity</v>
      </c>
      <c r="Q165" s="54" t="str">
        <f ca="1">IFERROR(__xludf.DUMMYFUNCTION("QUERY('Volunteer Survey'!J172)"),"Somatic Cancer")</f>
        <v>Somatic Cancer</v>
      </c>
      <c r="R165" s="49" t="str">
        <f ca="1">IFERROR(__xludf.DUMMYFUNCTION("QUERY('Volunteer Survey'!K172)"),"Clinical Actionability")</f>
        <v>Clinical Actionability</v>
      </c>
      <c r="S165" s="49" t="str">
        <f ca="1">IFERROR(__xludf.DUMMYFUNCTION("QUERY('Volunteer Survey'!L172)"),"Variant Pathogenicity")</f>
        <v>Variant Pathogenicity</v>
      </c>
      <c r="T165" s="49" t="str">
        <f ca="1">IFERROR(__xludf.DUMMYFUNCTION("QUERY('Volunteer Survey'!M172)"),"Dosage Sensitivity")</f>
        <v>Dosage Sensitivity</v>
      </c>
      <c r="U165" s="58" t="str">
        <f ca="1">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V165" s="49" t="str">
        <f ca="1">IFERROR(__xludf.DUMMYFUNCTION("QUERY('Volunteer Survey'!O172)"),"Yes")</f>
        <v>Yes</v>
      </c>
      <c r="W165" s="60" t="str">
        <f ca="1">IFERROR(__xludf.DUMMYFUNCTION("QUERY('Volunteer Survey'!P172)"),"")</f>
        <v/>
      </c>
      <c r="X165" s="58" t="str">
        <f ca="1">IFERROR(__xludf.DUMMYFUNCTION("QUERY('Volunteer Survey'!R172)"),"Maybe -- please contact me with other options, and I will decide based on what is available")</f>
        <v>Maybe -- please contact me with other options, and I will decide based on what is available</v>
      </c>
      <c r="Y165" s="47"/>
      <c r="Z165" s="174">
        <f ca="1">IFERROR(__xludf.DUMMYFUNCTION("QUERY('Volunteer Survey'!A164)"),43564.4196003356)</f>
        <v>43564.419600335597</v>
      </c>
      <c r="AA165" s="175" t="str">
        <f ca="1">IFERROR(__xludf.DUMMYFUNCTION("QUERY('Volunteer Survey'!B164)"),"Jose Maria Urbano")</f>
        <v>Jose Maria Urbano</v>
      </c>
      <c r="AB165" s="175" t="str">
        <f ca="1">IFERROR(__xludf.DUMMYFUNCTION("QUERY('Volunteer Survey'!C164)"),"University of Cambridge")</f>
        <v>University of Cambridge</v>
      </c>
      <c r="AC165" s="175" t="str">
        <f ca="1">IFERROR(__xludf.DUMMYFUNCTION("QUERY('Volunteer Survey'!D164)"),"")</f>
        <v/>
      </c>
      <c r="AD165" s="175" t="str">
        <f ca="1">IFERROR(__xludf.DUMMYFUNCTION("QUERY('Volunteer Survey'!E164)"),"jmu22@cam.ac.uk")</f>
        <v>jmu22@cam.ac.uk</v>
      </c>
      <c r="AE165" s="175" t="str">
        <f ca="1">IFERROR(__xludf.DUMMYFUNCTION("QUERY('Volunteer Survey'!F164)"),"Biocurator")</f>
        <v>Biocurator</v>
      </c>
      <c r="AF165" s="175" t="str">
        <f ca="1">IFERROR(__xludf.DUMMYFUNCTION("QUERY('Volunteer Survey'!G164)"),"Biocuration conference 2019")</f>
        <v>Biocuration conference 2019</v>
      </c>
      <c r="AG165" s="175" t="str">
        <f ca="1">IFERROR(__xludf.DUMMYFUNCTION("QUERY('Volunteer Survey'!H164)"),"Baseline")</f>
        <v>Baseline</v>
      </c>
      <c r="AH165" s="175" t="str">
        <f ca="1">IFERROR(__xludf.DUMMYFUNCTION("QUERY('Volunteer Survey'!I164)"),"Gene-Disease Validity")</f>
        <v>Gene-Disease Validity</v>
      </c>
      <c r="AI165" s="175" t="str">
        <f ca="1">IFERROR(__xludf.DUMMYFUNCTION("QUERY('Volunteer Survey'!J164)"),"Variant Pathogenicity")</f>
        <v>Variant Pathogenicity</v>
      </c>
      <c r="AJ165" s="175" t="str">
        <f ca="1">IFERROR(__xludf.DUMMYFUNCTION("QUERY('Volunteer Survey'!K164)"),"Dosage Sensitivity")</f>
        <v>Dosage Sensitivity</v>
      </c>
      <c r="AK165" s="175" t="str">
        <f ca="1">IFERROR(__xludf.DUMMYFUNCTION("QUERY('Volunteer Survey'!L164)"),"Somatic Cancer")</f>
        <v>Somatic Cancer</v>
      </c>
      <c r="AL165" s="175" t="str">
        <f ca="1">IFERROR(__xludf.DUMMYFUNCTION("QUERY('Volunteer Survey'!M164)"),"Clinical Actionability")</f>
        <v>Clinical Actionability</v>
      </c>
      <c r="AM165" s="175" t="str">
        <f ca="1">IFERROR(__xludf.DUMMYFUNCTION("QUERY('Volunteer Survey'!N164)"),"I am a Drosophila biocurator. I've been working for FlyBase for 4 years")</f>
        <v>I am a Drosophila biocurator. I've been working for FlyBase for 4 years</v>
      </c>
      <c r="AN165" s="175" t="str">
        <f ca="1">IFERROR(__xludf.DUMMYFUNCTION("QUERY('Volunteer Survey'!O164)"),"No")</f>
        <v>No</v>
      </c>
      <c r="AO165" s="175" t="str">
        <f ca="1">IFERROR(__xludf.DUMMYFUNCTION("QUERY('Volunteer Survey'!P164)"),"")</f>
        <v/>
      </c>
    </row>
    <row r="166" spans="1:41" ht="14">
      <c r="A166" s="44">
        <f ca="1">IFERROR(__xludf.DUMMYFUNCTION("QUERY('Volunteer Survey'!A173)"),43566.9625384953)</f>
        <v>43566.962538495303</v>
      </c>
      <c r="B166" s="42" t="s">
        <v>108</v>
      </c>
      <c r="C166" s="73">
        <v>43819</v>
      </c>
      <c r="D166" s="49"/>
      <c r="E166" s="42" t="s">
        <v>130</v>
      </c>
      <c r="F166" s="42" t="s">
        <v>130</v>
      </c>
      <c r="G166" s="42" t="s">
        <v>122</v>
      </c>
      <c r="H166" s="47"/>
      <c r="I166" s="45" t="s">
        <v>139</v>
      </c>
      <c r="J166" s="49"/>
      <c r="K166" s="49"/>
      <c r="L166" s="49" t="str">
        <f ca="1">IFERROR(__xludf.DUMMYFUNCTION("QUERY('Volunteer Survey'!B173)"),"Avinash Dharmadhikari")</f>
        <v>Avinash Dharmadhikari</v>
      </c>
      <c r="M166" s="49" t="str">
        <f ca="1">IFERROR(__xludf.DUMMYFUNCTION("QUERY('Volunteer Survey'!E173)"),"avd2129@cumc.columbia.edu")</f>
        <v>avd2129@cumc.columbia.edu</v>
      </c>
      <c r="N166" s="49" t="str">
        <f ca="1">IFERROR(__xludf.DUMMYFUNCTION("QUERY('Volunteer Survey'!F173)"),"Post Doc/Resident/Fellow (MD and/or PhD)")</f>
        <v>Post Doc/Resident/Fellow (MD and/or PhD)</v>
      </c>
      <c r="O166" s="42" t="str">
        <f ca="1">IFERROR(__xludf.DUMMYFUNCTION("QUERY('Volunteer Survey'!H173)"),"Comprehensive")</f>
        <v>Comprehensive</v>
      </c>
      <c r="P166" s="49" t="str">
        <f ca="1">IFERROR(__xludf.DUMMYFUNCTION("QUERY('Volunteer Survey'!I173)"),"Gene-Disease Validity")</f>
        <v>Gene-Disease Validity</v>
      </c>
      <c r="Q166" s="54" t="str">
        <f ca="1">IFERROR(__xludf.DUMMYFUNCTION("QUERY('Volunteer Survey'!J173)"),"Variant Pathogenicity")</f>
        <v>Variant Pathogenicity</v>
      </c>
      <c r="R166" s="49" t="str">
        <f ca="1">IFERROR(__xludf.DUMMYFUNCTION("QUERY('Volunteer Survey'!K173)"),"Dosage Sensitivity")</f>
        <v>Dosage Sensitivity</v>
      </c>
      <c r="S166" s="49" t="str">
        <f ca="1">IFERROR(__xludf.DUMMYFUNCTION("QUERY('Volunteer Survey'!L173)"),"")</f>
        <v/>
      </c>
      <c r="T166" s="49" t="str">
        <f ca="1">IFERROR(__xludf.DUMMYFUNCTION("QUERY('Volunteer Survey'!M173)"),"")</f>
        <v/>
      </c>
      <c r="U166" s="58" t="str">
        <f ca="1">IFERROR(__xludf.DUMMYFUNCTION("QUERY('Volunteer Survey'!N173)"),"Previously variant analyst/curator at Baylor Genetics and Natera; currently LGG fellow at Columbia University")</f>
        <v>Previously variant analyst/curator at Baylor Genetics and Natera; currently LGG fellow at Columbia University</v>
      </c>
      <c r="V166" s="49" t="str">
        <f ca="1">IFERROR(__xludf.DUMMYFUNCTION("QUERY('Volunteer Survey'!O173)"),"Possibly")</f>
        <v>Possibly</v>
      </c>
      <c r="W166" s="60" t="str">
        <f ca="1">IFERROR(__xludf.DUMMYFUNCTION("QUERY('Volunteer Survey'!P173)"),"Hearing Loss VCEP &amp; GCEP or Dosage Sensitivity WG or ID/Autism GCEP")</f>
        <v>Hearing Loss VCEP &amp; GCEP or Dosage Sensitivity WG or ID/Autism GCEP</v>
      </c>
      <c r="X166" s="58" t="str">
        <f ca="1">IFERROR(__xludf.DUMMYFUNCTION("QUERY('Volunteer Survey'!R173)"),"Maybe -- please contact me with other options, and I will decide based on what is available")</f>
        <v>Maybe -- please contact me with other options, and I will decide based on what is available</v>
      </c>
      <c r="Y166" s="47"/>
      <c r="Z166" s="174">
        <f ca="1">IFERROR(__xludf.DUMMYFUNCTION("QUERY('Volunteer Survey'!A165)"),43564.4933464004)</f>
        <v>43564.493346400399</v>
      </c>
      <c r="AA166" s="175" t="str">
        <f ca="1">IFERROR(__xludf.DUMMYFUNCTION("QUERY('Volunteer Survey'!B165)"),"Alexander Ing")</f>
        <v>Alexander Ing</v>
      </c>
      <c r="AB166" s="175" t="str">
        <f ca="1">IFERROR(__xludf.DUMMYFUNCTION("QUERY('Volunteer Survey'!C165)"),"Ann &amp; Robert H. Lurie Children's Hospital of Chicago")</f>
        <v>Ann &amp; Robert H. Lurie Children's Hospital of Chicago</v>
      </c>
      <c r="AC166" s="175" t="str">
        <f ca="1">IFERROR(__xludf.DUMMYFUNCTION("QUERY('Volunteer Survey'!D165)"),"225 E. Chicago Ave Box 82 Chicago IL 60611")</f>
        <v>225 E. Chicago Ave Box 82 Chicago IL 60611</v>
      </c>
      <c r="AD166" s="175" t="str">
        <f ca="1">IFERROR(__xludf.DUMMYFUNCTION("QUERY('Volunteer Survey'!E165)"),"aing@luriechildrens.org")</f>
        <v>aing@luriechildrens.org</v>
      </c>
      <c r="AE166" s="175" t="str">
        <f ca="1">IFERROR(__xludf.DUMMYFUNCTION("QUERY('Volunteer Survey'!F165)"),"Genetic counselor")</f>
        <v>Genetic counselor</v>
      </c>
      <c r="AF166" s="175" t="str">
        <f ca="1">IFERROR(__xludf.DUMMYFUNCTION("QUERY('Volunteer Survey'!G165)"),"ACMG Conference 2019, ClinGen conference advertisements (i.e. booth, workshop, presentation), Colleagues, Suggestion from mentor")</f>
        <v>ACMG Conference 2019, ClinGen conference advertisements (i.e. booth, workshop, presentation), Colleagues, Suggestion from mentor</v>
      </c>
      <c r="AG166" s="175" t="str">
        <f ca="1">IFERROR(__xludf.DUMMYFUNCTION("QUERY('Volunteer Survey'!H165)"),"Comprehensive")</f>
        <v>Comprehensive</v>
      </c>
      <c r="AH166" s="175" t="str">
        <f ca="1">IFERROR(__xludf.DUMMYFUNCTION("QUERY('Volunteer Survey'!I165)"),"Gene-Disease Validity")</f>
        <v>Gene-Disease Validity</v>
      </c>
      <c r="AI166" s="175" t="str">
        <f ca="1">IFERROR(__xludf.DUMMYFUNCTION("QUERY('Volunteer Survey'!J165)"),"Variant Pathogenicity")</f>
        <v>Variant Pathogenicity</v>
      </c>
      <c r="AJ166" s="175" t="str">
        <f ca="1">IFERROR(__xludf.DUMMYFUNCTION("QUERY('Volunteer Survey'!K165)"),"Clinical Actionability")</f>
        <v>Clinical Actionability</v>
      </c>
      <c r="AK166" s="175" t="str">
        <f ca="1">IFERROR(__xludf.DUMMYFUNCTION("QUERY('Volunteer Survey'!L165)"),"")</f>
        <v/>
      </c>
      <c r="AL166" s="175" t="str">
        <f ca="1">IFERROR(__xludf.DUMMYFUNCTION("QUERY('Volunteer Survey'!M165)"),"")</f>
        <v/>
      </c>
      <c r="AM166" s="175" t="str">
        <f ca="1">IFERROR(__xludf.DUMMYFUNCTION("QUERY('Volunteer Survey'!N165)"),"I am a laboratory genetic counselor and my responsibilities are centered around variant interpretation and test reporting. I have served in this role for 4 years. I have some gene curation experience.")</f>
        <v>I am a laboratory genetic counselor and my responsibilities are centered around variant interpretation and test reporting. I have served in this role for 4 years. I have some gene curation experience.</v>
      </c>
      <c r="AN166" s="175" t="str">
        <f ca="1">IFERROR(__xludf.DUMMYFUNCTION("QUERY('Volunteer Survey'!O165)"),"Possibly")</f>
        <v>Possibly</v>
      </c>
      <c r="AO166" s="175" t="str">
        <f ca="1">IFERROR(__xludf.DUMMYFUNCTION("QUERY('Volunteer Survey'!P165)"),"epilepsy")</f>
        <v>epilepsy</v>
      </c>
    </row>
    <row r="167" spans="1:41" ht="14">
      <c r="A167" s="44">
        <f ca="1">IFERROR(__xludf.DUMMYFUNCTION("QUERY('Volunteer Survey'!A174)"),43567.6781867129)</f>
        <v>43567.678186712903</v>
      </c>
      <c r="B167" s="42" t="s">
        <v>168</v>
      </c>
      <c r="C167" s="47"/>
      <c r="D167" s="49"/>
      <c r="E167" s="42" t="s">
        <v>130</v>
      </c>
      <c r="F167" s="42" t="s">
        <v>130</v>
      </c>
      <c r="G167" s="42" t="s">
        <v>251</v>
      </c>
      <c r="H167" s="47"/>
      <c r="I167" s="45" t="s">
        <v>139</v>
      </c>
      <c r="J167" s="49"/>
      <c r="K167" s="49"/>
      <c r="L167" s="49" t="str">
        <f ca="1">IFERROR(__xludf.DUMMYFUNCTION("QUERY('Volunteer Survey'!B174)"),"Sara Fitzgerald-Butt")</f>
        <v>Sara Fitzgerald-Butt</v>
      </c>
      <c r="M167" s="49" t="str">
        <f ca="1">IFERROR(__xludf.DUMMYFUNCTION("QUERY('Volunteer Survey'!E174)"),"sfitzge@iu.edu")</f>
        <v>sfitzge@iu.edu</v>
      </c>
      <c r="N167" s="49" t="str">
        <f ca="1">IFERROR(__xludf.DUMMYFUNCTION("QUERY('Volunteer Survey'!F174)"),"Genetic counselor")</f>
        <v>Genetic counselor</v>
      </c>
      <c r="O167" s="42" t="str">
        <f ca="1">IFERROR(__xludf.DUMMYFUNCTION("QUERY('Volunteer Survey'!H174)"),"Comprehensive")</f>
        <v>Comprehensive</v>
      </c>
      <c r="P167" s="49" t="str">
        <f ca="1">IFERROR(__xludf.DUMMYFUNCTION("QUERY('Volunteer Survey'!I174)"),"Variant Pathogenicity")</f>
        <v>Variant Pathogenicity</v>
      </c>
      <c r="Q167" s="54" t="str">
        <f ca="1">IFERROR(__xludf.DUMMYFUNCTION("QUERY('Volunteer Survey'!J174)"),"Gene-Disease Validity")</f>
        <v>Gene-Disease Validity</v>
      </c>
      <c r="R167" s="49" t="str">
        <f ca="1">IFERROR(__xludf.DUMMYFUNCTION("QUERY('Volunteer Survey'!K174)"),"")</f>
        <v/>
      </c>
      <c r="S167" s="49" t="str">
        <f ca="1">IFERROR(__xludf.DUMMYFUNCTION("QUERY('Volunteer Survey'!L174)"),"")</f>
        <v/>
      </c>
      <c r="T167" s="49" t="str">
        <f ca="1">IFERROR(__xludf.DUMMYFUNCTION("QUERY('Volunteer Survey'!M174)"),"")</f>
        <v/>
      </c>
      <c r="U167" s="58" t="str">
        <f ca="1">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V167" s="49" t="str">
        <f ca="1">IFERROR(__xludf.DUMMYFUNCTION("QUERY('Volunteer Survey'!O174)"),"No")</f>
        <v>No</v>
      </c>
      <c r="W167" s="60" t="str">
        <f ca="1">IFERROR(__xludf.DUMMYFUNCTION("QUERY('Volunteer Survey'!P174)"),"Cardiovascular, cardiomyopathy, Long QT syndrome, FBN1")</f>
        <v>Cardiovascular, cardiomyopathy, Long QT syndrome, FBN1</v>
      </c>
      <c r="X167" s="58" t="str">
        <f ca="1">IFERROR(__xludf.DUMMYFUNCTION("QUERY('Volunteer Survey'!R174)"),"Maybe -- please contact me with other options, and I will decide based on what is available")</f>
        <v>Maybe -- please contact me with other options, and I will decide based on what is available</v>
      </c>
      <c r="Y167" s="47"/>
      <c r="Z167" s="174">
        <f ca="1">IFERROR(__xludf.DUMMYFUNCTION("QUERY('Volunteer Survey'!A166)"),43564.6942130555)</f>
        <v>43564.694213055503</v>
      </c>
      <c r="AA167" s="175" t="str">
        <f ca="1">IFERROR(__xludf.DUMMYFUNCTION("QUERY('Volunteer Survey'!B166)"),"Jun Liao")</f>
        <v>Jun Liao</v>
      </c>
      <c r="AB167" s="175" t="str">
        <f ca="1">IFERROR(__xludf.DUMMYFUNCTION("QUERY('Volunteer Survey'!C166)"),"Columbia University Medical Center")</f>
        <v>Columbia University Medical Center</v>
      </c>
      <c r="AC167" s="175" t="str">
        <f ca="1">IFERROR(__xludf.DUMMYFUNCTION("QUERY('Volunteer Survey'!D166)"),"3959 Broadway, CHC-Room 406C, New York, NY 10032")</f>
        <v>3959 Broadway, CHC-Room 406C, New York, NY 10032</v>
      </c>
      <c r="AD167" s="175" t="str">
        <f ca="1">IFERROR(__xludf.DUMMYFUNCTION("QUERY('Volunteer Survey'!E166)"),"jl5098@cumc.columbia.edu")</f>
        <v>jl5098@cumc.columbia.edu</v>
      </c>
      <c r="AE167" s="175" t="str">
        <f ca="1">IFERROR(__xludf.DUMMYFUNCTION("QUERY('Volunteer Survey'!F166)"),"Clinical laboratory geneticist")</f>
        <v>Clinical laboratory geneticist</v>
      </c>
      <c r="AF167" s="175" t="str">
        <f ca="1">IFERROR(__xludf.DUMMYFUNCTION("QUERY('Volunteer Survey'!G166)"),"ACMG Conference 2019")</f>
        <v>ACMG Conference 2019</v>
      </c>
      <c r="AG167" s="175" t="str">
        <f ca="1">IFERROR(__xludf.DUMMYFUNCTION("QUERY('Volunteer Survey'!H166)"),"Comprehensive")</f>
        <v>Comprehensive</v>
      </c>
      <c r="AH167" s="175" t="str">
        <f ca="1">IFERROR(__xludf.DUMMYFUNCTION("QUERY('Volunteer Survey'!I166)"),"Gene-Disease Validity")</f>
        <v>Gene-Disease Validity</v>
      </c>
      <c r="AI167" s="175" t="str">
        <f ca="1">IFERROR(__xludf.DUMMYFUNCTION("QUERY('Volunteer Survey'!J166)"),"Variant Pathogenicity")</f>
        <v>Variant Pathogenicity</v>
      </c>
      <c r="AJ167" s="175" t="str">
        <f ca="1">IFERROR(__xludf.DUMMYFUNCTION("QUERY('Volunteer Survey'!K166)"),"Dosage Sensitivity")</f>
        <v>Dosage Sensitivity</v>
      </c>
      <c r="AK167" s="175" t="str">
        <f ca="1">IFERROR(__xludf.DUMMYFUNCTION("QUERY('Volunteer Survey'!L166)"),"Clinical Actionability")</f>
        <v>Clinical Actionability</v>
      </c>
      <c r="AL167" s="175" t="str">
        <f ca="1">IFERROR(__xludf.DUMMYFUNCTION("QUERY('Volunteer Survey'!M166)"),"Somatic Cancer")</f>
        <v>Somatic Cancer</v>
      </c>
      <c r="AM167" s="175" t="str">
        <f ca="1">IFERROR(__xludf.DUMMYFUNCTION("QUERY('Volunteer Survey'!N166)"),"As a laboratory director, I sign out WES, NGS panel, and microarray cases daily. So I am very familiar with curation activities for variant pathogenicity, gene-disease validity, and dosage sensitivity.")</f>
        <v>As a laboratory director, I sign out WES, NGS panel, and microarray cases daily. So I am very familiar with curation activities for variant pathogenicity, gene-disease validity, and dosage sensitivity.</v>
      </c>
      <c r="AN167" s="175" t="str">
        <f ca="1">IFERROR(__xludf.DUMMYFUNCTION("QUERY('Volunteer Survey'!O166)"),"Yes")</f>
        <v>Yes</v>
      </c>
      <c r="AO167" s="175" t="str">
        <f ca="1">IFERROR(__xludf.DUMMYFUNCTION("QUERY('Volunteer Survey'!P166)"),"1. Lysosomal Storage Disorders VCEP; 2. ID/Autism GCEP")</f>
        <v>1. Lysosomal Storage Disorders VCEP; 2. ID/Autism GCEP</v>
      </c>
    </row>
    <row r="168" spans="1:41" ht="14">
      <c r="A168" s="44">
        <f ca="1">IFERROR(__xludf.DUMMYFUNCTION("QUERY('Volunteer Survey'!A175)"),43567.9264500925)</f>
        <v>43567.926450092498</v>
      </c>
      <c r="B168" s="42" t="s">
        <v>160</v>
      </c>
      <c r="C168" s="47"/>
      <c r="D168" s="59">
        <v>43608</v>
      </c>
      <c r="E168" s="42" t="s">
        <v>117</v>
      </c>
      <c r="F168" s="42" t="s">
        <v>117</v>
      </c>
      <c r="G168" s="42" t="s">
        <v>251</v>
      </c>
      <c r="H168" s="45" t="s">
        <v>312</v>
      </c>
      <c r="I168" s="45"/>
      <c r="J168" s="50">
        <v>43712</v>
      </c>
      <c r="K168" s="50"/>
      <c r="L168" s="49" t="str">
        <f ca="1">IFERROR(__xludf.DUMMYFUNCTION("QUERY('Volunteer Survey'!B175)"),"Samya Chakravorty")</f>
        <v>Samya Chakravorty</v>
      </c>
      <c r="M168" s="49" t="str">
        <f ca="1">IFERROR(__xludf.DUMMYFUNCTION("QUERY('Volunteer Survey'!E175)"),"samya.chakravorty@emory.edu")</f>
        <v>samya.chakravorty@emory.edu</v>
      </c>
      <c r="N168" s="49" t="str">
        <f ca="1">IFERROR(__xludf.DUMMYFUNCTION("QUERY('Volunteer Survey'!F175)"),"Scientific Researcher")</f>
        <v>Scientific Researcher</v>
      </c>
      <c r="O168" s="42" t="str">
        <f ca="1">IFERROR(__xludf.DUMMYFUNCTION("QUERY('Volunteer Survey'!H175)"),"Comprehensive")</f>
        <v>Comprehensive</v>
      </c>
      <c r="P168" s="49" t="str">
        <f ca="1">IFERROR(__xludf.DUMMYFUNCTION("QUERY('Volunteer Survey'!I175)"),"Variant Pathogenicity")</f>
        <v>Variant Pathogenicity</v>
      </c>
      <c r="Q168" s="54" t="str">
        <f ca="1">IFERROR(__xludf.DUMMYFUNCTION("QUERY('Volunteer Survey'!J175)"),"Gene-Disease Validity")</f>
        <v>Gene-Disease Validity</v>
      </c>
      <c r="R168" s="49" t="str">
        <f ca="1">IFERROR(__xludf.DUMMYFUNCTION("QUERY('Volunteer Survey'!K175)"),"Clinical Actionability")</f>
        <v>Clinical Actionability</v>
      </c>
      <c r="S168" s="49" t="str">
        <f ca="1">IFERROR(__xludf.DUMMYFUNCTION("QUERY('Volunteer Survey'!L175)"),"Dosage Sensitivity")</f>
        <v>Dosage Sensitivity</v>
      </c>
      <c r="T168" s="49" t="str">
        <f ca="1">IFERROR(__xludf.DUMMYFUNCTION("QUERY('Volunteer Survey'!M175)"),"")</f>
        <v/>
      </c>
      <c r="U168" s="58" t="str">
        <f ca="1">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V168" s="49" t="str">
        <f ca="1">IFERROR(__xludf.DUMMYFUNCTION("QUERY('Volunteer Survey'!O175)"),"Yes")</f>
        <v>Yes</v>
      </c>
      <c r="W168" s="60" t="str">
        <f ca="1">IFERROR(__xludf.DUMMYFUNCTION("QUERY('Volunteer Survey'!P175)"),"Lysosomal Storage Disorders, Epilepsy")</f>
        <v>Lysosomal Storage Disorders, Epilepsy</v>
      </c>
      <c r="X168" s="58" t="str">
        <f ca="1">IFERROR(__xludf.DUMMYFUNCTION("QUERY('Volunteer Survey'!R175)"),"Maybe -- please contact me with other options, and I will decide based on what is available")</f>
        <v>Maybe -- please contact me with other options, and I will decide based on what is available</v>
      </c>
      <c r="Y168" s="47"/>
      <c r="Z168" s="174">
        <f ca="1">IFERROR(__xludf.DUMMYFUNCTION("QUERY('Volunteer Survey'!A167)"),43564.7106672569)</f>
        <v>43564.710667256899</v>
      </c>
      <c r="AA168" s="175" t="str">
        <f ca="1">IFERROR(__xludf.DUMMYFUNCTION("QUERY('Volunteer Survey'!B167)"),"Maki Kaneko")</f>
        <v>Maki Kaneko</v>
      </c>
      <c r="AB168" s="175" t="str">
        <f ca="1">IFERROR(__xludf.DUMMYFUNCTION("QUERY('Volunteer Survey'!C167)"),"Children's Hospital Los Angeles")</f>
        <v>Children's Hospital Los Angeles</v>
      </c>
      <c r="AC168" s="175" t="str">
        <f ca="1">IFERROR(__xludf.DUMMYFUNCTION("QUERY('Volunteer Survey'!D167)"),"4650 Sunset Blvd, #173, Los Angeles, CA 90027")</f>
        <v>4650 Sunset Blvd, #173, Los Angeles, CA 90027</v>
      </c>
      <c r="AD168" s="175" t="str">
        <f ca="1">IFERROR(__xludf.DUMMYFUNCTION("QUERY('Volunteer Survey'!E167)"),"mkaneko@chla.usc.edu")</f>
        <v>mkaneko@chla.usc.edu</v>
      </c>
      <c r="AE168" s="175" t="str">
        <f ca="1">IFERROR(__xludf.DUMMYFUNCTION("QUERY('Volunteer Survey'!F167)"),"Genetic counselor")</f>
        <v>Genetic counselor</v>
      </c>
      <c r="AF168" s="175" t="str">
        <f ca="1">IFERROR(__xludf.DUMMYFUNCTION("QUERY('Volunteer Survey'!G167)"),"Colleagues")</f>
        <v>Colleagues</v>
      </c>
      <c r="AG168" s="175" t="str">
        <f ca="1">IFERROR(__xludf.DUMMYFUNCTION("QUERY('Volunteer Survey'!H167)"),"Comprehensive")</f>
        <v>Comprehensive</v>
      </c>
      <c r="AH168" s="175" t="str">
        <f ca="1">IFERROR(__xludf.DUMMYFUNCTION("QUERY('Volunteer Survey'!I167)"),"Gene-Disease Validity")</f>
        <v>Gene-Disease Validity</v>
      </c>
      <c r="AI168" s="175" t="str">
        <f ca="1">IFERROR(__xludf.DUMMYFUNCTION("QUERY('Volunteer Survey'!J167)"),"Variant Pathogenicity")</f>
        <v>Variant Pathogenicity</v>
      </c>
      <c r="AJ168" s="175" t="str">
        <f ca="1">IFERROR(__xludf.DUMMYFUNCTION("QUERY('Volunteer Survey'!K167)"),"Clinical Actionability")</f>
        <v>Clinical Actionability</v>
      </c>
      <c r="AK168" s="175" t="str">
        <f ca="1">IFERROR(__xludf.DUMMYFUNCTION("QUERY('Volunteer Survey'!L167)"),"Dosage Sensitivity")</f>
        <v>Dosage Sensitivity</v>
      </c>
      <c r="AL168" s="175" t="str">
        <f ca="1">IFERROR(__xludf.DUMMYFUNCTION("QUERY('Volunteer Survey'!M167)"),"Somatic Cancer")</f>
        <v>Somatic Cancer</v>
      </c>
      <c r="AM168" s="175" t="str">
        <f ca="1">IFERROR(__xludf.DUMMYFUNCTION("QUERY('Volunteer Survey'!N167)"),"")</f>
        <v/>
      </c>
      <c r="AN168" s="175" t="str">
        <f ca="1">IFERROR(__xludf.DUMMYFUNCTION("QUERY('Volunteer Survey'!O167)"),"No")</f>
        <v>No</v>
      </c>
      <c r="AO168" s="175" t="str">
        <f ca="1">IFERROR(__xludf.DUMMYFUNCTION("QUERY('Volunteer Survey'!P167)"),"Epilepsy")</f>
        <v>Epilepsy</v>
      </c>
    </row>
    <row r="169" spans="1:41" ht="20.25" customHeight="1">
      <c r="A169" s="44">
        <f ca="1">IFERROR(__xludf.DUMMYFUNCTION("QUERY('Volunteer Survey'!A176)"),43568.8246428819)</f>
        <v>43568.824642881897</v>
      </c>
      <c r="B169" s="42" t="s">
        <v>160</v>
      </c>
      <c r="C169" s="84">
        <v>43787</v>
      </c>
      <c r="D169" s="49"/>
      <c r="E169" s="42" t="s">
        <v>130</v>
      </c>
      <c r="F169" s="42" t="s">
        <v>130</v>
      </c>
      <c r="G169" s="42" t="s">
        <v>19</v>
      </c>
      <c r="H169" s="47"/>
      <c r="I169" s="45" t="s">
        <v>139</v>
      </c>
      <c r="J169" s="49"/>
      <c r="K169" s="49"/>
      <c r="L169" s="49" t="str">
        <f ca="1">IFERROR(__xludf.DUMMYFUNCTION("QUERY('Volunteer Survey'!B176)"),"Fareed Al Qusous")</f>
        <v>Fareed Al Qusous</v>
      </c>
      <c r="M169" s="49" t="str">
        <f ca="1">IFERROR(__xludf.DUMMYFUNCTION("QUERY('Volunteer Survey'!E176)"),"Fareedh.al.qusous@hotmail.com")</f>
        <v>Fareedh.al.qusous@hotmail.com</v>
      </c>
      <c r="N169" s="49" t="str">
        <f ca="1">IFERROR(__xludf.DUMMYFUNCTION("QUERY('Volunteer Survey'!F176)"),"Undergraduate Student")</f>
        <v>Undergraduate Student</v>
      </c>
      <c r="O169" s="42" t="str">
        <f ca="1">IFERROR(__xludf.DUMMYFUNCTION("QUERY('Volunteer Survey'!H176)"),"Comprehensive")</f>
        <v>Comprehensive</v>
      </c>
      <c r="P169" s="49" t="str">
        <f ca="1">IFERROR(__xludf.DUMMYFUNCTION("QUERY('Volunteer Survey'!I176)"),"Clinical Actionability")</f>
        <v>Clinical Actionability</v>
      </c>
      <c r="Q169" s="54" t="str">
        <f ca="1">IFERROR(__xludf.DUMMYFUNCTION("QUERY('Volunteer Survey'!J176)"),"Gene-Disease Validity")</f>
        <v>Gene-Disease Validity</v>
      </c>
      <c r="R169" s="49" t="str">
        <f ca="1">IFERROR(__xludf.DUMMYFUNCTION("QUERY('Volunteer Survey'!K176)"),"Variant Pathogenicity")</f>
        <v>Variant Pathogenicity</v>
      </c>
      <c r="S169" s="49" t="str">
        <f ca="1">IFERROR(__xludf.DUMMYFUNCTION("QUERY('Volunteer Survey'!L176)"),"Dosage Sensitivity")</f>
        <v>Dosage Sensitivity</v>
      </c>
      <c r="T169" s="49" t="str">
        <f ca="1">IFERROR(__xludf.DUMMYFUNCTION("QUERY('Volunteer Survey'!M176)"),"Somatic Cancer")</f>
        <v>Somatic Cancer</v>
      </c>
      <c r="U169" s="58" t="str">
        <f ca="1">IFERROR(__xludf.DUMMYFUNCTION("QUERY('Volunteer Survey'!N176)"),"")</f>
        <v/>
      </c>
      <c r="V169" s="49" t="str">
        <f ca="1">IFERROR(__xludf.DUMMYFUNCTION("QUERY('Volunteer Survey'!O176)"),"Possibly")</f>
        <v>Possibly</v>
      </c>
      <c r="W169" s="60" t="str">
        <f ca="1">IFERROR(__xludf.DUMMYFUNCTION("QUERY('Volunteer Survey'!P176)"),"")</f>
        <v/>
      </c>
      <c r="X169" s="58" t="str">
        <f ca="1">IFERROR(__xludf.DUMMYFUNCTION("QUERY('Volunteer Survey'!R176)"),"Maybe -- please contact me with other options, and I will decide based on what is available")</f>
        <v>Maybe -- please contact me with other options, and I will decide based on what is available</v>
      </c>
      <c r="Y169" s="45" t="s">
        <v>352</v>
      </c>
      <c r="Z169" s="174">
        <f ca="1">IFERROR(__xludf.DUMMYFUNCTION("QUERY('Volunteer Survey'!A168)"),43564.7604356018)</f>
        <v>43564.760435601798</v>
      </c>
      <c r="AA169" s="175" t="str">
        <f ca="1">IFERROR(__xludf.DUMMYFUNCTION("QUERY('Volunteer Survey'!B168)"),"Emma Leach")</f>
        <v>Emma Leach</v>
      </c>
      <c r="AB169" s="175" t="str">
        <f ca="1">IFERROR(__xludf.DUMMYFUNCTION("QUERY('Volunteer Survey'!C168)"),"BC Inherited Arrhythmia Program")</f>
        <v>BC Inherited Arrhythmia Program</v>
      </c>
      <c r="AC169" s="175" t="str">
        <f ca="1">IFERROR(__xludf.DUMMYFUNCTION("QUERY('Volunteer Survey'!D168)"),"211-1033 Davie St., Vancouver, BC V6E 1M7")</f>
        <v>211-1033 Davie St., Vancouver, BC V6E 1M7</v>
      </c>
      <c r="AD169" s="175" t="str">
        <f ca="1">IFERROR(__xludf.DUMMYFUNCTION("QUERY('Volunteer Survey'!E168)"),"eleach@providencehealth.bc.ca")</f>
        <v>eleach@providencehealth.bc.ca</v>
      </c>
      <c r="AE169" s="175" t="str">
        <f ca="1">IFERROR(__xludf.DUMMYFUNCTION("QUERY('Volunteer Survey'!F168)"),"Genetic counselor")</f>
        <v>Genetic counselor</v>
      </c>
      <c r="AF169" s="175" t="str">
        <f ca="1">IFERROR(__xludf.DUMMYFUNCTION("QUERY('Volunteer Survey'!G168)"),"ClinGen conference advertisements (i.e. booth, workshop, presentation), Colleagues, The clinicalgenome.org website")</f>
        <v>ClinGen conference advertisements (i.e. booth, workshop, presentation), Colleagues, The clinicalgenome.org website</v>
      </c>
      <c r="AG169" s="175" t="str">
        <f ca="1">IFERROR(__xludf.DUMMYFUNCTION("QUERY('Volunteer Survey'!H168)"),"Baseline")</f>
        <v>Baseline</v>
      </c>
      <c r="AH169" s="175" t="str">
        <f ca="1">IFERROR(__xludf.DUMMYFUNCTION("QUERY('Volunteer Survey'!I168)"),"Clinical Actionability")</f>
        <v>Clinical Actionability</v>
      </c>
      <c r="AI169" s="175" t="str">
        <f ca="1">IFERROR(__xludf.DUMMYFUNCTION("QUERY('Volunteer Survey'!J168)"),"Gene-Disease Validity")</f>
        <v>Gene-Disease Validity</v>
      </c>
      <c r="AJ169" s="175" t="str">
        <f ca="1">IFERROR(__xludf.DUMMYFUNCTION("QUERY('Volunteer Survey'!K168)"),"Variant Pathogenicity")</f>
        <v>Variant Pathogenicity</v>
      </c>
      <c r="AK169" s="175" t="str">
        <f ca="1">IFERROR(__xludf.DUMMYFUNCTION("QUERY('Volunteer Survey'!L168)"),"Somatic Cancer")</f>
        <v>Somatic Cancer</v>
      </c>
      <c r="AL169" s="175" t="str">
        <f ca="1">IFERROR(__xludf.DUMMYFUNCTION("QUERY('Volunteer Survey'!M168)"),"Dosage Sensitivity")</f>
        <v>Dosage Sensitivity</v>
      </c>
      <c r="AM169" s="175" t="str">
        <f ca="1">IFERROR(__xludf.DUMMYFUNCTION("QUERY('Volunteer Survey'!N168)"),"previously published systematic literature review")</f>
        <v>previously published systematic literature review</v>
      </c>
      <c r="AN169" s="175" t="str">
        <f ca="1">IFERROR(__xludf.DUMMYFUNCTION("QUERY('Volunteer Survey'!O168)"),"Yes")</f>
        <v>Yes</v>
      </c>
      <c r="AO169" s="175" t="str">
        <f ca="1">IFERROR(__xludf.DUMMYFUNCTION("QUERY('Volunteer Survey'!P168)"),"cardiomyopathy")</f>
        <v>cardiomyopathy</v>
      </c>
    </row>
    <row r="170" spans="1:41" ht="14">
      <c r="A170" s="44">
        <f ca="1">IFERROR(__xludf.DUMMYFUNCTION("QUERY('Volunteer Survey'!A177)"),43570.8932796759)</f>
        <v>43570.893279675904</v>
      </c>
      <c r="B170" s="42" t="s">
        <v>108</v>
      </c>
      <c r="C170" s="47"/>
      <c r="D170" s="49"/>
      <c r="E170" s="42" t="s">
        <v>130</v>
      </c>
      <c r="F170" s="42" t="s">
        <v>130</v>
      </c>
      <c r="G170" s="42" t="s">
        <v>202</v>
      </c>
      <c r="H170" s="47"/>
      <c r="I170" s="45" t="s">
        <v>139</v>
      </c>
      <c r="J170" s="49"/>
      <c r="K170" s="49"/>
      <c r="L170" s="49" t="str">
        <f ca="1">IFERROR(__xludf.DUMMYFUNCTION("QUERY('Volunteer Survey'!B177)"),"Mi-Ae Jang")</f>
        <v>Mi-Ae Jang</v>
      </c>
      <c r="M170" s="49" t="str">
        <f ca="1">IFERROR(__xludf.DUMMYFUNCTION("QUERY('Volunteer Survey'!E177)"),"miaeyaho@gmail.com")</f>
        <v>miaeyaho@gmail.com</v>
      </c>
      <c r="N170" s="49" t="str">
        <f ca="1">IFERROR(__xludf.DUMMYFUNCTION("QUERY('Volunteer Survey'!F177)"),"Clinical laboratory geneticist")</f>
        <v>Clinical laboratory geneticist</v>
      </c>
      <c r="O170" s="42" t="str">
        <f ca="1">IFERROR(__xludf.DUMMYFUNCTION("QUERY('Volunteer Survey'!H177)"),"Baseline")</f>
        <v>Baseline</v>
      </c>
      <c r="P170" s="49" t="str">
        <f ca="1">IFERROR(__xludf.DUMMYFUNCTION("QUERY('Volunteer Survey'!I177)"),"")</f>
        <v/>
      </c>
      <c r="Q170" s="54" t="str">
        <f ca="1">IFERROR(__xludf.DUMMYFUNCTION("QUERY('Volunteer Survey'!J177)"),"")</f>
        <v/>
      </c>
      <c r="R170" s="49" t="str">
        <f ca="1">IFERROR(__xludf.DUMMYFUNCTION("QUERY('Volunteer Survey'!K177)"),"")</f>
        <v/>
      </c>
      <c r="S170" s="49" t="str">
        <f ca="1">IFERROR(__xludf.DUMMYFUNCTION("QUERY('Volunteer Survey'!L177)"),"")</f>
        <v/>
      </c>
      <c r="T170" s="49" t="str">
        <f ca="1">IFERROR(__xludf.DUMMYFUNCTION("QUERY('Volunteer Survey'!M177)"),"")</f>
        <v/>
      </c>
      <c r="U170" s="58" t="str">
        <f ca="1">IFERROR(__xludf.DUMMYFUNCTION("QUERY('Volunteer Survey'!N177)"),"")</f>
        <v/>
      </c>
      <c r="V170" s="49" t="str">
        <f ca="1">IFERROR(__xludf.DUMMYFUNCTION("QUERY('Volunteer Survey'!O177)"),"Possibly")</f>
        <v>Possibly</v>
      </c>
      <c r="W170" s="60" t="str">
        <f ca="1">IFERROR(__xludf.DUMMYFUNCTION("QUERY('Volunteer Survey'!P177)"),"Variant curation expert panel for myeloid malignancy and brain malformation")</f>
        <v>Variant curation expert panel for myeloid malignancy and brain malformation</v>
      </c>
      <c r="X170" s="58" t="str">
        <f ca="1">IFERROR(__xludf.DUMMYFUNCTION("QUERY('Volunteer Survey'!R177)"),"Maybe -- please contact me with other options, and I will decide based on what is available")</f>
        <v>Maybe -- please contact me with other options, and I will decide based on what is available</v>
      </c>
      <c r="Y170" s="47"/>
      <c r="Z170" s="174">
        <f ca="1">IFERROR(__xludf.DUMMYFUNCTION("QUERY('Volunteer Survey'!A169)"),43565.6199570717)</f>
        <v>43565.6199570717</v>
      </c>
      <c r="AA170" s="175" t="str">
        <f ca="1">IFERROR(__xludf.DUMMYFUNCTION("QUERY('Volunteer Survey'!B169)"),"Megan Lynch")</f>
        <v>Megan Lynch</v>
      </c>
      <c r="AB170" s="175" t="str">
        <f ca="1">IFERROR(__xludf.DUMMYFUNCTION("QUERY('Volunteer Survey'!C169)"),"University of Maryland Baltimore")</f>
        <v>University of Maryland Baltimore</v>
      </c>
      <c r="AC170" s="175" t="str">
        <f ca="1">IFERROR(__xludf.DUMMYFUNCTION("QUERY('Volunteer Survey'!D169)"),"807 West Barre St. Baltimore, MD 21230")</f>
        <v>807 West Barre St. Baltimore, MD 21230</v>
      </c>
      <c r="AD170" s="175" t="str">
        <f ca="1">IFERROR(__xludf.DUMMYFUNCTION("QUERY('Volunteer Survey'!E169)"),"megan.lynch@umaryland.edu")</f>
        <v>megan.lynch@umaryland.edu</v>
      </c>
      <c r="AE170" s="175" t="str">
        <f ca="1">IFERROR(__xludf.DUMMYFUNCTION("QUERY('Volunteer Survey'!F169)"),"Graduate Student")</f>
        <v>Graduate Student</v>
      </c>
      <c r="AF170" s="175" t="str">
        <f ca="1">IFERROR(__xludf.DUMMYFUNCTION("QUERY('Volunteer Survey'!G169)"),"ACMG Conference 2019, Colleagues")</f>
        <v>ACMG Conference 2019, Colleagues</v>
      </c>
      <c r="AG170" s="175" t="str">
        <f ca="1">IFERROR(__xludf.DUMMYFUNCTION("QUERY('Volunteer Survey'!H169)"),"Baseline")</f>
        <v>Baseline</v>
      </c>
      <c r="AH170" s="175" t="str">
        <f ca="1">IFERROR(__xludf.DUMMYFUNCTION("QUERY('Volunteer Survey'!I169)"),"Dosage Sensitivity")</f>
        <v>Dosage Sensitivity</v>
      </c>
      <c r="AI170" s="175" t="str">
        <f ca="1">IFERROR(__xludf.DUMMYFUNCTION("QUERY('Volunteer Survey'!J169)"),"Variant Pathogenicity")</f>
        <v>Variant Pathogenicity</v>
      </c>
      <c r="AJ170" s="175" t="str">
        <f ca="1">IFERROR(__xludf.DUMMYFUNCTION("QUERY('Volunteer Survey'!K169)"),"Clinical Actionability")</f>
        <v>Clinical Actionability</v>
      </c>
      <c r="AK170" s="175" t="str">
        <f ca="1">IFERROR(__xludf.DUMMYFUNCTION("QUERY('Volunteer Survey'!L169)"),"")</f>
        <v/>
      </c>
      <c r="AL170" s="175" t="str">
        <f ca="1">IFERROR(__xludf.DUMMYFUNCTION("QUERY('Volunteer Survey'!M169)"),"")</f>
        <v/>
      </c>
      <c r="AM170" s="175" t="str">
        <f ca="1">IFERROR(__xludf.DUMMYFUNCTION("QUERY('Volunteer Survey'!N169)"),"")</f>
        <v/>
      </c>
      <c r="AN170" s="175" t="str">
        <f ca="1">IFERROR(__xludf.DUMMYFUNCTION("QUERY('Volunteer Survey'!O169)"),"Possibly")</f>
        <v>Possibly</v>
      </c>
      <c r="AO170" s="175" t="str">
        <f ca="1">IFERROR(__xludf.DUMMYFUNCTION("QUERY('Volunteer Survey'!P169)"),"any of the cardiovascular working groups")</f>
        <v>any of the cardiovascular working groups</v>
      </c>
    </row>
    <row r="171" spans="1:41" ht="14">
      <c r="A171" s="44">
        <f ca="1">IFERROR(__xludf.DUMMYFUNCTION("QUERY('Volunteer Survey'!A178)"),43571.9779175925)</f>
        <v>43571.9779175925</v>
      </c>
      <c r="B171" s="42" t="s">
        <v>108</v>
      </c>
      <c r="C171" s="47"/>
      <c r="D171" s="59">
        <v>43692</v>
      </c>
      <c r="E171" s="42" t="s">
        <v>117</v>
      </c>
      <c r="F171" s="42" t="s">
        <v>130</v>
      </c>
      <c r="G171" s="42" t="s">
        <v>122</v>
      </c>
      <c r="H171" s="47"/>
      <c r="I171" s="45" t="s">
        <v>139</v>
      </c>
      <c r="J171" s="49"/>
      <c r="K171" s="49"/>
      <c r="L171" s="49" t="str">
        <f ca="1">IFERROR(__xludf.DUMMYFUNCTION("QUERY('Volunteer Survey'!B178)"),"Alison Bright")</f>
        <v>Alison Bright</v>
      </c>
      <c r="M171" s="49" t="str">
        <f ca="1">IFERROR(__xludf.DUMMYFUNCTION("QUERY('Volunteer Survey'!E178)"),"alison.r.bright@questdiagnostics.com")</f>
        <v>alison.r.bright@questdiagnostics.com</v>
      </c>
      <c r="N171" s="49" t="str">
        <f ca="1">IFERROR(__xludf.DUMMYFUNCTION("QUERY('Volunteer Survey'!F178)"),"Variant Analyst/Scientist - Industry")</f>
        <v>Variant Analyst/Scientist - Industry</v>
      </c>
      <c r="O171" s="42" t="str">
        <f ca="1">IFERROR(__xludf.DUMMYFUNCTION("QUERY('Volunteer Survey'!H178)"),"Comprehensive")</f>
        <v>Comprehensive</v>
      </c>
      <c r="P171" s="49" t="str">
        <f ca="1">IFERROR(__xludf.DUMMYFUNCTION("QUERY('Volunteer Survey'!I178)"),"Gene-Disease Validity")</f>
        <v>Gene-Disease Validity</v>
      </c>
      <c r="Q171" s="54" t="str">
        <f ca="1">IFERROR(__xludf.DUMMYFUNCTION("QUERY('Volunteer Survey'!J178)"),"Dosage Sensitivity")</f>
        <v>Dosage Sensitivity</v>
      </c>
      <c r="R171" s="49" t="str">
        <f ca="1">IFERROR(__xludf.DUMMYFUNCTION("QUERY('Volunteer Survey'!K178)"),"")</f>
        <v/>
      </c>
      <c r="S171" s="49" t="str">
        <f ca="1">IFERROR(__xludf.DUMMYFUNCTION("QUERY('Volunteer Survey'!L178)"),"")</f>
        <v/>
      </c>
      <c r="T171" s="49" t="str">
        <f ca="1">IFERROR(__xludf.DUMMYFUNCTION("QUERY('Volunteer Survey'!M178)"),"")</f>
        <v/>
      </c>
      <c r="U171" s="58" t="str">
        <f ca="1">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V171" s="49" t="str">
        <f ca="1">IFERROR(__xludf.DUMMYFUNCTION("QUERY('Volunteer Survey'!O178)"),"No")</f>
        <v>No</v>
      </c>
      <c r="W171" s="60" t="str">
        <f ca="1">IFERROR(__xludf.DUMMYFUNCTION("QUERY('Volunteer Survey'!P178)"),"ID/Autism")</f>
        <v>ID/Autism</v>
      </c>
      <c r="X171" s="58" t="str">
        <f ca="1">IFERROR(__xludf.DUMMYFUNCTION("QUERY('Volunteer Survey'!R178)"),"Maybe -- please contact me with other options, and I will decide based on what is available")</f>
        <v>Maybe -- please contact me with other options, and I will decide based on what is available</v>
      </c>
      <c r="Y171" s="47"/>
      <c r="Z171" s="174">
        <f ca="1">IFERROR(__xludf.DUMMYFUNCTION("QUERY('Volunteer Survey'!A170)"),43566.0396503819)</f>
        <v>43566.039650381899</v>
      </c>
      <c r="AA171" s="175" t="str">
        <f ca="1">IFERROR(__xludf.DUMMYFUNCTION("QUERY('Volunteer Survey'!B170)"),"Suvina To")</f>
        <v>Suvina To</v>
      </c>
      <c r="AB171" s="175" t="str">
        <f ca="1">IFERROR(__xludf.DUMMYFUNCTION("QUERY('Volunteer Survey'!C170)"),"ActX, Inc.")</f>
        <v>ActX, Inc.</v>
      </c>
      <c r="AC171" s="175" t="str">
        <f ca="1">IFERROR(__xludf.DUMMYFUNCTION("QUERY('Volunteer Survey'!D170)"),"")</f>
        <v/>
      </c>
      <c r="AD171" s="175" t="str">
        <f ca="1">IFERROR(__xludf.DUMMYFUNCTION("QUERY('Volunteer Survey'!E170)"),"suvina@gmail.com")</f>
        <v>suvina@gmail.com</v>
      </c>
      <c r="AE171" s="175" t="str">
        <f ca="1">IFERROR(__xludf.DUMMYFUNCTION("QUERY('Volunteer Survey'!F170)"),"Variant Analyst/Scientist - Industry")</f>
        <v>Variant Analyst/Scientist - Industry</v>
      </c>
      <c r="AF171" s="175" t="str">
        <f ca="1">IFERROR(__xludf.DUMMYFUNCTION("QUERY('Volunteer Survey'!G170)"),"ACMG Conference 2019, Monogenic Diabetes Group")</f>
        <v>ACMG Conference 2019, Monogenic Diabetes Group</v>
      </c>
      <c r="AG171" s="175" t="str">
        <f ca="1">IFERROR(__xludf.DUMMYFUNCTION("QUERY('Volunteer Survey'!H170)"),"Comprehensive")</f>
        <v>Comprehensive</v>
      </c>
      <c r="AH171" s="175" t="str">
        <f ca="1">IFERROR(__xludf.DUMMYFUNCTION("QUERY('Volunteer Survey'!I170)"),"Variant Pathogenicity")</f>
        <v>Variant Pathogenicity</v>
      </c>
      <c r="AI171" s="175" t="str">
        <f ca="1">IFERROR(__xludf.DUMMYFUNCTION("QUERY('Volunteer Survey'!J170)"),"Dosage Sensitivity")</f>
        <v>Dosage Sensitivity</v>
      </c>
      <c r="AJ171" s="175" t="str">
        <f ca="1">IFERROR(__xludf.DUMMYFUNCTION("QUERY('Volunteer Survey'!K170)"),"Gene-Disease Validity")</f>
        <v>Gene-Disease Validity</v>
      </c>
      <c r="AK171" s="175" t="str">
        <f ca="1">IFERROR(__xludf.DUMMYFUNCTION("QUERY('Volunteer Survey'!L170)"),"Clinical Actionability")</f>
        <v>Clinical Actionability</v>
      </c>
      <c r="AL171" s="175" t="str">
        <f ca="1">IFERROR(__xludf.DUMMYFUNCTION("QUERY('Volunteer Survey'!M170)"),"Somatic Cancer")</f>
        <v>Somatic Cancer</v>
      </c>
      <c r="AM171" s="175" t="str">
        <f ca="1">IFERROR(__xludf.DUMMYFUNCTION("QUERY('Volunteer Survey'!N170)"),"I am a variant curation specialist in my company")</f>
        <v>I am a variant curation specialist in my company</v>
      </c>
      <c r="AN171" s="175" t="str">
        <f ca="1">IFERROR(__xludf.DUMMYFUNCTION("QUERY('Volunteer Survey'!O170)"),"Possibly")</f>
        <v>Possibly</v>
      </c>
      <c r="AO171" s="175" t="str">
        <f ca="1">IFERROR(__xludf.DUMMYFUNCTION("QUERY('Volunteer Survey'!P170)"),"monogenic diabetes")</f>
        <v>monogenic diabetes</v>
      </c>
    </row>
    <row r="172" spans="1:41" ht="14">
      <c r="A172" s="44">
        <f ca="1">IFERROR(__xludf.DUMMYFUNCTION("QUERY('Volunteer Survey'!A179)"),43577.6068059837)</f>
        <v>43577.606805983698</v>
      </c>
      <c r="B172" s="42" t="s">
        <v>108</v>
      </c>
      <c r="C172" s="73">
        <v>43819</v>
      </c>
      <c r="D172" s="49"/>
      <c r="E172" s="42"/>
      <c r="F172" s="42" t="s">
        <v>130</v>
      </c>
      <c r="G172" s="42" t="s">
        <v>251</v>
      </c>
      <c r="H172" s="47"/>
      <c r="I172" s="45" t="s">
        <v>139</v>
      </c>
      <c r="J172" s="49"/>
      <c r="K172" s="49"/>
      <c r="L172" s="49" t="str">
        <f ca="1">IFERROR(__xludf.DUMMYFUNCTION("QUERY('Volunteer Survey'!B179)"),"Chloe Whitten")</f>
        <v>Chloe Whitten</v>
      </c>
      <c r="M172" s="49" t="str">
        <f ca="1">IFERROR(__xludf.DUMMYFUNCTION("QUERY('Volunteer Survey'!E179)"),"cwhitten@ambrygen.com")</f>
        <v>cwhitten@ambrygen.com</v>
      </c>
      <c r="N172" s="49" t="str">
        <f ca="1">IFERROR(__xludf.DUMMYFUNCTION("QUERY('Volunteer Survey'!F179)"),"Recent graduate, can help with more admin tasks")</f>
        <v>Recent graduate, can help with more admin tasks</v>
      </c>
      <c r="O172" s="42" t="str">
        <f ca="1">IFERROR(__xludf.DUMMYFUNCTION("QUERY('Volunteer Survey'!H179)"),"Comprehensive")</f>
        <v>Comprehensive</v>
      </c>
      <c r="P172" s="49" t="str">
        <f ca="1">IFERROR(__xludf.DUMMYFUNCTION("QUERY('Volunteer Survey'!I179)"),"Variant Pathogenicity")</f>
        <v>Variant Pathogenicity</v>
      </c>
      <c r="Q172" s="54" t="str">
        <f ca="1">IFERROR(__xludf.DUMMYFUNCTION("QUERY('Volunteer Survey'!J179)"),"")</f>
        <v/>
      </c>
      <c r="R172" s="49" t="str">
        <f ca="1">IFERROR(__xludf.DUMMYFUNCTION("QUERY('Volunteer Survey'!K179)"),"")</f>
        <v/>
      </c>
      <c r="S172" s="49" t="str">
        <f ca="1">IFERROR(__xludf.DUMMYFUNCTION("QUERY('Volunteer Survey'!L179)"),"")</f>
        <v/>
      </c>
      <c r="T172" s="49" t="str">
        <f ca="1">IFERROR(__xludf.DUMMYFUNCTION("QUERY('Volunteer Survey'!M179)"),"")</f>
        <v/>
      </c>
      <c r="U172" s="58" t="str">
        <f ca="1">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V172" s="49" t="str">
        <f ca="1">IFERROR(__xludf.DUMMYFUNCTION("QUERY('Volunteer Survey'!O179)"),"Possibly")</f>
        <v>Possibly</v>
      </c>
      <c r="W172" s="60" t="str">
        <f ca="1">IFERROR(__xludf.DUMMYFUNCTION("QUERY('Volunteer Survey'!P179)"),"FBN1, PKU or LSD")</f>
        <v>FBN1, PKU or LSD</v>
      </c>
      <c r="X172" s="58" t="str">
        <f ca="1">IFERROR(__xludf.DUMMYFUNCTION("QUERY('Volunteer Survey'!R179)"),"Yes- I am willing to volunteer with any available ClinGen group")</f>
        <v>Yes- I am willing to volunteer with any available ClinGen group</v>
      </c>
      <c r="Y172" s="47"/>
      <c r="Z172" s="174">
        <f ca="1">IFERROR(__xludf.DUMMYFUNCTION("QUERY('Volunteer Survey'!A171)"),43566.5250714467)</f>
        <v>43566.525071446697</v>
      </c>
      <c r="AA172" s="175" t="str">
        <f ca="1">IFERROR(__xludf.DUMMYFUNCTION("QUERY('Volunteer Survey'!B171)"),"Lemuel Racacho")</f>
        <v>Lemuel Racacho</v>
      </c>
      <c r="AB172" s="175" t="str">
        <f ca="1">IFERROR(__xludf.DUMMYFUNCTION("QUERY('Volunteer Survey'!C171)"),"Newborn Screening Ontario")</f>
        <v>Newborn Screening Ontario</v>
      </c>
      <c r="AC172" s="175" t="str">
        <f ca="1">IFERROR(__xludf.DUMMYFUNCTION("QUERY('Volunteer Survey'!D171)"),"")</f>
        <v/>
      </c>
      <c r="AD172" s="175" t="str">
        <f ca="1">IFERROR(__xludf.DUMMYFUNCTION("QUERY('Volunteer Survey'!E171)"),"lracacho@cheo.on.ca")</f>
        <v>lracacho@cheo.on.ca</v>
      </c>
      <c r="AE172" s="175" t="str">
        <f ca="1">IFERROR(__xludf.DUMMYFUNCTION("QUERY('Volunteer Survey'!F171)"),"Post Doc/Resident/Fellow (MD and/or PhD)")</f>
        <v>Post Doc/Resident/Fellow (MD and/or PhD)</v>
      </c>
      <c r="AF172" s="175" t="str">
        <f ca="1">IFERROR(__xludf.DUMMYFUNCTION("QUERY('Volunteer Survey'!G171)"),"ClinGen conference advertisements (i.e. booth, workshop, presentation), Networking, Colleagues, ClinGen affiliated emails and/or newsletters, The clinicalgenome.org website")</f>
        <v>ClinGen conference advertisements (i.e. booth, workshop, presentation), Networking, Colleagues, ClinGen affiliated emails and/or newsletters, The clinicalgenome.org website</v>
      </c>
      <c r="AG172" s="175" t="str">
        <f ca="1">IFERROR(__xludf.DUMMYFUNCTION("QUERY('Volunteer Survey'!H171)"),"Comprehensive")</f>
        <v>Comprehensive</v>
      </c>
      <c r="AH172" s="175" t="str">
        <f ca="1">IFERROR(__xludf.DUMMYFUNCTION("QUERY('Volunteer Survey'!I171)"),"Variant Pathogenicity")</f>
        <v>Variant Pathogenicity</v>
      </c>
      <c r="AI172" s="175" t="str">
        <f ca="1">IFERROR(__xludf.DUMMYFUNCTION("QUERY('Volunteer Survey'!J171)"),"Gene-Disease Validity")</f>
        <v>Gene-Disease Validity</v>
      </c>
      <c r="AJ172" s="175" t="str">
        <f ca="1">IFERROR(__xludf.DUMMYFUNCTION("QUERY('Volunteer Survey'!K171)"),"Clinical Actionability")</f>
        <v>Clinical Actionability</v>
      </c>
      <c r="AK172" s="175" t="str">
        <f ca="1">IFERROR(__xludf.DUMMYFUNCTION("QUERY('Volunteer Survey'!L171)"),"Dosage Sensitivity")</f>
        <v>Dosage Sensitivity</v>
      </c>
      <c r="AL172" s="175" t="str">
        <f ca="1">IFERROR(__xludf.DUMMYFUNCTION("QUERY('Volunteer Survey'!M171)"),"Somatic Cancer")</f>
        <v>Somatic Cancer</v>
      </c>
      <c r="AM172" s="175" t="str">
        <f ca="1">IFERROR(__xludf.DUMMYFUNCTION("QUERY('Volunteer Survey'!N171)"),"Yes, I currently interpret variants for mitochondrial based disorders")</f>
        <v>Yes, I currently interpret variants for mitochondrial based disorders</v>
      </c>
      <c r="AN172" s="175" t="str">
        <f ca="1">IFERROR(__xludf.DUMMYFUNCTION("QUERY('Volunteer Survey'!O171)"),"Possibly")</f>
        <v>Possibly</v>
      </c>
      <c r="AO172" s="175" t="str">
        <f ca="1">IFERROR(__xludf.DUMMYFUNCTION("QUERY('Volunteer Survey'!P171)"),"Inborn errors of metabolism; Low penetrance/risk allele")</f>
        <v>Inborn errors of metabolism; Low penetrance/risk allele</v>
      </c>
    </row>
    <row r="173" spans="1:41" ht="14">
      <c r="A173" s="44">
        <f ca="1">IFERROR(__xludf.DUMMYFUNCTION("QUERY('Volunteer Survey'!A180)"),43577.8743844328)</f>
        <v>43577.874384432798</v>
      </c>
      <c r="B173" s="42" t="s">
        <v>108</v>
      </c>
      <c r="C173" s="47"/>
      <c r="D173" s="49"/>
      <c r="E173" s="42"/>
      <c r="F173" s="42" t="s">
        <v>130</v>
      </c>
      <c r="G173" s="42" t="s">
        <v>202</v>
      </c>
      <c r="H173" s="47"/>
      <c r="I173" s="45" t="s">
        <v>139</v>
      </c>
      <c r="J173" s="49"/>
      <c r="K173" s="49"/>
      <c r="L173" s="49" t="str">
        <f ca="1">IFERROR(__xludf.DUMMYFUNCTION("QUERY('Volunteer Survey'!B180)"),"Jaclyn Murry")</f>
        <v>Jaclyn Murry</v>
      </c>
      <c r="M173" s="49" t="str">
        <f ca="1">IFERROR(__xludf.DUMMYFUNCTION("QUERY('Volunteer Survey'!E180)"),"jmurry@mednet.ucla.edu")</f>
        <v>jmurry@mednet.ucla.edu</v>
      </c>
      <c r="N173" s="49" t="str">
        <f ca="1">IFERROR(__xludf.DUMMYFUNCTION("QUERY('Volunteer Survey'!F180)"),"Clinical laboratory geneticist")</f>
        <v>Clinical laboratory geneticist</v>
      </c>
      <c r="O173" s="42" t="str">
        <f ca="1">IFERROR(__xludf.DUMMYFUNCTION("QUERY('Volunteer Survey'!H180)"),"Baseline")</f>
        <v>Baseline</v>
      </c>
      <c r="P173" s="49" t="str">
        <f ca="1">IFERROR(__xludf.DUMMYFUNCTION("QUERY('Volunteer Survey'!I180)"),"Dosage Sensitivity")</f>
        <v>Dosage Sensitivity</v>
      </c>
      <c r="Q173" s="54" t="str">
        <f ca="1">IFERROR(__xludf.DUMMYFUNCTION("QUERY('Volunteer Survey'!J180)"),"Variant Pathogenicity")</f>
        <v>Variant Pathogenicity</v>
      </c>
      <c r="R173" s="49" t="str">
        <f ca="1">IFERROR(__xludf.DUMMYFUNCTION("QUERY('Volunteer Survey'!K180)"),"")</f>
        <v/>
      </c>
      <c r="S173" s="49" t="str">
        <f ca="1">IFERROR(__xludf.DUMMYFUNCTION("QUERY('Volunteer Survey'!L180)"),"")</f>
        <v/>
      </c>
      <c r="T173" s="49" t="str">
        <f ca="1">IFERROR(__xludf.DUMMYFUNCTION("QUERY('Volunteer Survey'!M180)"),"")</f>
        <v/>
      </c>
      <c r="U173" s="58" t="str">
        <f ca="1">IFERROR(__xludf.DUMMYFUNCTION("QUERY('Volunteer Survey'!N180)"),"Currently review CMA cases on service")</f>
        <v>Currently review CMA cases on service</v>
      </c>
      <c r="V173" s="49" t="str">
        <f ca="1">IFERROR(__xludf.DUMMYFUNCTION("QUERY('Volunteer Survey'!O180)"),"No")</f>
        <v>No</v>
      </c>
      <c r="W173" s="60" t="str">
        <f ca="1">IFERROR(__xludf.DUMMYFUNCTION("QUERY('Volunteer Survey'!P180)"),"Interest in CNVs")</f>
        <v>Interest in CNVs</v>
      </c>
      <c r="X173" s="58" t="str">
        <f ca="1">IFERROR(__xludf.DUMMYFUNCTION("QUERY('Volunteer Survey'!R180)"),"Maybe -- please contact me with other options, and I will decide based on what is available")</f>
        <v>Maybe -- please contact me with other options, and I will decide based on what is available</v>
      </c>
      <c r="Y173" s="47"/>
      <c r="Z173" s="174">
        <f ca="1">IFERROR(__xludf.DUMMYFUNCTION("QUERY('Volunteer Survey'!A172)"),43566.6674040393)</f>
        <v>43566.667404039297</v>
      </c>
      <c r="AA173" s="175" t="str">
        <f ca="1">IFERROR(__xludf.DUMMYFUNCTION("QUERY('Volunteer Survey'!B172)"),"Bo Yuan")</f>
        <v>Bo Yuan</v>
      </c>
      <c r="AB173" s="175" t="str">
        <f ca="1">IFERROR(__xludf.DUMMYFUNCTION("QUERY('Volunteer Survey'!C172)"),"Baylor College of Medicine")</f>
        <v>Baylor College of Medicine</v>
      </c>
      <c r="AC173" s="175" t="str">
        <f ca="1">IFERROR(__xludf.DUMMYFUNCTION("QUERY('Volunteer Survey'!D172)"),"2450 Holcombe Blvd, Suite 200F, Houston, TX 77021")</f>
        <v>2450 Holcombe Blvd, Suite 200F, Houston, TX 77021</v>
      </c>
      <c r="AD173" s="175" t="str">
        <f ca="1">IFERROR(__xludf.DUMMYFUNCTION("QUERY('Volunteer Survey'!E172)"),"by2@bcm.edu")</f>
        <v>by2@bcm.edu</v>
      </c>
      <c r="AE173" s="175" t="str">
        <f ca="1">IFERROR(__xludf.DUMMYFUNCTION("QUERY('Volunteer Survey'!F172)"),"Clinical laboratory geneticist")</f>
        <v>Clinical laboratory geneticist</v>
      </c>
      <c r="AF173" s="175" t="str">
        <f ca="1">IFERROR(__xludf.DUMMYFUNCTION("QUERY('Volunteer Survey'!G172)"),"ACMG Conference 2019, Colleagues")</f>
        <v>ACMG Conference 2019, Colleagues</v>
      </c>
      <c r="AG173" s="175" t="str">
        <f ca="1">IFERROR(__xludf.DUMMYFUNCTION("QUERY('Volunteer Survey'!H172)"),"Comprehensive")</f>
        <v>Comprehensive</v>
      </c>
      <c r="AH173" s="175" t="str">
        <f ca="1">IFERROR(__xludf.DUMMYFUNCTION("QUERY('Volunteer Survey'!I172)"),"Gene-Disease Validity")</f>
        <v>Gene-Disease Validity</v>
      </c>
      <c r="AI173" s="175" t="str">
        <f ca="1">IFERROR(__xludf.DUMMYFUNCTION("QUERY('Volunteer Survey'!J172)"),"Somatic Cancer")</f>
        <v>Somatic Cancer</v>
      </c>
      <c r="AJ173" s="175" t="str">
        <f ca="1">IFERROR(__xludf.DUMMYFUNCTION("QUERY('Volunteer Survey'!K172)"),"Clinical Actionability")</f>
        <v>Clinical Actionability</v>
      </c>
      <c r="AK173" s="175" t="str">
        <f ca="1">IFERROR(__xludf.DUMMYFUNCTION("QUERY('Volunteer Survey'!L172)"),"Variant Pathogenicity")</f>
        <v>Variant Pathogenicity</v>
      </c>
      <c r="AL173" s="175" t="str">
        <f ca="1">IFERROR(__xludf.DUMMYFUNCTION("QUERY('Volunteer Survey'!M172)"),"Dosage Sensitivity")</f>
        <v>Dosage Sensitivity</v>
      </c>
      <c r="AM173" s="175" t="str">
        <f ca="1">IFERROR(__xludf.DUMMYFUNCTION("QUERY('Volunteer Survey'!N172)"),"I have been involved in some gene curation using ClinGen format. Variant curation is part of my routine practice.")</f>
        <v>I have been involved in some gene curation using ClinGen format. Variant curation is part of my routine practice.</v>
      </c>
      <c r="AN173" s="175" t="str">
        <f ca="1">IFERROR(__xludf.DUMMYFUNCTION("QUERY('Volunteer Survey'!O172)"),"Yes")</f>
        <v>Yes</v>
      </c>
      <c r="AO173" s="175" t="str">
        <f ca="1">IFERROR(__xludf.DUMMYFUNCTION("QUERY('Volunteer Survey'!P172)"),"")</f>
        <v/>
      </c>
    </row>
    <row r="174" spans="1:41" ht="14">
      <c r="A174" s="44">
        <f ca="1">IFERROR(__xludf.DUMMYFUNCTION("QUERY('Volunteer Survey'!A181)"),43578.6891417592)</f>
        <v>43578.689141759198</v>
      </c>
      <c r="B174" s="42" t="s">
        <v>108</v>
      </c>
      <c r="C174" s="47"/>
      <c r="D174" s="43">
        <v>43581</v>
      </c>
      <c r="E174" s="42" t="s">
        <v>117</v>
      </c>
      <c r="F174" s="42" t="s">
        <v>130</v>
      </c>
      <c r="G174" s="42" t="s">
        <v>136</v>
      </c>
      <c r="H174" s="47"/>
      <c r="I174" s="45" t="s">
        <v>139</v>
      </c>
      <c r="J174" s="50">
        <v>43712</v>
      </c>
      <c r="K174" s="50"/>
      <c r="L174" s="49" t="str">
        <f ca="1">IFERROR(__xludf.DUMMYFUNCTION("QUERY('Volunteer Survey'!B181)"),"Ying Zou")</f>
        <v>Ying Zou</v>
      </c>
      <c r="M174" s="49" t="str">
        <f ca="1">IFERROR(__xludf.DUMMYFUNCTION("QUERY('Volunteer Survey'!E181)")," yzou19@jhmi.edu")</f>
        <v xml:space="preserve"> yzou19@jhmi.edu</v>
      </c>
      <c r="N174" s="49" t="str">
        <f ca="1">IFERROR(__xludf.DUMMYFUNCTION("QUERY('Volunteer Survey'!F181)"),"Clinical laboratory geneticist")</f>
        <v>Clinical laboratory geneticist</v>
      </c>
      <c r="O174" s="42" t="str">
        <f ca="1">IFERROR(__xludf.DUMMYFUNCTION("QUERY('Volunteer Survey'!H181)"),"Comprehensive")</f>
        <v>Comprehensive</v>
      </c>
      <c r="P174" s="49" t="str">
        <f ca="1">IFERROR(__xludf.DUMMYFUNCTION("QUERY('Volunteer Survey'!I181)"),"Somatic Cancer")</f>
        <v>Somatic Cancer</v>
      </c>
      <c r="Q174" s="54" t="str">
        <f ca="1">IFERROR(__xludf.DUMMYFUNCTION("QUERY('Volunteer Survey'!J181)"),"Variant Pathogenicity")</f>
        <v>Variant Pathogenicity</v>
      </c>
      <c r="R174" s="49" t="str">
        <f ca="1">IFERROR(__xludf.DUMMYFUNCTION("QUERY('Volunteer Survey'!K181)"),"Clinical Actionability")</f>
        <v>Clinical Actionability</v>
      </c>
      <c r="S174" s="49" t="str">
        <f ca="1">IFERROR(__xludf.DUMMYFUNCTION("QUERY('Volunteer Survey'!L181)"),"Gene-Disease Validity")</f>
        <v>Gene-Disease Validity</v>
      </c>
      <c r="T174" s="49" t="str">
        <f ca="1">IFERROR(__xludf.DUMMYFUNCTION("QUERY('Volunteer Survey'!M181)"),"Dosage Sensitivity")</f>
        <v>Dosage Sensitivity</v>
      </c>
      <c r="U174" s="58" t="str">
        <f ca="1">IFERROR(__xludf.DUMMYFUNCTION("QUERY('Volunteer Survey'!N181)"),"")</f>
        <v/>
      </c>
      <c r="V174" s="49" t="str">
        <f ca="1">IFERROR(__xludf.DUMMYFUNCTION("QUERY('Volunteer Survey'!O181)"),"Possibly")</f>
        <v>Possibly</v>
      </c>
      <c r="W174" s="60" t="str">
        <f ca="1">IFERROR(__xludf.DUMMYFUNCTION("QUERY('Volunteer Survey'!P181)"),"somatic cancer")</f>
        <v>somatic cancer</v>
      </c>
      <c r="X174" s="58" t="str">
        <f ca="1">IFERROR(__xludf.DUMMYFUNCTION("QUERY('Volunteer Survey'!R181)"),"Maybe -- please contact me with other options, and I will decide based on what is available")</f>
        <v>Maybe -- please contact me with other options, and I will decide based on what is available</v>
      </c>
      <c r="Y174" s="47"/>
      <c r="Z174" s="174">
        <f ca="1">IFERROR(__xludf.DUMMYFUNCTION("QUERY('Volunteer Survey'!A173)"),43566.9625384953)</f>
        <v>43566.962538495303</v>
      </c>
      <c r="AA174" s="175" t="str">
        <f ca="1">IFERROR(__xludf.DUMMYFUNCTION("QUERY('Volunteer Survey'!B173)"),"Avinash Dharmadhikari")</f>
        <v>Avinash Dharmadhikari</v>
      </c>
      <c r="AB174" s="175" t="str">
        <f ca="1">IFERROR(__xludf.DUMMYFUNCTION("QUERY('Volunteer Survey'!C173)"),"Columbia University")</f>
        <v>Columbia University</v>
      </c>
      <c r="AC174" s="175" t="str">
        <f ca="1">IFERROR(__xludf.DUMMYFUNCTION("QUERY('Volunteer Survey'!D173)"),"630 W. 168th St., New York, NY 10032")</f>
        <v>630 W. 168th St., New York, NY 10032</v>
      </c>
      <c r="AD174" s="175" t="str">
        <f ca="1">IFERROR(__xludf.DUMMYFUNCTION("QUERY('Volunteer Survey'!E173)"),"avd2129@cumc.columbia.edu")</f>
        <v>avd2129@cumc.columbia.edu</v>
      </c>
      <c r="AE174" s="175" t="str">
        <f ca="1">IFERROR(__xludf.DUMMYFUNCTION("QUERY('Volunteer Survey'!F173)"),"Post Doc/Resident/Fellow (MD and/or PhD)")</f>
        <v>Post Doc/Resident/Fellow (MD and/or PhD)</v>
      </c>
      <c r="AF174" s="175" t="str">
        <f ca="1">IFERROR(__xludf.DUMMYFUNCTION("QUERY('Volunteer Survey'!G173)"),"ACMG Conference 2019")</f>
        <v>ACMG Conference 2019</v>
      </c>
      <c r="AG174" s="175" t="str">
        <f ca="1">IFERROR(__xludf.DUMMYFUNCTION("QUERY('Volunteer Survey'!H173)"),"Comprehensive")</f>
        <v>Comprehensive</v>
      </c>
      <c r="AH174" s="175" t="str">
        <f ca="1">IFERROR(__xludf.DUMMYFUNCTION("QUERY('Volunteer Survey'!I173)"),"Gene-Disease Validity")</f>
        <v>Gene-Disease Validity</v>
      </c>
      <c r="AI174" s="175" t="str">
        <f ca="1">IFERROR(__xludf.DUMMYFUNCTION("QUERY('Volunteer Survey'!J173)"),"Variant Pathogenicity")</f>
        <v>Variant Pathogenicity</v>
      </c>
      <c r="AJ174" s="175" t="str">
        <f ca="1">IFERROR(__xludf.DUMMYFUNCTION("QUERY('Volunteer Survey'!K173)"),"Dosage Sensitivity")</f>
        <v>Dosage Sensitivity</v>
      </c>
      <c r="AK174" s="175" t="str">
        <f ca="1">IFERROR(__xludf.DUMMYFUNCTION("QUERY('Volunteer Survey'!L173)"),"")</f>
        <v/>
      </c>
      <c r="AL174" s="175" t="str">
        <f ca="1">IFERROR(__xludf.DUMMYFUNCTION("QUERY('Volunteer Survey'!M173)"),"")</f>
        <v/>
      </c>
      <c r="AM174" s="175" t="str">
        <f ca="1">IFERROR(__xludf.DUMMYFUNCTION("QUERY('Volunteer Survey'!N173)"),"Previously variant analyst/curator at Baylor Genetics and Natera; currently LGG fellow at Columbia University")</f>
        <v>Previously variant analyst/curator at Baylor Genetics and Natera; currently LGG fellow at Columbia University</v>
      </c>
      <c r="AN174" s="175" t="str">
        <f ca="1">IFERROR(__xludf.DUMMYFUNCTION("QUERY('Volunteer Survey'!O173)"),"Possibly")</f>
        <v>Possibly</v>
      </c>
      <c r="AO174" s="175" t="str">
        <f ca="1">IFERROR(__xludf.DUMMYFUNCTION("QUERY('Volunteer Survey'!P173)"),"Hearing Loss VCEP &amp; GCEP or Dosage Sensitivity WG or ID/Autism GCEP")</f>
        <v>Hearing Loss VCEP &amp; GCEP or Dosage Sensitivity WG or ID/Autism GCEP</v>
      </c>
    </row>
    <row r="175" spans="1:41" ht="14">
      <c r="A175" s="44">
        <f ca="1">IFERROR(__xludf.DUMMYFUNCTION("QUERY('Volunteer Survey'!A182)"),43581.0153433101)</f>
        <v>43581.0153433101</v>
      </c>
      <c r="B175" s="42" t="s">
        <v>168</v>
      </c>
      <c r="C175" s="47"/>
      <c r="D175" s="59">
        <v>43570</v>
      </c>
      <c r="E175" s="42" t="s">
        <v>117</v>
      </c>
      <c r="F175" s="42" t="s">
        <v>117</v>
      </c>
      <c r="G175" s="42" t="s">
        <v>313</v>
      </c>
      <c r="H175" s="47"/>
      <c r="I175" s="45" t="s">
        <v>139</v>
      </c>
      <c r="J175" s="49"/>
      <c r="K175" s="49"/>
      <c r="L175" s="49" t="str">
        <f ca="1">IFERROR(__xludf.DUMMYFUNCTION("QUERY('Volunteer Survey'!B182)"),"JIXIA LIU")</f>
        <v>JIXIA LIU</v>
      </c>
      <c r="M175" s="49" t="str">
        <f ca="1">IFERROR(__xludf.DUMMYFUNCTION("QUERY('Volunteer Survey'!E182)"),"jixialiu@gmail.com")</f>
        <v>jixialiu@gmail.com</v>
      </c>
      <c r="N175" s="49" t="str">
        <f ca="1">IFERROR(__xludf.DUMMYFUNCTION("QUERY('Volunteer Survey'!F182)"),"Clinical Variant Curator")</f>
        <v>Clinical Variant Curator</v>
      </c>
      <c r="O175" s="42" t="str">
        <f ca="1">IFERROR(__xludf.DUMMYFUNCTION("QUERY('Volunteer Survey'!H182)"),"Comprehensive")</f>
        <v>Comprehensive</v>
      </c>
      <c r="P175" s="49" t="str">
        <f ca="1">IFERROR(__xludf.DUMMYFUNCTION("QUERY('Volunteer Survey'!I182)"),"Gene-Disease Validity")</f>
        <v>Gene-Disease Validity</v>
      </c>
      <c r="Q175" s="54" t="str">
        <f ca="1">IFERROR(__xludf.DUMMYFUNCTION("QUERY('Volunteer Survey'!J182)"),"Variant Pathogenicity")</f>
        <v>Variant Pathogenicity</v>
      </c>
      <c r="R175" s="49" t="str">
        <f ca="1">IFERROR(__xludf.DUMMYFUNCTION("QUERY('Volunteer Survey'!K182)"),"Somatic Cancer")</f>
        <v>Somatic Cancer</v>
      </c>
      <c r="S175" s="49" t="str">
        <f ca="1">IFERROR(__xludf.DUMMYFUNCTION("QUERY('Volunteer Survey'!L182)"),"Clinical Actionability")</f>
        <v>Clinical Actionability</v>
      </c>
      <c r="T175" s="49" t="str">
        <f ca="1">IFERROR(__xludf.DUMMYFUNCTION("QUERY('Volunteer Survey'!M182)"),"Dosage Sensitivity")</f>
        <v>Dosage Sensitivity</v>
      </c>
      <c r="U175" s="58" t="str">
        <f ca="1">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V175" s="49" t="str">
        <f ca="1">IFERROR(__xludf.DUMMYFUNCTION("QUERY('Volunteer Survey'!O182)"),"Possibly")</f>
        <v>Possibly</v>
      </c>
      <c r="W175" s="60" t="str">
        <f ca="1">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c r="X175" s="58" t="str">
        <f ca="1">IFERROR(__xludf.DUMMYFUNCTION("QUERY('Volunteer Survey'!R182)"),"Yes- I am willing to volunteer with any available ClinGen group")</f>
        <v>Yes- I am willing to volunteer with any available ClinGen group</v>
      </c>
      <c r="Y175" s="47"/>
      <c r="Z175" s="174">
        <f ca="1">IFERROR(__xludf.DUMMYFUNCTION("QUERY('Volunteer Survey'!A174)"),43567.6781867129)</f>
        <v>43567.678186712903</v>
      </c>
      <c r="AA175" s="175" t="str">
        <f ca="1">IFERROR(__xludf.DUMMYFUNCTION("QUERY('Volunteer Survey'!B174)"),"Sara Fitzgerald-Butt")</f>
        <v>Sara Fitzgerald-Butt</v>
      </c>
      <c r="AB175" s="175" t="str">
        <f ca="1">IFERROR(__xludf.DUMMYFUNCTION("QUERY('Volunteer Survey'!C174)"),"Indiana University School of Medicine")</f>
        <v>Indiana University School of Medicine</v>
      </c>
      <c r="AC175" s="175" t="str">
        <f ca="1">IFERROR(__xludf.DUMMYFUNCTION("QUERY('Volunteer Survey'!D174)"),"975 W. Walnut IB-130 Indianapolis IN 46202")</f>
        <v>975 W. Walnut IB-130 Indianapolis IN 46202</v>
      </c>
      <c r="AD175" s="175" t="str">
        <f ca="1">IFERROR(__xludf.DUMMYFUNCTION("QUERY('Volunteer Survey'!E174)"),"sfitzge@iu.edu")</f>
        <v>sfitzge@iu.edu</v>
      </c>
      <c r="AE175" s="175" t="str">
        <f ca="1">IFERROR(__xludf.DUMMYFUNCTION("QUERY('Volunteer Survey'!F174)"),"Genetic counselor")</f>
        <v>Genetic counselor</v>
      </c>
      <c r="AF175" s="175" t="str">
        <f ca="1">IFERROR(__xludf.DUMMYFUNCTION("QUERY('Volunteer Survey'!G174)"),"ACMG Conference 2019")</f>
        <v>ACMG Conference 2019</v>
      </c>
      <c r="AG175" s="175" t="str">
        <f ca="1">IFERROR(__xludf.DUMMYFUNCTION("QUERY('Volunteer Survey'!H174)"),"Comprehensive")</f>
        <v>Comprehensive</v>
      </c>
      <c r="AH175" s="175" t="str">
        <f ca="1">IFERROR(__xludf.DUMMYFUNCTION("QUERY('Volunteer Survey'!I174)"),"Variant Pathogenicity")</f>
        <v>Variant Pathogenicity</v>
      </c>
      <c r="AI175" s="175" t="str">
        <f ca="1">IFERROR(__xludf.DUMMYFUNCTION("QUERY('Volunteer Survey'!J174)"),"Gene-Disease Validity")</f>
        <v>Gene-Disease Validity</v>
      </c>
      <c r="AJ175" s="175" t="str">
        <f ca="1">IFERROR(__xludf.DUMMYFUNCTION("QUERY('Volunteer Survey'!K174)"),"")</f>
        <v/>
      </c>
      <c r="AK175" s="175" t="str">
        <f ca="1">IFERROR(__xludf.DUMMYFUNCTION("QUERY('Volunteer Survey'!L174)"),"")</f>
        <v/>
      </c>
      <c r="AL175" s="175" t="str">
        <f ca="1">IFERROR(__xludf.DUMMYFUNCTION("QUERY('Volunteer Survey'!M174)"),"")</f>
        <v/>
      </c>
      <c r="AM175" s="175" t="str">
        <f ca="1">IFERROR(__xludf.DUMMYFUNCTION("QUERY('Volunteer Survey'!N174)"),"I was part of a research team that reinterpreted the variants seen in our pediatric arrhythmia patients following the release of the 2015 ACMG/AMP guidelines.  Also, as a genetic counselor, I an evaluating the interpretation of the clinical laboratory.")</f>
        <v>I was part of a research team that reinterpreted the variants seen in our pediatric arrhythmia patients following the release of the 2015 ACMG/AMP guidelines.  Also, as a genetic counselor, I an evaluating the interpretation of the clinical laboratory.</v>
      </c>
      <c r="AN175" s="175" t="str">
        <f ca="1">IFERROR(__xludf.DUMMYFUNCTION("QUERY('Volunteer Survey'!O174)"),"No")</f>
        <v>No</v>
      </c>
      <c r="AO175" s="175" t="str">
        <f ca="1">IFERROR(__xludf.DUMMYFUNCTION("QUERY('Volunteer Survey'!P174)"),"Cardiovascular, cardiomyopathy, Long QT syndrome, FBN1")</f>
        <v>Cardiovascular, cardiomyopathy, Long QT syndrome, FBN1</v>
      </c>
    </row>
    <row r="176" spans="1:41" ht="18" customHeight="1">
      <c r="A176" s="44">
        <f ca="1">IFERROR(__xludf.DUMMYFUNCTION("QUERY('Volunteer Survey'!A183)"),43581.5923809953)</f>
        <v>43581.592380995302</v>
      </c>
      <c r="B176" s="42" t="s">
        <v>160</v>
      </c>
      <c r="C176" s="47"/>
      <c r="D176" s="50">
        <v>43605</v>
      </c>
      <c r="E176" s="42" t="s">
        <v>117</v>
      </c>
      <c r="F176" s="42" t="s">
        <v>117</v>
      </c>
      <c r="G176" s="42" t="s">
        <v>251</v>
      </c>
      <c r="H176" s="45" t="s">
        <v>314</v>
      </c>
      <c r="I176" s="45" t="s">
        <v>139</v>
      </c>
      <c r="J176" s="50">
        <v>43712</v>
      </c>
      <c r="K176" s="50"/>
      <c r="L176" s="49" t="str">
        <f ca="1">IFERROR(__xludf.DUMMYFUNCTION("QUERY('Volunteer Survey'!B183)"),"Catherine Driscoll")</f>
        <v>Catherine Driscoll</v>
      </c>
      <c r="M176" s="49" t="str">
        <f ca="1">IFERROR(__xludf.DUMMYFUNCTION("QUERY('Volunteer Survey'!E183)"),"kate.driscoll@nih.gov")</f>
        <v>kate.driscoll@nih.gov</v>
      </c>
      <c r="N176" s="49" t="str">
        <f ca="1">IFERROR(__xludf.DUMMYFUNCTION("QUERY('Volunteer Survey'!F183)"),"Clinical laboratory geneticist")</f>
        <v>Clinical laboratory geneticist</v>
      </c>
      <c r="O176" s="42" t="str">
        <f ca="1">IFERROR(__xludf.DUMMYFUNCTION("QUERY('Volunteer Survey'!H183)"),"Comprehensive")</f>
        <v>Comprehensive</v>
      </c>
      <c r="P176" s="49" t="str">
        <f ca="1">IFERROR(__xludf.DUMMYFUNCTION("QUERY('Volunteer Survey'!I183)"),"Variant Pathogenicity")</f>
        <v>Variant Pathogenicity</v>
      </c>
      <c r="Q176" s="54" t="str">
        <f ca="1">IFERROR(__xludf.DUMMYFUNCTION("QUERY('Volunteer Survey'!J183)"),"")</f>
        <v/>
      </c>
      <c r="R176" s="49" t="str">
        <f ca="1">IFERROR(__xludf.DUMMYFUNCTION("QUERY('Volunteer Survey'!K183)"),"")</f>
        <v/>
      </c>
      <c r="S176" s="49" t="str">
        <f ca="1">IFERROR(__xludf.DUMMYFUNCTION("QUERY('Volunteer Survey'!L183)"),"")</f>
        <v/>
      </c>
      <c r="T176" s="49" t="str">
        <f ca="1">IFERROR(__xludf.DUMMYFUNCTION("QUERY('Volunteer Survey'!M183)"),"")</f>
        <v/>
      </c>
      <c r="U176" s="58" t="str">
        <f ca="1">IFERROR(__xludf.DUMMYFUNCTION("QUERY('Volunteer Survey'!N183)"),"Yes, my main task at work is annotation of variants in Dr. Biesecker's lab")</f>
        <v>Yes, my main task at work is annotation of variants in Dr. Biesecker's lab</v>
      </c>
      <c r="V176" s="49" t="str">
        <f ca="1">IFERROR(__xludf.DUMMYFUNCTION("QUERY('Volunteer Survey'!O183)"),"No")</f>
        <v>No</v>
      </c>
      <c r="W176" s="60" t="str">
        <f ca="1">IFERROR(__xludf.DUMMYFUNCTION("QUERY('Volunteer Survey'!P183)"),"Yes, RYR1 MHS")</f>
        <v>Yes, RYR1 MHS</v>
      </c>
      <c r="X176" s="58" t="str">
        <f ca="1">IFERROR(__xludf.DUMMYFUNCTION("QUERY('Volunteer Survey'!R183)"),"No - I am only interested in the group(s) I previously indicated")</f>
        <v>No - I am only interested in the group(s) I previously indicated</v>
      </c>
      <c r="Y176" s="45" t="s">
        <v>353</v>
      </c>
      <c r="Z176" s="174">
        <f ca="1">IFERROR(__xludf.DUMMYFUNCTION("QUERY('Volunteer Survey'!A175)"),43567.9264500925)</f>
        <v>43567.926450092498</v>
      </c>
      <c r="AA176" s="175" t="str">
        <f ca="1">IFERROR(__xludf.DUMMYFUNCTION("QUERY('Volunteer Survey'!B175)"),"Samya Chakravorty")</f>
        <v>Samya Chakravorty</v>
      </c>
      <c r="AB176" s="175" t="str">
        <f ca="1">IFERROR(__xludf.DUMMYFUNCTION("QUERY('Volunteer Survey'!C175)"),"Emory University")</f>
        <v>Emory University</v>
      </c>
      <c r="AC176" s="175" t="str">
        <f ca="1">IFERROR(__xludf.DUMMYFUNCTION("QUERY('Volunteer Survey'!D175)"),"615 Michael Street NE
Whitehead Building Level 3, Suite 301")</f>
        <v>615 Michael Street NE
Whitehead Building Level 3, Suite 301</v>
      </c>
      <c r="AD176" s="175" t="str">
        <f ca="1">IFERROR(__xludf.DUMMYFUNCTION("QUERY('Volunteer Survey'!E175)"),"samya.chakravorty@emory.edu")</f>
        <v>samya.chakravorty@emory.edu</v>
      </c>
      <c r="AE176" s="175" t="str">
        <f ca="1">IFERROR(__xludf.DUMMYFUNCTION("QUERY('Volunteer Survey'!F175)"),"Scientific Researcher")</f>
        <v>Scientific Researcher</v>
      </c>
      <c r="AF176" s="175" t="str">
        <f ca="1">IFERROR(__xludf.DUMMYFUNCTION("QUERY('Volunteer Survey'!G175)"),"ACMG Conference 2019, ClinGen conference advertisements (i.e. booth, workshop, presentation), Networking, Colleagues")</f>
        <v>ACMG Conference 2019, ClinGen conference advertisements (i.e. booth, workshop, presentation), Networking, Colleagues</v>
      </c>
      <c r="AG176" s="175" t="str">
        <f ca="1">IFERROR(__xludf.DUMMYFUNCTION("QUERY('Volunteer Survey'!H175)"),"Comprehensive")</f>
        <v>Comprehensive</v>
      </c>
      <c r="AH176" s="175" t="str">
        <f ca="1">IFERROR(__xludf.DUMMYFUNCTION("QUERY('Volunteer Survey'!I175)"),"Variant Pathogenicity")</f>
        <v>Variant Pathogenicity</v>
      </c>
      <c r="AI176" s="175" t="str">
        <f ca="1">IFERROR(__xludf.DUMMYFUNCTION("QUERY('Volunteer Survey'!J175)"),"Gene-Disease Validity")</f>
        <v>Gene-Disease Validity</v>
      </c>
      <c r="AJ176" s="175" t="str">
        <f ca="1">IFERROR(__xludf.DUMMYFUNCTION("QUERY('Volunteer Survey'!K175)"),"Clinical Actionability")</f>
        <v>Clinical Actionability</v>
      </c>
      <c r="AK176" s="175" t="str">
        <f ca="1">IFERROR(__xludf.DUMMYFUNCTION("QUERY('Volunteer Survey'!L175)"),"Dosage Sensitivity")</f>
        <v>Dosage Sensitivity</v>
      </c>
      <c r="AL176" s="175" t="str">
        <f ca="1">IFERROR(__xludf.DUMMYFUNCTION("QUERY('Volunteer Survey'!M175)"),"")</f>
        <v/>
      </c>
      <c r="AM176" s="175" t="str">
        <f ca="1">IFERROR(__xludf.DUMMYFUNCTION("QUERY('Volunteer Survey'!N175)"),"I do have experience in classifying variants based on my functional data and submitting in Clinvar, other databases, and understanding variant annotation and classification based on 2015 ACMG-AMP guidelines. I also have experience in understanding the dis"&amp;"ease causality of variants and genes in correlation with clinical data. Though most of my experiences are in clinical research setting, but I do work closely with CLIA labs, organizations, and board-certified clinical geneticists. ")</f>
        <v xml:space="preserve">I do have experience in classifying variants based on my functional data and submitting in Clinvar, other databases, and understanding variant annotation and classification based on 2015 ACMG-AMP guidelines. I also have experience in understanding the disease causality of variants and genes in correlation with clinical data. Though most of my experiences are in clinical research setting, but I do work closely with CLIA labs, organizations, and board-certified clinical geneticists. </v>
      </c>
      <c r="AN176" s="175" t="str">
        <f ca="1">IFERROR(__xludf.DUMMYFUNCTION("QUERY('Volunteer Survey'!O175)"),"Yes")</f>
        <v>Yes</v>
      </c>
      <c r="AO176" s="175" t="str">
        <f ca="1">IFERROR(__xludf.DUMMYFUNCTION("QUERY('Volunteer Survey'!P175)"),"Lysosomal Storage Disorders, Epilepsy")</f>
        <v>Lysosomal Storage Disorders, Epilepsy</v>
      </c>
    </row>
    <row r="177" spans="1:41" ht="14">
      <c r="A177" s="44">
        <f ca="1">IFERROR(__xludf.DUMMYFUNCTION("QUERY('Volunteer Survey'!A184)"),43584.7974777199)</f>
        <v>43584.797477719898</v>
      </c>
      <c r="B177" s="42" t="s">
        <v>108</v>
      </c>
      <c r="C177" s="47"/>
      <c r="D177" s="49"/>
      <c r="E177" s="42"/>
      <c r="F177" s="42" t="s">
        <v>130</v>
      </c>
      <c r="G177" s="42" t="s">
        <v>202</v>
      </c>
      <c r="H177" s="47"/>
      <c r="I177" s="45" t="s">
        <v>139</v>
      </c>
      <c r="J177" s="49"/>
      <c r="K177" s="49"/>
      <c r="L177" s="49" t="str">
        <f ca="1">IFERROR(__xludf.DUMMYFUNCTION("QUERY('Volunteer Survey'!B184)"),"Sara King")</f>
        <v>Sara King</v>
      </c>
      <c r="M177" s="49" t="str">
        <f ca="1">IFERROR(__xludf.DUMMYFUNCTION("QUERY('Volunteer Survey'!E184)"),"sking127@student.umuc.edu")</f>
        <v>sking127@student.umuc.edu</v>
      </c>
      <c r="N177" s="49" t="str">
        <f ca="1">IFERROR(__xludf.DUMMYFUNCTION("QUERY('Volunteer Survey'!F184)"),"Graduate Student")</f>
        <v>Graduate Student</v>
      </c>
      <c r="O177" s="42" t="str">
        <f ca="1">IFERROR(__xludf.DUMMYFUNCTION("QUERY('Volunteer Survey'!H184)"),"Baseline")</f>
        <v>Baseline</v>
      </c>
      <c r="P177" s="49" t="str">
        <f ca="1">IFERROR(__xludf.DUMMYFUNCTION("QUERY('Volunteer Survey'!I184)"),"")</f>
        <v/>
      </c>
      <c r="Q177" s="54" t="str">
        <f ca="1">IFERROR(__xludf.DUMMYFUNCTION("QUERY('Volunteer Survey'!J184)"),"")</f>
        <v/>
      </c>
      <c r="R177" s="49" t="str">
        <f ca="1">IFERROR(__xludf.DUMMYFUNCTION("QUERY('Volunteer Survey'!K184)"),"")</f>
        <v/>
      </c>
      <c r="S177" s="49" t="str">
        <f ca="1">IFERROR(__xludf.DUMMYFUNCTION("QUERY('Volunteer Survey'!L184)"),"")</f>
        <v/>
      </c>
      <c r="T177" s="49" t="str">
        <f ca="1">IFERROR(__xludf.DUMMYFUNCTION("QUERY('Volunteer Survey'!M184)"),"")</f>
        <v/>
      </c>
      <c r="U177" s="58" t="str">
        <f ca="1">IFERROR(__xludf.DUMMYFUNCTION("QUERY('Volunteer Survey'!N184)"),"")</f>
        <v/>
      </c>
      <c r="V177" s="49" t="str">
        <f ca="1">IFERROR(__xludf.DUMMYFUNCTION("QUERY('Volunteer Survey'!O184)"),"Possibly")</f>
        <v>Possibly</v>
      </c>
      <c r="W177" s="60" t="str">
        <f ca="1">IFERROR(__xludf.DUMMYFUNCTION("QUERY('Volunteer Survey'!P184)"),"")</f>
        <v/>
      </c>
      <c r="X177" s="58" t="str">
        <f ca="1">IFERROR(__xludf.DUMMYFUNCTION("QUERY('Volunteer Survey'!R184)"),"")</f>
        <v/>
      </c>
      <c r="Y177" s="45"/>
      <c r="Z177" s="174">
        <f ca="1">IFERROR(__xludf.DUMMYFUNCTION("QUERY('Volunteer Survey'!A176)"),43568.8246428819)</f>
        <v>43568.824642881897</v>
      </c>
      <c r="AA177" s="175" t="str">
        <f ca="1">IFERROR(__xludf.DUMMYFUNCTION("QUERY('Volunteer Survey'!B176)"),"Fareed Al Qusous")</f>
        <v>Fareed Al Qusous</v>
      </c>
      <c r="AB177" s="175" t="str">
        <f ca="1">IFERROR(__xludf.DUMMYFUNCTION("QUERY('Volunteer Survey'!C176)"),"Mr")</f>
        <v>Mr</v>
      </c>
      <c r="AC177" s="175" t="str">
        <f ca="1">IFERROR(__xludf.DUMMYFUNCTION("QUERY('Volunteer Survey'!D176)"),"2 Garstand road canterbury halls")</f>
        <v>2 Garstand road canterbury halls</v>
      </c>
      <c r="AD177" s="175" t="str">
        <f ca="1">IFERROR(__xludf.DUMMYFUNCTION("QUERY('Volunteer Survey'!E176)"),"Fareedh.al.qusous@hotmail.com")</f>
        <v>Fareedh.al.qusous@hotmail.com</v>
      </c>
      <c r="AE177" s="175" t="str">
        <f ca="1">IFERROR(__xludf.DUMMYFUNCTION("QUERY('Volunteer Survey'!F176)"),"Undergraduate Student")</f>
        <v>Undergraduate Student</v>
      </c>
      <c r="AF177" s="175" t="str">
        <f ca="1">IFERROR(__xludf.DUMMYFUNCTION("QUERY('Volunteer Survey'!G176)"),"google")</f>
        <v>google</v>
      </c>
      <c r="AG177" s="175" t="str">
        <f ca="1">IFERROR(__xludf.DUMMYFUNCTION("QUERY('Volunteer Survey'!H176)"),"Comprehensive")</f>
        <v>Comprehensive</v>
      </c>
      <c r="AH177" s="175" t="str">
        <f ca="1">IFERROR(__xludf.DUMMYFUNCTION("QUERY('Volunteer Survey'!I176)"),"Clinical Actionability")</f>
        <v>Clinical Actionability</v>
      </c>
      <c r="AI177" s="175" t="str">
        <f ca="1">IFERROR(__xludf.DUMMYFUNCTION("QUERY('Volunteer Survey'!J176)"),"Gene-Disease Validity")</f>
        <v>Gene-Disease Validity</v>
      </c>
      <c r="AJ177" s="175" t="str">
        <f ca="1">IFERROR(__xludf.DUMMYFUNCTION("QUERY('Volunteer Survey'!K176)"),"Variant Pathogenicity")</f>
        <v>Variant Pathogenicity</v>
      </c>
      <c r="AK177" s="175" t="str">
        <f ca="1">IFERROR(__xludf.DUMMYFUNCTION("QUERY('Volunteer Survey'!L176)"),"Dosage Sensitivity")</f>
        <v>Dosage Sensitivity</v>
      </c>
      <c r="AL177" s="175" t="str">
        <f ca="1">IFERROR(__xludf.DUMMYFUNCTION("QUERY('Volunteer Survey'!M176)"),"Somatic Cancer")</f>
        <v>Somatic Cancer</v>
      </c>
      <c r="AM177" s="175" t="str">
        <f ca="1">IFERROR(__xludf.DUMMYFUNCTION("QUERY('Volunteer Survey'!N176)"),"")</f>
        <v/>
      </c>
      <c r="AN177" s="175" t="str">
        <f ca="1">IFERROR(__xludf.DUMMYFUNCTION("QUERY('Volunteer Survey'!O176)"),"Possibly")</f>
        <v>Possibly</v>
      </c>
      <c r="AO177" s="175" t="str">
        <f ca="1">IFERROR(__xludf.DUMMYFUNCTION("QUERY('Volunteer Survey'!P176)"),"")</f>
        <v/>
      </c>
    </row>
    <row r="178" spans="1:41" ht="14">
      <c r="A178" s="44">
        <f ca="1">IFERROR(__xludf.DUMMYFUNCTION("QUERY('Volunteer Survey'!A185)"),43585.6337606944)</f>
        <v>43585.6337606944</v>
      </c>
      <c r="B178" s="42" t="s">
        <v>108</v>
      </c>
      <c r="C178" s="73">
        <v>43689</v>
      </c>
      <c r="D178" s="50">
        <v>43768</v>
      </c>
      <c r="E178" s="42" t="s">
        <v>117</v>
      </c>
      <c r="F178" s="42" t="s">
        <v>117</v>
      </c>
      <c r="G178" s="42" t="s">
        <v>19</v>
      </c>
      <c r="H178" s="63" t="s">
        <v>19</v>
      </c>
      <c r="I178" s="63" t="s">
        <v>139</v>
      </c>
      <c r="J178" s="49"/>
      <c r="K178" s="49"/>
      <c r="L178" s="49" t="str">
        <f ca="1">IFERROR(__xludf.DUMMYFUNCTION("QUERY('Volunteer Survey'!B185)"),"Gifty Bhat")</f>
        <v>Gifty Bhat</v>
      </c>
      <c r="M178" s="49" t="str">
        <f ca="1">IFERROR(__xludf.DUMMYFUNCTION("QUERY('Volunteer Survey'!E185)"),"drgiftybhat@gmail.com")</f>
        <v>drgiftybhat@gmail.com</v>
      </c>
      <c r="N178" s="49" t="str">
        <f ca="1">IFERROR(__xludf.DUMMYFUNCTION("QUERY('Volunteer Survey'!F185)"),"Clinical Medical Geneticist")</f>
        <v>Clinical Medical Geneticist</v>
      </c>
      <c r="O178" s="42" t="str">
        <f ca="1">IFERROR(__xludf.DUMMYFUNCTION("QUERY('Volunteer Survey'!H185)"),"Comprehensive")</f>
        <v>Comprehensive</v>
      </c>
      <c r="P178" s="49" t="str">
        <f ca="1">IFERROR(__xludf.DUMMYFUNCTION("QUERY('Volunteer Survey'!I185)"),"Clinical Actionability")</f>
        <v>Clinical Actionability</v>
      </c>
      <c r="Q178" s="54" t="str">
        <f ca="1">IFERROR(__xludf.DUMMYFUNCTION("QUERY('Volunteer Survey'!J185)"),"Gene-Disease Validity")</f>
        <v>Gene-Disease Validity</v>
      </c>
      <c r="R178" s="49" t="str">
        <f ca="1">IFERROR(__xludf.DUMMYFUNCTION("QUERY('Volunteer Survey'!K185)"),"Variant Pathogenicity")</f>
        <v>Variant Pathogenicity</v>
      </c>
      <c r="S178" s="49" t="str">
        <f ca="1">IFERROR(__xludf.DUMMYFUNCTION("QUERY('Volunteer Survey'!L185)"),"Dosage Sensitivity")</f>
        <v>Dosage Sensitivity</v>
      </c>
      <c r="T178" s="49" t="str">
        <f ca="1">IFERROR(__xludf.DUMMYFUNCTION("QUERY('Volunteer Survey'!M185)"),"Somatic Cancer")</f>
        <v>Somatic Cancer</v>
      </c>
      <c r="U178" s="58" t="str">
        <f ca="1">IFERROR(__xludf.DUMMYFUNCTION("QUERY('Volunteer Survey'!N185)"),"")</f>
        <v/>
      </c>
      <c r="V178" s="49" t="str">
        <f ca="1">IFERROR(__xludf.DUMMYFUNCTION("QUERY('Volunteer Survey'!O185)"),"Yes")</f>
        <v>Yes</v>
      </c>
      <c r="W178" s="60" t="str">
        <f ca="1">IFERROR(__xludf.DUMMYFUNCTION("QUERY('Volunteer Survey'!P185)"),"Intellectual disability and autism")</f>
        <v>Intellectual disability and autism</v>
      </c>
      <c r="X178" s="58" t="str">
        <f ca="1">IFERROR(__xludf.DUMMYFUNCTION("QUERY('Volunteer Survey'!R185)"),"Yes- I am willing to volunteer with any available ClinGen group")</f>
        <v>Yes- I am willing to volunteer with any available ClinGen group</v>
      </c>
      <c r="Y178" s="45"/>
      <c r="Z178" s="174">
        <f ca="1">IFERROR(__xludf.DUMMYFUNCTION("QUERY('Volunteer Survey'!A177)"),43570.8932796759)</f>
        <v>43570.893279675904</v>
      </c>
      <c r="AA178" s="175" t="str">
        <f ca="1">IFERROR(__xludf.DUMMYFUNCTION("QUERY('Volunteer Survey'!B177)"),"Mi-Ae Jang")</f>
        <v>Mi-Ae Jang</v>
      </c>
      <c r="AB178" s="175" t="str">
        <f ca="1">IFERROR(__xludf.DUMMYFUNCTION("QUERY('Volunteer Survey'!C177)"),"Soonchunhyang University Hospital")</f>
        <v>Soonchunhyang University Hospital</v>
      </c>
      <c r="AC178" s="175" t="str">
        <f ca="1">IFERROR(__xludf.DUMMYFUNCTION("QUERY('Volunteer Survey'!D177)"),"170 Jomaru-ro, Wonmi-gu, Bucheon, Gyenggido, South Korea")</f>
        <v>170 Jomaru-ro, Wonmi-gu, Bucheon, Gyenggido, South Korea</v>
      </c>
      <c r="AD178" s="175" t="str">
        <f ca="1">IFERROR(__xludf.DUMMYFUNCTION("QUERY('Volunteer Survey'!E177)"),"miaeyaho@gmail.com")</f>
        <v>miaeyaho@gmail.com</v>
      </c>
      <c r="AE178" s="175" t="str">
        <f ca="1">IFERROR(__xludf.DUMMYFUNCTION("QUERY('Volunteer Survey'!F177)"),"Clinical laboratory geneticist")</f>
        <v>Clinical laboratory geneticist</v>
      </c>
      <c r="AF178" s="175" t="str">
        <f ca="1">IFERROR(__xludf.DUMMYFUNCTION("QUERY('Volunteer Survey'!G177)"),"The clinicalgenome.org website")</f>
        <v>The clinicalgenome.org website</v>
      </c>
      <c r="AG178" s="175" t="str">
        <f ca="1">IFERROR(__xludf.DUMMYFUNCTION("QUERY('Volunteer Survey'!H177)"),"Baseline")</f>
        <v>Baseline</v>
      </c>
      <c r="AH178" s="175" t="str">
        <f ca="1">IFERROR(__xludf.DUMMYFUNCTION("QUERY('Volunteer Survey'!I177)"),"")</f>
        <v/>
      </c>
      <c r="AI178" s="175" t="str">
        <f ca="1">IFERROR(__xludf.DUMMYFUNCTION("QUERY('Volunteer Survey'!J177)"),"")</f>
        <v/>
      </c>
      <c r="AJ178" s="175" t="str">
        <f ca="1">IFERROR(__xludf.DUMMYFUNCTION("QUERY('Volunteer Survey'!K177)"),"")</f>
        <v/>
      </c>
      <c r="AK178" s="175" t="str">
        <f ca="1">IFERROR(__xludf.DUMMYFUNCTION("QUERY('Volunteer Survey'!L177)"),"")</f>
        <v/>
      </c>
      <c r="AL178" s="175" t="str">
        <f ca="1">IFERROR(__xludf.DUMMYFUNCTION("QUERY('Volunteer Survey'!M177)"),"")</f>
        <v/>
      </c>
      <c r="AM178" s="175" t="str">
        <f ca="1">IFERROR(__xludf.DUMMYFUNCTION("QUERY('Volunteer Survey'!N177)"),"")</f>
        <v/>
      </c>
      <c r="AN178" s="175" t="str">
        <f ca="1">IFERROR(__xludf.DUMMYFUNCTION("QUERY('Volunteer Survey'!O177)"),"Possibly")</f>
        <v>Possibly</v>
      </c>
      <c r="AO178" s="175" t="str">
        <f ca="1">IFERROR(__xludf.DUMMYFUNCTION("QUERY('Volunteer Survey'!P177)"),"Variant curation expert panel for myeloid malignancy and brain malformation")</f>
        <v>Variant curation expert panel for myeloid malignancy and brain malformation</v>
      </c>
    </row>
    <row r="179" spans="1:41" ht="17.25" customHeight="1">
      <c r="A179" s="44">
        <f ca="1">IFERROR(__xludf.DUMMYFUNCTION("QUERY('Volunteer Survey'!A186)"),43586.5964573032)</f>
        <v>43586.596457303203</v>
      </c>
      <c r="B179" s="42" t="s">
        <v>160</v>
      </c>
      <c r="C179" s="47"/>
      <c r="D179" s="50">
        <v>43608</v>
      </c>
      <c r="E179" s="42" t="s">
        <v>117</v>
      </c>
      <c r="F179" s="42" t="s">
        <v>117</v>
      </c>
      <c r="G179" s="42" t="s">
        <v>251</v>
      </c>
      <c r="H179" s="45" t="s">
        <v>302</v>
      </c>
      <c r="I179" s="63" t="s">
        <v>139</v>
      </c>
      <c r="J179" s="50">
        <v>43712</v>
      </c>
      <c r="K179" s="50"/>
      <c r="L179" s="49" t="str">
        <f ca="1">IFERROR(__xludf.DUMMYFUNCTION("QUERY('Volunteer Survey'!B186)"),"Ashley Marsh")</f>
        <v>Ashley Marsh</v>
      </c>
      <c r="M179" s="49" t="str">
        <f ca="1">IFERROR(__xludf.DUMMYFUNCTION("QUERY('Volunteer Survey'!E186)"),"amarsh@ucsd.edu")</f>
        <v>amarsh@ucsd.edu</v>
      </c>
      <c r="N179" s="49" t="str">
        <f ca="1">IFERROR(__xludf.DUMMYFUNCTION("QUERY('Volunteer Survey'!F186)"),"Post Doc/Resident/Fellow (MD and/or PhD)")</f>
        <v>Post Doc/Resident/Fellow (MD and/or PhD)</v>
      </c>
      <c r="O179" s="42" t="str">
        <f ca="1">IFERROR(__xludf.DUMMYFUNCTION("QUERY('Volunteer Survey'!H186)"),"Comprehensive")</f>
        <v>Comprehensive</v>
      </c>
      <c r="P179" s="49" t="str">
        <f ca="1">IFERROR(__xludf.DUMMYFUNCTION("QUERY('Volunteer Survey'!I186)"),"Variant Pathogenicity")</f>
        <v>Variant Pathogenicity</v>
      </c>
      <c r="Q179" s="54" t="str">
        <f ca="1">IFERROR(__xludf.DUMMYFUNCTION("QUERY('Volunteer Survey'!J186)"),"Gene-Disease Validity")</f>
        <v>Gene-Disease Validity</v>
      </c>
      <c r="R179" s="49" t="str">
        <f ca="1">IFERROR(__xludf.DUMMYFUNCTION("QUERY('Volunteer Survey'!K186)"),"")</f>
        <v/>
      </c>
      <c r="S179" s="49" t="str">
        <f ca="1">IFERROR(__xludf.DUMMYFUNCTION("QUERY('Volunteer Survey'!L186)"),"")</f>
        <v/>
      </c>
      <c r="T179" s="49" t="str">
        <f ca="1">IFERROR(__xludf.DUMMYFUNCTION("QUERY('Volunteer Survey'!M186)"),"")</f>
        <v/>
      </c>
      <c r="U179" s="58" t="str">
        <f ca="1">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V179" s="49" t="str">
        <f ca="1">IFERROR(__xludf.DUMMYFUNCTION("QUERY('Volunteer Survey'!O186)"),"Possibly")</f>
        <v>Possibly</v>
      </c>
      <c r="W179" s="60" t="str">
        <f ca="1">IFERROR(__xludf.DUMMYFUNCTION("QUERY('Volunteer Survey'!P186)"),"•	Brain Malformations Variant Curation Expert Panel
•	Brain Malformations Gene Curation Expert Panel")</f>
        <v>•	Brain Malformations Variant Curation Expert Panel
•	Brain Malformations Gene Curation Expert Panel</v>
      </c>
      <c r="X179" s="58" t="str">
        <f ca="1">IFERROR(__xludf.DUMMYFUNCTION("QUERY('Volunteer Survey'!R186)"),"Maybe -- please contact me with other options, and I will decide based on what is available")</f>
        <v>Maybe -- please contact me with other options, and I will decide based on what is available</v>
      </c>
      <c r="Y179" s="45"/>
      <c r="Z179" s="174">
        <f ca="1">IFERROR(__xludf.DUMMYFUNCTION("QUERY('Volunteer Survey'!A178)"),43571.9779175925)</f>
        <v>43571.9779175925</v>
      </c>
      <c r="AA179" s="175" t="str">
        <f ca="1">IFERROR(__xludf.DUMMYFUNCTION("QUERY('Volunteer Survey'!B178)"),"Alison Bright")</f>
        <v>Alison Bright</v>
      </c>
      <c r="AB179" s="175" t="str">
        <f ca="1">IFERROR(__xludf.DUMMYFUNCTION("QUERY('Volunteer Survey'!C178)"),"Quest Diagnostics")</f>
        <v>Quest Diagnostics</v>
      </c>
      <c r="AC179" s="175" t="str">
        <f ca="1">IFERROR(__xludf.DUMMYFUNCTION("QUERY('Volunteer Survey'!D178)"),"200 Forest St, Marlborough, MA")</f>
        <v>200 Forest St, Marlborough, MA</v>
      </c>
      <c r="AD179" s="175" t="str">
        <f ca="1">IFERROR(__xludf.DUMMYFUNCTION("QUERY('Volunteer Survey'!E178)"),"alison.r.bright@questdiagnostics.com")</f>
        <v>alison.r.bright@questdiagnostics.com</v>
      </c>
      <c r="AE179" s="175" t="str">
        <f ca="1">IFERROR(__xludf.DUMMYFUNCTION("QUERY('Volunteer Survey'!F178)"),"Variant Analyst/Scientist - Industry")</f>
        <v>Variant Analyst/Scientist - Industry</v>
      </c>
      <c r="AF179" s="175" t="str">
        <f ca="1">IFERROR(__xludf.DUMMYFUNCTION("QUERY('Volunteer Survey'!G178)"),"Networking, Heard abt it from Marina DiStefano (Clinical Molecular Genetics Fellow)")</f>
        <v>Networking, Heard abt it from Marina DiStefano (Clinical Molecular Genetics Fellow)</v>
      </c>
      <c r="AG179" s="175" t="str">
        <f ca="1">IFERROR(__xludf.DUMMYFUNCTION("QUERY('Volunteer Survey'!H178)"),"Comprehensive")</f>
        <v>Comprehensive</v>
      </c>
      <c r="AH179" s="175" t="str">
        <f ca="1">IFERROR(__xludf.DUMMYFUNCTION("QUERY('Volunteer Survey'!I178)"),"Gene-Disease Validity")</f>
        <v>Gene-Disease Validity</v>
      </c>
      <c r="AI179" s="175" t="str">
        <f ca="1">IFERROR(__xludf.DUMMYFUNCTION("QUERY('Volunteer Survey'!J178)"),"Dosage Sensitivity")</f>
        <v>Dosage Sensitivity</v>
      </c>
      <c r="AJ179" s="175" t="str">
        <f ca="1">IFERROR(__xludf.DUMMYFUNCTION("QUERY('Volunteer Survey'!K178)"),"")</f>
        <v/>
      </c>
      <c r="AK179" s="175" t="str">
        <f ca="1">IFERROR(__xludf.DUMMYFUNCTION("QUERY('Volunteer Survey'!L178)"),"")</f>
        <v/>
      </c>
      <c r="AL179" s="175" t="str">
        <f ca="1">IFERROR(__xludf.DUMMYFUNCTION("QUERY('Volunteer Survey'!M178)"),"")</f>
        <v/>
      </c>
      <c r="AM179" s="175" t="str">
        <f ca="1">IFERROR(__xludf.DUMMYFUNCTION("QUERY('Volunteer Survey'!N178)"),"6 years as a variant scientist: past 2 years focused on CNVs identified by microarray. Prior to that was focused on SNVs identified by single gene and panel tests.")</f>
        <v>6 years as a variant scientist: past 2 years focused on CNVs identified by microarray. Prior to that was focused on SNVs identified by single gene and panel tests.</v>
      </c>
      <c r="AN179" s="175" t="str">
        <f ca="1">IFERROR(__xludf.DUMMYFUNCTION("QUERY('Volunteer Survey'!O178)"),"No")</f>
        <v>No</v>
      </c>
      <c r="AO179" s="175" t="str">
        <f ca="1">IFERROR(__xludf.DUMMYFUNCTION("QUERY('Volunteer Survey'!P178)"),"ID/Autism")</f>
        <v>ID/Autism</v>
      </c>
    </row>
    <row r="180" spans="1:41" ht="14">
      <c r="A180" s="44">
        <f ca="1">IFERROR(__xludf.DUMMYFUNCTION("QUERY('Volunteer Survey'!A187)"),43587.1672437384)</f>
        <v>43587.167243738397</v>
      </c>
      <c r="B180" s="42" t="s">
        <v>108</v>
      </c>
      <c r="C180" s="47"/>
      <c r="D180" s="59">
        <v>43585</v>
      </c>
      <c r="E180" s="42" t="s">
        <v>117</v>
      </c>
      <c r="F180" s="42" t="s">
        <v>117</v>
      </c>
      <c r="G180" s="42" t="s">
        <v>122</v>
      </c>
      <c r="H180" s="45" t="s">
        <v>311</v>
      </c>
      <c r="I180" s="63" t="s">
        <v>139</v>
      </c>
      <c r="J180" s="49"/>
      <c r="K180" s="49"/>
      <c r="L180" s="49" t="str">
        <f ca="1">IFERROR(__xludf.DUMMYFUNCTION("QUERY('Volunteer Survey'!B187)"),"Kevin Colclough")</f>
        <v>Kevin Colclough</v>
      </c>
      <c r="M180" s="49" t="str">
        <f ca="1">IFERROR(__xludf.DUMMYFUNCTION("QUERY('Volunteer Survey'!E187)"),"kevin.colclough@nhs.net")</f>
        <v>kevin.colclough@nhs.net</v>
      </c>
      <c r="N180" s="49" t="str">
        <f ca="1">IFERROR(__xludf.DUMMYFUNCTION("QUERY('Volunteer Survey'!F187)"),"Clinical laboratory geneticist")</f>
        <v>Clinical laboratory geneticist</v>
      </c>
      <c r="O180" s="42" t="str">
        <f ca="1">IFERROR(__xludf.DUMMYFUNCTION("QUERY('Volunteer Survey'!H187)"),"Comprehensive")</f>
        <v>Comprehensive</v>
      </c>
      <c r="P180" s="49" t="str">
        <f ca="1">IFERROR(__xludf.DUMMYFUNCTION("QUERY('Volunteer Survey'!I187)"),"Variant Pathogenicity")</f>
        <v>Variant Pathogenicity</v>
      </c>
      <c r="Q180" s="54" t="str">
        <f ca="1">IFERROR(__xludf.DUMMYFUNCTION("QUERY('Volunteer Survey'!J187)"),"Gene-Disease Validity")</f>
        <v>Gene-Disease Validity</v>
      </c>
      <c r="R180" s="49" t="str">
        <f ca="1">IFERROR(__xludf.DUMMYFUNCTION("QUERY('Volunteer Survey'!K187)"),"Clinical Actionability")</f>
        <v>Clinical Actionability</v>
      </c>
      <c r="S180" s="49" t="str">
        <f ca="1">IFERROR(__xludf.DUMMYFUNCTION("QUERY('Volunteer Survey'!L187)"),"Dosage Sensitivity")</f>
        <v>Dosage Sensitivity</v>
      </c>
      <c r="T180" s="49" t="str">
        <f ca="1">IFERROR(__xludf.DUMMYFUNCTION("QUERY('Volunteer Survey'!M187)"),"Somatic Cancer")</f>
        <v>Somatic Cancer</v>
      </c>
      <c r="U180" s="58" t="str">
        <f ca="1">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V180" s="49" t="str">
        <f ca="1">IFERROR(__xludf.DUMMYFUNCTION("QUERY('Volunteer Survey'!O187)"),"Yes")</f>
        <v>Yes</v>
      </c>
      <c r="W180" s="60" t="str">
        <f ca="1">IFERROR(__xludf.DUMMYFUNCTION("QUERY('Volunteer Survey'!P187)"),"I am a member of the variant curation and gene curation expert panels for monogenic diabetes.")</f>
        <v>I am a member of the variant curation and gene curation expert panels for monogenic diabetes.</v>
      </c>
      <c r="X180" s="58" t="str">
        <f ca="1">IFERROR(__xludf.DUMMYFUNCTION("QUERY('Volunteer Survey'!R187)"),"No - I am only interested in the group(s) I previously indicated")</f>
        <v>No - I am only interested in the group(s) I previously indicated</v>
      </c>
      <c r="Y180" s="45"/>
      <c r="Z180" s="174">
        <f ca="1">IFERROR(__xludf.DUMMYFUNCTION("QUERY('Volunteer Survey'!A179)"),43577.6068059837)</f>
        <v>43577.606805983698</v>
      </c>
      <c r="AA180" s="175" t="str">
        <f ca="1">IFERROR(__xludf.DUMMYFUNCTION("QUERY('Volunteer Survey'!B179)"),"Chloe Whitten")</f>
        <v>Chloe Whitten</v>
      </c>
      <c r="AB180" s="175" t="str">
        <f ca="1">IFERROR(__xludf.DUMMYFUNCTION("QUERY('Volunteer Survey'!C179)"),"Ambry Genetics")</f>
        <v>Ambry Genetics</v>
      </c>
      <c r="AC180" s="175" t="str">
        <f ca="1">IFERROR(__xludf.DUMMYFUNCTION("QUERY('Volunteer Survey'!D179)"),"")</f>
        <v/>
      </c>
      <c r="AD180" s="175" t="str">
        <f ca="1">IFERROR(__xludf.DUMMYFUNCTION("QUERY('Volunteer Survey'!E179)"),"cwhitten@ambrygen.com")</f>
        <v>cwhitten@ambrygen.com</v>
      </c>
      <c r="AE180" s="175" t="str">
        <f ca="1">IFERROR(__xludf.DUMMYFUNCTION("QUERY('Volunteer Survey'!F179)"),"Recent graduate, can help with more admin tasks")</f>
        <v>Recent graduate, can help with more admin tasks</v>
      </c>
      <c r="AF180" s="175" t="str">
        <f ca="1">IFERROR(__xludf.DUMMYFUNCTION("QUERY('Volunteer Survey'!G179)"),"ACMG Conference 2019, Colleagues")</f>
        <v>ACMG Conference 2019, Colleagues</v>
      </c>
      <c r="AG180" s="175" t="str">
        <f ca="1">IFERROR(__xludf.DUMMYFUNCTION("QUERY('Volunteer Survey'!H179)"),"Comprehensive")</f>
        <v>Comprehensive</v>
      </c>
      <c r="AH180" s="175" t="str">
        <f ca="1">IFERROR(__xludf.DUMMYFUNCTION("QUERY('Volunteer Survey'!I179)"),"Variant Pathogenicity")</f>
        <v>Variant Pathogenicity</v>
      </c>
      <c r="AI180" s="175" t="str">
        <f ca="1">IFERROR(__xludf.DUMMYFUNCTION("QUERY('Volunteer Survey'!J179)"),"")</f>
        <v/>
      </c>
      <c r="AJ180" s="175" t="str">
        <f ca="1">IFERROR(__xludf.DUMMYFUNCTION("QUERY('Volunteer Survey'!K179)"),"")</f>
        <v/>
      </c>
      <c r="AK180" s="175" t="str">
        <f ca="1">IFERROR(__xludf.DUMMYFUNCTION("QUERY('Volunteer Survey'!L179)"),"")</f>
        <v/>
      </c>
      <c r="AL180" s="175" t="str">
        <f ca="1">IFERROR(__xludf.DUMMYFUNCTION("QUERY('Volunteer Survey'!M179)"),"")</f>
        <v/>
      </c>
      <c r="AM180" s="175" t="str">
        <f ca="1">IFERROR(__xludf.DUMMYFUNCTION("QUERY('Volunteer Survey'!N179)"),"I don’t have experience with curation but I am eager to learn and have experience with more administrative/tedious tasks. I’d love to be involved but I understand that I do not have an clinical degrees")</f>
        <v>I don’t have experience with curation but I am eager to learn and have experience with more administrative/tedious tasks. I’d love to be involved but I understand that I do not have an clinical degrees</v>
      </c>
      <c r="AN180" s="175" t="str">
        <f ca="1">IFERROR(__xludf.DUMMYFUNCTION("QUERY('Volunteer Survey'!O179)"),"Possibly")</f>
        <v>Possibly</v>
      </c>
      <c r="AO180" s="175" t="str">
        <f ca="1">IFERROR(__xludf.DUMMYFUNCTION("QUERY('Volunteer Survey'!P179)"),"FBN1, PKU or LSD")</f>
        <v>FBN1, PKU or LSD</v>
      </c>
    </row>
    <row r="181" spans="1:41" ht="14">
      <c r="A181" s="44">
        <f ca="1">IFERROR(__xludf.DUMMYFUNCTION("QUERY('Volunteer Survey'!A188)"),43588.5387376273)</f>
        <v>43588.538737627299</v>
      </c>
      <c r="B181" s="42" t="s">
        <v>108</v>
      </c>
      <c r="C181" s="73">
        <v>43705</v>
      </c>
      <c r="D181" s="49"/>
      <c r="E181" s="42"/>
      <c r="F181" s="42" t="s">
        <v>130</v>
      </c>
      <c r="G181" s="42" t="s">
        <v>136</v>
      </c>
      <c r="H181" s="47"/>
      <c r="I181" s="63" t="s">
        <v>139</v>
      </c>
      <c r="J181" s="49"/>
      <c r="K181" s="49"/>
      <c r="L181" s="49" t="str">
        <f ca="1">IFERROR(__xludf.DUMMYFUNCTION("QUERY('Volunteer Survey'!B188)"),"Erin Sybouts")</f>
        <v>Erin Sybouts</v>
      </c>
      <c r="M181" s="49" t="str">
        <f ca="1">IFERROR(__xludf.DUMMYFUNCTION("QUERY('Volunteer Survey'!E188)"),"sybouts@livemail.uthscsa.edu")</f>
        <v>sybouts@livemail.uthscsa.edu</v>
      </c>
      <c r="N181" s="49" t="str">
        <f ca="1">IFERROR(__xludf.DUMMYFUNCTION("QUERY('Volunteer Survey'!F188)"),"Graduate Student")</f>
        <v>Graduate Student</v>
      </c>
      <c r="O181" s="42" t="str">
        <f ca="1">IFERROR(__xludf.DUMMYFUNCTION("QUERY('Volunteer Survey'!H188)"),"Comprehensive")</f>
        <v>Comprehensive</v>
      </c>
      <c r="P181" s="49" t="str">
        <f ca="1">IFERROR(__xludf.DUMMYFUNCTION("QUERY('Volunteer Survey'!I188)"),"Somatic Cancer")</f>
        <v>Somatic Cancer</v>
      </c>
      <c r="Q181" s="54" t="str">
        <f ca="1">IFERROR(__xludf.DUMMYFUNCTION("QUERY('Volunteer Survey'!J188)"),"Dosage Sensitivity")</f>
        <v>Dosage Sensitivity</v>
      </c>
      <c r="R181" s="49" t="str">
        <f ca="1">IFERROR(__xludf.DUMMYFUNCTION("QUERY('Volunteer Survey'!K188)"),"Gene-Disease Validity")</f>
        <v>Gene-Disease Validity</v>
      </c>
      <c r="S181" s="49" t="str">
        <f ca="1">IFERROR(__xludf.DUMMYFUNCTION("QUERY('Volunteer Survey'!L188)"),"Variant Pathogenicity")</f>
        <v>Variant Pathogenicity</v>
      </c>
      <c r="T181" s="49" t="str">
        <f ca="1">IFERROR(__xludf.DUMMYFUNCTION("QUERY('Volunteer Survey'!M188)"),"Clinical Actionability")</f>
        <v>Clinical Actionability</v>
      </c>
      <c r="U181" s="58" t="str">
        <f ca="1">IFERROR(__xludf.DUMMYFUNCTION("QUERY('Volunteer Survey'!N188)"),"")</f>
        <v/>
      </c>
      <c r="V181" s="49" t="str">
        <f ca="1">IFERROR(__xludf.DUMMYFUNCTION("QUERY('Volunteer Survey'!O188)"),"Yes")</f>
        <v>Yes</v>
      </c>
      <c r="W181" s="60" t="str">
        <f ca="1">IFERROR(__xludf.DUMMYFUNCTION("QUERY('Volunteer Survey'!P188)"),"TP53")</f>
        <v>TP53</v>
      </c>
      <c r="X181" s="58" t="str">
        <f ca="1">IFERROR(__xludf.DUMMYFUNCTION("QUERY('Volunteer Survey'!R188)"),"Yes- I am willing to volunteer with any available ClinGen group")</f>
        <v>Yes- I am willing to volunteer with any available ClinGen group</v>
      </c>
      <c r="Y181" s="45"/>
      <c r="Z181" s="174">
        <f ca="1">IFERROR(__xludf.DUMMYFUNCTION("QUERY('Volunteer Survey'!A180)"),43577.8743844328)</f>
        <v>43577.874384432798</v>
      </c>
      <c r="AA181" s="175" t="str">
        <f ca="1">IFERROR(__xludf.DUMMYFUNCTION("QUERY('Volunteer Survey'!B180)"),"Jaclyn Murry")</f>
        <v>Jaclyn Murry</v>
      </c>
      <c r="AB181" s="175" t="str">
        <f ca="1">IFERROR(__xludf.DUMMYFUNCTION("QUERY('Volunteer Survey'!C180)"),"UCLA")</f>
        <v>UCLA</v>
      </c>
      <c r="AC181" s="175" t="str">
        <f ca="1">IFERROR(__xludf.DUMMYFUNCTION("QUERY('Volunteer Survey'!D180)"),"1400 Kelton ave, apt 111")</f>
        <v>1400 Kelton ave, apt 111</v>
      </c>
      <c r="AD181" s="175" t="str">
        <f ca="1">IFERROR(__xludf.DUMMYFUNCTION("QUERY('Volunteer Survey'!E180)"),"jmurry@mednet.ucla.edu")</f>
        <v>jmurry@mednet.ucla.edu</v>
      </c>
      <c r="AE181" s="175" t="str">
        <f ca="1">IFERROR(__xludf.DUMMYFUNCTION("QUERY('Volunteer Survey'!F180)"),"Clinical laboratory geneticist")</f>
        <v>Clinical laboratory geneticist</v>
      </c>
      <c r="AF181" s="175" t="str">
        <f ca="1">IFERROR(__xludf.DUMMYFUNCTION("QUERY('Volunteer Survey'!G180)"),"Colleagues, ClinGen affiliated emails and/or newsletters")</f>
        <v>Colleagues, ClinGen affiliated emails and/or newsletters</v>
      </c>
      <c r="AG181" s="175" t="str">
        <f ca="1">IFERROR(__xludf.DUMMYFUNCTION("QUERY('Volunteer Survey'!H180)"),"Baseline")</f>
        <v>Baseline</v>
      </c>
      <c r="AH181" s="175" t="str">
        <f ca="1">IFERROR(__xludf.DUMMYFUNCTION("QUERY('Volunteer Survey'!I180)"),"Dosage Sensitivity")</f>
        <v>Dosage Sensitivity</v>
      </c>
      <c r="AI181" s="175" t="str">
        <f ca="1">IFERROR(__xludf.DUMMYFUNCTION("QUERY('Volunteer Survey'!J180)"),"Variant Pathogenicity")</f>
        <v>Variant Pathogenicity</v>
      </c>
      <c r="AJ181" s="175" t="str">
        <f ca="1">IFERROR(__xludf.DUMMYFUNCTION("QUERY('Volunteer Survey'!K180)"),"")</f>
        <v/>
      </c>
      <c r="AK181" s="175" t="str">
        <f ca="1">IFERROR(__xludf.DUMMYFUNCTION("QUERY('Volunteer Survey'!L180)"),"")</f>
        <v/>
      </c>
      <c r="AL181" s="175" t="str">
        <f ca="1">IFERROR(__xludf.DUMMYFUNCTION("QUERY('Volunteer Survey'!M180)"),"")</f>
        <v/>
      </c>
      <c r="AM181" s="175" t="str">
        <f ca="1">IFERROR(__xludf.DUMMYFUNCTION("QUERY('Volunteer Survey'!N180)"),"Currently review CMA cases on service")</f>
        <v>Currently review CMA cases on service</v>
      </c>
      <c r="AN181" s="175" t="str">
        <f ca="1">IFERROR(__xludf.DUMMYFUNCTION("QUERY('Volunteer Survey'!O180)"),"No")</f>
        <v>No</v>
      </c>
      <c r="AO181" s="175" t="str">
        <f ca="1">IFERROR(__xludf.DUMMYFUNCTION("QUERY('Volunteer Survey'!P180)"),"Interest in CNVs")</f>
        <v>Interest in CNVs</v>
      </c>
    </row>
    <row r="182" spans="1:41" ht="14">
      <c r="A182" s="44">
        <f ca="1">IFERROR(__xludf.DUMMYFUNCTION("QUERY('Volunteer Survey'!A189)"),43591.4424418055)</f>
        <v>43591.442441805499</v>
      </c>
      <c r="B182" s="42" t="s">
        <v>108</v>
      </c>
      <c r="C182" s="47"/>
      <c r="D182" s="49"/>
      <c r="E182" s="42"/>
      <c r="F182" s="42" t="s">
        <v>130</v>
      </c>
      <c r="G182" s="42" t="s">
        <v>202</v>
      </c>
      <c r="H182" s="47"/>
      <c r="I182" s="63" t="s">
        <v>139</v>
      </c>
      <c r="J182" s="49"/>
      <c r="K182" s="49"/>
      <c r="L182" s="49" t="str">
        <f ca="1">IFERROR(__xludf.DUMMYFUNCTION("QUERY('Volunteer Survey'!B189)"),"Jimena Murguia")</f>
        <v>Jimena Murguia</v>
      </c>
      <c r="M182" s="49" t="str">
        <f ca="1">IFERROR(__xludf.DUMMYFUNCTION("QUERY('Volunteer Survey'!E189)"),"jimena887@yahoo.es")</f>
        <v>jimena887@yahoo.es</v>
      </c>
      <c r="N182" s="49" t="str">
        <f ca="1">IFERROR(__xludf.DUMMYFUNCTION("QUERY('Volunteer Survey'!F189)"),"Clinical laboratory geneticist")</f>
        <v>Clinical laboratory geneticist</v>
      </c>
      <c r="O182" s="42" t="str">
        <f ca="1">IFERROR(__xludf.DUMMYFUNCTION("QUERY('Volunteer Survey'!H189)"),"Baseline")</f>
        <v>Baseline</v>
      </c>
      <c r="P182" s="49" t="str">
        <f ca="1">IFERROR(__xludf.DUMMYFUNCTION("QUERY('Volunteer Survey'!I189)"),"Variant Pathogenicity")</f>
        <v>Variant Pathogenicity</v>
      </c>
      <c r="Q182" s="54" t="str">
        <f ca="1">IFERROR(__xludf.DUMMYFUNCTION("QUERY('Volunteer Survey'!J189)"),"Clinical Actionability")</f>
        <v>Clinical Actionability</v>
      </c>
      <c r="R182" s="49" t="str">
        <f ca="1">IFERROR(__xludf.DUMMYFUNCTION("QUERY('Volunteer Survey'!K189)"),"Gene-Disease Validity")</f>
        <v>Gene-Disease Validity</v>
      </c>
      <c r="S182" s="49" t="str">
        <f ca="1">IFERROR(__xludf.DUMMYFUNCTION("QUERY('Volunteer Survey'!L189)"),"Dosage Sensitivity")</f>
        <v>Dosage Sensitivity</v>
      </c>
      <c r="T182" s="49" t="str">
        <f ca="1">IFERROR(__xludf.DUMMYFUNCTION("QUERY('Volunteer Survey'!M189)"),"Somatic Cancer")</f>
        <v>Somatic Cancer</v>
      </c>
      <c r="U182" s="58" t="str">
        <f ca="1">IFERROR(__xludf.DUMMYFUNCTION("QUERY('Volunteer Survey'!N189)"),"")</f>
        <v/>
      </c>
      <c r="V182" s="49" t="str">
        <f ca="1">IFERROR(__xludf.DUMMYFUNCTION("QUERY('Volunteer Survey'!O189)"),"Possibly")</f>
        <v>Possibly</v>
      </c>
      <c r="W182" s="60" t="str">
        <f ca="1">IFERROR(__xludf.DUMMYFUNCTION("QUERY('Volunteer Survey'!P189)"),"")</f>
        <v/>
      </c>
      <c r="X182" s="58" t="str">
        <f ca="1">IFERROR(__xludf.DUMMYFUNCTION("QUERY('Volunteer Survey'!R189)"),"Yes- I am willing to volunteer with any available ClinGen group")</f>
        <v>Yes- I am willing to volunteer with any available ClinGen group</v>
      </c>
      <c r="Y182" s="45"/>
      <c r="Z182" s="174">
        <f ca="1">IFERROR(__xludf.DUMMYFUNCTION("QUERY('Volunteer Survey'!A181)"),43578.6891417592)</f>
        <v>43578.689141759198</v>
      </c>
      <c r="AA182" s="175" t="str">
        <f ca="1">IFERROR(__xludf.DUMMYFUNCTION("QUERY('Volunteer Survey'!B181)"),"Ying Zou")</f>
        <v>Ying Zou</v>
      </c>
      <c r="AB182" s="175" t="str">
        <f ca="1">IFERROR(__xludf.DUMMYFUNCTION("QUERY('Volunteer Survey'!C181)"),"University of Maryland")</f>
        <v>University of Maryland</v>
      </c>
      <c r="AC182" s="175" t="str">
        <f ca="1">IFERROR(__xludf.DUMMYFUNCTION("QUERY('Volunteer Survey'!D181)"),"655 W. Baltimore st., BRB-7-025, Baltimore, MD 21201")</f>
        <v>655 W. Baltimore st., BRB-7-025, Baltimore, MD 21201</v>
      </c>
      <c r="AD182" s="175" t="str">
        <f ca="1">IFERROR(__xludf.DUMMYFUNCTION("QUERY('Volunteer Survey'!E181)")," yzou19@jhmi.edu")</f>
        <v xml:space="preserve"> yzou19@jhmi.edu</v>
      </c>
      <c r="AE182" s="175" t="str">
        <f ca="1">IFERROR(__xludf.DUMMYFUNCTION("QUERY('Volunteer Survey'!F181)"),"Clinical laboratory geneticist")</f>
        <v>Clinical laboratory geneticist</v>
      </c>
      <c r="AF182" s="175" t="str">
        <f ca="1">IFERROR(__xludf.DUMMYFUNCTION("QUERY('Volunteer Survey'!G181)"),"Colleagues")</f>
        <v>Colleagues</v>
      </c>
      <c r="AG182" s="175" t="str">
        <f ca="1">IFERROR(__xludf.DUMMYFUNCTION("QUERY('Volunteer Survey'!H181)"),"Comprehensive")</f>
        <v>Comprehensive</v>
      </c>
      <c r="AH182" s="175" t="str">
        <f ca="1">IFERROR(__xludf.DUMMYFUNCTION("QUERY('Volunteer Survey'!I181)"),"Somatic Cancer")</f>
        <v>Somatic Cancer</v>
      </c>
      <c r="AI182" s="175" t="str">
        <f ca="1">IFERROR(__xludf.DUMMYFUNCTION("QUERY('Volunteer Survey'!J181)"),"Variant Pathogenicity")</f>
        <v>Variant Pathogenicity</v>
      </c>
      <c r="AJ182" s="175" t="str">
        <f ca="1">IFERROR(__xludf.DUMMYFUNCTION("QUERY('Volunteer Survey'!K181)"),"Clinical Actionability")</f>
        <v>Clinical Actionability</v>
      </c>
      <c r="AK182" s="175" t="str">
        <f ca="1">IFERROR(__xludf.DUMMYFUNCTION("QUERY('Volunteer Survey'!L181)"),"Gene-Disease Validity")</f>
        <v>Gene-Disease Validity</v>
      </c>
      <c r="AL182" s="175" t="str">
        <f ca="1">IFERROR(__xludf.DUMMYFUNCTION("QUERY('Volunteer Survey'!M181)"),"Dosage Sensitivity")</f>
        <v>Dosage Sensitivity</v>
      </c>
      <c r="AM182" s="175" t="str">
        <f ca="1">IFERROR(__xludf.DUMMYFUNCTION("QUERY('Volunteer Survey'!N181)"),"")</f>
        <v/>
      </c>
      <c r="AN182" s="175" t="str">
        <f ca="1">IFERROR(__xludf.DUMMYFUNCTION("QUERY('Volunteer Survey'!O181)"),"Possibly")</f>
        <v>Possibly</v>
      </c>
      <c r="AO182" s="175" t="str">
        <f ca="1">IFERROR(__xludf.DUMMYFUNCTION("QUERY('Volunteer Survey'!P181)"),"somatic cancer")</f>
        <v>somatic cancer</v>
      </c>
    </row>
    <row r="183" spans="1:41" ht="14">
      <c r="A183" s="44">
        <f ca="1">IFERROR(__xludf.DUMMYFUNCTION("QUERY('Volunteer Survey'!A190)"),43591.6908037847)</f>
        <v>43591.690803784702</v>
      </c>
      <c r="B183" s="42" t="s">
        <v>108</v>
      </c>
      <c r="C183" s="47"/>
      <c r="D183" s="49"/>
      <c r="E183" s="42"/>
      <c r="F183" s="42" t="s">
        <v>130</v>
      </c>
      <c r="G183" s="42" t="s">
        <v>202</v>
      </c>
      <c r="H183" s="47"/>
      <c r="I183" s="63" t="s">
        <v>139</v>
      </c>
      <c r="J183" s="49"/>
      <c r="K183" s="49"/>
      <c r="L183" s="49" t="str">
        <f ca="1">IFERROR(__xludf.DUMMYFUNCTION("QUERY('Volunteer Survey'!B190)"),"Robert Lewis")</f>
        <v>Robert Lewis</v>
      </c>
      <c r="M183" s="49" t="str">
        <f ca="1">IFERROR(__xludf.DUMMYFUNCTION("QUERY('Volunteer Survey'!E190)"),"rglewis@uci.edu")</f>
        <v>rglewis@uci.edu</v>
      </c>
      <c r="N183" s="49" t="str">
        <f ca="1">IFERROR(__xludf.DUMMYFUNCTION("QUERY('Volunteer Survey'!F190)"),"Graduate Student")</f>
        <v>Graduate Student</v>
      </c>
      <c r="O183" s="42" t="str">
        <f ca="1">IFERROR(__xludf.DUMMYFUNCTION("QUERY('Volunteer Survey'!H190)"),"Baseline")</f>
        <v>Baseline</v>
      </c>
      <c r="P183" s="49" t="str">
        <f ca="1">IFERROR(__xludf.DUMMYFUNCTION("QUERY('Volunteer Survey'!I190)"),"Gene-Disease Validity")</f>
        <v>Gene-Disease Validity</v>
      </c>
      <c r="Q183" s="54" t="str">
        <f ca="1">IFERROR(__xludf.DUMMYFUNCTION("QUERY('Volunteer Survey'!J190)"),"Variant Pathogenicity")</f>
        <v>Variant Pathogenicity</v>
      </c>
      <c r="R183" s="49" t="str">
        <f ca="1">IFERROR(__xludf.DUMMYFUNCTION("QUERY('Volunteer Survey'!K190)"),"Clinical Actionability")</f>
        <v>Clinical Actionability</v>
      </c>
      <c r="S183" s="49" t="str">
        <f ca="1">IFERROR(__xludf.DUMMYFUNCTION("QUERY('Volunteer Survey'!L190)"),"Dosage Sensitivity")</f>
        <v>Dosage Sensitivity</v>
      </c>
      <c r="T183" s="49" t="str">
        <f ca="1">IFERROR(__xludf.DUMMYFUNCTION("QUERY('Volunteer Survey'!M190)"),"Somatic Cancer")</f>
        <v>Somatic Cancer</v>
      </c>
      <c r="U183" s="58" t="str">
        <f ca="1">IFERROR(__xludf.DUMMYFUNCTION("QUERY('Volunteer Survey'!N190)"),"")</f>
        <v/>
      </c>
      <c r="V183" s="49" t="str">
        <f ca="1">IFERROR(__xludf.DUMMYFUNCTION("QUERY('Volunteer Survey'!O190)"),"Possibly")</f>
        <v>Possibly</v>
      </c>
      <c r="W183" s="60" t="str">
        <f ca="1">IFERROR(__xludf.DUMMYFUNCTION("QUERY('Volunteer Survey'!P190)"),"Neurodevelopmental")</f>
        <v>Neurodevelopmental</v>
      </c>
      <c r="X183" s="58" t="str">
        <f ca="1">IFERROR(__xludf.DUMMYFUNCTION("QUERY('Volunteer Survey'!R190)"),"Maybe -- please contact me with other options, and I will decide based on what is available")</f>
        <v>Maybe -- please contact me with other options, and I will decide based on what is available</v>
      </c>
      <c r="Y183" s="47"/>
      <c r="Z183" s="174">
        <f ca="1">IFERROR(__xludf.DUMMYFUNCTION("QUERY('Volunteer Survey'!A182)"),43581.0153433101)</f>
        <v>43581.0153433101</v>
      </c>
      <c r="AA183" s="175" t="str">
        <f ca="1">IFERROR(__xludf.DUMMYFUNCTION("QUERY('Volunteer Survey'!B182)"),"JIXIA LIU")</f>
        <v>JIXIA LIU</v>
      </c>
      <c r="AB183" s="175" t="str">
        <f ca="1">IFERROR(__xludf.DUMMYFUNCTION("QUERY('Volunteer Survey'!C182)"),"Sema4 Genomics")</f>
        <v>Sema4 Genomics</v>
      </c>
      <c r="AC183" s="175" t="str">
        <f ca="1">IFERROR(__xludf.DUMMYFUNCTION("QUERY('Volunteer Survey'!D182)"),"72 E 97th st
Unit 13")</f>
        <v>72 E 97th st
Unit 13</v>
      </c>
      <c r="AD183" s="175" t="str">
        <f ca="1">IFERROR(__xludf.DUMMYFUNCTION("QUERY('Volunteer Survey'!E182)"),"jixialiu@gmail.com")</f>
        <v>jixialiu@gmail.com</v>
      </c>
      <c r="AE183" s="175" t="str">
        <f ca="1">IFERROR(__xludf.DUMMYFUNCTION("QUERY('Volunteer Survey'!F182)"),"Clinical Variant Curator")</f>
        <v>Clinical Variant Curator</v>
      </c>
      <c r="AF183" s="175" t="str">
        <f ca="1">IFERROR(__xludf.DUMMYFUNCTION("QUERY('Volunteer Survey'!G182)"),"Networking")</f>
        <v>Networking</v>
      </c>
      <c r="AG183" s="175" t="str">
        <f ca="1">IFERROR(__xludf.DUMMYFUNCTION("QUERY('Volunteer Survey'!H182)"),"Comprehensive")</f>
        <v>Comprehensive</v>
      </c>
      <c r="AH183" s="175" t="str">
        <f ca="1">IFERROR(__xludf.DUMMYFUNCTION("QUERY('Volunteer Survey'!I182)"),"Gene-Disease Validity")</f>
        <v>Gene-Disease Validity</v>
      </c>
      <c r="AI183" s="175" t="str">
        <f ca="1">IFERROR(__xludf.DUMMYFUNCTION("QUERY('Volunteer Survey'!J182)"),"Variant Pathogenicity")</f>
        <v>Variant Pathogenicity</v>
      </c>
      <c r="AJ183" s="175" t="str">
        <f ca="1">IFERROR(__xludf.DUMMYFUNCTION("QUERY('Volunteer Survey'!K182)"),"Somatic Cancer")</f>
        <v>Somatic Cancer</v>
      </c>
      <c r="AK183" s="175" t="str">
        <f ca="1">IFERROR(__xludf.DUMMYFUNCTION("QUERY('Volunteer Survey'!L182)"),"Clinical Actionability")</f>
        <v>Clinical Actionability</v>
      </c>
      <c r="AL183" s="175" t="str">
        <f ca="1">IFERROR(__xludf.DUMMYFUNCTION("QUERY('Volunteer Survey'!M182)"),"Dosage Sensitivity")</f>
        <v>Dosage Sensitivity</v>
      </c>
      <c r="AM183" s="175" t="str">
        <f ca="1">IFERROR(__xludf.DUMMYFUNCTION("QUERY('Volunteer Survey'!N182)"),"I have had one year working experience with variant pathogenicity  in carrier testing. I have some knowledge about Gene-Disease Validity and Somatic Cancer curation by attending seminars and working on research project.")</f>
        <v>I have had one year working experience with variant pathogenicity  in carrier testing. I have some knowledge about Gene-Disease Validity and Somatic Cancer curation by attending seminars and working on research project.</v>
      </c>
      <c r="AN183" s="175" t="str">
        <f ca="1">IFERROR(__xludf.DUMMYFUNCTION("QUERY('Volunteer Survey'!O182)"),"Possibly")</f>
        <v>Possibly</v>
      </c>
      <c r="AO183" s="175" t="str">
        <f ca="1">IFERROR(__xludf.DUMMYFUNCTION("QUERY('Volunteer Survey'!P182)"),"I am in Variant Curation for Lysosomal Storage Disorders now, and would be interested in any gene curation group as well.")</f>
        <v>I am in Variant Curation for Lysosomal Storage Disorders now, and would be interested in any gene curation group as well.</v>
      </c>
    </row>
    <row r="184" spans="1:41" ht="14">
      <c r="A184" s="44">
        <f ca="1">IFERROR(__xludf.DUMMYFUNCTION("QUERY('Volunteer Survey'!A191)"),43592.7399613541)</f>
        <v>43592.739961354098</v>
      </c>
      <c r="B184" s="42" t="s">
        <v>108</v>
      </c>
      <c r="C184" s="47"/>
      <c r="D184" s="59">
        <v>43692</v>
      </c>
      <c r="E184" s="42" t="s">
        <v>117</v>
      </c>
      <c r="F184" s="42" t="s">
        <v>117</v>
      </c>
      <c r="G184" s="42" t="s">
        <v>122</v>
      </c>
      <c r="H184" s="47"/>
      <c r="I184" s="63" t="s">
        <v>139</v>
      </c>
      <c r="J184" s="49"/>
      <c r="K184" s="49"/>
      <c r="L184" s="49" t="str">
        <f ca="1">IFERROR(__xludf.DUMMYFUNCTION("QUERY('Volunteer Survey'!B191)"),"FEN GUO")</f>
        <v>FEN GUO</v>
      </c>
      <c r="M184" s="49" t="str">
        <f ca="1">IFERROR(__xludf.DUMMYFUNCTION("QUERY('Volunteer Survey'!E191)"),"fguo34@wisc.edu")</f>
        <v>fguo34@wisc.edu</v>
      </c>
      <c r="N184" s="49" t="str">
        <f ca="1">IFERROR(__xludf.DUMMYFUNCTION("QUERY('Volunteer Survey'!F191)"),"Post Doc/Resident/Fellow (MD and/or PhD)")</f>
        <v>Post Doc/Resident/Fellow (MD and/or PhD)</v>
      </c>
      <c r="O184" s="42" t="str">
        <f ca="1">IFERROR(__xludf.DUMMYFUNCTION("QUERY('Volunteer Survey'!H191)"),"Comprehensive")</f>
        <v>Comprehensive</v>
      </c>
      <c r="P184" s="49" t="str">
        <f ca="1">IFERROR(__xludf.DUMMYFUNCTION("QUERY('Volunteer Survey'!I191)"),"Gene-Disease Validity")</f>
        <v>Gene-Disease Validity</v>
      </c>
      <c r="Q184" s="54" t="str">
        <f ca="1">IFERROR(__xludf.DUMMYFUNCTION("QUERY('Volunteer Survey'!J191)"),"Variant Pathogenicity")</f>
        <v>Variant Pathogenicity</v>
      </c>
      <c r="R184" s="49" t="str">
        <f ca="1">IFERROR(__xludf.DUMMYFUNCTION("QUERY('Volunteer Survey'!K191)"),"Somatic Cancer")</f>
        <v>Somatic Cancer</v>
      </c>
      <c r="S184" s="49" t="str">
        <f ca="1">IFERROR(__xludf.DUMMYFUNCTION("QUERY('Volunteer Survey'!L191)"),"Clinical Actionability")</f>
        <v>Clinical Actionability</v>
      </c>
      <c r="T184" s="49" t="str">
        <f ca="1">IFERROR(__xludf.DUMMYFUNCTION("QUERY('Volunteer Survey'!M191)"),"Dosage Sensitivity")</f>
        <v>Dosage Sensitivity</v>
      </c>
      <c r="U184" s="58" t="str">
        <f ca="1">IFERROR(__xludf.DUMMYFUNCTION("QUERY('Volunteer Survey'!N191)"),"No")</f>
        <v>No</v>
      </c>
      <c r="V184" s="49" t="str">
        <f ca="1">IFERROR(__xludf.DUMMYFUNCTION("QUERY('Volunteer Survey'!O191)"),"Possibly")</f>
        <v>Possibly</v>
      </c>
      <c r="W184" s="60" t="str">
        <f ca="1">IFERROR(__xludf.DUMMYFUNCTION("QUERY('Volunteer Survey'!P191)"),"Gene Curation Expert Panels-Hereditary Cancer")</f>
        <v>Gene Curation Expert Panels-Hereditary Cancer</v>
      </c>
      <c r="X184" s="58" t="str">
        <f ca="1">IFERROR(__xludf.DUMMYFUNCTION("QUERY('Volunteer Survey'!R191)"),"Yes- I am willing to volunteer with any available ClinGen group")</f>
        <v>Yes- I am willing to volunteer with any available ClinGen group</v>
      </c>
      <c r="Y184" s="47"/>
      <c r="Z184" s="174">
        <f ca="1">IFERROR(__xludf.DUMMYFUNCTION("QUERY('Volunteer Survey'!A183)"),43581.5923809953)</f>
        <v>43581.592380995302</v>
      </c>
      <c r="AA184" s="175" t="str">
        <f ca="1">IFERROR(__xludf.DUMMYFUNCTION("QUERY('Volunteer Survey'!B183)"),"Catherine Driscoll")</f>
        <v>Catherine Driscoll</v>
      </c>
      <c r="AB184" s="175" t="str">
        <f ca="1">IFERROR(__xludf.DUMMYFUNCTION("QUERY('Volunteer Survey'!C183)"),"NHGRI, NIH")</f>
        <v>NHGRI, NIH</v>
      </c>
      <c r="AC184" s="175" t="str">
        <f ca="1">IFERROR(__xludf.DUMMYFUNCTION("QUERY('Volunteer Survey'!D183)"),"50 South Dr., room 5142, Bethesda, MD 20814")</f>
        <v>50 South Dr., room 5142, Bethesda, MD 20814</v>
      </c>
      <c r="AD184" s="175" t="str">
        <f ca="1">IFERROR(__xludf.DUMMYFUNCTION("QUERY('Volunteer Survey'!E183)"),"kate.driscoll@nih.gov")</f>
        <v>kate.driscoll@nih.gov</v>
      </c>
      <c r="AE184" s="175" t="str">
        <f ca="1">IFERROR(__xludf.DUMMYFUNCTION("QUERY('Volunteer Survey'!F183)"),"Clinical laboratory geneticist")</f>
        <v>Clinical laboratory geneticist</v>
      </c>
      <c r="AF184" s="175" t="str">
        <f ca="1">IFERROR(__xludf.DUMMYFUNCTION("QUERY('Volunteer Survey'!G183)"),"Suggestion from mentor")</f>
        <v>Suggestion from mentor</v>
      </c>
      <c r="AG184" s="175" t="str">
        <f ca="1">IFERROR(__xludf.DUMMYFUNCTION("QUERY('Volunteer Survey'!H183)"),"Comprehensive")</f>
        <v>Comprehensive</v>
      </c>
      <c r="AH184" s="175" t="str">
        <f ca="1">IFERROR(__xludf.DUMMYFUNCTION("QUERY('Volunteer Survey'!I183)"),"Variant Pathogenicity")</f>
        <v>Variant Pathogenicity</v>
      </c>
      <c r="AI184" s="175" t="str">
        <f ca="1">IFERROR(__xludf.DUMMYFUNCTION("QUERY('Volunteer Survey'!J183)"),"")</f>
        <v/>
      </c>
      <c r="AJ184" s="175" t="str">
        <f ca="1">IFERROR(__xludf.DUMMYFUNCTION("QUERY('Volunteer Survey'!K183)"),"")</f>
        <v/>
      </c>
      <c r="AK184" s="175" t="str">
        <f ca="1">IFERROR(__xludf.DUMMYFUNCTION("QUERY('Volunteer Survey'!L183)"),"")</f>
        <v/>
      </c>
      <c r="AL184" s="175" t="str">
        <f ca="1">IFERROR(__xludf.DUMMYFUNCTION("QUERY('Volunteer Survey'!M183)"),"")</f>
        <v/>
      </c>
      <c r="AM184" s="175" t="str">
        <f ca="1">IFERROR(__xludf.DUMMYFUNCTION("QUERY('Volunteer Survey'!N183)"),"Yes, my main task at work is annotation of variants in Dr. Biesecker's lab")</f>
        <v>Yes, my main task at work is annotation of variants in Dr. Biesecker's lab</v>
      </c>
      <c r="AN184" s="175" t="str">
        <f ca="1">IFERROR(__xludf.DUMMYFUNCTION("QUERY('Volunteer Survey'!O183)"),"No")</f>
        <v>No</v>
      </c>
      <c r="AO184" s="175" t="str">
        <f ca="1">IFERROR(__xludf.DUMMYFUNCTION("QUERY('Volunteer Survey'!P183)"),"Yes, RYR1 MHS")</f>
        <v>Yes, RYR1 MHS</v>
      </c>
    </row>
    <row r="185" spans="1:41" ht="14">
      <c r="A185" s="44">
        <f ca="1">IFERROR(__xludf.DUMMYFUNCTION("QUERY('Volunteer Survey'!A192)"),43592.8875499652)</f>
        <v>43592.887549965199</v>
      </c>
      <c r="B185" s="42" t="s">
        <v>108</v>
      </c>
      <c r="C185" s="73">
        <v>43819</v>
      </c>
      <c r="D185" s="49"/>
      <c r="E185" s="42"/>
      <c r="F185" s="42" t="s">
        <v>130</v>
      </c>
      <c r="G185" s="42" t="s">
        <v>122</v>
      </c>
      <c r="H185" s="47"/>
      <c r="I185" s="63" t="s">
        <v>139</v>
      </c>
      <c r="J185" s="49"/>
      <c r="K185" s="49"/>
      <c r="L185" s="49" t="str">
        <f ca="1">IFERROR(__xludf.DUMMYFUNCTION("QUERY('Volunteer Survey'!B192)"),"Elizabeth Palmer")</f>
        <v>Elizabeth Palmer</v>
      </c>
      <c r="M185" s="49" t="str">
        <f ca="1">IFERROR(__xludf.DUMMYFUNCTION("QUERY('Volunteer Survey'!E192)"),"elizabeth.palmer1@health.nsw.gov.au")</f>
        <v>elizabeth.palmer1@health.nsw.gov.au</v>
      </c>
      <c r="N185" s="49" t="str">
        <f ca="1">IFERROR(__xludf.DUMMYFUNCTION("QUERY('Volunteer Survey'!F192)"),"Clinical Medical Geneticist")</f>
        <v>Clinical Medical Geneticist</v>
      </c>
      <c r="O185" s="42" t="str">
        <f ca="1">IFERROR(__xludf.DUMMYFUNCTION("QUERY('Volunteer Survey'!H192)"),"Comprehensive")</f>
        <v>Comprehensive</v>
      </c>
      <c r="P185" s="49" t="str">
        <f ca="1">IFERROR(__xludf.DUMMYFUNCTION("QUERY('Volunteer Survey'!I192)"),"Gene-Disease Validity")</f>
        <v>Gene-Disease Validity</v>
      </c>
      <c r="Q185" s="54" t="str">
        <f ca="1">IFERROR(__xludf.DUMMYFUNCTION("QUERY('Volunteer Survey'!J192)"),"Variant Pathogenicity")</f>
        <v>Variant Pathogenicity</v>
      </c>
      <c r="R185" s="49" t="str">
        <f ca="1">IFERROR(__xludf.DUMMYFUNCTION("QUERY('Volunteer Survey'!K192)"),"")</f>
        <v/>
      </c>
      <c r="S185" s="49" t="str">
        <f ca="1">IFERROR(__xludf.DUMMYFUNCTION("QUERY('Volunteer Survey'!L192)"),"")</f>
        <v/>
      </c>
      <c r="T185" s="49" t="str">
        <f ca="1">IFERROR(__xludf.DUMMYFUNCTION("QUERY('Volunteer Survey'!M192)"),"")</f>
        <v/>
      </c>
      <c r="U185" s="58" t="str">
        <f ca="1">IFERROR(__xludf.DUMMYFUNCTION("QUERY('Volunteer Survey'!N192)"),"member of AUSTRALIAN FUNCTIONAL GENOMICS CLINICAL REVIEW PANEL. Variant curation as part of my PhD and clinical research practice. ")</f>
        <v xml:space="preserve">member of AUSTRALIAN FUNCTIONAL GENOMICS CLINICAL REVIEW PANEL. Variant curation as part of my PhD and clinical research practice. </v>
      </c>
      <c r="V185" s="49" t="str">
        <f ca="1">IFERROR(__xludf.DUMMYFUNCTION("QUERY('Volunteer Survey'!O192)"),"No")</f>
        <v>No</v>
      </c>
      <c r="W185" s="60" t="str">
        <f ca="1">IFERROR(__xludf.DUMMYFUNCTION("QUERY('Volunteer Survey'!P192)"),"epilepsy / ID and autism")</f>
        <v>epilepsy / ID and autism</v>
      </c>
      <c r="X185" s="58" t="str">
        <f ca="1">IFERROR(__xludf.DUMMYFUNCTION("QUERY('Volunteer Survey'!R192)"),"Maybe -- please contact me with other options, and I will decide based on what is available")</f>
        <v>Maybe -- please contact me with other options, and I will decide based on what is available</v>
      </c>
      <c r="Y185" s="47"/>
      <c r="Z185" s="174">
        <f ca="1">IFERROR(__xludf.DUMMYFUNCTION("QUERY('Volunteer Survey'!A184)"),43584.7974777199)</f>
        <v>43584.797477719898</v>
      </c>
      <c r="AA185" s="175" t="str">
        <f ca="1">IFERROR(__xludf.DUMMYFUNCTION("QUERY('Volunteer Survey'!B184)"),"Sara King")</f>
        <v>Sara King</v>
      </c>
      <c r="AB185" s="175" t="str">
        <f ca="1">IFERROR(__xludf.DUMMYFUNCTION("QUERY('Volunteer Survey'!C184)"),"UMUC")</f>
        <v>UMUC</v>
      </c>
      <c r="AC185" s="175" t="str">
        <f ca="1">IFERROR(__xludf.DUMMYFUNCTION("QUERY('Volunteer Survey'!D184)"),"")</f>
        <v/>
      </c>
      <c r="AD185" s="175" t="str">
        <f ca="1">IFERROR(__xludf.DUMMYFUNCTION("QUERY('Volunteer Survey'!E184)"),"sking127@student.umuc.edu")</f>
        <v>sking127@student.umuc.edu</v>
      </c>
      <c r="AE185" s="175" t="str">
        <f ca="1">IFERROR(__xludf.DUMMYFUNCTION("QUERY('Volunteer Survey'!F184)"),"Graduate Student")</f>
        <v>Graduate Student</v>
      </c>
      <c r="AF185" s="175" t="str">
        <f ca="1">IFERROR(__xludf.DUMMYFUNCTION("QUERY('Volunteer Survey'!G184)"),"The clinicalgenome.org website")</f>
        <v>The clinicalgenome.org website</v>
      </c>
      <c r="AG185" s="175" t="str">
        <f ca="1">IFERROR(__xludf.DUMMYFUNCTION("QUERY('Volunteer Survey'!H184)"),"Baseline")</f>
        <v>Baseline</v>
      </c>
      <c r="AH185" s="175" t="str">
        <f ca="1">IFERROR(__xludf.DUMMYFUNCTION("QUERY('Volunteer Survey'!I184)"),"")</f>
        <v/>
      </c>
      <c r="AI185" s="175" t="str">
        <f ca="1">IFERROR(__xludf.DUMMYFUNCTION("QUERY('Volunteer Survey'!J184)"),"")</f>
        <v/>
      </c>
      <c r="AJ185" s="175" t="str">
        <f ca="1">IFERROR(__xludf.DUMMYFUNCTION("QUERY('Volunteer Survey'!K184)"),"")</f>
        <v/>
      </c>
      <c r="AK185" s="175" t="str">
        <f ca="1">IFERROR(__xludf.DUMMYFUNCTION("QUERY('Volunteer Survey'!L184)"),"")</f>
        <v/>
      </c>
      <c r="AL185" s="175" t="str">
        <f ca="1">IFERROR(__xludf.DUMMYFUNCTION("QUERY('Volunteer Survey'!M184)"),"")</f>
        <v/>
      </c>
      <c r="AM185" s="175" t="str">
        <f ca="1">IFERROR(__xludf.DUMMYFUNCTION("QUERY('Volunteer Survey'!N184)"),"")</f>
        <v/>
      </c>
      <c r="AN185" s="175" t="str">
        <f ca="1">IFERROR(__xludf.DUMMYFUNCTION("QUERY('Volunteer Survey'!O184)"),"Possibly")</f>
        <v>Possibly</v>
      </c>
      <c r="AO185" s="175" t="str">
        <f ca="1">IFERROR(__xludf.DUMMYFUNCTION("QUERY('Volunteer Survey'!P184)"),"")</f>
        <v/>
      </c>
    </row>
    <row r="186" spans="1:41" ht="14">
      <c r="A186" s="44">
        <f ca="1">IFERROR(__xludf.DUMMYFUNCTION("QUERY('Volunteer Survey'!A193)"),43593.2041097222)</f>
        <v>43593.204109722203</v>
      </c>
      <c r="B186" s="42" t="s">
        <v>108</v>
      </c>
      <c r="C186" s="47"/>
      <c r="D186" s="49"/>
      <c r="E186" s="42"/>
      <c r="F186" s="42" t="s">
        <v>130</v>
      </c>
      <c r="G186" s="42" t="s">
        <v>202</v>
      </c>
      <c r="H186" s="47"/>
      <c r="I186" s="63" t="s">
        <v>139</v>
      </c>
      <c r="J186" s="49"/>
      <c r="K186" s="49"/>
      <c r="L186" s="49" t="str">
        <f ca="1">IFERROR(__xludf.DUMMYFUNCTION("QUERY('Volunteer Survey'!B193)"),"Vira Lamtieva")</f>
        <v>Vira Lamtieva</v>
      </c>
      <c r="M186" s="49" t="str">
        <f ca="1">IFERROR(__xludf.DUMMYFUNCTION("QUERY('Volunteer Survey'!E193)"),"lamteva.vera@gmail.com")</f>
        <v>lamteva.vera@gmail.com</v>
      </c>
      <c r="N186" s="49" t="str">
        <f ca="1">IFERROR(__xludf.DUMMYFUNCTION("QUERY('Volunteer Survey'!F193)"),"Clinical laboratory geneticist")</f>
        <v>Clinical laboratory geneticist</v>
      </c>
      <c r="O186" s="42" t="str">
        <f ca="1">IFERROR(__xludf.DUMMYFUNCTION("QUERY('Volunteer Survey'!H193)"),"Baseline")</f>
        <v>Baseline</v>
      </c>
      <c r="P186" s="49" t="str">
        <f ca="1">IFERROR(__xludf.DUMMYFUNCTION("QUERY('Volunteer Survey'!I193)"),"Variant Pathogenicity")</f>
        <v>Variant Pathogenicity</v>
      </c>
      <c r="Q186" s="54" t="str">
        <f ca="1">IFERROR(__xludf.DUMMYFUNCTION("QUERY('Volunteer Survey'!J193)"),"Gene-Disease Validity")</f>
        <v>Gene-Disease Validity</v>
      </c>
      <c r="R186" s="49" t="str">
        <f ca="1">IFERROR(__xludf.DUMMYFUNCTION("QUERY('Volunteer Survey'!K193)"),"")</f>
        <v/>
      </c>
      <c r="S186" s="49" t="str">
        <f ca="1">IFERROR(__xludf.DUMMYFUNCTION("QUERY('Volunteer Survey'!L193)"),"")</f>
        <v/>
      </c>
      <c r="T186" s="49" t="str">
        <f ca="1">IFERROR(__xludf.DUMMYFUNCTION("QUERY('Volunteer Survey'!M193)"),"")</f>
        <v/>
      </c>
      <c r="U186" s="58" t="str">
        <f ca="1">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 xml:space="preserve">I don't have curation experience but I have been learning variant analysis and interpretation since 2016. Our lab has been offering WES interpretation for some time, and it is currently my working responsibility. Yet I have analysed up to 10 cases so far. </v>
      </c>
      <c r="V186" s="49" t="str">
        <f ca="1">IFERROR(__xludf.DUMMYFUNCTION("QUERY('Volunteer Survey'!O193)"),"Possibly")</f>
        <v>Possibly</v>
      </c>
      <c r="W186" s="60" t="str">
        <f ca="1">IFERROR(__xludf.DUMMYFUNCTION("QUERY('Volunteer Survey'!P193)"),"Brain malformations, Lysosomal storage diseases, Mitochondrial diseases, Intellectual Disability/Autism")</f>
        <v>Brain malformations, Lysosomal storage diseases, Mitochondrial diseases, Intellectual Disability/Autism</v>
      </c>
      <c r="X186" s="58" t="str">
        <f ca="1">IFERROR(__xludf.DUMMYFUNCTION("QUERY('Volunteer Survey'!R193)"),"Maybe -- please contact me with other options, and I will decide based on what is available")</f>
        <v>Maybe -- please contact me with other options, and I will decide based on what is available</v>
      </c>
      <c r="Y186" s="47"/>
      <c r="Z186" s="174">
        <f ca="1">IFERROR(__xludf.DUMMYFUNCTION("QUERY('Volunteer Survey'!A185)"),43585.6337606944)</f>
        <v>43585.6337606944</v>
      </c>
      <c r="AA186" s="175" t="str">
        <f ca="1">IFERROR(__xludf.DUMMYFUNCTION("QUERY('Volunteer Survey'!B185)"),"Gifty Bhat")</f>
        <v>Gifty Bhat</v>
      </c>
      <c r="AB186" s="175" t="str">
        <f ca="1">IFERROR(__xludf.DUMMYFUNCTION("QUERY('Volunteer Survey'!C185)"),"University of Illinois at Chicago")</f>
        <v>University of Illinois at Chicago</v>
      </c>
      <c r="AC186" s="175" t="str">
        <f ca="1">IFERROR(__xludf.DUMMYFUNCTION("QUERY('Volunteer Survey'!D185)"),"")</f>
        <v/>
      </c>
      <c r="AD186" s="175" t="str">
        <f ca="1">IFERROR(__xludf.DUMMYFUNCTION("QUERY('Volunteer Survey'!E185)"),"drgiftybhat@gmail.com")</f>
        <v>drgiftybhat@gmail.com</v>
      </c>
      <c r="AE186" s="175" t="str">
        <f ca="1">IFERROR(__xludf.DUMMYFUNCTION("QUERY('Volunteer Survey'!F185)"),"Clinical Medical Geneticist")</f>
        <v>Clinical Medical Geneticist</v>
      </c>
      <c r="AF186" s="175" t="str">
        <f ca="1">IFERROR(__xludf.DUMMYFUNCTION("QUERY('Volunteer Survey'!G185)"),"ACMG Conference 2019")</f>
        <v>ACMG Conference 2019</v>
      </c>
      <c r="AG186" s="175" t="str">
        <f ca="1">IFERROR(__xludf.DUMMYFUNCTION("QUERY('Volunteer Survey'!H185)"),"Comprehensive")</f>
        <v>Comprehensive</v>
      </c>
      <c r="AH186" s="175" t="str">
        <f ca="1">IFERROR(__xludf.DUMMYFUNCTION("QUERY('Volunteer Survey'!I185)"),"Clinical Actionability")</f>
        <v>Clinical Actionability</v>
      </c>
      <c r="AI186" s="175" t="str">
        <f ca="1">IFERROR(__xludf.DUMMYFUNCTION("QUERY('Volunteer Survey'!J185)"),"Gene-Disease Validity")</f>
        <v>Gene-Disease Validity</v>
      </c>
      <c r="AJ186" s="175" t="str">
        <f ca="1">IFERROR(__xludf.DUMMYFUNCTION("QUERY('Volunteer Survey'!K185)"),"Variant Pathogenicity")</f>
        <v>Variant Pathogenicity</v>
      </c>
      <c r="AK186" s="175" t="str">
        <f ca="1">IFERROR(__xludf.DUMMYFUNCTION("QUERY('Volunteer Survey'!L185)"),"Dosage Sensitivity")</f>
        <v>Dosage Sensitivity</v>
      </c>
      <c r="AL186" s="175" t="str">
        <f ca="1">IFERROR(__xludf.DUMMYFUNCTION("QUERY('Volunteer Survey'!M185)"),"Somatic Cancer")</f>
        <v>Somatic Cancer</v>
      </c>
      <c r="AM186" s="175" t="str">
        <f ca="1">IFERROR(__xludf.DUMMYFUNCTION("QUERY('Volunteer Survey'!N185)"),"")</f>
        <v/>
      </c>
      <c r="AN186" s="175" t="str">
        <f ca="1">IFERROR(__xludf.DUMMYFUNCTION("QUERY('Volunteer Survey'!O185)"),"Yes")</f>
        <v>Yes</v>
      </c>
      <c r="AO186" s="175" t="str">
        <f ca="1">IFERROR(__xludf.DUMMYFUNCTION("QUERY('Volunteer Survey'!P185)"),"Intellectual disability and autism")</f>
        <v>Intellectual disability and autism</v>
      </c>
    </row>
    <row r="187" spans="1:41" ht="14">
      <c r="A187" s="44">
        <f ca="1">IFERROR(__xludf.DUMMYFUNCTION("QUERY('Volunteer Survey'!A194)"),43593.5664947222)</f>
        <v>43593.566494722203</v>
      </c>
      <c r="B187" s="42" t="s">
        <v>168</v>
      </c>
      <c r="C187" s="47"/>
      <c r="D187" s="50">
        <v>43476</v>
      </c>
      <c r="E187" s="42" t="s">
        <v>117</v>
      </c>
      <c r="F187" s="42" t="s">
        <v>130</v>
      </c>
      <c r="G187" s="42" t="s">
        <v>136</v>
      </c>
      <c r="H187" s="47"/>
      <c r="I187" s="45" t="s">
        <v>139</v>
      </c>
      <c r="J187" s="50">
        <v>43593</v>
      </c>
      <c r="K187" s="50">
        <v>43713</v>
      </c>
      <c r="L187" s="49" t="str">
        <f ca="1">IFERROR(__xludf.DUMMYFUNCTION("QUERY('Volunteer Survey'!B194)"),"Lisa Dyer")</f>
        <v>Lisa Dyer</v>
      </c>
      <c r="M187" s="49" t="str">
        <f ca="1">IFERROR(__xludf.DUMMYFUNCTION("QUERY('Volunteer Survey'!E194)"),"Lisa.Dyer@cchmc.org")</f>
        <v>Lisa.Dyer@cchmc.org</v>
      </c>
      <c r="N187" s="49" t="str">
        <f ca="1">IFERROR(__xludf.DUMMYFUNCTION("QUERY('Volunteer Survey'!F194)"),"NA")</f>
        <v>NA</v>
      </c>
      <c r="O187" s="42" t="str">
        <f ca="1">IFERROR(__xludf.DUMMYFUNCTION("QUERY('Volunteer Survey'!H194)"),"Comprehensive")</f>
        <v>Comprehensive</v>
      </c>
      <c r="P187" s="49" t="str">
        <f ca="1">IFERROR(__xludf.DUMMYFUNCTION("QUERY('Volunteer Survey'!I194)"),"Somatic Cancer")</f>
        <v>Somatic Cancer</v>
      </c>
      <c r="Q187" s="54" t="str">
        <f ca="1">IFERROR(__xludf.DUMMYFUNCTION("QUERY('Volunteer Survey'!J194)"),"")</f>
        <v/>
      </c>
      <c r="R187" s="49" t="str">
        <f ca="1">IFERROR(__xludf.DUMMYFUNCTION("QUERY('Volunteer Survey'!K194)"),"")</f>
        <v/>
      </c>
      <c r="S187" s="49" t="str">
        <f ca="1">IFERROR(__xludf.DUMMYFUNCTION("QUERY('Volunteer Survey'!L194)"),"")</f>
        <v/>
      </c>
      <c r="T187" s="49" t="str">
        <f ca="1">IFERROR(__xludf.DUMMYFUNCTION("QUERY('Volunteer Survey'!M194)"),"")</f>
        <v/>
      </c>
      <c r="U187" s="58" t="str">
        <f ca="1">IFERROR(__xludf.DUMMYFUNCTION("QUERY('Volunteer Survey'!N194)"),"")</f>
        <v/>
      </c>
      <c r="V187" s="49" t="str">
        <f ca="1">IFERROR(__xludf.DUMMYFUNCTION("QUERY('Volunteer Survey'!O194)"),"")</f>
        <v/>
      </c>
      <c r="W187" s="60" t="str">
        <f ca="1">IFERROR(__xludf.DUMMYFUNCTION("QUERY('Volunteer Survey'!P194)"),"")</f>
        <v/>
      </c>
      <c r="X187" s="58" t="str">
        <f ca="1">IFERROR(__xludf.DUMMYFUNCTION("QUERY('Volunteer Survey'!R194)"),"")</f>
        <v/>
      </c>
      <c r="Y187" s="86" t="s">
        <v>328</v>
      </c>
      <c r="Z187" s="174">
        <f ca="1">IFERROR(__xludf.DUMMYFUNCTION("QUERY('Volunteer Survey'!A186)"),43586.5964573032)</f>
        <v>43586.596457303203</v>
      </c>
      <c r="AA187" s="175" t="str">
        <f ca="1">IFERROR(__xludf.DUMMYFUNCTION("QUERY('Volunteer Survey'!B186)"),"Ashley Marsh")</f>
        <v>Ashley Marsh</v>
      </c>
      <c r="AB187" s="175" t="str">
        <f ca="1">IFERROR(__xludf.DUMMYFUNCTION("QUERY('Volunteer Survey'!C186)"),"University of California, San Diego")</f>
        <v>University of California, San Diego</v>
      </c>
      <c r="AC187" s="175" t="str">
        <f ca="1">IFERROR(__xludf.DUMMYFUNCTION("QUERY('Volunteer Survey'!D186)"),"9500 Gilman Dr, La Jolla, CA 92093")</f>
        <v>9500 Gilman Dr, La Jolla, CA 92093</v>
      </c>
      <c r="AD187" s="175" t="str">
        <f ca="1">IFERROR(__xludf.DUMMYFUNCTION("QUERY('Volunteer Survey'!E186)"),"amarsh@ucsd.edu")</f>
        <v>amarsh@ucsd.edu</v>
      </c>
      <c r="AE187" s="175" t="str">
        <f ca="1">IFERROR(__xludf.DUMMYFUNCTION("QUERY('Volunteer Survey'!F186)"),"Post Doc/Resident/Fellow (MD and/or PhD)")</f>
        <v>Post Doc/Resident/Fellow (MD and/or PhD)</v>
      </c>
      <c r="AF187" s="175" t="str">
        <f ca="1">IFERROR(__xludf.DUMMYFUNCTION("QUERY('Volunteer Survey'!G186)"),"The clinicalgenome.org website")</f>
        <v>The clinicalgenome.org website</v>
      </c>
      <c r="AG187" s="175" t="str">
        <f ca="1">IFERROR(__xludf.DUMMYFUNCTION("QUERY('Volunteer Survey'!H186)"),"Comprehensive")</f>
        <v>Comprehensive</v>
      </c>
      <c r="AH187" s="175" t="str">
        <f ca="1">IFERROR(__xludf.DUMMYFUNCTION("QUERY('Volunteer Survey'!I186)"),"Variant Pathogenicity")</f>
        <v>Variant Pathogenicity</v>
      </c>
      <c r="AI187" s="175" t="str">
        <f ca="1">IFERROR(__xludf.DUMMYFUNCTION("QUERY('Volunteer Survey'!J186)"),"Gene-Disease Validity")</f>
        <v>Gene-Disease Validity</v>
      </c>
      <c r="AJ187" s="175" t="str">
        <f ca="1">IFERROR(__xludf.DUMMYFUNCTION("QUERY('Volunteer Survey'!K186)"),"")</f>
        <v/>
      </c>
      <c r="AK187" s="175" t="str">
        <f ca="1">IFERROR(__xludf.DUMMYFUNCTION("QUERY('Volunteer Survey'!L186)"),"")</f>
        <v/>
      </c>
      <c r="AL187" s="175" t="str">
        <f ca="1">IFERROR(__xludf.DUMMYFUNCTION("QUERY('Volunteer Survey'!M186)"),"")</f>
        <v/>
      </c>
      <c r="AM187" s="175" t="str">
        <f ca="1">IFERROR(__xludf.DUMMYFUNCTION("QUERY('Volunteer Survey'!N186)"),"Variant Pathogenicity – I gained extensive sequence variant interpretation experience through my undergraduate and graduate research projects. I assessed the pathogenicity of variants associated with inherited cardiomyopathies during my undergraduate degr"&amp;"ee and undertook similar assessments during my graduate studies, focused on neurodevelopment and novel disease gene discovery. I published a Nature Genetics paper in 2017 describing the first genetic cause of isolated agenesis of the corpus callosum. I su"&amp;"bsequently created and maintain a LOVD for the disease gene (DCC), where I use ACMG and other criteria (in silico, conversation, population databases, etc.) to assess the pathogenicity of reported variants.
Gene-Disease Validity – My PhD dissertation foc"&amp;"used on novel disease gene discovery. Throughout my candidature, I utilized modern genomic technologies (including exome and targeted resequencing) to identify and characterize novel disease genes associated with neurodevelopmental disorders such as agene"&amp;"sis of the corpus callosum and focal cortical dysplasia.")</f>
        <v>Variant Pathogenicity – I gained extensive sequence variant interpretation experience through my undergraduate and graduate research projects. I assessed the pathogenicity of variants associated with inherited cardiomyopathies during my undergraduate degree and undertook similar assessments during my graduate studies, focused on neurodevelopment and novel disease gene discovery. I published a Nature Genetics paper in 2017 describing the first genetic cause of isolated agenesis of the corpus callosum. I subsequently created and maintain a LOVD for the disease gene (DCC), where I use ACMG and other criteria (in silico, conversation, population databases, etc.) to assess the pathogenicity of reported variants.
Gene-Disease Validity – My PhD dissertation focused on novel disease gene discovery. Throughout my candidature, I utilized modern genomic technologies (including exome and targeted resequencing) to identify and characterize novel disease genes associated with neurodevelopmental disorders such as agenesis of the corpus callosum and focal cortical dysplasia.</v>
      </c>
      <c r="AN187" s="175" t="str">
        <f ca="1">IFERROR(__xludf.DUMMYFUNCTION("QUERY('Volunteer Survey'!O186)"),"Possibly")</f>
        <v>Possibly</v>
      </c>
      <c r="AO187" s="175" t="str">
        <f ca="1">IFERROR(__xludf.DUMMYFUNCTION("QUERY('Volunteer Survey'!P186)"),"•	Brain Malformations Variant Curation Expert Panel
•	Brain Malformations Gene Curation Expert Panel")</f>
        <v>•	Brain Malformations Variant Curation Expert Panel
•	Brain Malformations Gene Curation Expert Panel</v>
      </c>
    </row>
    <row r="188" spans="1:41" ht="14">
      <c r="A188" s="44">
        <f ca="1">IFERROR(__xludf.DUMMYFUNCTION("QUERY('Volunteer Survey'!A195)"),43593.7361865393)</f>
        <v>43593.736186539303</v>
      </c>
      <c r="B188" s="42" t="s">
        <v>108</v>
      </c>
      <c r="C188" s="73">
        <v>43819</v>
      </c>
      <c r="D188" s="49"/>
      <c r="E188" s="42"/>
      <c r="F188" s="42" t="s">
        <v>130</v>
      </c>
      <c r="G188" s="42" t="s">
        <v>122</v>
      </c>
      <c r="H188" s="47"/>
      <c r="I188" s="45" t="s">
        <v>139</v>
      </c>
      <c r="J188" s="50"/>
      <c r="K188" s="50"/>
      <c r="L188" s="49" t="str">
        <f ca="1">IFERROR(__xludf.DUMMYFUNCTION("QUERY('Volunteer Survey'!B195)"),"Andrea Hallberg")</f>
        <v>Andrea Hallberg</v>
      </c>
      <c r="M188" s="49" t="str">
        <f ca="1">IFERROR(__xludf.DUMMYFUNCTION("QUERY('Volunteer Survey'!E195)"),"hallberg.andrea@gmail.com")</f>
        <v>hallberg.andrea@gmail.com</v>
      </c>
      <c r="N188" s="49" t="str">
        <f ca="1">IFERROR(__xludf.DUMMYFUNCTION("QUERY('Volunteer Survey'!F195)"),"Post Doc/Resident/Fellow (MD and/or PhD)")</f>
        <v>Post Doc/Resident/Fellow (MD and/or PhD)</v>
      </c>
      <c r="O188" s="42" t="str">
        <f ca="1">IFERROR(__xludf.DUMMYFUNCTION("QUERY('Volunteer Survey'!H195)"),"Comprehensive")</f>
        <v>Comprehensive</v>
      </c>
      <c r="P188" s="49" t="str">
        <f ca="1">IFERROR(__xludf.DUMMYFUNCTION("QUERY('Volunteer Survey'!I195)"),"Gene-Disease Validity")</f>
        <v>Gene-Disease Validity</v>
      </c>
      <c r="Q188" s="54" t="str">
        <f ca="1">IFERROR(__xludf.DUMMYFUNCTION("QUERY('Volunteer Survey'!J195)"),"Variant Pathogenicity")</f>
        <v>Variant Pathogenicity</v>
      </c>
      <c r="R188" s="49" t="str">
        <f ca="1">IFERROR(__xludf.DUMMYFUNCTION("QUERY('Volunteer Survey'!K195)"),"Dosage Sensitivity")</f>
        <v>Dosage Sensitivity</v>
      </c>
      <c r="S188" s="49" t="str">
        <f ca="1">IFERROR(__xludf.DUMMYFUNCTION("QUERY('Volunteer Survey'!L195)"),"Clinical Actionability")</f>
        <v>Clinical Actionability</v>
      </c>
      <c r="T188" s="49" t="str">
        <f ca="1">IFERROR(__xludf.DUMMYFUNCTION("QUERY('Volunteer Survey'!M195)"),"Somatic Cancer")</f>
        <v>Somatic Cancer</v>
      </c>
      <c r="U188" s="58" t="str">
        <f ca="1">IFERROR(__xludf.DUMMYFUNCTION("QUERY('Volunteer Survey'!N195)"),"No ")</f>
        <v xml:space="preserve">No </v>
      </c>
      <c r="V188" s="49" t="str">
        <f ca="1">IFERROR(__xludf.DUMMYFUNCTION("QUERY('Volunteer Survey'!O195)"),"Possibly")</f>
        <v>Possibly</v>
      </c>
      <c r="W188" s="60" t="str">
        <f ca="1">IFERROR(__xludf.DUMMYFUNCTION("QUERY('Volunteer Survey'!P195)"),"")</f>
        <v/>
      </c>
      <c r="X188" s="58" t="str">
        <f ca="1">IFERROR(__xludf.DUMMYFUNCTION("QUERY('Volunteer Survey'!R195)"),"Yes- I am willing to volunteer with any available ClinGen group")</f>
        <v>Yes- I am willing to volunteer with any available ClinGen group</v>
      </c>
      <c r="Y188" s="47"/>
      <c r="Z188" s="174">
        <f ca="1">IFERROR(__xludf.DUMMYFUNCTION("QUERY('Volunteer Survey'!A187)"),43587.1672437384)</f>
        <v>43587.167243738397</v>
      </c>
      <c r="AA188" s="175" t="str">
        <f ca="1">IFERROR(__xludf.DUMMYFUNCTION("QUERY('Volunteer Survey'!B187)"),"Kevin Colclough")</f>
        <v>Kevin Colclough</v>
      </c>
      <c r="AB188" s="175" t="str">
        <f ca="1">IFERROR(__xludf.DUMMYFUNCTION("QUERY('Volunteer Survey'!C187)"),"Royal Devon &amp; Exeter NHS Trust")</f>
        <v>Royal Devon &amp; Exeter NHS Trust</v>
      </c>
      <c r="AC188" s="175" t="str">
        <f ca="1">IFERROR(__xludf.DUMMYFUNCTION("QUERY('Volunteer Survey'!D187)"),"Barrack Road, Exeter, Devon, UK EX2 5DW")</f>
        <v>Barrack Road, Exeter, Devon, UK EX2 5DW</v>
      </c>
      <c r="AD188" s="175" t="str">
        <f ca="1">IFERROR(__xludf.DUMMYFUNCTION("QUERY('Volunteer Survey'!E187)"),"kevin.colclough@nhs.net")</f>
        <v>kevin.colclough@nhs.net</v>
      </c>
      <c r="AE188" s="175" t="str">
        <f ca="1">IFERROR(__xludf.DUMMYFUNCTION("QUERY('Volunteer Survey'!F187)"),"Clinical laboratory geneticist")</f>
        <v>Clinical laboratory geneticist</v>
      </c>
      <c r="AF188" s="175" t="str">
        <f ca="1">IFERROR(__xludf.DUMMYFUNCTION("QUERY('Volunteer Survey'!G187)"),"Suggestion from mentor")</f>
        <v>Suggestion from mentor</v>
      </c>
      <c r="AG188" s="175" t="str">
        <f ca="1">IFERROR(__xludf.DUMMYFUNCTION("QUERY('Volunteer Survey'!H187)"),"Comprehensive")</f>
        <v>Comprehensive</v>
      </c>
      <c r="AH188" s="175" t="str">
        <f ca="1">IFERROR(__xludf.DUMMYFUNCTION("QUERY('Volunteer Survey'!I187)"),"Variant Pathogenicity")</f>
        <v>Variant Pathogenicity</v>
      </c>
      <c r="AI188" s="175" t="str">
        <f ca="1">IFERROR(__xludf.DUMMYFUNCTION("QUERY('Volunteer Survey'!J187)"),"Gene-Disease Validity")</f>
        <v>Gene-Disease Validity</v>
      </c>
      <c r="AJ188" s="175" t="str">
        <f ca="1">IFERROR(__xludf.DUMMYFUNCTION("QUERY('Volunteer Survey'!K187)"),"Clinical Actionability")</f>
        <v>Clinical Actionability</v>
      </c>
      <c r="AK188" s="175" t="str">
        <f ca="1">IFERROR(__xludf.DUMMYFUNCTION("QUERY('Volunteer Survey'!L187)"),"Dosage Sensitivity")</f>
        <v>Dosage Sensitivity</v>
      </c>
      <c r="AL188" s="175" t="str">
        <f ca="1">IFERROR(__xludf.DUMMYFUNCTION("QUERY('Volunteer Survey'!M187)"),"Somatic Cancer")</f>
        <v>Somatic Cancer</v>
      </c>
      <c r="AM188" s="175" t="str">
        <f ca="1">IFERROR(__xludf.DUMMYFUNCTION("QUERY('Volunteer Survey'!N187)"),"I routinely perform variant pathogenicity classification and gene-disease validity as part of my routine diagnostic laboratory work.")</f>
        <v>I routinely perform variant pathogenicity classification and gene-disease validity as part of my routine diagnostic laboratory work.</v>
      </c>
      <c r="AN188" s="175" t="str">
        <f ca="1">IFERROR(__xludf.DUMMYFUNCTION("QUERY('Volunteer Survey'!O187)"),"Yes")</f>
        <v>Yes</v>
      </c>
      <c r="AO188" s="175" t="str">
        <f ca="1">IFERROR(__xludf.DUMMYFUNCTION("QUERY('Volunteer Survey'!P187)"),"I am a member of the variant curation and gene curation expert panels for monogenic diabetes.")</f>
        <v>I am a member of the variant curation and gene curation expert panels for monogenic diabetes.</v>
      </c>
    </row>
    <row r="189" spans="1:41" ht="14">
      <c r="A189" s="44">
        <f ca="1">IFERROR(__xludf.DUMMYFUNCTION("QUERY('Volunteer Survey'!A196)"),43595.3744584606)</f>
        <v>43595.374458460603</v>
      </c>
      <c r="B189" s="42" t="s">
        <v>108</v>
      </c>
      <c r="C189" s="47"/>
      <c r="D189" s="49"/>
      <c r="E189" s="42"/>
      <c r="F189" s="42" t="s">
        <v>130</v>
      </c>
      <c r="G189" s="42" t="s">
        <v>202</v>
      </c>
      <c r="H189" s="47"/>
      <c r="I189" s="45" t="s">
        <v>139</v>
      </c>
      <c r="J189" s="49"/>
      <c r="K189" s="49"/>
      <c r="L189" s="49" t="str">
        <f ca="1">IFERROR(__xludf.DUMMYFUNCTION("QUERY('Volunteer Survey'!B196)"),"Bianca Tesi")</f>
        <v>Bianca Tesi</v>
      </c>
      <c r="M189" s="49" t="str">
        <f ca="1">IFERROR(__xludf.DUMMYFUNCTION("QUERY('Volunteer Survey'!E196)"),"bianca.tesi@sll.se")</f>
        <v>bianca.tesi@sll.se</v>
      </c>
      <c r="N189" s="49" t="str">
        <f ca="1">IFERROR(__xludf.DUMMYFUNCTION("QUERY('Volunteer Survey'!F196)"),"Post Doc/Resident/Fellow (MD and/or PhD)")</f>
        <v>Post Doc/Resident/Fellow (MD and/or PhD)</v>
      </c>
      <c r="O189" s="42" t="str">
        <f ca="1">IFERROR(__xludf.DUMMYFUNCTION("QUERY('Volunteer Survey'!H196)"),"Baseline")</f>
        <v>Baseline</v>
      </c>
      <c r="P189" s="49" t="str">
        <f ca="1">IFERROR(__xludf.DUMMYFUNCTION("QUERY('Volunteer Survey'!I196)"),"Clinical Actionability")</f>
        <v>Clinical Actionability</v>
      </c>
      <c r="Q189" s="54" t="str">
        <f ca="1">IFERROR(__xludf.DUMMYFUNCTION("QUERY('Volunteer Survey'!J196)"),"Gene-Disease Validity")</f>
        <v>Gene-Disease Validity</v>
      </c>
      <c r="R189" s="49" t="str">
        <f ca="1">IFERROR(__xludf.DUMMYFUNCTION("QUERY('Volunteer Survey'!K196)"),"Variant Pathogenicity")</f>
        <v>Variant Pathogenicity</v>
      </c>
      <c r="S189" s="49" t="str">
        <f ca="1">IFERROR(__xludf.DUMMYFUNCTION("QUERY('Volunteer Survey'!L196)"),"Somatic Cancer")</f>
        <v>Somatic Cancer</v>
      </c>
      <c r="T189" s="49" t="str">
        <f ca="1">IFERROR(__xludf.DUMMYFUNCTION("QUERY('Volunteer Survey'!M196)"),"Dosage Sensitivity")</f>
        <v>Dosage Sensitivity</v>
      </c>
      <c r="U189" s="58" t="str">
        <f ca="1">IFERROR(__xludf.DUMMYFUNCTION("QUERY('Volunteer Survey'!N196)"),"Experienced with reading literature, evaluating results in the clinical setting.")</f>
        <v>Experienced with reading literature, evaluating results in the clinical setting.</v>
      </c>
      <c r="V189" s="49" t="str">
        <f ca="1">IFERROR(__xludf.DUMMYFUNCTION("QUERY('Volunteer Survey'!O196)"),"Possibly")</f>
        <v>Possibly</v>
      </c>
      <c r="W189" s="60" t="str">
        <f ca="1">IFERROR(__xludf.DUMMYFUNCTION("QUERY('Volunteer Survey'!P196)"),"myeloid neoplasm, hereditary cancer")</f>
        <v>myeloid neoplasm, hereditary cancer</v>
      </c>
      <c r="X189" s="58" t="str">
        <f ca="1">IFERROR(__xludf.DUMMYFUNCTION("QUERY('Volunteer Survey'!R196)"),"Yes- I am willing to volunteer with any available ClinGen group")</f>
        <v>Yes- I am willing to volunteer with any available ClinGen group</v>
      </c>
      <c r="Y189" s="47"/>
      <c r="Z189" s="174">
        <f ca="1">IFERROR(__xludf.DUMMYFUNCTION("QUERY('Volunteer Survey'!A188)"),43588.5387376273)</f>
        <v>43588.538737627299</v>
      </c>
      <c r="AA189" s="175" t="str">
        <f ca="1">IFERROR(__xludf.DUMMYFUNCTION("QUERY('Volunteer Survey'!B188)"),"Erin Sybouts")</f>
        <v>Erin Sybouts</v>
      </c>
      <c r="AB189" s="175" t="str">
        <f ca="1">IFERROR(__xludf.DUMMYFUNCTION("QUERY('Volunteer Survey'!C188)"),"UT Health San Antonio")</f>
        <v>UT Health San Antonio</v>
      </c>
      <c r="AC189" s="175" t="str">
        <f ca="1">IFERROR(__xludf.DUMMYFUNCTION("QUERY('Volunteer Survey'!D188)"),"")</f>
        <v/>
      </c>
      <c r="AD189" s="175" t="str">
        <f ca="1">IFERROR(__xludf.DUMMYFUNCTION("QUERY('Volunteer Survey'!E188)"),"sybouts@livemail.uthscsa.edu")</f>
        <v>sybouts@livemail.uthscsa.edu</v>
      </c>
      <c r="AE189" s="175" t="str">
        <f ca="1">IFERROR(__xludf.DUMMYFUNCTION("QUERY('Volunteer Survey'!F188)"),"Graduate Student")</f>
        <v>Graduate Student</v>
      </c>
      <c r="AF189" s="175" t="str">
        <f ca="1">IFERROR(__xludf.DUMMYFUNCTION("QUERY('Volunteer Survey'!G188)"),"ACMG Conference 2019, The clinicalgenome.org website")</f>
        <v>ACMG Conference 2019, The clinicalgenome.org website</v>
      </c>
      <c r="AG189" s="175" t="str">
        <f ca="1">IFERROR(__xludf.DUMMYFUNCTION("QUERY('Volunteer Survey'!H188)"),"Comprehensive")</f>
        <v>Comprehensive</v>
      </c>
      <c r="AH189" s="175" t="str">
        <f ca="1">IFERROR(__xludf.DUMMYFUNCTION("QUERY('Volunteer Survey'!I188)"),"Somatic Cancer")</f>
        <v>Somatic Cancer</v>
      </c>
      <c r="AI189" s="175" t="str">
        <f ca="1">IFERROR(__xludf.DUMMYFUNCTION("QUERY('Volunteer Survey'!J188)"),"Dosage Sensitivity")</f>
        <v>Dosage Sensitivity</v>
      </c>
      <c r="AJ189" s="175" t="str">
        <f ca="1">IFERROR(__xludf.DUMMYFUNCTION("QUERY('Volunteer Survey'!K188)"),"Gene-Disease Validity")</f>
        <v>Gene-Disease Validity</v>
      </c>
      <c r="AK189" s="175" t="str">
        <f ca="1">IFERROR(__xludf.DUMMYFUNCTION("QUERY('Volunteer Survey'!L188)"),"Variant Pathogenicity")</f>
        <v>Variant Pathogenicity</v>
      </c>
      <c r="AL189" s="175" t="str">
        <f ca="1">IFERROR(__xludf.DUMMYFUNCTION("QUERY('Volunteer Survey'!M188)"),"Clinical Actionability")</f>
        <v>Clinical Actionability</v>
      </c>
      <c r="AM189" s="175" t="str">
        <f ca="1">IFERROR(__xludf.DUMMYFUNCTION("QUERY('Volunteer Survey'!N188)"),"")</f>
        <v/>
      </c>
      <c r="AN189" s="175" t="str">
        <f ca="1">IFERROR(__xludf.DUMMYFUNCTION("QUERY('Volunteer Survey'!O188)"),"Yes")</f>
        <v>Yes</v>
      </c>
      <c r="AO189" s="175" t="str">
        <f ca="1">IFERROR(__xludf.DUMMYFUNCTION("QUERY('Volunteer Survey'!P188)"),"TP53")</f>
        <v>TP53</v>
      </c>
    </row>
    <row r="190" spans="1:41" ht="14">
      <c r="A190" s="44">
        <f ca="1">IFERROR(__xludf.DUMMYFUNCTION("QUERY('Volunteer Survey'!A197)"),43596.2404648842)</f>
        <v>43596.240464884198</v>
      </c>
      <c r="B190" s="42" t="s">
        <v>108</v>
      </c>
      <c r="C190" s="73">
        <v>43819</v>
      </c>
      <c r="D190" s="49"/>
      <c r="E190" s="42"/>
      <c r="F190" s="42" t="s">
        <v>130</v>
      </c>
      <c r="G190" s="42" t="s">
        <v>251</v>
      </c>
      <c r="H190" s="47"/>
      <c r="I190" s="45" t="s">
        <v>139</v>
      </c>
      <c r="J190" s="49"/>
      <c r="K190" s="49"/>
      <c r="L190" s="49" t="str">
        <f ca="1">IFERROR(__xludf.DUMMYFUNCTION("QUERY('Volunteer Survey'!B197)"),"Lisa Chen")</f>
        <v>Lisa Chen</v>
      </c>
      <c r="M190" s="49" t="str">
        <f ca="1">IFERROR(__xludf.DUMMYFUNCTION("QUERY('Volunteer Survey'!E197)"),"lisa498484901@gmail.com")</f>
        <v>lisa498484901@gmail.com</v>
      </c>
      <c r="N190" s="49" t="str">
        <f ca="1">IFERROR(__xludf.DUMMYFUNCTION("QUERY('Volunteer Survey'!F197)"),"Graduate Student")</f>
        <v>Graduate Student</v>
      </c>
      <c r="O190" s="42" t="str">
        <f ca="1">IFERROR(__xludf.DUMMYFUNCTION("QUERY('Volunteer Survey'!H197)"),"Comprehensive")</f>
        <v>Comprehensive</v>
      </c>
      <c r="P190" s="49" t="str">
        <f ca="1">IFERROR(__xludf.DUMMYFUNCTION("QUERY('Volunteer Survey'!I197)"),"Variant Pathogenicity")</f>
        <v>Variant Pathogenicity</v>
      </c>
      <c r="Q190" s="54" t="str">
        <f ca="1">IFERROR(__xludf.DUMMYFUNCTION("QUERY('Volunteer Survey'!J197)"),"Gene-Disease Validity")</f>
        <v>Gene-Disease Validity</v>
      </c>
      <c r="R190" s="49" t="str">
        <f ca="1">IFERROR(__xludf.DUMMYFUNCTION("QUERY('Volunteer Survey'!K197)"),"Clinical Actionability")</f>
        <v>Clinical Actionability</v>
      </c>
      <c r="S190" s="49" t="str">
        <f ca="1">IFERROR(__xludf.DUMMYFUNCTION("QUERY('Volunteer Survey'!L197)"),"Dosage Sensitivity")</f>
        <v>Dosage Sensitivity</v>
      </c>
      <c r="T190" s="49" t="str">
        <f ca="1">IFERROR(__xludf.DUMMYFUNCTION("QUERY('Volunteer Survey'!M197)"),"Somatic Cancer")</f>
        <v>Somatic Cancer</v>
      </c>
      <c r="U190" s="58" t="str">
        <f ca="1">IFERROR(__xludf.DUMMYFUNCTION("QUERY('Volunteer Survey'!N197)"),"I have been doing variant classification for 4 years.")</f>
        <v>I have been doing variant classification for 4 years.</v>
      </c>
      <c r="V190" s="49" t="str">
        <f ca="1">IFERROR(__xludf.DUMMYFUNCTION("QUERY('Volunteer Survey'!O197)"),"Possibly")</f>
        <v>Possibly</v>
      </c>
      <c r="W190" s="60" t="str">
        <f ca="1">IFERROR(__xludf.DUMMYFUNCTION("QUERY('Volunteer Survey'!P197)"),"Congenital Myopathies")</f>
        <v>Congenital Myopathies</v>
      </c>
      <c r="X190" s="58" t="str">
        <f ca="1">IFERROR(__xludf.DUMMYFUNCTION("QUERY('Volunteer Survey'!R197)"),"Yes- I am willing to volunteer with any available ClinGen group")</f>
        <v>Yes- I am willing to volunteer with any available ClinGen group</v>
      </c>
      <c r="Y190" s="47"/>
      <c r="Z190" s="174">
        <f ca="1">IFERROR(__xludf.DUMMYFUNCTION("QUERY('Volunteer Survey'!A189)"),43591.4424418055)</f>
        <v>43591.442441805499</v>
      </c>
      <c r="AA190" s="175" t="str">
        <f ca="1">IFERROR(__xludf.DUMMYFUNCTION("QUERY('Volunteer Survey'!B189)"),"Jimena Murguia")</f>
        <v>Jimena Murguia</v>
      </c>
      <c r="AB190" s="175" t="str">
        <f ca="1">IFERROR(__xludf.DUMMYFUNCTION("QUERY('Volunteer Survey'!C189)"),"Laboratoire National de Santé")</f>
        <v>Laboratoire National de Santé</v>
      </c>
      <c r="AC190" s="175" t="str">
        <f ca="1">IFERROR(__xludf.DUMMYFUNCTION("QUERY('Volunteer Survey'!D189)"),"")</f>
        <v/>
      </c>
      <c r="AD190" s="175" t="str">
        <f ca="1">IFERROR(__xludf.DUMMYFUNCTION("QUERY('Volunteer Survey'!E189)"),"jimena887@yahoo.es")</f>
        <v>jimena887@yahoo.es</v>
      </c>
      <c r="AE190" s="175" t="str">
        <f ca="1">IFERROR(__xludf.DUMMYFUNCTION("QUERY('Volunteer Survey'!F189)"),"Clinical laboratory geneticist")</f>
        <v>Clinical laboratory geneticist</v>
      </c>
      <c r="AF190" s="175" t="str">
        <f ca="1">IFERROR(__xludf.DUMMYFUNCTION("QUERY('Volunteer Survey'!G189)"),"The clinicalgenome.org website")</f>
        <v>The clinicalgenome.org website</v>
      </c>
      <c r="AG190" s="175" t="str">
        <f ca="1">IFERROR(__xludf.DUMMYFUNCTION("QUERY('Volunteer Survey'!H189)"),"Baseline")</f>
        <v>Baseline</v>
      </c>
      <c r="AH190" s="175" t="str">
        <f ca="1">IFERROR(__xludf.DUMMYFUNCTION("QUERY('Volunteer Survey'!I189)"),"Variant Pathogenicity")</f>
        <v>Variant Pathogenicity</v>
      </c>
      <c r="AI190" s="175" t="str">
        <f ca="1">IFERROR(__xludf.DUMMYFUNCTION("QUERY('Volunteer Survey'!J189)"),"Clinical Actionability")</f>
        <v>Clinical Actionability</v>
      </c>
      <c r="AJ190" s="175" t="str">
        <f ca="1">IFERROR(__xludf.DUMMYFUNCTION("QUERY('Volunteer Survey'!K189)"),"Gene-Disease Validity")</f>
        <v>Gene-Disease Validity</v>
      </c>
      <c r="AK190" s="175" t="str">
        <f ca="1">IFERROR(__xludf.DUMMYFUNCTION("QUERY('Volunteer Survey'!L189)"),"Dosage Sensitivity")</f>
        <v>Dosage Sensitivity</v>
      </c>
      <c r="AL190" s="175" t="str">
        <f ca="1">IFERROR(__xludf.DUMMYFUNCTION("QUERY('Volunteer Survey'!M189)"),"Somatic Cancer")</f>
        <v>Somatic Cancer</v>
      </c>
      <c r="AM190" s="175" t="str">
        <f ca="1">IFERROR(__xludf.DUMMYFUNCTION("QUERY('Volunteer Survey'!N189)"),"")</f>
        <v/>
      </c>
      <c r="AN190" s="175" t="str">
        <f ca="1">IFERROR(__xludf.DUMMYFUNCTION("QUERY('Volunteer Survey'!O189)"),"Possibly")</f>
        <v>Possibly</v>
      </c>
      <c r="AO190" s="175" t="str">
        <f ca="1">IFERROR(__xludf.DUMMYFUNCTION("QUERY('Volunteer Survey'!P189)"),"")</f>
        <v/>
      </c>
    </row>
    <row r="191" spans="1:41" ht="14">
      <c r="A191" s="44">
        <f ca="1">IFERROR(__xludf.DUMMYFUNCTION("QUERY('Volunteer Survey'!A198)"),43390.5650462962)</f>
        <v>43390.5650462962</v>
      </c>
      <c r="B191" s="42" t="s">
        <v>108</v>
      </c>
      <c r="C191" s="73">
        <v>43819</v>
      </c>
      <c r="D191" s="49"/>
      <c r="E191" s="42"/>
      <c r="F191" s="42" t="s">
        <v>130</v>
      </c>
      <c r="G191" s="42" t="s">
        <v>122</v>
      </c>
      <c r="H191" s="47"/>
      <c r="I191" s="45" t="s">
        <v>139</v>
      </c>
      <c r="J191" s="49"/>
      <c r="K191" s="49"/>
      <c r="L191" s="49" t="str">
        <f ca="1">IFERROR(__xludf.DUMMYFUNCTION("QUERY('Volunteer Survey'!B198)"),"Ingrid Paine")</f>
        <v>Ingrid Paine</v>
      </c>
      <c r="M191" s="49" t="str">
        <f ca="1">IFERROR(__xludf.DUMMYFUNCTION("QUERY('Volunteer Survey'!E198)"),"runquist@alumni.bcm.edu")</f>
        <v>runquist@alumni.bcm.edu</v>
      </c>
      <c r="N191" s="49" t="str">
        <f ca="1">IFERROR(__xludf.DUMMYFUNCTION("QUERY('Volunteer Survey'!F198)"),"Post Doc/Resident/Fellow (MD and/or PhD)")</f>
        <v>Post Doc/Resident/Fellow (MD and/or PhD)</v>
      </c>
      <c r="O191" s="42" t="str">
        <f ca="1">IFERROR(__xludf.DUMMYFUNCTION("QUERY('Volunteer Survey'!H198)"),"Comprehensive")</f>
        <v>Comprehensive</v>
      </c>
      <c r="P191" s="49" t="str">
        <f ca="1">IFERROR(__xludf.DUMMYFUNCTION("QUERY('Volunteer Survey'!I198)"),"Gene-Disease Validity")</f>
        <v>Gene-Disease Validity</v>
      </c>
      <c r="Q191" s="54" t="str">
        <f ca="1">IFERROR(__xludf.DUMMYFUNCTION("QUERY('Volunteer Survey'!J198)"),"Variant Pathogenicity")</f>
        <v>Variant Pathogenicity</v>
      </c>
      <c r="R191" s="49" t="str">
        <f ca="1">IFERROR(__xludf.DUMMYFUNCTION("QUERY('Volunteer Survey'!K198)"),"")</f>
        <v/>
      </c>
      <c r="S191" s="49" t="str">
        <f ca="1">IFERROR(__xludf.DUMMYFUNCTION("QUERY('Volunteer Survey'!L198)"),"")</f>
        <v/>
      </c>
      <c r="T191" s="49" t="str">
        <f ca="1">IFERROR(__xludf.DUMMYFUNCTION("QUERY('Volunteer Survey'!M198)"),"")</f>
        <v/>
      </c>
      <c r="U191" s="58" t="str">
        <f ca="1">IFERROR(__xludf.DUMMYFUNCTION("QUERY('Volunteer Survey'!N198)"),"No")</f>
        <v>No</v>
      </c>
      <c r="V191" s="49" t="str">
        <f ca="1">IFERROR(__xludf.DUMMYFUNCTION("QUERY('Volunteer Survey'!O198)"),"Possibly")</f>
        <v>Possibly</v>
      </c>
      <c r="W191" s="60" t="str">
        <f ca="1">IFERROR(__xludf.DUMMYFUNCTION("QUERY('Volunteer Survey'!P198)"),"Epilepsy genes and neurodevelopmental")</f>
        <v>Epilepsy genes and neurodevelopmental</v>
      </c>
      <c r="X191" s="58" t="str">
        <f ca="1">IFERROR(__xludf.DUMMYFUNCTION("QUERY('Volunteer Survey'!R198)"),"Maybe -- please contact me with other options, and I will decide based on what is available")</f>
        <v>Maybe -- please contact me with other options, and I will decide based on what is available</v>
      </c>
      <c r="Y191" s="97" t="s">
        <v>3148</v>
      </c>
      <c r="Z191" s="174">
        <f ca="1">IFERROR(__xludf.DUMMYFUNCTION("QUERY('Volunteer Survey'!A190)"),43591.6908037847)</f>
        <v>43591.690803784702</v>
      </c>
      <c r="AA191" s="175" t="str">
        <f ca="1">IFERROR(__xludf.DUMMYFUNCTION("QUERY('Volunteer Survey'!B190)"),"Robert Lewis")</f>
        <v>Robert Lewis</v>
      </c>
      <c r="AB191" s="175" t="str">
        <f ca="1">IFERROR(__xludf.DUMMYFUNCTION("QUERY('Volunteer Survey'!C190)"),"University of California, Irvine School of Medicine")</f>
        <v>University of California, Irvine School of Medicine</v>
      </c>
      <c r="AC191" s="175" t="str">
        <f ca="1">IFERROR(__xludf.DUMMYFUNCTION("QUERY('Volunteer Survey'!D190)"),"350 Sprague Hall Irvine CA 92617")</f>
        <v>350 Sprague Hall Irvine CA 92617</v>
      </c>
      <c r="AD191" s="175" t="str">
        <f ca="1">IFERROR(__xludf.DUMMYFUNCTION("QUERY('Volunteer Survey'!E190)"),"rglewis@uci.edu")</f>
        <v>rglewis@uci.edu</v>
      </c>
      <c r="AE191" s="175" t="str">
        <f ca="1">IFERROR(__xludf.DUMMYFUNCTION("QUERY('Volunteer Survey'!F190)"),"Graduate Student")</f>
        <v>Graduate Student</v>
      </c>
      <c r="AF191" s="175" t="str">
        <f ca="1">IFERROR(__xludf.DUMMYFUNCTION("QUERY('Volunteer Survey'!G190)"),"Networking, Suggestion from mentor")</f>
        <v>Networking, Suggestion from mentor</v>
      </c>
      <c r="AG191" s="175" t="str">
        <f ca="1">IFERROR(__xludf.DUMMYFUNCTION("QUERY('Volunteer Survey'!H190)"),"Baseline")</f>
        <v>Baseline</v>
      </c>
      <c r="AH191" s="175" t="str">
        <f ca="1">IFERROR(__xludf.DUMMYFUNCTION("QUERY('Volunteer Survey'!I190)"),"Gene-Disease Validity")</f>
        <v>Gene-Disease Validity</v>
      </c>
      <c r="AI191" s="175" t="str">
        <f ca="1">IFERROR(__xludf.DUMMYFUNCTION("QUERY('Volunteer Survey'!J190)"),"Variant Pathogenicity")</f>
        <v>Variant Pathogenicity</v>
      </c>
      <c r="AJ191" s="175" t="str">
        <f ca="1">IFERROR(__xludf.DUMMYFUNCTION("QUERY('Volunteer Survey'!K190)"),"Clinical Actionability")</f>
        <v>Clinical Actionability</v>
      </c>
      <c r="AK191" s="175" t="str">
        <f ca="1">IFERROR(__xludf.DUMMYFUNCTION("QUERY('Volunteer Survey'!L190)"),"Dosage Sensitivity")</f>
        <v>Dosage Sensitivity</v>
      </c>
      <c r="AL191" s="175" t="str">
        <f ca="1">IFERROR(__xludf.DUMMYFUNCTION("QUERY('Volunteer Survey'!M190)"),"Somatic Cancer")</f>
        <v>Somatic Cancer</v>
      </c>
      <c r="AM191" s="175" t="str">
        <f ca="1">IFERROR(__xludf.DUMMYFUNCTION("QUERY('Volunteer Survey'!N190)"),"")</f>
        <v/>
      </c>
      <c r="AN191" s="175" t="str">
        <f ca="1">IFERROR(__xludf.DUMMYFUNCTION("QUERY('Volunteer Survey'!O190)"),"Possibly")</f>
        <v>Possibly</v>
      </c>
      <c r="AO191" s="175" t="str">
        <f ca="1">IFERROR(__xludf.DUMMYFUNCTION("QUERY('Volunteer Survey'!P190)"),"Neurodevelopmental")</f>
        <v>Neurodevelopmental</v>
      </c>
    </row>
    <row r="192" spans="1:41" ht="14">
      <c r="A192" s="44">
        <f ca="1">IFERROR(__xludf.DUMMYFUNCTION("QUERY('Volunteer Survey'!A199)"),43601.3254852777)</f>
        <v>43601.325485277703</v>
      </c>
      <c r="B192" s="42" t="s">
        <v>322</v>
      </c>
      <c r="C192" s="47"/>
      <c r="D192" s="49"/>
      <c r="E192" s="42"/>
      <c r="F192" s="42" t="s">
        <v>130</v>
      </c>
      <c r="G192" s="42" t="s">
        <v>202</v>
      </c>
      <c r="H192" s="47"/>
      <c r="I192" s="45" t="s">
        <v>139</v>
      </c>
      <c r="J192" s="49"/>
      <c r="K192" s="49"/>
      <c r="L192" s="49" t="str">
        <f ca="1">IFERROR(__xludf.DUMMYFUNCTION("QUERY('Volunteer Survey'!B199)"),"Michelle Paczosa")</f>
        <v>Michelle Paczosa</v>
      </c>
      <c r="M192" s="49" t="str">
        <f ca="1">IFERROR(__xludf.DUMMYFUNCTION("QUERY('Volunteer Survey'!E199)"),"Michelle.K.Paczosa@questdiagnostics.com")</f>
        <v>Michelle.K.Paczosa@questdiagnostics.com</v>
      </c>
      <c r="N192" s="49" t="str">
        <f ca="1">IFERROR(__xludf.DUMMYFUNCTION("QUERY('Volunteer Survey'!F199)"),"Variant Analyst/Scientist - Industry")</f>
        <v>Variant Analyst/Scientist - Industry</v>
      </c>
      <c r="O192" s="42" t="str">
        <f ca="1">IFERROR(__xludf.DUMMYFUNCTION("QUERY('Volunteer Survey'!H199)"),"Comprehensive")</f>
        <v>Comprehensive</v>
      </c>
      <c r="P192" s="49" t="str">
        <f ca="1">IFERROR(__xludf.DUMMYFUNCTION("QUERY('Volunteer Survey'!I199)"),"Dosage Sensitivity")</f>
        <v>Dosage Sensitivity</v>
      </c>
      <c r="Q192" s="54" t="str">
        <f ca="1">IFERROR(__xludf.DUMMYFUNCTION("QUERY('Volunteer Survey'!J199)"),"Gene-Disease Validity")</f>
        <v>Gene-Disease Validity</v>
      </c>
      <c r="R192" s="49" t="str">
        <f ca="1">IFERROR(__xludf.DUMMYFUNCTION("QUERY('Volunteer Survey'!K199)"),"")</f>
        <v/>
      </c>
      <c r="S192" s="49" t="str">
        <f ca="1">IFERROR(__xludf.DUMMYFUNCTION("QUERY('Volunteer Survey'!L199)"),"")</f>
        <v/>
      </c>
      <c r="T192" s="49" t="str">
        <f ca="1">IFERROR(__xludf.DUMMYFUNCTION("QUERY('Volunteer Survey'!M199)"),"")</f>
        <v/>
      </c>
      <c r="U192" s="58" t="str">
        <f ca="1">IFERROR(__xludf.DUMMYFUNCTION("QUERY('Volunteer Survey'!N199)"),"")</f>
        <v/>
      </c>
      <c r="V192" s="49" t="str">
        <f ca="1">IFERROR(__xludf.DUMMYFUNCTION("QUERY('Volunteer Survey'!O199)"),"")</f>
        <v/>
      </c>
      <c r="W192" s="60" t="str">
        <f ca="1">IFERROR(__xludf.DUMMYFUNCTION("QUERY('Volunteer Survey'!P199)"),"1. Recurrent 2. Neurodevelopmental 3. Cancer 4. Mitochondrial 5.Hereditary Cancer 6. Monogenic Diabetes")</f>
        <v>1. Recurrent 2. Neurodevelopmental 3. Cancer 4. Mitochondrial 5.Hereditary Cancer 6. Monogenic Diabetes</v>
      </c>
      <c r="X192" s="58" t="str">
        <f ca="1">IFERROR(__xludf.DUMMYFUNCTION("QUERY('Volunteer Survey'!R199)"),"Yes- I am willing to volunteer with any available ClinGen group")</f>
        <v>Yes- I am willing to volunteer with any available ClinGen group</v>
      </c>
      <c r="Y192" s="45" t="s">
        <v>355</v>
      </c>
      <c r="Z192" s="174">
        <f ca="1">IFERROR(__xludf.DUMMYFUNCTION("QUERY('Volunteer Survey'!A191)"),43592.7399613541)</f>
        <v>43592.739961354098</v>
      </c>
      <c r="AA192" s="175" t="str">
        <f ca="1">IFERROR(__xludf.DUMMYFUNCTION("QUERY('Volunteer Survey'!B191)"),"FEN GUO")</f>
        <v>FEN GUO</v>
      </c>
      <c r="AB192" s="175" t="str">
        <f ca="1">IFERROR(__xludf.DUMMYFUNCTION("QUERY('Volunteer Survey'!C191)"),"Wisconsin State Laboratory of Hygiene")</f>
        <v>Wisconsin State Laboratory of Hygiene</v>
      </c>
      <c r="AC192" s="175" t="str">
        <f ca="1">IFERROR(__xludf.DUMMYFUNCTION("QUERY('Volunteer Survey'!D191)"),"	465 Henry Mall   Madison, WI 53706")</f>
        <v xml:space="preserve">	465 Henry Mall   Madison, WI 53706</v>
      </c>
      <c r="AD192" s="175" t="str">
        <f ca="1">IFERROR(__xludf.DUMMYFUNCTION("QUERY('Volunteer Survey'!E191)"),"fguo34@wisc.edu")</f>
        <v>fguo34@wisc.edu</v>
      </c>
      <c r="AE192" s="175" t="str">
        <f ca="1">IFERROR(__xludf.DUMMYFUNCTION("QUERY('Volunteer Survey'!F191)"),"Post Doc/Resident/Fellow (MD and/or PhD)")</f>
        <v>Post Doc/Resident/Fellow (MD and/or PhD)</v>
      </c>
      <c r="AF192" s="175" t="str">
        <f ca="1">IFERROR(__xludf.DUMMYFUNCTION("QUERY('Volunteer Survey'!G191)"),"ACMG Conference 2019, Networking, Colleagues")</f>
        <v>ACMG Conference 2019, Networking, Colleagues</v>
      </c>
      <c r="AG192" s="175" t="str">
        <f ca="1">IFERROR(__xludf.DUMMYFUNCTION("QUERY('Volunteer Survey'!H191)"),"Comprehensive")</f>
        <v>Comprehensive</v>
      </c>
      <c r="AH192" s="175" t="str">
        <f ca="1">IFERROR(__xludf.DUMMYFUNCTION("QUERY('Volunteer Survey'!I191)"),"Gene-Disease Validity")</f>
        <v>Gene-Disease Validity</v>
      </c>
      <c r="AI192" s="175" t="str">
        <f ca="1">IFERROR(__xludf.DUMMYFUNCTION("QUERY('Volunteer Survey'!J191)"),"Variant Pathogenicity")</f>
        <v>Variant Pathogenicity</v>
      </c>
      <c r="AJ192" s="175" t="str">
        <f ca="1">IFERROR(__xludf.DUMMYFUNCTION("QUERY('Volunteer Survey'!K191)"),"Somatic Cancer")</f>
        <v>Somatic Cancer</v>
      </c>
      <c r="AK192" s="175" t="str">
        <f ca="1">IFERROR(__xludf.DUMMYFUNCTION("QUERY('Volunteer Survey'!L191)"),"Clinical Actionability")</f>
        <v>Clinical Actionability</v>
      </c>
      <c r="AL192" s="175" t="str">
        <f ca="1">IFERROR(__xludf.DUMMYFUNCTION("QUERY('Volunteer Survey'!M191)"),"Dosage Sensitivity")</f>
        <v>Dosage Sensitivity</v>
      </c>
      <c r="AM192" s="175" t="str">
        <f ca="1">IFERROR(__xludf.DUMMYFUNCTION("QUERY('Volunteer Survey'!N191)"),"No")</f>
        <v>No</v>
      </c>
      <c r="AN192" s="175" t="str">
        <f ca="1">IFERROR(__xludf.DUMMYFUNCTION("QUERY('Volunteer Survey'!O191)"),"Possibly")</f>
        <v>Possibly</v>
      </c>
      <c r="AO192" s="175" t="str">
        <f ca="1">IFERROR(__xludf.DUMMYFUNCTION("QUERY('Volunteer Survey'!P191)"),"Gene Curation Expert Panels-Hereditary Cancer")</f>
        <v>Gene Curation Expert Panels-Hereditary Cancer</v>
      </c>
    </row>
    <row r="193" spans="1:41" ht="14">
      <c r="A193" s="44">
        <f ca="1">IFERROR(__xludf.DUMMYFUNCTION("QUERY('Volunteer Survey'!A200)"),43601.5361581712)</f>
        <v>43601.536158171199</v>
      </c>
      <c r="B193" s="42" t="s">
        <v>160</v>
      </c>
      <c r="C193" s="47"/>
      <c r="D193" s="50">
        <v>43605</v>
      </c>
      <c r="E193" s="42" t="s">
        <v>117</v>
      </c>
      <c r="F193" s="42" t="s">
        <v>117</v>
      </c>
      <c r="G193" s="42" t="s">
        <v>251</v>
      </c>
      <c r="H193" s="45" t="s">
        <v>305</v>
      </c>
      <c r="I193" s="45" t="s">
        <v>356</v>
      </c>
      <c r="J193" s="50">
        <v>43712</v>
      </c>
      <c r="K193" s="50"/>
      <c r="L193" s="49" t="str">
        <f ca="1">IFERROR(__xludf.DUMMYFUNCTION("QUERY('Volunteer Survey'!B200)"),"Olivia Rennie")</f>
        <v>Olivia Rennie</v>
      </c>
      <c r="M193" s="49" t="str">
        <f ca="1">IFERROR(__xludf.DUMMYFUNCTION("QUERY('Volunteer Survey'!E200)"),"olivia.rennie@sickkids.ca")</f>
        <v>olivia.rennie@sickkids.ca</v>
      </c>
      <c r="N193" s="49" t="str">
        <f ca="1">IFERROR(__xludf.DUMMYFUNCTION("QUERY('Volunteer Survey'!F200)"),"Biocurator")</f>
        <v>Biocurator</v>
      </c>
      <c r="O193" s="42" t="str">
        <f ca="1">IFERROR(__xludf.DUMMYFUNCTION("QUERY('Volunteer Survey'!H200)"),"Comprehensive")</f>
        <v>Comprehensive</v>
      </c>
      <c r="P193" s="49" t="str">
        <f ca="1">IFERROR(__xludf.DUMMYFUNCTION("QUERY('Volunteer Survey'!I200)"),"Variant Pathogenicity")</f>
        <v>Variant Pathogenicity</v>
      </c>
      <c r="Q193" s="54" t="str">
        <f ca="1">IFERROR(__xludf.DUMMYFUNCTION("QUERY('Volunteer Survey'!J200)"),"Somatic Cancer")</f>
        <v>Somatic Cancer</v>
      </c>
      <c r="R193" s="49" t="str">
        <f ca="1">IFERROR(__xludf.DUMMYFUNCTION("QUERY('Volunteer Survey'!K200)"),"Clinical Actionability")</f>
        <v>Clinical Actionability</v>
      </c>
      <c r="S193" s="49" t="str">
        <f ca="1">IFERROR(__xludf.DUMMYFUNCTION("QUERY('Volunteer Survey'!L200)"),"")</f>
        <v/>
      </c>
      <c r="T193" s="49" t="str">
        <f ca="1">IFERROR(__xludf.DUMMYFUNCTION("QUERY('Volunteer Survey'!M200)"),"")</f>
        <v/>
      </c>
      <c r="U193" s="58" t="str">
        <f ca="1">IFERROR(__xludf.DUMMYFUNCTION("QUERY('Volunteer Survey'!N200)"),"As noted above, I am currently a gene-disease curator with the ID &amp; ASD EP.")</f>
        <v>As noted above, I am currently a gene-disease curator with the ID &amp; ASD EP.</v>
      </c>
      <c r="V193" s="49" t="str">
        <f ca="1">IFERROR(__xludf.DUMMYFUNCTION("QUERY('Volunteer Survey'!O200)"),"Yes")</f>
        <v>Yes</v>
      </c>
      <c r="W193" s="60" t="str">
        <f ca="1">IFERROR(__xludf.DUMMYFUNCTION("QUERY('Volunteer Survey'!P200)"),"I am open to any variant curation EPs that are currently looking for volunteers. ")</f>
        <v xml:space="preserve">I am open to any variant curation EPs that are currently looking for volunteers. </v>
      </c>
      <c r="X193" s="58" t="str">
        <f ca="1">IFERROR(__xludf.DUMMYFUNCTION("QUERY('Volunteer Survey'!R200)"),"Yes- I am willing to volunteer with any available ClinGen group")</f>
        <v>Yes- I am willing to volunteer with any available ClinGen group</v>
      </c>
      <c r="Y193" s="45" t="s">
        <v>357</v>
      </c>
      <c r="Z193" s="174">
        <f ca="1">IFERROR(__xludf.DUMMYFUNCTION("QUERY('Volunteer Survey'!A192)"),43592.8875499652)</f>
        <v>43592.887549965199</v>
      </c>
      <c r="AA193" s="175" t="str">
        <f ca="1">IFERROR(__xludf.DUMMYFUNCTION("QUERY('Volunteer Survey'!B192)"),"Elizabeth Palmer")</f>
        <v>Elizabeth Palmer</v>
      </c>
      <c r="AB193" s="175" t="str">
        <f ca="1">IFERROR(__xludf.DUMMYFUNCTION("QUERY('Volunteer Survey'!C192)"),"Genetics of Learning Disability")</f>
        <v>Genetics of Learning Disability</v>
      </c>
      <c r="AC193" s="175" t="str">
        <f ca="1">IFERROR(__xludf.DUMMYFUNCTION("QUERY('Volunteer Survey'!D192)"),"Sydney, Australia")</f>
        <v>Sydney, Australia</v>
      </c>
      <c r="AD193" s="175" t="str">
        <f ca="1">IFERROR(__xludf.DUMMYFUNCTION("QUERY('Volunteer Survey'!E192)"),"elizabeth.palmer1@health.nsw.gov.au")</f>
        <v>elizabeth.palmer1@health.nsw.gov.au</v>
      </c>
      <c r="AE193" s="175" t="str">
        <f ca="1">IFERROR(__xludf.DUMMYFUNCTION("QUERY('Volunteer Survey'!F192)"),"Clinical Medical Geneticist")</f>
        <v>Clinical Medical Geneticist</v>
      </c>
      <c r="AF193" s="175" t="str">
        <f ca="1">IFERROR(__xludf.DUMMYFUNCTION("QUERY('Volunteer Survey'!G192)"),"The clinicalgenome.org website")</f>
        <v>The clinicalgenome.org website</v>
      </c>
      <c r="AG193" s="175" t="str">
        <f ca="1">IFERROR(__xludf.DUMMYFUNCTION("QUERY('Volunteer Survey'!H192)"),"Comprehensive")</f>
        <v>Comprehensive</v>
      </c>
      <c r="AH193" s="175" t="str">
        <f ca="1">IFERROR(__xludf.DUMMYFUNCTION("QUERY('Volunteer Survey'!I192)"),"Gene-Disease Validity")</f>
        <v>Gene-Disease Validity</v>
      </c>
      <c r="AI193" s="175" t="str">
        <f ca="1">IFERROR(__xludf.DUMMYFUNCTION("QUERY('Volunteer Survey'!J192)"),"Variant Pathogenicity")</f>
        <v>Variant Pathogenicity</v>
      </c>
      <c r="AJ193" s="175" t="str">
        <f ca="1">IFERROR(__xludf.DUMMYFUNCTION("QUERY('Volunteer Survey'!K192)"),"")</f>
        <v/>
      </c>
      <c r="AK193" s="175" t="str">
        <f ca="1">IFERROR(__xludf.DUMMYFUNCTION("QUERY('Volunteer Survey'!L192)"),"")</f>
        <v/>
      </c>
      <c r="AL193" s="175" t="str">
        <f ca="1">IFERROR(__xludf.DUMMYFUNCTION("QUERY('Volunteer Survey'!M192)"),"")</f>
        <v/>
      </c>
      <c r="AM193" s="175" t="str">
        <f ca="1">IFERROR(__xludf.DUMMYFUNCTION("QUERY('Volunteer Survey'!N192)"),"member of AUSTRALIAN FUNCTIONAL GENOMICS CLINICAL REVIEW PANEL. Variant curation as part of my PhD and clinical research practice. ")</f>
        <v xml:space="preserve">member of AUSTRALIAN FUNCTIONAL GENOMICS CLINICAL REVIEW PANEL. Variant curation as part of my PhD and clinical research practice. </v>
      </c>
      <c r="AN193" s="175" t="str">
        <f ca="1">IFERROR(__xludf.DUMMYFUNCTION("QUERY('Volunteer Survey'!O192)"),"No")</f>
        <v>No</v>
      </c>
      <c r="AO193" s="175" t="str">
        <f ca="1">IFERROR(__xludf.DUMMYFUNCTION("QUERY('Volunteer Survey'!P192)"),"epilepsy / ID and autism")</f>
        <v>epilepsy / ID and autism</v>
      </c>
    </row>
    <row r="194" spans="1:41" ht="14">
      <c r="A194" s="44">
        <f ca="1">IFERROR(__xludf.DUMMYFUNCTION("QUERY('Volunteer Survey'!A201)"),43602.7024085648)</f>
        <v>43602.702408564801</v>
      </c>
      <c r="B194" s="42" t="s">
        <v>108</v>
      </c>
      <c r="C194" s="47"/>
      <c r="D194" s="50">
        <v>43627</v>
      </c>
      <c r="E194" s="42" t="s">
        <v>117</v>
      </c>
      <c r="F194" s="42" t="s">
        <v>117</v>
      </c>
      <c r="G194" s="42" t="s">
        <v>313</v>
      </c>
      <c r="H194" s="47"/>
      <c r="I194" s="45" t="s">
        <v>139</v>
      </c>
      <c r="J194" s="49"/>
      <c r="K194" s="49"/>
      <c r="L194" s="49" t="str">
        <f ca="1">IFERROR(__xludf.DUMMYFUNCTION("QUERY('Volunteer Survey'!B201)"),"Aleš Maver")</f>
        <v>Aleš Maver</v>
      </c>
      <c r="M194" s="49" t="str">
        <f ca="1">IFERROR(__xludf.DUMMYFUNCTION("QUERY('Volunteer Survey'!E201)"),"ales.maver@kclj.si")</f>
        <v>ales.maver@kclj.si</v>
      </c>
      <c r="N194" s="49" t="str">
        <f ca="1">IFERROR(__xludf.DUMMYFUNCTION("QUERY('Volunteer Survey'!F201)"),"Clinical laboratory geneticist")</f>
        <v>Clinical laboratory geneticist</v>
      </c>
      <c r="O194" s="42" t="str">
        <f ca="1">IFERROR(__xludf.DUMMYFUNCTION("QUERY('Volunteer Survey'!H201)"),"Comprehensive")</f>
        <v>Comprehensive</v>
      </c>
      <c r="P194" s="49" t="str">
        <f ca="1">IFERROR(__xludf.DUMMYFUNCTION("QUERY('Volunteer Survey'!I201)"),"Variant Pathogenicity")</f>
        <v>Variant Pathogenicity</v>
      </c>
      <c r="Q194" s="54" t="str">
        <f ca="1">IFERROR(__xludf.DUMMYFUNCTION("QUERY('Volunteer Survey'!J201)"),"Gene-Disease Validity")</f>
        <v>Gene-Disease Validity</v>
      </c>
      <c r="R194" s="49" t="str">
        <f ca="1">IFERROR(__xludf.DUMMYFUNCTION("QUERY('Volunteer Survey'!K201)"),"Clinical Actionability")</f>
        <v>Clinical Actionability</v>
      </c>
      <c r="S194" s="49" t="str">
        <f ca="1">IFERROR(__xludf.DUMMYFUNCTION("QUERY('Volunteer Survey'!L201)"),"Dosage Sensitivity")</f>
        <v>Dosage Sensitivity</v>
      </c>
      <c r="T194" s="49" t="str">
        <f ca="1">IFERROR(__xludf.DUMMYFUNCTION("QUERY('Volunteer Survey'!M201)"),"Somatic Cancer")</f>
        <v>Somatic Cancer</v>
      </c>
      <c r="U194" s="58" t="str">
        <f ca="1">IFERROR(__xludf.DUMMYFUNCTION("QUERY('Volunteer Survey'!N201)"),"Not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c r="V194" s="49" t="str">
        <f ca="1">IFERROR(__xludf.DUMMYFUNCTION("QUERY('Volunteer Survey'!O201)"),"Yes")</f>
        <v>Yes</v>
      </c>
      <c r="W194" s="60" t="str">
        <f ca="1">IFERROR(__xludf.DUMMYFUNCTION("QUERY('Volunteer Survey'!P201)"),"Variant Curation Expert Panels and Gene Curation Expert Panels")</f>
        <v>Variant Curation Expert Panels and Gene Curation Expert Panels</v>
      </c>
      <c r="X194" s="58" t="str">
        <f ca="1">IFERROR(__xludf.DUMMYFUNCTION("QUERY('Volunteer Survey'!R201)"),"Yes- I am willing to volunteer with any available ClinGen group")</f>
        <v>Yes- I am willing to volunteer with any available ClinGen group</v>
      </c>
      <c r="Y194" s="47"/>
      <c r="Z194" s="174">
        <f ca="1">IFERROR(__xludf.DUMMYFUNCTION("QUERY('Volunteer Survey'!A193)"),43593.2041097222)</f>
        <v>43593.204109722203</v>
      </c>
      <c r="AA194" s="175" t="str">
        <f ca="1">IFERROR(__xludf.DUMMYFUNCTION("QUERY('Volunteer Survey'!B193)"),"Vira Lamtieva")</f>
        <v>Vira Lamtieva</v>
      </c>
      <c r="AB194" s="175" t="str">
        <f ca="1">IFERROR(__xludf.DUMMYFUNCTION("QUERY('Volunteer Survey'!C193)"),"Clinic of Reproductive Medicine ""Nadiya""")</f>
        <v>Clinic of Reproductive Medicine "Nadiya"</v>
      </c>
      <c r="AC194" s="175" t="str">
        <f ca="1">IFERROR(__xludf.DUMMYFUNCTION("QUERY('Volunteer Survey'!D193)"),"Kyiv, Ukraine")</f>
        <v>Kyiv, Ukraine</v>
      </c>
      <c r="AD194" s="175" t="str">
        <f ca="1">IFERROR(__xludf.DUMMYFUNCTION("QUERY('Volunteer Survey'!E193)"),"lamteva.vera@gmail.com")</f>
        <v>lamteva.vera@gmail.com</v>
      </c>
      <c r="AE194" s="175" t="str">
        <f ca="1">IFERROR(__xludf.DUMMYFUNCTION("QUERY('Volunteer Survey'!F193)"),"Clinical laboratory geneticist")</f>
        <v>Clinical laboratory geneticist</v>
      </c>
      <c r="AF194" s="175" t="str">
        <f ca="1">IFERROR(__xludf.DUMMYFUNCTION("QUERY('Volunteer Survey'!G193)"),"The clinicalgenome.org website")</f>
        <v>The clinicalgenome.org website</v>
      </c>
      <c r="AG194" s="175" t="str">
        <f ca="1">IFERROR(__xludf.DUMMYFUNCTION("QUERY('Volunteer Survey'!H193)"),"Baseline")</f>
        <v>Baseline</v>
      </c>
      <c r="AH194" s="175" t="str">
        <f ca="1">IFERROR(__xludf.DUMMYFUNCTION("QUERY('Volunteer Survey'!I193)"),"Variant Pathogenicity")</f>
        <v>Variant Pathogenicity</v>
      </c>
      <c r="AI194" s="175" t="str">
        <f ca="1">IFERROR(__xludf.DUMMYFUNCTION("QUERY('Volunteer Survey'!J193)"),"Gene-Disease Validity")</f>
        <v>Gene-Disease Validity</v>
      </c>
      <c r="AJ194" s="175" t="str">
        <f ca="1">IFERROR(__xludf.DUMMYFUNCTION("QUERY('Volunteer Survey'!K193)"),"")</f>
        <v/>
      </c>
      <c r="AK194" s="175" t="str">
        <f ca="1">IFERROR(__xludf.DUMMYFUNCTION("QUERY('Volunteer Survey'!L193)"),"")</f>
        <v/>
      </c>
      <c r="AL194" s="175" t="str">
        <f ca="1">IFERROR(__xludf.DUMMYFUNCTION("QUERY('Volunteer Survey'!M193)"),"")</f>
        <v/>
      </c>
      <c r="AM194" s="175" t="str">
        <f ca="1">IFERROR(__xludf.DUMMYFUNCTION("QUERY('Volunteer Survey'!N193)"),"I don't have curation experience but I have been learning variant analysis and interpretation since 2016. Our lab has been offering WES interpretation for some time, and it is currently my working responsibility. Yet I have analysed up to 10 cases so far."&amp;" ")</f>
        <v xml:space="preserve">I don't have curation experience but I have been learning variant analysis and interpretation since 2016. Our lab has been offering WES interpretation for some time, and it is currently my working responsibility. Yet I have analysed up to 10 cases so far. </v>
      </c>
      <c r="AN194" s="175" t="str">
        <f ca="1">IFERROR(__xludf.DUMMYFUNCTION("QUERY('Volunteer Survey'!O193)"),"Possibly")</f>
        <v>Possibly</v>
      </c>
      <c r="AO194" s="175" t="str">
        <f ca="1">IFERROR(__xludf.DUMMYFUNCTION("QUERY('Volunteer Survey'!P193)"),"Brain malformations, Lysosomal storage diseases, Mitochondrial diseases, Intellectual Disability/Autism")</f>
        <v>Brain malformations, Lysosomal storage diseases, Mitochondrial diseases, Intellectual Disability/Autism</v>
      </c>
    </row>
    <row r="195" spans="1:41" ht="14">
      <c r="A195" s="44">
        <f ca="1">IFERROR(__xludf.DUMMYFUNCTION("QUERY('Volunteer Survey'!A202)"),43605.5031100578)</f>
        <v>43605.503110057798</v>
      </c>
      <c r="B195" s="42" t="s">
        <v>108</v>
      </c>
      <c r="C195" s="73">
        <v>43689</v>
      </c>
      <c r="D195" s="49"/>
      <c r="E195" s="42"/>
      <c r="F195" s="42" t="s">
        <v>130</v>
      </c>
      <c r="G195" s="42" t="s">
        <v>19</v>
      </c>
      <c r="H195" s="63"/>
      <c r="I195" s="63" t="s">
        <v>139</v>
      </c>
      <c r="J195" s="49"/>
      <c r="K195" s="49"/>
      <c r="L195" s="49" t="str">
        <f ca="1">IFERROR(__xludf.DUMMYFUNCTION("QUERY('Volunteer Survey'!B202)"),"Léon Tshilolo")</f>
        <v>Léon Tshilolo</v>
      </c>
      <c r="M195" s="49" t="str">
        <f ca="1">IFERROR(__xludf.DUMMYFUNCTION("QUERY('Volunteer Survey'!E202)"),"leon.tshilolo2012@gmail.com")</f>
        <v>leon.tshilolo2012@gmail.com</v>
      </c>
      <c r="N195" s="49" t="str">
        <f ca="1">IFERROR(__xludf.DUMMYFUNCTION("QUERY('Volunteer Survey'!F202)"),"hematologist, expert of SCD")</f>
        <v>hematologist, expert of SCD</v>
      </c>
      <c r="O195" s="42" t="str">
        <f ca="1">IFERROR(__xludf.DUMMYFUNCTION("QUERY('Volunteer Survey'!H202)"),"Comprehensive")</f>
        <v>Comprehensive</v>
      </c>
      <c r="P195" s="49" t="str">
        <f ca="1">IFERROR(__xludf.DUMMYFUNCTION("QUERY('Volunteer Survey'!I202)"),"Clinical Actionability")</f>
        <v>Clinical Actionability</v>
      </c>
      <c r="Q195" s="54" t="str">
        <f ca="1">IFERROR(__xludf.DUMMYFUNCTION("QUERY('Volunteer Survey'!J202)"),"Variant Pathogenicity")</f>
        <v>Variant Pathogenicity</v>
      </c>
      <c r="R195" s="49" t="str">
        <f ca="1">IFERROR(__xludf.DUMMYFUNCTION("QUERY('Volunteer Survey'!K202)"),"Gene-Disease Validity")</f>
        <v>Gene-Disease Validity</v>
      </c>
      <c r="S195" s="49" t="str">
        <f ca="1">IFERROR(__xludf.DUMMYFUNCTION("QUERY('Volunteer Survey'!L202)"),"Dosage Sensitivity")</f>
        <v>Dosage Sensitivity</v>
      </c>
      <c r="T195" s="49" t="str">
        <f ca="1">IFERROR(__xludf.DUMMYFUNCTION("QUERY('Volunteer Survey'!M202)"),"Somatic Cancer")</f>
        <v>Somatic Cancer</v>
      </c>
      <c r="U195" s="58" t="str">
        <f ca="1">IFERROR(__xludf.DUMMYFUNCTION("QUERY('Volunteer Survey'!N202)"),"")</f>
        <v/>
      </c>
      <c r="V195" s="49" t="str">
        <f ca="1">IFERROR(__xludf.DUMMYFUNCTION("QUERY('Volunteer Survey'!O202)"),"No")</f>
        <v>No</v>
      </c>
      <c r="W195" s="60" t="str">
        <f ca="1">IFERROR(__xludf.DUMMYFUNCTION("QUERY('Volunteer Survey'!P202)"),"hemoglobinopathies")</f>
        <v>hemoglobinopathies</v>
      </c>
      <c r="X195" s="58" t="str">
        <f ca="1">IFERROR(__xludf.DUMMYFUNCTION("QUERY('Volunteer Survey'!R202)"),"Maybe -- please contact me with other options, and I will decide based on what is available")</f>
        <v>Maybe -- please contact me with other options, and I will decide based on what is available</v>
      </c>
      <c r="Y195" s="47"/>
      <c r="Z195" s="174">
        <f ca="1">IFERROR(__xludf.DUMMYFUNCTION("QUERY('Volunteer Survey'!A194)"),43593.5664947222)</f>
        <v>43593.566494722203</v>
      </c>
      <c r="AA195" s="175" t="str">
        <f ca="1">IFERROR(__xludf.DUMMYFUNCTION("QUERY('Volunteer Survey'!B194)"),"Lisa Dyer")</f>
        <v>Lisa Dyer</v>
      </c>
      <c r="AB195" s="175" t="str">
        <f ca="1">IFERROR(__xludf.DUMMYFUNCTION("QUERY('Volunteer Survey'!C194)"),"NA")</f>
        <v>NA</v>
      </c>
      <c r="AC195" s="175" t="str">
        <f ca="1">IFERROR(__xludf.DUMMYFUNCTION("QUERY('Volunteer Survey'!D194)"),"")</f>
        <v/>
      </c>
      <c r="AD195" s="175" t="str">
        <f ca="1">IFERROR(__xludf.DUMMYFUNCTION("QUERY('Volunteer Survey'!E194)"),"Lisa.Dyer@cchmc.org")</f>
        <v>Lisa.Dyer@cchmc.org</v>
      </c>
      <c r="AE195" s="175" t="str">
        <f ca="1">IFERROR(__xludf.DUMMYFUNCTION("QUERY('Volunteer Survey'!F194)"),"NA")</f>
        <v>NA</v>
      </c>
      <c r="AF195" s="175" t="str">
        <f ca="1">IFERROR(__xludf.DUMMYFUNCTION("QUERY('Volunteer Survey'!G194)"),"NA")</f>
        <v>NA</v>
      </c>
      <c r="AG195" s="175" t="str">
        <f ca="1">IFERROR(__xludf.DUMMYFUNCTION("QUERY('Volunteer Survey'!H194)"),"Comprehensive")</f>
        <v>Comprehensive</v>
      </c>
      <c r="AH195" s="175" t="str">
        <f ca="1">IFERROR(__xludf.DUMMYFUNCTION("QUERY('Volunteer Survey'!I194)"),"Somatic Cancer")</f>
        <v>Somatic Cancer</v>
      </c>
      <c r="AI195" s="175" t="str">
        <f ca="1">IFERROR(__xludf.DUMMYFUNCTION("QUERY('Volunteer Survey'!J194)"),"")</f>
        <v/>
      </c>
      <c r="AJ195" s="175" t="str">
        <f ca="1">IFERROR(__xludf.DUMMYFUNCTION("QUERY('Volunteer Survey'!K194)"),"")</f>
        <v/>
      </c>
      <c r="AK195" s="175" t="str">
        <f ca="1">IFERROR(__xludf.DUMMYFUNCTION("QUERY('Volunteer Survey'!L194)"),"")</f>
        <v/>
      </c>
      <c r="AL195" s="175" t="str">
        <f ca="1">IFERROR(__xludf.DUMMYFUNCTION("QUERY('Volunteer Survey'!M194)"),"")</f>
        <v/>
      </c>
      <c r="AM195" s="175" t="str">
        <f ca="1">IFERROR(__xludf.DUMMYFUNCTION("QUERY('Volunteer Survey'!N194)"),"")</f>
        <v/>
      </c>
      <c r="AN195" s="175" t="str">
        <f ca="1">IFERROR(__xludf.DUMMYFUNCTION("QUERY('Volunteer Survey'!O194)"),"")</f>
        <v/>
      </c>
      <c r="AO195" s="175" t="str">
        <f ca="1">IFERROR(__xludf.DUMMYFUNCTION("QUERY('Volunteer Survey'!P194)"),"")</f>
        <v/>
      </c>
    </row>
    <row r="196" spans="1:41" ht="14">
      <c r="A196" s="44">
        <f ca="1">IFERROR(__xludf.DUMMYFUNCTION("QUERY('Volunteer Survey'!A203)"),43605.7436562384)</f>
        <v>43605.743656238403</v>
      </c>
      <c r="B196" s="42" t="s">
        <v>108</v>
      </c>
      <c r="C196" s="47"/>
      <c r="D196" s="50"/>
      <c r="E196" s="42"/>
      <c r="F196" s="42" t="s">
        <v>130</v>
      </c>
      <c r="G196" s="42" t="s">
        <v>202</v>
      </c>
      <c r="H196" s="47"/>
      <c r="I196" s="45" t="s">
        <v>139</v>
      </c>
      <c r="J196" s="49"/>
      <c r="K196" s="49"/>
      <c r="L196" s="49" t="str">
        <f ca="1">IFERROR(__xludf.DUMMYFUNCTION("QUERY('Volunteer Survey'!B203)"),"Danielle Mouhlas")</f>
        <v>Danielle Mouhlas</v>
      </c>
      <c r="M196" s="49" t="str">
        <f ca="1">IFERROR(__xludf.DUMMYFUNCTION("QUERY('Volunteer Survey'!E203)"),"danielle.mouhlas@nationwidechildrens.org")</f>
        <v>danielle.mouhlas@nationwidechildrens.org</v>
      </c>
      <c r="N196" s="49" t="str">
        <f ca="1">IFERROR(__xludf.DUMMYFUNCTION("QUERY('Volunteer Survey'!F203)"),"Genetic counselor")</f>
        <v>Genetic counselor</v>
      </c>
      <c r="O196" s="42" t="str">
        <f ca="1">IFERROR(__xludf.DUMMYFUNCTION("QUERY('Volunteer Survey'!H203)"),"Baseline")</f>
        <v>Baseline</v>
      </c>
      <c r="P196" s="49" t="str">
        <f ca="1">IFERROR(__xludf.DUMMYFUNCTION("QUERY('Volunteer Survey'!I203)"),"Variant Pathogenicity")</f>
        <v>Variant Pathogenicity</v>
      </c>
      <c r="Q196" s="54" t="str">
        <f ca="1">IFERROR(__xludf.DUMMYFUNCTION("QUERY('Volunteer Survey'!J203)"),"Gene-Disease Validity")</f>
        <v>Gene-Disease Validity</v>
      </c>
      <c r="R196" s="49" t="str">
        <f ca="1">IFERROR(__xludf.DUMMYFUNCTION("QUERY('Volunteer Survey'!K203)"),"Dosage Sensitivity")</f>
        <v>Dosage Sensitivity</v>
      </c>
      <c r="S196" s="49" t="str">
        <f ca="1">IFERROR(__xludf.DUMMYFUNCTION("QUERY('Volunteer Survey'!L203)"),"Clinical Actionability")</f>
        <v>Clinical Actionability</v>
      </c>
      <c r="T196" s="49" t="str">
        <f ca="1">IFERROR(__xludf.DUMMYFUNCTION("QUERY('Volunteer Survey'!M203)"),"Somatic Cancer")</f>
        <v>Somatic Cancer</v>
      </c>
      <c r="U196" s="58" t="str">
        <f ca="1">IFERROR(__xludf.DUMMYFUNCTION("QUERY('Volunteer Survey'!N203)"),"I have performed some variant interpretation for clinical report writing. ")</f>
        <v xml:space="preserve">I have performed some variant interpretation for clinical report writing. </v>
      </c>
      <c r="V196" s="49" t="str">
        <f ca="1">IFERROR(__xludf.DUMMYFUNCTION("QUERY('Volunteer Survey'!O203)"),"Yes")</f>
        <v>Yes</v>
      </c>
      <c r="W196" s="60" t="str">
        <f ca="1">IFERROR(__xludf.DUMMYFUNCTION("QUERY('Volunteer Survey'!P203)"),"")</f>
        <v/>
      </c>
      <c r="X196" s="58" t="str">
        <f ca="1">IFERROR(__xludf.DUMMYFUNCTION("QUERY('Volunteer Survey'!R203)"),"")</f>
        <v/>
      </c>
      <c r="Y196" s="45" t="s">
        <v>358</v>
      </c>
      <c r="Z196" s="174">
        <f ca="1">IFERROR(__xludf.DUMMYFUNCTION("QUERY('Volunteer Survey'!A195)"),43593.7361865393)</f>
        <v>43593.736186539303</v>
      </c>
      <c r="AA196" s="175" t="str">
        <f ca="1">IFERROR(__xludf.DUMMYFUNCTION("QUERY('Volunteer Survey'!B195)"),"Andrea Hallberg")</f>
        <v>Andrea Hallberg</v>
      </c>
      <c r="AB196" s="175" t="str">
        <f ca="1">IFERROR(__xludf.DUMMYFUNCTION("QUERY('Volunteer Survey'!C195)"),"University of Iowa")</f>
        <v>University of Iowa</v>
      </c>
      <c r="AC196" s="175" t="str">
        <f ca="1">IFERROR(__xludf.DUMMYFUNCTION("QUERY('Volunteer Survey'!D195)"),"1422 Aber Ave, Iowa City, IA")</f>
        <v>1422 Aber Ave, Iowa City, IA</v>
      </c>
      <c r="AD196" s="175" t="str">
        <f ca="1">IFERROR(__xludf.DUMMYFUNCTION("QUERY('Volunteer Survey'!E195)"),"hallberg.andrea@gmail.com")</f>
        <v>hallberg.andrea@gmail.com</v>
      </c>
      <c r="AE196" s="175" t="str">
        <f ca="1">IFERROR(__xludf.DUMMYFUNCTION("QUERY('Volunteer Survey'!F195)"),"Post Doc/Resident/Fellow (MD and/or PhD)")</f>
        <v>Post Doc/Resident/Fellow (MD and/or PhD)</v>
      </c>
      <c r="AF196" s="175" t="str">
        <f ca="1">IFERROR(__xludf.DUMMYFUNCTION("QUERY('Volunteer Survey'!G195)"),"The clinicalgenome.org website")</f>
        <v>The clinicalgenome.org website</v>
      </c>
      <c r="AG196" s="175" t="str">
        <f ca="1">IFERROR(__xludf.DUMMYFUNCTION("QUERY('Volunteer Survey'!H195)"),"Comprehensive")</f>
        <v>Comprehensive</v>
      </c>
      <c r="AH196" s="175" t="str">
        <f ca="1">IFERROR(__xludf.DUMMYFUNCTION("QUERY('Volunteer Survey'!I195)"),"Gene-Disease Validity")</f>
        <v>Gene-Disease Validity</v>
      </c>
      <c r="AI196" s="175" t="str">
        <f ca="1">IFERROR(__xludf.DUMMYFUNCTION("QUERY('Volunteer Survey'!J195)"),"Variant Pathogenicity")</f>
        <v>Variant Pathogenicity</v>
      </c>
      <c r="AJ196" s="175" t="str">
        <f ca="1">IFERROR(__xludf.DUMMYFUNCTION("QUERY('Volunteer Survey'!K195)"),"Dosage Sensitivity")</f>
        <v>Dosage Sensitivity</v>
      </c>
      <c r="AK196" s="175" t="str">
        <f ca="1">IFERROR(__xludf.DUMMYFUNCTION("QUERY('Volunteer Survey'!L195)"),"Clinical Actionability")</f>
        <v>Clinical Actionability</v>
      </c>
      <c r="AL196" s="175" t="str">
        <f ca="1">IFERROR(__xludf.DUMMYFUNCTION("QUERY('Volunteer Survey'!M195)"),"Somatic Cancer")</f>
        <v>Somatic Cancer</v>
      </c>
      <c r="AM196" s="175" t="str">
        <f ca="1">IFERROR(__xludf.DUMMYFUNCTION("QUERY('Volunteer Survey'!N195)"),"No ")</f>
        <v xml:space="preserve">No </v>
      </c>
      <c r="AN196" s="175" t="str">
        <f ca="1">IFERROR(__xludf.DUMMYFUNCTION("QUERY('Volunteer Survey'!O195)"),"Possibly")</f>
        <v>Possibly</v>
      </c>
      <c r="AO196" s="175" t="str">
        <f ca="1">IFERROR(__xludf.DUMMYFUNCTION("QUERY('Volunteer Survey'!P195)"),"")</f>
        <v/>
      </c>
    </row>
    <row r="197" spans="1:41" ht="17.25" customHeight="1">
      <c r="A197" s="44">
        <f ca="1">IFERROR(__xludf.DUMMYFUNCTION("QUERY('Volunteer Survey'!A204)"),43606.4003992824)</f>
        <v>43606.4003992824</v>
      </c>
      <c r="B197" s="42" t="s">
        <v>108</v>
      </c>
      <c r="C197" s="73">
        <v>43819</v>
      </c>
      <c r="D197" s="50"/>
      <c r="E197" s="42"/>
      <c r="F197" s="42" t="s">
        <v>130</v>
      </c>
      <c r="G197" s="42" t="s">
        <v>122</v>
      </c>
      <c r="H197" s="45"/>
      <c r="I197" s="45" t="s">
        <v>356</v>
      </c>
      <c r="J197" s="49"/>
      <c r="K197" s="49"/>
      <c r="L197" s="49" t="str">
        <f ca="1">IFERROR(__xludf.DUMMYFUNCTION("QUERY('Volunteer Survey'!B204)"),"Emma Reble")</f>
        <v>Emma Reble</v>
      </c>
      <c r="M197" s="49" t="str">
        <f ca="1">IFERROR(__xludf.DUMMYFUNCTION("QUERY('Volunteer Survey'!E204)"),"reblee@smh.ca")</f>
        <v>reblee@smh.ca</v>
      </c>
      <c r="N197" s="49" t="str">
        <f ca="1">IFERROR(__xludf.DUMMYFUNCTION("QUERY('Volunteer Survey'!F204)"),"Variant Analyst/Scientist - Academic")</f>
        <v>Variant Analyst/Scientist - Academic</v>
      </c>
      <c r="O197" s="42" t="str">
        <f ca="1">IFERROR(__xludf.DUMMYFUNCTION("QUERY('Volunteer Survey'!H204)"),"Comprehensive")</f>
        <v>Comprehensive</v>
      </c>
      <c r="P197" s="49" t="str">
        <f ca="1">IFERROR(__xludf.DUMMYFUNCTION("QUERY('Volunteer Survey'!I204)"),"Gene-Disease Validity")</f>
        <v>Gene-Disease Validity</v>
      </c>
      <c r="Q197" s="54" t="str">
        <f ca="1">IFERROR(__xludf.DUMMYFUNCTION("QUERY('Volunteer Survey'!J204)"),"")</f>
        <v/>
      </c>
      <c r="R197" s="49" t="str">
        <f ca="1">IFERROR(__xludf.DUMMYFUNCTION("QUERY('Volunteer Survey'!K204)"),"")</f>
        <v/>
      </c>
      <c r="S197" s="49" t="str">
        <f ca="1">IFERROR(__xludf.DUMMYFUNCTION("QUERY('Volunteer Survey'!L204)"),"")</f>
        <v/>
      </c>
      <c r="T197" s="49" t="str">
        <f ca="1">IFERROR(__xludf.DUMMYFUNCTION("QUERY('Volunteer Survey'!M204)"),"")</f>
        <v/>
      </c>
      <c r="U197" s="58" t="str">
        <f ca="1">IFERROR(__xludf.DUMMYFUNCTION("QUERY('Volunteer Survey'!N204)"),"This is my second time filing out this survey. I am doing the variant curation training and have re-filled out this survey to participate in the gene curation training in the future. ")</f>
        <v xml:space="preserve">This is my second time filing out this survey. I am doing the variant curation training and have re-filled out this survey to participate in the gene curation training in the future. </v>
      </c>
      <c r="V197" s="49" t="str">
        <f ca="1">IFERROR(__xludf.DUMMYFUNCTION("QUERY('Volunteer Survey'!O204)"),"Yes")</f>
        <v>Yes</v>
      </c>
      <c r="W197" s="60" t="str">
        <f ca="1">IFERROR(__xludf.DUMMYFUNCTION("QUERY('Volunteer Survey'!P204)"),"ID/Autism")</f>
        <v>ID/Autism</v>
      </c>
      <c r="X197" s="58" t="str">
        <f ca="1">IFERROR(__xludf.DUMMYFUNCTION("QUERY('Volunteer Survey'!R204)"),"Maybe -- please contact me with other options, and I will decide based on what is available")</f>
        <v>Maybe -- please contact me with other options, and I will decide based on what is available</v>
      </c>
      <c r="Y197" s="45" t="s">
        <v>359</v>
      </c>
      <c r="Z197" s="174">
        <f ca="1">IFERROR(__xludf.DUMMYFUNCTION("QUERY('Volunteer Survey'!A196)"),43595.3744584606)</f>
        <v>43595.374458460603</v>
      </c>
      <c r="AA197" s="175" t="str">
        <f ca="1">IFERROR(__xludf.DUMMYFUNCTION("QUERY('Volunteer Survey'!B196)"),"Bianca Tesi")</f>
        <v>Bianca Tesi</v>
      </c>
      <c r="AB197" s="175" t="str">
        <f ca="1">IFERROR(__xludf.DUMMYFUNCTION("QUERY('Volunteer Survey'!C196)"),"Karolinska University Hospital")</f>
        <v>Karolinska University Hospital</v>
      </c>
      <c r="AC197" s="175" t="str">
        <f ca="1">IFERROR(__xludf.DUMMYFUNCTION("QUERY('Volunteer Survey'!D196)"),"Department of Clinical Genetics L3:04 Karolinska University Hospital 17176 Stockholm")</f>
        <v>Department of Clinical Genetics L3:04 Karolinska University Hospital 17176 Stockholm</v>
      </c>
      <c r="AD197" s="175" t="str">
        <f ca="1">IFERROR(__xludf.DUMMYFUNCTION("QUERY('Volunteer Survey'!E196)"),"bianca.tesi@sll.se")</f>
        <v>bianca.tesi@sll.se</v>
      </c>
      <c r="AE197" s="175" t="str">
        <f ca="1">IFERROR(__xludf.DUMMYFUNCTION("QUERY('Volunteer Survey'!F196)"),"Post Doc/Resident/Fellow (MD and/or PhD)")</f>
        <v>Post Doc/Resident/Fellow (MD and/or PhD)</v>
      </c>
      <c r="AF197" s="175" t="str">
        <f ca="1">IFERROR(__xludf.DUMMYFUNCTION("QUERY('Volunteer Survey'!G196)"),"ClinGen conference advertisements (i.e. booth, workshop, presentation), The clinicalgenome.org website")</f>
        <v>ClinGen conference advertisements (i.e. booth, workshop, presentation), The clinicalgenome.org website</v>
      </c>
      <c r="AG197" s="175" t="str">
        <f ca="1">IFERROR(__xludf.DUMMYFUNCTION("QUERY('Volunteer Survey'!H196)"),"Baseline")</f>
        <v>Baseline</v>
      </c>
      <c r="AH197" s="175" t="str">
        <f ca="1">IFERROR(__xludf.DUMMYFUNCTION("QUERY('Volunteer Survey'!I196)"),"Clinical Actionability")</f>
        <v>Clinical Actionability</v>
      </c>
      <c r="AI197" s="175" t="str">
        <f ca="1">IFERROR(__xludf.DUMMYFUNCTION("QUERY('Volunteer Survey'!J196)"),"Gene-Disease Validity")</f>
        <v>Gene-Disease Validity</v>
      </c>
      <c r="AJ197" s="175" t="str">
        <f ca="1">IFERROR(__xludf.DUMMYFUNCTION("QUERY('Volunteer Survey'!K196)"),"Variant Pathogenicity")</f>
        <v>Variant Pathogenicity</v>
      </c>
      <c r="AK197" s="175" t="str">
        <f ca="1">IFERROR(__xludf.DUMMYFUNCTION("QUERY('Volunteer Survey'!L196)"),"Somatic Cancer")</f>
        <v>Somatic Cancer</v>
      </c>
      <c r="AL197" s="175" t="str">
        <f ca="1">IFERROR(__xludf.DUMMYFUNCTION("QUERY('Volunteer Survey'!M196)"),"Dosage Sensitivity")</f>
        <v>Dosage Sensitivity</v>
      </c>
      <c r="AM197" s="175" t="str">
        <f ca="1">IFERROR(__xludf.DUMMYFUNCTION("QUERY('Volunteer Survey'!N196)"),"Experienced with reading literature, evaluating results in the clinical setting.")</f>
        <v>Experienced with reading literature, evaluating results in the clinical setting.</v>
      </c>
      <c r="AN197" s="175" t="str">
        <f ca="1">IFERROR(__xludf.DUMMYFUNCTION("QUERY('Volunteer Survey'!O196)"),"Possibly")</f>
        <v>Possibly</v>
      </c>
      <c r="AO197" s="175" t="str">
        <f ca="1">IFERROR(__xludf.DUMMYFUNCTION("QUERY('Volunteer Survey'!P196)"),"myeloid neoplasm, hereditary cancer")</f>
        <v>myeloid neoplasm, hereditary cancer</v>
      </c>
    </row>
    <row r="198" spans="1:41" ht="14">
      <c r="A198" s="44">
        <f ca="1">IFERROR(__xludf.DUMMYFUNCTION("QUERY('Volunteer Survey'!A205)"),43607.5487386342)</f>
        <v>43607.548738634199</v>
      </c>
      <c r="B198" s="42" t="s">
        <v>108</v>
      </c>
      <c r="C198" s="47"/>
      <c r="D198" s="50">
        <v>43627</v>
      </c>
      <c r="E198" s="42" t="s">
        <v>117</v>
      </c>
      <c r="F198" s="42" t="s">
        <v>117</v>
      </c>
      <c r="G198" s="42" t="s">
        <v>313</v>
      </c>
      <c r="H198" s="47"/>
      <c r="I198" s="45" t="s">
        <v>139</v>
      </c>
      <c r="J198" s="49"/>
      <c r="K198" s="49"/>
      <c r="L198" s="49" t="str">
        <f ca="1">IFERROR(__xludf.DUMMYFUNCTION("QUERY('Volunteer Survey'!B205)"),"Robert Butler")</f>
        <v>Robert Butler</v>
      </c>
      <c r="M198" s="49" t="str">
        <f ca="1">IFERROR(__xludf.DUMMYFUNCTION("QUERY('Volunteer Survey'!E205)"),"rbutler@northshore.org")</f>
        <v>rbutler@northshore.org</v>
      </c>
      <c r="N198" s="49" t="str">
        <f ca="1">IFERROR(__xludf.DUMMYFUNCTION("QUERY('Volunteer Survey'!F205)"),"Post Doc/Resident/Fellow (MD and/or PhD)")</f>
        <v>Post Doc/Resident/Fellow (MD and/or PhD)</v>
      </c>
      <c r="O198" s="42" t="str">
        <f ca="1">IFERROR(__xludf.DUMMYFUNCTION("QUERY('Volunteer Survey'!H205)"),"Comprehensive")</f>
        <v>Comprehensive</v>
      </c>
      <c r="P198" s="49" t="str">
        <f ca="1">IFERROR(__xludf.DUMMYFUNCTION("QUERY('Volunteer Survey'!I205)"),"Variant Pathogenicity")</f>
        <v>Variant Pathogenicity</v>
      </c>
      <c r="Q198" s="54" t="str">
        <f ca="1">IFERROR(__xludf.DUMMYFUNCTION("QUERY('Volunteer Survey'!J205)"),"Gene-Disease Validity")</f>
        <v>Gene-Disease Validity</v>
      </c>
      <c r="R198" s="49" t="str">
        <f ca="1">IFERROR(__xludf.DUMMYFUNCTION("QUERY('Volunteer Survey'!K205)"),"")</f>
        <v/>
      </c>
      <c r="S198" s="49" t="str">
        <f ca="1">IFERROR(__xludf.DUMMYFUNCTION("QUERY('Volunteer Survey'!L205)"),"")</f>
        <v/>
      </c>
      <c r="T198" s="49" t="str">
        <f ca="1">IFERROR(__xludf.DUMMYFUNCTION("QUERY('Volunteer Survey'!M205)"),"")</f>
        <v/>
      </c>
      <c r="U198" s="58" t="str">
        <f ca="1">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V198" s="49" t="str">
        <f ca="1">IFERROR(__xludf.DUMMYFUNCTION("QUERY('Volunteer Survey'!O205)"),"Possibly")</f>
        <v>Possibly</v>
      </c>
      <c r="W198" s="60" t="str">
        <f ca="1">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c r="X198" s="58" t="str">
        <f ca="1">IFERROR(__xludf.DUMMYFUNCTION("QUERY('Volunteer Survey'!R205)"),"Maybe -- please contact me with other options, and I will decide based on what is available")</f>
        <v>Maybe -- please contact me with other options, and I will decide based on what is available</v>
      </c>
      <c r="Y198" s="47"/>
      <c r="Z198" s="174">
        <f ca="1">IFERROR(__xludf.DUMMYFUNCTION("QUERY('Volunteer Survey'!A197)"),43596.2404648842)</f>
        <v>43596.240464884198</v>
      </c>
      <c r="AA198" s="175" t="str">
        <f ca="1">IFERROR(__xludf.DUMMYFUNCTION("QUERY('Volunteer Survey'!B197)"),"Lisa Chen")</f>
        <v>Lisa Chen</v>
      </c>
      <c r="AB198" s="175" t="str">
        <f ca="1">IFERROR(__xludf.DUMMYFUNCTION("QUERY('Volunteer Survey'!C197)"),"BGI")</f>
        <v>BGI</v>
      </c>
      <c r="AC198" s="175" t="str">
        <f ca="1">IFERROR(__xludf.DUMMYFUNCTION("QUERY('Volunteer Survey'!D197)"),"")</f>
        <v/>
      </c>
      <c r="AD198" s="175" t="str">
        <f ca="1">IFERROR(__xludf.DUMMYFUNCTION("QUERY('Volunteer Survey'!E197)"),"lisa498484901@gmail.com")</f>
        <v>lisa498484901@gmail.com</v>
      </c>
      <c r="AE198" s="175" t="str">
        <f ca="1">IFERROR(__xludf.DUMMYFUNCTION("QUERY('Volunteer Survey'!F197)"),"Graduate Student")</f>
        <v>Graduate Student</v>
      </c>
      <c r="AF198" s="175" t="str">
        <f ca="1">IFERROR(__xludf.DUMMYFUNCTION("QUERY('Volunteer Survey'!G197)"),"The clinicalgenome.org website")</f>
        <v>The clinicalgenome.org website</v>
      </c>
      <c r="AG198" s="175" t="str">
        <f ca="1">IFERROR(__xludf.DUMMYFUNCTION("QUERY('Volunteer Survey'!H197)"),"Comprehensive")</f>
        <v>Comprehensive</v>
      </c>
      <c r="AH198" s="175" t="str">
        <f ca="1">IFERROR(__xludf.DUMMYFUNCTION("QUERY('Volunteer Survey'!I197)"),"Variant Pathogenicity")</f>
        <v>Variant Pathogenicity</v>
      </c>
      <c r="AI198" s="175" t="str">
        <f ca="1">IFERROR(__xludf.DUMMYFUNCTION("QUERY('Volunteer Survey'!J197)"),"Gene-Disease Validity")</f>
        <v>Gene-Disease Validity</v>
      </c>
      <c r="AJ198" s="175" t="str">
        <f ca="1">IFERROR(__xludf.DUMMYFUNCTION("QUERY('Volunteer Survey'!K197)"),"Clinical Actionability")</f>
        <v>Clinical Actionability</v>
      </c>
      <c r="AK198" s="175" t="str">
        <f ca="1">IFERROR(__xludf.DUMMYFUNCTION("QUERY('Volunteer Survey'!L197)"),"Dosage Sensitivity")</f>
        <v>Dosage Sensitivity</v>
      </c>
      <c r="AL198" s="175" t="str">
        <f ca="1">IFERROR(__xludf.DUMMYFUNCTION("QUERY('Volunteer Survey'!M197)"),"Somatic Cancer")</f>
        <v>Somatic Cancer</v>
      </c>
      <c r="AM198" s="175" t="str">
        <f ca="1">IFERROR(__xludf.DUMMYFUNCTION("QUERY('Volunteer Survey'!N197)"),"I have been doing variant classification for 4 years.")</f>
        <v>I have been doing variant classification for 4 years.</v>
      </c>
      <c r="AN198" s="175" t="str">
        <f ca="1">IFERROR(__xludf.DUMMYFUNCTION("QUERY('Volunteer Survey'!O197)"),"Possibly")</f>
        <v>Possibly</v>
      </c>
      <c r="AO198" s="175" t="str">
        <f ca="1">IFERROR(__xludf.DUMMYFUNCTION("QUERY('Volunteer Survey'!P197)"),"Congenital Myopathies")</f>
        <v>Congenital Myopathies</v>
      </c>
    </row>
    <row r="199" spans="1:41" ht="14">
      <c r="A199" s="44">
        <f ca="1">IFERROR(__xludf.DUMMYFUNCTION("QUERY('Volunteer Survey'!A206)"),43609.9557532407)</f>
        <v>43609.955753240698</v>
      </c>
      <c r="B199" s="42" t="s">
        <v>108</v>
      </c>
      <c r="C199" s="47"/>
      <c r="D199" s="50">
        <v>43626</v>
      </c>
      <c r="E199" s="42" t="s">
        <v>117</v>
      </c>
      <c r="F199" s="42" t="s">
        <v>117</v>
      </c>
      <c r="G199" s="42" t="s">
        <v>251</v>
      </c>
      <c r="H199" s="47"/>
      <c r="I199" s="45" t="s">
        <v>356</v>
      </c>
      <c r="J199" s="49"/>
      <c r="K199" s="49"/>
      <c r="L199" s="49" t="str">
        <f ca="1">IFERROR(__xludf.DUMMYFUNCTION("QUERY('Volunteer Survey'!B206)"),"Ljubica Caldovic")</f>
        <v>Ljubica Caldovic</v>
      </c>
      <c r="M199" s="49" t="str">
        <f ca="1">IFERROR(__xludf.DUMMYFUNCTION("QUERY('Volunteer Survey'!E206)"),"lcaldovic@childrensnational.org")</f>
        <v>lcaldovic@childrensnational.org</v>
      </c>
      <c r="N199" s="49" t="str">
        <f ca="1">IFERROR(__xludf.DUMMYFUNCTION("QUERY('Volunteer Survey'!F206)"),"Scientific Researcher")</f>
        <v>Scientific Researcher</v>
      </c>
      <c r="O199" s="42" t="str">
        <f ca="1">IFERROR(__xludf.DUMMYFUNCTION("QUERY('Volunteer Survey'!H206)"),"Comprehensive")</f>
        <v>Comprehensive</v>
      </c>
      <c r="P199" s="49" t="str">
        <f ca="1">IFERROR(__xludf.DUMMYFUNCTION("QUERY('Volunteer Survey'!I206)"),"Variant Pathogenicity")</f>
        <v>Variant Pathogenicity</v>
      </c>
      <c r="Q199" s="54" t="str">
        <f ca="1">IFERROR(__xludf.DUMMYFUNCTION("QUERY('Volunteer Survey'!J206)"),"Gene-Disease Validity")</f>
        <v>Gene-Disease Validity</v>
      </c>
      <c r="R199" s="49" t="str">
        <f ca="1">IFERROR(__xludf.DUMMYFUNCTION("QUERY('Volunteer Survey'!K206)"),"")</f>
        <v/>
      </c>
      <c r="S199" s="49" t="str">
        <f ca="1">IFERROR(__xludf.DUMMYFUNCTION("QUERY('Volunteer Survey'!L206)"),"")</f>
        <v/>
      </c>
      <c r="T199" s="49" t="str">
        <f ca="1">IFERROR(__xludf.DUMMYFUNCTION("QUERY('Volunteer Survey'!M206)"),"")</f>
        <v/>
      </c>
      <c r="U199" s="58" t="str">
        <f ca="1">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V199" s="49" t="str">
        <f ca="1">IFERROR(__xludf.DUMMYFUNCTION("QUERY('Volunteer Survey'!O206)"),"Yes")</f>
        <v>Yes</v>
      </c>
      <c r="W199" s="60" t="str">
        <f ca="1">IFERROR(__xludf.DUMMYFUNCTION("QUERY('Volunteer Survey'!P206)"),"I am a member of the aminoacidopathy expert panel")</f>
        <v>I am a member of the aminoacidopathy expert panel</v>
      </c>
      <c r="X199" s="58" t="str">
        <f ca="1">IFERROR(__xludf.DUMMYFUNCTION("QUERY('Volunteer Survey'!R206)"),"No - I am only interested in the group(s) I previously indicated")</f>
        <v>No - I am only interested in the group(s) I previously indicated</v>
      </c>
      <c r="Y199" s="45" t="s">
        <v>360</v>
      </c>
      <c r="Z199" s="174">
        <f ca="1">IFERROR(__xludf.DUMMYFUNCTION("QUERY('Volunteer Survey'!A198)"),43390.5650462962)</f>
        <v>43390.5650462962</v>
      </c>
      <c r="AA199" s="175" t="str">
        <f ca="1">IFERROR(__xludf.DUMMYFUNCTION("QUERY('Volunteer Survey'!B198)"),"Ingrid Paine")</f>
        <v>Ingrid Paine</v>
      </c>
      <c r="AB199" s="175" t="str">
        <f ca="1">IFERROR(__xludf.DUMMYFUNCTION("QUERY('Volunteer Survey'!C198)"),"Baylor College of Medicine")</f>
        <v>Baylor College of Medicine</v>
      </c>
      <c r="AC199" s="175" t="str">
        <f ca="1">IFERROR(__xludf.DUMMYFUNCTION("QUERY('Volunteer Survey'!D198)"),"1 Baylor plaza, Houston, Tx 77030 USA")</f>
        <v>1 Baylor plaza, Houston, Tx 77030 USA</v>
      </c>
      <c r="AD199" s="175" t="str">
        <f ca="1">IFERROR(__xludf.DUMMYFUNCTION("QUERY('Volunteer Survey'!E198)"),"runquist@alumni.bcm.edu")</f>
        <v>runquist@alumni.bcm.edu</v>
      </c>
      <c r="AE199" s="175" t="str">
        <f ca="1">IFERROR(__xludf.DUMMYFUNCTION("QUERY('Volunteer Survey'!F198)"),"Post Doc/Resident/Fellow (MD and/or PhD)")</f>
        <v>Post Doc/Resident/Fellow (MD and/or PhD)</v>
      </c>
      <c r="AF199" s="175" t="str">
        <f ca="1">IFERROR(__xludf.DUMMYFUNCTION("QUERY('Volunteer Survey'!G198)"),"I heard about the working groups at a lecture by Heidi Rehm at the Jackson Lab Short Course")</f>
        <v>I heard about the working groups at a lecture by Heidi Rehm at the Jackson Lab Short Course</v>
      </c>
      <c r="AG199" s="175" t="str">
        <f ca="1">IFERROR(__xludf.DUMMYFUNCTION("QUERY('Volunteer Survey'!H198)"),"Comprehensive")</f>
        <v>Comprehensive</v>
      </c>
      <c r="AH199" s="175" t="str">
        <f ca="1">IFERROR(__xludf.DUMMYFUNCTION("QUERY('Volunteer Survey'!I198)"),"Gene-Disease Validity")</f>
        <v>Gene-Disease Validity</v>
      </c>
      <c r="AI199" s="175" t="str">
        <f ca="1">IFERROR(__xludf.DUMMYFUNCTION("QUERY('Volunteer Survey'!J198)"),"Variant Pathogenicity")</f>
        <v>Variant Pathogenicity</v>
      </c>
      <c r="AJ199" s="175" t="str">
        <f ca="1">IFERROR(__xludf.DUMMYFUNCTION("QUERY('Volunteer Survey'!K198)"),"")</f>
        <v/>
      </c>
      <c r="AK199" s="175" t="str">
        <f ca="1">IFERROR(__xludf.DUMMYFUNCTION("QUERY('Volunteer Survey'!L198)"),"")</f>
        <v/>
      </c>
      <c r="AL199" s="175" t="str">
        <f ca="1">IFERROR(__xludf.DUMMYFUNCTION("QUERY('Volunteer Survey'!M198)"),"")</f>
        <v/>
      </c>
      <c r="AM199" s="175" t="str">
        <f ca="1">IFERROR(__xludf.DUMMYFUNCTION("QUERY('Volunteer Survey'!N198)"),"No")</f>
        <v>No</v>
      </c>
      <c r="AN199" s="175" t="str">
        <f ca="1">IFERROR(__xludf.DUMMYFUNCTION("QUERY('Volunteer Survey'!O198)"),"Possibly")</f>
        <v>Possibly</v>
      </c>
      <c r="AO199" s="175" t="str">
        <f ca="1">IFERROR(__xludf.DUMMYFUNCTION("QUERY('Volunteer Survey'!P198)"),"Epilepsy genes and neurodevelopmental")</f>
        <v>Epilepsy genes and neurodevelopmental</v>
      </c>
    </row>
    <row r="200" spans="1:41" ht="14">
      <c r="A200" s="44">
        <f ca="1">IFERROR(__xludf.DUMMYFUNCTION("QUERY('Volunteer Survey'!A207)"),43610.740048368)</f>
        <v>43610.740048368003</v>
      </c>
      <c r="B200" s="42" t="s">
        <v>160</v>
      </c>
      <c r="C200" s="47"/>
      <c r="D200" s="50">
        <v>43627</v>
      </c>
      <c r="E200" s="42" t="s">
        <v>117</v>
      </c>
      <c r="F200" s="42" t="s">
        <v>117</v>
      </c>
      <c r="G200" s="42" t="s">
        <v>251</v>
      </c>
      <c r="H200" s="45" t="s">
        <v>303</v>
      </c>
      <c r="I200" s="45" t="s">
        <v>139</v>
      </c>
      <c r="J200" s="50">
        <v>43712</v>
      </c>
      <c r="K200" s="50"/>
      <c r="L200" s="49" t="str">
        <f ca="1">IFERROR(__xludf.DUMMYFUNCTION("QUERY('Volunteer Survey'!B207)"),"Joy Goffena")</f>
        <v>Joy Goffena</v>
      </c>
      <c r="M200" s="49" t="str">
        <f ca="1">IFERROR(__xludf.DUMMYFUNCTION("QUERY('Volunteer Survey'!E207)"),"joy.goffena@gmail.com")</f>
        <v>joy.goffena@gmail.com</v>
      </c>
      <c r="N200" s="49" t="str">
        <f ca="1">IFERROR(__xludf.DUMMYFUNCTION("QUERY('Volunteer Survey'!F207)"),"Scientific Researcher")</f>
        <v>Scientific Researcher</v>
      </c>
      <c r="O200" s="42" t="str">
        <f ca="1">IFERROR(__xludf.DUMMYFUNCTION("QUERY('Volunteer Survey'!H207)"),"Comprehensive")</f>
        <v>Comprehensive</v>
      </c>
      <c r="P200" s="49" t="str">
        <f ca="1">IFERROR(__xludf.DUMMYFUNCTION("QUERY('Volunteer Survey'!I207)"),"Variant Pathogenicity")</f>
        <v>Variant Pathogenicity</v>
      </c>
      <c r="Q200" s="54" t="str">
        <f ca="1">IFERROR(__xludf.DUMMYFUNCTION("QUERY('Volunteer Survey'!J207)"),"Gene-Disease Validity")</f>
        <v>Gene-Disease Validity</v>
      </c>
      <c r="R200" s="49" t="str">
        <f ca="1">IFERROR(__xludf.DUMMYFUNCTION("QUERY('Volunteer Survey'!K207)"),"Somatic Cancer")</f>
        <v>Somatic Cancer</v>
      </c>
      <c r="S200" s="49" t="str">
        <f ca="1">IFERROR(__xludf.DUMMYFUNCTION("QUERY('Volunteer Survey'!L207)"),"Clinical Actionability")</f>
        <v>Clinical Actionability</v>
      </c>
      <c r="T200" s="49" t="str">
        <f ca="1">IFERROR(__xludf.DUMMYFUNCTION("QUERY('Volunteer Survey'!M207)"),"Dosage Sensitivity")</f>
        <v>Dosage Sensitivity</v>
      </c>
      <c r="U200" s="58" t="str">
        <f ca="1">IFERROR(__xludf.DUMMYFUNCTION("QUERY('Volunteer Survey'!N207)"),"")</f>
        <v/>
      </c>
      <c r="V200" s="49" t="str">
        <f ca="1">IFERROR(__xludf.DUMMYFUNCTION("QUERY('Volunteer Survey'!O207)"),"Yes")</f>
        <v>Yes</v>
      </c>
      <c r="W200" s="60" t="str">
        <f ca="1">IFERROR(__xludf.DUMMYFUNCTION("QUERY('Volunteer Survey'!P207)"),"")</f>
        <v/>
      </c>
      <c r="X200" s="58" t="str">
        <f ca="1">IFERROR(__xludf.DUMMYFUNCTION("QUERY('Volunteer Survey'!R207)"),"Yes- I am willing to volunteer with any available ClinGen group")</f>
        <v>Yes- I am willing to volunteer with any available ClinGen group</v>
      </c>
      <c r="Y200" s="47"/>
      <c r="Z200" s="174">
        <f ca="1">IFERROR(__xludf.DUMMYFUNCTION("QUERY('Volunteer Survey'!A199)"),43601.3254852777)</f>
        <v>43601.325485277703</v>
      </c>
      <c r="AA200" s="175" t="str">
        <f ca="1">IFERROR(__xludf.DUMMYFUNCTION("QUERY('Volunteer Survey'!B199)"),"Michelle Paczosa")</f>
        <v>Michelle Paczosa</v>
      </c>
      <c r="AB200" s="175" t="str">
        <f ca="1">IFERROR(__xludf.DUMMYFUNCTION("QUERY('Volunteer Survey'!C199)"),"Quest Diagnostics")</f>
        <v>Quest Diagnostics</v>
      </c>
      <c r="AC200" s="175" t="str">
        <f ca="1">IFERROR(__xludf.DUMMYFUNCTION("QUERY('Volunteer Survey'!D199)"),"")</f>
        <v/>
      </c>
      <c r="AD200" s="175" t="str">
        <f ca="1">IFERROR(__xludf.DUMMYFUNCTION("QUERY('Volunteer Survey'!E199)"),"Michelle.K.Paczosa@questdiagnostics.com")</f>
        <v>Michelle.K.Paczosa@questdiagnostics.com</v>
      </c>
      <c r="AE200" s="175" t="str">
        <f ca="1">IFERROR(__xludf.DUMMYFUNCTION("QUERY('Volunteer Survey'!F199)"),"Variant Analyst/Scientist - Industry")</f>
        <v>Variant Analyst/Scientist - Industry</v>
      </c>
      <c r="AF200" s="175" t="str">
        <f ca="1">IFERROR(__xludf.DUMMYFUNCTION("QUERY('Volunteer Survey'!G199)"),"ClinGen conference advertisements (i.e. booth, workshop, presentation)")</f>
        <v>ClinGen conference advertisements (i.e. booth, workshop, presentation)</v>
      </c>
      <c r="AG200" s="175" t="str">
        <f ca="1">IFERROR(__xludf.DUMMYFUNCTION("QUERY('Volunteer Survey'!H199)"),"Comprehensive")</f>
        <v>Comprehensive</v>
      </c>
      <c r="AH200" s="175" t="str">
        <f ca="1">IFERROR(__xludf.DUMMYFUNCTION("QUERY('Volunteer Survey'!I199)"),"Dosage Sensitivity")</f>
        <v>Dosage Sensitivity</v>
      </c>
      <c r="AI200" s="175" t="str">
        <f ca="1">IFERROR(__xludf.DUMMYFUNCTION("QUERY('Volunteer Survey'!J199)"),"Gene-Disease Validity")</f>
        <v>Gene-Disease Validity</v>
      </c>
      <c r="AJ200" s="175" t="str">
        <f ca="1">IFERROR(__xludf.DUMMYFUNCTION("QUERY('Volunteer Survey'!K199)"),"")</f>
        <v/>
      </c>
      <c r="AK200" s="175" t="str">
        <f ca="1">IFERROR(__xludf.DUMMYFUNCTION("QUERY('Volunteer Survey'!L199)"),"")</f>
        <v/>
      </c>
      <c r="AL200" s="175" t="str">
        <f ca="1">IFERROR(__xludf.DUMMYFUNCTION("QUERY('Volunteer Survey'!M199)"),"")</f>
        <v/>
      </c>
      <c r="AM200" s="175" t="str">
        <f ca="1">IFERROR(__xludf.DUMMYFUNCTION("QUERY('Volunteer Survey'!N199)"),"")</f>
        <v/>
      </c>
      <c r="AN200" s="175" t="str">
        <f ca="1">IFERROR(__xludf.DUMMYFUNCTION("QUERY('Volunteer Survey'!O199)"),"")</f>
        <v/>
      </c>
      <c r="AO200" s="175" t="str">
        <f ca="1">IFERROR(__xludf.DUMMYFUNCTION("QUERY('Volunteer Survey'!P199)"),"1. Recurrent 2. Neurodevelopmental 3. Cancer 4. Mitochondrial 5.Hereditary Cancer 6. Monogenic Diabetes")</f>
        <v>1. Recurrent 2. Neurodevelopmental 3. Cancer 4. Mitochondrial 5.Hereditary Cancer 6. Monogenic Diabetes</v>
      </c>
    </row>
    <row r="201" spans="1:41" ht="14">
      <c r="A201" s="44">
        <f ca="1">IFERROR(__xludf.DUMMYFUNCTION("QUERY('Volunteer Survey'!A208)"),43612.7448295601)</f>
        <v>43612.744829560099</v>
      </c>
      <c r="B201" s="42" t="s">
        <v>108</v>
      </c>
      <c r="C201" s="47"/>
      <c r="D201" s="59">
        <v>43692</v>
      </c>
      <c r="E201" s="42" t="s">
        <v>117</v>
      </c>
      <c r="F201" s="42" t="s">
        <v>117</v>
      </c>
      <c r="G201" s="42" t="s">
        <v>122</v>
      </c>
      <c r="H201" s="47"/>
      <c r="I201" s="45" t="s">
        <v>299</v>
      </c>
      <c r="J201" s="49"/>
      <c r="K201" s="49"/>
      <c r="L201" s="49" t="str">
        <f ca="1">IFERROR(__xludf.DUMMYFUNCTION("QUERY('Volunteer Survey'!B208)"),"Amruta Phatak")</f>
        <v>Amruta Phatak</v>
      </c>
      <c r="M201" s="49" t="str">
        <f ca="1">IFERROR(__xludf.DUMMYFUNCTION("QUERY('Volunteer Survey'!E208)"),"arphatak@iu.edu")</f>
        <v>arphatak@iu.edu</v>
      </c>
      <c r="N201" s="49" t="str">
        <f ca="1">IFERROR(__xludf.DUMMYFUNCTION("QUERY('Volunteer Survey'!F208)"),"Post Doc/Resident/Fellow (MD and/or PhD)")</f>
        <v>Post Doc/Resident/Fellow (MD and/or PhD)</v>
      </c>
      <c r="O201" s="42" t="str">
        <f ca="1">IFERROR(__xludf.DUMMYFUNCTION("QUERY('Volunteer Survey'!H208)"),"Comprehensive")</f>
        <v>Comprehensive</v>
      </c>
      <c r="P201" s="49" t="str">
        <f ca="1">IFERROR(__xludf.DUMMYFUNCTION("QUERY('Volunteer Survey'!I208)"),"Gene-Disease Validity")</f>
        <v>Gene-Disease Validity</v>
      </c>
      <c r="Q201" s="54" t="str">
        <f ca="1">IFERROR(__xludf.DUMMYFUNCTION("QUERY('Volunteer Survey'!J208)"),"Variant Pathogenicity")</f>
        <v>Variant Pathogenicity</v>
      </c>
      <c r="R201" s="49" t="str">
        <f ca="1">IFERROR(__xludf.DUMMYFUNCTION("QUERY('Volunteer Survey'!K208)"),"Dosage Sensitivity")</f>
        <v>Dosage Sensitivity</v>
      </c>
      <c r="S201" s="49" t="str">
        <f ca="1">IFERROR(__xludf.DUMMYFUNCTION("QUERY('Volunteer Survey'!L208)"),"")</f>
        <v/>
      </c>
      <c r="T201" s="49" t="str">
        <f ca="1">IFERROR(__xludf.DUMMYFUNCTION("QUERY('Volunteer Survey'!M208)"),"")</f>
        <v/>
      </c>
      <c r="U201" s="58" t="str">
        <f ca="1">IFERROR(__xludf.DUMMYFUNCTION("QUERY('Volunteer Survey'!N208)"),"")</f>
        <v/>
      </c>
      <c r="V201" s="49" t="str">
        <f ca="1">IFERROR(__xludf.DUMMYFUNCTION("QUERY('Volunteer Survey'!O208)"),"Yes")</f>
        <v>Yes</v>
      </c>
      <c r="W201" s="60" t="str">
        <f ca="1">IFERROR(__xludf.DUMMYFUNCTION("QUERY('Volunteer Survey'!P208)"),"")</f>
        <v/>
      </c>
      <c r="X201" s="58" t="str">
        <f ca="1">IFERROR(__xludf.DUMMYFUNCTION("QUERY('Volunteer Survey'!R208)"),"Yes- I am willing to volunteer with any available ClinGen group")</f>
        <v>Yes- I am willing to volunteer with any available ClinGen group</v>
      </c>
      <c r="Y201" s="47"/>
      <c r="Z201" s="174">
        <f ca="1">IFERROR(__xludf.DUMMYFUNCTION("QUERY('Volunteer Survey'!A200)"),43601.5361581712)</f>
        <v>43601.536158171199</v>
      </c>
      <c r="AA201" s="175" t="str">
        <f ca="1">IFERROR(__xludf.DUMMYFUNCTION("QUERY('Volunteer Survey'!B200)"),"Olivia Rennie")</f>
        <v>Olivia Rennie</v>
      </c>
      <c r="AB201" s="175" t="str">
        <f ca="1">IFERROR(__xludf.DUMMYFUNCTION("QUERY('Volunteer Survey'!C200)"),"The Hospital for Sick Children")</f>
        <v>The Hospital for Sick Children</v>
      </c>
      <c r="AC201" s="175" t="str">
        <f ca="1">IFERROR(__xludf.DUMMYFUNCTION("QUERY('Volunteer Survey'!D200)"),"555 University Ave., Toronto, Ontario, M5G 1X8")</f>
        <v>555 University Ave., Toronto, Ontario, M5G 1X8</v>
      </c>
      <c r="AD201" s="175" t="str">
        <f ca="1">IFERROR(__xludf.DUMMYFUNCTION("QUERY('Volunteer Survey'!E200)"),"olivia.rennie@sickkids.ca")</f>
        <v>olivia.rennie@sickkids.ca</v>
      </c>
      <c r="AE201" s="175" t="str">
        <f ca="1">IFERROR(__xludf.DUMMYFUNCTION("QUERY('Volunteer Survey'!F200)"),"Biocurator")</f>
        <v>Biocurator</v>
      </c>
      <c r="AF201" s="175" t="str">
        <f ca="1">IFERROR(__xludf.DUMMYFUNCTION("QUERY('Volunteer Survey'!G200)"),"Networking, Colleagues, Suggestion from mentor, Educational coursework, ClinGen affiliated emails and/or newsletters, The clinicalgenome.org website")</f>
        <v>Networking, Colleagues, Suggestion from mentor, Educational coursework, ClinGen affiliated emails and/or newsletters, The clinicalgenome.org website</v>
      </c>
      <c r="AG201" s="175" t="str">
        <f ca="1">IFERROR(__xludf.DUMMYFUNCTION("QUERY('Volunteer Survey'!H200)"),"Comprehensive")</f>
        <v>Comprehensive</v>
      </c>
      <c r="AH201" s="175" t="str">
        <f ca="1">IFERROR(__xludf.DUMMYFUNCTION("QUERY('Volunteer Survey'!I200)"),"Variant Pathogenicity")</f>
        <v>Variant Pathogenicity</v>
      </c>
      <c r="AI201" s="175" t="str">
        <f ca="1">IFERROR(__xludf.DUMMYFUNCTION("QUERY('Volunteer Survey'!J200)"),"Somatic Cancer")</f>
        <v>Somatic Cancer</v>
      </c>
      <c r="AJ201" s="175" t="str">
        <f ca="1">IFERROR(__xludf.DUMMYFUNCTION("QUERY('Volunteer Survey'!K200)"),"Clinical Actionability")</f>
        <v>Clinical Actionability</v>
      </c>
      <c r="AK201" s="175" t="str">
        <f ca="1">IFERROR(__xludf.DUMMYFUNCTION("QUERY('Volunteer Survey'!L200)"),"")</f>
        <v/>
      </c>
      <c r="AL201" s="175" t="str">
        <f ca="1">IFERROR(__xludf.DUMMYFUNCTION("QUERY('Volunteer Survey'!M200)"),"")</f>
        <v/>
      </c>
      <c r="AM201" s="175" t="str">
        <f ca="1">IFERROR(__xludf.DUMMYFUNCTION("QUERY('Volunteer Survey'!N200)"),"As noted above, I am currently a gene-disease curator with the ID &amp; ASD EP.")</f>
        <v>As noted above, I am currently a gene-disease curator with the ID &amp; ASD EP.</v>
      </c>
      <c r="AN201" s="175" t="str">
        <f ca="1">IFERROR(__xludf.DUMMYFUNCTION("QUERY('Volunteer Survey'!O200)"),"Yes")</f>
        <v>Yes</v>
      </c>
      <c r="AO201" s="175" t="str">
        <f ca="1">IFERROR(__xludf.DUMMYFUNCTION("QUERY('Volunteer Survey'!P200)"),"I am open to any variant curation EPs that are currently looking for volunteers. ")</f>
        <v xml:space="preserve">I am open to any variant curation EPs that are currently looking for volunteers. </v>
      </c>
    </row>
    <row r="202" spans="1:41" ht="14">
      <c r="A202" s="44">
        <f ca="1">IFERROR(__xludf.DUMMYFUNCTION("QUERY('Volunteer Survey'!A209)"),43614.6097624421)</f>
        <v>43614.609762442102</v>
      </c>
      <c r="B202" s="42" t="s">
        <v>108</v>
      </c>
      <c r="C202" s="47"/>
      <c r="D202" s="49"/>
      <c r="E202" s="49"/>
      <c r="F202" s="42" t="s">
        <v>130</v>
      </c>
      <c r="G202" s="42" t="s">
        <v>202</v>
      </c>
      <c r="H202" s="47"/>
      <c r="I202" s="45" t="s">
        <v>139</v>
      </c>
      <c r="J202" s="49"/>
      <c r="K202" s="49"/>
      <c r="L202" s="49" t="str">
        <f ca="1">IFERROR(__xludf.DUMMYFUNCTION("QUERY('Volunteer Survey'!B209)"),"Marcela Dias Hanna")</f>
        <v>Marcela Dias Hanna</v>
      </c>
      <c r="M202" s="49" t="str">
        <f ca="1">IFERROR(__xludf.DUMMYFUNCTION("QUERY('Volunteer Survey'!E209)"),"marcelahanna8@gmail.com")</f>
        <v>marcelahanna8@gmail.com</v>
      </c>
      <c r="N202" s="49" t="str">
        <f ca="1">IFERROR(__xludf.DUMMYFUNCTION("QUERY('Volunteer Survey'!F209)"),"Graduate Student")</f>
        <v>Graduate Student</v>
      </c>
      <c r="O202" s="42" t="str">
        <f ca="1">IFERROR(__xludf.DUMMYFUNCTION("QUERY('Volunteer Survey'!H209)"),"Baseline")</f>
        <v>Baseline</v>
      </c>
      <c r="P202" s="49" t="str">
        <f ca="1">IFERROR(__xludf.DUMMYFUNCTION("QUERY('Volunteer Survey'!I209)"),"Gene-Disease Validity")</f>
        <v>Gene-Disease Validity</v>
      </c>
      <c r="Q202" s="54" t="str">
        <f ca="1">IFERROR(__xludf.DUMMYFUNCTION("QUERY('Volunteer Survey'!J209)"),"Variant Pathogenicity")</f>
        <v>Variant Pathogenicity</v>
      </c>
      <c r="R202" s="49" t="str">
        <f ca="1">IFERROR(__xludf.DUMMYFUNCTION("QUERY('Volunteer Survey'!K209)"),"Somatic Cancer")</f>
        <v>Somatic Cancer</v>
      </c>
      <c r="S202" s="49" t="str">
        <f ca="1">IFERROR(__xludf.DUMMYFUNCTION("QUERY('Volunteer Survey'!L209)"),"")</f>
        <v/>
      </c>
      <c r="T202" s="49" t="str">
        <f ca="1">IFERROR(__xludf.DUMMYFUNCTION("QUERY('Volunteer Survey'!M209)"),"")</f>
        <v/>
      </c>
      <c r="U202" s="58" t="str">
        <f ca="1">IFERROR(__xludf.DUMMYFUNCTION("QUERY('Volunteer Survey'!N209)"),"No.")</f>
        <v>No.</v>
      </c>
      <c r="V202" s="49" t="str">
        <f ca="1">IFERROR(__xludf.DUMMYFUNCTION("QUERY('Volunteer Survey'!O209)"),"No")</f>
        <v>No</v>
      </c>
      <c r="W202" s="60" t="str">
        <f ca="1">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c r="X202" s="58" t="str">
        <f ca="1">IFERROR(__xludf.DUMMYFUNCTION("QUERY('Volunteer Survey'!R209)"),"Maybe -- please contact me with other options, and I will decide based on what is available")</f>
        <v>Maybe -- please contact me with other options, and I will decide based on what is available</v>
      </c>
      <c r="Y202" s="47"/>
      <c r="Z202" s="174">
        <f ca="1">IFERROR(__xludf.DUMMYFUNCTION("QUERY('Volunteer Survey'!A201)"),43602.7024085648)</f>
        <v>43602.702408564801</v>
      </c>
      <c r="AA202" s="175" t="str">
        <f ca="1">IFERROR(__xludf.DUMMYFUNCTION("QUERY('Volunteer Survey'!B201)"),"Aleš Maver")</f>
        <v>Aleš Maver</v>
      </c>
      <c r="AB202" s="175" t="str">
        <f ca="1">IFERROR(__xludf.DUMMYFUNCTION("QUERY('Volunteer Survey'!C201)"),"Clinical institute od Medical Genetics, Ljubljana, Slovenia")</f>
        <v>Clinical institute od Medical Genetics, Ljubljana, Slovenia</v>
      </c>
      <c r="AC202" s="175" t="str">
        <f ca="1">IFERROR(__xludf.DUMMYFUNCTION("QUERY('Volunteer Survey'!D201)"),"Slajmerjeva 3")</f>
        <v>Slajmerjeva 3</v>
      </c>
      <c r="AD202" s="175" t="str">
        <f ca="1">IFERROR(__xludf.DUMMYFUNCTION("QUERY('Volunteer Survey'!E201)"),"ales.maver@kclj.si")</f>
        <v>ales.maver@kclj.si</v>
      </c>
      <c r="AE202" s="175" t="str">
        <f ca="1">IFERROR(__xludf.DUMMYFUNCTION("QUERY('Volunteer Survey'!F201)"),"Clinical laboratory geneticist")</f>
        <v>Clinical laboratory geneticist</v>
      </c>
      <c r="AF202" s="175" t="str">
        <f ca="1">IFERROR(__xludf.DUMMYFUNCTION("QUERY('Volunteer Survey'!G201)"),"ClinGen conference advertisements (i.e. booth, workshop, presentation), Networking, Colleagues, ClinGen affiliated emails and/or newsletters, The clinicalgenome.org website, Collaborating in the variant discrepancy resolution project")</f>
        <v>ClinGen conference advertisements (i.e. booth, workshop, presentation), Networking, Colleagues, ClinGen affiliated emails and/or newsletters, The clinicalgenome.org website, Collaborating in the variant discrepancy resolution project</v>
      </c>
      <c r="AG202" s="175" t="str">
        <f ca="1">IFERROR(__xludf.DUMMYFUNCTION("QUERY('Volunteer Survey'!H201)"),"Comprehensive")</f>
        <v>Comprehensive</v>
      </c>
      <c r="AH202" s="175" t="str">
        <f ca="1">IFERROR(__xludf.DUMMYFUNCTION("QUERY('Volunteer Survey'!I201)"),"Variant Pathogenicity")</f>
        <v>Variant Pathogenicity</v>
      </c>
      <c r="AI202" s="175" t="str">
        <f ca="1">IFERROR(__xludf.DUMMYFUNCTION("QUERY('Volunteer Survey'!J201)"),"Gene-Disease Validity")</f>
        <v>Gene-Disease Validity</v>
      </c>
      <c r="AJ202" s="175" t="str">
        <f ca="1">IFERROR(__xludf.DUMMYFUNCTION("QUERY('Volunteer Survey'!K201)"),"Clinical Actionability")</f>
        <v>Clinical Actionability</v>
      </c>
      <c r="AK202" s="175" t="str">
        <f ca="1">IFERROR(__xludf.DUMMYFUNCTION("QUERY('Volunteer Survey'!L201)"),"Dosage Sensitivity")</f>
        <v>Dosage Sensitivity</v>
      </c>
      <c r="AL202" s="175" t="str">
        <f ca="1">IFERROR(__xludf.DUMMYFUNCTION("QUERY('Volunteer Survey'!M201)"),"Somatic Cancer")</f>
        <v>Somatic Cancer</v>
      </c>
      <c r="AM202" s="175" t="str">
        <f ca="1">IFERROR(__xludf.DUMMYFUNCTION("QUERY('Volunteer Survey'!N201)"),"Not extensive, but I am the responsible person for ClinVar deposits and data sharing at our institution. I also participate in the Variant discrepancy resolution project led by Steven Harrison. ")</f>
        <v xml:space="preserve">Not extensive, but I am the responsible person for ClinVar deposits and data sharing at our institution. I also participate in the Variant discrepancy resolution project led by Steven Harrison. </v>
      </c>
      <c r="AN202" s="175" t="str">
        <f ca="1">IFERROR(__xludf.DUMMYFUNCTION("QUERY('Volunteer Survey'!O201)"),"Yes")</f>
        <v>Yes</v>
      </c>
      <c r="AO202" s="175" t="str">
        <f ca="1">IFERROR(__xludf.DUMMYFUNCTION("QUERY('Volunteer Survey'!P201)"),"Variant Curation Expert Panels and Gene Curation Expert Panels")</f>
        <v>Variant Curation Expert Panels and Gene Curation Expert Panels</v>
      </c>
    </row>
    <row r="203" spans="1:41" ht="14">
      <c r="A203" s="44">
        <f ca="1">IFERROR(__xludf.DUMMYFUNCTION("QUERY('Volunteer Survey'!A210)"),43615.0607542824)</f>
        <v>43615.0607542824</v>
      </c>
      <c r="B203" s="42" t="s">
        <v>361</v>
      </c>
      <c r="C203" s="73">
        <v>43819</v>
      </c>
      <c r="D203" s="49"/>
      <c r="E203" s="49"/>
      <c r="F203" s="42" t="s">
        <v>130</v>
      </c>
      <c r="G203" s="42" t="s">
        <v>251</v>
      </c>
      <c r="H203" s="47"/>
      <c r="I203" s="45" t="s">
        <v>139</v>
      </c>
      <c r="J203" s="49"/>
      <c r="K203" s="49"/>
      <c r="L203" s="49" t="str">
        <f ca="1">IFERROR(__xludf.DUMMYFUNCTION("QUERY('Volunteer Survey'!B210)"),"Cath Tyner")</f>
        <v>Cath Tyner</v>
      </c>
      <c r="M203" s="49" t="str">
        <f ca="1">IFERROR(__xludf.DUMMYFUNCTION("QUERY('Volunteer Survey'!E210)"),"cathtyner@gmail.com")</f>
        <v>cathtyner@gmail.com</v>
      </c>
      <c r="N203" s="49" t="str">
        <f ca="1">IFERROR(__xludf.DUMMYFUNCTION("QUERY('Volunteer Survey'!F210)"),"Software QA Engineer at Invitae")</f>
        <v>Software QA Engineer at Invitae</v>
      </c>
      <c r="O203" s="42" t="str">
        <f ca="1">IFERROR(__xludf.DUMMYFUNCTION("QUERY('Volunteer Survey'!H210)"),"Comprehensive")</f>
        <v>Comprehensive</v>
      </c>
      <c r="P203" s="49" t="str">
        <f ca="1">IFERROR(__xludf.DUMMYFUNCTION("QUERY('Volunteer Survey'!I210)"),"Variant Pathogenicity")</f>
        <v>Variant Pathogenicity</v>
      </c>
      <c r="Q203" s="54" t="str">
        <f ca="1">IFERROR(__xludf.DUMMYFUNCTION("QUERY('Volunteer Survey'!J210)"),"Gene-Disease Validity")</f>
        <v>Gene-Disease Validity</v>
      </c>
      <c r="R203" s="49" t="str">
        <f ca="1">IFERROR(__xludf.DUMMYFUNCTION("QUERY('Volunteer Survey'!K210)"),"Clinical Actionability")</f>
        <v>Clinical Actionability</v>
      </c>
      <c r="S203" s="49" t="str">
        <f ca="1">IFERROR(__xludf.DUMMYFUNCTION("QUERY('Volunteer Survey'!L210)"),"Somatic Cancer")</f>
        <v>Somatic Cancer</v>
      </c>
      <c r="T203" s="49" t="str">
        <f ca="1">IFERROR(__xludf.DUMMYFUNCTION("QUERY('Volunteer Survey'!M210)"),"Dosage Sensitivity")</f>
        <v>Dosage Sensitivity</v>
      </c>
      <c r="U203" s="58" t="str">
        <f ca="1">IFERROR(__xludf.DUMMYFUNCTION("QUERY('Volunteer Survey'!N210)"),"QA software which is used in gene curation for Invitae")</f>
        <v>QA software which is used in gene curation for Invitae</v>
      </c>
      <c r="V203" s="49" t="str">
        <f ca="1">IFERROR(__xludf.DUMMYFUNCTION("QUERY('Volunteer Survey'!O210)"),"Possibly")</f>
        <v>Possibly</v>
      </c>
      <c r="W203" s="60" t="str">
        <f ca="1">IFERROR(__xludf.DUMMYFUNCTION("QUERY('Volunteer Survey'!P210)"),"")</f>
        <v/>
      </c>
      <c r="X203" s="58" t="str">
        <f ca="1">IFERROR(__xludf.DUMMYFUNCTION("QUERY('Volunteer Survey'!R210)"),"Maybe -- please contact me with other options, and I will decide based on what is available")</f>
        <v>Maybe -- please contact me with other options, and I will decide based on what is available</v>
      </c>
      <c r="Y203" s="45" t="s">
        <v>355</v>
      </c>
      <c r="Z203" s="174">
        <f ca="1">IFERROR(__xludf.DUMMYFUNCTION("QUERY('Volunteer Survey'!A202)"),43605.5031100578)</f>
        <v>43605.503110057798</v>
      </c>
      <c r="AA203" s="175" t="str">
        <f ca="1">IFERROR(__xludf.DUMMYFUNCTION("QUERY('Volunteer Survey'!B202)"),"Léon Tshilolo")</f>
        <v>Léon Tshilolo</v>
      </c>
      <c r="AB203" s="175" t="str">
        <f ca="1">IFERROR(__xludf.DUMMYFUNCTION("QUERY('Volunteer Survey'!C202)"),"Centre Hospitalier Monkole/CEFA  (Centre de Formation et d'Appui Sanitaire")</f>
        <v>Centre Hospitalier Monkole/CEFA  (Centre de Formation et d'Appui Sanitaire</v>
      </c>
      <c r="AC203" s="175" t="str">
        <f ca="1">IFERROR(__xludf.DUMMYFUNCTION("QUERY('Volunteer Survey'!D202)"),"Avenue Ngafani; 4804, Mont Ngafula. Kinshasa")</f>
        <v>Avenue Ngafani; 4804, Mont Ngafula. Kinshasa</v>
      </c>
      <c r="AD203" s="175" t="str">
        <f ca="1">IFERROR(__xludf.DUMMYFUNCTION("QUERY('Volunteer Survey'!E202)"),"leon.tshilolo2012@gmail.com")</f>
        <v>leon.tshilolo2012@gmail.com</v>
      </c>
      <c r="AE203" s="175" t="str">
        <f ca="1">IFERROR(__xludf.DUMMYFUNCTION("QUERY('Volunteer Survey'!F202)"),"hematologist, expert of SCD")</f>
        <v>hematologist, expert of SCD</v>
      </c>
      <c r="AF203" s="175" t="str">
        <f ca="1">IFERROR(__xludf.DUMMYFUNCTION("QUERY('Volunteer Survey'!G202)"),"ClinGen affiliated emails and/or newsletters")</f>
        <v>ClinGen affiliated emails and/or newsletters</v>
      </c>
      <c r="AG203" s="175" t="str">
        <f ca="1">IFERROR(__xludf.DUMMYFUNCTION("QUERY('Volunteer Survey'!H202)"),"Comprehensive")</f>
        <v>Comprehensive</v>
      </c>
      <c r="AH203" s="175" t="str">
        <f ca="1">IFERROR(__xludf.DUMMYFUNCTION("QUERY('Volunteer Survey'!I202)"),"Clinical Actionability")</f>
        <v>Clinical Actionability</v>
      </c>
      <c r="AI203" s="175" t="str">
        <f ca="1">IFERROR(__xludf.DUMMYFUNCTION("QUERY('Volunteer Survey'!J202)"),"Variant Pathogenicity")</f>
        <v>Variant Pathogenicity</v>
      </c>
      <c r="AJ203" s="175" t="str">
        <f ca="1">IFERROR(__xludf.DUMMYFUNCTION("QUERY('Volunteer Survey'!K202)"),"Gene-Disease Validity")</f>
        <v>Gene-Disease Validity</v>
      </c>
      <c r="AK203" s="175" t="str">
        <f ca="1">IFERROR(__xludf.DUMMYFUNCTION("QUERY('Volunteer Survey'!L202)"),"Dosage Sensitivity")</f>
        <v>Dosage Sensitivity</v>
      </c>
      <c r="AL203" s="175" t="str">
        <f ca="1">IFERROR(__xludf.DUMMYFUNCTION("QUERY('Volunteer Survey'!M202)"),"Somatic Cancer")</f>
        <v>Somatic Cancer</v>
      </c>
      <c r="AM203" s="175" t="str">
        <f ca="1">IFERROR(__xludf.DUMMYFUNCTION("QUERY('Volunteer Survey'!N202)"),"")</f>
        <v/>
      </c>
      <c r="AN203" s="175" t="str">
        <f ca="1">IFERROR(__xludf.DUMMYFUNCTION("QUERY('Volunteer Survey'!O202)"),"No")</f>
        <v>No</v>
      </c>
      <c r="AO203" s="175" t="str">
        <f ca="1">IFERROR(__xludf.DUMMYFUNCTION("QUERY('Volunteer Survey'!P202)"),"hemoglobinopathies")</f>
        <v>hemoglobinopathies</v>
      </c>
    </row>
    <row r="204" spans="1:41" ht="14">
      <c r="A204" s="44">
        <f ca="1">IFERROR(__xludf.DUMMYFUNCTION("QUERY('Volunteer Survey'!A211)"),43615.3992976736)</f>
        <v>43615.399297673597</v>
      </c>
      <c r="B204" s="42" t="s">
        <v>108</v>
      </c>
      <c r="C204" s="47"/>
      <c r="D204" s="50">
        <v>43627</v>
      </c>
      <c r="E204" s="42" t="s">
        <v>117</v>
      </c>
      <c r="F204" s="42" t="s">
        <v>130</v>
      </c>
      <c r="G204" s="42" t="s">
        <v>251</v>
      </c>
      <c r="H204" s="47"/>
      <c r="I204" s="45" t="s">
        <v>139</v>
      </c>
      <c r="J204" s="49"/>
      <c r="K204" s="49"/>
      <c r="L204" s="49" t="str">
        <f ca="1">IFERROR(__xludf.DUMMYFUNCTION("QUERY('Volunteer Survey'!B211)"),"Abdelazeem Elhabyan ")</f>
        <v xml:space="preserve">Abdelazeem Elhabyan </v>
      </c>
      <c r="M204" s="49" t="str">
        <f ca="1">IFERROR(__xludf.DUMMYFUNCTION("QUERY('Volunteer Survey'!E211)"),"Abdelazeem_abdelhameed2015505@yahoo.com")</f>
        <v>Abdelazeem_abdelhameed2015505@yahoo.com</v>
      </c>
      <c r="N204" s="49" t="str">
        <f ca="1">IFERROR(__xludf.DUMMYFUNCTION("QUERY('Volunteer Survey'!F211)"),"Graduate Student")</f>
        <v>Graduate Student</v>
      </c>
      <c r="O204" s="42" t="str">
        <f ca="1">IFERROR(__xludf.DUMMYFUNCTION("QUERY('Volunteer Survey'!H211)"),"Comprehensive")</f>
        <v>Comprehensive</v>
      </c>
      <c r="P204" s="49" t="str">
        <f ca="1">IFERROR(__xludf.DUMMYFUNCTION("QUERY('Volunteer Survey'!I211)"),"Variant Pathogenicity")</f>
        <v>Variant Pathogenicity</v>
      </c>
      <c r="Q204" s="54" t="str">
        <f ca="1">IFERROR(__xludf.DUMMYFUNCTION("QUERY('Volunteer Survey'!J211)"),"Somatic Cancer")</f>
        <v>Somatic Cancer</v>
      </c>
      <c r="R204" s="49" t="str">
        <f ca="1">IFERROR(__xludf.DUMMYFUNCTION("QUERY('Volunteer Survey'!K211)"),"Gene-Disease Validity")</f>
        <v>Gene-Disease Validity</v>
      </c>
      <c r="S204" s="49" t="str">
        <f ca="1">IFERROR(__xludf.DUMMYFUNCTION("QUERY('Volunteer Survey'!L211)"),"Clinical Actionability")</f>
        <v>Clinical Actionability</v>
      </c>
      <c r="T204" s="49" t="str">
        <f ca="1">IFERROR(__xludf.DUMMYFUNCTION("QUERY('Volunteer Survey'!M211)"),"Dosage Sensitivity")</f>
        <v>Dosage Sensitivity</v>
      </c>
      <c r="U204" s="58" t="str">
        <f ca="1">IFERROR(__xludf.DUMMYFUNCTION("QUERY('Volunteer Survey'!N211)"),"I have received training In mapping,  variant calling using galaxy project and received many online courses in genomics ")</f>
        <v xml:space="preserve">I have received training In mapping,  variant calling using galaxy project and received many online courses in genomics </v>
      </c>
      <c r="V204" s="49" t="str">
        <f ca="1">IFERROR(__xludf.DUMMYFUNCTION("QUERY('Volunteer Survey'!O211)"),"Yes")</f>
        <v>Yes</v>
      </c>
      <c r="W204" s="60" t="str">
        <f ca="1">IFERROR(__xludf.DUMMYFUNCTION("QUERY('Volunteer Survey'!P211)"),"Hereditary cancer ")</f>
        <v xml:space="preserve">Hereditary cancer </v>
      </c>
      <c r="X204" s="58" t="str">
        <f ca="1">IFERROR(__xludf.DUMMYFUNCTION("QUERY('Volunteer Survey'!R211)"),"Yes- I am willing to volunteer with any available ClinGen group")</f>
        <v>Yes- I am willing to volunteer with any available ClinGen group</v>
      </c>
      <c r="Y204" s="47"/>
      <c r="Z204" s="174">
        <f ca="1">IFERROR(__xludf.DUMMYFUNCTION("QUERY('Volunteer Survey'!A203)"),43605.7436562384)</f>
        <v>43605.743656238403</v>
      </c>
      <c r="AA204" s="175" t="str">
        <f ca="1">IFERROR(__xludf.DUMMYFUNCTION("QUERY('Volunteer Survey'!B203)"),"Danielle Mouhlas")</f>
        <v>Danielle Mouhlas</v>
      </c>
      <c r="AB204" s="175" t="str">
        <f ca="1">IFERROR(__xludf.DUMMYFUNCTION("QUERY('Volunteer Survey'!C203)"),"Nationwide Children's Hospital ")</f>
        <v xml:space="preserve">Nationwide Children's Hospital </v>
      </c>
      <c r="AC204" s="175" t="str">
        <f ca="1">IFERROR(__xludf.DUMMYFUNCTION("QUERY('Volunteer Survey'!D203)"),"700 Children's Dr. Columbus Ohio 43205")</f>
        <v>700 Children's Dr. Columbus Ohio 43205</v>
      </c>
      <c r="AD204" s="175" t="str">
        <f ca="1">IFERROR(__xludf.DUMMYFUNCTION("QUERY('Volunteer Survey'!E203)"),"danielle.mouhlas@nationwidechildrens.org")</f>
        <v>danielle.mouhlas@nationwidechildrens.org</v>
      </c>
      <c r="AE204" s="175" t="str">
        <f ca="1">IFERROR(__xludf.DUMMYFUNCTION("QUERY('Volunteer Survey'!F203)"),"Genetic counselor")</f>
        <v>Genetic counselor</v>
      </c>
      <c r="AF204" s="175" t="str">
        <f ca="1">IFERROR(__xludf.DUMMYFUNCTION("QUERY('Volunteer Survey'!G203)"),"Networking")</f>
        <v>Networking</v>
      </c>
      <c r="AG204" s="175" t="str">
        <f ca="1">IFERROR(__xludf.DUMMYFUNCTION("QUERY('Volunteer Survey'!H203)"),"Baseline")</f>
        <v>Baseline</v>
      </c>
      <c r="AH204" s="175" t="str">
        <f ca="1">IFERROR(__xludf.DUMMYFUNCTION("QUERY('Volunteer Survey'!I203)"),"Variant Pathogenicity")</f>
        <v>Variant Pathogenicity</v>
      </c>
      <c r="AI204" s="175" t="str">
        <f ca="1">IFERROR(__xludf.DUMMYFUNCTION("QUERY('Volunteer Survey'!J203)"),"Gene-Disease Validity")</f>
        <v>Gene-Disease Validity</v>
      </c>
      <c r="AJ204" s="175" t="str">
        <f ca="1">IFERROR(__xludf.DUMMYFUNCTION("QUERY('Volunteer Survey'!K203)"),"Dosage Sensitivity")</f>
        <v>Dosage Sensitivity</v>
      </c>
      <c r="AK204" s="175" t="str">
        <f ca="1">IFERROR(__xludf.DUMMYFUNCTION("QUERY('Volunteer Survey'!L203)"),"Clinical Actionability")</f>
        <v>Clinical Actionability</v>
      </c>
      <c r="AL204" s="175" t="str">
        <f ca="1">IFERROR(__xludf.DUMMYFUNCTION("QUERY('Volunteer Survey'!M203)"),"Somatic Cancer")</f>
        <v>Somatic Cancer</v>
      </c>
      <c r="AM204" s="175" t="str">
        <f ca="1">IFERROR(__xludf.DUMMYFUNCTION("QUERY('Volunteer Survey'!N203)"),"I have performed some variant interpretation for clinical report writing. ")</f>
        <v xml:space="preserve">I have performed some variant interpretation for clinical report writing. </v>
      </c>
      <c r="AN204" s="175" t="str">
        <f ca="1">IFERROR(__xludf.DUMMYFUNCTION("QUERY('Volunteer Survey'!O203)"),"Yes")</f>
        <v>Yes</v>
      </c>
      <c r="AO204" s="175" t="str">
        <f ca="1">IFERROR(__xludf.DUMMYFUNCTION("QUERY('Volunteer Survey'!P203)"),"")</f>
        <v/>
      </c>
    </row>
    <row r="205" spans="1:41" ht="14">
      <c r="A205" s="44">
        <f ca="1">IFERROR(__xludf.DUMMYFUNCTION("QUERY('Volunteer Survey'!A212)"),43615.5707086921)</f>
        <v>43615.570708692103</v>
      </c>
      <c r="B205" s="42" t="s">
        <v>108</v>
      </c>
      <c r="C205" s="73">
        <v>43819</v>
      </c>
      <c r="D205" s="49"/>
      <c r="E205" s="49"/>
      <c r="F205" s="42" t="s">
        <v>130</v>
      </c>
      <c r="G205" s="42" t="s">
        <v>122</v>
      </c>
      <c r="H205" s="47"/>
      <c r="I205" s="45" t="s">
        <v>139</v>
      </c>
      <c r="J205" s="49"/>
      <c r="K205" s="49"/>
      <c r="L205" s="49" t="str">
        <f ca="1">IFERROR(__xludf.DUMMYFUNCTION("QUERY('Volunteer Survey'!B212)"),"Claudia Gonzaga-Jauregui")</f>
        <v>Claudia Gonzaga-Jauregui</v>
      </c>
      <c r="M205" s="49" t="str">
        <f ca="1">IFERROR(__xludf.DUMMYFUNCTION("QUERY('Volunteer Survey'!E212)"),"cgonzagaj@gmail.com")</f>
        <v>cgonzagaj@gmail.com</v>
      </c>
      <c r="N205" s="49" t="str">
        <f ca="1">IFERROR(__xludf.DUMMYFUNCTION("QUERY('Volunteer Survey'!F212)"),"Scientific Researcher")</f>
        <v>Scientific Researcher</v>
      </c>
      <c r="O205" s="42" t="str">
        <f ca="1">IFERROR(__xludf.DUMMYFUNCTION("QUERY('Volunteer Survey'!H212)"),"Comprehensive")</f>
        <v>Comprehensive</v>
      </c>
      <c r="P205" s="49" t="str">
        <f ca="1">IFERROR(__xludf.DUMMYFUNCTION("QUERY('Volunteer Survey'!I212)"),"Gene-Disease Validity")</f>
        <v>Gene-Disease Validity</v>
      </c>
      <c r="Q205" s="54" t="str">
        <f ca="1">IFERROR(__xludf.DUMMYFUNCTION("QUERY('Volunteer Survey'!J212)"),"Clinical Actionability")</f>
        <v>Clinical Actionability</v>
      </c>
      <c r="R205" s="49" t="str">
        <f ca="1">IFERROR(__xludf.DUMMYFUNCTION("QUERY('Volunteer Survey'!K212)"),"Variant Pathogenicity")</f>
        <v>Variant Pathogenicity</v>
      </c>
      <c r="S205" s="49" t="str">
        <f ca="1">IFERROR(__xludf.DUMMYFUNCTION("QUERY('Volunteer Survey'!L212)"),"")</f>
        <v/>
      </c>
      <c r="T205" s="49" t="str">
        <f ca="1">IFERROR(__xludf.DUMMYFUNCTION("QUERY('Volunteer Survey'!M212)"),"")</f>
        <v/>
      </c>
      <c r="U205" s="58" t="str">
        <f ca="1">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V205" s="49" t="str">
        <f ca="1">IFERROR(__xludf.DUMMYFUNCTION("QUERY('Volunteer Survey'!O212)"),"Possibly")</f>
        <v>Possibly</v>
      </c>
      <c r="W205" s="60" t="str">
        <f ca="1">IFERROR(__xludf.DUMMYFUNCTION("QUERY('Volunteer Survey'!P212)"),"Intellectual Disability and Autism, Brain Malformations, Charcot-Marie-Tooth Disease")</f>
        <v>Intellectual Disability and Autism, Brain Malformations, Charcot-Marie-Tooth Disease</v>
      </c>
      <c r="X205" s="58" t="str">
        <f ca="1">IFERROR(__xludf.DUMMYFUNCTION("QUERY('Volunteer Survey'!R212)"),"Maybe -- please contact me with other options, and I will decide based on what is available")</f>
        <v>Maybe -- please contact me with other options, and I will decide based on what is available</v>
      </c>
      <c r="Y205" s="47"/>
      <c r="Z205" s="174">
        <f ca="1">IFERROR(__xludf.DUMMYFUNCTION("QUERY('Volunteer Survey'!A204)"),43606.4003992824)</f>
        <v>43606.4003992824</v>
      </c>
      <c r="AA205" s="175" t="str">
        <f ca="1">IFERROR(__xludf.DUMMYFUNCTION("QUERY('Volunteer Survey'!B204)"),"Emma Reble")</f>
        <v>Emma Reble</v>
      </c>
      <c r="AB205" s="175" t="str">
        <f ca="1">IFERROR(__xludf.DUMMYFUNCTION("QUERY('Volunteer Survey'!C204)"),"St. Michael's Hospital")</f>
        <v>St. Michael's Hospital</v>
      </c>
      <c r="AC205" s="175" t="str">
        <f ca="1">IFERROR(__xludf.DUMMYFUNCTION("QUERY('Volunteer Survey'!D204)"),"")</f>
        <v/>
      </c>
      <c r="AD205" s="175" t="str">
        <f ca="1">IFERROR(__xludf.DUMMYFUNCTION("QUERY('Volunteer Survey'!E204)"),"reblee@smh.ca")</f>
        <v>reblee@smh.ca</v>
      </c>
      <c r="AE205" s="175" t="str">
        <f ca="1">IFERROR(__xludf.DUMMYFUNCTION("QUERY('Volunteer Survey'!F204)"),"Variant Analyst/Scientist - Academic")</f>
        <v>Variant Analyst/Scientist - Academic</v>
      </c>
      <c r="AF205" s="175" t="str">
        <f ca="1">IFERROR(__xludf.DUMMYFUNCTION("QUERY('Volunteer Survey'!G204)"),"Colleagues")</f>
        <v>Colleagues</v>
      </c>
      <c r="AG205" s="175" t="str">
        <f ca="1">IFERROR(__xludf.DUMMYFUNCTION("QUERY('Volunteer Survey'!H204)"),"Comprehensive")</f>
        <v>Comprehensive</v>
      </c>
      <c r="AH205" s="175" t="str">
        <f ca="1">IFERROR(__xludf.DUMMYFUNCTION("QUERY('Volunteer Survey'!I204)"),"Gene-Disease Validity")</f>
        <v>Gene-Disease Validity</v>
      </c>
      <c r="AI205" s="175" t="str">
        <f ca="1">IFERROR(__xludf.DUMMYFUNCTION("QUERY('Volunteer Survey'!J204)"),"")</f>
        <v/>
      </c>
      <c r="AJ205" s="175" t="str">
        <f ca="1">IFERROR(__xludf.DUMMYFUNCTION("QUERY('Volunteer Survey'!K204)"),"")</f>
        <v/>
      </c>
      <c r="AK205" s="175" t="str">
        <f ca="1">IFERROR(__xludf.DUMMYFUNCTION("QUERY('Volunteer Survey'!L204)"),"")</f>
        <v/>
      </c>
      <c r="AL205" s="175" t="str">
        <f ca="1">IFERROR(__xludf.DUMMYFUNCTION("QUERY('Volunteer Survey'!M204)"),"")</f>
        <v/>
      </c>
      <c r="AM205" s="175" t="str">
        <f ca="1">IFERROR(__xludf.DUMMYFUNCTION("QUERY('Volunteer Survey'!N204)"),"This is my second time filing out this survey. I am doing the variant curation training and have re-filled out this survey to participate in the gene curation training in the future. ")</f>
        <v xml:space="preserve">This is my second time filing out this survey. I am doing the variant curation training and have re-filled out this survey to participate in the gene curation training in the future. </v>
      </c>
      <c r="AN205" s="175" t="str">
        <f ca="1">IFERROR(__xludf.DUMMYFUNCTION("QUERY('Volunteer Survey'!O204)"),"Yes")</f>
        <v>Yes</v>
      </c>
      <c r="AO205" s="175" t="str">
        <f ca="1">IFERROR(__xludf.DUMMYFUNCTION("QUERY('Volunteer Survey'!P204)"),"ID/Autism")</f>
        <v>ID/Autism</v>
      </c>
    </row>
    <row r="206" spans="1:41" ht="14">
      <c r="A206" s="44">
        <f ca="1">IFERROR(__xludf.DUMMYFUNCTION("QUERY('Volunteer Survey'!A213)"),43615.9777125694)</f>
        <v>43615.977712569402</v>
      </c>
      <c r="B206" s="42" t="s">
        <v>168</v>
      </c>
      <c r="C206" s="73">
        <v>43689</v>
      </c>
      <c r="D206" s="49"/>
      <c r="E206" s="49"/>
      <c r="F206" s="42" t="s">
        <v>130</v>
      </c>
      <c r="G206" s="42" t="s">
        <v>19</v>
      </c>
      <c r="H206" s="63"/>
      <c r="I206" s="45" t="s">
        <v>139</v>
      </c>
      <c r="J206" s="49"/>
      <c r="K206" s="49"/>
      <c r="L206" s="49" t="str">
        <f ca="1">IFERROR(__xludf.DUMMYFUNCTION("QUERY('Volunteer Survey'!B213)"),"Altovise Ewing")</f>
        <v>Altovise Ewing</v>
      </c>
      <c r="M206" s="49" t="str">
        <f ca="1">IFERROR(__xludf.DUMMYFUNCTION("QUERY('Volunteer Survey'!E213)"),"altovisee@gmail.com")</f>
        <v>altovisee@gmail.com</v>
      </c>
      <c r="N206" s="49" t="str">
        <f ca="1">IFERROR(__xludf.DUMMYFUNCTION("QUERY('Volunteer Survey'!F213)"),"Genetic counselor and health equity scientist")</f>
        <v>Genetic counselor and health equity scientist</v>
      </c>
      <c r="O206" s="42" t="str">
        <f ca="1">IFERROR(__xludf.DUMMYFUNCTION("QUERY('Volunteer Survey'!H213)"),"Comprehensive")</f>
        <v>Comprehensive</v>
      </c>
      <c r="P206" s="49" t="str">
        <f ca="1">IFERROR(__xludf.DUMMYFUNCTION("QUERY('Volunteer Survey'!I213)"),"Clinical Actionability")</f>
        <v>Clinical Actionability</v>
      </c>
      <c r="Q206" s="54" t="str">
        <f ca="1">IFERROR(__xludf.DUMMYFUNCTION("QUERY('Volunteer Survey'!J213)"),"Variant Pathogenicity")</f>
        <v>Variant Pathogenicity</v>
      </c>
      <c r="R206" s="49" t="str">
        <f ca="1">IFERROR(__xludf.DUMMYFUNCTION("QUERY('Volunteer Survey'!K213)"),"Gene-Disease Validity")</f>
        <v>Gene-Disease Validity</v>
      </c>
      <c r="S206" s="49" t="str">
        <f ca="1">IFERROR(__xludf.DUMMYFUNCTION("QUERY('Volunteer Survey'!L213)"),"Dosage Sensitivity")</f>
        <v>Dosage Sensitivity</v>
      </c>
      <c r="T206" s="49" t="str">
        <f ca="1">IFERROR(__xludf.DUMMYFUNCTION("QUERY('Volunteer Survey'!M213)"),"Somatic Cancer")</f>
        <v>Somatic Cancer</v>
      </c>
      <c r="U206" s="58" t="str">
        <f ca="1">IFERROR(__xludf.DUMMYFUNCTION("QUERY('Volunteer Survey'!N213)"),"")</f>
        <v/>
      </c>
      <c r="V206" s="49" t="str">
        <f ca="1">IFERROR(__xludf.DUMMYFUNCTION("QUERY('Volunteer Survey'!O213)"),"Yes")</f>
        <v>Yes</v>
      </c>
      <c r="W206" s="60" t="str">
        <f ca="1">IFERROR(__xludf.DUMMYFUNCTION("QUERY('Volunteer Survey'!P213)"),"Hereditary cancer")</f>
        <v>Hereditary cancer</v>
      </c>
      <c r="X206" s="58" t="str">
        <f ca="1">IFERROR(__xludf.DUMMYFUNCTION("QUERY('Volunteer Survey'!R213)"),"Yes- I am willing to volunteer with any available ClinGen group")</f>
        <v>Yes- I am willing to volunteer with any available ClinGen group</v>
      </c>
      <c r="Y206" s="47"/>
      <c r="Z206" s="174">
        <f ca="1">IFERROR(__xludf.DUMMYFUNCTION("QUERY('Volunteer Survey'!A205)"),43607.5487386342)</f>
        <v>43607.548738634199</v>
      </c>
      <c r="AA206" s="175" t="str">
        <f ca="1">IFERROR(__xludf.DUMMYFUNCTION("QUERY('Volunteer Survey'!B205)"),"Robert Butler")</f>
        <v>Robert Butler</v>
      </c>
      <c r="AB206" s="175" t="str">
        <f ca="1">IFERROR(__xludf.DUMMYFUNCTION("QUERY('Volunteer Survey'!C205)"),"NorthShore University HealthSystem")</f>
        <v>NorthShore University HealthSystem</v>
      </c>
      <c r="AC206" s="175" t="str">
        <f ca="1">IFERROR(__xludf.DUMMYFUNCTION("QUERY('Volunteer Survey'!D205)"),"1001 University Place, Evanston, IL, 60201")</f>
        <v>1001 University Place, Evanston, IL, 60201</v>
      </c>
      <c r="AD206" s="175" t="str">
        <f ca="1">IFERROR(__xludf.DUMMYFUNCTION("QUERY('Volunteer Survey'!E205)"),"rbutler@northshore.org")</f>
        <v>rbutler@northshore.org</v>
      </c>
      <c r="AE206" s="175" t="str">
        <f ca="1">IFERROR(__xludf.DUMMYFUNCTION("QUERY('Volunteer Survey'!F205)"),"Post Doc/Resident/Fellow (MD and/or PhD)")</f>
        <v>Post Doc/Resident/Fellow (MD and/or PhD)</v>
      </c>
      <c r="AF206" s="175" t="str">
        <f ca="1">IFERROR(__xludf.DUMMYFUNCTION("QUERY('Volunteer Survey'!G205)"),"ClinVar Website")</f>
        <v>ClinVar Website</v>
      </c>
      <c r="AG206" s="175" t="str">
        <f ca="1">IFERROR(__xludf.DUMMYFUNCTION("QUERY('Volunteer Survey'!H205)"),"Comprehensive")</f>
        <v>Comprehensive</v>
      </c>
      <c r="AH206" s="175" t="str">
        <f ca="1">IFERROR(__xludf.DUMMYFUNCTION("QUERY('Volunteer Survey'!I205)"),"Variant Pathogenicity")</f>
        <v>Variant Pathogenicity</v>
      </c>
      <c r="AI206" s="175" t="str">
        <f ca="1">IFERROR(__xludf.DUMMYFUNCTION("QUERY('Volunteer Survey'!J205)"),"Gene-Disease Validity")</f>
        <v>Gene-Disease Validity</v>
      </c>
      <c r="AJ206" s="175" t="str">
        <f ca="1">IFERROR(__xludf.DUMMYFUNCTION("QUERY('Volunteer Survey'!K205)"),"")</f>
        <v/>
      </c>
      <c r="AK206" s="175" t="str">
        <f ca="1">IFERROR(__xludf.DUMMYFUNCTION("QUERY('Volunteer Survey'!L205)"),"")</f>
        <v/>
      </c>
      <c r="AL206" s="175" t="str">
        <f ca="1">IFERROR(__xludf.DUMMYFUNCTION("QUERY('Volunteer Survey'!M205)"),"")</f>
        <v/>
      </c>
      <c r="AM206" s="175" t="str">
        <f ca="1">IFERROR(__xludf.DUMMYFUNCTION("QUERY('Volunteer Survey'!N205)"),"I have some experience with variant interpretation and classification. My primary role in my job at NorthShore is research on our hospital cohort of variant data. I also authored a software tool, Clinotator, to examine variant evidence in ClinVar. My seco"&amp;"ndary job position is with the UChicago Department of Psychiatry and Behavioral Neuroscience and deals with neurodegenerative conditions (mainly AD). ")</f>
        <v xml:space="preserve">I have some experience with variant interpretation and classification. My primary role in my job at NorthShore is research on our hospital cohort of variant data. I also authored a software tool, Clinotator, to examine variant evidence in ClinVar. My secondary job position is with the UChicago Department of Psychiatry and Behavioral Neuroscience and deals with neurodegenerative conditions (mainly AD). </v>
      </c>
      <c r="AN206" s="175" t="str">
        <f ca="1">IFERROR(__xludf.DUMMYFUNCTION("QUERY('Volunteer Survey'!O205)"),"Possibly")</f>
        <v>Possibly</v>
      </c>
      <c r="AO206" s="175" t="str">
        <f ca="1">IFERROR(__xludf.DUMMYFUNCTION("QUERY('Volunteer Survey'!P205)"),"Ideally a working group regarding my experience, like Sequence Variant Discrepancy Resolution or Interpretation. Alternately, I have a growing interest (but much less knowledge) in the three areas of dosage sensitivity working groups, coming from a comput"&amp;"ational perspective (equal interest in all three). ")</f>
        <v xml:space="preserve">Ideally a working group regarding my experience, like Sequence Variant Discrepancy Resolution or Interpretation. Alternately, I have a growing interest (but much less knowledge) in the three areas of dosage sensitivity working groups, coming from a computational perspective (equal interest in all three). </v>
      </c>
    </row>
    <row r="207" spans="1:41" ht="14">
      <c r="A207" s="44">
        <f ca="1">IFERROR(__xludf.DUMMYFUNCTION("QUERY('Volunteer Survey'!A214)"),43619.481825162)</f>
        <v>43619.481825162002</v>
      </c>
      <c r="B207" s="42" t="s">
        <v>322</v>
      </c>
      <c r="C207" s="47"/>
      <c r="D207" s="49"/>
      <c r="E207" s="49"/>
      <c r="F207" s="42" t="s">
        <v>130</v>
      </c>
      <c r="G207" s="42" t="s">
        <v>163</v>
      </c>
      <c r="H207" s="47"/>
      <c r="I207" s="45" t="s">
        <v>139</v>
      </c>
      <c r="J207" s="49"/>
      <c r="K207" s="49"/>
      <c r="L207" s="49" t="str">
        <f ca="1">IFERROR(__xludf.DUMMYFUNCTION("QUERY('Volunteer Survey'!B214)"),"Laura Sack")</f>
        <v>Laura Sack</v>
      </c>
      <c r="M207" s="49" t="str">
        <f ca="1">IFERROR(__xludf.DUMMYFUNCTION("QUERY('Volunteer Survey'!E214)"),"laura@sack.io")</f>
        <v>laura@sack.io</v>
      </c>
      <c r="N207" s="49" t="str">
        <f ca="1">IFERROR(__xludf.DUMMYFUNCTION("QUERY('Volunteer Survey'!F214)"),"Variant Analyst/Scientist - Industry")</f>
        <v>Variant Analyst/Scientist - Industry</v>
      </c>
      <c r="O207" s="42" t="str">
        <f ca="1">IFERROR(__xludf.DUMMYFUNCTION("QUERY('Volunteer Survey'!H214)"),"Comprehensive")</f>
        <v>Comprehensive</v>
      </c>
      <c r="P207" s="49" t="str">
        <f ca="1">IFERROR(__xludf.DUMMYFUNCTION("QUERY('Volunteer Survey'!I214)"),"Dosage Sensitivity")</f>
        <v>Dosage Sensitivity</v>
      </c>
      <c r="Q207" s="54" t="str">
        <f ca="1">IFERROR(__xludf.DUMMYFUNCTION("QUERY('Volunteer Survey'!J214)"),"Gene-Disease Validity")</f>
        <v>Gene-Disease Validity</v>
      </c>
      <c r="R207" s="49" t="str">
        <f ca="1">IFERROR(__xludf.DUMMYFUNCTION("QUERY('Volunteer Survey'!K214)"),"Variant Pathogenicity")</f>
        <v>Variant Pathogenicity</v>
      </c>
      <c r="S207" s="49" t="str">
        <f ca="1">IFERROR(__xludf.DUMMYFUNCTION("QUERY('Volunteer Survey'!L214)"),"")</f>
        <v/>
      </c>
      <c r="T207" s="49" t="str">
        <f ca="1">IFERROR(__xludf.DUMMYFUNCTION("QUERY('Volunteer Survey'!M214)"),"")</f>
        <v/>
      </c>
      <c r="U207" s="58" t="str">
        <f ca="1">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V207" s="49" t="str">
        <f ca="1">IFERROR(__xludf.DUMMYFUNCTION("QUERY('Volunteer Survey'!O214)"),"Possibly")</f>
        <v>Possibly</v>
      </c>
      <c r="W207" s="60" t="str">
        <f ca="1">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c r="X207" s="58" t="str">
        <f ca="1">IFERROR(__xludf.DUMMYFUNCTION("QUERY('Volunteer Survey'!R214)"),"Yes- I am willing to volunteer with any available ClinGen group")</f>
        <v>Yes- I am willing to volunteer with any available ClinGen group</v>
      </c>
      <c r="Y207" s="47"/>
      <c r="Z207" s="174">
        <f ca="1">IFERROR(__xludf.DUMMYFUNCTION("QUERY('Volunteer Survey'!A206)"),43609.9557532407)</f>
        <v>43609.955753240698</v>
      </c>
      <c r="AA207" s="175" t="str">
        <f ca="1">IFERROR(__xludf.DUMMYFUNCTION("QUERY('Volunteer Survey'!B206)"),"Ljubica Caldovic")</f>
        <v>Ljubica Caldovic</v>
      </c>
      <c r="AB207" s="175" t="str">
        <f ca="1">IFERROR(__xludf.DUMMYFUNCTION("QUERY('Volunteer Survey'!C206)"),"Children's National Medical Center")</f>
        <v>Children's National Medical Center</v>
      </c>
      <c r="AC207" s="175" t="str">
        <f ca="1">IFERROR(__xludf.DUMMYFUNCTION("QUERY('Volunteer Survey'!D206)"),"111 Michigan AVe NW; Washington DC 20010")</f>
        <v>111 Michigan AVe NW; Washington DC 20010</v>
      </c>
      <c r="AD207" s="175" t="str">
        <f ca="1">IFERROR(__xludf.DUMMYFUNCTION("QUERY('Volunteer Survey'!E206)"),"lcaldovic@childrensnational.org")</f>
        <v>lcaldovic@childrensnational.org</v>
      </c>
      <c r="AE207" s="175" t="str">
        <f ca="1">IFERROR(__xludf.DUMMYFUNCTION("QUERY('Volunteer Survey'!F206)"),"Scientific Researcher")</f>
        <v>Scientific Researcher</v>
      </c>
      <c r="AF207" s="175" t="str">
        <f ca="1">IFERROR(__xludf.DUMMYFUNCTION("QUERY('Volunteer Survey'!G206)"),"Networking, Colleagues")</f>
        <v>Networking, Colleagues</v>
      </c>
      <c r="AG207" s="175" t="str">
        <f ca="1">IFERROR(__xludf.DUMMYFUNCTION("QUERY('Volunteer Survey'!H206)"),"Comprehensive")</f>
        <v>Comprehensive</v>
      </c>
      <c r="AH207" s="175" t="str">
        <f ca="1">IFERROR(__xludf.DUMMYFUNCTION("QUERY('Volunteer Survey'!I206)"),"Variant Pathogenicity")</f>
        <v>Variant Pathogenicity</v>
      </c>
      <c r="AI207" s="175" t="str">
        <f ca="1">IFERROR(__xludf.DUMMYFUNCTION("QUERY('Volunteer Survey'!J206)"),"Gene-Disease Validity")</f>
        <v>Gene-Disease Validity</v>
      </c>
      <c r="AJ207" s="175" t="str">
        <f ca="1">IFERROR(__xludf.DUMMYFUNCTION("QUERY('Volunteer Survey'!K206)"),"")</f>
        <v/>
      </c>
      <c r="AK207" s="175" t="str">
        <f ca="1">IFERROR(__xludf.DUMMYFUNCTION("QUERY('Volunteer Survey'!L206)"),"")</f>
        <v/>
      </c>
      <c r="AL207" s="175" t="str">
        <f ca="1">IFERROR(__xludf.DUMMYFUNCTION("QUERY('Volunteer Survey'!M206)"),"")</f>
        <v/>
      </c>
      <c r="AM207" s="175" t="str">
        <f ca="1">IFERROR(__xludf.DUMMYFUNCTION("QUERY('Volunteer Survey'!N206)"),"I am currently a member of the aminoacidopathy expert panel and curator for the NAGS gene. Because of my expertise in molecular biology, biochemistry, genetics and genomics I am really interested in variant curation")</f>
        <v>I am currently a member of the aminoacidopathy expert panel and curator for the NAGS gene. Because of my expertise in molecular biology, biochemistry, genetics and genomics I am really interested in variant curation</v>
      </c>
      <c r="AN207" s="175" t="str">
        <f ca="1">IFERROR(__xludf.DUMMYFUNCTION("QUERY('Volunteer Survey'!O206)"),"Yes")</f>
        <v>Yes</v>
      </c>
      <c r="AO207" s="175" t="str">
        <f ca="1">IFERROR(__xludf.DUMMYFUNCTION("QUERY('Volunteer Survey'!P206)"),"I am a member of the aminoacidopathy expert panel")</f>
        <v>I am a member of the aminoacidopathy expert panel</v>
      </c>
    </row>
    <row r="208" spans="1:41" ht="14">
      <c r="A208" s="44">
        <f ca="1">IFERROR(__xludf.DUMMYFUNCTION("QUERY('Volunteer Survey'!A215)"),43620.7890536342)</f>
        <v>43620.789053634202</v>
      </c>
      <c r="B208" s="42" t="s">
        <v>108</v>
      </c>
      <c r="C208" s="73">
        <v>43819</v>
      </c>
      <c r="D208" s="49"/>
      <c r="E208" s="49"/>
      <c r="F208" s="42" t="s">
        <v>130</v>
      </c>
      <c r="G208" s="42" t="s">
        <v>251</v>
      </c>
      <c r="H208" s="47"/>
      <c r="I208" s="45" t="s">
        <v>139</v>
      </c>
      <c r="J208" s="49"/>
      <c r="K208" s="49"/>
      <c r="L208" s="49" t="str">
        <f ca="1">IFERROR(__xludf.DUMMYFUNCTION("QUERY('Volunteer Survey'!B215)"),"Janel Case")</f>
        <v>Janel Case</v>
      </c>
      <c r="M208" s="49" t="str">
        <f ca="1">IFERROR(__xludf.DUMMYFUNCTION("QUERY('Volunteer Survey'!E215)"),"janelcase@live.com")</f>
        <v>janelcase@live.com</v>
      </c>
      <c r="N208" s="49" t="str">
        <f ca="1">IFERROR(__xludf.DUMMYFUNCTION("QUERY('Volunteer Survey'!F215)"),"Genetic counselor")</f>
        <v>Genetic counselor</v>
      </c>
      <c r="O208" s="42" t="str">
        <f ca="1">IFERROR(__xludf.DUMMYFUNCTION("QUERY('Volunteer Survey'!H215)"),"Comprehensive")</f>
        <v>Comprehensive</v>
      </c>
      <c r="P208" s="49" t="str">
        <f ca="1">IFERROR(__xludf.DUMMYFUNCTION("QUERY('Volunteer Survey'!I215)"),"Variant Pathogenicity")</f>
        <v>Variant Pathogenicity</v>
      </c>
      <c r="Q208" s="54" t="str">
        <f ca="1">IFERROR(__xludf.DUMMYFUNCTION("QUERY('Volunteer Survey'!J215)"),"Actionability")</f>
        <v>Actionability</v>
      </c>
      <c r="R208" s="49" t="str">
        <f ca="1">IFERROR(__xludf.DUMMYFUNCTION("QUERY('Volunteer Survey'!K215)"),"")</f>
        <v/>
      </c>
      <c r="S208" s="49" t="str">
        <f ca="1">IFERROR(__xludf.DUMMYFUNCTION("QUERY('Volunteer Survey'!L215)"),"")</f>
        <v/>
      </c>
      <c r="T208" s="49" t="str">
        <f ca="1">IFERROR(__xludf.DUMMYFUNCTION("QUERY('Volunteer Survey'!M215)"),"")</f>
        <v/>
      </c>
      <c r="U208" s="58" t="str">
        <f ca="1">IFERROR(__xludf.DUMMYFUNCTION("QUERY('Volunteer Survey'!N215)"),"Variant curation internship at Illumina ")</f>
        <v xml:space="preserve">Variant curation internship at Illumina </v>
      </c>
      <c r="V208" s="49" t="str">
        <f ca="1">IFERROR(__xludf.DUMMYFUNCTION("QUERY('Volunteer Survey'!O215)"),"Possibly")</f>
        <v>Possibly</v>
      </c>
      <c r="W208" s="60" t="str">
        <f ca="1">IFERROR(__xludf.DUMMYFUNCTION("QUERY('Volunteer Survey'!P215)"),"Any hereditary cancer related groups ")</f>
        <v xml:space="preserve">Any hereditary cancer related groups </v>
      </c>
      <c r="X208" s="58" t="str">
        <f ca="1">IFERROR(__xludf.DUMMYFUNCTION("QUERY('Volunteer Survey'!R215)"),"Maybe -- please contact me with other options, and I will decide based on what is available")</f>
        <v>Maybe -- please contact me with other options, and I will decide based on what is available</v>
      </c>
      <c r="Y208" s="47"/>
      <c r="Z208" s="174">
        <f ca="1">IFERROR(__xludf.DUMMYFUNCTION("QUERY('Volunteer Survey'!A207)"),43610.740048368)</f>
        <v>43610.740048368003</v>
      </c>
      <c r="AA208" s="175" t="str">
        <f ca="1">IFERROR(__xludf.DUMMYFUNCTION("QUERY('Volunteer Survey'!B207)"),"Joy Goffena")</f>
        <v>Joy Goffena</v>
      </c>
      <c r="AB208" s="175" t="str">
        <f ca="1">IFERROR(__xludf.DUMMYFUNCTION("QUERY('Volunteer Survey'!C207)"),"Roundup Memorial Healthcare")</f>
        <v>Roundup Memorial Healthcare</v>
      </c>
      <c r="AC208" s="175" t="str">
        <f ca="1">IFERROR(__xludf.DUMMYFUNCTION("QUERY('Volunteer Survey'!D207)"),"324 3rd St W Roundup, MT 59072")</f>
        <v>324 3rd St W Roundup, MT 59072</v>
      </c>
      <c r="AD208" s="175" t="str">
        <f ca="1">IFERROR(__xludf.DUMMYFUNCTION("QUERY('Volunteer Survey'!E207)"),"joy.goffena@gmail.com")</f>
        <v>joy.goffena@gmail.com</v>
      </c>
      <c r="AE208" s="175" t="str">
        <f ca="1">IFERROR(__xludf.DUMMYFUNCTION("QUERY('Volunteer Survey'!F207)"),"Scientific Researcher")</f>
        <v>Scientific Researcher</v>
      </c>
      <c r="AF208" s="175" t="str">
        <f ca="1">IFERROR(__xludf.DUMMYFUNCTION("QUERY('Volunteer Survey'!G207)"),"The clinicalgenome.org website")</f>
        <v>The clinicalgenome.org website</v>
      </c>
      <c r="AG208" s="175" t="str">
        <f ca="1">IFERROR(__xludf.DUMMYFUNCTION("QUERY('Volunteer Survey'!H207)"),"Comprehensive")</f>
        <v>Comprehensive</v>
      </c>
      <c r="AH208" s="175" t="str">
        <f ca="1">IFERROR(__xludf.DUMMYFUNCTION("QUERY('Volunteer Survey'!I207)"),"Variant Pathogenicity")</f>
        <v>Variant Pathogenicity</v>
      </c>
      <c r="AI208" s="175" t="str">
        <f ca="1">IFERROR(__xludf.DUMMYFUNCTION("QUERY('Volunteer Survey'!J207)"),"Gene-Disease Validity")</f>
        <v>Gene-Disease Validity</v>
      </c>
      <c r="AJ208" s="175" t="str">
        <f ca="1">IFERROR(__xludf.DUMMYFUNCTION("QUERY('Volunteer Survey'!K207)"),"Somatic Cancer")</f>
        <v>Somatic Cancer</v>
      </c>
      <c r="AK208" s="175" t="str">
        <f ca="1">IFERROR(__xludf.DUMMYFUNCTION("QUERY('Volunteer Survey'!L207)"),"Clinical Actionability")</f>
        <v>Clinical Actionability</v>
      </c>
      <c r="AL208" s="175" t="str">
        <f ca="1">IFERROR(__xludf.DUMMYFUNCTION("QUERY('Volunteer Survey'!M207)"),"Dosage Sensitivity")</f>
        <v>Dosage Sensitivity</v>
      </c>
      <c r="AM208" s="175" t="str">
        <f ca="1">IFERROR(__xludf.DUMMYFUNCTION("QUERY('Volunteer Survey'!N207)"),"")</f>
        <v/>
      </c>
      <c r="AN208" s="175" t="str">
        <f ca="1">IFERROR(__xludf.DUMMYFUNCTION("QUERY('Volunteer Survey'!O207)"),"Yes")</f>
        <v>Yes</v>
      </c>
      <c r="AO208" s="175" t="str">
        <f ca="1">IFERROR(__xludf.DUMMYFUNCTION("QUERY('Volunteer Survey'!P207)"),"")</f>
        <v/>
      </c>
    </row>
    <row r="209" spans="1:41" ht="14">
      <c r="A209" s="44">
        <f ca="1">IFERROR(__xludf.DUMMYFUNCTION("QUERY('Volunteer Survey'!A216)"),43621.341686875)</f>
        <v>43621.341686874999</v>
      </c>
      <c r="B209" s="42" t="s">
        <v>108</v>
      </c>
      <c r="C209" s="47"/>
      <c r="D209" s="50">
        <v>43627</v>
      </c>
      <c r="E209" s="42" t="s">
        <v>117</v>
      </c>
      <c r="F209" s="42" t="s">
        <v>117</v>
      </c>
      <c r="G209" s="42" t="s">
        <v>251</v>
      </c>
      <c r="H209" s="47"/>
      <c r="I209" s="45" t="s">
        <v>139</v>
      </c>
      <c r="J209" s="49"/>
      <c r="K209" s="49"/>
      <c r="L209" s="49" t="str">
        <f ca="1">IFERROR(__xludf.DUMMYFUNCTION("QUERY('Volunteer Survey'!B216)"),"Carolina Bustamante")</f>
        <v>Carolina Bustamante</v>
      </c>
      <c r="M209" s="49" t="str">
        <f ca="1">IFERROR(__xludf.DUMMYFUNCTION("QUERY('Volunteer Survey'!E216)"),"carolina.bustamante@gmail.com")</f>
        <v>carolina.bustamante@gmail.com</v>
      </c>
      <c r="N209" s="49" t="str">
        <f ca="1">IFERROR(__xludf.DUMMYFUNCTION("QUERY('Volunteer Survey'!F216)"),"Variant Analyst/Scientist - Industry")</f>
        <v>Variant Analyst/Scientist - Industry</v>
      </c>
      <c r="O209" s="42" t="str">
        <f ca="1">IFERROR(__xludf.DUMMYFUNCTION("QUERY('Volunteer Survey'!H216)"),"Comprehensive")</f>
        <v>Comprehensive</v>
      </c>
      <c r="P209" s="49" t="str">
        <f ca="1">IFERROR(__xludf.DUMMYFUNCTION("QUERY('Volunteer Survey'!I216)"),"Variant Pathogenicity")</f>
        <v>Variant Pathogenicity</v>
      </c>
      <c r="Q209" s="54" t="str">
        <f ca="1">IFERROR(__xludf.DUMMYFUNCTION("QUERY('Volunteer Survey'!J216)"),"Somatic Cancer")</f>
        <v>Somatic Cancer</v>
      </c>
      <c r="R209" s="49" t="str">
        <f ca="1">IFERROR(__xludf.DUMMYFUNCTION("QUERY('Volunteer Survey'!K216)"),"Clinical Actionability")</f>
        <v>Clinical Actionability</v>
      </c>
      <c r="S209" s="49" t="str">
        <f ca="1">IFERROR(__xludf.DUMMYFUNCTION("QUERY('Volunteer Survey'!L216)"),"Gene-Disease Validity")</f>
        <v>Gene-Disease Validity</v>
      </c>
      <c r="T209" s="49" t="str">
        <f ca="1">IFERROR(__xludf.DUMMYFUNCTION("QUERY('Volunteer Survey'!M216)"),"Dosage Sensitivity")</f>
        <v>Dosage Sensitivity</v>
      </c>
      <c r="U209" s="58" t="str">
        <f ca="1">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V209" s="49" t="str">
        <f ca="1">IFERROR(__xludf.DUMMYFUNCTION("QUERY('Volunteer Survey'!O216)"),"Yes")</f>
        <v>Yes</v>
      </c>
      <c r="W209" s="60" t="str">
        <f ca="1">IFERROR(__xludf.DUMMYFUNCTION("QUERY('Volunteer Survey'!P216)"),"Cancer, Hereditary Cancer, Colorectal Cancer, Genitourinary Tract Cancers, TP53, PTEN, CDH1, FBN1. ")</f>
        <v xml:space="preserve">Cancer, Hereditary Cancer, Colorectal Cancer, Genitourinary Tract Cancers, TP53, PTEN, CDH1, FBN1. </v>
      </c>
      <c r="X209" s="58" t="str">
        <f ca="1">IFERROR(__xludf.DUMMYFUNCTION("QUERY('Volunteer Survey'!R216)"),"Yes- I am willing to volunteer with any available ClinGen group")</f>
        <v>Yes- I am willing to volunteer with any available ClinGen group</v>
      </c>
      <c r="Y209" s="47"/>
      <c r="Z209" s="174">
        <f ca="1">IFERROR(__xludf.DUMMYFUNCTION("QUERY('Volunteer Survey'!A208)"),43612.7448295601)</f>
        <v>43612.744829560099</v>
      </c>
      <c r="AA209" s="175" t="str">
        <f ca="1">IFERROR(__xludf.DUMMYFUNCTION("QUERY('Volunteer Survey'!B208)"),"Amruta Phatak")</f>
        <v>Amruta Phatak</v>
      </c>
      <c r="AB209" s="175" t="str">
        <f ca="1">IFERROR(__xludf.DUMMYFUNCTION("QUERY('Volunteer Survey'!C208)"),"Indiana University")</f>
        <v>Indiana University</v>
      </c>
      <c r="AC209" s="175" t="str">
        <f ca="1">IFERROR(__xludf.DUMMYFUNCTION("QUERY('Volunteer Survey'!D208)"),"")</f>
        <v/>
      </c>
      <c r="AD209" s="175" t="str">
        <f ca="1">IFERROR(__xludf.DUMMYFUNCTION("QUERY('Volunteer Survey'!E208)"),"arphatak@iu.edu")</f>
        <v>arphatak@iu.edu</v>
      </c>
      <c r="AE209" s="175" t="str">
        <f ca="1">IFERROR(__xludf.DUMMYFUNCTION("QUERY('Volunteer Survey'!F208)"),"Post Doc/Resident/Fellow (MD and/or PhD)")</f>
        <v>Post Doc/Resident/Fellow (MD and/or PhD)</v>
      </c>
      <c r="AF209" s="175" t="str">
        <f ca="1">IFERROR(__xludf.DUMMYFUNCTION("QUERY('Volunteer Survey'!G208)"),"The clinicalgenome.org website")</f>
        <v>The clinicalgenome.org website</v>
      </c>
      <c r="AG209" s="175" t="str">
        <f ca="1">IFERROR(__xludf.DUMMYFUNCTION("QUERY('Volunteer Survey'!H208)"),"Comprehensive")</f>
        <v>Comprehensive</v>
      </c>
      <c r="AH209" s="175" t="str">
        <f ca="1">IFERROR(__xludf.DUMMYFUNCTION("QUERY('Volunteer Survey'!I208)"),"Gene-Disease Validity")</f>
        <v>Gene-Disease Validity</v>
      </c>
      <c r="AI209" s="175" t="str">
        <f ca="1">IFERROR(__xludf.DUMMYFUNCTION("QUERY('Volunteer Survey'!J208)"),"Variant Pathogenicity")</f>
        <v>Variant Pathogenicity</v>
      </c>
      <c r="AJ209" s="175" t="str">
        <f ca="1">IFERROR(__xludf.DUMMYFUNCTION("QUERY('Volunteer Survey'!K208)"),"Dosage Sensitivity")</f>
        <v>Dosage Sensitivity</v>
      </c>
      <c r="AK209" s="175" t="str">
        <f ca="1">IFERROR(__xludf.DUMMYFUNCTION("QUERY('Volunteer Survey'!L208)"),"")</f>
        <v/>
      </c>
      <c r="AL209" s="175" t="str">
        <f ca="1">IFERROR(__xludf.DUMMYFUNCTION("QUERY('Volunteer Survey'!M208)"),"")</f>
        <v/>
      </c>
      <c r="AM209" s="175" t="str">
        <f ca="1">IFERROR(__xludf.DUMMYFUNCTION("QUERY('Volunteer Survey'!N208)"),"")</f>
        <v/>
      </c>
      <c r="AN209" s="175" t="str">
        <f ca="1">IFERROR(__xludf.DUMMYFUNCTION("QUERY('Volunteer Survey'!O208)"),"Yes")</f>
        <v>Yes</v>
      </c>
      <c r="AO209" s="175" t="str">
        <f ca="1">IFERROR(__xludf.DUMMYFUNCTION("QUERY('Volunteer Survey'!P208)"),"")</f>
        <v/>
      </c>
    </row>
    <row r="210" spans="1:41" ht="14">
      <c r="A210" s="44">
        <f ca="1">IFERROR(__xludf.DUMMYFUNCTION("QUERY('Volunteer Survey'!A217)"),43621.3798945601)</f>
        <v>43621.379894560101</v>
      </c>
      <c r="B210" s="42" t="s">
        <v>108</v>
      </c>
      <c r="C210" s="47"/>
      <c r="D210" s="49"/>
      <c r="E210" s="49"/>
      <c r="F210" s="42" t="s">
        <v>130</v>
      </c>
      <c r="G210" s="42" t="s">
        <v>202</v>
      </c>
      <c r="H210" s="47"/>
      <c r="I210" s="45" t="s">
        <v>139</v>
      </c>
      <c r="J210" s="49"/>
      <c r="K210" s="49"/>
      <c r="L210" s="49" t="str">
        <f ca="1">IFERROR(__xludf.DUMMYFUNCTION("QUERY('Volunteer Survey'!B217)"),"Natalie Hollister")</f>
        <v>Natalie Hollister</v>
      </c>
      <c r="M210" s="49" t="str">
        <f ca="1">IFERROR(__xludf.DUMMYFUNCTION("QUERY('Volunteer Survey'!E217)"),"nsh10@alumni.duke.edu")</f>
        <v>nsh10@alumni.duke.edu</v>
      </c>
      <c r="N210" s="49" t="str">
        <f ca="1">IFERROR(__xludf.DUMMYFUNCTION("QUERY('Volunteer Survey'!F217)"),"Graduate Student")</f>
        <v>Graduate Student</v>
      </c>
      <c r="O210" s="42" t="str">
        <f ca="1">IFERROR(__xludf.DUMMYFUNCTION("QUERY('Volunteer Survey'!H217)"),"Baseline")</f>
        <v>Baseline</v>
      </c>
      <c r="P210" s="49" t="str">
        <f ca="1">IFERROR(__xludf.DUMMYFUNCTION("QUERY('Volunteer Survey'!I217)"),"")</f>
        <v/>
      </c>
      <c r="Q210" s="54" t="str">
        <f ca="1">IFERROR(__xludf.DUMMYFUNCTION("QUERY('Volunteer Survey'!J217)"),"")</f>
        <v/>
      </c>
      <c r="R210" s="49" t="str">
        <f ca="1">IFERROR(__xludf.DUMMYFUNCTION("QUERY('Volunteer Survey'!K217)"),"")</f>
        <v/>
      </c>
      <c r="S210" s="49" t="str">
        <f ca="1">IFERROR(__xludf.DUMMYFUNCTION("QUERY('Volunteer Survey'!L217)"),"")</f>
        <v/>
      </c>
      <c r="T210" s="49" t="str">
        <f ca="1">IFERROR(__xludf.DUMMYFUNCTION("QUERY('Volunteer Survey'!M217)"),"")</f>
        <v/>
      </c>
      <c r="U210" s="58" t="str">
        <f ca="1">IFERROR(__xludf.DUMMYFUNCTION("QUERY('Volunteer Survey'!N217)"),"")</f>
        <v/>
      </c>
      <c r="V210" s="49" t="str">
        <f ca="1">IFERROR(__xludf.DUMMYFUNCTION("QUERY('Volunteer Survey'!O217)"),"No")</f>
        <v>No</v>
      </c>
      <c r="W210" s="60" t="str">
        <f ca="1">IFERROR(__xludf.DUMMYFUNCTION("QUERY('Volunteer Survey'!P217)"),"")</f>
        <v/>
      </c>
      <c r="X210" s="58" t="str">
        <f ca="1">IFERROR(__xludf.DUMMYFUNCTION("QUERY('Volunteer Survey'!R217)"),"")</f>
        <v/>
      </c>
      <c r="Y210" s="47"/>
      <c r="Z210" s="174">
        <f ca="1">IFERROR(__xludf.DUMMYFUNCTION("QUERY('Volunteer Survey'!A209)"),43614.6097624421)</f>
        <v>43614.609762442102</v>
      </c>
      <c r="AA210" s="175" t="str">
        <f ca="1">IFERROR(__xludf.DUMMYFUNCTION("QUERY('Volunteer Survey'!B209)"),"Marcela Dias Hanna")</f>
        <v>Marcela Dias Hanna</v>
      </c>
      <c r="AB210" s="175" t="str">
        <f ca="1">IFERROR(__xludf.DUMMYFUNCTION("QUERY('Volunteer Survey'!C209)"),"None")</f>
        <v>None</v>
      </c>
      <c r="AC210" s="175" t="str">
        <f ca="1">IFERROR(__xludf.DUMMYFUNCTION("QUERY('Volunteer Survey'!D209)"),"SQNW 107 Bloco D apt 407")</f>
        <v>SQNW 107 Bloco D apt 407</v>
      </c>
      <c r="AD210" s="175" t="str">
        <f ca="1">IFERROR(__xludf.DUMMYFUNCTION("QUERY('Volunteer Survey'!E209)"),"marcelahanna8@gmail.com")</f>
        <v>marcelahanna8@gmail.com</v>
      </c>
      <c r="AE210" s="175" t="str">
        <f ca="1">IFERROR(__xludf.DUMMYFUNCTION("QUERY('Volunteer Survey'!F209)"),"Graduate Student")</f>
        <v>Graduate Student</v>
      </c>
      <c r="AF210" s="175" t="str">
        <f ca="1">IFERROR(__xludf.DUMMYFUNCTION("QUERY('Volunteer Survey'!G209)"),"2018 NSGC")</f>
        <v>2018 NSGC</v>
      </c>
      <c r="AG210" s="175" t="str">
        <f ca="1">IFERROR(__xludf.DUMMYFUNCTION("QUERY('Volunteer Survey'!H209)"),"Baseline")</f>
        <v>Baseline</v>
      </c>
      <c r="AH210" s="175" t="str">
        <f ca="1">IFERROR(__xludf.DUMMYFUNCTION("QUERY('Volunteer Survey'!I209)"),"Gene-Disease Validity")</f>
        <v>Gene-Disease Validity</v>
      </c>
      <c r="AI210" s="175" t="str">
        <f ca="1">IFERROR(__xludf.DUMMYFUNCTION("QUERY('Volunteer Survey'!J209)"),"Variant Pathogenicity")</f>
        <v>Variant Pathogenicity</v>
      </c>
      <c r="AJ210" s="175" t="str">
        <f ca="1">IFERROR(__xludf.DUMMYFUNCTION("QUERY('Volunteer Survey'!K209)"),"Somatic Cancer")</f>
        <v>Somatic Cancer</v>
      </c>
      <c r="AK210" s="175" t="str">
        <f ca="1">IFERROR(__xludf.DUMMYFUNCTION("QUERY('Volunteer Survey'!L209)"),"")</f>
        <v/>
      </c>
      <c r="AL210" s="175" t="str">
        <f ca="1">IFERROR(__xludf.DUMMYFUNCTION("QUERY('Volunteer Survey'!M209)"),"")</f>
        <v/>
      </c>
      <c r="AM210" s="175" t="str">
        <f ca="1">IFERROR(__xludf.DUMMYFUNCTION("QUERY('Volunteer Survey'!N209)"),"No.")</f>
        <v>No.</v>
      </c>
      <c r="AN210" s="175" t="str">
        <f ca="1">IFERROR(__xludf.DUMMYFUNCTION("QUERY('Volunteer Survey'!O209)"),"No")</f>
        <v>No</v>
      </c>
      <c r="AO210" s="175" t="str">
        <f ca="1">IFERROR(__xludf.DUMMYFUNCTION("QUERY('Volunteer Survey'!P209)"),"In order of preference: Gene curations: brain malformations; Variant: platelet disorder, TP53, VHL, brain malformations; Somatic: prediatric")</f>
        <v>In order of preference: Gene curations: brain malformations; Variant: platelet disorder, TP53, VHL, brain malformations; Somatic: prediatric</v>
      </c>
    </row>
    <row r="211" spans="1:41" ht="14">
      <c r="A211" s="44">
        <f ca="1">IFERROR(__xludf.DUMMYFUNCTION("QUERY('Volunteer Survey'!A218)"),43622.554816875)</f>
        <v>43622.554816875003</v>
      </c>
      <c r="B211" s="42" t="s">
        <v>108</v>
      </c>
      <c r="C211" s="47"/>
      <c r="D211" s="59">
        <v>43692</v>
      </c>
      <c r="E211" s="42" t="s">
        <v>117</v>
      </c>
      <c r="F211" s="42" t="s">
        <v>117</v>
      </c>
      <c r="G211" s="42" t="s">
        <v>122</v>
      </c>
      <c r="H211" s="47"/>
      <c r="I211" s="45" t="s">
        <v>139</v>
      </c>
      <c r="J211" s="49"/>
      <c r="K211" s="49"/>
      <c r="L211" s="49" t="str">
        <f ca="1">IFERROR(__xludf.DUMMYFUNCTION("QUERY('Volunteer Survey'!B218)"),"Jean Davidson")</f>
        <v>Jean Davidson</v>
      </c>
      <c r="M211" s="49" t="str">
        <f ca="1">IFERROR(__xludf.DUMMYFUNCTION("QUERY('Volunteer Survey'!E218)"),"jdavid06@calpoly.edu")</f>
        <v>jdavid06@calpoly.edu</v>
      </c>
      <c r="N211" s="49" t="str">
        <f ca="1">IFERROR(__xludf.DUMMYFUNCTION("QUERY('Volunteer Survey'!F218)"),"Scientific Researcher")</f>
        <v>Scientific Researcher</v>
      </c>
      <c r="O211" s="42" t="str">
        <f ca="1">IFERROR(__xludf.DUMMYFUNCTION("QUERY('Volunteer Survey'!H218)"),"Comprehensive")</f>
        <v>Comprehensive</v>
      </c>
      <c r="P211" s="49" t="str">
        <f ca="1">IFERROR(__xludf.DUMMYFUNCTION("QUERY('Volunteer Survey'!I218)"),"Gene-Disease Validity")</f>
        <v>Gene-Disease Validity</v>
      </c>
      <c r="Q211" s="54" t="str">
        <f ca="1">IFERROR(__xludf.DUMMYFUNCTION("QUERY('Volunteer Survey'!J218)"),"Variant Pathogenicity")</f>
        <v>Variant Pathogenicity</v>
      </c>
      <c r="R211" s="49" t="str">
        <f ca="1">IFERROR(__xludf.DUMMYFUNCTION("QUERY('Volunteer Survey'!K218)"),"Clinical Actionability")</f>
        <v>Clinical Actionability</v>
      </c>
      <c r="S211" s="49" t="str">
        <f ca="1">IFERROR(__xludf.DUMMYFUNCTION("QUERY('Volunteer Survey'!L218)"),"Dosage Sensitivity")</f>
        <v>Dosage Sensitivity</v>
      </c>
      <c r="T211" s="49" t="str">
        <f ca="1">IFERROR(__xludf.DUMMYFUNCTION("QUERY('Volunteer Survey'!M218)"),"Somatic Cancer")</f>
        <v>Somatic Cancer</v>
      </c>
      <c r="U211" s="58" t="str">
        <f ca="1">IFERROR(__xludf.DUMMYFUNCTION("QUERY('Volunteer Survey'!N218)"),"I was a member of the Undiagnosed Disease Network at Stanford University as a genomics coordinator, as well as a member of the ENCODE coordination center at Stanford.  ")</f>
        <v xml:space="preserve">I was a member of the Undiagnosed Disease Network at Stanford University as a genomics coordinator, as well as a member of the ENCODE coordination center at Stanford.  </v>
      </c>
      <c r="V211" s="49" t="str">
        <f ca="1">IFERROR(__xludf.DUMMYFUNCTION("QUERY('Volunteer Survey'!O218)"),"No")</f>
        <v>No</v>
      </c>
      <c r="W211" s="60" t="str">
        <f ca="1">IFERROR(__xludf.DUMMYFUNCTION("QUERY('Volunteer Survey'!P218)"),"mitochondrial diseases, dilated cardiomyopathy, ")</f>
        <v xml:space="preserve">mitochondrial diseases, dilated cardiomyopathy, </v>
      </c>
      <c r="X211" s="58" t="str">
        <f ca="1">IFERROR(__xludf.DUMMYFUNCTION("QUERY('Volunteer Survey'!R218)"),"Yes- I am willing to volunteer with any available ClinGen group")</f>
        <v>Yes- I am willing to volunteer with any available ClinGen group</v>
      </c>
      <c r="Y211" s="47"/>
      <c r="Z211" s="174">
        <f ca="1">IFERROR(__xludf.DUMMYFUNCTION("QUERY('Volunteer Survey'!A210)"),43615.0607542824)</f>
        <v>43615.0607542824</v>
      </c>
      <c r="AA211" s="175" t="str">
        <f ca="1">IFERROR(__xludf.DUMMYFUNCTION("QUERY('Volunteer Survey'!B210)"),"Cath Tyner")</f>
        <v>Cath Tyner</v>
      </c>
      <c r="AB211" s="175" t="str">
        <f ca="1">IFERROR(__xludf.DUMMYFUNCTION("QUERY('Volunteer Survey'!C210)"),"Invitae")</f>
        <v>Invitae</v>
      </c>
      <c r="AC211" s="175" t="str">
        <f ca="1">IFERROR(__xludf.DUMMYFUNCTION("QUERY('Volunteer Survey'!D210)"),"1127 N BRANCIFORTE AVE, SANTA CRUZ CA 95062")</f>
        <v>1127 N BRANCIFORTE AVE, SANTA CRUZ CA 95062</v>
      </c>
      <c r="AD211" s="175" t="str">
        <f ca="1">IFERROR(__xludf.DUMMYFUNCTION("QUERY('Volunteer Survey'!E210)"),"cathtyner@gmail.com")</f>
        <v>cathtyner@gmail.com</v>
      </c>
      <c r="AE211" s="175" t="str">
        <f ca="1">IFERROR(__xludf.DUMMYFUNCTION("QUERY('Volunteer Survey'!F210)"),"Software QA Engineer at Invitae")</f>
        <v>Software QA Engineer at Invitae</v>
      </c>
      <c r="AF211" s="175" t="str">
        <f ca="1">IFERROR(__xludf.DUMMYFUNCTION("QUERY('Volunteer Survey'!G210)"),"Youtube")</f>
        <v>Youtube</v>
      </c>
      <c r="AG211" s="175" t="str">
        <f ca="1">IFERROR(__xludf.DUMMYFUNCTION("QUERY('Volunteer Survey'!H210)"),"Comprehensive")</f>
        <v>Comprehensive</v>
      </c>
      <c r="AH211" s="175" t="str">
        <f ca="1">IFERROR(__xludf.DUMMYFUNCTION("QUERY('Volunteer Survey'!I210)"),"Variant Pathogenicity")</f>
        <v>Variant Pathogenicity</v>
      </c>
      <c r="AI211" s="175" t="str">
        <f ca="1">IFERROR(__xludf.DUMMYFUNCTION("QUERY('Volunteer Survey'!J210)"),"Gene-Disease Validity")</f>
        <v>Gene-Disease Validity</v>
      </c>
      <c r="AJ211" s="175" t="str">
        <f ca="1">IFERROR(__xludf.DUMMYFUNCTION("QUERY('Volunteer Survey'!K210)"),"Clinical Actionability")</f>
        <v>Clinical Actionability</v>
      </c>
      <c r="AK211" s="175" t="str">
        <f ca="1">IFERROR(__xludf.DUMMYFUNCTION("QUERY('Volunteer Survey'!L210)"),"Somatic Cancer")</f>
        <v>Somatic Cancer</v>
      </c>
      <c r="AL211" s="175" t="str">
        <f ca="1">IFERROR(__xludf.DUMMYFUNCTION("QUERY('Volunteer Survey'!M210)"),"Dosage Sensitivity")</f>
        <v>Dosage Sensitivity</v>
      </c>
      <c r="AM211" s="175" t="str">
        <f ca="1">IFERROR(__xludf.DUMMYFUNCTION("QUERY('Volunteer Survey'!N210)"),"QA software which is used in gene curation for Invitae")</f>
        <v>QA software which is used in gene curation for Invitae</v>
      </c>
      <c r="AN211" s="175" t="str">
        <f ca="1">IFERROR(__xludf.DUMMYFUNCTION("QUERY('Volunteer Survey'!O210)"),"Possibly")</f>
        <v>Possibly</v>
      </c>
      <c r="AO211" s="175" t="str">
        <f ca="1">IFERROR(__xludf.DUMMYFUNCTION("QUERY('Volunteer Survey'!P210)"),"")</f>
        <v/>
      </c>
    </row>
    <row r="212" spans="1:41" ht="14">
      <c r="A212" s="44">
        <f ca="1">IFERROR(__xludf.DUMMYFUNCTION("QUERY('Volunteer Survey'!A219)"),43623.2904925463)</f>
        <v>43623.290492546301</v>
      </c>
      <c r="B212" s="42" t="s">
        <v>168</v>
      </c>
      <c r="C212" s="47"/>
      <c r="D212" s="49"/>
      <c r="E212" s="49"/>
      <c r="F212" s="42" t="s">
        <v>130</v>
      </c>
      <c r="G212" s="42" t="s">
        <v>251</v>
      </c>
      <c r="H212" s="47"/>
      <c r="I212" s="45" t="s">
        <v>139</v>
      </c>
      <c r="J212" s="49"/>
      <c r="K212" s="49"/>
      <c r="L212" s="49" t="str">
        <f ca="1">IFERROR(__xludf.DUMMYFUNCTION("QUERY('Volunteer Survey'!B219)"),"Timo Dereani")</f>
        <v>Timo Dereani</v>
      </c>
      <c r="M212" s="49" t="str">
        <f ca="1">IFERROR(__xludf.DUMMYFUNCTION("QUERY('Volunteer Survey'!E219)"),"dereani@biologis.diagnosticum.eu")</f>
        <v>dereani@biologis.diagnosticum.eu</v>
      </c>
      <c r="N212" s="49" t="str">
        <f ca="1">IFERROR(__xludf.DUMMYFUNCTION("QUERY('Volunteer Survey'!F219)"),"Clinical laboratory geneticist")</f>
        <v>Clinical laboratory geneticist</v>
      </c>
      <c r="O212" s="42" t="str">
        <f ca="1">IFERROR(__xludf.DUMMYFUNCTION("QUERY('Volunteer Survey'!H219)"),"Comprehensive")</f>
        <v>Comprehensive</v>
      </c>
      <c r="P212" s="49" t="str">
        <f ca="1">IFERROR(__xludf.DUMMYFUNCTION("QUERY('Volunteer Survey'!I219)"),"Variant Pathogenicity")</f>
        <v>Variant Pathogenicity</v>
      </c>
      <c r="Q212" s="54" t="str">
        <f ca="1">IFERROR(__xludf.DUMMYFUNCTION("QUERY('Volunteer Survey'!J219)"),"Clinical Actionability")</f>
        <v>Clinical Actionability</v>
      </c>
      <c r="R212" s="49" t="str">
        <f ca="1">IFERROR(__xludf.DUMMYFUNCTION("QUERY('Volunteer Survey'!K219)"),"Dosage Sensitivity")</f>
        <v>Dosage Sensitivity</v>
      </c>
      <c r="S212" s="49" t="str">
        <f ca="1">IFERROR(__xludf.DUMMYFUNCTION("QUERY('Volunteer Survey'!L219)"),"Gene-Disease Validity")</f>
        <v>Gene-Disease Validity</v>
      </c>
      <c r="T212" s="49" t="str">
        <f ca="1">IFERROR(__xludf.DUMMYFUNCTION("QUERY('Volunteer Survey'!M219)"),"Somatic Cancer")</f>
        <v>Somatic Cancer</v>
      </c>
      <c r="U212" s="58" t="str">
        <f ca="1">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V212" s="49" t="str">
        <f ca="1">IFERROR(__xludf.DUMMYFUNCTION("QUERY('Volunteer Survey'!O219)"),"Yes")</f>
        <v>Yes</v>
      </c>
      <c r="W212" s="60" t="str">
        <f ca="1">IFERROR(__xludf.DUMMYFUNCTION("QUERY('Volunteer Survey'!P219)"),"Monogenic Diabetes, Hereditary Cancer")</f>
        <v>Monogenic Diabetes, Hereditary Cancer</v>
      </c>
      <c r="X212" s="58" t="str">
        <f ca="1">IFERROR(__xludf.DUMMYFUNCTION("QUERY('Volunteer Survey'!R219)"),"Maybe -- please contact me with other options, and I will decide based on what is available")</f>
        <v>Maybe -- please contact me with other options, and I will decide based on what is available</v>
      </c>
      <c r="Y212" s="47"/>
      <c r="Z212" s="174">
        <f ca="1">IFERROR(__xludf.DUMMYFUNCTION("QUERY('Volunteer Survey'!A211)"),43615.3992976736)</f>
        <v>43615.399297673597</v>
      </c>
      <c r="AA212" s="175" t="str">
        <f ca="1">IFERROR(__xludf.DUMMYFUNCTION("QUERY('Volunteer Survey'!B211)"),"Abdelazeem Elhabyan ")</f>
        <v xml:space="preserve">Abdelazeem Elhabyan </v>
      </c>
      <c r="AB212" s="175" t="str">
        <f ca="1">IFERROR(__xludf.DUMMYFUNCTION("QUERY('Volunteer Survey'!C211)"),"Tanta university Faculty of Medicine")</f>
        <v>Tanta university Faculty of Medicine</v>
      </c>
      <c r="AC212" s="175" t="str">
        <f ca="1">IFERROR(__xludf.DUMMYFUNCTION("QUERY('Volunteer Survey'!D211)"),"Tanta , Ali Dawood street from Kafr Essam street Dr.Abdelhameed Elhabyan house")</f>
        <v>Tanta , Ali Dawood street from Kafr Essam street Dr.Abdelhameed Elhabyan house</v>
      </c>
      <c r="AD212" s="175" t="str">
        <f ca="1">IFERROR(__xludf.DUMMYFUNCTION("QUERY('Volunteer Survey'!E211)"),"Abdelazeem_abdelhameed2015505@yahoo.com")</f>
        <v>Abdelazeem_abdelhameed2015505@yahoo.com</v>
      </c>
      <c r="AE212" s="175" t="str">
        <f ca="1">IFERROR(__xludf.DUMMYFUNCTION("QUERY('Volunteer Survey'!F211)"),"Graduate Student")</f>
        <v>Graduate Student</v>
      </c>
      <c r="AF212" s="175" t="str">
        <f ca="1">IFERROR(__xludf.DUMMYFUNCTION("QUERY('Volunteer Survey'!G211)"),"Twitter")</f>
        <v>Twitter</v>
      </c>
      <c r="AG212" s="175" t="str">
        <f ca="1">IFERROR(__xludf.DUMMYFUNCTION("QUERY('Volunteer Survey'!H211)"),"Comprehensive")</f>
        <v>Comprehensive</v>
      </c>
      <c r="AH212" s="175" t="str">
        <f ca="1">IFERROR(__xludf.DUMMYFUNCTION("QUERY('Volunteer Survey'!I211)"),"Variant Pathogenicity")</f>
        <v>Variant Pathogenicity</v>
      </c>
      <c r="AI212" s="175" t="str">
        <f ca="1">IFERROR(__xludf.DUMMYFUNCTION("QUERY('Volunteer Survey'!J211)"),"Somatic Cancer")</f>
        <v>Somatic Cancer</v>
      </c>
      <c r="AJ212" s="175" t="str">
        <f ca="1">IFERROR(__xludf.DUMMYFUNCTION("QUERY('Volunteer Survey'!K211)"),"Gene-Disease Validity")</f>
        <v>Gene-Disease Validity</v>
      </c>
      <c r="AK212" s="175" t="str">
        <f ca="1">IFERROR(__xludf.DUMMYFUNCTION("QUERY('Volunteer Survey'!L211)"),"Clinical Actionability")</f>
        <v>Clinical Actionability</v>
      </c>
      <c r="AL212" s="175" t="str">
        <f ca="1">IFERROR(__xludf.DUMMYFUNCTION("QUERY('Volunteer Survey'!M211)"),"Dosage Sensitivity")</f>
        <v>Dosage Sensitivity</v>
      </c>
      <c r="AM212" s="175" t="str">
        <f ca="1">IFERROR(__xludf.DUMMYFUNCTION("QUERY('Volunteer Survey'!N211)"),"I have received training In mapping,  variant calling using galaxy project and received many online courses in genomics ")</f>
        <v xml:space="preserve">I have received training In mapping,  variant calling using galaxy project and received many online courses in genomics </v>
      </c>
      <c r="AN212" s="175" t="str">
        <f ca="1">IFERROR(__xludf.DUMMYFUNCTION("QUERY('Volunteer Survey'!O211)"),"Yes")</f>
        <v>Yes</v>
      </c>
      <c r="AO212" s="175" t="str">
        <f ca="1">IFERROR(__xludf.DUMMYFUNCTION("QUERY('Volunteer Survey'!P211)"),"Hereditary cancer ")</f>
        <v xml:space="preserve">Hereditary cancer </v>
      </c>
    </row>
    <row r="213" spans="1:41" ht="14">
      <c r="A213" s="44">
        <f ca="1">IFERROR(__xludf.DUMMYFUNCTION("QUERY('Volunteer Survey'!A220)"),43625.5121806481)</f>
        <v>43625.512180648097</v>
      </c>
      <c r="B213" s="42" t="s">
        <v>322</v>
      </c>
      <c r="C213" s="47"/>
      <c r="D213" s="49"/>
      <c r="E213" s="49"/>
      <c r="F213" s="42" t="s">
        <v>130</v>
      </c>
      <c r="G213" s="42" t="s">
        <v>122</v>
      </c>
      <c r="H213" s="47"/>
      <c r="I213" s="45" t="s">
        <v>139</v>
      </c>
      <c r="J213" s="49"/>
      <c r="K213" s="49"/>
      <c r="L213" s="49" t="str">
        <f ca="1">IFERROR(__xludf.DUMMYFUNCTION("QUERY('Volunteer Survey'!B220)"),"Konstantinos Varvagiannis")</f>
        <v>Konstantinos Varvagiannis</v>
      </c>
      <c r="M213" s="49" t="str">
        <f ca="1">IFERROR(__xludf.DUMMYFUNCTION("QUERY('Volunteer Survey'!E220)"),"knsvarv@ath.forthnet.gr")</f>
        <v>knsvarv@ath.forthnet.gr</v>
      </c>
      <c r="N213" s="49" t="str">
        <f ca="1">IFERROR(__xludf.DUMMYFUNCTION("QUERY('Volunteer Survey'!F220)"),"Clinical Medical Geneticist")</f>
        <v>Clinical Medical Geneticist</v>
      </c>
      <c r="O213" s="42" t="str">
        <f ca="1">IFERROR(__xludf.DUMMYFUNCTION("QUERY('Volunteer Survey'!H220)"),"Baseline")</f>
        <v>Baseline</v>
      </c>
      <c r="P213" s="49" t="str">
        <f ca="1">IFERROR(__xludf.DUMMYFUNCTION("QUERY('Volunteer Survey'!I220)"),"Gene-Disease Validity")</f>
        <v>Gene-Disease Validity</v>
      </c>
      <c r="Q213" s="54" t="str">
        <f ca="1">IFERROR(__xludf.DUMMYFUNCTION("QUERY('Volunteer Survey'!J220)"),"Variant Pathogenicity")</f>
        <v>Variant Pathogenicity</v>
      </c>
      <c r="R213" s="49" t="str">
        <f ca="1">IFERROR(__xludf.DUMMYFUNCTION("QUERY('Volunteer Survey'!K220)"),"Dosage Sensitivity")</f>
        <v>Dosage Sensitivity</v>
      </c>
      <c r="S213" s="49" t="str">
        <f ca="1">IFERROR(__xludf.DUMMYFUNCTION("QUERY('Volunteer Survey'!L220)"),"Clinical Actionability")</f>
        <v>Clinical Actionability</v>
      </c>
      <c r="T213" s="49" t="str">
        <f ca="1">IFERROR(__xludf.DUMMYFUNCTION("QUERY('Volunteer Survey'!M220)"),"Somatic Cancer")</f>
        <v>Somatic Cancer</v>
      </c>
      <c r="U213" s="58" t="str">
        <f ca="1">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V213" s="49" t="str">
        <f ca="1">IFERROR(__xludf.DUMMYFUNCTION("QUERY('Volunteer Survey'!O220)"),"Possibly")</f>
        <v>Possibly</v>
      </c>
      <c r="W213" s="60" t="str">
        <f ca="1">IFERROR(__xludf.DUMMYFUNCTION("QUERY('Volunteer Survey'!P220)"),"Intellectual Disability and Autism / Epilepsy")</f>
        <v>Intellectual Disability and Autism / Epilepsy</v>
      </c>
      <c r="X213" s="58" t="str">
        <f ca="1">IFERROR(__xludf.DUMMYFUNCTION("QUERY('Volunteer Survey'!R220)"),"Maybe -- please contact me with other options, and I will decide based on what is available")</f>
        <v>Maybe -- please contact me with other options, and I will decide based on what is available</v>
      </c>
      <c r="Y213" s="47"/>
      <c r="Z213" s="174">
        <f ca="1">IFERROR(__xludf.DUMMYFUNCTION("QUERY('Volunteer Survey'!A212)"),43615.5707086921)</f>
        <v>43615.570708692103</v>
      </c>
      <c r="AA213" s="175" t="str">
        <f ca="1">IFERROR(__xludf.DUMMYFUNCTION("QUERY('Volunteer Survey'!B212)"),"Claudia Gonzaga-Jauregui")</f>
        <v>Claudia Gonzaga-Jauregui</v>
      </c>
      <c r="AB213" s="175" t="str">
        <f ca="1">IFERROR(__xludf.DUMMYFUNCTION("QUERY('Volunteer Survey'!C212)"),"Regeneron Genetics Center")</f>
        <v>Regeneron Genetics Center</v>
      </c>
      <c r="AC213" s="175" t="str">
        <f ca="1">IFERROR(__xludf.DUMMYFUNCTION("QUERY('Volunteer Survey'!D212)"),"777 Old Saw Mill River Road")</f>
        <v>777 Old Saw Mill River Road</v>
      </c>
      <c r="AD213" s="175" t="str">
        <f ca="1">IFERROR(__xludf.DUMMYFUNCTION("QUERY('Volunteer Survey'!E212)"),"cgonzagaj@gmail.com")</f>
        <v>cgonzagaj@gmail.com</v>
      </c>
      <c r="AE213" s="175" t="str">
        <f ca="1">IFERROR(__xludf.DUMMYFUNCTION("QUERY('Volunteer Survey'!F212)"),"Scientific Researcher")</f>
        <v>Scientific Researcher</v>
      </c>
      <c r="AF213" s="175" t="str">
        <f ca="1">IFERROR(__xludf.DUMMYFUNCTION("QUERY('Volunteer Survey'!G212)"),"Networking, Colleagues, Twitter")</f>
        <v>Networking, Colleagues, Twitter</v>
      </c>
      <c r="AG213" s="175" t="str">
        <f ca="1">IFERROR(__xludf.DUMMYFUNCTION("QUERY('Volunteer Survey'!H212)"),"Comprehensive")</f>
        <v>Comprehensive</v>
      </c>
      <c r="AH213" s="175" t="str">
        <f ca="1">IFERROR(__xludf.DUMMYFUNCTION("QUERY('Volunteer Survey'!I212)"),"Gene-Disease Validity")</f>
        <v>Gene-Disease Validity</v>
      </c>
      <c r="AI213" s="175" t="str">
        <f ca="1">IFERROR(__xludf.DUMMYFUNCTION("QUERY('Volunteer Survey'!J212)"),"Clinical Actionability")</f>
        <v>Clinical Actionability</v>
      </c>
      <c r="AJ213" s="175" t="str">
        <f ca="1">IFERROR(__xludf.DUMMYFUNCTION("QUERY('Volunteer Survey'!K212)"),"Variant Pathogenicity")</f>
        <v>Variant Pathogenicity</v>
      </c>
      <c r="AK213" s="175" t="str">
        <f ca="1">IFERROR(__xludf.DUMMYFUNCTION("QUERY('Volunteer Survey'!L212)"),"")</f>
        <v/>
      </c>
      <c r="AL213" s="175" t="str">
        <f ca="1">IFERROR(__xludf.DUMMYFUNCTION("QUERY('Volunteer Survey'!M212)"),"")</f>
        <v/>
      </c>
      <c r="AM213" s="175" t="str">
        <f ca="1">IFERROR(__xludf.DUMMYFUNCTION("QUERY('Volunteer Survey'!N212)"),"Yes, I have analyzed more than 5,000 probands and families segregating Mendelian and yet uncharacterized rare genetic disorders and identified and published more than 20 novel disease gene associations, as well as characterized pathogenic variants in know"&amp;"n disease genes to enable diagnoses in patients with suspected genetic disorders. I have also analyzed and curated pathogenic and likely pathogenic variation in large population cohorts such as the Gesinger DiscovEHR collaboration and the UK Bionbank to a"&amp;"ssess clinical actionability of pathogenic variation and prevalence of disease in unascertained populations.")</f>
        <v>Yes, I have analyzed more than 5,000 probands and families segregating Mendelian and yet uncharacterized rare genetic disorders and identified and published more than 20 novel disease gene associations, as well as characterized pathogenic variants in known disease genes to enable diagnoses in patients with suspected genetic disorders. I have also analyzed and curated pathogenic and likely pathogenic variation in large population cohorts such as the Gesinger DiscovEHR collaboration and the UK Bionbank to assess clinical actionability of pathogenic variation and prevalence of disease in unascertained populations.</v>
      </c>
      <c r="AN213" s="175" t="str">
        <f ca="1">IFERROR(__xludf.DUMMYFUNCTION("QUERY('Volunteer Survey'!O212)"),"Possibly")</f>
        <v>Possibly</v>
      </c>
      <c r="AO213" s="175" t="str">
        <f ca="1">IFERROR(__xludf.DUMMYFUNCTION("QUERY('Volunteer Survey'!P212)"),"Intellectual Disability and Autism, Brain Malformations, Charcot-Marie-Tooth Disease")</f>
        <v>Intellectual Disability and Autism, Brain Malformations, Charcot-Marie-Tooth Disease</v>
      </c>
    </row>
    <row r="214" spans="1:41" ht="14">
      <c r="A214" s="44">
        <f ca="1">IFERROR(__xludf.DUMMYFUNCTION("QUERY('Volunteer Survey'!A221)"),43625.5664684722)</f>
        <v>43625.5664684722</v>
      </c>
      <c r="B214" s="42" t="s">
        <v>168</v>
      </c>
      <c r="C214" s="47"/>
      <c r="D214" s="49"/>
      <c r="E214" s="49"/>
      <c r="F214" s="42" t="s">
        <v>130</v>
      </c>
      <c r="G214" s="42" t="s">
        <v>251</v>
      </c>
      <c r="H214" s="47"/>
      <c r="I214" s="45" t="s">
        <v>139</v>
      </c>
      <c r="J214" s="49"/>
      <c r="K214" s="49"/>
      <c r="L214" s="49" t="str">
        <f ca="1">IFERROR(__xludf.DUMMYFUNCTION("QUERY('Volunteer Survey'!B221)"),"Jennifer Bullard")</f>
        <v>Jennifer Bullard</v>
      </c>
      <c r="M214" s="49" t="str">
        <f ca="1">IFERROR(__xludf.DUMMYFUNCTION("QUERY('Volunteer Survey'!E221)"),"jenniferluja@gmail.com")</f>
        <v>jenniferluja@gmail.com</v>
      </c>
      <c r="N214" s="49" t="str">
        <f ca="1">IFERROR(__xludf.DUMMYFUNCTION("QUERY('Volunteer Survey'!F221)"),"Clinical laboratory geneticist")</f>
        <v>Clinical laboratory geneticist</v>
      </c>
      <c r="O214" s="42" t="str">
        <f ca="1">IFERROR(__xludf.DUMMYFUNCTION("QUERY('Volunteer Survey'!H221)"),"Comprehensive")</f>
        <v>Comprehensive</v>
      </c>
      <c r="P214" s="49" t="str">
        <f ca="1">IFERROR(__xludf.DUMMYFUNCTION("QUERY('Volunteer Survey'!I221)"),"Variant Pathogenicity")</f>
        <v>Variant Pathogenicity</v>
      </c>
      <c r="Q214" s="54" t="str">
        <f ca="1">IFERROR(__xludf.DUMMYFUNCTION("QUERY('Volunteer Survey'!J221)"),"Gene-Disease Validity")</f>
        <v>Gene-Disease Validity</v>
      </c>
      <c r="R214" s="49" t="str">
        <f ca="1">IFERROR(__xludf.DUMMYFUNCTION("QUERY('Volunteer Survey'!K221)"),"Dosage Sensitivity")</f>
        <v>Dosage Sensitivity</v>
      </c>
      <c r="S214" s="49" t="str">
        <f ca="1">IFERROR(__xludf.DUMMYFUNCTION("QUERY('Volunteer Survey'!L221)"),"Clinical Actionability")</f>
        <v>Clinical Actionability</v>
      </c>
      <c r="T214" s="49" t="str">
        <f ca="1">IFERROR(__xludf.DUMMYFUNCTION("QUERY('Volunteer Survey'!M221)"),"Somatic Cancer")</f>
        <v>Somatic Cancer</v>
      </c>
      <c r="U214" s="58" t="str">
        <f ca="1">IFERROR(__xludf.DUMMYFUNCTION("QUERY('Volunteer Survey'!N221)"),"")</f>
        <v/>
      </c>
      <c r="V214" s="49" t="str">
        <f ca="1">IFERROR(__xludf.DUMMYFUNCTION("QUERY('Volunteer Survey'!O221)"),"No")</f>
        <v>No</v>
      </c>
      <c r="W214" s="60" t="str">
        <f ca="1">IFERROR(__xludf.DUMMYFUNCTION("QUERY('Volunteer Survey'!P221)"),"Monogenic Diabetes")</f>
        <v>Monogenic Diabetes</v>
      </c>
      <c r="X214" s="58" t="str">
        <f ca="1">IFERROR(__xludf.DUMMYFUNCTION("QUERY('Volunteer Survey'!R221)"),"Yes- I am willing to volunteer with any available ClinGen group")</f>
        <v>Yes- I am willing to volunteer with any available ClinGen group</v>
      </c>
      <c r="Y214" s="47"/>
      <c r="Z214" s="174">
        <f ca="1">IFERROR(__xludf.DUMMYFUNCTION("QUERY('Volunteer Survey'!A213)"),43615.9777125694)</f>
        <v>43615.977712569402</v>
      </c>
      <c r="AA214" s="175" t="str">
        <f ca="1">IFERROR(__xludf.DUMMYFUNCTION("QUERY('Volunteer Survey'!B213)"),"Altovise Ewing")</f>
        <v>Altovise Ewing</v>
      </c>
      <c r="AB214" s="175" t="str">
        <f ca="1">IFERROR(__xludf.DUMMYFUNCTION("QUERY('Volunteer Survey'!C213)"),"23andMe")</f>
        <v>23andMe</v>
      </c>
      <c r="AC214" s="175" t="str">
        <f ca="1">IFERROR(__xludf.DUMMYFUNCTION("QUERY('Volunteer Survey'!D213)"),"1520 Southwest Expressway")</f>
        <v>1520 Southwest Expressway</v>
      </c>
      <c r="AD214" s="175" t="str">
        <f ca="1">IFERROR(__xludf.DUMMYFUNCTION("QUERY('Volunteer Survey'!E213)"),"altovisee@gmail.com")</f>
        <v>altovisee@gmail.com</v>
      </c>
      <c r="AE214" s="175" t="str">
        <f ca="1">IFERROR(__xludf.DUMMYFUNCTION("QUERY('Volunteer Survey'!F213)"),"Genetic counselor and health equity scientist")</f>
        <v>Genetic counselor and health equity scientist</v>
      </c>
      <c r="AF214" s="175" t="str">
        <f ca="1">IFERROR(__xludf.DUMMYFUNCTION("QUERY('Volunteer Survey'!G213)"),"CCG 2019")</f>
        <v>CCG 2019</v>
      </c>
      <c r="AG214" s="175" t="str">
        <f ca="1">IFERROR(__xludf.DUMMYFUNCTION("QUERY('Volunteer Survey'!H213)"),"Comprehensive")</f>
        <v>Comprehensive</v>
      </c>
      <c r="AH214" s="175" t="str">
        <f ca="1">IFERROR(__xludf.DUMMYFUNCTION("QUERY('Volunteer Survey'!I213)"),"Clinical Actionability")</f>
        <v>Clinical Actionability</v>
      </c>
      <c r="AI214" s="175" t="str">
        <f ca="1">IFERROR(__xludf.DUMMYFUNCTION("QUERY('Volunteer Survey'!J213)"),"Variant Pathogenicity")</f>
        <v>Variant Pathogenicity</v>
      </c>
      <c r="AJ214" s="175" t="str">
        <f ca="1">IFERROR(__xludf.DUMMYFUNCTION("QUERY('Volunteer Survey'!K213)"),"Gene-Disease Validity")</f>
        <v>Gene-Disease Validity</v>
      </c>
      <c r="AK214" s="175" t="str">
        <f ca="1">IFERROR(__xludf.DUMMYFUNCTION("QUERY('Volunteer Survey'!L213)"),"Dosage Sensitivity")</f>
        <v>Dosage Sensitivity</v>
      </c>
      <c r="AL214" s="175" t="str">
        <f ca="1">IFERROR(__xludf.DUMMYFUNCTION("QUERY('Volunteer Survey'!M213)"),"Somatic Cancer")</f>
        <v>Somatic Cancer</v>
      </c>
      <c r="AM214" s="175" t="str">
        <f ca="1">IFERROR(__xludf.DUMMYFUNCTION("QUERY('Volunteer Survey'!N213)"),"")</f>
        <v/>
      </c>
      <c r="AN214" s="175" t="str">
        <f ca="1">IFERROR(__xludf.DUMMYFUNCTION("QUERY('Volunteer Survey'!O213)"),"Yes")</f>
        <v>Yes</v>
      </c>
      <c r="AO214" s="175" t="str">
        <f ca="1">IFERROR(__xludf.DUMMYFUNCTION("QUERY('Volunteer Survey'!P213)"),"Hereditary cancer")</f>
        <v>Hereditary cancer</v>
      </c>
    </row>
    <row r="215" spans="1:41" ht="14">
      <c r="A215" s="44">
        <f ca="1">IFERROR(__xludf.DUMMYFUNCTION("QUERY('Volunteer Survey'!A222)"),43625.7297409722)</f>
        <v>43625.729740972201</v>
      </c>
      <c r="B215" s="42" t="s">
        <v>108</v>
      </c>
      <c r="C215" s="73">
        <v>43689</v>
      </c>
      <c r="D215" s="59">
        <v>43768</v>
      </c>
      <c r="E215" s="42" t="s">
        <v>117</v>
      </c>
      <c r="F215" s="42" t="s">
        <v>117</v>
      </c>
      <c r="G215" s="42" t="s">
        <v>19</v>
      </c>
      <c r="H215" s="63" t="s">
        <v>19</v>
      </c>
      <c r="I215" s="45" t="s">
        <v>139</v>
      </c>
      <c r="J215" s="49"/>
      <c r="K215" s="49"/>
      <c r="L215" s="49" t="str">
        <f ca="1">IFERROR(__xludf.DUMMYFUNCTION("QUERY('Volunteer Survey'!B222)"),"Greg Lennon")</f>
        <v>Greg Lennon</v>
      </c>
      <c r="M215" s="49" t="str">
        <f ca="1">IFERROR(__xludf.DUMMYFUNCTION("QUERY('Volunteer Survey'!E222)"),"greg.lennon@gmail.com")</f>
        <v>greg.lennon@gmail.com</v>
      </c>
      <c r="N215" s="49" t="str">
        <f ca="1">IFERROR(__xludf.DUMMYFUNCTION("QUERY('Volunteer Survey'!F222)"),"Scientific Researcher")</f>
        <v>Scientific Researcher</v>
      </c>
      <c r="O215" s="42" t="str">
        <f ca="1">IFERROR(__xludf.DUMMYFUNCTION("QUERY('Volunteer Survey'!H222)"),"Comprehensive")</f>
        <v>Comprehensive</v>
      </c>
      <c r="P215" s="49" t="str">
        <f ca="1">IFERROR(__xludf.DUMMYFUNCTION("QUERY('Volunteer Survey'!I222)"),"Clinical Actionability")</f>
        <v>Clinical Actionability</v>
      </c>
      <c r="Q215" s="54" t="str">
        <f ca="1">IFERROR(__xludf.DUMMYFUNCTION("QUERY('Volunteer Survey'!J222)"),"Variant Pathogenicity")</f>
        <v>Variant Pathogenicity</v>
      </c>
      <c r="R215" s="49" t="str">
        <f ca="1">IFERROR(__xludf.DUMMYFUNCTION("QUERY('Volunteer Survey'!K222)"),"")</f>
        <v/>
      </c>
      <c r="S215" s="49" t="str">
        <f ca="1">IFERROR(__xludf.DUMMYFUNCTION("QUERY('Volunteer Survey'!L222)"),"")</f>
        <v/>
      </c>
      <c r="T215" s="49" t="str">
        <f ca="1">IFERROR(__xludf.DUMMYFUNCTION("QUERY('Volunteer Survey'!M222)"),"")</f>
        <v/>
      </c>
      <c r="U215" s="58" t="str">
        <f ca="1">IFERROR(__xludf.DUMMYFUNCTION("QUERY('Volunteer Survey'!N222)"),"Curation of SNPedia (since 2006)")</f>
        <v>Curation of SNPedia (since 2006)</v>
      </c>
      <c r="V215" s="49" t="str">
        <f ca="1">IFERROR(__xludf.DUMMYFUNCTION("QUERY('Volunteer Survey'!O222)"),"Possibly")</f>
        <v>Possibly</v>
      </c>
      <c r="W215" s="60" t="str">
        <f ca="1">IFERROR(__xludf.DUMMYFUNCTION("QUERY('Volunteer Survey'!P222)"),"Actionability Working Group")</f>
        <v>Actionability Working Group</v>
      </c>
      <c r="X215" s="58" t="str">
        <f ca="1">IFERROR(__xludf.DUMMYFUNCTION("QUERY('Volunteer Survey'!R222)"),"Maybe -- please contact me with other options, and I will decide based on what is available")</f>
        <v>Maybe -- please contact me with other options, and I will decide based on what is available</v>
      </c>
      <c r="Y215" s="47"/>
      <c r="Z215" s="174">
        <f ca="1">IFERROR(__xludf.DUMMYFUNCTION("QUERY('Volunteer Survey'!A214)"),43619.481825162)</f>
        <v>43619.481825162002</v>
      </c>
      <c r="AA215" s="175" t="str">
        <f ca="1">IFERROR(__xludf.DUMMYFUNCTION("QUERY('Volunteer Survey'!B214)"),"Laura Sack")</f>
        <v>Laura Sack</v>
      </c>
      <c r="AB215" s="175" t="str">
        <f ca="1">IFERROR(__xludf.DUMMYFUNCTION("QUERY('Volunteer Survey'!C214)"),"GeneDx")</f>
        <v>GeneDx</v>
      </c>
      <c r="AC215" s="175" t="str">
        <f ca="1">IFERROR(__xludf.DUMMYFUNCTION("QUERY('Volunteer Survey'!D214)"),"")</f>
        <v/>
      </c>
      <c r="AD215" s="175" t="str">
        <f ca="1">IFERROR(__xludf.DUMMYFUNCTION("QUERY('Volunteer Survey'!E214)"),"laura@sack.io")</f>
        <v>laura@sack.io</v>
      </c>
      <c r="AE215" s="175" t="str">
        <f ca="1">IFERROR(__xludf.DUMMYFUNCTION("QUERY('Volunteer Survey'!F214)"),"Variant Analyst/Scientist - Industry")</f>
        <v>Variant Analyst/Scientist - Industry</v>
      </c>
      <c r="AF215" s="175" t="str">
        <f ca="1">IFERROR(__xludf.DUMMYFUNCTION("QUERY('Volunteer Survey'!G214)"),"Colleagues")</f>
        <v>Colleagues</v>
      </c>
      <c r="AG215" s="175" t="str">
        <f ca="1">IFERROR(__xludf.DUMMYFUNCTION("QUERY('Volunteer Survey'!H214)"),"Comprehensive")</f>
        <v>Comprehensive</v>
      </c>
      <c r="AH215" s="175" t="str">
        <f ca="1">IFERROR(__xludf.DUMMYFUNCTION("QUERY('Volunteer Survey'!I214)"),"Dosage Sensitivity")</f>
        <v>Dosage Sensitivity</v>
      </c>
      <c r="AI215" s="175" t="str">
        <f ca="1">IFERROR(__xludf.DUMMYFUNCTION("QUERY('Volunteer Survey'!J214)"),"Gene-Disease Validity")</f>
        <v>Gene-Disease Validity</v>
      </c>
      <c r="AJ215" s="175" t="str">
        <f ca="1">IFERROR(__xludf.DUMMYFUNCTION("QUERY('Volunteer Survey'!K214)"),"Variant Pathogenicity")</f>
        <v>Variant Pathogenicity</v>
      </c>
      <c r="AK215" s="175" t="str">
        <f ca="1">IFERROR(__xludf.DUMMYFUNCTION("QUERY('Volunteer Survey'!L214)"),"")</f>
        <v/>
      </c>
      <c r="AL215" s="175" t="str">
        <f ca="1">IFERROR(__xludf.DUMMYFUNCTION("QUERY('Volunteer Survey'!M214)"),"")</f>
        <v/>
      </c>
      <c r="AM215" s="175" t="str">
        <f ca="1">IFERROR(__xludf.DUMMYFUNCTION("QUERY('Volunteer Survey'!N214)"),"Yes, in interpreting CNVs in clinical cases, I assess dosage sensitivity and gene-disease associations in order to determine variant pathogenicity")</f>
        <v>Yes, in interpreting CNVs in clinical cases, I assess dosage sensitivity and gene-disease associations in order to determine variant pathogenicity</v>
      </c>
      <c r="AN215" s="175" t="str">
        <f ca="1">IFERROR(__xludf.DUMMYFUNCTION("QUERY('Volunteer Survey'!O214)"),"Possibly")</f>
        <v>Possibly</v>
      </c>
      <c r="AO215" s="175" t="str">
        <f ca="1">IFERROR(__xludf.DUMMYFUNCTION("QUERY('Volunteer Survey'!P214)"),"Dosage-Recurrent Regions, Dosage- Neurodevelopemental, Hereditary Cancer, Intellectual Disability and Autism, Epilepsy")</f>
        <v>Dosage-Recurrent Regions, Dosage- Neurodevelopemental, Hereditary Cancer, Intellectual Disability and Autism, Epilepsy</v>
      </c>
    </row>
    <row r="216" spans="1:41" ht="14">
      <c r="A216" s="44">
        <f ca="1">IFERROR(__xludf.DUMMYFUNCTION("QUERY('Volunteer Survey'!A223)"),43626.4672780092)</f>
        <v>43626.467278009201</v>
      </c>
      <c r="B216" s="42" t="s">
        <v>108</v>
      </c>
      <c r="C216" s="47"/>
      <c r="D216" s="50">
        <v>43626</v>
      </c>
      <c r="E216" s="42" t="s">
        <v>117</v>
      </c>
      <c r="F216" s="42" t="s">
        <v>117</v>
      </c>
      <c r="G216" s="42" t="s">
        <v>313</v>
      </c>
      <c r="H216" s="47"/>
      <c r="I216" s="45" t="s">
        <v>139</v>
      </c>
      <c r="J216" s="49"/>
      <c r="K216" s="49"/>
      <c r="L216" s="49" t="str">
        <f ca="1">IFERROR(__xludf.DUMMYFUNCTION("QUERY('Volunteer Survey'!B223)"),"Pamela")</f>
        <v>Pamela</v>
      </c>
      <c r="M216" s="49" t="str">
        <f ca="1">IFERROR(__xludf.DUMMYFUNCTION("QUERY('Volunteer Survey'!E223)"),"pchristopherson@versiti.org")</f>
        <v>pchristopherson@versiti.org</v>
      </c>
      <c r="N216" s="49" t="str">
        <f ca="1">IFERROR(__xludf.DUMMYFUNCTION("QUERY('Volunteer Survey'!F223)"),"Scientific Researcher")</f>
        <v>Scientific Researcher</v>
      </c>
      <c r="O216" s="42" t="str">
        <f ca="1">IFERROR(__xludf.DUMMYFUNCTION("QUERY('Volunteer Survey'!H223)"),"Comprehensive")</f>
        <v>Comprehensive</v>
      </c>
      <c r="P216" s="49" t="str">
        <f ca="1">IFERROR(__xludf.DUMMYFUNCTION("QUERY('Volunteer Survey'!I223)"),"Variant Pathogenicity")</f>
        <v>Variant Pathogenicity</v>
      </c>
      <c r="Q216" s="54" t="str">
        <f ca="1">IFERROR(__xludf.DUMMYFUNCTION("QUERY('Volunteer Survey'!J223)"),"")</f>
        <v/>
      </c>
      <c r="R216" s="49" t="str">
        <f ca="1">IFERROR(__xludf.DUMMYFUNCTION("QUERY('Volunteer Survey'!K223)"),"")</f>
        <v/>
      </c>
      <c r="S216" s="49" t="str">
        <f ca="1">IFERROR(__xludf.DUMMYFUNCTION("QUERY('Volunteer Survey'!L223)"),"")</f>
        <v/>
      </c>
      <c r="T216" s="49" t="str">
        <f ca="1">IFERROR(__xludf.DUMMYFUNCTION("QUERY('Volunteer Survey'!M223)"),"")</f>
        <v/>
      </c>
      <c r="U216" s="58" t="str">
        <f ca="1">IFERROR(__xludf.DUMMYFUNCTION("QUERY('Volunteer Survey'!N223)"),"Submission of variants to LOVD")</f>
        <v>Submission of variants to LOVD</v>
      </c>
      <c r="V216" s="49" t="str">
        <f ca="1">IFERROR(__xludf.DUMMYFUNCTION("QUERY('Volunteer Survey'!O223)"),"Possibly")</f>
        <v>Possibly</v>
      </c>
      <c r="W216" s="60" t="str">
        <f ca="1">IFERROR(__xludf.DUMMYFUNCTION("QUERY('Volunteer Survey'!P223)"),"Already on VWD working group")</f>
        <v>Already on VWD working group</v>
      </c>
      <c r="X216" s="58" t="str">
        <f ca="1">IFERROR(__xludf.DUMMYFUNCTION("QUERY('Volunteer Survey'!R223)"),"No - I am only interested in the group(s) I previously indicated")</f>
        <v>No - I am only interested in the group(s) I previously indicated</v>
      </c>
      <c r="Y216" s="47"/>
      <c r="Z216" s="174">
        <f ca="1">IFERROR(__xludf.DUMMYFUNCTION("QUERY('Volunteer Survey'!A215)"),43620.7890536342)</f>
        <v>43620.789053634202</v>
      </c>
      <c r="AA216" s="175" t="str">
        <f ca="1">IFERROR(__xludf.DUMMYFUNCTION("QUERY('Volunteer Survey'!B215)"),"Janel Case")</f>
        <v>Janel Case</v>
      </c>
      <c r="AB216" s="175" t="str">
        <f ca="1">IFERROR(__xludf.DUMMYFUNCTION("QUERY('Volunteer Survey'!C215)"),"Scripps Health")</f>
        <v>Scripps Health</v>
      </c>
      <c r="AC216" s="175" t="str">
        <f ca="1">IFERROR(__xludf.DUMMYFUNCTION("QUERY('Volunteer Survey'!D215)"),"")</f>
        <v/>
      </c>
      <c r="AD216" s="175" t="str">
        <f ca="1">IFERROR(__xludf.DUMMYFUNCTION("QUERY('Volunteer Survey'!E215)"),"janelcase@live.com")</f>
        <v>janelcase@live.com</v>
      </c>
      <c r="AE216" s="175" t="str">
        <f ca="1">IFERROR(__xludf.DUMMYFUNCTION("QUERY('Volunteer Survey'!F215)"),"Genetic counselor")</f>
        <v>Genetic counselor</v>
      </c>
      <c r="AF216" s="175" t="str">
        <f ca="1">IFERROR(__xludf.DUMMYFUNCTION("QUERY('Volunteer Survey'!G215)"),"NSGC")</f>
        <v>NSGC</v>
      </c>
      <c r="AG216" s="175" t="str">
        <f ca="1">IFERROR(__xludf.DUMMYFUNCTION("QUERY('Volunteer Survey'!H215)"),"Comprehensive")</f>
        <v>Comprehensive</v>
      </c>
      <c r="AH216" s="175" t="str">
        <f ca="1">IFERROR(__xludf.DUMMYFUNCTION("QUERY('Volunteer Survey'!I215)"),"Variant Pathogenicity")</f>
        <v>Variant Pathogenicity</v>
      </c>
      <c r="AI216" s="175" t="str">
        <f ca="1">IFERROR(__xludf.DUMMYFUNCTION("QUERY('Volunteer Survey'!J215)"),"Actionability")</f>
        <v>Actionability</v>
      </c>
      <c r="AJ216" s="175" t="str">
        <f ca="1">IFERROR(__xludf.DUMMYFUNCTION("QUERY('Volunteer Survey'!K215)"),"")</f>
        <v/>
      </c>
      <c r="AK216" s="175" t="str">
        <f ca="1">IFERROR(__xludf.DUMMYFUNCTION("QUERY('Volunteer Survey'!L215)"),"")</f>
        <v/>
      </c>
      <c r="AL216" s="175" t="str">
        <f ca="1">IFERROR(__xludf.DUMMYFUNCTION("QUERY('Volunteer Survey'!M215)"),"")</f>
        <v/>
      </c>
      <c r="AM216" s="175" t="str">
        <f ca="1">IFERROR(__xludf.DUMMYFUNCTION("QUERY('Volunteer Survey'!N215)"),"Variant curation internship at Illumina ")</f>
        <v xml:space="preserve">Variant curation internship at Illumina </v>
      </c>
      <c r="AN216" s="175" t="str">
        <f ca="1">IFERROR(__xludf.DUMMYFUNCTION("QUERY('Volunteer Survey'!O215)"),"Possibly")</f>
        <v>Possibly</v>
      </c>
      <c r="AO216" s="175" t="str">
        <f ca="1">IFERROR(__xludf.DUMMYFUNCTION("QUERY('Volunteer Survey'!P215)"),"Any hereditary cancer related groups ")</f>
        <v xml:space="preserve">Any hereditary cancer related groups </v>
      </c>
    </row>
    <row r="217" spans="1:41" ht="14">
      <c r="A217" s="44">
        <f ca="1">IFERROR(__xludf.DUMMYFUNCTION("QUERY('Volunteer Survey'!A224)"),43626.624125162)</f>
        <v>43626.624125162001</v>
      </c>
      <c r="B217" s="42" t="s">
        <v>160</v>
      </c>
      <c r="C217" s="47"/>
      <c r="D217" s="49"/>
      <c r="E217" s="49"/>
      <c r="F217" s="42" t="s">
        <v>130</v>
      </c>
      <c r="G217" s="42" t="s">
        <v>202</v>
      </c>
      <c r="H217" s="47"/>
      <c r="I217" s="45" t="s">
        <v>139</v>
      </c>
      <c r="J217" s="49"/>
      <c r="K217" s="49"/>
      <c r="L217" s="49" t="str">
        <f ca="1">IFERROR(__xludf.DUMMYFUNCTION("QUERY('Volunteer Survey'!B224)"),"Ernie Hobbs")</f>
        <v>Ernie Hobbs</v>
      </c>
      <c r="M217" s="49" t="str">
        <f ca="1">IFERROR(__xludf.DUMMYFUNCTION("QUERY('Volunteer Survey'!E224)"),"ernie.hobbs@congenica.com")</f>
        <v>ernie.hobbs@congenica.com</v>
      </c>
      <c r="N217" s="49" t="str">
        <f ca="1">IFERROR(__xludf.DUMMYFUNCTION("QUERY('Volunteer Survey'!F224)"),"Citizen Scientist/Patient Advocate")</f>
        <v>Citizen Scientist/Patient Advocate</v>
      </c>
      <c r="O217" s="42" t="str">
        <f ca="1">IFERROR(__xludf.DUMMYFUNCTION("QUERY('Volunteer Survey'!H224)"),"Baseline")</f>
        <v>Baseline</v>
      </c>
      <c r="P217" s="49" t="str">
        <f ca="1">IFERROR(__xludf.DUMMYFUNCTION("QUERY('Volunteer Survey'!I224)"),"Variant Pathogenicity")</f>
        <v>Variant Pathogenicity</v>
      </c>
      <c r="Q217" s="54" t="str">
        <f ca="1">IFERROR(__xludf.DUMMYFUNCTION("QUERY('Volunteer Survey'!J224)"),"Clinical Actionability")</f>
        <v>Clinical Actionability</v>
      </c>
      <c r="R217" s="49" t="str">
        <f ca="1">IFERROR(__xludf.DUMMYFUNCTION("QUERY('Volunteer Survey'!K224)"),"")</f>
        <v/>
      </c>
      <c r="S217" s="49" t="str">
        <f ca="1">IFERROR(__xludf.DUMMYFUNCTION("QUERY('Volunteer Survey'!L224)"),"")</f>
        <v/>
      </c>
      <c r="T217" s="49" t="str">
        <f ca="1">IFERROR(__xludf.DUMMYFUNCTION("QUERY('Volunteer Survey'!M224)"),"")</f>
        <v/>
      </c>
      <c r="U217" s="58" t="str">
        <f ca="1">IFERROR(__xludf.DUMMYFUNCTION("QUERY('Volunteer Survey'!N224)"),"No (but have worked for several companies that offered genomic analysis software)")</f>
        <v>No (but have worked for several companies that offered genomic analysis software)</v>
      </c>
      <c r="V217" s="49" t="str">
        <f ca="1">IFERROR(__xludf.DUMMYFUNCTION("QUERY('Volunteer Survey'!O224)"),"Possibly")</f>
        <v>Possibly</v>
      </c>
      <c r="W217" s="60" t="str">
        <f ca="1">IFERROR(__xludf.DUMMYFUNCTION("QUERY('Volunteer Survey'!P224)"),"Mitochondrial Diseases")</f>
        <v>Mitochondrial Diseases</v>
      </c>
      <c r="X217" s="58" t="str">
        <f ca="1">IFERROR(__xludf.DUMMYFUNCTION("QUERY('Volunteer Survey'!R224)"),"Maybe -- please contact me with other options, and I will decide based on what is available")</f>
        <v>Maybe -- please contact me with other options, and I will decide based on what is available</v>
      </c>
      <c r="Y217" s="47"/>
      <c r="Z217" s="174">
        <f ca="1">IFERROR(__xludf.DUMMYFUNCTION("QUERY('Volunteer Survey'!A216)"),43621.341686875)</f>
        <v>43621.341686874999</v>
      </c>
      <c r="AA217" s="175" t="str">
        <f ca="1">IFERROR(__xludf.DUMMYFUNCTION("QUERY('Volunteer Survey'!B216)"),"Carolina Bustamante")</f>
        <v>Carolina Bustamante</v>
      </c>
      <c r="AB217" s="175" t="str">
        <f ca="1">IFERROR(__xludf.DUMMYFUNCTION("QUERY('Volunteer Survey'!C216)"),"Richet")</f>
        <v>Richet</v>
      </c>
      <c r="AC217" s="175" t="str">
        <f ca="1">IFERROR(__xludf.DUMMYFUNCTION("QUERY('Volunteer Survey'!D216)"),"Av. das Américas, 13331. Recreio, Rio de Janeiro, Brazil")</f>
        <v>Av. das Américas, 13331. Recreio, Rio de Janeiro, Brazil</v>
      </c>
      <c r="AD217" s="175" t="str">
        <f ca="1">IFERROR(__xludf.DUMMYFUNCTION("QUERY('Volunteer Survey'!E216)"),"carolina.bustamante@gmail.com")</f>
        <v>carolina.bustamante@gmail.com</v>
      </c>
      <c r="AE217" s="175" t="str">
        <f ca="1">IFERROR(__xludf.DUMMYFUNCTION("QUERY('Volunteer Survey'!F216)"),"Variant Analyst/Scientist - Industry")</f>
        <v>Variant Analyst/Scientist - Industry</v>
      </c>
      <c r="AF217" s="175" t="str">
        <f ca="1">IFERROR(__xludf.DUMMYFUNCTION("QUERY('Volunteer Survey'!G216)"),"The clinicalgenome.org website")</f>
        <v>The clinicalgenome.org website</v>
      </c>
      <c r="AG217" s="175" t="str">
        <f ca="1">IFERROR(__xludf.DUMMYFUNCTION("QUERY('Volunteer Survey'!H216)"),"Comprehensive")</f>
        <v>Comprehensive</v>
      </c>
      <c r="AH217" s="175" t="str">
        <f ca="1">IFERROR(__xludf.DUMMYFUNCTION("QUERY('Volunteer Survey'!I216)"),"Variant Pathogenicity")</f>
        <v>Variant Pathogenicity</v>
      </c>
      <c r="AI217" s="175" t="str">
        <f ca="1">IFERROR(__xludf.DUMMYFUNCTION("QUERY('Volunteer Survey'!J216)"),"Somatic Cancer")</f>
        <v>Somatic Cancer</v>
      </c>
      <c r="AJ217" s="175" t="str">
        <f ca="1">IFERROR(__xludf.DUMMYFUNCTION("QUERY('Volunteer Survey'!K216)"),"Clinical Actionability")</f>
        <v>Clinical Actionability</v>
      </c>
      <c r="AK217" s="175" t="str">
        <f ca="1">IFERROR(__xludf.DUMMYFUNCTION("QUERY('Volunteer Survey'!L216)"),"Gene-Disease Validity")</f>
        <v>Gene-Disease Validity</v>
      </c>
      <c r="AL217" s="175" t="str">
        <f ca="1">IFERROR(__xludf.DUMMYFUNCTION("QUERY('Volunteer Survey'!M216)"),"Dosage Sensitivity")</f>
        <v>Dosage Sensitivity</v>
      </c>
      <c r="AM217" s="175" t="str">
        <f ca="1">IFERROR(__xludf.DUMMYFUNCTION("QUERY('Volunteer Survey'!N216)"),"Yes, I worked as bioinformatician performing NGS analyses and variant interpretation in a genetic diagnostic lab that sequenced cerca 600 samples a month.")</f>
        <v>Yes, I worked as bioinformatician performing NGS analyses and variant interpretation in a genetic diagnostic lab that sequenced cerca 600 samples a month.</v>
      </c>
      <c r="AN217" s="175" t="str">
        <f ca="1">IFERROR(__xludf.DUMMYFUNCTION("QUERY('Volunteer Survey'!O216)"),"Yes")</f>
        <v>Yes</v>
      </c>
      <c r="AO217" s="175" t="str">
        <f ca="1">IFERROR(__xludf.DUMMYFUNCTION("QUERY('Volunteer Survey'!P216)"),"Cancer, Hereditary Cancer, Colorectal Cancer, Genitourinary Tract Cancers, TP53, PTEN, CDH1, FBN1. ")</f>
        <v xml:space="preserve">Cancer, Hereditary Cancer, Colorectal Cancer, Genitourinary Tract Cancers, TP53, PTEN, CDH1, FBN1. </v>
      </c>
    </row>
    <row r="218" spans="1:41" ht="14">
      <c r="A218" s="44">
        <f ca="1">IFERROR(__xludf.DUMMYFUNCTION("QUERY('Volunteer Survey'!A225)"),43626.9441832291)</f>
        <v>43626.944183229098</v>
      </c>
      <c r="B218" s="42" t="s">
        <v>108</v>
      </c>
      <c r="C218" s="47"/>
      <c r="D218" s="49"/>
      <c r="E218" s="49"/>
      <c r="F218" s="42" t="s">
        <v>130</v>
      </c>
      <c r="G218" s="42" t="s">
        <v>202</v>
      </c>
      <c r="H218" s="47"/>
      <c r="I218" s="45" t="s">
        <v>139</v>
      </c>
      <c r="J218" s="49"/>
      <c r="K218" s="49"/>
      <c r="L218" s="49" t="str">
        <f ca="1">IFERROR(__xludf.DUMMYFUNCTION("QUERY('Volunteer Survey'!B225)"),"Sandy Au")</f>
        <v>Sandy Au</v>
      </c>
      <c r="M218" s="49" t="str">
        <f ca="1">IFERROR(__xludf.DUMMYFUNCTION("QUERY('Volunteer Survey'!E225)"),"alkuen@hku.hk")</f>
        <v>alkuen@hku.hk</v>
      </c>
      <c r="N218" s="49" t="str">
        <f ca="1">IFERROR(__xludf.DUMMYFUNCTION("QUERY('Volunteer Survey'!F225)"),"Scientific Researcher")</f>
        <v>Scientific Researcher</v>
      </c>
      <c r="O218" s="42" t="str">
        <f ca="1">IFERROR(__xludf.DUMMYFUNCTION("QUERY('Volunteer Survey'!H225)"),"Baseline")</f>
        <v>Baseline</v>
      </c>
      <c r="P218" s="49" t="str">
        <f ca="1">IFERROR(__xludf.DUMMYFUNCTION("QUERY('Volunteer Survey'!I225)"),"Variant Pathogenicity")</f>
        <v>Variant Pathogenicity</v>
      </c>
      <c r="Q218" s="54" t="str">
        <f ca="1">IFERROR(__xludf.DUMMYFUNCTION("QUERY('Volunteer Survey'!J225)"),"Gene-Disease Validity")</f>
        <v>Gene-Disease Validity</v>
      </c>
      <c r="R218" s="49" t="str">
        <f ca="1">IFERROR(__xludf.DUMMYFUNCTION("QUERY('Volunteer Survey'!K225)"),"Dosage Sensitivity")</f>
        <v>Dosage Sensitivity</v>
      </c>
      <c r="S218" s="49" t="str">
        <f ca="1">IFERROR(__xludf.DUMMYFUNCTION("QUERY('Volunteer Survey'!L225)"),"Somatic Cancer")</f>
        <v>Somatic Cancer</v>
      </c>
      <c r="T218" s="49" t="str">
        <f ca="1">IFERROR(__xludf.DUMMYFUNCTION("QUERY('Volunteer Survey'!M225)"),"Clinical Actionability")</f>
        <v>Clinical Actionability</v>
      </c>
      <c r="U218" s="58" t="str">
        <f ca="1">IFERROR(__xludf.DUMMYFUNCTION("QUERY('Volunteer Survey'!N225)"),"I am working in a prenatal diagnostic laboratory and perform WES for prenatal cases. We have experience in variant classification and clinical reporting. ")</f>
        <v xml:space="preserve">I am working in a prenatal diagnostic laboratory and perform WES for prenatal cases. We have experience in variant classification and clinical reporting. </v>
      </c>
      <c r="V218" s="49" t="str">
        <f ca="1">IFERROR(__xludf.DUMMYFUNCTION("QUERY('Volunteer Survey'!O225)"),"Yes")</f>
        <v>Yes</v>
      </c>
      <c r="W218" s="60" t="str">
        <f ca="1">IFERROR(__xludf.DUMMYFUNCTION("QUERY('Volunteer Survey'!P225)"),"Variant Curation Expert Panels")</f>
        <v>Variant Curation Expert Panels</v>
      </c>
      <c r="X218" s="58" t="str">
        <f ca="1">IFERROR(__xludf.DUMMYFUNCTION("QUERY('Volunteer Survey'!R225)"),"Yes- I am willing to volunteer with any available ClinGen group")</f>
        <v>Yes- I am willing to volunteer with any available ClinGen group</v>
      </c>
      <c r="Y218" s="47"/>
      <c r="Z218" s="174">
        <f ca="1">IFERROR(__xludf.DUMMYFUNCTION("QUERY('Volunteer Survey'!A217)"),43621.3798945601)</f>
        <v>43621.379894560101</v>
      </c>
      <c r="AA218" s="175" t="str">
        <f ca="1">IFERROR(__xludf.DUMMYFUNCTION("QUERY('Volunteer Survey'!B217)"),"Natalie Hollister")</f>
        <v>Natalie Hollister</v>
      </c>
      <c r="AB218" s="175" t="str">
        <f ca="1">IFERROR(__xludf.DUMMYFUNCTION("QUERY('Volunteer Survey'!C217)"),"UNC Chapel Hill")</f>
        <v>UNC Chapel Hill</v>
      </c>
      <c r="AC218" s="175" t="str">
        <f ca="1">IFERROR(__xludf.DUMMYFUNCTION("QUERY('Volunteer Survey'!D217)"),"")</f>
        <v/>
      </c>
      <c r="AD218" s="175" t="str">
        <f ca="1">IFERROR(__xludf.DUMMYFUNCTION("QUERY('Volunteer Survey'!E217)"),"nsh10@alumni.duke.edu")</f>
        <v>nsh10@alumni.duke.edu</v>
      </c>
      <c r="AE218" s="175" t="str">
        <f ca="1">IFERROR(__xludf.DUMMYFUNCTION("QUERY('Volunteer Survey'!F217)"),"Graduate Student")</f>
        <v>Graduate Student</v>
      </c>
      <c r="AF218" s="175" t="str">
        <f ca="1">IFERROR(__xludf.DUMMYFUNCTION("QUERY('Volunteer Survey'!G217)"),"Colleagues")</f>
        <v>Colleagues</v>
      </c>
      <c r="AG218" s="175" t="str">
        <f ca="1">IFERROR(__xludf.DUMMYFUNCTION("QUERY('Volunteer Survey'!H217)"),"Baseline")</f>
        <v>Baseline</v>
      </c>
      <c r="AH218" s="175" t="str">
        <f ca="1">IFERROR(__xludf.DUMMYFUNCTION("QUERY('Volunteer Survey'!I217)"),"")</f>
        <v/>
      </c>
      <c r="AI218" s="175" t="str">
        <f ca="1">IFERROR(__xludf.DUMMYFUNCTION("QUERY('Volunteer Survey'!J217)"),"")</f>
        <v/>
      </c>
      <c r="AJ218" s="175" t="str">
        <f ca="1">IFERROR(__xludf.DUMMYFUNCTION("QUERY('Volunteer Survey'!K217)"),"")</f>
        <v/>
      </c>
      <c r="AK218" s="175" t="str">
        <f ca="1">IFERROR(__xludf.DUMMYFUNCTION("QUERY('Volunteer Survey'!L217)"),"")</f>
        <v/>
      </c>
      <c r="AL218" s="175" t="str">
        <f ca="1">IFERROR(__xludf.DUMMYFUNCTION("QUERY('Volunteer Survey'!M217)"),"")</f>
        <v/>
      </c>
      <c r="AM218" s="175" t="str">
        <f ca="1">IFERROR(__xludf.DUMMYFUNCTION("QUERY('Volunteer Survey'!N217)"),"")</f>
        <v/>
      </c>
      <c r="AN218" s="175" t="str">
        <f ca="1">IFERROR(__xludf.DUMMYFUNCTION("QUERY('Volunteer Survey'!O217)"),"No")</f>
        <v>No</v>
      </c>
      <c r="AO218" s="175" t="str">
        <f ca="1">IFERROR(__xludf.DUMMYFUNCTION("QUERY('Volunteer Survey'!P217)"),"")</f>
        <v/>
      </c>
    </row>
    <row r="219" spans="1:41" ht="14">
      <c r="A219" s="44">
        <f ca="1">IFERROR(__xludf.DUMMYFUNCTION("QUERY('Volunteer Survey'!A226)"),43627.3007942245)</f>
        <v>43627.300794224502</v>
      </c>
      <c r="B219" s="42" t="s">
        <v>108</v>
      </c>
      <c r="C219" s="73">
        <v>43689</v>
      </c>
      <c r="D219" s="49"/>
      <c r="E219" s="42" t="s">
        <v>117</v>
      </c>
      <c r="F219" s="42" t="s">
        <v>130</v>
      </c>
      <c r="G219" s="42" t="s">
        <v>19</v>
      </c>
      <c r="H219" s="63"/>
      <c r="I219" s="45" t="s">
        <v>139</v>
      </c>
      <c r="J219" s="49"/>
      <c r="K219" s="49"/>
      <c r="L219" s="49" t="str">
        <f ca="1">IFERROR(__xludf.DUMMYFUNCTION("QUERY('Volunteer Survey'!B226)"),"Generoso")</f>
        <v>Generoso</v>
      </c>
      <c r="M219" s="49" t="str">
        <f ca="1">IFERROR(__xludf.DUMMYFUNCTION("QUERY('Volunteer Survey'!E226)"),"generoso@dantelabs.com")</f>
        <v>generoso@dantelabs.com</v>
      </c>
      <c r="N219" s="49" t="str">
        <f ca="1">IFERROR(__xludf.DUMMYFUNCTION("QUERY('Volunteer Survey'!F226)"),"Variant Analyst/Scientist - Industry")</f>
        <v>Variant Analyst/Scientist - Industry</v>
      </c>
      <c r="O219" s="42" t="str">
        <f ca="1">IFERROR(__xludf.DUMMYFUNCTION("QUERY('Volunteer Survey'!H226)"),"Comprehensive")</f>
        <v>Comprehensive</v>
      </c>
      <c r="P219" s="49" t="str">
        <f ca="1">IFERROR(__xludf.DUMMYFUNCTION("QUERY('Volunteer Survey'!I226)"),"Clinical Actionability")</f>
        <v>Clinical Actionability</v>
      </c>
      <c r="Q219" s="54" t="str">
        <f ca="1">IFERROR(__xludf.DUMMYFUNCTION("QUERY('Volunteer Survey'!J226)"),"Gene-Disease Validity")</f>
        <v>Gene-Disease Validity</v>
      </c>
      <c r="R219" s="49" t="str">
        <f ca="1">IFERROR(__xludf.DUMMYFUNCTION("QUERY('Volunteer Survey'!K226)"),"Variant Pathogenicity")</f>
        <v>Variant Pathogenicity</v>
      </c>
      <c r="S219" s="49" t="str">
        <f ca="1">IFERROR(__xludf.DUMMYFUNCTION("QUERY('Volunteer Survey'!L226)"),"Dosage Sensitivity")</f>
        <v>Dosage Sensitivity</v>
      </c>
      <c r="T219" s="49" t="str">
        <f ca="1">IFERROR(__xludf.DUMMYFUNCTION("QUERY('Volunteer Survey'!M226)"),"Somatic Cancer")</f>
        <v>Somatic Cancer</v>
      </c>
      <c r="U219" s="58" t="str">
        <f ca="1">IFERROR(__xludf.DUMMYFUNCTION("QUERY('Volunteer Survey'!N226)"),"Yes, I have curated few variants for people who receive WES data.")</f>
        <v>Yes, I have curated few variants for people who receive WES data.</v>
      </c>
      <c r="V219" s="49" t="str">
        <f ca="1">IFERROR(__xludf.DUMMYFUNCTION("QUERY('Volunteer Survey'!O226)"),"Possibly")</f>
        <v>Possibly</v>
      </c>
      <c r="W219" s="60" t="str">
        <f ca="1">IFERROR(__xludf.DUMMYFUNCTION("QUERY('Volunteer Survey'!P226)"),"")</f>
        <v/>
      </c>
      <c r="X219" s="58" t="str">
        <f ca="1">IFERROR(__xludf.DUMMYFUNCTION("QUERY('Volunteer Survey'!R226)"),"Yes- I am willing to volunteer with any available ClinGen group")</f>
        <v>Yes- I am willing to volunteer with any available ClinGen group</v>
      </c>
      <c r="Y219" s="47"/>
      <c r="Z219" s="174">
        <f ca="1">IFERROR(__xludf.DUMMYFUNCTION("QUERY('Volunteer Survey'!A218)"),43622.554816875)</f>
        <v>43622.554816875003</v>
      </c>
      <c r="AA219" s="175" t="str">
        <f ca="1">IFERROR(__xludf.DUMMYFUNCTION("QUERY('Volunteer Survey'!B218)"),"Jean Davidson")</f>
        <v>Jean Davidson</v>
      </c>
      <c r="AB219" s="175" t="str">
        <f ca="1">IFERROR(__xludf.DUMMYFUNCTION("QUERY('Volunteer Survey'!C218)"),"Cal Poly, San Luis Obispo")</f>
        <v>Cal Poly, San Luis Obispo</v>
      </c>
      <c r="AC219" s="175" t="str">
        <f ca="1">IFERROR(__xludf.DUMMYFUNCTION("QUERY('Volunteer Survey'!D218)"),"1180 Vista del Lago")</f>
        <v>1180 Vista del Lago</v>
      </c>
      <c r="AD219" s="175" t="str">
        <f ca="1">IFERROR(__xludf.DUMMYFUNCTION("QUERY('Volunteer Survey'!E218)"),"jdavid06@calpoly.edu")</f>
        <v>jdavid06@calpoly.edu</v>
      </c>
      <c r="AE219" s="175" t="str">
        <f ca="1">IFERROR(__xludf.DUMMYFUNCTION("QUERY('Volunteer Survey'!F218)"),"Scientific Researcher")</f>
        <v>Scientific Researcher</v>
      </c>
      <c r="AF219" s="175" t="str">
        <f ca="1">IFERROR(__xludf.DUMMYFUNCTION("QUERY('Volunteer Survey'!G218)"),"Colleagues")</f>
        <v>Colleagues</v>
      </c>
      <c r="AG219" s="175" t="str">
        <f ca="1">IFERROR(__xludf.DUMMYFUNCTION("QUERY('Volunteer Survey'!H218)"),"Comprehensive")</f>
        <v>Comprehensive</v>
      </c>
      <c r="AH219" s="175" t="str">
        <f ca="1">IFERROR(__xludf.DUMMYFUNCTION("QUERY('Volunteer Survey'!I218)"),"Gene-Disease Validity")</f>
        <v>Gene-Disease Validity</v>
      </c>
      <c r="AI219" s="175" t="str">
        <f ca="1">IFERROR(__xludf.DUMMYFUNCTION("QUERY('Volunteer Survey'!J218)"),"Variant Pathogenicity")</f>
        <v>Variant Pathogenicity</v>
      </c>
      <c r="AJ219" s="175" t="str">
        <f ca="1">IFERROR(__xludf.DUMMYFUNCTION("QUERY('Volunteer Survey'!K218)"),"Clinical Actionability")</f>
        <v>Clinical Actionability</v>
      </c>
      <c r="AK219" s="175" t="str">
        <f ca="1">IFERROR(__xludf.DUMMYFUNCTION("QUERY('Volunteer Survey'!L218)"),"Dosage Sensitivity")</f>
        <v>Dosage Sensitivity</v>
      </c>
      <c r="AL219" s="175" t="str">
        <f ca="1">IFERROR(__xludf.DUMMYFUNCTION("QUERY('Volunteer Survey'!M218)"),"Somatic Cancer")</f>
        <v>Somatic Cancer</v>
      </c>
      <c r="AM219" s="175" t="str">
        <f ca="1">IFERROR(__xludf.DUMMYFUNCTION("QUERY('Volunteer Survey'!N218)"),"I was a member of the Undiagnosed Disease Network at Stanford University as a genomics coordinator, as well as a member of the ENCODE coordination center at Stanford.  ")</f>
        <v xml:space="preserve">I was a member of the Undiagnosed Disease Network at Stanford University as a genomics coordinator, as well as a member of the ENCODE coordination center at Stanford.  </v>
      </c>
      <c r="AN219" s="175" t="str">
        <f ca="1">IFERROR(__xludf.DUMMYFUNCTION("QUERY('Volunteer Survey'!O218)"),"No")</f>
        <v>No</v>
      </c>
      <c r="AO219" s="175" t="str">
        <f ca="1">IFERROR(__xludf.DUMMYFUNCTION("QUERY('Volunteer Survey'!P218)"),"mitochondrial diseases, dilated cardiomyopathy, ")</f>
        <v xml:space="preserve">mitochondrial diseases, dilated cardiomyopathy, </v>
      </c>
    </row>
    <row r="220" spans="1:41" ht="14">
      <c r="A220" s="44">
        <f ca="1">IFERROR(__xludf.DUMMYFUNCTION("QUERY('Volunteer Survey'!A227)"),43627.8008713773)</f>
        <v>43627.800871377302</v>
      </c>
      <c r="B220" s="42" t="s">
        <v>168</v>
      </c>
      <c r="C220" s="47"/>
      <c r="D220" s="49"/>
      <c r="E220" s="49"/>
      <c r="F220" s="42" t="s">
        <v>130</v>
      </c>
      <c r="G220" s="42" t="s">
        <v>251</v>
      </c>
      <c r="H220" s="47"/>
      <c r="I220" s="45" t="s">
        <v>139</v>
      </c>
      <c r="J220" s="49"/>
      <c r="K220" s="49"/>
      <c r="L220" s="49" t="str">
        <f ca="1">IFERROR(__xludf.DUMMYFUNCTION("QUERY('Volunteer Survey'!B227)"),"Hemantkumar Nemade ")</f>
        <v xml:space="preserve">Hemantkumar Nemade </v>
      </c>
      <c r="M220" s="49" t="str">
        <f ca="1">IFERROR(__xludf.DUMMYFUNCTION("QUERY('Volunteer Survey'!E227)"),"drhemantnemade@gmail.com")</f>
        <v>drhemantnemade@gmail.com</v>
      </c>
      <c r="N220" s="49" t="str">
        <f ca="1">IFERROR(__xludf.DUMMYFUNCTION("QUERY('Volunteer Survey'!F227)"),"Physician (Non-geneticist)")</f>
        <v>Physician (Non-geneticist)</v>
      </c>
      <c r="O220" s="42" t="str">
        <f ca="1">IFERROR(__xludf.DUMMYFUNCTION("QUERY('Volunteer Survey'!H227)"),"Comprehensive")</f>
        <v>Comprehensive</v>
      </c>
      <c r="P220" s="49" t="str">
        <f ca="1">IFERROR(__xludf.DUMMYFUNCTION("QUERY('Volunteer Survey'!I227)"),"Variant Pathogenicity")</f>
        <v>Variant Pathogenicity</v>
      </c>
      <c r="Q220" s="54" t="str">
        <f ca="1">IFERROR(__xludf.DUMMYFUNCTION("QUERY('Volunteer Survey'!J227)"),"Clinical Actionability")</f>
        <v>Clinical Actionability</v>
      </c>
      <c r="R220" s="49" t="str">
        <f ca="1">IFERROR(__xludf.DUMMYFUNCTION("QUERY('Volunteer Survey'!K227)"),"Gene-Disease Validity")</f>
        <v>Gene-Disease Validity</v>
      </c>
      <c r="S220" s="49" t="str">
        <f ca="1">IFERROR(__xludf.DUMMYFUNCTION("QUERY('Volunteer Survey'!L227)"),"Somatic Cancer")</f>
        <v>Somatic Cancer</v>
      </c>
      <c r="T220" s="49" t="str">
        <f ca="1">IFERROR(__xludf.DUMMYFUNCTION("QUERY('Volunteer Survey'!M227)"),"")</f>
        <v/>
      </c>
      <c r="U220" s="58" t="str">
        <f ca="1">IFERROR(__xludf.DUMMYFUNCTION("QUERY('Volunteer Survey'!N227)"),"Not genetic but I have collected and analyzed cancer database. Trained in statistics ")</f>
        <v xml:space="preserve">Not genetic but I have collected and analyzed cancer database. Trained in statistics </v>
      </c>
      <c r="V220" s="49" t="str">
        <f ca="1">IFERROR(__xludf.DUMMYFUNCTION("QUERY('Volunteer Survey'!O227)"),"Possibly")</f>
        <v>Possibly</v>
      </c>
      <c r="W220" s="60" t="str">
        <f ca="1">IFERROR(__xludf.DUMMYFUNCTION("QUERY('Volunteer Survey'!P227)"),"Somatic cancer")</f>
        <v>Somatic cancer</v>
      </c>
      <c r="X220" s="58" t="str">
        <f ca="1">IFERROR(__xludf.DUMMYFUNCTION("QUERY('Volunteer Survey'!R227)"),"Maybe -- please contact me with other options, and I will decide based on what is available")</f>
        <v>Maybe -- please contact me with other options, and I will decide based on what is available</v>
      </c>
      <c r="Y220" s="47"/>
      <c r="Z220" s="174">
        <f ca="1">IFERROR(__xludf.DUMMYFUNCTION("QUERY('Volunteer Survey'!A219)"),43623.2904925463)</f>
        <v>43623.290492546301</v>
      </c>
      <c r="AA220" s="175" t="str">
        <f ca="1">IFERROR(__xludf.DUMMYFUNCTION("QUERY('Volunteer Survey'!B219)"),"Timo Dereani")</f>
        <v>Timo Dereani</v>
      </c>
      <c r="AB220" s="175" t="str">
        <f ca="1">IFERROR(__xludf.DUMMYFUNCTION("QUERY('Volunteer Survey'!C219)"),"bio.logis Center for Human Genetics")</f>
        <v>bio.logis Center for Human Genetics</v>
      </c>
      <c r="AC220" s="175" t="str">
        <f ca="1">IFERROR(__xludf.DUMMYFUNCTION("QUERY('Volunteer Survey'!D219)"),"Altenhöferallee 3, 60438 Frankfurt am Main")</f>
        <v>Altenhöferallee 3, 60438 Frankfurt am Main</v>
      </c>
      <c r="AD220" s="175" t="str">
        <f ca="1">IFERROR(__xludf.DUMMYFUNCTION("QUERY('Volunteer Survey'!E219)"),"dereani@biologis.diagnosticum.eu")</f>
        <v>dereani@biologis.diagnosticum.eu</v>
      </c>
      <c r="AE220" s="175" t="str">
        <f ca="1">IFERROR(__xludf.DUMMYFUNCTION("QUERY('Volunteer Survey'!F219)"),"Clinical laboratory geneticist")</f>
        <v>Clinical laboratory geneticist</v>
      </c>
      <c r="AF220" s="175" t="str">
        <f ca="1">IFERROR(__xludf.DUMMYFUNCTION("QUERY('Volunteer Survey'!G219)"),"Networking")</f>
        <v>Networking</v>
      </c>
      <c r="AG220" s="175" t="str">
        <f ca="1">IFERROR(__xludf.DUMMYFUNCTION("QUERY('Volunteer Survey'!H219)"),"Comprehensive")</f>
        <v>Comprehensive</v>
      </c>
      <c r="AH220" s="175" t="str">
        <f ca="1">IFERROR(__xludf.DUMMYFUNCTION("QUERY('Volunteer Survey'!I219)"),"Variant Pathogenicity")</f>
        <v>Variant Pathogenicity</v>
      </c>
      <c r="AI220" s="175" t="str">
        <f ca="1">IFERROR(__xludf.DUMMYFUNCTION("QUERY('Volunteer Survey'!J219)"),"Clinical Actionability")</f>
        <v>Clinical Actionability</v>
      </c>
      <c r="AJ220" s="175" t="str">
        <f ca="1">IFERROR(__xludf.DUMMYFUNCTION("QUERY('Volunteer Survey'!K219)"),"Dosage Sensitivity")</f>
        <v>Dosage Sensitivity</v>
      </c>
      <c r="AK220" s="175" t="str">
        <f ca="1">IFERROR(__xludf.DUMMYFUNCTION("QUERY('Volunteer Survey'!L219)"),"Gene-Disease Validity")</f>
        <v>Gene-Disease Validity</v>
      </c>
      <c r="AL220" s="175" t="str">
        <f ca="1">IFERROR(__xludf.DUMMYFUNCTION("QUERY('Volunteer Survey'!M219)"),"Somatic Cancer")</f>
        <v>Somatic Cancer</v>
      </c>
      <c r="AM220" s="175" t="str">
        <f ca="1">IFERROR(__xludf.DUMMYFUNCTION("QUERY('Volunteer Survey'!N219)"),"I've already curated hundreds of variants during my work as a clinical laboratory geneticist. Additionally I've used various classification guidelines (internal, ACMG etc.) and I'm constantly trying to implement new ideas. I am currently also participatig"&amp;" in the ClinGen low penetrance working group. Additionally I've helped to create various virtual panels for the routine diagnostics at our center.")</f>
        <v>I've already curated hundreds of variants during my work as a clinical laboratory geneticist. Additionally I've used various classification guidelines (internal, ACMG etc.) and I'm constantly trying to implement new ideas. I am currently also participatig in the ClinGen low penetrance working group. Additionally I've helped to create various virtual panels for the routine diagnostics at our center.</v>
      </c>
      <c r="AN220" s="175" t="str">
        <f ca="1">IFERROR(__xludf.DUMMYFUNCTION("QUERY('Volunteer Survey'!O219)"),"Yes")</f>
        <v>Yes</v>
      </c>
      <c r="AO220" s="175" t="str">
        <f ca="1">IFERROR(__xludf.DUMMYFUNCTION("QUERY('Volunteer Survey'!P219)"),"Monogenic Diabetes, Hereditary Cancer")</f>
        <v>Monogenic Diabetes, Hereditary Cancer</v>
      </c>
    </row>
    <row r="221" spans="1:41" ht="14">
      <c r="A221" s="44">
        <f ca="1">IFERROR(__xludf.DUMMYFUNCTION("QUERY('Volunteer Survey'!A228)"),43628.4954871759)</f>
        <v>43628.495487175896</v>
      </c>
      <c r="B221" s="42" t="s">
        <v>108</v>
      </c>
      <c r="C221" s="73">
        <v>43705</v>
      </c>
      <c r="D221" s="59">
        <v>43719</v>
      </c>
      <c r="E221" s="42" t="s">
        <v>130</v>
      </c>
      <c r="F221" s="42" t="s">
        <v>130</v>
      </c>
      <c r="G221" s="42" t="s">
        <v>136</v>
      </c>
      <c r="H221" s="47"/>
      <c r="I221" s="45" t="s">
        <v>139</v>
      </c>
      <c r="J221" s="49"/>
      <c r="K221" s="49"/>
      <c r="L221" s="49" t="str">
        <f ca="1">IFERROR(__xludf.DUMMYFUNCTION("QUERY('Volunteer Survey'!B228)"),"Christina Bridges")</f>
        <v>Christina Bridges</v>
      </c>
      <c r="M221" s="49" t="str">
        <f ca="1">IFERROR(__xludf.DUMMYFUNCTION("QUERY('Volunteer Survey'!E228)"),"c.bridges@med.unc.edu")</f>
        <v>c.bridges@med.unc.edu</v>
      </c>
      <c r="N221" s="49" t="str">
        <f ca="1">IFERROR(__xludf.DUMMYFUNCTION("QUERY('Volunteer Survey'!F228)"),"Variant Analyst/Scientist - Industry")</f>
        <v>Variant Analyst/Scientist - Industry</v>
      </c>
      <c r="O221" s="42" t="str">
        <f ca="1">IFERROR(__xludf.DUMMYFUNCTION("QUERY('Volunteer Survey'!H228)"),"Comprehensive")</f>
        <v>Comprehensive</v>
      </c>
      <c r="P221" s="49" t="str">
        <f ca="1">IFERROR(__xludf.DUMMYFUNCTION("QUERY('Volunteer Survey'!I228)"),"Somatic Cancer")</f>
        <v>Somatic Cancer</v>
      </c>
      <c r="Q221" s="54" t="str">
        <f ca="1">IFERROR(__xludf.DUMMYFUNCTION("QUERY('Volunteer Survey'!J228)"),"Variant Pathogenicity")</f>
        <v>Variant Pathogenicity</v>
      </c>
      <c r="R221" s="49" t="str">
        <f ca="1">IFERROR(__xludf.DUMMYFUNCTION("QUERY('Volunteer Survey'!K228)"),"Gene-Disease Validity")</f>
        <v>Gene-Disease Validity</v>
      </c>
      <c r="S221" s="49" t="str">
        <f ca="1">IFERROR(__xludf.DUMMYFUNCTION("QUERY('Volunteer Survey'!L228)"),"Dosage Sensitivity")</f>
        <v>Dosage Sensitivity</v>
      </c>
      <c r="T221" s="49" t="str">
        <f ca="1">IFERROR(__xludf.DUMMYFUNCTION("QUERY('Volunteer Survey'!M228)"),"")</f>
        <v/>
      </c>
      <c r="U221" s="58" t="str">
        <f ca="1">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V221" s="49" t="str">
        <f ca="1">IFERROR(__xludf.DUMMYFUNCTION("QUERY('Volunteer Survey'!O228)"),"No")</f>
        <v>No</v>
      </c>
      <c r="W221" s="60" t="str">
        <f ca="1">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c r="X221" s="58" t="str">
        <f ca="1">IFERROR(__xludf.DUMMYFUNCTION("QUERY('Volunteer Survey'!R228)"),"Maybe -- please contact me with other options, and I will decide based on what is available")</f>
        <v>Maybe -- please contact me with other options, and I will decide based on what is available</v>
      </c>
      <c r="Y221" s="47"/>
      <c r="Z221" s="174">
        <f ca="1">IFERROR(__xludf.DUMMYFUNCTION("QUERY('Volunteer Survey'!A220)"),43625.5121806481)</f>
        <v>43625.512180648097</v>
      </c>
      <c r="AA221" s="175" t="str">
        <f ca="1">IFERROR(__xludf.DUMMYFUNCTION("QUERY('Volunteer Survey'!B220)"),"Konstantinos Varvagiannis")</f>
        <v>Konstantinos Varvagiannis</v>
      </c>
      <c r="AB221" s="175" t="str">
        <f ca="1">IFERROR(__xludf.DUMMYFUNCTION("QUERY('Volunteer Survey'!C220)"),"Currently working in private practice (will possibly move to academic hospital again)")</f>
        <v>Currently working in private practice (will possibly move to academic hospital again)</v>
      </c>
      <c r="AC221" s="175" t="str">
        <f ca="1">IFERROR(__xludf.DUMMYFUNCTION("QUERY('Volunteer Survey'!D220)"),"Athens - Greece")</f>
        <v>Athens - Greece</v>
      </c>
      <c r="AD221" s="175" t="str">
        <f ca="1">IFERROR(__xludf.DUMMYFUNCTION("QUERY('Volunteer Survey'!E220)"),"knsvarv@ath.forthnet.gr")</f>
        <v>knsvarv@ath.forthnet.gr</v>
      </c>
      <c r="AE221" s="175" t="str">
        <f ca="1">IFERROR(__xludf.DUMMYFUNCTION("QUERY('Volunteer Survey'!F220)"),"Clinical Medical Geneticist")</f>
        <v>Clinical Medical Geneticist</v>
      </c>
      <c r="AF221" s="175" t="str">
        <f ca="1">IFERROR(__xludf.DUMMYFUNCTION("QUERY('Volunteer Survey'!G220)"),"ClinGen conference advertisements (i.e. booth, workshop, presentation), The clinicalgenome.org website, Twitter")</f>
        <v>ClinGen conference advertisements (i.e. booth, workshop, presentation), The clinicalgenome.org website, Twitter</v>
      </c>
      <c r="AG221" s="175" t="str">
        <f ca="1">IFERROR(__xludf.DUMMYFUNCTION("QUERY('Volunteer Survey'!H220)"),"Baseline")</f>
        <v>Baseline</v>
      </c>
      <c r="AH221" s="175" t="str">
        <f ca="1">IFERROR(__xludf.DUMMYFUNCTION("QUERY('Volunteer Survey'!I220)"),"Gene-Disease Validity")</f>
        <v>Gene-Disease Validity</v>
      </c>
      <c r="AI221" s="175" t="str">
        <f ca="1">IFERROR(__xludf.DUMMYFUNCTION("QUERY('Volunteer Survey'!J220)"),"Variant Pathogenicity")</f>
        <v>Variant Pathogenicity</v>
      </c>
      <c r="AJ221" s="175" t="str">
        <f ca="1">IFERROR(__xludf.DUMMYFUNCTION("QUERY('Volunteer Survey'!K220)"),"Dosage Sensitivity")</f>
        <v>Dosage Sensitivity</v>
      </c>
      <c r="AK221" s="175" t="str">
        <f ca="1">IFERROR(__xludf.DUMMYFUNCTION("QUERY('Volunteer Survey'!L220)"),"Clinical Actionability")</f>
        <v>Clinical Actionability</v>
      </c>
      <c r="AL221" s="175" t="str">
        <f ca="1">IFERROR(__xludf.DUMMYFUNCTION("QUERY('Volunteer Survey'!M220)"),"Somatic Cancer")</f>
        <v>Somatic Cancer</v>
      </c>
      <c r="AM221" s="175" t="str">
        <f ca="1">IFERROR(__xludf.DUMMYFUNCTION("QUERY('Volunteer Survey'!N220)"),"Genomics England PanelApp - ID/epilepsy panels - (reviews available after filtering the respective panels' activity / : https://panelapp.genomicsengland.co.uk/panels/activity/?panel=285  -  https://panelapp.genomicsengland.co.uk/panels/activity/?panel=402"&amp;" )")</f>
        <v>Genomics England PanelApp - ID/epilepsy panels - (reviews available after filtering the respective panels' activity / : https://panelapp.genomicsengland.co.uk/panels/activity/?panel=285  -  https://panelapp.genomicsengland.co.uk/panels/activity/?panel=402 )</v>
      </c>
      <c r="AN221" s="175" t="str">
        <f ca="1">IFERROR(__xludf.DUMMYFUNCTION("QUERY('Volunteer Survey'!O220)"),"Possibly")</f>
        <v>Possibly</v>
      </c>
      <c r="AO221" s="175" t="str">
        <f ca="1">IFERROR(__xludf.DUMMYFUNCTION("QUERY('Volunteer Survey'!P220)"),"Intellectual Disability and Autism / Epilepsy")</f>
        <v>Intellectual Disability and Autism / Epilepsy</v>
      </c>
    </row>
    <row r="222" spans="1:41" ht="15" customHeight="1">
      <c r="A222" s="44">
        <f ca="1">IFERROR(__xludf.DUMMYFUNCTION("QUERY('Volunteer Survey'!A230)"),43632.880822581)</f>
        <v>43632.880822580999</v>
      </c>
      <c r="B222" s="42" t="s">
        <v>108</v>
      </c>
      <c r="C222" s="73"/>
      <c r="D222" s="59"/>
      <c r="E222" s="42" t="s">
        <v>130</v>
      </c>
      <c r="F222" s="42" t="s">
        <v>130</v>
      </c>
      <c r="G222" s="42" t="s">
        <v>202</v>
      </c>
      <c r="H222" s="45"/>
      <c r="I222" s="45" t="s">
        <v>139</v>
      </c>
      <c r="J222" s="49"/>
      <c r="K222" s="49"/>
      <c r="L222" s="49" t="str">
        <f ca="1">IFERROR(__xludf.DUMMYFUNCTION("QUERY('Volunteer Survey'!B230)"),"Malak Ashraf")</f>
        <v>Malak Ashraf</v>
      </c>
      <c r="M222" s="49" t="str">
        <f ca="1">IFERROR(__xludf.DUMMYFUNCTION("QUERY('Volunteer Survey'!E230)"),"malak.2118144@stemkalubya.moe.edu.eg")</f>
        <v>malak.2118144@stemkalubya.moe.edu.eg</v>
      </c>
      <c r="N222" s="49" t="str">
        <f ca="1">IFERROR(__xludf.DUMMYFUNCTION("QUERY('Volunteer Survey'!F230)"),"High School Student")</f>
        <v>High School Student</v>
      </c>
      <c r="O222" s="42" t="str">
        <f ca="1">IFERROR(__xludf.DUMMYFUNCTION("QUERY('Volunteer Survey'!H230)"),"Baseline")</f>
        <v>Baseline</v>
      </c>
      <c r="P222" s="49" t="str">
        <f ca="1">IFERROR(__xludf.DUMMYFUNCTION("QUERY('Volunteer Survey'!I230)"),"Somatic Cancer")</f>
        <v>Somatic Cancer</v>
      </c>
      <c r="Q222" s="54" t="str">
        <f ca="1">IFERROR(__xludf.DUMMYFUNCTION("QUERY('Volunteer Survey'!J230)"),"Variant Pathogenicity")</f>
        <v>Variant Pathogenicity</v>
      </c>
      <c r="R222" s="49" t="str">
        <f ca="1">IFERROR(__xludf.DUMMYFUNCTION("QUERY('Volunteer Survey'!K230)"),"Gene-Disease Validity")</f>
        <v>Gene-Disease Validity</v>
      </c>
      <c r="S222" s="49" t="str">
        <f ca="1">IFERROR(__xludf.DUMMYFUNCTION("QUERY('Volunteer Survey'!L230)"),"")</f>
        <v/>
      </c>
      <c r="T222" s="49" t="str">
        <f ca="1">IFERROR(__xludf.DUMMYFUNCTION("QUERY('Volunteer Survey'!M230)"),"")</f>
        <v/>
      </c>
      <c r="U222" s="58" t="str">
        <f ca="1">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V222" s="49" t="str">
        <f ca="1">IFERROR(__xludf.DUMMYFUNCTION("QUERY('Volunteer Survey'!O230)"),"No")</f>
        <v>No</v>
      </c>
      <c r="W222" s="60" t="str">
        <f ca="1">IFERROR(__xludf.DUMMYFUNCTION("QUERY('Volunteer Survey'!P230)"),"yes, i am interested in joining Somatic Cancer working group!")</f>
        <v>yes, i am interested in joining Somatic Cancer working group!</v>
      </c>
      <c r="X222" s="58" t="str">
        <f ca="1">IFERROR(__xludf.DUMMYFUNCTION("QUERY('Volunteer Survey'!R230)"),"Maybe -- please contact me with other options, and I will decide based on what is available")</f>
        <v>Maybe -- please contact me with other options, and I will decide based on what is available</v>
      </c>
      <c r="Y222" s="45" t="s">
        <v>362</v>
      </c>
      <c r="Z222" s="174">
        <f ca="1">IFERROR(__xludf.DUMMYFUNCTION("QUERY('Volunteer Survey'!A221)"),43625.5664684722)</f>
        <v>43625.5664684722</v>
      </c>
      <c r="AA222" s="175" t="str">
        <f ca="1">IFERROR(__xludf.DUMMYFUNCTION("QUERY('Volunteer Survey'!B221)"),"Jennifer Bullard")</f>
        <v>Jennifer Bullard</v>
      </c>
      <c r="AB222" s="175" t="str">
        <f ca="1">IFERROR(__xludf.DUMMYFUNCTION("QUERY('Volunteer Survey'!C221)"),"University of South Alabama")</f>
        <v>University of South Alabama</v>
      </c>
      <c r="AC222" s="175" t="str">
        <f ca="1">IFERROR(__xludf.DUMMYFUNCTION("QUERY('Volunteer Survey'!D221)"),"")</f>
        <v/>
      </c>
      <c r="AD222" s="175" t="str">
        <f ca="1">IFERROR(__xludf.DUMMYFUNCTION("QUERY('Volunteer Survey'!E221)"),"jenniferluja@gmail.com")</f>
        <v>jenniferluja@gmail.com</v>
      </c>
      <c r="AE222" s="175" t="str">
        <f ca="1">IFERROR(__xludf.DUMMYFUNCTION("QUERY('Volunteer Survey'!F221)"),"Clinical laboratory geneticist")</f>
        <v>Clinical laboratory geneticist</v>
      </c>
      <c r="AF222" s="175" t="str">
        <f ca="1">IFERROR(__xludf.DUMMYFUNCTION("QUERY('Volunteer Survey'!G221)"),"The clinicalgenome.org website")</f>
        <v>The clinicalgenome.org website</v>
      </c>
      <c r="AG222" s="175" t="str">
        <f ca="1">IFERROR(__xludf.DUMMYFUNCTION("QUERY('Volunteer Survey'!H221)"),"Comprehensive")</f>
        <v>Comprehensive</v>
      </c>
      <c r="AH222" s="175" t="str">
        <f ca="1">IFERROR(__xludf.DUMMYFUNCTION("QUERY('Volunteer Survey'!I221)"),"Variant Pathogenicity")</f>
        <v>Variant Pathogenicity</v>
      </c>
      <c r="AI222" s="175" t="str">
        <f ca="1">IFERROR(__xludf.DUMMYFUNCTION("QUERY('Volunteer Survey'!J221)"),"Gene-Disease Validity")</f>
        <v>Gene-Disease Validity</v>
      </c>
      <c r="AJ222" s="175" t="str">
        <f ca="1">IFERROR(__xludf.DUMMYFUNCTION("QUERY('Volunteer Survey'!K221)"),"Dosage Sensitivity")</f>
        <v>Dosage Sensitivity</v>
      </c>
      <c r="AK222" s="175" t="str">
        <f ca="1">IFERROR(__xludf.DUMMYFUNCTION("QUERY('Volunteer Survey'!L221)"),"Clinical Actionability")</f>
        <v>Clinical Actionability</v>
      </c>
      <c r="AL222" s="175" t="str">
        <f ca="1">IFERROR(__xludf.DUMMYFUNCTION("QUERY('Volunteer Survey'!M221)"),"Somatic Cancer")</f>
        <v>Somatic Cancer</v>
      </c>
      <c r="AM222" s="175" t="str">
        <f ca="1">IFERROR(__xludf.DUMMYFUNCTION("QUERY('Volunteer Survey'!N221)"),"")</f>
        <v/>
      </c>
      <c r="AN222" s="175" t="str">
        <f ca="1">IFERROR(__xludf.DUMMYFUNCTION("QUERY('Volunteer Survey'!O221)"),"No")</f>
        <v>No</v>
      </c>
      <c r="AO222" s="175" t="str">
        <f ca="1">IFERROR(__xludf.DUMMYFUNCTION("QUERY('Volunteer Survey'!P221)"),"Monogenic Diabetes")</f>
        <v>Monogenic Diabetes</v>
      </c>
    </row>
    <row r="223" spans="1:41" ht="14">
      <c r="Z223" s="174">
        <f ca="1">IFERROR(__xludf.DUMMYFUNCTION("QUERY('Volunteer Survey'!A222)"),43625.7297409722)</f>
        <v>43625.729740972201</v>
      </c>
      <c r="AA223" s="175" t="str">
        <f ca="1">IFERROR(__xludf.DUMMYFUNCTION("QUERY('Volunteer Survey'!B222)"),"Greg Lennon")</f>
        <v>Greg Lennon</v>
      </c>
      <c r="AB223" s="175" t="str">
        <f ca="1">IFERROR(__xludf.DUMMYFUNCTION("QUERY('Volunteer Survey'!C222)"),"SNPedia")</f>
        <v>SNPedia</v>
      </c>
      <c r="AC223" s="175" t="str">
        <f ca="1">IFERROR(__xludf.DUMMYFUNCTION("QUERY('Volunteer Survey'!D222)"),"9812 Falls Rd #114-237, Potomac MD 20854")</f>
        <v>9812 Falls Rd #114-237, Potomac MD 20854</v>
      </c>
      <c r="AD223" s="175" t="str">
        <f ca="1">IFERROR(__xludf.DUMMYFUNCTION("QUERY('Volunteer Survey'!E222)"),"greg.lennon@gmail.com")</f>
        <v>greg.lennon@gmail.com</v>
      </c>
      <c r="AE223" s="175" t="str">
        <f ca="1">IFERROR(__xludf.DUMMYFUNCTION("QUERY('Volunteer Survey'!F222)"),"Scientific Researcher")</f>
        <v>Scientific Researcher</v>
      </c>
      <c r="AF223" s="175" t="str">
        <f ca="1">IFERROR(__xludf.DUMMYFUNCTION("QUERY('Volunteer Survey'!G222)"),"Colleagues")</f>
        <v>Colleagues</v>
      </c>
      <c r="AG223" s="175" t="str">
        <f ca="1">IFERROR(__xludf.DUMMYFUNCTION("QUERY('Volunteer Survey'!H222)"),"Comprehensive")</f>
        <v>Comprehensive</v>
      </c>
      <c r="AH223" s="175" t="str">
        <f ca="1">IFERROR(__xludf.DUMMYFUNCTION("QUERY('Volunteer Survey'!I222)"),"Clinical Actionability")</f>
        <v>Clinical Actionability</v>
      </c>
      <c r="AI223" s="175" t="str">
        <f ca="1">IFERROR(__xludf.DUMMYFUNCTION("QUERY('Volunteer Survey'!J222)"),"Variant Pathogenicity")</f>
        <v>Variant Pathogenicity</v>
      </c>
      <c r="AJ223" s="175" t="str">
        <f ca="1">IFERROR(__xludf.DUMMYFUNCTION("QUERY('Volunteer Survey'!K222)"),"")</f>
        <v/>
      </c>
      <c r="AK223" s="175" t="str">
        <f ca="1">IFERROR(__xludf.DUMMYFUNCTION("QUERY('Volunteer Survey'!L222)"),"")</f>
        <v/>
      </c>
      <c r="AL223" s="175" t="str">
        <f ca="1">IFERROR(__xludf.DUMMYFUNCTION("QUERY('Volunteer Survey'!M222)"),"")</f>
        <v/>
      </c>
      <c r="AM223" s="175" t="str">
        <f ca="1">IFERROR(__xludf.DUMMYFUNCTION("QUERY('Volunteer Survey'!N222)"),"Curation of SNPedia (since 2006)")</f>
        <v>Curation of SNPedia (since 2006)</v>
      </c>
      <c r="AN223" s="175" t="str">
        <f ca="1">IFERROR(__xludf.DUMMYFUNCTION("QUERY('Volunteer Survey'!O222)"),"Possibly")</f>
        <v>Possibly</v>
      </c>
      <c r="AO223" s="175" t="str">
        <f ca="1">IFERROR(__xludf.DUMMYFUNCTION("QUERY('Volunteer Survey'!P222)"),"Actionability Working Group")</f>
        <v>Actionability Working Group</v>
      </c>
    </row>
    <row r="224" spans="1:41" ht="14">
      <c r="A224" s="44">
        <f ca="1">IFERROR(__xludf.DUMMYFUNCTION("QUERY('Volunteer Survey'!A231)"),43633.6785376967)</f>
        <v>43633.678537696702</v>
      </c>
      <c r="B224" s="42" t="s">
        <v>108</v>
      </c>
      <c r="C224" s="73">
        <v>43689</v>
      </c>
      <c r="D224" s="59">
        <v>43769</v>
      </c>
      <c r="E224" s="42" t="s">
        <v>117</v>
      </c>
      <c r="F224" s="42" t="s">
        <v>117</v>
      </c>
      <c r="G224" s="42" t="s">
        <v>19</v>
      </c>
      <c r="H224" s="63" t="s">
        <v>19</v>
      </c>
      <c r="I224" s="45" t="s">
        <v>299</v>
      </c>
      <c r="J224" s="49"/>
      <c r="K224" s="49"/>
      <c r="L224" s="49" t="str">
        <f ca="1">IFERROR(__xludf.DUMMYFUNCTION("QUERY('Volunteer Survey'!B231)"),"Abul Kalam Azad")</f>
        <v>Abul Kalam Azad</v>
      </c>
      <c r="M224" s="49" t="str">
        <f ca="1">IFERROR(__xludf.DUMMYFUNCTION("QUERY('Volunteer Survey'!E231)"),"azadak@gmail.com")</f>
        <v>azadak@gmail.com</v>
      </c>
      <c r="N224" s="49" t="str">
        <f ca="1">IFERROR(__xludf.DUMMYFUNCTION("QUERY('Volunteer Survey'!F231)"),"Post Doc/Resident/Fellow (MD and/or PhD)")</f>
        <v>Post Doc/Resident/Fellow (MD and/or PhD)</v>
      </c>
      <c r="O224" s="42" t="str">
        <f ca="1">IFERROR(__xludf.DUMMYFUNCTION("QUERY('Volunteer Survey'!H231)"),"Comprehensive")</f>
        <v>Comprehensive</v>
      </c>
      <c r="P224" s="49" t="str">
        <f ca="1">IFERROR(__xludf.DUMMYFUNCTION("QUERY('Volunteer Survey'!I231)"),"Clinical Actionability")</f>
        <v>Clinical Actionability</v>
      </c>
      <c r="Q224" s="54" t="str">
        <f ca="1">IFERROR(__xludf.DUMMYFUNCTION("QUERY('Volunteer Survey'!J231)"),"Variant Pathogenicity")</f>
        <v>Variant Pathogenicity</v>
      </c>
      <c r="R224" s="49" t="str">
        <f ca="1">IFERROR(__xludf.DUMMYFUNCTION("QUERY('Volunteer Survey'!K231)"),"Gene-Disease Validity")</f>
        <v>Gene-Disease Validity</v>
      </c>
      <c r="S224" s="49" t="str">
        <f ca="1">IFERROR(__xludf.DUMMYFUNCTION("QUERY('Volunteer Survey'!L231)"),"Somatic Cancer")</f>
        <v>Somatic Cancer</v>
      </c>
      <c r="T224" s="49" t="str">
        <f ca="1">IFERROR(__xludf.DUMMYFUNCTION("QUERY('Volunteer Survey'!M231)"),"Dosage Sensitivity")</f>
        <v>Dosage Sensitivity</v>
      </c>
      <c r="U224" s="58" t="str">
        <f ca="1">IFERROR(__xludf.DUMMYFUNCTION("QUERY('Volunteer Survey'!N231)"),"")</f>
        <v/>
      </c>
      <c r="V224" s="49" t="str">
        <f ca="1">IFERROR(__xludf.DUMMYFUNCTION("QUERY('Volunteer Survey'!O231)"),"Yes")</f>
        <v>Yes</v>
      </c>
      <c r="W224" s="60" t="str">
        <f ca="1">IFERROR(__xludf.DUMMYFUNCTION("QUERY('Volunteer Survey'!P231)"),"")</f>
        <v/>
      </c>
      <c r="X224" s="58" t="str">
        <f ca="1">IFERROR(__xludf.DUMMYFUNCTION("QUERY('Volunteer Survey'!R231)"),"Yes- I am willing to volunteer with any available ClinGen group")</f>
        <v>Yes- I am willing to volunteer with any available ClinGen group</v>
      </c>
      <c r="Y224" s="47"/>
      <c r="Z224" s="174">
        <f ca="1">IFERROR(__xludf.DUMMYFUNCTION("QUERY('Volunteer Survey'!A223)"),43626.4672780092)</f>
        <v>43626.467278009201</v>
      </c>
      <c r="AA224" s="175" t="str">
        <f ca="1">IFERROR(__xludf.DUMMYFUNCTION("QUERY('Volunteer Survey'!B223)"),"Pamela")</f>
        <v>Pamela</v>
      </c>
      <c r="AB224" s="175" t="str">
        <f ca="1">IFERROR(__xludf.DUMMYFUNCTION("QUERY('Volunteer Survey'!C223)"),"Versiti Blood Research Institute")</f>
        <v>Versiti Blood Research Institute</v>
      </c>
      <c r="AC224" s="175" t="str">
        <f ca="1">IFERROR(__xludf.DUMMYFUNCTION("QUERY('Volunteer Survey'!D223)"),"8727 Watertown Plank Rd.")</f>
        <v>8727 Watertown Plank Rd.</v>
      </c>
      <c r="AD224" s="175" t="str">
        <f ca="1">IFERROR(__xludf.DUMMYFUNCTION("QUERY('Volunteer Survey'!E223)"),"pchristopherson@versiti.org")</f>
        <v>pchristopherson@versiti.org</v>
      </c>
      <c r="AE224" s="175" t="str">
        <f ca="1">IFERROR(__xludf.DUMMYFUNCTION("QUERY('Volunteer Survey'!F223)"),"Scientific Researcher")</f>
        <v>Scientific Researcher</v>
      </c>
      <c r="AF224" s="175" t="str">
        <f ca="1">IFERROR(__xludf.DUMMYFUNCTION("QUERY('Volunteer Survey'!G223)"),"Colleagues")</f>
        <v>Colleagues</v>
      </c>
      <c r="AG224" s="175" t="str">
        <f ca="1">IFERROR(__xludf.DUMMYFUNCTION("QUERY('Volunteer Survey'!H223)"),"Comprehensive")</f>
        <v>Comprehensive</v>
      </c>
      <c r="AH224" s="175" t="str">
        <f ca="1">IFERROR(__xludf.DUMMYFUNCTION("QUERY('Volunteer Survey'!I223)"),"Variant Pathogenicity")</f>
        <v>Variant Pathogenicity</v>
      </c>
      <c r="AI224" s="175" t="str">
        <f ca="1">IFERROR(__xludf.DUMMYFUNCTION("QUERY('Volunteer Survey'!J223)"),"")</f>
        <v/>
      </c>
      <c r="AJ224" s="175" t="str">
        <f ca="1">IFERROR(__xludf.DUMMYFUNCTION("QUERY('Volunteer Survey'!K223)"),"")</f>
        <v/>
      </c>
      <c r="AK224" s="175" t="str">
        <f ca="1">IFERROR(__xludf.DUMMYFUNCTION("QUERY('Volunteer Survey'!L223)"),"")</f>
        <v/>
      </c>
      <c r="AL224" s="175" t="str">
        <f ca="1">IFERROR(__xludf.DUMMYFUNCTION("QUERY('Volunteer Survey'!M223)"),"")</f>
        <v/>
      </c>
      <c r="AM224" s="175" t="str">
        <f ca="1">IFERROR(__xludf.DUMMYFUNCTION("QUERY('Volunteer Survey'!N223)"),"Submission of variants to LOVD")</f>
        <v>Submission of variants to LOVD</v>
      </c>
      <c r="AN224" s="175" t="str">
        <f ca="1">IFERROR(__xludf.DUMMYFUNCTION("QUERY('Volunteer Survey'!O223)"),"Possibly")</f>
        <v>Possibly</v>
      </c>
      <c r="AO224" s="175" t="str">
        <f ca="1">IFERROR(__xludf.DUMMYFUNCTION("QUERY('Volunteer Survey'!P223)"),"Already on VWD working group")</f>
        <v>Already on VWD working group</v>
      </c>
    </row>
    <row r="225" spans="1:41" ht="14">
      <c r="A225" s="44">
        <f ca="1">IFERROR(__xludf.DUMMYFUNCTION("QUERY('Volunteer Survey'!A232)"),43634.5731383449)</f>
        <v>43634.573138344902</v>
      </c>
      <c r="B225" s="42" t="s">
        <v>322</v>
      </c>
      <c r="C225" s="47"/>
      <c r="D225" s="49"/>
      <c r="E225" s="49"/>
      <c r="F225" s="42" t="s">
        <v>130</v>
      </c>
      <c r="G225" s="42" t="s">
        <v>122</v>
      </c>
      <c r="H225" s="47"/>
      <c r="I225" s="45" t="s">
        <v>356</v>
      </c>
      <c r="J225" s="49"/>
      <c r="K225" s="49"/>
      <c r="L225" s="49" t="str">
        <f ca="1">IFERROR(__xludf.DUMMYFUNCTION("QUERY('Volunteer Survey'!B232)"),"Amruta Phatak")</f>
        <v>Amruta Phatak</v>
      </c>
      <c r="M225" s="49" t="str">
        <f ca="1">IFERROR(__xludf.DUMMYFUNCTION("QUERY('Volunteer Survey'!E232)"),"arphatak@iu.edu")</f>
        <v>arphatak@iu.edu</v>
      </c>
      <c r="N225" s="49" t="str">
        <f ca="1">IFERROR(__xludf.DUMMYFUNCTION("QUERY('Volunteer Survey'!F232)"),"Post Doc/Resident/Fellow (MD and/or PhD)")</f>
        <v>Post Doc/Resident/Fellow (MD and/or PhD)</v>
      </c>
      <c r="O225" s="42" t="str">
        <f ca="1">IFERROR(__xludf.DUMMYFUNCTION("QUERY('Volunteer Survey'!H232)"),"Comprehensive")</f>
        <v>Comprehensive</v>
      </c>
      <c r="P225" s="49" t="str">
        <f ca="1">IFERROR(__xludf.DUMMYFUNCTION("QUERY('Volunteer Survey'!I232)"),"Gene-Disease Validity")</f>
        <v>Gene-Disease Validity</v>
      </c>
      <c r="Q225" s="54" t="str">
        <f ca="1">IFERROR(__xludf.DUMMYFUNCTION("QUERY('Volunteer Survey'!J232)"),"Variant Pathogenicity")</f>
        <v>Variant Pathogenicity</v>
      </c>
      <c r="R225" s="49" t="str">
        <f ca="1">IFERROR(__xludf.DUMMYFUNCTION("QUERY('Volunteer Survey'!K232)"),"Clinical Actionability")</f>
        <v>Clinical Actionability</v>
      </c>
      <c r="S225" s="49" t="str">
        <f ca="1">IFERROR(__xludf.DUMMYFUNCTION("QUERY('Volunteer Survey'!L232)"),"Dosage Sensitivity")</f>
        <v>Dosage Sensitivity</v>
      </c>
      <c r="T225" s="49" t="str">
        <f ca="1">IFERROR(__xludf.DUMMYFUNCTION("QUERY('Volunteer Survey'!M232)"),"Somatic Cancer")</f>
        <v>Somatic Cancer</v>
      </c>
      <c r="U225" s="58" t="str">
        <f ca="1">IFERROR(__xludf.DUMMYFUNCTION("QUERY('Volunteer Survey'!N232)"),"")</f>
        <v/>
      </c>
      <c r="V225" s="49" t="str">
        <f ca="1">IFERROR(__xludf.DUMMYFUNCTION("QUERY('Volunteer Survey'!O232)"),"Yes")</f>
        <v>Yes</v>
      </c>
      <c r="W225" s="60" t="str">
        <f ca="1">IFERROR(__xludf.DUMMYFUNCTION("QUERY('Volunteer Survey'!P232)"),"")</f>
        <v/>
      </c>
      <c r="X225" s="58" t="str">
        <f ca="1">IFERROR(__xludf.DUMMYFUNCTION("QUERY('Volunteer Survey'!R232)"),"Yes- I am willing to volunteer with any available ClinGen group")</f>
        <v>Yes- I am willing to volunteer with any available ClinGen group</v>
      </c>
      <c r="Y225" s="47"/>
      <c r="Z225" s="174">
        <f ca="1">IFERROR(__xludf.DUMMYFUNCTION("QUERY('Volunteer Survey'!A224)"),43626.624125162)</f>
        <v>43626.624125162001</v>
      </c>
      <c r="AA225" s="175" t="str">
        <f ca="1">IFERROR(__xludf.DUMMYFUNCTION("QUERY('Volunteer Survey'!B224)"),"Ernie Hobbs")</f>
        <v>Ernie Hobbs</v>
      </c>
      <c r="AB225" s="175" t="str">
        <f ca="1">IFERROR(__xludf.DUMMYFUNCTION("QUERY('Volunteer Survey'!C224)"),"Congenica")</f>
        <v>Congenica</v>
      </c>
      <c r="AC225" s="175" t="str">
        <f ca="1">IFERROR(__xludf.DUMMYFUNCTION("QUERY('Volunteer Survey'!D224)"),"4452 Lochurst Drive, Pfafftown, NC 27040")</f>
        <v>4452 Lochurst Drive, Pfafftown, NC 27040</v>
      </c>
      <c r="AD225" s="175" t="str">
        <f ca="1">IFERROR(__xludf.DUMMYFUNCTION("QUERY('Volunteer Survey'!E224)"),"ernie.hobbs@congenica.com")</f>
        <v>ernie.hobbs@congenica.com</v>
      </c>
      <c r="AE225" s="175" t="str">
        <f ca="1">IFERROR(__xludf.DUMMYFUNCTION("QUERY('Volunteer Survey'!F224)"),"Citizen Scientist/Patient Advocate")</f>
        <v>Citizen Scientist/Patient Advocate</v>
      </c>
      <c r="AF225" s="175" t="str">
        <f ca="1">IFERROR(__xludf.DUMMYFUNCTION("QUERY('Volunteer Survey'!G224)"),"CCG 2019")</f>
        <v>CCG 2019</v>
      </c>
      <c r="AG225" s="175" t="str">
        <f ca="1">IFERROR(__xludf.DUMMYFUNCTION("QUERY('Volunteer Survey'!H224)"),"Baseline")</f>
        <v>Baseline</v>
      </c>
      <c r="AH225" s="175" t="str">
        <f ca="1">IFERROR(__xludf.DUMMYFUNCTION("QUERY('Volunteer Survey'!I224)"),"Variant Pathogenicity")</f>
        <v>Variant Pathogenicity</v>
      </c>
      <c r="AI225" s="175" t="str">
        <f ca="1">IFERROR(__xludf.DUMMYFUNCTION("QUERY('Volunteer Survey'!J224)"),"Clinical Actionability")</f>
        <v>Clinical Actionability</v>
      </c>
      <c r="AJ225" s="175" t="str">
        <f ca="1">IFERROR(__xludf.DUMMYFUNCTION("QUERY('Volunteer Survey'!K224)"),"")</f>
        <v/>
      </c>
      <c r="AK225" s="175" t="str">
        <f ca="1">IFERROR(__xludf.DUMMYFUNCTION("QUERY('Volunteer Survey'!L224)"),"")</f>
        <v/>
      </c>
      <c r="AL225" s="175" t="str">
        <f ca="1">IFERROR(__xludf.DUMMYFUNCTION("QUERY('Volunteer Survey'!M224)"),"")</f>
        <v/>
      </c>
      <c r="AM225" s="175" t="str">
        <f ca="1">IFERROR(__xludf.DUMMYFUNCTION("QUERY('Volunteer Survey'!N224)"),"No (but have worked for several companies that offered genomic analysis software)")</f>
        <v>No (but have worked for several companies that offered genomic analysis software)</v>
      </c>
      <c r="AN225" s="175" t="str">
        <f ca="1">IFERROR(__xludf.DUMMYFUNCTION("QUERY('Volunteer Survey'!O224)"),"Possibly")</f>
        <v>Possibly</v>
      </c>
      <c r="AO225" s="175" t="str">
        <f ca="1">IFERROR(__xludf.DUMMYFUNCTION("QUERY('Volunteer Survey'!P224)"),"Mitochondrial Diseases")</f>
        <v>Mitochondrial Diseases</v>
      </c>
    </row>
    <row r="226" spans="1:41" ht="14">
      <c r="A226" s="44">
        <f ca="1">IFERROR(__xludf.DUMMYFUNCTION("QUERY('Volunteer Survey'!A233)"),43635.0137589814)</f>
        <v>43635.013758981397</v>
      </c>
      <c r="B226" s="42" t="s">
        <v>108</v>
      </c>
      <c r="C226" s="73">
        <v>43705</v>
      </c>
      <c r="D226" s="59">
        <v>43719</v>
      </c>
      <c r="E226" s="42" t="s">
        <v>130</v>
      </c>
      <c r="F226" s="42" t="s">
        <v>130</v>
      </c>
      <c r="G226" s="42" t="s">
        <v>136</v>
      </c>
      <c r="H226" s="47"/>
      <c r="I226" s="45" t="s">
        <v>139</v>
      </c>
      <c r="J226" s="49"/>
      <c r="K226" s="49"/>
      <c r="L226" s="49" t="str">
        <f ca="1">IFERROR(__xludf.DUMMYFUNCTION("QUERY('Volunteer Survey'!B233)"),"Priyabrata Panigrahi")</f>
        <v>Priyabrata Panigrahi</v>
      </c>
      <c r="M226" s="49" t="str">
        <f ca="1">IFERROR(__xludf.DUMMYFUNCTION("QUERY('Volunteer Survey'!E233)"),"pb.panigrahi86@gmail.com")</f>
        <v>pb.panigrahi86@gmail.com</v>
      </c>
      <c r="N226" s="49" t="str">
        <f ca="1">IFERROR(__xludf.DUMMYFUNCTION("QUERY('Volunteer Survey'!F233)"),"Scientific Researcher")</f>
        <v>Scientific Researcher</v>
      </c>
      <c r="O226" s="42" t="str">
        <f ca="1">IFERROR(__xludf.DUMMYFUNCTION("QUERY('Volunteer Survey'!H233)"),"Comprehensive")</f>
        <v>Comprehensive</v>
      </c>
      <c r="P226" s="49" t="str">
        <f ca="1">IFERROR(__xludf.DUMMYFUNCTION("QUERY('Volunteer Survey'!I233)"),"Somatic Cancer")</f>
        <v>Somatic Cancer</v>
      </c>
      <c r="Q226" s="54" t="str">
        <f ca="1">IFERROR(__xludf.DUMMYFUNCTION("QUERY('Volunteer Survey'!J233)"),"Variant Pathogenicity")</f>
        <v>Variant Pathogenicity</v>
      </c>
      <c r="R226" s="49" t="str">
        <f ca="1">IFERROR(__xludf.DUMMYFUNCTION("QUERY('Volunteer Survey'!K233)"),"Clinical Actionability")</f>
        <v>Clinical Actionability</v>
      </c>
      <c r="S226" s="49" t="str">
        <f ca="1">IFERROR(__xludf.DUMMYFUNCTION("QUERY('Volunteer Survey'!L233)"),"Gene-Disease Validity")</f>
        <v>Gene-Disease Validity</v>
      </c>
      <c r="T226" s="49" t="str">
        <f ca="1">IFERROR(__xludf.DUMMYFUNCTION("QUERY('Volunteer Survey'!M233)"),"Dosage Sensitivity")</f>
        <v>Dosage Sensitivity</v>
      </c>
      <c r="U226" s="58" t="str">
        <f ca="1">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V226" s="49" t="str">
        <f ca="1">IFERROR(__xludf.DUMMYFUNCTION("QUERY('Volunteer Survey'!O233)"),"Yes")</f>
        <v>Yes</v>
      </c>
      <c r="W226" s="60" t="str">
        <f ca="1">IFERROR(__xludf.DUMMYFUNCTION("QUERY('Volunteer Survey'!P233)"),"Dont know")</f>
        <v>Dont know</v>
      </c>
      <c r="X226" s="58" t="str">
        <f ca="1">IFERROR(__xludf.DUMMYFUNCTION("QUERY('Volunteer Survey'!R233)"),"Yes- I am willing to volunteer with any available ClinGen group")</f>
        <v>Yes- I am willing to volunteer with any available ClinGen group</v>
      </c>
      <c r="Y226" s="47"/>
      <c r="Z226" s="174">
        <f ca="1">IFERROR(__xludf.DUMMYFUNCTION("QUERY('Volunteer Survey'!A225)"),43626.9441832291)</f>
        <v>43626.944183229098</v>
      </c>
      <c r="AA226" s="175" t="str">
        <f ca="1">IFERROR(__xludf.DUMMYFUNCTION("QUERY('Volunteer Survey'!B225)"),"Sandy Au")</f>
        <v>Sandy Au</v>
      </c>
      <c r="AB226" s="175" t="str">
        <f ca="1">IFERROR(__xludf.DUMMYFUNCTION("QUERY('Volunteer Survey'!C225)"),"The University of Hong Kong")</f>
        <v>The University of Hong Kong</v>
      </c>
      <c r="AC226" s="175" t="str">
        <f ca="1">IFERROR(__xludf.DUMMYFUNCTION("QUERY('Volunteer Survey'!D225)"),"30 Hospital Road, Sai Ying Pun")</f>
        <v>30 Hospital Road, Sai Ying Pun</v>
      </c>
      <c r="AD226" s="175" t="str">
        <f ca="1">IFERROR(__xludf.DUMMYFUNCTION("QUERY('Volunteer Survey'!E225)"),"alkuen@hku.hk")</f>
        <v>alkuen@hku.hk</v>
      </c>
      <c r="AE226" s="175" t="str">
        <f ca="1">IFERROR(__xludf.DUMMYFUNCTION("QUERY('Volunteer Survey'!F225)"),"Scientific Researcher")</f>
        <v>Scientific Researcher</v>
      </c>
      <c r="AF226" s="175" t="str">
        <f ca="1">IFERROR(__xludf.DUMMYFUNCTION("QUERY('Volunteer Survey'!G225)"),"Colleagues")</f>
        <v>Colleagues</v>
      </c>
      <c r="AG226" s="175" t="str">
        <f ca="1">IFERROR(__xludf.DUMMYFUNCTION("QUERY('Volunteer Survey'!H225)"),"Baseline")</f>
        <v>Baseline</v>
      </c>
      <c r="AH226" s="175" t="str">
        <f ca="1">IFERROR(__xludf.DUMMYFUNCTION("QUERY('Volunteer Survey'!I225)"),"Variant Pathogenicity")</f>
        <v>Variant Pathogenicity</v>
      </c>
      <c r="AI226" s="175" t="str">
        <f ca="1">IFERROR(__xludf.DUMMYFUNCTION("QUERY('Volunteer Survey'!J225)"),"Gene-Disease Validity")</f>
        <v>Gene-Disease Validity</v>
      </c>
      <c r="AJ226" s="175" t="str">
        <f ca="1">IFERROR(__xludf.DUMMYFUNCTION("QUERY('Volunteer Survey'!K225)"),"Dosage Sensitivity")</f>
        <v>Dosage Sensitivity</v>
      </c>
      <c r="AK226" s="175" t="str">
        <f ca="1">IFERROR(__xludf.DUMMYFUNCTION("QUERY('Volunteer Survey'!L225)"),"Somatic Cancer")</f>
        <v>Somatic Cancer</v>
      </c>
      <c r="AL226" s="175" t="str">
        <f ca="1">IFERROR(__xludf.DUMMYFUNCTION("QUERY('Volunteer Survey'!M225)"),"Clinical Actionability")</f>
        <v>Clinical Actionability</v>
      </c>
      <c r="AM226" s="175" t="str">
        <f ca="1">IFERROR(__xludf.DUMMYFUNCTION("QUERY('Volunteer Survey'!N225)"),"I am working in a prenatal diagnostic laboratory and perform WES for prenatal cases. We have experience in variant classification and clinical reporting. ")</f>
        <v xml:space="preserve">I am working in a prenatal diagnostic laboratory and perform WES for prenatal cases. We have experience in variant classification and clinical reporting. </v>
      </c>
      <c r="AN226" s="175" t="str">
        <f ca="1">IFERROR(__xludf.DUMMYFUNCTION("QUERY('Volunteer Survey'!O225)"),"Yes")</f>
        <v>Yes</v>
      </c>
      <c r="AO226" s="175" t="str">
        <f ca="1">IFERROR(__xludf.DUMMYFUNCTION("QUERY('Volunteer Survey'!P225)"),"Variant Curation Expert Panels")</f>
        <v>Variant Curation Expert Panels</v>
      </c>
    </row>
    <row r="227" spans="1:41" ht="14">
      <c r="A227" s="44">
        <f ca="1">IFERROR(__xludf.DUMMYFUNCTION("QUERY('Volunteer Survey'!A234)"),43635.5692469097)</f>
        <v>43635.569246909698</v>
      </c>
      <c r="B227" s="42" t="s">
        <v>108</v>
      </c>
      <c r="C227" s="73">
        <v>43819</v>
      </c>
      <c r="D227" s="49"/>
      <c r="E227" s="49"/>
      <c r="F227" s="42" t="s">
        <v>130</v>
      </c>
      <c r="G227" s="42" t="s">
        <v>251</v>
      </c>
      <c r="H227" s="47"/>
      <c r="I227" s="45" t="s">
        <v>139</v>
      </c>
      <c r="J227" s="49"/>
      <c r="K227" s="49"/>
      <c r="L227" s="49" t="str">
        <f ca="1">IFERROR(__xludf.DUMMYFUNCTION("QUERY('Volunteer Survey'!B234)"),"José Patricio Miranda Marín")</f>
        <v>José Patricio Miranda Marín</v>
      </c>
      <c r="M227" s="49" t="str">
        <f ca="1">IFERROR(__xludf.DUMMYFUNCTION("QUERY('Volunteer Survey'!E234)"),"jose.miranda@uc.cl")</f>
        <v>jose.miranda@uc.cl</v>
      </c>
      <c r="N227" s="49" t="str">
        <f ca="1">IFERROR(__xludf.DUMMYFUNCTION("QUERY('Volunteer Survey'!F234)"),"Post Doc/Resident/Fellow (MD and/or PhD)")</f>
        <v>Post Doc/Resident/Fellow (MD and/or PhD)</v>
      </c>
      <c r="O227" s="42" t="str">
        <f ca="1">IFERROR(__xludf.DUMMYFUNCTION("QUERY('Volunteer Survey'!H234)"),"Comprehensive")</f>
        <v>Comprehensive</v>
      </c>
      <c r="P227" s="49" t="str">
        <f ca="1">IFERROR(__xludf.DUMMYFUNCTION("QUERY('Volunteer Survey'!I234)"),"Variant Pathogenicity")</f>
        <v>Variant Pathogenicity</v>
      </c>
      <c r="Q227" s="54" t="str">
        <f ca="1">IFERROR(__xludf.DUMMYFUNCTION("QUERY('Volunteer Survey'!J234)"),"Gene-Disease Validity")</f>
        <v>Gene-Disease Validity</v>
      </c>
      <c r="R227" s="49" t="str">
        <f ca="1">IFERROR(__xludf.DUMMYFUNCTION("QUERY('Volunteer Survey'!K234)"),"")</f>
        <v/>
      </c>
      <c r="S227" s="49" t="str">
        <f ca="1">IFERROR(__xludf.DUMMYFUNCTION("QUERY('Volunteer Survey'!L234)"),"")</f>
        <v/>
      </c>
      <c r="T227" s="49" t="str">
        <f ca="1">IFERROR(__xludf.DUMMYFUNCTION("QUERY('Volunteer Survey'!M234)"),"")</f>
        <v/>
      </c>
      <c r="U227" s="58" t="str">
        <f ca="1">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V227" s="49" t="str">
        <f ca="1">IFERROR(__xludf.DUMMYFUNCTION("QUERY('Volunteer Survey'!O234)"),"Yes")</f>
        <v>Yes</v>
      </c>
      <c r="W227" s="60" t="str">
        <f ca="1">IFERROR(__xludf.DUMMYFUNCTION("QUERY('Volunteer Survey'!P234)"),"Monogenic Diabetes Variant Curation Expert Panel or Mitochondrial Disease Variant Curation Expert Panel")</f>
        <v>Monogenic Diabetes Variant Curation Expert Panel or Mitochondrial Disease Variant Curation Expert Panel</v>
      </c>
      <c r="X227" s="58" t="str">
        <f ca="1">IFERROR(__xludf.DUMMYFUNCTION("QUERY('Volunteer Survey'!R234)"),"Yes- I am willing to volunteer with any available ClinGen group")</f>
        <v>Yes- I am willing to volunteer with any available ClinGen group</v>
      </c>
      <c r="Y227" s="47"/>
      <c r="Z227" s="174">
        <f ca="1">IFERROR(__xludf.DUMMYFUNCTION("QUERY('Volunteer Survey'!A226)"),43627.3007942245)</f>
        <v>43627.300794224502</v>
      </c>
      <c r="AA227" s="175" t="str">
        <f ca="1">IFERROR(__xludf.DUMMYFUNCTION("QUERY('Volunteer Survey'!B226)"),"Generoso")</f>
        <v>Generoso</v>
      </c>
      <c r="AB227" s="175" t="str">
        <f ca="1">IFERROR(__xludf.DUMMYFUNCTION("QUERY('Volunteer Survey'!C226)"),"Dante Labs")</f>
        <v>Dante Labs</v>
      </c>
      <c r="AC227" s="175" t="str">
        <f ca="1">IFERROR(__xludf.DUMMYFUNCTION("QUERY('Volunteer Survey'!D226)"),"Corso Federico II 72 B ")</f>
        <v xml:space="preserve">Corso Federico II 72 B </v>
      </c>
      <c r="AD227" s="175" t="str">
        <f ca="1">IFERROR(__xludf.DUMMYFUNCTION("QUERY('Volunteer Survey'!E226)"),"generoso@dantelabs.com")</f>
        <v>generoso@dantelabs.com</v>
      </c>
      <c r="AE227" s="175" t="str">
        <f ca="1">IFERROR(__xludf.DUMMYFUNCTION("QUERY('Volunteer Survey'!F226)"),"Variant Analyst/Scientist - Industry")</f>
        <v>Variant Analyst/Scientist - Industry</v>
      </c>
      <c r="AF227" s="175" t="str">
        <f ca="1">IFERROR(__xludf.DUMMYFUNCTION("QUERY('Volunteer Survey'!G226)"),"ClinGen conference advertisements (i.e. booth, workshop, presentation)")</f>
        <v>ClinGen conference advertisements (i.e. booth, workshop, presentation)</v>
      </c>
      <c r="AG227" s="175" t="str">
        <f ca="1">IFERROR(__xludf.DUMMYFUNCTION("QUERY('Volunteer Survey'!H226)"),"Comprehensive")</f>
        <v>Comprehensive</v>
      </c>
      <c r="AH227" s="175" t="str">
        <f ca="1">IFERROR(__xludf.DUMMYFUNCTION("QUERY('Volunteer Survey'!I226)"),"Clinical Actionability")</f>
        <v>Clinical Actionability</v>
      </c>
      <c r="AI227" s="175" t="str">
        <f ca="1">IFERROR(__xludf.DUMMYFUNCTION("QUERY('Volunteer Survey'!J226)"),"Gene-Disease Validity")</f>
        <v>Gene-Disease Validity</v>
      </c>
      <c r="AJ227" s="175" t="str">
        <f ca="1">IFERROR(__xludf.DUMMYFUNCTION("QUERY('Volunteer Survey'!K226)"),"Variant Pathogenicity")</f>
        <v>Variant Pathogenicity</v>
      </c>
      <c r="AK227" s="175" t="str">
        <f ca="1">IFERROR(__xludf.DUMMYFUNCTION("QUERY('Volunteer Survey'!L226)"),"Dosage Sensitivity")</f>
        <v>Dosage Sensitivity</v>
      </c>
      <c r="AL227" s="175" t="str">
        <f ca="1">IFERROR(__xludf.DUMMYFUNCTION("QUERY('Volunteer Survey'!M226)"),"Somatic Cancer")</f>
        <v>Somatic Cancer</v>
      </c>
      <c r="AM227" s="175" t="str">
        <f ca="1">IFERROR(__xludf.DUMMYFUNCTION("QUERY('Volunteer Survey'!N226)"),"Yes, I have curated few variants for people who receive WES data.")</f>
        <v>Yes, I have curated few variants for people who receive WES data.</v>
      </c>
      <c r="AN227" s="175" t="str">
        <f ca="1">IFERROR(__xludf.DUMMYFUNCTION("QUERY('Volunteer Survey'!O226)"),"Possibly")</f>
        <v>Possibly</v>
      </c>
      <c r="AO227" s="175" t="str">
        <f ca="1">IFERROR(__xludf.DUMMYFUNCTION("QUERY('Volunteer Survey'!P226)"),"")</f>
        <v/>
      </c>
    </row>
    <row r="228" spans="1:41" ht="14">
      <c r="A228" s="44">
        <f ca="1">IFERROR(__xludf.DUMMYFUNCTION("QUERY('Volunteer Survey'!A235)"),43638.3626936226)</f>
        <v>43638.362693622599</v>
      </c>
      <c r="B228" s="42" t="s">
        <v>108</v>
      </c>
      <c r="C228" s="47"/>
      <c r="D228" s="49"/>
      <c r="E228" s="49"/>
      <c r="F228" s="42" t="s">
        <v>130</v>
      </c>
      <c r="G228" s="42" t="s">
        <v>202</v>
      </c>
      <c r="H228" s="47"/>
      <c r="I228" s="45" t="s">
        <v>139</v>
      </c>
      <c r="J228" s="49"/>
      <c r="K228" s="49"/>
      <c r="L228" s="49" t="str">
        <f ca="1">IFERROR(__xludf.DUMMYFUNCTION("QUERY('Volunteer Survey'!B235)"),"Helen O'Shea")</f>
        <v>Helen O'Shea</v>
      </c>
      <c r="M228" s="49" t="str">
        <f ca="1">IFERROR(__xludf.DUMMYFUNCTION("QUERY('Volunteer Survey'!E235)"),"helen.oshea@olchc.ie")</f>
        <v>helen.oshea@olchc.ie</v>
      </c>
      <c r="N228" s="49" t="str">
        <f ca="1">IFERROR(__xludf.DUMMYFUNCTION("QUERY('Volunteer Survey'!F235)"),"Clinical laboratory geneticist")</f>
        <v>Clinical laboratory geneticist</v>
      </c>
      <c r="O228" s="42" t="str">
        <f ca="1">IFERROR(__xludf.DUMMYFUNCTION("QUERY('Volunteer Survey'!H235)"),"Baseline")</f>
        <v>Baseline</v>
      </c>
      <c r="P228" s="49" t="str">
        <f ca="1">IFERROR(__xludf.DUMMYFUNCTION("QUERY('Volunteer Survey'!I235)"),"")</f>
        <v/>
      </c>
      <c r="Q228" s="54" t="str">
        <f ca="1">IFERROR(__xludf.DUMMYFUNCTION("QUERY('Volunteer Survey'!J235)"),"")</f>
        <v/>
      </c>
      <c r="R228" s="49" t="str">
        <f ca="1">IFERROR(__xludf.DUMMYFUNCTION("QUERY('Volunteer Survey'!K235)"),"")</f>
        <v/>
      </c>
      <c r="S228" s="49" t="str">
        <f ca="1">IFERROR(__xludf.DUMMYFUNCTION("QUERY('Volunteer Survey'!L235)"),"")</f>
        <v/>
      </c>
      <c r="T228" s="49" t="str">
        <f ca="1">IFERROR(__xludf.DUMMYFUNCTION("QUERY('Volunteer Survey'!M235)"),"")</f>
        <v/>
      </c>
      <c r="U228" s="58" t="str">
        <f ca="1">IFERROR(__xludf.DUMMYFUNCTION("QUERY('Volunteer Survey'!N235)"),"I am involved in neurodevelopmental disorders research using exome sequencing and variant assessment.")</f>
        <v>I am involved in neurodevelopmental disorders research using exome sequencing and variant assessment.</v>
      </c>
      <c r="V228" s="49" t="str">
        <f ca="1">IFERROR(__xludf.DUMMYFUNCTION("QUERY('Volunteer Survey'!O235)"),"No")</f>
        <v>No</v>
      </c>
      <c r="W228" s="60" t="str">
        <f ca="1">IFERROR(__xludf.DUMMYFUNCTION("QUERY('Volunteer Survey'!P235)"),"Neurodevelopmental disorders, cardiovascular diseases and cancer")</f>
        <v>Neurodevelopmental disorders, cardiovascular diseases and cancer</v>
      </c>
      <c r="X228" s="58" t="str">
        <f ca="1">IFERROR(__xludf.DUMMYFUNCTION("QUERY('Volunteer Survey'!R235)"),"Yes- I am willing to volunteer with any available ClinGen group")</f>
        <v>Yes- I am willing to volunteer with any available ClinGen group</v>
      </c>
      <c r="Y228" s="47"/>
      <c r="Z228" s="174">
        <f ca="1">IFERROR(__xludf.DUMMYFUNCTION("QUERY('Volunteer Survey'!A227)"),43627.8008713773)</f>
        <v>43627.800871377302</v>
      </c>
      <c r="AA228" s="175" t="str">
        <f ca="1">IFERROR(__xludf.DUMMYFUNCTION("QUERY('Volunteer Survey'!B227)"),"Hemantkumar Nemade ")</f>
        <v xml:space="preserve">Hemantkumar Nemade </v>
      </c>
      <c r="AB228" s="175" t="str">
        <f ca="1">IFERROR(__xludf.DUMMYFUNCTION("QUERY('Volunteer Survey'!C227)"),"Basavatarakam Indo American Cancer Hospital and Research Institute Hyderabad India")</f>
        <v>Basavatarakam Indo American Cancer Hospital and Research Institute Hyderabad India</v>
      </c>
      <c r="AC228" s="175" t="str">
        <f ca="1">IFERROR(__xludf.DUMMYFUNCTION("QUERY('Volunteer Survey'!D227)"),"Department of Surgical Oncology, Basavatarakam Indo American Cancer Hospital and Research Institute, Road number 10, Banjara Hills Hyderabad India 500034")</f>
        <v>Department of Surgical Oncology, Basavatarakam Indo American Cancer Hospital and Research Institute, Road number 10, Banjara Hills Hyderabad India 500034</v>
      </c>
      <c r="AD228" s="175" t="str">
        <f ca="1">IFERROR(__xludf.DUMMYFUNCTION("QUERY('Volunteer Survey'!E227)"),"drhemantnemade@gmail.com")</f>
        <v>drhemantnemade@gmail.com</v>
      </c>
      <c r="AE228" s="175" t="str">
        <f ca="1">IFERROR(__xludf.DUMMYFUNCTION("QUERY('Volunteer Survey'!F227)"),"Physician (Non-geneticist)")</f>
        <v>Physician (Non-geneticist)</v>
      </c>
      <c r="AF228" s="175" t="str">
        <f ca="1">IFERROR(__xludf.DUMMYFUNCTION("QUERY('Volunteer Survey'!G227)"),"Educational coursework, Youtube")</f>
        <v>Educational coursework, Youtube</v>
      </c>
      <c r="AG228" s="175" t="str">
        <f ca="1">IFERROR(__xludf.DUMMYFUNCTION("QUERY('Volunteer Survey'!H227)"),"Comprehensive")</f>
        <v>Comprehensive</v>
      </c>
      <c r="AH228" s="175" t="str">
        <f ca="1">IFERROR(__xludf.DUMMYFUNCTION("QUERY('Volunteer Survey'!I227)"),"Variant Pathogenicity")</f>
        <v>Variant Pathogenicity</v>
      </c>
      <c r="AI228" s="175" t="str">
        <f ca="1">IFERROR(__xludf.DUMMYFUNCTION("QUERY('Volunteer Survey'!J227)"),"Clinical Actionability")</f>
        <v>Clinical Actionability</v>
      </c>
      <c r="AJ228" s="175" t="str">
        <f ca="1">IFERROR(__xludf.DUMMYFUNCTION("QUERY('Volunteer Survey'!K227)"),"Gene-Disease Validity")</f>
        <v>Gene-Disease Validity</v>
      </c>
      <c r="AK228" s="175" t="str">
        <f ca="1">IFERROR(__xludf.DUMMYFUNCTION("QUERY('Volunteer Survey'!L227)"),"Somatic Cancer")</f>
        <v>Somatic Cancer</v>
      </c>
      <c r="AL228" s="175" t="str">
        <f ca="1">IFERROR(__xludf.DUMMYFUNCTION("QUERY('Volunteer Survey'!M227)"),"")</f>
        <v/>
      </c>
      <c r="AM228" s="175" t="str">
        <f ca="1">IFERROR(__xludf.DUMMYFUNCTION("QUERY('Volunteer Survey'!N227)"),"Not genetic but I have collected and analyzed cancer database. Trained in statistics ")</f>
        <v xml:space="preserve">Not genetic but I have collected and analyzed cancer database. Trained in statistics </v>
      </c>
      <c r="AN228" s="175" t="str">
        <f ca="1">IFERROR(__xludf.DUMMYFUNCTION("QUERY('Volunteer Survey'!O227)"),"Possibly")</f>
        <v>Possibly</v>
      </c>
      <c r="AO228" s="175" t="str">
        <f ca="1">IFERROR(__xludf.DUMMYFUNCTION("QUERY('Volunteer Survey'!P227)"),"Somatic cancer")</f>
        <v>Somatic cancer</v>
      </c>
    </row>
    <row r="229" spans="1:41" ht="14">
      <c r="A229" s="44">
        <f ca="1">IFERROR(__xludf.DUMMYFUNCTION("QUERY('Volunteer Survey'!A236)"),43640.1266100578)</f>
        <v>43640.1266100578</v>
      </c>
      <c r="B229" s="42" t="s">
        <v>108</v>
      </c>
      <c r="C229" s="47"/>
      <c r="D229" s="49"/>
      <c r="E229" s="49"/>
      <c r="F229" s="42" t="s">
        <v>130</v>
      </c>
      <c r="G229" s="42" t="s">
        <v>202</v>
      </c>
      <c r="H229" s="47"/>
      <c r="I229" s="45" t="s">
        <v>139</v>
      </c>
      <c r="J229" s="49"/>
      <c r="K229" s="49"/>
      <c r="L229" s="49" t="str">
        <f ca="1">IFERROR(__xludf.DUMMYFUNCTION("QUERY('Volunteer Survey'!B236)"),"Panos Sergouniotis")</f>
        <v>Panos Sergouniotis</v>
      </c>
      <c r="M229" s="49" t="str">
        <f ca="1">IFERROR(__xludf.DUMMYFUNCTION("QUERY('Volunteer Survey'!E236)"),"panagiotis.sergouniotis@manchester.ac.uk")</f>
        <v>panagiotis.sergouniotis@manchester.ac.uk</v>
      </c>
      <c r="N229" s="49" t="str">
        <f ca="1">IFERROR(__xludf.DUMMYFUNCTION("QUERY('Volunteer Survey'!F236)"),"I am a qualified Ophthalmologist (FEBO, FRCOphth) with an interest in Ophtalmic Genetics")</f>
        <v>I am a qualified Ophthalmologist (FEBO, FRCOphth) with an interest in Ophtalmic Genetics</v>
      </c>
      <c r="O229" s="42" t="str">
        <f ca="1">IFERROR(__xludf.DUMMYFUNCTION("QUERY('Volunteer Survey'!H236)"),"Baseline")</f>
        <v>Baseline</v>
      </c>
      <c r="P229" s="49" t="str">
        <f ca="1">IFERROR(__xludf.DUMMYFUNCTION("QUERY('Volunteer Survey'!I236)"),"Gene-Disease Validity")</f>
        <v>Gene-Disease Validity</v>
      </c>
      <c r="Q229" s="54" t="str">
        <f ca="1">IFERROR(__xludf.DUMMYFUNCTION("QUERY('Volunteer Survey'!J236)"),"Dosage Sensitivity")</f>
        <v>Dosage Sensitivity</v>
      </c>
      <c r="R229" s="49" t="str">
        <f ca="1">IFERROR(__xludf.DUMMYFUNCTION("QUERY('Volunteer Survey'!K236)"),"Variant Pathogenicity")</f>
        <v>Variant Pathogenicity</v>
      </c>
      <c r="S229" s="49" t="str">
        <f ca="1">IFERROR(__xludf.DUMMYFUNCTION("QUERY('Volunteer Survey'!L236)"),"Clinical Actionability")</f>
        <v>Clinical Actionability</v>
      </c>
      <c r="T229" s="49" t="str">
        <f ca="1">IFERROR(__xludf.DUMMYFUNCTION("QUERY('Volunteer Survey'!M236)"),"Somatic Cancer")</f>
        <v>Somatic Cancer</v>
      </c>
      <c r="U229" s="58" t="str">
        <f ca="1">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V229" s="49" t="str">
        <f ca="1">IFERROR(__xludf.DUMMYFUNCTION("QUERY('Volunteer Survey'!O236)"),"Possibly")</f>
        <v>Possibly</v>
      </c>
      <c r="W229" s="60" t="str">
        <f ca="1">IFERROR(__xludf.DUMMYFUNCTION("QUERY('Volunteer Survey'!P236)"),"Dosage Sensitivity Curation")</f>
        <v>Dosage Sensitivity Curation</v>
      </c>
      <c r="X229" s="58" t="str">
        <f ca="1">IFERROR(__xludf.DUMMYFUNCTION("QUERY('Volunteer Survey'!R236)"),"Maybe -- please contact me with other options, and I will decide based on what is available")</f>
        <v>Maybe -- please contact me with other options, and I will decide based on what is available</v>
      </c>
      <c r="Y229" s="47"/>
      <c r="Z229" s="174">
        <f ca="1">IFERROR(__xludf.DUMMYFUNCTION("QUERY('Volunteer Survey'!A228)"),43628.4954871759)</f>
        <v>43628.495487175896</v>
      </c>
      <c r="AA229" s="175" t="str">
        <f ca="1">IFERROR(__xludf.DUMMYFUNCTION("QUERY('Volunteer Survey'!B228)"),"Christina Bridges")</f>
        <v>Christina Bridges</v>
      </c>
      <c r="AB229" s="175" t="str">
        <f ca="1">IFERROR(__xludf.DUMMYFUNCTION("QUERY('Volunteer Survey'!C228)"),"Fullerton Genetics &amp; UNC")</f>
        <v>Fullerton Genetics &amp; UNC</v>
      </c>
      <c r="AC229" s="175" t="str">
        <f ca="1">IFERROR(__xludf.DUMMYFUNCTION("QUERY('Volunteer Survey'!D228)"),"9 Vanderbilt Park Dr, Asheville NC 28801")</f>
        <v>9 Vanderbilt Park Dr, Asheville NC 28801</v>
      </c>
      <c r="AD229" s="175" t="str">
        <f ca="1">IFERROR(__xludf.DUMMYFUNCTION("QUERY('Volunteer Survey'!E228)"),"c.bridges@med.unc.edu")</f>
        <v>c.bridges@med.unc.edu</v>
      </c>
      <c r="AE229" s="175" t="str">
        <f ca="1">IFERROR(__xludf.DUMMYFUNCTION("QUERY('Volunteer Survey'!F228)"),"Variant Analyst/Scientist - Industry")</f>
        <v>Variant Analyst/Scientist - Industry</v>
      </c>
      <c r="AF229" s="175" t="str">
        <f ca="1">IFERROR(__xludf.DUMMYFUNCTION("QUERY('Volunteer Survey'!G228)"),"The clinicalgenome.org website")</f>
        <v>The clinicalgenome.org website</v>
      </c>
      <c r="AG229" s="175" t="str">
        <f ca="1">IFERROR(__xludf.DUMMYFUNCTION("QUERY('Volunteer Survey'!H228)"),"Comprehensive")</f>
        <v>Comprehensive</v>
      </c>
      <c r="AH229" s="175" t="str">
        <f ca="1">IFERROR(__xludf.DUMMYFUNCTION("QUERY('Volunteer Survey'!I228)"),"Somatic Cancer")</f>
        <v>Somatic Cancer</v>
      </c>
      <c r="AI229" s="175" t="str">
        <f ca="1">IFERROR(__xludf.DUMMYFUNCTION("QUERY('Volunteer Survey'!J228)"),"Variant Pathogenicity")</f>
        <v>Variant Pathogenicity</v>
      </c>
      <c r="AJ229" s="175" t="str">
        <f ca="1">IFERROR(__xludf.DUMMYFUNCTION("QUERY('Volunteer Survey'!K228)"),"Gene-Disease Validity")</f>
        <v>Gene-Disease Validity</v>
      </c>
      <c r="AK229" s="175" t="str">
        <f ca="1">IFERROR(__xludf.DUMMYFUNCTION("QUERY('Volunteer Survey'!L228)"),"Dosage Sensitivity")</f>
        <v>Dosage Sensitivity</v>
      </c>
      <c r="AL229" s="175" t="str">
        <f ca="1">IFERROR(__xludf.DUMMYFUNCTION("QUERY('Volunteer Survey'!M228)"),"")</f>
        <v/>
      </c>
      <c r="AM229" s="175" t="str">
        <f ca="1">IFERROR(__xludf.DUMMYFUNCTION("QUERY('Volunteer Survey'!N228)"),"Some experience as part of my work in clinical genetics laboratory, as well as pursuit on my own of additional educational opportunities, such as those provided through ClinGen (thank you!) as well as other resources (professional clinical group featured "&amp;"presentations, publications from ACMG/AMP, etc.).")</f>
        <v>Some experience as part of my work in clinical genetics laboratory, as well as pursuit on my own of additional educational opportunities, such as those provided through ClinGen (thank you!) as well as other resources (professional clinical group featured presentations, publications from ACMG/AMP, etc.).</v>
      </c>
      <c r="AN229" s="175" t="str">
        <f ca="1">IFERROR(__xludf.DUMMYFUNCTION("QUERY('Volunteer Survey'!O228)"),"No")</f>
        <v>No</v>
      </c>
      <c r="AO229" s="175" t="str">
        <f ca="1">IFERROR(__xludf.DUMMYFUNCTION("QUERY('Volunteer Survey'!P228)"),"I do not feel that I am qualified, at this time, for any Expert Panels, but I have indicated some preferences for Working Group involvement.  However, I would be interested to learn which areas represent ClinGen's greatest needs, currently, and I would co"&amp;"nsider if it seems I could offer value in such an area. ")</f>
        <v xml:space="preserve">I do not feel that I am qualified, at this time, for any Expert Panels, but I have indicated some preferences for Working Group involvement.  However, I would be interested to learn which areas represent ClinGen's greatest needs, currently, and I would consider if it seems I could offer value in such an area. </v>
      </c>
    </row>
    <row r="230" spans="1:41" ht="14">
      <c r="A230" s="44">
        <f ca="1">IFERROR(__xludf.DUMMYFUNCTION("QUERY('Volunteer Survey'!A237)"),43643.4948958217)</f>
        <v>43643.494895821699</v>
      </c>
      <c r="B230" s="42" t="s">
        <v>108</v>
      </c>
      <c r="C230" s="47"/>
      <c r="D230" s="59">
        <v>43692</v>
      </c>
      <c r="E230" s="42" t="s">
        <v>117</v>
      </c>
      <c r="F230" s="42" t="s">
        <v>117</v>
      </c>
      <c r="G230" s="42" t="s">
        <v>122</v>
      </c>
      <c r="H230" s="47"/>
      <c r="I230" s="45" t="s">
        <v>139</v>
      </c>
      <c r="J230" s="49"/>
      <c r="K230" s="49"/>
      <c r="L230" s="49" t="str">
        <f ca="1">IFERROR(__xludf.DUMMYFUNCTION("QUERY('Volunteer Survey'!B237)"),"Marc Lataillade")</f>
        <v>Marc Lataillade</v>
      </c>
      <c r="M230" s="49" t="str">
        <f ca="1">IFERROR(__xludf.DUMMYFUNCTION("QUERY('Volunteer Survey'!E237)"),"marclataillade258@gmail.com")</f>
        <v>marclataillade258@gmail.com</v>
      </c>
      <c r="N230" s="49" t="str">
        <f ca="1">IFERROR(__xludf.DUMMYFUNCTION("QUERY('Volunteer Survey'!F237)"),"Undergraduate Student")</f>
        <v>Undergraduate Student</v>
      </c>
      <c r="O230" s="42" t="str">
        <f ca="1">IFERROR(__xludf.DUMMYFUNCTION("QUERY('Volunteer Survey'!H237)"),"Comprehensive")</f>
        <v>Comprehensive</v>
      </c>
      <c r="P230" s="49" t="str">
        <f ca="1">IFERROR(__xludf.DUMMYFUNCTION("QUERY('Volunteer Survey'!I237)"),"Gene-Disease Validity")</f>
        <v>Gene-Disease Validity</v>
      </c>
      <c r="Q230" s="54" t="str">
        <f ca="1">IFERROR(__xludf.DUMMYFUNCTION("QUERY('Volunteer Survey'!J237)"),"Variant Pathogenicity")</f>
        <v>Variant Pathogenicity</v>
      </c>
      <c r="R230" s="49" t="str">
        <f ca="1">IFERROR(__xludf.DUMMYFUNCTION("QUERY('Volunteer Survey'!K237)"),"Clinical Actionability")</f>
        <v>Clinical Actionability</v>
      </c>
      <c r="S230" s="49" t="str">
        <f ca="1">IFERROR(__xludf.DUMMYFUNCTION("QUERY('Volunteer Survey'!L237)"),"Dosage Sensitivity")</f>
        <v>Dosage Sensitivity</v>
      </c>
      <c r="T230" s="49" t="str">
        <f ca="1">IFERROR(__xludf.DUMMYFUNCTION("QUERY('Volunteer Survey'!M237)"),"Somatic Cancer")</f>
        <v>Somatic Cancer</v>
      </c>
      <c r="U230" s="58" t="str">
        <f ca="1">IFERROR(__xludf.DUMMYFUNCTION("QUERY('Volunteer Survey'!N237)"),"I isolated genes with PCR and screened exons for a local variant of ebidermolysis bullosa.")</f>
        <v>I isolated genes with PCR and screened exons for a local variant of ebidermolysis bullosa.</v>
      </c>
      <c r="V230" s="49" t="str">
        <f ca="1">IFERROR(__xludf.DUMMYFUNCTION("QUERY('Volunteer Survey'!O237)"),"Possibly")</f>
        <v>Possibly</v>
      </c>
      <c r="W230" s="60" t="str">
        <f ca="1">IFERROR(__xludf.DUMMYFUNCTION("QUERY('Volunteer Survey'!P237)"),"Of the panels listed I am interested in the aminoacidopathy and VHL group.")</f>
        <v>Of the panels listed I am interested in the aminoacidopathy and VHL group.</v>
      </c>
      <c r="X230" s="58" t="str">
        <f ca="1">IFERROR(__xludf.DUMMYFUNCTION("QUERY('Volunteer Survey'!R237)"),"Maybe -- please contact me with other options, and I will decide based on what is available")</f>
        <v>Maybe -- please contact me with other options, and I will decide based on what is available</v>
      </c>
      <c r="Y230" s="47"/>
      <c r="Z230" s="174">
        <f ca="1">IFERROR(__xludf.DUMMYFUNCTION("QUERY('Volunteer Survey'!A229)"),43628.6262178587)</f>
        <v>43628.626217858699</v>
      </c>
      <c r="AA230" s="175" t="str">
        <f ca="1">IFERROR(__xludf.DUMMYFUNCTION("QUERY('Volunteer Survey'!B229)"),"Laetitia Meyrueix")</f>
        <v>Laetitia Meyrueix</v>
      </c>
      <c r="AB230" s="175" t="str">
        <f ca="1">IFERROR(__xludf.DUMMYFUNCTION("QUERY('Volunteer Survey'!C229)"),"University of North Carolina at Chapel Hill")</f>
        <v>University of North Carolina at Chapel Hill</v>
      </c>
      <c r="AC230" s="175" t="str">
        <f ca="1">IFERROR(__xludf.DUMMYFUNCTION("QUERY('Volunteer Survey'!D229)"),"509 Stonehill Road Chapel Hill NC 27516")</f>
        <v>509 Stonehill Road Chapel Hill NC 27516</v>
      </c>
      <c r="AD230" s="175" t="str">
        <f ca="1">IFERROR(__xludf.DUMMYFUNCTION("QUERY('Volunteer Survey'!E229)"),"lmeyruei@email.unc.edu")</f>
        <v>lmeyruei@email.unc.edu</v>
      </c>
      <c r="AE230" s="175" t="str">
        <f ca="1">IFERROR(__xludf.DUMMYFUNCTION("QUERY('Volunteer Survey'!F229)"),"Graduate Student")</f>
        <v>Graduate Student</v>
      </c>
      <c r="AF230" s="175" t="str">
        <f ca="1">IFERROR(__xludf.DUMMYFUNCTION("QUERY('Volunteer Survey'!G229)"),"Networking, Co-director of UNC Clinical Fellowship")</f>
        <v>Networking, Co-director of UNC Clinical Fellowship</v>
      </c>
      <c r="AG230" s="175" t="str">
        <f ca="1">IFERROR(__xludf.DUMMYFUNCTION("QUERY('Volunteer Survey'!H229)"),"Comprehensive")</f>
        <v>Comprehensive</v>
      </c>
      <c r="AH230" s="175" t="str">
        <f ca="1">IFERROR(__xludf.DUMMYFUNCTION("QUERY('Volunteer Survey'!I229)"),"Gene-Disease Validity")</f>
        <v>Gene-Disease Validity</v>
      </c>
      <c r="AI230" s="175" t="str">
        <f ca="1">IFERROR(__xludf.DUMMYFUNCTION("QUERY('Volunteer Survey'!J229)"),"Variant Pathogenicity")</f>
        <v>Variant Pathogenicity</v>
      </c>
      <c r="AJ230" s="175" t="str">
        <f ca="1">IFERROR(__xludf.DUMMYFUNCTION("QUERY('Volunteer Survey'!K229)"),"Dosage Sensitivity")</f>
        <v>Dosage Sensitivity</v>
      </c>
      <c r="AK230" s="175" t="str">
        <f ca="1">IFERROR(__xludf.DUMMYFUNCTION("QUERY('Volunteer Survey'!L229)"),"Clinical Actionability")</f>
        <v>Clinical Actionability</v>
      </c>
      <c r="AL230" s="175" t="str">
        <f ca="1">IFERROR(__xludf.DUMMYFUNCTION("QUERY('Volunteer Survey'!M229)"),"")</f>
        <v/>
      </c>
      <c r="AM230" s="175" t="str">
        <f ca="1">IFERROR(__xludf.DUMMYFUNCTION("QUERY('Volunteer Survey'!N229)"),"I do not per se have experience. I am familiar with the topics.")</f>
        <v>I do not per se have experience. I am familiar with the topics.</v>
      </c>
      <c r="AN230" s="175" t="str">
        <f ca="1">IFERROR(__xludf.DUMMYFUNCTION("QUERY('Volunteer Survey'!O229)"),"No")</f>
        <v>No</v>
      </c>
      <c r="AO230" s="175" t="str">
        <f ca="1">IFERROR(__xludf.DUMMYFUNCTION("QUERY('Volunteer Survey'!P229)"),"")</f>
        <v/>
      </c>
    </row>
    <row r="231" spans="1:41" ht="28">
      <c r="A231" s="44">
        <f ca="1">IFERROR(__xludf.DUMMYFUNCTION("QUERY('Volunteer Survey'!A238)"),43648.4998000694)</f>
        <v>43648.499800069403</v>
      </c>
      <c r="B231" s="42" t="s">
        <v>108</v>
      </c>
      <c r="C231" s="47"/>
      <c r="D231" s="49"/>
      <c r="E231" s="49"/>
      <c r="F231" s="42" t="s">
        <v>130</v>
      </c>
      <c r="G231" s="42" t="s">
        <v>202</v>
      </c>
      <c r="H231" s="47"/>
      <c r="I231" s="45" t="s">
        <v>139</v>
      </c>
      <c r="J231" s="49"/>
      <c r="K231" s="49"/>
      <c r="L231" s="49" t="str">
        <f ca="1">IFERROR(__xludf.DUMMYFUNCTION("QUERY('Volunteer Survey'!B238)"),"Sarah Payne ")</f>
        <v xml:space="preserve">Sarah Payne </v>
      </c>
      <c r="M231" s="49" t="str">
        <f ca="1">IFERROR(__xludf.DUMMYFUNCTION("QUERY('Volunteer Survey'!E238)"),"sarahhale79@gmail.com")</f>
        <v>sarahhale79@gmail.com</v>
      </c>
      <c r="N231" s="49" t="str">
        <f ca="1">IFERROR(__xludf.DUMMYFUNCTION("QUERY('Volunteer Survey'!F238)"),"Female family with unknown genetic disorder ")</f>
        <v xml:space="preserve">Female family with unknown genetic disorder </v>
      </c>
      <c r="O231" s="42" t="str">
        <f ca="1">IFERROR(__xludf.DUMMYFUNCTION("QUERY('Volunteer Survey'!H238)"),"Baseline")</f>
        <v>Baseline</v>
      </c>
      <c r="P231" s="49" t="str">
        <f ca="1">IFERROR(__xludf.DUMMYFUNCTION("QUERY('Volunteer Survey'!I238)"),"Gene-Disease Validity")</f>
        <v>Gene-Disease Validity</v>
      </c>
      <c r="Q231" s="54" t="str">
        <f ca="1">IFERROR(__xludf.DUMMYFUNCTION("QUERY('Volunteer Survey'!J238)"),"Variant Pathogenicity")</f>
        <v>Variant Pathogenicity</v>
      </c>
      <c r="R231" s="49" t="str">
        <f ca="1">IFERROR(__xludf.DUMMYFUNCTION("QUERY('Volunteer Survey'!K238)"),"Clinical Actionability")</f>
        <v>Clinical Actionability</v>
      </c>
      <c r="S231" s="49" t="str">
        <f ca="1">IFERROR(__xludf.DUMMYFUNCTION("QUERY('Volunteer Survey'!L238)"),"Dosage Sensitivity")</f>
        <v>Dosage Sensitivity</v>
      </c>
      <c r="T231" s="49" t="str">
        <f ca="1">IFERROR(__xludf.DUMMYFUNCTION("QUERY('Volunteer Survey'!M238)"),"Somatic Cancer")</f>
        <v>Somatic Cancer</v>
      </c>
      <c r="U231" s="58" t="str">
        <f ca="1">IFERROR(__xludf.DUMMYFUNCTION("QUERY('Volunteer Survey'!N238)"),"I've been in medical trials ")</f>
        <v xml:space="preserve">I've been in medical trials </v>
      </c>
      <c r="V231" s="49" t="str">
        <f ca="1">IFERROR(__xludf.DUMMYFUNCTION("QUERY('Volunteer Survey'!O238)"),"Yes")</f>
        <v>Yes</v>
      </c>
      <c r="W231" s="60" t="str">
        <f ca="1">IFERROR(__xludf.DUMMYFUNCTION("QUERY('Volunteer Survey'!P238)"),"Yes")</f>
        <v>Yes</v>
      </c>
      <c r="X231" s="58" t="str">
        <f ca="1">IFERROR(__xludf.DUMMYFUNCTION("QUERY('Volunteer Survey'!R238)"),"Yes- I am willing to volunteer with any available ClinGen group")</f>
        <v>Yes- I am willing to volunteer with any available ClinGen group</v>
      </c>
      <c r="Y231" s="45" t="s">
        <v>3149</v>
      </c>
      <c r="Z231" s="174">
        <f ca="1">IFERROR(__xludf.DUMMYFUNCTION("QUERY('Volunteer Survey'!A230)"),43632.880822581)</f>
        <v>43632.880822580999</v>
      </c>
      <c r="AA231" s="175" t="str">
        <f ca="1">IFERROR(__xludf.DUMMYFUNCTION("QUERY('Volunteer Survey'!B230)"),"Malak Ashraf")</f>
        <v>Malak Ashraf</v>
      </c>
      <c r="AB231" s="175" t="str">
        <f ca="1">IFERROR(__xludf.DUMMYFUNCTION("QUERY('Volunteer Survey'!C230)"),"El Qalyubia STEM School.")</f>
        <v>El Qalyubia STEM School.</v>
      </c>
      <c r="AC231" s="175" t="str">
        <f ca="1">IFERROR(__xludf.DUMMYFUNCTION("QUERY('Volunteer Survey'!D230)"),"10 Ali el shazly st. Dar el salaam, Cairo, Egypt. ")</f>
        <v xml:space="preserve">10 Ali el shazly st. Dar el salaam, Cairo, Egypt. </v>
      </c>
      <c r="AD231" s="175" t="str">
        <f ca="1">IFERROR(__xludf.DUMMYFUNCTION("QUERY('Volunteer Survey'!E230)"),"malak.2118144@stemkalubya.moe.edu.eg")</f>
        <v>malak.2118144@stemkalubya.moe.edu.eg</v>
      </c>
      <c r="AE231" s="175" t="str">
        <f ca="1">IFERROR(__xludf.DUMMYFUNCTION("QUERY('Volunteer Survey'!F230)"),"High School Student")</f>
        <v>High School Student</v>
      </c>
      <c r="AF231" s="175" t="str">
        <f ca="1">IFERROR(__xludf.DUMMYFUNCTION("QUERY('Volunteer Survey'!G230)"),"Networking")</f>
        <v>Networking</v>
      </c>
      <c r="AG231" s="175" t="str">
        <f ca="1">IFERROR(__xludf.DUMMYFUNCTION("QUERY('Volunteer Survey'!H230)"),"Baseline")</f>
        <v>Baseline</v>
      </c>
      <c r="AH231" s="175" t="str">
        <f ca="1">IFERROR(__xludf.DUMMYFUNCTION("QUERY('Volunteer Survey'!I230)"),"Somatic Cancer")</f>
        <v>Somatic Cancer</v>
      </c>
      <c r="AI231" s="175" t="str">
        <f ca="1">IFERROR(__xludf.DUMMYFUNCTION("QUERY('Volunteer Survey'!J230)"),"Variant Pathogenicity")</f>
        <v>Variant Pathogenicity</v>
      </c>
      <c r="AJ231" s="175" t="str">
        <f ca="1">IFERROR(__xludf.DUMMYFUNCTION("QUERY('Volunteer Survey'!K230)"),"Gene-Disease Validity")</f>
        <v>Gene-Disease Validity</v>
      </c>
      <c r="AK231" s="175" t="str">
        <f ca="1">IFERROR(__xludf.DUMMYFUNCTION("QUERY('Volunteer Survey'!L230)"),"")</f>
        <v/>
      </c>
      <c r="AL231" s="175" t="str">
        <f ca="1">IFERROR(__xludf.DUMMYFUNCTION("QUERY('Volunteer Survey'!M230)"),"")</f>
        <v/>
      </c>
      <c r="AM231" s="175" t="str">
        <f ca="1">IFERROR(__xludf.DUMMYFUNCTION("QUERY('Volunteer Survey'!N230)"),"I did not have the opportunity to have a sufficient experiences, but i think passion will make me do it. i am a reader in pathology and virology, so, i think am a good candidate to be a member in one of these great working groups.")</f>
        <v>I did not have the opportunity to have a sufficient experiences, but i think passion will make me do it. i am a reader in pathology and virology, so, i think am a good candidate to be a member in one of these great working groups.</v>
      </c>
      <c r="AN231" s="175" t="str">
        <f ca="1">IFERROR(__xludf.DUMMYFUNCTION("QUERY('Volunteer Survey'!O230)"),"No")</f>
        <v>No</v>
      </c>
      <c r="AO231" s="175" t="str">
        <f ca="1">IFERROR(__xludf.DUMMYFUNCTION("QUERY('Volunteer Survey'!P230)"),"yes, i am interested in joining Somatic Cancer working group!")</f>
        <v>yes, i am interested in joining Somatic Cancer working group!</v>
      </c>
    </row>
    <row r="232" spans="1:41" ht="28">
      <c r="A232" s="44">
        <f ca="1">IFERROR(__xludf.DUMMYFUNCTION("QUERY('Volunteer Survey'!A239)"),43648.6446030902)</f>
        <v>43648.644603090201</v>
      </c>
      <c r="B232" s="42" t="s">
        <v>160</v>
      </c>
      <c r="C232" s="73">
        <v>43705</v>
      </c>
      <c r="D232" s="59">
        <v>43719</v>
      </c>
      <c r="E232" s="42" t="s">
        <v>117</v>
      </c>
      <c r="F232" s="42" t="s">
        <v>130</v>
      </c>
      <c r="G232" s="42" t="s">
        <v>136</v>
      </c>
      <c r="H232" s="45" t="s">
        <v>317</v>
      </c>
      <c r="I232" s="45" t="s">
        <v>139</v>
      </c>
      <c r="J232" s="49"/>
      <c r="K232" s="49"/>
      <c r="L232" s="49" t="str">
        <f ca="1">IFERROR(__xludf.DUMMYFUNCTION("QUERY('Volunteer Survey'!B239)"),"Lori Millner")</f>
        <v>Lori Millner</v>
      </c>
      <c r="M232" s="49" t="str">
        <f ca="1">IFERROR(__xludf.DUMMYFUNCTION("QUERY('Volunteer Survey'!E239)"),"lorimillner77@gmail.com")</f>
        <v>lorimillner77@gmail.com</v>
      </c>
      <c r="N232" s="49" t="str">
        <f ca="1">IFERROR(__xludf.DUMMYFUNCTION("QUERY('Volunteer Survey'!F239)"),"Clinical Lab Director")</f>
        <v>Clinical Lab Director</v>
      </c>
      <c r="O232" s="42" t="str">
        <f ca="1">IFERROR(__xludf.DUMMYFUNCTION("QUERY('Volunteer Survey'!H239)"),"Comprehensive")</f>
        <v>Comprehensive</v>
      </c>
      <c r="P232" s="49" t="str">
        <f ca="1">IFERROR(__xludf.DUMMYFUNCTION("QUERY('Volunteer Survey'!I239)"),"Somatic Cancer")</f>
        <v>Somatic Cancer</v>
      </c>
      <c r="Q232" s="54" t="str">
        <f ca="1">IFERROR(__xludf.DUMMYFUNCTION("QUERY('Volunteer Survey'!J239)"),"Clinical Actionability")</f>
        <v>Clinical Actionability</v>
      </c>
      <c r="R232" s="49" t="str">
        <f ca="1">IFERROR(__xludf.DUMMYFUNCTION("QUERY('Volunteer Survey'!K239)"),"")</f>
        <v/>
      </c>
      <c r="S232" s="49" t="str">
        <f ca="1">IFERROR(__xludf.DUMMYFUNCTION("QUERY('Volunteer Survey'!L239)"),"")</f>
        <v/>
      </c>
      <c r="T232" s="49" t="str">
        <f ca="1">IFERROR(__xludf.DUMMYFUNCTION("QUERY('Volunteer Survey'!M239)"),"")</f>
        <v/>
      </c>
      <c r="U232" s="58" t="str">
        <f ca="1">IFERROR(__xludf.DUMMYFUNCTION("QUERY('Volunteer Survey'!N239)"),"Yes, I performed NGS somatic mutation panels on single cells.")</f>
        <v>Yes, I performed NGS somatic mutation panels on single cells.</v>
      </c>
      <c r="V232" s="49" t="str">
        <f ca="1">IFERROR(__xludf.DUMMYFUNCTION("QUERY('Volunteer Survey'!O239)"),"Possibly")</f>
        <v>Possibly</v>
      </c>
      <c r="W232" s="60" t="str">
        <f ca="1">IFERROR(__xludf.DUMMYFUNCTION("QUERY('Volunteer Survey'!P239)"),"")</f>
        <v/>
      </c>
      <c r="X232" s="58" t="str">
        <f ca="1">IFERROR(__xludf.DUMMYFUNCTION("QUERY('Volunteer Survey'!R239)"),"Maybe -- please contact me with other options, and I will decide based on what is available")</f>
        <v>Maybe -- please contact me with other options, and I will decide based on what is available</v>
      </c>
      <c r="Y232" s="47"/>
      <c r="Z232" s="174">
        <f ca="1">IFERROR(__xludf.DUMMYFUNCTION("QUERY('Volunteer Survey'!A231)"),43633.6785376967)</f>
        <v>43633.678537696702</v>
      </c>
      <c r="AA232" s="175" t="str">
        <f ca="1">IFERROR(__xludf.DUMMYFUNCTION("QUERY('Volunteer Survey'!B231)"),"Abul Kalam Azad")</f>
        <v>Abul Kalam Azad</v>
      </c>
      <c r="AB232" s="175" t="str">
        <f ca="1">IFERROR(__xludf.DUMMYFUNCTION("QUERY('Volunteer Survey'!C231)"),"Montefiore Medical Center")</f>
        <v>Montefiore Medical Center</v>
      </c>
      <c r="AC232" s="175" t="str">
        <f ca="1">IFERROR(__xludf.DUMMYFUNCTION("QUERY('Volunteer Survey'!D231)"),"1641 Metropolitan Ave
Apt 3A")</f>
        <v>1641 Metropolitan Ave
Apt 3A</v>
      </c>
      <c r="AD232" s="175" t="str">
        <f ca="1">IFERROR(__xludf.DUMMYFUNCTION("QUERY('Volunteer Survey'!E231)"),"azadak@gmail.com")</f>
        <v>azadak@gmail.com</v>
      </c>
      <c r="AE232" s="175" t="str">
        <f ca="1">IFERROR(__xludf.DUMMYFUNCTION("QUERY('Volunteer Survey'!F231)"),"Post Doc/Resident/Fellow (MD and/or PhD)")</f>
        <v>Post Doc/Resident/Fellow (MD and/or PhD)</v>
      </c>
      <c r="AF232" s="175" t="str">
        <f ca="1">IFERROR(__xludf.DUMMYFUNCTION("QUERY('Volunteer Survey'!G231)"),"ACMG Conference 2019")</f>
        <v>ACMG Conference 2019</v>
      </c>
      <c r="AG232" s="175" t="str">
        <f ca="1">IFERROR(__xludf.DUMMYFUNCTION("QUERY('Volunteer Survey'!H231)"),"Comprehensive")</f>
        <v>Comprehensive</v>
      </c>
      <c r="AH232" s="175" t="str">
        <f ca="1">IFERROR(__xludf.DUMMYFUNCTION("QUERY('Volunteer Survey'!I231)"),"Clinical Actionability")</f>
        <v>Clinical Actionability</v>
      </c>
      <c r="AI232" s="175" t="str">
        <f ca="1">IFERROR(__xludf.DUMMYFUNCTION("QUERY('Volunteer Survey'!J231)"),"Variant Pathogenicity")</f>
        <v>Variant Pathogenicity</v>
      </c>
      <c r="AJ232" s="175" t="str">
        <f ca="1">IFERROR(__xludf.DUMMYFUNCTION("QUERY('Volunteer Survey'!K231)"),"Gene-Disease Validity")</f>
        <v>Gene-Disease Validity</v>
      </c>
      <c r="AK232" s="175" t="str">
        <f ca="1">IFERROR(__xludf.DUMMYFUNCTION("QUERY('Volunteer Survey'!L231)"),"Somatic Cancer")</f>
        <v>Somatic Cancer</v>
      </c>
      <c r="AL232" s="175" t="str">
        <f ca="1">IFERROR(__xludf.DUMMYFUNCTION("QUERY('Volunteer Survey'!M231)"),"Dosage Sensitivity")</f>
        <v>Dosage Sensitivity</v>
      </c>
      <c r="AM232" s="175" t="str">
        <f ca="1">IFERROR(__xludf.DUMMYFUNCTION("QUERY('Volunteer Survey'!N231)"),"")</f>
        <v/>
      </c>
      <c r="AN232" s="175" t="str">
        <f ca="1">IFERROR(__xludf.DUMMYFUNCTION("QUERY('Volunteer Survey'!O231)"),"Yes")</f>
        <v>Yes</v>
      </c>
      <c r="AO232" s="175" t="str">
        <f ca="1">IFERROR(__xludf.DUMMYFUNCTION("QUERY('Volunteer Survey'!P231)"),"")</f>
        <v/>
      </c>
    </row>
    <row r="233" spans="1:41" ht="14">
      <c r="A233" s="44">
        <f ca="1">IFERROR(__xludf.DUMMYFUNCTION("QUERY('Volunteer Survey'!A240)"),43651.2924809027)</f>
        <v>43651.292480902703</v>
      </c>
      <c r="B233" s="42" t="s">
        <v>108</v>
      </c>
      <c r="C233" s="73">
        <v>43689</v>
      </c>
      <c r="D233" s="49"/>
      <c r="E233" s="49"/>
      <c r="F233" s="42" t="s">
        <v>130</v>
      </c>
      <c r="G233" s="42" t="s">
        <v>19</v>
      </c>
      <c r="H233" s="63"/>
      <c r="I233" s="45" t="s">
        <v>139</v>
      </c>
      <c r="J233" s="49"/>
      <c r="K233" s="49"/>
      <c r="L233" s="49" t="str">
        <f ca="1">IFERROR(__xludf.DUMMYFUNCTION("QUERY('Volunteer Survey'!B240)"),"Agnes Sebastian")</f>
        <v>Agnes Sebastian</v>
      </c>
      <c r="M233" s="49" t="str">
        <f ca="1">IFERROR(__xludf.DUMMYFUNCTION("QUERY('Volunteer Survey'!E240)"),"agnes.sebastian@mail.utoronto.ca")</f>
        <v>agnes.sebastian@mail.utoronto.ca</v>
      </c>
      <c r="N233" s="49" t="str">
        <f ca="1">IFERROR(__xludf.DUMMYFUNCTION("QUERY('Volunteer Survey'!F240)"),"Graduate Student")</f>
        <v>Graduate Student</v>
      </c>
      <c r="O233" s="42" t="str">
        <f ca="1">IFERROR(__xludf.DUMMYFUNCTION("QUERY('Volunteer Survey'!H240)"),"Comprehensive")</f>
        <v>Comprehensive</v>
      </c>
      <c r="P233" s="49" t="str">
        <f ca="1">IFERROR(__xludf.DUMMYFUNCTION("QUERY('Volunteer Survey'!I240)"),"Clinical Actionability")</f>
        <v>Clinical Actionability</v>
      </c>
      <c r="Q233" s="54" t="str">
        <f ca="1">IFERROR(__xludf.DUMMYFUNCTION("QUERY('Volunteer Survey'!J240)"),"Variant Pathogenicity")</f>
        <v>Variant Pathogenicity</v>
      </c>
      <c r="R233" s="49" t="str">
        <f ca="1">IFERROR(__xludf.DUMMYFUNCTION("QUERY('Volunteer Survey'!K240)"),"Gene-Disease Validity")</f>
        <v>Gene-Disease Validity</v>
      </c>
      <c r="S233" s="49" t="str">
        <f ca="1">IFERROR(__xludf.DUMMYFUNCTION("QUERY('Volunteer Survey'!L240)"),"Dosage Sensitivity")</f>
        <v>Dosage Sensitivity</v>
      </c>
      <c r="T233" s="49" t="str">
        <f ca="1">IFERROR(__xludf.DUMMYFUNCTION("QUERY('Volunteer Survey'!M240)"),"Somatic Cancer")</f>
        <v>Somatic Cancer</v>
      </c>
      <c r="U233" s="58" t="str">
        <f ca="1">IFERROR(__xludf.DUMMYFUNCTION("QUERY('Volunteer Survey'!N240)"),"")</f>
        <v/>
      </c>
      <c r="V233" s="49" t="str">
        <f ca="1">IFERROR(__xludf.DUMMYFUNCTION("QUERY('Volunteer Survey'!O240)"),"Possibly")</f>
        <v>Possibly</v>
      </c>
      <c r="W233" s="60" t="str">
        <f ca="1">IFERROR(__xludf.DUMMYFUNCTION("QUERY('Volunteer Survey'!P240)"),"No - any group related to cancer or hearing loss is preferable")</f>
        <v>No - any group related to cancer or hearing loss is preferable</v>
      </c>
      <c r="X233" s="58" t="str">
        <f ca="1">IFERROR(__xludf.DUMMYFUNCTION("QUERY('Volunteer Survey'!R240)"),"Maybe -- please contact me with other options, and I will decide based on what is available")</f>
        <v>Maybe -- please contact me with other options, and I will decide based on what is available</v>
      </c>
      <c r="Y233" s="47"/>
      <c r="Z233" s="174">
        <f ca="1">IFERROR(__xludf.DUMMYFUNCTION("QUERY('Volunteer Survey'!A232)"),43634.5731383449)</f>
        <v>43634.573138344902</v>
      </c>
      <c r="AA233" s="175" t="str">
        <f ca="1">IFERROR(__xludf.DUMMYFUNCTION("QUERY('Volunteer Survey'!B232)"),"Amruta Phatak")</f>
        <v>Amruta Phatak</v>
      </c>
      <c r="AB233" s="175" t="str">
        <f ca="1">IFERROR(__xludf.DUMMYFUNCTION("QUERY('Volunteer Survey'!C232)"),"Indiana University")</f>
        <v>Indiana University</v>
      </c>
      <c r="AC233" s="175" t="str">
        <f ca="1">IFERROR(__xludf.DUMMYFUNCTION("QUERY('Volunteer Survey'!D232)"),"1044 West Walnut Street
R4-W204
IUPUI, Indianapolis")</f>
        <v>1044 West Walnut Street
R4-W204
IUPUI, Indianapolis</v>
      </c>
      <c r="AD233" s="175" t="str">
        <f ca="1">IFERROR(__xludf.DUMMYFUNCTION("QUERY('Volunteer Survey'!E232)"),"arphatak@iu.edu")</f>
        <v>arphatak@iu.edu</v>
      </c>
      <c r="AE233" s="175" t="str">
        <f ca="1">IFERROR(__xludf.DUMMYFUNCTION("QUERY('Volunteer Survey'!F232)"),"Post Doc/Resident/Fellow (MD and/or PhD)")</f>
        <v>Post Doc/Resident/Fellow (MD and/or PhD)</v>
      </c>
      <c r="AF233" s="175" t="str">
        <f ca="1">IFERROR(__xludf.DUMMYFUNCTION("QUERY('Volunteer Survey'!G232)"),"The clinicalgenome.org website")</f>
        <v>The clinicalgenome.org website</v>
      </c>
      <c r="AG233" s="175" t="str">
        <f ca="1">IFERROR(__xludf.DUMMYFUNCTION("QUERY('Volunteer Survey'!H232)"),"Comprehensive")</f>
        <v>Comprehensive</v>
      </c>
      <c r="AH233" s="175" t="str">
        <f ca="1">IFERROR(__xludf.DUMMYFUNCTION("QUERY('Volunteer Survey'!I232)"),"Gene-Disease Validity")</f>
        <v>Gene-Disease Validity</v>
      </c>
      <c r="AI233" s="175" t="str">
        <f ca="1">IFERROR(__xludf.DUMMYFUNCTION("QUERY('Volunteer Survey'!J232)"),"Variant Pathogenicity")</f>
        <v>Variant Pathogenicity</v>
      </c>
      <c r="AJ233" s="175" t="str">
        <f ca="1">IFERROR(__xludf.DUMMYFUNCTION("QUERY('Volunteer Survey'!K232)"),"Clinical Actionability")</f>
        <v>Clinical Actionability</v>
      </c>
      <c r="AK233" s="175" t="str">
        <f ca="1">IFERROR(__xludf.DUMMYFUNCTION("QUERY('Volunteer Survey'!L232)"),"Dosage Sensitivity")</f>
        <v>Dosage Sensitivity</v>
      </c>
      <c r="AL233" s="175" t="str">
        <f ca="1">IFERROR(__xludf.DUMMYFUNCTION("QUERY('Volunteer Survey'!M232)"),"Somatic Cancer")</f>
        <v>Somatic Cancer</v>
      </c>
      <c r="AM233" s="175" t="str">
        <f ca="1">IFERROR(__xludf.DUMMYFUNCTION("QUERY('Volunteer Survey'!N232)"),"")</f>
        <v/>
      </c>
      <c r="AN233" s="175" t="str">
        <f ca="1">IFERROR(__xludf.DUMMYFUNCTION("QUERY('Volunteer Survey'!O232)"),"Yes")</f>
        <v>Yes</v>
      </c>
      <c r="AO233" s="175" t="str">
        <f ca="1">IFERROR(__xludf.DUMMYFUNCTION("QUERY('Volunteer Survey'!P232)"),"")</f>
        <v/>
      </c>
    </row>
    <row r="234" spans="1:41" ht="14">
      <c r="A234" s="44">
        <f ca="1">IFERROR(__xludf.DUMMYFUNCTION("QUERY('Volunteer Survey'!A241)"),43651.6183744791)</f>
        <v>43651.618374479098</v>
      </c>
      <c r="B234" s="42" t="s">
        <v>168</v>
      </c>
      <c r="C234" s="47"/>
      <c r="D234" s="49"/>
      <c r="E234" s="49"/>
      <c r="F234" s="42" t="s">
        <v>130</v>
      </c>
      <c r="G234" s="42" t="s">
        <v>251</v>
      </c>
      <c r="H234" s="47"/>
      <c r="I234" s="45" t="s">
        <v>139</v>
      </c>
      <c r="J234" s="49"/>
      <c r="K234" s="49"/>
      <c r="L234" s="49" t="str">
        <f ca="1">IFERROR(__xludf.DUMMYFUNCTION("QUERY('Volunteer Survey'!B241)"),"Xiangqiang Shao")</f>
        <v>Xiangqiang Shao</v>
      </c>
      <c r="M234" s="49" t="str">
        <f ca="1">IFERROR(__xludf.DUMMYFUNCTION("QUERY('Volunteer Survey'!E241)"),"xshao5@wisc.edu")</f>
        <v>xshao5@wisc.edu</v>
      </c>
      <c r="N234" s="49" t="str">
        <f ca="1">IFERROR(__xludf.DUMMYFUNCTION("QUERY('Volunteer Survey'!F241)"),"Scientific Researcher")</f>
        <v>Scientific Researcher</v>
      </c>
      <c r="O234" s="42" t="str">
        <f ca="1">IFERROR(__xludf.DUMMYFUNCTION("QUERY('Volunteer Survey'!H241)"),"Comprehensive")</f>
        <v>Comprehensive</v>
      </c>
      <c r="P234" s="49" t="str">
        <f ca="1">IFERROR(__xludf.DUMMYFUNCTION("QUERY('Volunteer Survey'!I241)"),"Variant Pathogenicity")</f>
        <v>Variant Pathogenicity</v>
      </c>
      <c r="Q234" s="54" t="str">
        <f ca="1">IFERROR(__xludf.DUMMYFUNCTION("QUERY('Volunteer Survey'!J241)"),"Dosage Sensitivity")</f>
        <v>Dosage Sensitivity</v>
      </c>
      <c r="R234" s="49" t="str">
        <f ca="1">IFERROR(__xludf.DUMMYFUNCTION("QUERY('Volunteer Survey'!K241)"),"Clinical Actionability")</f>
        <v>Clinical Actionability</v>
      </c>
      <c r="S234" s="49" t="str">
        <f ca="1">IFERROR(__xludf.DUMMYFUNCTION("QUERY('Volunteer Survey'!L241)"),"Gene-Disease Validity")</f>
        <v>Gene-Disease Validity</v>
      </c>
      <c r="T234" s="49" t="str">
        <f ca="1">IFERROR(__xludf.DUMMYFUNCTION("QUERY('Volunteer Survey'!M241)"),"Somatic Cancer")</f>
        <v>Somatic Cancer</v>
      </c>
      <c r="U234" s="58" t="str">
        <f ca="1">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V234" s="49" t="str">
        <f ca="1">IFERROR(__xludf.DUMMYFUNCTION("QUERY('Volunteer Survey'!O241)"),"Possibly")</f>
        <v>Possibly</v>
      </c>
      <c r="W234" s="60" t="str">
        <f ca="1">IFERROR(__xludf.DUMMYFUNCTION("QUERY('Volunteer Survey'!P241)"),"Epilepsy, and Intellectual Disability and Autism")</f>
        <v>Epilepsy, and Intellectual Disability and Autism</v>
      </c>
      <c r="X234" s="58" t="str">
        <f ca="1">IFERROR(__xludf.DUMMYFUNCTION("QUERY('Volunteer Survey'!R241)"),"Yes- I am willing to volunteer with any available ClinGen group")</f>
        <v>Yes- I am willing to volunteer with any available ClinGen group</v>
      </c>
      <c r="Y234" s="47"/>
      <c r="Z234" s="174">
        <f ca="1">IFERROR(__xludf.DUMMYFUNCTION("QUERY('Volunteer Survey'!A233)"),43635.0137589814)</f>
        <v>43635.013758981397</v>
      </c>
      <c r="AA234" s="175" t="str">
        <f ca="1">IFERROR(__xludf.DUMMYFUNCTION("QUERY('Volunteer Survey'!B233)"),"Priyabrata Panigrahi")</f>
        <v>Priyabrata Panigrahi</v>
      </c>
      <c r="AB234" s="175" t="str">
        <f ca="1">IFERROR(__xludf.DUMMYFUNCTION("QUERY('Volunteer Survey'!C233)"),"Innoplexus Pvt Ltd")</f>
        <v>Innoplexus Pvt Ltd</v>
      </c>
      <c r="AC234" s="175" t="str">
        <f ca="1">IFERROR(__xludf.DUMMYFUNCTION("QUERY('Volunteer Survey'!D233)"),"Midas Tower, Phase1, Hinjawadi")</f>
        <v>Midas Tower, Phase1, Hinjawadi</v>
      </c>
      <c r="AD234" s="175" t="str">
        <f ca="1">IFERROR(__xludf.DUMMYFUNCTION("QUERY('Volunteer Survey'!E233)"),"pb.panigrahi86@gmail.com")</f>
        <v>pb.panigrahi86@gmail.com</v>
      </c>
      <c r="AE234" s="175" t="str">
        <f ca="1">IFERROR(__xludf.DUMMYFUNCTION("QUERY('Volunteer Survey'!F233)"),"Scientific Researcher")</f>
        <v>Scientific Researcher</v>
      </c>
      <c r="AF234" s="175" t="str">
        <f ca="1">IFERROR(__xludf.DUMMYFUNCTION("QUERY('Volunteer Survey'!G233)"),"The clinicalgenome.org website")</f>
        <v>The clinicalgenome.org website</v>
      </c>
      <c r="AG234" s="175" t="str">
        <f ca="1">IFERROR(__xludf.DUMMYFUNCTION("QUERY('Volunteer Survey'!H233)"),"Comprehensive")</f>
        <v>Comprehensive</v>
      </c>
      <c r="AH234" s="175" t="str">
        <f ca="1">IFERROR(__xludf.DUMMYFUNCTION("QUERY('Volunteer Survey'!I233)"),"Somatic Cancer")</f>
        <v>Somatic Cancer</v>
      </c>
      <c r="AI234" s="175" t="str">
        <f ca="1">IFERROR(__xludf.DUMMYFUNCTION("QUERY('Volunteer Survey'!J233)"),"Variant Pathogenicity")</f>
        <v>Variant Pathogenicity</v>
      </c>
      <c r="AJ234" s="175" t="str">
        <f ca="1">IFERROR(__xludf.DUMMYFUNCTION("QUERY('Volunteer Survey'!K233)"),"Clinical Actionability")</f>
        <v>Clinical Actionability</v>
      </c>
      <c r="AK234" s="175" t="str">
        <f ca="1">IFERROR(__xludf.DUMMYFUNCTION("QUERY('Volunteer Survey'!L233)"),"Gene-Disease Validity")</f>
        <v>Gene-Disease Validity</v>
      </c>
      <c r="AL234" s="175" t="str">
        <f ca="1">IFERROR(__xludf.DUMMYFUNCTION("QUERY('Volunteer Survey'!M233)"),"Dosage Sensitivity")</f>
        <v>Dosage Sensitivity</v>
      </c>
      <c r="AM234" s="175" t="str">
        <f ca="1">IFERROR(__xludf.DUMMYFUNCTION("QUERY('Volunteer Survey'!N233)"),"I have experience of performing somatic cancer variant detection NGS based pipelines, downstream variant annotation methods and have good exposure to databases like dbsnp etc.")</f>
        <v>I have experience of performing somatic cancer variant detection NGS based pipelines, downstream variant annotation methods and have good exposure to databases like dbsnp etc.</v>
      </c>
      <c r="AN234" s="175" t="str">
        <f ca="1">IFERROR(__xludf.DUMMYFUNCTION("QUERY('Volunteer Survey'!O233)"),"Yes")</f>
        <v>Yes</v>
      </c>
      <c r="AO234" s="175" t="str">
        <f ca="1">IFERROR(__xludf.DUMMYFUNCTION("QUERY('Volunteer Survey'!P233)"),"Dont know")</f>
        <v>Dont know</v>
      </c>
    </row>
    <row r="235" spans="1:41" ht="14">
      <c r="A235" s="44">
        <f ca="1">IFERROR(__xludf.DUMMYFUNCTION("QUERY('Volunteer Survey'!A242)"),43653.1900094791)</f>
        <v>43653.190009479098</v>
      </c>
      <c r="B235" s="42" t="s">
        <v>108</v>
      </c>
      <c r="C235" s="47"/>
      <c r="D235" s="49"/>
      <c r="E235" s="49"/>
      <c r="F235" s="42" t="s">
        <v>130</v>
      </c>
      <c r="G235" s="42" t="s">
        <v>202</v>
      </c>
      <c r="H235" s="47"/>
      <c r="I235" s="45" t="s">
        <v>139</v>
      </c>
      <c r="J235" s="49"/>
      <c r="K235" s="49"/>
      <c r="L235" s="49" t="str">
        <f ca="1">IFERROR(__xludf.DUMMYFUNCTION("QUERY('Volunteer Survey'!B242)"),"Pradeep Varathan")</f>
        <v>Pradeep Varathan</v>
      </c>
      <c r="M235" s="49" t="str">
        <f ca="1">IFERROR(__xludf.DUMMYFUNCTION("QUERY('Volunteer Survey'!E242)"),"pradluzog@gmail.com")</f>
        <v>pradluzog@gmail.com</v>
      </c>
      <c r="N235" s="49" t="str">
        <f ca="1">IFERROR(__xludf.DUMMYFUNCTION("QUERY('Volunteer Survey'!F242)"),"Graduate Student")</f>
        <v>Graduate Student</v>
      </c>
      <c r="O235" s="42" t="str">
        <f ca="1">IFERROR(__xludf.DUMMYFUNCTION("QUERY('Volunteer Survey'!H242)"),"Baseline")</f>
        <v>Baseline</v>
      </c>
      <c r="P235" s="49" t="str">
        <f ca="1">IFERROR(__xludf.DUMMYFUNCTION("QUERY('Volunteer Survey'!I242)"),"")</f>
        <v/>
      </c>
      <c r="Q235" s="54" t="str">
        <f ca="1">IFERROR(__xludf.DUMMYFUNCTION("QUERY('Volunteer Survey'!J242)"),"")</f>
        <v/>
      </c>
      <c r="R235" s="49" t="str">
        <f ca="1">IFERROR(__xludf.DUMMYFUNCTION("QUERY('Volunteer Survey'!K242)"),"")</f>
        <v/>
      </c>
      <c r="S235" s="49" t="str">
        <f ca="1">IFERROR(__xludf.DUMMYFUNCTION("QUERY('Volunteer Survey'!L242)"),"")</f>
        <v/>
      </c>
      <c r="T235" s="49" t="str">
        <f ca="1">IFERROR(__xludf.DUMMYFUNCTION("QUERY('Volunteer Survey'!M242)"),"")</f>
        <v/>
      </c>
      <c r="U235" s="58" t="str">
        <f ca="1">IFERROR(__xludf.DUMMYFUNCTION("QUERY('Volunteer Survey'!N242)"),"")</f>
        <v/>
      </c>
      <c r="V235" s="49" t="str">
        <f ca="1">IFERROR(__xludf.DUMMYFUNCTION("QUERY('Volunteer Survey'!O242)"),"Yes")</f>
        <v>Yes</v>
      </c>
      <c r="W235" s="60" t="str">
        <f ca="1">IFERROR(__xludf.DUMMYFUNCTION("QUERY('Volunteer Survey'!P242)"),"")</f>
        <v/>
      </c>
      <c r="X235" s="58" t="str">
        <f ca="1">IFERROR(__xludf.DUMMYFUNCTION("QUERY('Volunteer Survey'!R242)"),"Yes- I am willing to volunteer with any available ClinGen group")</f>
        <v>Yes- I am willing to volunteer with any available ClinGen group</v>
      </c>
      <c r="Y235" s="47"/>
      <c r="Z235" s="174">
        <f ca="1">IFERROR(__xludf.DUMMYFUNCTION("QUERY('Volunteer Survey'!A234)"),43635.5692469097)</f>
        <v>43635.569246909698</v>
      </c>
      <c r="AA235" s="175" t="str">
        <f ca="1">IFERROR(__xludf.DUMMYFUNCTION("QUERY('Volunteer Survey'!B234)"),"José Patricio Miranda Marín")</f>
        <v>José Patricio Miranda Marín</v>
      </c>
      <c r="AB235" s="175" t="str">
        <f ca="1">IFERROR(__xludf.DUMMYFUNCTION("QUERY('Volunteer Survey'!C234)"),"Pontificia Universidad Católica de Chile")</f>
        <v>Pontificia Universidad Católica de Chile</v>
      </c>
      <c r="AC235" s="175" t="str">
        <f ca="1">IFERROR(__xludf.DUMMYFUNCTION("QUERY('Volunteer Survey'!D234)"),"Avda. Libertador Bernardo O'Higgins 340")</f>
        <v>Avda. Libertador Bernardo O'Higgins 340</v>
      </c>
      <c r="AD235" s="175" t="str">
        <f ca="1">IFERROR(__xludf.DUMMYFUNCTION("QUERY('Volunteer Survey'!E234)"),"jose.miranda@uc.cl")</f>
        <v>jose.miranda@uc.cl</v>
      </c>
      <c r="AE235" s="175" t="str">
        <f ca="1">IFERROR(__xludf.DUMMYFUNCTION("QUERY('Volunteer Survey'!F234)"),"Post Doc/Resident/Fellow (MD and/or PhD)")</f>
        <v>Post Doc/Resident/Fellow (MD and/or PhD)</v>
      </c>
      <c r="AF235" s="175" t="str">
        <f ca="1">IFERROR(__xludf.DUMMYFUNCTION("QUERY('Volunteer Survey'!G234)"),"The clinicalgenome.org website")</f>
        <v>The clinicalgenome.org website</v>
      </c>
      <c r="AG235" s="175" t="str">
        <f ca="1">IFERROR(__xludf.DUMMYFUNCTION("QUERY('Volunteer Survey'!H234)"),"Comprehensive")</f>
        <v>Comprehensive</v>
      </c>
      <c r="AH235" s="175" t="str">
        <f ca="1">IFERROR(__xludf.DUMMYFUNCTION("QUERY('Volunteer Survey'!I234)"),"Variant Pathogenicity")</f>
        <v>Variant Pathogenicity</v>
      </c>
      <c r="AI235" s="175" t="str">
        <f ca="1">IFERROR(__xludf.DUMMYFUNCTION("QUERY('Volunteer Survey'!J234)"),"Gene-Disease Validity")</f>
        <v>Gene-Disease Validity</v>
      </c>
      <c r="AJ235" s="175" t="str">
        <f ca="1">IFERROR(__xludf.DUMMYFUNCTION("QUERY('Volunteer Survey'!K234)"),"")</f>
        <v/>
      </c>
      <c r="AK235" s="175" t="str">
        <f ca="1">IFERROR(__xludf.DUMMYFUNCTION("QUERY('Volunteer Survey'!L234)"),"")</f>
        <v/>
      </c>
      <c r="AL235" s="175" t="str">
        <f ca="1">IFERROR(__xludf.DUMMYFUNCTION("QUERY('Volunteer Survey'!M234)"),"")</f>
        <v/>
      </c>
      <c r="AM235" s="175" t="str">
        <f ca="1">IFERROR(__xludf.DUMMYFUNCTION("QUERY('Volunteer Survey'!N234)"),"yes, I am the Lab Director of the Medical Genomic Unit at the Pontificia Universidad Católica de Chile, and we regularly send submissions to ClinVar (https://www.ncbi.nlm.nih.gov/clinvar/submitters/506969/)")</f>
        <v>yes, I am the Lab Director of the Medical Genomic Unit at the Pontificia Universidad Católica de Chile, and we regularly send submissions to ClinVar (https://www.ncbi.nlm.nih.gov/clinvar/submitters/506969/)</v>
      </c>
      <c r="AN235" s="175" t="str">
        <f ca="1">IFERROR(__xludf.DUMMYFUNCTION("QUERY('Volunteer Survey'!O234)"),"Yes")</f>
        <v>Yes</v>
      </c>
      <c r="AO235" s="175" t="str">
        <f ca="1">IFERROR(__xludf.DUMMYFUNCTION("QUERY('Volunteer Survey'!P234)"),"Monogenic Diabetes Variant Curation Expert Panel or Mitochondrial Disease Variant Curation Expert Panel")</f>
        <v>Monogenic Diabetes Variant Curation Expert Panel or Mitochondrial Disease Variant Curation Expert Panel</v>
      </c>
    </row>
    <row r="236" spans="1:41" ht="14">
      <c r="A236" s="44">
        <f ca="1">IFERROR(__xludf.DUMMYFUNCTION("QUERY('Volunteer Survey'!A243)"),43654.534963287)</f>
        <v>43654.534963286998</v>
      </c>
      <c r="B236" s="42" t="s">
        <v>108</v>
      </c>
      <c r="C236" s="73">
        <v>43689</v>
      </c>
      <c r="D236" s="49"/>
      <c r="E236" s="49"/>
      <c r="F236" s="42" t="s">
        <v>130</v>
      </c>
      <c r="G236" s="42" t="s">
        <v>19</v>
      </c>
      <c r="H236" s="63"/>
      <c r="I236" s="45" t="s">
        <v>139</v>
      </c>
      <c r="J236" s="49"/>
      <c r="K236" s="49"/>
      <c r="L236" s="49" t="str">
        <f ca="1">IFERROR(__xludf.DUMMYFUNCTION("QUERY('Volunteer Survey'!B243)"),"Terri McVeigh")</f>
        <v>Terri McVeigh</v>
      </c>
      <c r="M236" s="49" t="str">
        <f ca="1">IFERROR(__xludf.DUMMYFUNCTION("QUERY('Volunteer Survey'!E243)"),"terri.mcveigh@rmh.nhs.uk")</f>
        <v>terri.mcveigh@rmh.nhs.uk</v>
      </c>
      <c r="N236" s="49" t="str">
        <f ca="1">IFERROR(__xludf.DUMMYFUNCTION("QUERY('Volunteer Survey'!F243)"),"Clinical Medical Geneticist")</f>
        <v>Clinical Medical Geneticist</v>
      </c>
      <c r="O236" s="42" t="str">
        <f ca="1">IFERROR(__xludf.DUMMYFUNCTION("QUERY('Volunteer Survey'!H243)"),"Comprehensive")</f>
        <v>Comprehensive</v>
      </c>
      <c r="P236" s="49" t="str">
        <f ca="1">IFERROR(__xludf.DUMMYFUNCTION("QUERY('Volunteer Survey'!I243)"),"Clinical Actionability")</f>
        <v>Clinical Actionability</v>
      </c>
      <c r="Q236" s="54" t="str">
        <f ca="1">IFERROR(__xludf.DUMMYFUNCTION("QUERY('Volunteer Survey'!J243)"),"Variant Pathogenicity")</f>
        <v>Variant Pathogenicity</v>
      </c>
      <c r="R236" s="49" t="str">
        <f ca="1">IFERROR(__xludf.DUMMYFUNCTION("QUERY('Volunteer Survey'!K243)"),"Gene-Disease Validity")</f>
        <v>Gene-Disease Validity</v>
      </c>
      <c r="S236" s="49" t="str">
        <f ca="1">IFERROR(__xludf.DUMMYFUNCTION("QUERY('Volunteer Survey'!L243)"),"Somatic Cancer")</f>
        <v>Somatic Cancer</v>
      </c>
      <c r="T236" s="49" t="str">
        <f ca="1">IFERROR(__xludf.DUMMYFUNCTION("QUERY('Volunteer Survey'!M243)"),"Dosage Sensitivity")</f>
        <v>Dosage Sensitivity</v>
      </c>
      <c r="U236" s="58" t="str">
        <f ca="1">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V236" s="49" t="str">
        <f ca="1">IFERROR(__xludf.DUMMYFUNCTION("QUERY('Volunteer Survey'!O243)"),"Possibly")</f>
        <v>Possibly</v>
      </c>
      <c r="W236" s="60" t="str">
        <f ca="1">IFERROR(__xludf.DUMMYFUNCTION("QUERY('Volunteer Survey'!P243)"),"")</f>
        <v/>
      </c>
      <c r="X236" s="58" t="str">
        <f ca="1">IFERROR(__xludf.DUMMYFUNCTION("QUERY('Volunteer Survey'!R243)"),"Maybe -- please contact me with other options, and I will decide based on what is available")</f>
        <v>Maybe -- please contact me with other options, and I will decide based on what is available</v>
      </c>
      <c r="Y236" s="47"/>
      <c r="Z236" s="174">
        <f ca="1">IFERROR(__xludf.DUMMYFUNCTION("QUERY('Volunteer Survey'!A235)"),43638.3626936226)</f>
        <v>43638.362693622599</v>
      </c>
      <c r="AA236" s="175" t="str">
        <f ca="1">IFERROR(__xludf.DUMMYFUNCTION("QUERY('Volunteer Survey'!B235)"),"Helen O'Shea")</f>
        <v>Helen O'Shea</v>
      </c>
      <c r="AB236" s="175" t="str">
        <f ca="1">IFERROR(__xludf.DUMMYFUNCTION("QUERY('Volunteer Survey'!C235)"),"Department of Clinical Genetics, Children's Health Ireland")</f>
        <v>Department of Clinical Genetics, Children's Health Ireland</v>
      </c>
      <c r="AC236" s="175" t="str">
        <f ca="1">IFERROR(__xludf.DUMMYFUNCTION("QUERY('Volunteer Survey'!D235)"),"Children's Health Ireland at Crumlin D12 N512")</f>
        <v>Children's Health Ireland at Crumlin D12 N512</v>
      </c>
      <c r="AD236" s="175" t="str">
        <f ca="1">IFERROR(__xludf.DUMMYFUNCTION("QUERY('Volunteer Survey'!E235)"),"helen.oshea@olchc.ie")</f>
        <v>helen.oshea@olchc.ie</v>
      </c>
      <c r="AE236" s="175" t="str">
        <f ca="1">IFERROR(__xludf.DUMMYFUNCTION("QUERY('Volunteer Survey'!F235)"),"Clinical laboratory geneticist")</f>
        <v>Clinical laboratory geneticist</v>
      </c>
      <c r="AF236" s="175" t="str">
        <f ca="1">IFERROR(__xludf.DUMMYFUNCTION("QUERY('Volunteer Survey'!G235)"),"Networking")</f>
        <v>Networking</v>
      </c>
      <c r="AG236" s="175" t="str">
        <f ca="1">IFERROR(__xludf.DUMMYFUNCTION("QUERY('Volunteer Survey'!H235)"),"Baseline")</f>
        <v>Baseline</v>
      </c>
      <c r="AH236" s="175" t="str">
        <f ca="1">IFERROR(__xludf.DUMMYFUNCTION("QUERY('Volunteer Survey'!I235)"),"")</f>
        <v/>
      </c>
      <c r="AI236" s="175" t="str">
        <f ca="1">IFERROR(__xludf.DUMMYFUNCTION("QUERY('Volunteer Survey'!J235)"),"")</f>
        <v/>
      </c>
      <c r="AJ236" s="175" t="str">
        <f ca="1">IFERROR(__xludf.DUMMYFUNCTION("QUERY('Volunteer Survey'!K235)"),"")</f>
        <v/>
      </c>
      <c r="AK236" s="175" t="str">
        <f ca="1">IFERROR(__xludf.DUMMYFUNCTION("QUERY('Volunteer Survey'!L235)"),"")</f>
        <v/>
      </c>
      <c r="AL236" s="175" t="str">
        <f ca="1">IFERROR(__xludf.DUMMYFUNCTION("QUERY('Volunteer Survey'!M235)"),"")</f>
        <v/>
      </c>
      <c r="AM236" s="175" t="str">
        <f ca="1">IFERROR(__xludf.DUMMYFUNCTION("QUERY('Volunteer Survey'!N235)"),"I am involved in neurodevelopmental disorders research using exome sequencing and variant assessment.")</f>
        <v>I am involved in neurodevelopmental disorders research using exome sequencing and variant assessment.</v>
      </c>
      <c r="AN236" s="175" t="str">
        <f ca="1">IFERROR(__xludf.DUMMYFUNCTION("QUERY('Volunteer Survey'!O235)"),"No")</f>
        <v>No</v>
      </c>
      <c r="AO236" s="175" t="str">
        <f ca="1">IFERROR(__xludf.DUMMYFUNCTION("QUERY('Volunteer Survey'!P235)"),"Neurodevelopmental disorders, cardiovascular diseases and cancer")</f>
        <v>Neurodevelopmental disorders, cardiovascular diseases and cancer</v>
      </c>
    </row>
    <row r="237" spans="1:41" ht="14">
      <c r="A237" s="44">
        <f ca="1">IFERROR(__xludf.DUMMYFUNCTION("QUERY('Volunteer Survey'!A244)"),43655.4301787268)</f>
        <v>43655.430178726798</v>
      </c>
      <c r="B237" s="42" t="s">
        <v>168</v>
      </c>
      <c r="C237" s="47"/>
      <c r="D237" s="49"/>
      <c r="E237" s="49"/>
      <c r="F237" s="42" t="s">
        <v>130</v>
      </c>
      <c r="G237" s="42" t="s">
        <v>251</v>
      </c>
      <c r="H237" s="47"/>
      <c r="I237" s="45" t="s">
        <v>139</v>
      </c>
      <c r="J237" s="49"/>
      <c r="K237" s="49"/>
      <c r="L237" s="49" t="str">
        <f ca="1">IFERROR(__xludf.DUMMYFUNCTION("QUERY('Volunteer Survey'!B244)"),"Gretchen Cote")</f>
        <v>Gretchen Cote</v>
      </c>
      <c r="M237" s="49" t="str">
        <f ca="1">IFERROR(__xludf.DUMMYFUNCTION("QUERY('Volunteer Survey'!E244)"),"gretchen.cote@dgs.virginia.gov")</f>
        <v>gretchen.cote@dgs.virginia.gov</v>
      </c>
      <c r="N237" s="49" t="str">
        <f ca="1">IFERROR(__xludf.DUMMYFUNCTION("QUERY('Volunteer Survey'!F244)"),"Bioinformatician focusing on Variant Interpretation")</f>
        <v>Bioinformatician focusing on Variant Interpretation</v>
      </c>
      <c r="O237" s="42" t="str">
        <f ca="1">IFERROR(__xludf.DUMMYFUNCTION("QUERY('Volunteer Survey'!H244)"),"Comprehensive")</f>
        <v>Comprehensive</v>
      </c>
      <c r="P237" s="49" t="str">
        <f ca="1">IFERROR(__xludf.DUMMYFUNCTION("QUERY('Volunteer Survey'!I244)"),"Variant Pathogenicity")</f>
        <v>Variant Pathogenicity</v>
      </c>
      <c r="Q237" s="54" t="str">
        <f ca="1">IFERROR(__xludf.DUMMYFUNCTION("QUERY('Volunteer Survey'!J244)"),"Clinical Actionability")</f>
        <v>Clinical Actionability</v>
      </c>
      <c r="R237" s="49" t="str">
        <f ca="1">IFERROR(__xludf.DUMMYFUNCTION("QUERY('Volunteer Survey'!K244)"),"Gene-Disease Validity")</f>
        <v>Gene-Disease Validity</v>
      </c>
      <c r="S237" s="49" t="str">
        <f ca="1">IFERROR(__xludf.DUMMYFUNCTION("QUERY('Volunteer Survey'!L244)"),"Somatic Cancer")</f>
        <v>Somatic Cancer</v>
      </c>
      <c r="T237" s="49" t="str">
        <f ca="1">IFERROR(__xludf.DUMMYFUNCTION("QUERY('Volunteer Survey'!M244)"),"Dosage Sensitivity")</f>
        <v>Dosage Sensitivity</v>
      </c>
      <c r="U237" s="58" t="str">
        <f ca="1">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V237" s="49" t="str">
        <f ca="1">IFERROR(__xludf.DUMMYFUNCTION("QUERY('Volunteer Survey'!O244)"),"Possibly")</f>
        <v>Possibly</v>
      </c>
      <c r="W237" s="60" t="str">
        <f ca="1">IFERROR(__xludf.DUMMYFUNCTION("QUERY('Volunteer Survey'!P244)"),"Lysosomal Storage Disorders")</f>
        <v>Lysosomal Storage Disorders</v>
      </c>
      <c r="X237" s="58" t="str">
        <f ca="1">IFERROR(__xludf.DUMMYFUNCTION("QUERY('Volunteer Survey'!R244)"),"Yes- I am willing to volunteer with any available ClinGen group")</f>
        <v>Yes- I am willing to volunteer with any available ClinGen group</v>
      </c>
      <c r="Y237" s="47"/>
      <c r="Z237" s="174">
        <f ca="1">IFERROR(__xludf.DUMMYFUNCTION("QUERY('Volunteer Survey'!A236)"),43640.1266100578)</f>
        <v>43640.1266100578</v>
      </c>
      <c r="AA237" s="175" t="str">
        <f ca="1">IFERROR(__xludf.DUMMYFUNCTION("QUERY('Volunteer Survey'!B236)"),"Panos Sergouniotis")</f>
        <v>Panos Sergouniotis</v>
      </c>
      <c r="AB237" s="175" t="str">
        <f ca="1">IFERROR(__xludf.DUMMYFUNCTION("QUERY('Volunteer Survey'!C236)"),"University of Manchester, UK")</f>
        <v>University of Manchester, UK</v>
      </c>
      <c r="AC237" s="175" t="str">
        <f ca="1">IFERROR(__xludf.DUMMYFUNCTION("QUERY('Volunteer Survey'!D236)"),"Manchester Centre for Genomic Medicine, St Mary's Hospital, Oxford Road, Manchester M13 9WL, UK")</f>
        <v>Manchester Centre for Genomic Medicine, St Mary's Hospital, Oxford Road, Manchester M13 9WL, UK</v>
      </c>
      <c r="AD237" s="175" t="str">
        <f ca="1">IFERROR(__xludf.DUMMYFUNCTION("QUERY('Volunteer Survey'!E236)"),"panagiotis.sergouniotis@manchester.ac.uk")</f>
        <v>panagiotis.sergouniotis@manchester.ac.uk</v>
      </c>
      <c r="AE237" s="175" t="str">
        <f ca="1">IFERROR(__xludf.DUMMYFUNCTION("QUERY('Volunteer Survey'!F236)"),"I am a qualified Ophthalmologist (FEBO, FRCOphth) with an interest in Ophtalmic Genetics")</f>
        <v>I am a qualified Ophthalmologist (FEBO, FRCOphth) with an interest in Ophtalmic Genetics</v>
      </c>
      <c r="AF237" s="175" t="str">
        <f ca="1">IFERROR(__xludf.DUMMYFUNCTION("QUERY('Volunteer Survey'!G236)"),"The clinicalgenome.org website")</f>
        <v>The clinicalgenome.org website</v>
      </c>
      <c r="AG237" s="175" t="str">
        <f ca="1">IFERROR(__xludf.DUMMYFUNCTION("QUERY('Volunteer Survey'!H236)"),"Baseline")</f>
        <v>Baseline</v>
      </c>
      <c r="AH237" s="175" t="str">
        <f ca="1">IFERROR(__xludf.DUMMYFUNCTION("QUERY('Volunteer Survey'!I236)"),"Gene-Disease Validity")</f>
        <v>Gene-Disease Validity</v>
      </c>
      <c r="AI237" s="175" t="str">
        <f ca="1">IFERROR(__xludf.DUMMYFUNCTION("QUERY('Volunteer Survey'!J236)"),"Dosage Sensitivity")</f>
        <v>Dosage Sensitivity</v>
      </c>
      <c r="AJ237" s="175" t="str">
        <f ca="1">IFERROR(__xludf.DUMMYFUNCTION("QUERY('Volunteer Survey'!K236)"),"Variant Pathogenicity")</f>
        <v>Variant Pathogenicity</v>
      </c>
      <c r="AK237" s="175" t="str">
        <f ca="1">IFERROR(__xludf.DUMMYFUNCTION("QUERY('Volunteer Survey'!L236)"),"Clinical Actionability")</f>
        <v>Clinical Actionability</v>
      </c>
      <c r="AL237" s="175" t="str">
        <f ca="1">IFERROR(__xludf.DUMMYFUNCTION("QUERY('Volunteer Survey'!M236)"),"Somatic Cancer")</f>
        <v>Somatic Cancer</v>
      </c>
      <c r="AM237" s="175" t="str">
        <f ca="1">IFERROR(__xludf.DUMMYFUNCTION("QUERY('Volunteer Survey'!N236)"),"Yes. I have worked as a curator for PanelApp (https://panelapp.genomicsengland.co.uk/) and I have significantly contributed to HPO and Orphanet (e.g. https://www.ncbi.nlm.nih.gov/pubmed/30626441)")</f>
        <v>Yes. I have worked as a curator for PanelApp (https://panelapp.genomicsengland.co.uk/) and I have significantly contributed to HPO and Orphanet (e.g. https://www.ncbi.nlm.nih.gov/pubmed/30626441)</v>
      </c>
      <c r="AN237" s="175" t="str">
        <f ca="1">IFERROR(__xludf.DUMMYFUNCTION("QUERY('Volunteer Survey'!O236)"),"Possibly")</f>
        <v>Possibly</v>
      </c>
      <c r="AO237" s="175" t="str">
        <f ca="1">IFERROR(__xludf.DUMMYFUNCTION("QUERY('Volunteer Survey'!P236)"),"Dosage Sensitivity Curation")</f>
        <v>Dosage Sensitivity Curation</v>
      </c>
    </row>
    <row r="238" spans="1:41" ht="14">
      <c r="A238" s="44">
        <f ca="1">IFERROR(__xludf.DUMMYFUNCTION("QUERY('Volunteer Survey'!A245)"),43661.5508873032)</f>
        <v>43661.550887303201</v>
      </c>
      <c r="B238" s="42" t="s">
        <v>108</v>
      </c>
      <c r="C238" s="47"/>
      <c r="D238" s="59">
        <v>43692</v>
      </c>
      <c r="E238" s="42" t="s">
        <v>117</v>
      </c>
      <c r="F238" s="42" t="s">
        <v>117</v>
      </c>
      <c r="G238" s="42" t="s">
        <v>122</v>
      </c>
      <c r="H238" s="47"/>
      <c r="I238" s="45" t="s">
        <v>139</v>
      </c>
      <c r="J238" s="49"/>
      <c r="K238" s="49"/>
      <c r="L238" s="49" t="str">
        <f ca="1">IFERROR(__xludf.DUMMYFUNCTION("QUERY('Volunteer Survey'!B245)"),"Mayher Patel")</f>
        <v>Mayher Patel</v>
      </c>
      <c r="M238" s="49" t="str">
        <f ca="1">IFERROR(__xludf.DUMMYFUNCTION("QUERY('Volunteer Survey'!E245)"),"mayher@broadinstitute.org")</f>
        <v>mayher@broadinstitute.org</v>
      </c>
      <c r="N238" s="49" t="str">
        <f ca="1">IFERROR(__xludf.DUMMYFUNCTION("QUERY('Volunteer Survey'!F245)"),"Biocurator")</f>
        <v>Biocurator</v>
      </c>
      <c r="O238" s="42" t="str">
        <f ca="1">IFERROR(__xludf.DUMMYFUNCTION("QUERY('Volunteer Survey'!H245)"),"Comprehensive")</f>
        <v>Comprehensive</v>
      </c>
      <c r="P238" s="49" t="str">
        <f ca="1">IFERROR(__xludf.DUMMYFUNCTION("QUERY('Volunteer Survey'!I245)"),"Gene-Disease Validity")</f>
        <v>Gene-Disease Validity</v>
      </c>
      <c r="Q238" s="54" t="str">
        <f ca="1">IFERROR(__xludf.DUMMYFUNCTION("QUERY('Volunteer Survey'!J245)"),"")</f>
        <v/>
      </c>
      <c r="R238" s="49" t="str">
        <f ca="1">IFERROR(__xludf.DUMMYFUNCTION("QUERY('Volunteer Survey'!K245)"),"")</f>
        <v/>
      </c>
      <c r="S238" s="49" t="str">
        <f ca="1">IFERROR(__xludf.DUMMYFUNCTION("QUERY('Volunteer Survey'!L245)"),"")</f>
        <v/>
      </c>
      <c r="T238" s="49" t="str">
        <f ca="1">IFERROR(__xludf.DUMMYFUNCTION("QUERY('Volunteer Survey'!M245)"),"")</f>
        <v/>
      </c>
      <c r="U238" s="58" t="str">
        <f ca="1">IFERROR(__xludf.DUMMYFUNCTION("QUERY('Volunteer Survey'!N245)"),"")</f>
        <v/>
      </c>
      <c r="V238" s="49" t="str">
        <f ca="1">IFERROR(__xludf.DUMMYFUNCTION("QUERY('Volunteer Survey'!O245)"),"")</f>
        <v/>
      </c>
      <c r="W238" s="60" t="str">
        <f ca="1">IFERROR(__xludf.DUMMYFUNCTION("QUERY('Volunteer Survey'!P245)"),"")</f>
        <v/>
      </c>
      <c r="X238" s="58" t="str">
        <f ca="1">IFERROR(__xludf.DUMMYFUNCTION("QUERY('Volunteer Survey'!R245)"),"")</f>
        <v/>
      </c>
      <c r="Y238" s="47"/>
      <c r="Z238" s="174">
        <f ca="1">IFERROR(__xludf.DUMMYFUNCTION("QUERY('Volunteer Survey'!A237)"),43643.4948958217)</f>
        <v>43643.494895821699</v>
      </c>
      <c r="AA238" s="175" t="str">
        <f ca="1">IFERROR(__xludf.DUMMYFUNCTION("QUERY('Volunteer Survey'!B237)"),"Marc Lataillade")</f>
        <v>Marc Lataillade</v>
      </c>
      <c r="AB238" s="175" t="str">
        <f ca="1">IFERROR(__xludf.DUMMYFUNCTION("QUERY('Volunteer Survey'!C237)"),"Rutgers University")</f>
        <v>Rutgers University</v>
      </c>
      <c r="AC238" s="175" t="str">
        <f ca="1">IFERROR(__xludf.DUMMYFUNCTION("QUERY('Volunteer Survey'!D237)"),"23 William Street")</f>
        <v>23 William Street</v>
      </c>
      <c r="AD238" s="175" t="str">
        <f ca="1">IFERROR(__xludf.DUMMYFUNCTION("QUERY('Volunteer Survey'!E237)"),"marclataillade258@gmail.com")</f>
        <v>marclataillade258@gmail.com</v>
      </c>
      <c r="AE238" s="175" t="str">
        <f ca="1">IFERROR(__xludf.DUMMYFUNCTION("QUERY('Volunteer Survey'!F237)"),"Undergraduate Student")</f>
        <v>Undergraduate Student</v>
      </c>
      <c r="AF238" s="175" t="str">
        <f ca="1">IFERROR(__xludf.DUMMYFUNCTION("QUERY('Volunteer Survey'!G237)"),"The clinicalgenome.org website")</f>
        <v>The clinicalgenome.org website</v>
      </c>
      <c r="AG238" s="175" t="str">
        <f ca="1">IFERROR(__xludf.DUMMYFUNCTION("QUERY('Volunteer Survey'!H237)"),"Comprehensive")</f>
        <v>Comprehensive</v>
      </c>
      <c r="AH238" s="175" t="str">
        <f ca="1">IFERROR(__xludf.DUMMYFUNCTION("QUERY('Volunteer Survey'!I237)"),"Gene-Disease Validity")</f>
        <v>Gene-Disease Validity</v>
      </c>
      <c r="AI238" s="175" t="str">
        <f ca="1">IFERROR(__xludf.DUMMYFUNCTION("QUERY('Volunteer Survey'!J237)"),"Variant Pathogenicity")</f>
        <v>Variant Pathogenicity</v>
      </c>
      <c r="AJ238" s="175" t="str">
        <f ca="1">IFERROR(__xludf.DUMMYFUNCTION("QUERY('Volunteer Survey'!K237)"),"Clinical Actionability")</f>
        <v>Clinical Actionability</v>
      </c>
      <c r="AK238" s="175" t="str">
        <f ca="1">IFERROR(__xludf.DUMMYFUNCTION("QUERY('Volunteer Survey'!L237)"),"Dosage Sensitivity")</f>
        <v>Dosage Sensitivity</v>
      </c>
      <c r="AL238" s="175" t="str">
        <f ca="1">IFERROR(__xludf.DUMMYFUNCTION("QUERY('Volunteer Survey'!M237)"),"Somatic Cancer")</f>
        <v>Somatic Cancer</v>
      </c>
      <c r="AM238" s="175" t="str">
        <f ca="1">IFERROR(__xludf.DUMMYFUNCTION("QUERY('Volunteer Survey'!N237)"),"I isolated genes with PCR and screened exons for a local variant of ebidermolysis bullosa.")</f>
        <v>I isolated genes with PCR and screened exons for a local variant of ebidermolysis bullosa.</v>
      </c>
      <c r="AN238" s="175" t="str">
        <f ca="1">IFERROR(__xludf.DUMMYFUNCTION("QUERY('Volunteer Survey'!O237)"),"Possibly")</f>
        <v>Possibly</v>
      </c>
      <c r="AO238" s="175" t="str">
        <f ca="1">IFERROR(__xludf.DUMMYFUNCTION("QUERY('Volunteer Survey'!P237)"),"Of the panels listed I am interested in the aminoacidopathy and VHL group.")</f>
        <v>Of the panels listed I am interested in the aminoacidopathy and VHL group.</v>
      </c>
    </row>
    <row r="239" spans="1:41" ht="14">
      <c r="A239" s="44">
        <f ca="1">IFERROR(__xludf.DUMMYFUNCTION("QUERY('Volunteer Survey'!A246)"),43662.4893749305)</f>
        <v>43662.489374930497</v>
      </c>
      <c r="B239" s="42" t="s">
        <v>168</v>
      </c>
      <c r="C239" s="47"/>
      <c r="D239" s="49"/>
      <c r="E239" s="49"/>
      <c r="F239" s="42" t="s">
        <v>130</v>
      </c>
      <c r="G239" s="42" t="s">
        <v>251</v>
      </c>
      <c r="H239" s="47"/>
      <c r="I239" s="45" t="s">
        <v>139</v>
      </c>
      <c r="J239" s="49"/>
      <c r="K239" s="49"/>
      <c r="L239" s="49" t="str">
        <f ca="1">IFERROR(__xludf.DUMMYFUNCTION("QUERY('Volunteer Survey'!B246)"),"Bryan Gall")</f>
        <v>Bryan Gall</v>
      </c>
      <c r="M239" s="49" t="str">
        <f ca="1">IFERROR(__xludf.DUMMYFUNCTION("QUERY('Volunteer Survey'!E246)"),"bgall005@gmail.com")</f>
        <v>bgall005@gmail.com</v>
      </c>
      <c r="N239" s="49" t="str">
        <f ca="1">IFERROR(__xludf.DUMMYFUNCTION("QUERY('Volunteer Survey'!F246)"),"Variant Analyst/Scientist - Industry")</f>
        <v>Variant Analyst/Scientist - Industry</v>
      </c>
      <c r="O239" s="42" t="str">
        <f ca="1">IFERROR(__xludf.DUMMYFUNCTION("QUERY('Volunteer Survey'!H246)"),"Comprehensive")</f>
        <v>Comprehensive</v>
      </c>
      <c r="P239" s="49" t="str">
        <f ca="1">IFERROR(__xludf.DUMMYFUNCTION("QUERY('Volunteer Survey'!I246)"),"Variant Pathogenicity")</f>
        <v>Variant Pathogenicity</v>
      </c>
      <c r="Q239" s="54" t="str">
        <f ca="1">IFERROR(__xludf.DUMMYFUNCTION("QUERY('Volunteer Survey'!J246)"),"Clinical Actionability")</f>
        <v>Clinical Actionability</v>
      </c>
      <c r="R239" s="49" t="str">
        <f ca="1">IFERROR(__xludf.DUMMYFUNCTION("QUERY('Volunteer Survey'!K246)"),"Gene-Disease Validity")</f>
        <v>Gene-Disease Validity</v>
      </c>
      <c r="S239" s="49" t="str">
        <f ca="1">IFERROR(__xludf.DUMMYFUNCTION("QUERY('Volunteer Survey'!L246)"),"Somatic Cancer")</f>
        <v>Somatic Cancer</v>
      </c>
      <c r="T239" s="49" t="str">
        <f ca="1">IFERROR(__xludf.DUMMYFUNCTION("QUERY('Volunteer Survey'!M246)"),"Dosage Sensitivity")</f>
        <v>Dosage Sensitivity</v>
      </c>
      <c r="U239" s="58" t="str">
        <f ca="1">IFERROR(__xludf.DUMMYFUNCTION("QUERY('Volunteer Survey'!N246)"),"Manual variant interpretation using ClinGen resources")</f>
        <v>Manual variant interpretation using ClinGen resources</v>
      </c>
      <c r="V239" s="49" t="str">
        <f ca="1">IFERROR(__xludf.DUMMYFUNCTION("QUERY('Volunteer Survey'!O246)"),"No")</f>
        <v>No</v>
      </c>
      <c r="W239" s="60" t="str">
        <f ca="1">IFERROR(__xludf.DUMMYFUNCTION("QUERY('Volunteer Survey'!P246)"),"Colorectal Cancer, Familial Hypercholesterolemia, and Myeloid Malignancy")</f>
        <v>Colorectal Cancer, Familial Hypercholesterolemia, and Myeloid Malignancy</v>
      </c>
      <c r="X239" s="58" t="str">
        <f ca="1">IFERROR(__xludf.DUMMYFUNCTION("QUERY('Volunteer Survey'!R246)"),"Yes- I am willing to volunteer with any available ClinGen group")</f>
        <v>Yes- I am willing to volunteer with any available ClinGen group</v>
      </c>
      <c r="Y239" s="47"/>
      <c r="Z239" s="174">
        <f ca="1">IFERROR(__xludf.DUMMYFUNCTION("QUERY('Volunteer Survey'!A238)"),43648.4998000694)</f>
        <v>43648.499800069403</v>
      </c>
      <c r="AA239" s="175" t="str">
        <f ca="1">IFERROR(__xludf.DUMMYFUNCTION("QUERY('Volunteer Survey'!B238)"),"Sarah Payne ")</f>
        <v xml:space="preserve">Sarah Payne </v>
      </c>
      <c r="AB239" s="175" t="str">
        <f ca="1">IFERROR(__xludf.DUMMYFUNCTION("QUERY('Volunteer Survey'!C238)"),"N/A")</f>
        <v>N/A</v>
      </c>
      <c r="AC239" s="175" t="str">
        <f ca="1">IFERROR(__xludf.DUMMYFUNCTION("QUERY('Volunteer Survey'!D238)"),"12228 SW 7th Circle ")</f>
        <v xml:space="preserve">12228 SW 7th Circle </v>
      </c>
      <c r="AD239" s="175" t="str">
        <f ca="1">IFERROR(__xludf.DUMMYFUNCTION("QUERY('Volunteer Survey'!E238)"),"sarahhale79@gmail.com")</f>
        <v>sarahhale79@gmail.com</v>
      </c>
      <c r="AE239" s="175" t="str">
        <f ca="1">IFERROR(__xludf.DUMMYFUNCTION("QUERY('Volunteer Survey'!F238)"),"Female family with unknown genetic disorder ")</f>
        <v xml:space="preserve">Female family with unknown genetic disorder </v>
      </c>
      <c r="AF239" s="175" t="str">
        <f ca="1">IFERROR(__xludf.DUMMYFUNCTION("QUERY('Volunteer Survey'!G238)"),"Facebook")</f>
        <v>Facebook</v>
      </c>
      <c r="AG239" s="175" t="str">
        <f ca="1">IFERROR(__xludf.DUMMYFUNCTION("QUERY('Volunteer Survey'!H238)"),"Baseline")</f>
        <v>Baseline</v>
      </c>
      <c r="AH239" s="175" t="str">
        <f ca="1">IFERROR(__xludf.DUMMYFUNCTION("QUERY('Volunteer Survey'!I238)"),"Gene-Disease Validity")</f>
        <v>Gene-Disease Validity</v>
      </c>
      <c r="AI239" s="175" t="str">
        <f ca="1">IFERROR(__xludf.DUMMYFUNCTION("QUERY('Volunteer Survey'!J238)"),"Variant Pathogenicity")</f>
        <v>Variant Pathogenicity</v>
      </c>
      <c r="AJ239" s="175" t="str">
        <f ca="1">IFERROR(__xludf.DUMMYFUNCTION("QUERY('Volunteer Survey'!K238)"),"Clinical Actionability")</f>
        <v>Clinical Actionability</v>
      </c>
      <c r="AK239" s="175" t="str">
        <f ca="1">IFERROR(__xludf.DUMMYFUNCTION("QUERY('Volunteer Survey'!L238)"),"Dosage Sensitivity")</f>
        <v>Dosage Sensitivity</v>
      </c>
      <c r="AL239" s="175" t="str">
        <f ca="1">IFERROR(__xludf.DUMMYFUNCTION("QUERY('Volunteer Survey'!M238)"),"Somatic Cancer")</f>
        <v>Somatic Cancer</v>
      </c>
      <c r="AM239" s="175" t="str">
        <f ca="1">IFERROR(__xludf.DUMMYFUNCTION("QUERY('Volunteer Survey'!N238)"),"I've been in medical trials ")</f>
        <v xml:space="preserve">I've been in medical trials </v>
      </c>
      <c r="AN239" s="175" t="str">
        <f ca="1">IFERROR(__xludf.DUMMYFUNCTION("QUERY('Volunteer Survey'!O238)"),"Yes")</f>
        <v>Yes</v>
      </c>
      <c r="AO239" s="175" t="str">
        <f ca="1">IFERROR(__xludf.DUMMYFUNCTION("QUERY('Volunteer Survey'!P238)"),"Yes")</f>
        <v>Yes</v>
      </c>
    </row>
    <row r="240" spans="1:41" ht="14">
      <c r="A240" s="44">
        <f ca="1">IFERROR(__xludf.DUMMYFUNCTION("QUERY('Volunteer Survey'!A247)"),43663.5681919791)</f>
        <v>43663.568191979102</v>
      </c>
      <c r="B240" s="42" t="s">
        <v>108</v>
      </c>
      <c r="C240" s="47"/>
      <c r="D240" s="59">
        <v>43692</v>
      </c>
      <c r="E240" s="42" t="s">
        <v>117</v>
      </c>
      <c r="F240" s="42" t="s">
        <v>117</v>
      </c>
      <c r="G240" s="42" t="s">
        <v>122</v>
      </c>
      <c r="H240" s="47"/>
      <c r="I240" s="45" t="s">
        <v>139</v>
      </c>
      <c r="J240" s="49"/>
      <c r="K240" s="49"/>
      <c r="L240" s="49" t="str">
        <f ca="1">IFERROR(__xludf.DUMMYFUNCTION("QUERY('Volunteer Survey'!B247)"),"Hwaida Hannoush")</f>
        <v>Hwaida Hannoush</v>
      </c>
      <c r="M240" s="49" t="str">
        <f ca="1">IFERROR(__xludf.DUMMYFUNCTION("QUERY('Volunteer Survey'!E247)"),"hhannoush@acmg.net")</f>
        <v>hhannoush@acmg.net</v>
      </c>
      <c r="N240" s="49" t="str">
        <f ca="1">IFERROR(__xludf.DUMMYFUNCTION("QUERY('Volunteer Survey'!F247)"),"Post Doc/Resident/Fellow (MD and/or PhD)")</f>
        <v>Post Doc/Resident/Fellow (MD and/or PhD)</v>
      </c>
      <c r="O240" s="42" t="str">
        <f ca="1">IFERROR(__xludf.DUMMYFUNCTION("QUERY('Volunteer Survey'!H247)"),"Comprehensive")</f>
        <v>Comprehensive</v>
      </c>
      <c r="P240" s="49" t="str">
        <f ca="1">IFERROR(__xludf.DUMMYFUNCTION("QUERY('Volunteer Survey'!I247)"),"Gene-Disease Validity")</f>
        <v>Gene-Disease Validity</v>
      </c>
      <c r="Q240" s="54" t="str">
        <f ca="1">IFERROR(__xludf.DUMMYFUNCTION("QUERY('Volunteer Survey'!J247)"),"Variant Pathogenicity")</f>
        <v>Variant Pathogenicity</v>
      </c>
      <c r="R240" s="49" t="str">
        <f ca="1">IFERROR(__xludf.DUMMYFUNCTION("QUERY('Volunteer Survey'!K247)"),"")</f>
        <v/>
      </c>
      <c r="S240" s="49" t="str">
        <f ca="1">IFERROR(__xludf.DUMMYFUNCTION("QUERY('Volunteer Survey'!L247)"),"")</f>
        <v/>
      </c>
      <c r="T240" s="49" t="str">
        <f ca="1">IFERROR(__xludf.DUMMYFUNCTION("QUERY('Volunteer Survey'!M247)"),"")</f>
        <v/>
      </c>
      <c r="U240" s="58" t="str">
        <f ca="1">IFERROR(__xludf.DUMMYFUNCTION("QUERY('Volunteer Survey'!N247)"),"None")</f>
        <v>None</v>
      </c>
      <c r="V240" s="49" t="str">
        <f ca="1">IFERROR(__xludf.DUMMYFUNCTION("QUERY('Volunteer Survey'!O247)"),"No")</f>
        <v>No</v>
      </c>
      <c r="W240" s="60" t="str">
        <f ca="1">IFERROR(__xludf.DUMMYFUNCTION("QUERY('Volunteer Survey'!P247)"),"Cardiomyopathy, Familial Hypercholesterolemia")</f>
        <v>Cardiomyopathy, Familial Hypercholesterolemia</v>
      </c>
      <c r="X240" s="58" t="str">
        <f ca="1">IFERROR(__xludf.DUMMYFUNCTION("QUERY('Volunteer Survey'!R247)"),"Maybe -- please contact me with other options, and I will decide based on what is available")</f>
        <v>Maybe -- please contact me with other options, and I will decide based on what is available</v>
      </c>
      <c r="Y240" s="47"/>
      <c r="Z240" s="174">
        <f ca="1">IFERROR(__xludf.DUMMYFUNCTION("QUERY('Volunteer Survey'!A239)"),43648.6446030902)</f>
        <v>43648.644603090201</v>
      </c>
      <c r="AA240" s="175" t="str">
        <f ca="1">IFERROR(__xludf.DUMMYFUNCTION("QUERY('Volunteer Survey'!B239)"),"Lori Millner")</f>
        <v>Lori Millner</v>
      </c>
      <c r="AB240" s="175" t="str">
        <f ca="1">IFERROR(__xludf.DUMMYFUNCTION("QUERY('Volunteer Survey'!C239)"),"Bluewater Diagnostic Lab")</f>
        <v>Bluewater Diagnostic Lab</v>
      </c>
      <c r="AC240" s="175" t="str">
        <f ca="1">IFERROR(__xludf.DUMMYFUNCTION("QUERY('Volunteer Survey'!D239)"),"3410 Hardwood Forest Dr.")</f>
        <v>3410 Hardwood Forest Dr.</v>
      </c>
      <c r="AD240" s="175" t="str">
        <f ca="1">IFERROR(__xludf.DUMMYFUNCTION("QUERY('Volunteer Survey'!E239)"),"lorimillner77@gmail.com")</f>
        <v>lorimillner77@gmail.com</v>
      </c>
      <c r="AE240" s="175" t="str">
        <f ca="1">IFERROR(__xludf.DUMMYFUNCTION("QUERY('Volunteer Survey'!F239)"),"Clinical Lab Director")</f>
        <v>Clinical Lab Director</v>
      </c>
      <c r="AF240" s="175" t="str">
        <f ca="1">IFERROR(__xludf.DUMMYFUNCTION("QUERY('Volunteer Survey'!G239)"),"Networking")</f>
        <v>Networking</v>
      </c>
      <c r="AG240" s="175" t="str">
        <f ca="1">IFERROR(__xludf.DUMMYFUNCTION("QUERY('Volunteer Survey'!H239)"),"Comprehensive")</f>
        <v>Comprehensive</v>
      </c>
      <c r="AH240" s="175" t="str">
        <f ca="1">IFERROR(__xludf.DUMMYFUNCTION("QUERY('Volunteer Survey'!I239)"),"Somatic Cancer")</f>
        <v>Somatic Cancer</v>
      </c>
      <c r="AI240" s="175" t="str">
        <f ca="1">IFERROR(__xludf.DUMMYFUNCTION("QUERY('Volunteer Survey'!J239)"),"Clinical Actionability")</f>
        <v>Clinical Actionability</v>
      </c>
      <c r="AJ240" s="175" t="str">
        <f ca="1">IFERROR(__xludf.DUMMYFUNCTION("QUERY('Volunteer Survey'!K239)"),"")</f>
        <v/>
      </c>
      <c r="AK240" s="175" t="str">
        <f ca="1">IFERROR(__xludf.DUMMYFUNCTION("QUERY('Volunteer Survey'!L239)"),"")</f>
        <v/>
      </c>
      <c r="AL240" s="175" t="str">
        <f ca="1">IFERROR(__xludf.DUMMYFUNCTION("QUERY('Volunteer Survey'!M239)"),"")</f>
        <v/>
      </c>
      <c r="AM240" s="175" t="str">
        <f ca="1">IFERROR(__xludf.DUMMYFUNCTION("QUERY('Volunteer Survey'!N239)"),"Yes, I performed NGS somatic mutation panels on single cells.")</f>
        <v>Yes, I performed NGS somatic mutation panels on single cells.</v>
      </c>
      <c r="AN240" s="175" t="str">
        <f ca="1">IFERROR(__xludf.DUMMYFUNCTION("QUERY('Volunteer Survey'!O239)"),"Possibly")</f>
        <v>Possibly</v>
      </c>
      <c r="AO240" s="175" t="str">
        <f ca="1">IFERROR(__xludf.DUMMYFUNCTION("QUERY('Volunteer Survey'!P239)"),"")</f>
        <v/>
      </c>
    </row>
    <row r="241" spans="1:41" ht="14">
      <c r="A241" s="44">
        <f ca="1">IFERROR(__xludf.DUMMYFUNCTION("QUERY('Volunteer Survey'!A248)"),43663.9861156597)</f>
        <v>43663.986115659704</v>
      </c>
      <c r="B241" s="42" t="s">
        <v>108</v>
      </c>
      <c r="C241" s="73">
        <v>43689</v>
      </c>
      <c r="D241" s="49"/>
      <c r="E241" s="49"/>
      <c r="F241" s="42" t="s">
        <v>130</v>
      </c>
      <c r="G241" s="42" t="s">
        <v>19</v>
      </c>
      <c r="H241" s="63"/>
      <c r="I241" s="45" t="s">
        <v>139</v>
      </c>
      <c r="J241" s="49"/>
      <c r="K241" s="49"/>
      <c r="L241" s="49" t="str">
        <f ca="1">IFERROR(__xludf.DUMMYFUNCTION("QUERY('Volunteer Survey'!B248)"),"Rawan Awwad")</f>
        <v>Rawan Awwad</v>
      </c>
      <c r="M241" s="49" t="str">
        <f ca="1">IFERROR(__xludf.DUMMYFUNCTION("QUERY('Volunteer Survey'!E248)"),"rawan.awwad@gmail.com")</f>
        <v>rawan.awwad@gmail.com</v>
      </c>
      <c r="N241" s="49" t="str">
        <f ca="1">IFERROR(__xludf.DUMMYFUNCTION("QUERY('Volunteer Survey'!F248)"),"Genetic counselor")</f>
        <v>Genetic counselor</v>
      </c>
      <c r="O241" s="42" t="str">
        <f ca="1">IFERROR(__xludf.DUMMYFUNCTION("QUERY('Volunteer Survey'!H248)"),"Comprehensive")</f>
        <v>Comprehensive</v>
      </c>
      <c r="P241" s="49" t="str">
        <f ca="1">IFERROR(__xludf.DUMMYFUNCTION("QUERY('Volunteer Survey'!I248)"),"Clinical Actionability")</f>
        <v>Clinical Actionability</v>
      </c>
      <c r="Q241" s="54" t="str">
        <f ca="1">IFERROR(__xludf.DUMMYFUNCTION("QUERY('Volunteer Survey'!J248)"),"Gene-Disease Validity")</f>
        <v>Gene-Disease Validity</v>
      </c>
      <c r="R241" s="49" t="str">
        <f ca="1">IFERROR(__xludf.DUMMYFUNCTION("QUERY('Volunteer Survey'!K248)"),"Variant Pathogenicity")</f>
        <v>Variant Pathogenicity</v>
      </c>
      <c r="S241" s="49" t="str">
        <f ca="1">IFERROR(__xludf.DUMMYFUNCTION("QUERY('Volunteer Survey'!L248)"),"")</f>
        <v/>
      </c>
      <c r="T241" s="49" t="str">
        <f ca="1">IFERROR(__xludf.DUMMYFUNCTION("QUERY('Volunteer Survey'!M248)"),"")</f>
        <v/>
      </c>
      <c r="U241" s="58" t="str">
        <f ca="1">IFERROR(__xludf.DUMMYFUNCTION("QUERY('Volunteer Survey'!N248)"),"No but I know I can pick it up ")</f>
        <v xml:space="preserve">No but I know I can pick it up </v>
      </c>
      <c r="V241" s="49" t="str">
        <f ca="1">IFERROR(__xludf.DUMMYFUNCTION("QUERY('Volunteer Survey'!O248)"),"No")</f>
        <v>No</v>
      </c>
      <c r="W241" s="60" t="str">
        <f ca="1">IFERROR(__xludf.DUMMYFUNCTION("QUERY('Volunteer Survey'!P248)"),"Clinical actionability for Peds ")</f>
        <v xml:space="preserve">Clinical actionability for Peds </v>
      </c>
      <c r="X241" s="58" t="str">
        <f ca="1">IFERROR(__xludf.DUMMYFUNCTION("QUERY('Volunteer Survey'!R248)"),"Maybe -- please contact me with other options, and I will decide based on what is available")</f>
        <v>Maybe -- please contact me with other options, and I will decide based on what is available</v>
      </c>
      <c r="Y241" s="47"/>
      <c r="Z241" s="174">
        <f ca="1">IFERROR(__xludf.DUMMYFUNCTION("QUERY('Volunteer Survey'!A240)"),43651.2924809027)</f>
        <v>43651.292480902703</v>
      </c>
      <c r="AA241" s="175" t="str">
        <f ca="1">IFERROR(__xludf.DUMMYFUNCTION("QUERY('Volunteer Survey'!B240)"),"Agnes Sebastian")</f>
        <v>Agnes Sebastian</v>
      </c>
      <c r="AB241" s="175" t="str">
        <f ca="1">IFERROR(__xludf.DUMMYFUNCTION("QUERY('Volunteer Survey'!C240)"),"University of Toronto")</f>
        <v>University of Toronto</v>
      </c>
      <c r="AC241" s="175" t="str">
        <f ca="1">IFERROR(__xludf.DUMMYFUNCTION("QUERY('Volunteer Survey'!D240)"),"")</f>
        <v/>
      </c>
      <c r="AD241" s="175" t="str">
        <f ca="1">IFERROR(__xludf.DUMMYFUNCTION("QUERY('Volunteer Survey'!E240)"),"agnes.sebastian@mail.utoronto.ca")</f>
        <v>agnes.sebastian@mail.utoronto.ca</v>
      </c>
      <c r="AE241" s="175" t="str">
        <f ca="1">IFERROR(__xludf.DUMMYFUNCTION("QUERY('Volunteer Survey'!F240)"),"Graduate Student")</f>
        <v>Graduate Student</v>
      </c>
      <c r="AF241" s="175" t="str">
        <f ca="1">IFERROR(__xludf.DUMMYFUNCTION("QUERY('Volunteer Survey'!G240)"),"Someone's profile on LinkedIn")</f>
        <v>Someone's profile on LinkedIn</v>
      </c>
      <c r="AG241" s="175" t="str">
        <f ca="1">IFERROR(__xludf.DUMMYFUNCTION("QUERY('Volunteer Survey'!H240)"),"Comprehensive")</f>
        <v>Comprehensive</v>
      </c>
      <c r="AH241" s="175" t="str">
        <f ca="1">IFERROR(__xludf.DUMMYFUNCTION("QUERY('Volunteer Survey'!I240)"),"Clinical Actionability")</f>
        <v>Clinical Actionability</v>
      </c>
      <c r="AI241" s="175" t="str">
        <f ca="1">IFERROR(__xludf.DUMMYFUNCTION("QUERY('Volunteer Survey'!J240)"),"Variant Pathogenicity")</f>
        <v>Variant Pathogenicity</v>
      </c>
      <c r="AJ241" s="175" t="str">
        <f ca="1">IFERROR(__xludf.DUMMYFUNCTION("QUERY('Volunteer Survey'!K240)"),"Gene-Disease Validity")</f>
        <v>Gene-Disease Validity</v>
      </c>
      <c r="AK241" s="175" t="str">
        <f ca="1">IFERROR(__xludf.DUMMYFUNCTION("QUERY('Volunteer Survey'!L240)"),"Dosage Sensitivity")</f>
        <v>Dosage Sensitivity</v>
      </c>
      <c r="AL241" s="175" t="str">
        <f ca="1">IFERROR(__xludf.DUMMYFUNCTION("QUERY('Volunteer Survey'!M240)"),"Somatic Cancer")</f>
        <v>Somatic Cancer</v>
      </c>
      <c r="AM241" s="175" t="str">
        <f ca="1">IFERROR(__xludf.DUMMYFUNCTION("QUERY('Volunteer Survey'!N240)"),"")</f>
        <v/>
      </c>
      <c r="AN241" s="175" t="str">
        <f ca="1">IFERROR(__xludf.DUMMYFUNCTION("QUERY('Volunteer Survey'!O240)"),"Possibly")</f>
        <v>Possibly</v>
      </c>
      <c r="AO241" s="175" t="str">
        <f ca="1">IFERROR(__xludf.DUMMYFUNCTION("QUERY('Volunteer Survey'!P240)"),"No - any group related to cancer or hearing loss is preferable")</f>
        <v>No - any group related to cancer or hearing loss is preferable</v>
      </c>
    </row>
    <row r="242" spans="1:41" ht="14">
      <c r="A242" s="44">
        <f ca="1">IFERROR(__xludf.DUMMYFUNCTION("QUERY('Volunteer Survey'!A249)"),43665.5062351388)</f>
        <v>43665.506235138797</v>
      </c>
      <c r="B242" s="42" t="s">
        <v>168</v>
      </c>
      <c r="C242" s="73"/>
      <c r="D242" s="49"/>
      <c r="E242" s="49"/>
      <c r="F242" s="42" t="s">
        <v>130</v>
      </c>
      <c r="G242" s="42" t="s">
        <v>251</v>
      </c>
      <c r="H242" s="47"/>
      <c r="I242" s="45" t="s">
        <v>139</v>
      </c>
      <c r="J242" s="49"/>
      <c r="K242" s="49"/>
      <c r="L242" s="49" t="str">
        <f ca="1">IFERROR(__xludf.DUMMYFUNCTION("QUERY('Volunteer Survey'!B249)"),"Yanhui Li")</f>
        <v>Yanhui Li</v>
      </c>
      <c r="M242" s="49" t="str">
        <f ca="1">IFERROR(__xludf.DUMMYFUNCTION("QUERY('Volunteer Survey'!E249)"),"yxl280@gmail.com")</f>
        <v>yxl280@gmail.com</v>
      </c>
      <c r="N242" s="49" t="str">
        <f ca="1">IFERROR(__xludf.DUMMYFUNCTION("QUERY('Volunteer Survey'!F249)"),"Post Doc/Resident/Fellow (MD and/or PhD)")</f>
        <v>Post Doc/Resident/Fellow (MD and/or PhD)</v>
      </c>
      <c r="O242" s="42" t="str">
        <f ca="1">IFERROR(__xludf.DUMMYFUNCTION("QUERY('Volunteer Survey'!H249)"),"Comprehensive")</f>
        <v>Comprehensive</v>
      </c>
      <c r="P242" s="49" t="str">
        <f ca="1">IFERROR(__xludf.DUMMYFUNCTION("QUERY('Volunteer Survey'!I249)"),"Variant Pathogenicity")</f>
        <v>Variant Pathogenicity</v>
      </c>
      <c r="Q242" s="54" t="str">
        <f ca="1">IFERROR(__xludf.DUMMYFUNCTION("QUERY('Volunteer Survey'!J249)"),"Gene-Disease Validity")</f>
        <v>Gene-Disease Validity</v>
      </c>
      <c r="R242" s="49" t="str">
        <f ca="1">IFERROR(__xludf.DUMMYFUNCTION("QUERY('Volunteer Survey'!K249)"),"Somatic Cancer")</f>
        <v>Somatic Cancer</v>
      </c>
      <c r="S242" s="49" t="str">
        <f ca="1">IFERROR(__xludf.DUMMYFUNCTION("QUERY('Volunteer Survey'!L249)"),"Clinical Actionability")</f>
        <v>Clinical Actionability</v>
      </c>
      <c r="T242" s="49" t="str">
        <f ca="1">IFERROR(__xludf.DUMMYFUNCTION("QUERY('Volunteer Survey'!M249)"),"Dosage Sensitivity")</f>
        <v>Dosage Sensitivity</v>
      </c>
      <c r="U242" s="58" t="str">
        <f ca="1">IFERROR(__xludf.DUMMYFUNCTION("QUERY('Volunteer Survey'!N249)"),"")</f>
        <v/>
      </c>
      <c r="V242" s="49" t="str">
        <f ca="1">IFERROR(__xludf.DUMMYFUNCTION("QUERY('Volunteer Survey'!O249)"),"Possibly")</f>
        <v>Possibly</v>
      </c>
      <c r="W242" s="60" t="str">
        <f ca="1">IFERROR(__xludf.DUMMYFUNCTION("QUERY('Volunteer Survey'!P249)"),"Yes")</f>
        <v>Yes</v>
      </c>
      <c r="X242" s="58" t="str">
        <f ca="1">IFERROR(__xludf.DUMMYFUNCTION("QUERY('Volunteer Survey'!R249)"),"Yes- I am willing to volunteer with any available ClinGen group")</f>
        <v>Yes- I am willing to volunteer with any available ClinGen group</v>
      </c>
      <c r="Y242" s="47"/>
      <c r="Z242" s="174">
        <f ca="1">IFERROR(__xludf.DUMMYFUNCTION("QUERY('Volunteer Survey'!A241)"),43651.6183744791)</f>
        <v>43651.618374479098</v>
      </c>
      <c r="AA242" s="175" t="str">
        <f ca="1">IFERROR(__xludf.DUMMYFUNCTION("QUERY('Volunteer Survey'!B241)"),"Xiangqiang Shao")</f>
        <v>Xiangqiang Shao</v>
      </c>
      <c r="AB242" s="175" t="str">
        <f ca="1">IFERROR(__xludf.DUMMYFUNCTION("QUERY('Volunteer Survey'!C241)"),"University of Wisconsin-Madison")</f>
        <v>University of Wisconsin-Madison</v>
      </c>
      <c r="AC242" s="175" t="str">
        <f ca="1">IFERROR(__xludf.DUMMYFUNCTION("QUERY('Volunteer Survey'!D241)"),"465 Henry Mall, Room 345, Madison, WI, 53706")</f>
        <v>465 Henry Mall, Room 345, Madison, WI, 53706</v>
      </c>
      <c r="AD242" s="175" t="str">
        <f ca="1">IFERROR(__xludf.DUMMYFUNCTION("QUERY('Volunteer Survey'!E241)"),"xshao5@wisc.edu")</f>
        <v>xshao5@wisc.edu</v>
      </c>
      <c r="AE242" s="175" t="str">
        <f ca="1">IFERROR(__xludf.DUMMYFUNCTION("QUERY('Volunteer Survey'!F241)"),"Scientific Researcher")</f>
        <v>Scientific Researcher</v>
      </c>
      <c r="AF242" s="175" t="str">
        <f ca="1">IFERROR(__xludf.DUMMYFUNCTION("QUERY('Volunteer Survey'!G241)"),"Networking, Colleagues")</f>
        <v>Networking, Colleagues</v>
      </c>
      <c r="AG242" s="175" t="str">
        <f ca="1">IFERROR(__xludf.DUMMYFUNCTION("QUERY('Volunteer Survey'!H241)"),"Comprehensive")</f>
        <v>Comprehensive</v>
      </c>
      <c r="AH242" s="175" t="str">
        <f ca="1">IFERROR(__xludf.DUMMYFUNCTION("QUERY('Volunteer Survey'!I241)"),"Variant Pathogenicity")</f>
        <v>Variant Pathogenicity</v>
      </c>
      <c r="AI242" s="175" t="str">
        <f ca="1">IFERROR(__xludf.DUMMYFUNCTION("QUERY('Volunteer Survey'!J241)"),"Dosage Sensitivity")</f>
        <v>Dosage Sensitivity</v>
      </c>
      <c r="AJ242" s="175" t="str">
        <f ca="1">IFERROR(__xludf.DUMMYFUNCTION("QUERY('Volunteer Survey'!K241)"),"Clinical Actionability")</f>
        <v>Clinical Actionability</v>
      </c>
      <c r="AK242" s="175" t="str">
        <f ca="1">IFERROR(__xludf.DUMMYFUNCTION("QUERY('Volunteer Survey'!L241)"),"Gene-Disease Validity")</f>
        <v>Gene-Disease Validity</v>
      </c>
      <c r="AL242" s="175" t="str">
        <f ca="1">IFERROR(__xludf.DUMMYFUNCTION("QUERY('Volunteer Survey'!M241)"),"Somatic Cancer")</f>
        <v>Somatic Cancer</v>
      </c>
      <c r="AM242" s="175" t="str">
        <f ca="1">IFERROR(__xludf.DUMMYFUNCTION("QUERY('Volunteer Survey'!N241)"),"I currently do microarray analysis for clinical samples at Wisconsin State Lab of Hygiene to determine the pathogenicity of the CNVs we detected, and I am working on a project to develop a NGS panel for Familial Hypercholesterolemia.")</f>
        <v>I currently do microarray analysis for clinical samples at Wisconsin State Lab of Hygiene to determine the pathogenicity of the CNVs we detected, and I am working on a project to develop a NGS panel for Familial Hypercholesterolemia.</v>
      </c>
      <c r="AN242" s="175" t="str">
        <f ca="1">IFERROR(__xludf.DUMMYFUNCTION("QUERY('Volunteer Survey'!O241)"),"Possibly")</f>
        <v>Possibly</v>
      </c>
      <c r="AO242" s="175" t="str">
        <f ca="1">IFERROR(__xludf.DUMMYFUNCTION("QUERY('Volunteer Survey'!P241)"),"Epilepsy, and Intellectual Disability and Autism")</f>
        <v>Epilepsy, and Intellectual Disability and Autism</v>
      </c>
    </row>
    <row r="243" spans="1:41" ht="14">
      <c r="A243" s="44">
        <f ca="1">IFERROR(__xludf.DUMMYFUNCTION("QUERY('Volunteer Survey'!A250)"),43668.9450035879)</f>
        <v>43668.945003587898</v>
      </c>
      <c r="B243" s="42" t="s">
        <v>108</v>
      </c>
      <c r="C243" s="73">
        <v>43689</v>
      </c>
      <c r="D243" s="49"/>
      <c r="E243" s="49"/>
      <c r="F243" s="42" t="s">
        <v>130</v>
      </c>
      <c r="G243" s="42" t="s">
        <v>19</v>
      </c>
      <c r="H243" s="63"/>
      <c r="I243" s="45" t="s">
        <v>139</v>
      </c>
      <c r="J243" s="49"/>
      <c r="K243" s="49"/>
      <c r="L243" s="49" t="str">
        <f ca="1">IFERROR(__xludf.DUMMYFUNCTION("QUERY('Volunteer Survey'!B250)"),"Leila Jamal")</f>
        <v>Leila Jamal</v>
      </c>
      <c r="M243" s="49" t="str">
        <f ca="1">IFERROR(__xludf.DUMMYFUNCTION("QUERY('Volunteer Survey'!E250)"),"leila.jamal@nih.gov")</f>
        <v>leila.jamal@nih.gov</v>
      </c>
      <c r="N243" s="49" t="str">
        <f ca="1">IFERROR(__xludf.DUMMYFUNCTION("QUERY('Volunteer Survey'!F250)"),"Genetic counselor")</f>
        <v>Genetic counselor</v>
      </c>
      <c r="O243" s="42" t="str">
        <f ca="1">IFERROR(__xludf.DUMMYFUNCTION("QUERY('Volunteer Survey'!H250)"),"Comprehensive")</f>
        <v>Comprehensive</v>
      </c>
      <c r="P243" s="49" t="str">
        <f ca="1">IFERROR(__xludf.DUMMYFUNCTION("QUERY('Volunteer Survey'!I250)"),"Clinical Actionability")</f>
        <v>Clinical Actionability</v>
      </c>
      <c r="Q243" s="54" t="str">
        <f ca="1">IFERROR(__xludf.DUMMYFUNCTION("QUERY('Volunteer Survey'!J250)"),"Gene-Disease Validity")</f>
        <v>Gene-Disease Validity</v>
      </c>
      <c r="R243" s="49" t="str">
        <f ca="1">IFERROR(__xludf.DUMMYFUNCTION("QUERY('Volunteer Survey'!K250)"),"Variant Pathogenicity")</f>
        <v>Variant Pathogenicity</v>
      </c>
      <c r="S243" s="49" t="str">
        <f ca="1">IFERROR(__xludf.DUMMYFUNCTION("QUERY('Volunteer Survey'!L250)"),"")</f>
        <v/>
      </c>
      <c r="T243" s="49" t="str">
        <f ca="1">IFERROR(__xludf.DUMMYFUNCTION("QUERY('Volunteer Survey'!M250)"),"")</f>
        <v/>
      </c>
      <c r="U243" s="58" t="str">
        <f ca="1">IFERROR(__xludf.DUMMYFUNCTION("QUERY('Volunteer Survey'!N250)"),"I have PhD training in public health and have also written clinical test reports for study participants enrolled in a large sequencing research protocol at NIAID (on which I am a co-investigator).   ")</f>
        <v xml:space="preserve">I have PhD training in public health and have also written clinical test reports for study participants enrolled in a large sequencing research protocol at NIAID (on which I am a co-investigator).   </v>
      </c>
      <c r="V243" s="49" t="str">
        <f ca="1">IFERROR(__xludf.DUMMYFUNCTION("QUERY('Volunteer Survey'!O250)"),"No")</f>
        <v>No</v>
      </c>
      <c r="W243" s="60" t="str">
        <f ca="1">IFERROR(__xludf.DUMMYFUNCTION("QUERY('Volunteer Survey'!P250)"),"I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c r="X243" s="58" t="str">
        <f ca="1">IFERROR(__xludf.DUMMYFUNCTION("QUERY('Volunteer Survey'!R250)"),"Maybe -- please contact me with other options, and I will decide based on what is available")</f>
        <v>Maybe -- please contact me with other options, and I will decide based on what is available</v>
      </c>
      <c r="Y243" s="47"/>
      <c r="Z243" s="174">
        <f ca="1">IFERROR(__xludf.DUMMYFUNCTION("QUERY('Volunteer Survey'!A242)"),43653.1900094791)</f>
        <v>43653.190009479098</v>
      </c>
      <c r="AA243" s="175" t="str">
        <f ca="1">IFERROR(__xludf.DUMMYFUNCTION("QUERY('Volunteer Survey'!B242)"),"Pradeep Varathan")</f>
        <v>Pradeep Varathan</v>
      </c>
      <c r="AB243" s="175" t="str">
        <f ca="1">IFERROR(__xludf.DUMMYFUNCTION("QUERY('Volunteer Survey'!C242)"),"IUPUI-Indianapolis")</f>
        <v>IUPUI-Indianapolis</v>
      </c>
      <c r="AC243" s="175" t="str">
        <f ca="1">IFERROR(__xludf.DUMMYFUNCTION("QUERY('Volunteer Survey'!D242)"),"725W,11th Street Apt 28, Indianapolis, IN 46202")</f>
        <v>725W,11th Street Apt 28, Indianapolis, IN 46202</v>
      </c>
      <c r="AD243" s="175" t="str">
        <f ca="1">IFERROR(__xludf.DUMMYFUNCTION("QUERY('Volunteer Survey'!E242)"),"pradluzog@gmail.com")</f>
        <v>pradluzog@gmail.com</v>
      </c>
      <c r="AE243" s="175" t="str">
        <f ca="1">IFERROR(__xludf.DUMMYFUNCTION("QUERY('Volunteer Survey'!F242)"),"Graduate Student")</f>
        <v>Graduate Student</v>
      </c>
      <c r="AF243" s="175" t="str">
        <f ca="1">IFERROR(__xludf.DUMMYFUNCTION("QUERY('Volunteer Survey'!G242)"),"Youtube, edx courses")</f>
        <v>Youtube, edx courses</v>
      </c>
      <c r="AG243" s="175" t="str">
        <f ca="1">IFERROR(__xludf.DUMMYFUNCTION("QUERY('Volunteer Survey'!H242)"),"Baseline")</f>
        <v>Baseline</v>
      </c>
      <c r="AH243" s="175" t="str">
        <f ca="1">IFERROR(__xludf.DUMMYFUNCTION("QUERY('Volunteer Survey'!I242)"),"")</f>
        <v/>
      </c>
      <c r="AI243" s="175" t="str">
        <f ca="1">IFERROR(__xludf.DUMMYFUNCTION("QUERY('Volunteer Survey'!J242)"),"")</f>
        <v/>
      </c>
      <c r="AJ243" s="175" t="str">
        <f ca="1">IFERROR(__xludf.DUMMYFUNCTION("QUERY('Volunteer Survey'!K242)"),"")</f>
        <v/>
      </c>
      <c r="AK243" s="175" t="str">
        <f ca="1">IFERROR(__xludf.DUMMYFUNCTION("QUERY('Volunteer Survey'!L242)"),"")</f>
        <v/>
      </c>
      <c r="AL243" s="175" t="str">
        <f ca="1">IFERROR(__xludf.DUMMYFUNCTION("QUERY('Volunteer Survey'!M242)"),"")</f>
        <v/>
      </c>
      <c r="AM243" s="175" t="str">
        <f ca="1">IFERROR(__xludf.DUMMYFUNCTION("QUERY('Volunteer Survey'!N242)"),"")</f>
        <v/>
      </c>
      <c r="AN243" s="175" t="str">
        <f ca="1">IFERROR(__xludf.DUMMYFUNCTION("QUERY('Volunteer Survey'!O242)"),"Yes")</f>
        <v>Yes</v>
      </c>
      <c r="AO243" s="175" t="str">
        <f ca="1">IFERROR(__xludf.DUMMYFUNCTION("QUERY('Volunteer Survey'!P242)"),"")</f>
        <v/>
      </c>
    </row>
    <row r="244" spans="1:41" ht="14">
      <c r="A244" s="44">
        <f ca="1">IFERROR(__xludf.DUMMYFUNCTION("QUERY('Volunteer Survey'!A251)"),43671.8877624537)</f>
        <v>43671.887762453698</v>
      </c>
      <c r="B244" s="42" t="s">
        <v>108</v>
      </c>
      <c r="C244" s="73">
        <v>43819</v>
      </c>
      <c r="D244" s="49"/>
      <c r="E244" s="49"/>
      <c r="F244" s="42" t="s">
        <v>130</v>
      </c>
      <c r="G244" s="42" t="s">
        <v>251</v>
      </c>
      <c r="H244" s="47"/>
      <c r="I244" s="45" t="s">
        <v>139</v>
      </c>
      <c r="J244" s="49"/>
      <c r="K244" s="49"/>
      <c r="L244" s="49" t="str">
        <f ca="1">IFERROR(__xludf.DUMMYFUNCTION("QUERY('Volunteer Survey'!B251)"),"Shahad Rahawi")</f>
        <v>Shahad Rahawi</v>
      </c>
      <c r="M244" s="49" t="str">
        <f ca="1">IFERROR(__xludf.DUMMYFUNCTION("QUERY('Volunteer Survey'!E251)"),"shahadrahawi@gmail.com")</f>
        <v>shahadrahawi@gmail.com</v>
      </c>
      <c r="N244" s="49" t="str">
        <f ca="1">IFERROR(__xludf.DUMMYFUNCTION("QUERY('Volunteer Survey'!F251)"),"Genetic counselor")</f>
        <v>Genetic counselor</v>
      </c>
      <c r="O244" s="42" t="str">
        <f ca="1">IFERROR(__xludf.DUMMYFUNCTION("QUERY('Volunteer Survey'!H251)"),"Comprehensive")</f>
        <v>Comprehensive</v>
      </c>
      <c r="P244" s="49" t="str">
        <f ca="1">IFERROR(__xludf.DUMMYFUNCTION("QUERY('Volunteer Survey'!I251)"),"Variant Pathogenicity")</f>
        <v>Variant Pathogenicity</v>
      </c>
      <c r="Q244" s="54" t="str">
        <f ca="1">IFERROR(__xludf.DUMMYFUNCTION("QUERY('Volunteer Survey'!J251)"),"Gene-Disease Validity")</f>
        <v>Gene-Disease Validity</v>
      </c>
      <c r="R244" s="49" t="str">
        <f ca="1">IFERROR(__xludf.DUMMYFUNCTION("QUERY('Volunteer Survey'!K251)"),"Clinical Actionability")</f>
        <v>Clinical Actionability</v>
      </c>
      <c r="S244" s="49" t="str">
        <f ca="1">IFERROR(__xludf.DUMMYFUNCTION("QUERY('Volunteer Survey'!L251)"),"Dosage Sensitivity")</f>
        <v>Dosage Sensitivity</v>
      </c>
      <c r="T244" s="49" t="str">
        <f ca="1">IFERROR(__xludf.DUMMYFUNCTION("QUERY('Volunteer Survey'!M251)"),"Somatic Cancer")</f>
        <v>Somatic Cancer</v>
      </c>
      <c r="U244" s="58" t="str">
        <f ca="1">IFERROR(__xludf.DUMMYFUNCTION("QUERY('Volunteer Survey'!N251)"),"brief variant interpretation activities in ""analyze your genome"" class in grad school")</f>
        <v>brief variant interpretation activities in "analyze your genome" class in grad school</v>
      </c>
      <c r="V244" s="49" t="str">
        <f ca="1">IFERROR(__xludf.DUMMYFUNCTION("QUERY('Volunteer Survey'!O251)"),"Possibly")</f>
        <v>Possibly</v>
      </c>
      <c r="W244" s="60" t="str">
        <f ca="1">IFERROR(__xludf.DUMMYFUNCTION("QUERY('Volunteer Survey'!P251)"),"")</f>
        <v/>
      </c>
      <c r="X244" s="58" t="str">
        <f ca="1">IFERROR(__xludf.DUMMYFUNCTION("QUERY('Volunteer Survey'!R251)"),"Yes- I am willing to volunteer with any available ClinGen group")</f>
        <v>Yes- I am willing to volunteer with any available ClinGen group</v>
      </c>
      <c r="Y244" s="47"/>
      <c r="Z244" s="174">
        <f ca="1">IFERROR(__xludf.DUMMYFUNCTION("QUERY('Volunteer Survey'!A243)"),43654.534963287)</f>
        <v>43654.534963286998</v>
      </c>
      <c r="AA244" s="175" t="str">
        <f ca="1">IFERROR(__xludf.DUMMYFUNCTION("QUERY('Volunteer Survey'!B243)"),"Terri McVeigh")</f>
        <v>Terri McVeigh</v>
      </c>
      <c r="AB244" s="175" t="str">
        <f ca="1">IFERROR(__xludf.DUMMYFUNCTION("QUERY('Volunteer Survey'!C243)"),"Royal Marsden NHS Foundation Trust ")</f>
        <v xml:space="preserve">Royal Marsden NHS Foundation Trust </v>
      </c>
      <c r="AC244" s="175" t="str">
        <f ca="1">IFERROR(__xludf.DUMMYFUNCTION("QUERY('Volunteer Survey'!D243)"),"Cancer Genetics Unit, The Royal Marsden, Fulham Road, London SW3 6JJ")</f>
        <v>Cancer Genetics Unit, The Royal Marsden, Fulham Road, London SW3 6JJ</v>
      </c>
      <c r="AD244" s="175" t="str">
        <f ca="1">IFERROR(__xludf.DUMMYFUNCTION("QUERY('Volunteer Survey'!E243)"),"terri.mcveigh@rmh.nhs.uk")</f>
        <v>terri.mcveigh@rmh.nhs.uk</v>
      </c>
      <c r="AE244" s="175" t="str">
        <f ca="1">IFERROR(__xludf.DUMMYFUNCTION("QUERY('Volunteer Survey'!F243)"),"Clinical Medical Geneticist")</f>
        <v>Clinical Medical Geneticist</v>
      </c>
      <c r="AF244" s="175" t="str">
        <f ca="1">IFERROR(__xludf.DUMMYFUNCTION("QUERY('Volunteer Survey'!G243)"),"ClinGen affiliated emails and/or newsletters")</f>
        <v>ClinGen affiliated emails and/or newsletters</v>
      </c>
      <c r="AG244" s="175" t="str">
        <f ca="1">IFERROR(__xludf.DUMMYFUNCTION("QUERY('Volunteer Survey'!H243)"),"Comprehensive")</f>
        <v>Comprehensive</v>
      </c>
      <c r="AH244" s="175" t="str">
        <f ca="1">IFERROR(__xludf.DUMMYFUNCTION("QUERY('Volunteer Survey'!I243)"),"Clinical Actionability")</f>
        <v>Clinical Actionability</v>
      </c>
      <c r="AI244" s="175" t="str">
        <f ca="1">IFERROR(__xludf.DUMMYFUNCTION("QUERY('Volunteer Survey'!J243)"),"Variant Pathogenicity")</f>
        <v>Variant Pathogenicity</v>
      </c>
      <c r="AJ244" s="175" t="str">
        <f ca="1">IFERROR(__xludf.DUMMYFUNCTION("QUERY('Volunteer Survey'!K243)"),"Gene-Disease Validity")</f>
        <v>Gene-Disease Validity</v>
      </c>
      <c r="AK244" s="175" t="str">
        <f ca="1">IFERROR(__xludf.DUMMYFUNCTION("QUERY('Volunteer Survey'!L243)"),"Somatic Cancer")</f>
        <v>Somatic Cancer</v>
      </c>
      <c r="AL244" s="175" t="str">
        <f ca="1">IFERROR(__xludf.DUMMYFUNCTION("QUERY('Volunteer Survey'!M243)"),"Dosage Sensitivity")</f>
        <v>Dosage Sensitivity</v>
      </c>
      <c r="AM244" s="175" t="str">
        <f ca="1">IFERROR(__xludf.DUMMYFUNCTION("QUERY('Volunteer Survey'!N243)"),"I work as a Medical Geneticist so routinely interrogate variants from the point of view of pathogenicity, actionability and relationship to the patient phenotype. Furthermore, I actively participate in the molecular tumour board,  where we interrogate sim"&amp;"ilar features of somatic variants. ")</f>
        <v xml:space="preserve">I work as a Medical Geneticist so routinely interrogate variants from the point of view of pathogenicity, actionability and relationship to the patient phenotype. Furthermore, I actively participate in the molecular tumour board,  where we interrogate similar features of somatic variants. </v>
      </c>
      <c r="AN244" s="175" t="str">
        <f ca="1">IFERROR(__xludf.DUMMYFUNCTION("QUERY('Volunteer Survey'!O243)"),"Possibly")</f>
        <v>Possibly</v>
      </c>
      <c r="AO244" s="175" t="str">
        <f ca="1">IFERROR(__xludf.DUMMYFUNCTION("QUERY('Volunteer Survey'!P243)"),"")</f>
        <v/>
      </c>
    </row>
    <row r="245" spans="1:41" ht="14">
      <c r="A245" s="44">
        <f ca="1">IFERROR(__xludf.DUMMYFUNCTION("QUERY('Volunteer Survey'!A252)"),43672.2475762268)</f>
        <v>43672.2475762268</v>
      </c>
      <c r="B245" s="42" t="s">
        <v>108</v>
      </c>
      <c r="C245" s="47"/>
      <c r="D245" s="49"/>
      <c r="E245" s="49"/>
      <c r="F245" s="42" t="s">
        <v>130</v>
      </c>
      <c r="G245" s="42" t="s">
        <v>202</v>
      </c>
      <c r="H245" s="47"/>
      <c r="I245" s="45" t="s">
        <v>139</v>
      </c>
      <c r="J245" s="49"/>
      <c r="K245" s="49"/>
      <c r="L245" s="49" t="str">
        <f ca="1">IFERROR(__xludf.DUMMYFUNCTION("QUERY('Volunteer Survey'!B252)"),"John Beilby")</f>
        <v>John Beilby</v>
      </c>
      <c r="M245" s="49" t="str">
        <f ca="1">IFERROR(__xludf.DUMMYFUNCTION("QUERY('Volunteer Survey'!E252)"),"John.Beilby@health.wa.gov.au")</f>
        <v>John.Beilby@health.wa.gov.au</v>
      </c>
      <c r="N245" s="49" t="str">
        <f ca="1">IFERROR(__xludf.DUMMYFUNCTION("QUERY('Volunteer Survey'!F252)"),"Clinical laboratory geneticist")</f>
        <v>Clinical laboratory geneticist</v>
      </c>
      <c r="O245" s="42" t="str">
        <f ca="1">IFERROR(__xludf.DUMMYFUNCTION("QUERY('Volunteer Survey'!H252)"),"Baseline")</f>
        <v>Baseline</v>
      </c>
      <c r="P245" s="49" t="str">
        <f ca="1">IFERROR(__xludf.DUMMYFUNCTION("QUERY('Volunteer Survey'!I252)"),"Variant Pathogenicity")</f>
        <v>Variant Pathogenicity</v>
      </c>
      <c r="Q245" s="54" t="str">
        <f ca="1">IFERROR(__xludf.DUMMYFUNCTION("QUERY('Volunteer Survey'!J252)"),"Clinical Actionability")</f>
        <v>Clinical Actionability</v>
      </c>
      <c r="R245" s="49" t="str">
        <f ca="1">IFERROR(__xludf.DUMMYFUNCTION("QUERY('Volunteer Survey'!K252)"),"Dosage Sensitivity")</f>
        <v>Dosage Sensitivity</v>
      </c>
      <c r="S245" s="49" t="str">
        <f ca="1">IFERROR(__xludf.DUMMYFUNCTION("QUERY('Volunteer Survey'!L252)"),"")</f>
        <v/>
      </c>
      <c r="T245" s="49" t="str">
        <f ca="1">IFERROR(__xludf.DUMMYFUNCTION("QUERY('Volunteer Survey'!M252)"),"")</f>
        <v/>
      </c>
      <c r="U245" s="58" t="str">
        <f ca="1">IFERROR(__xludf.DUMMYFUNCTION("QUERY('Volunteer Survey'!N252)"),"Regular classification of variants to incorporate into patient reports.")</f>
        <v>Regular classification of variants to incorporate into patient reports.</v>
      </c>
      <c r="V245" s="49" t="str">
        <f ca="1">IFERROR(__xludf.DUMMYFUNCTION("QUERY('Volunteer Survey'!O252)"),"Possibly")</f>
        <v>Possibly</v>
      </c>
      <c r="W245" s="60" t="str">
        <f ca="1">IFERROR(__xludf.DUMMYFUNCTION("QUERY('Volunteer Survey'!P252)"),"Cancer and cardiovascular diseases.")</f>
        <v>Cancer and cardiovascular diseases.</v>
      </c>
      <c r="X245" s="58" t="str">
        <f ca="1">IFERROR(__xludf.DUMMYFUNCTION("QUERY('Volunteer Survey'!R252)"),"Yes- I am willing to volunteer with any available ClinGen group")</f>
        <v>Yes- I am willing to volunteer with any available ClinGen group</v>
      </c>
      <c r="Y245" s="47"/>
      <c r="Z245" s="174">
        <f ca="1">IFERROR(__xludf.DUMMYFUNCTION("QUERY('Volunteer Survey'!A244)"),43655.4301787268)</f>
        <v>43655.430178726798</v>
      </c>
      <c r="AA245" s="175" t="str">
        <f ca="1">IFERROR(__xludf.DUMMYFUNCTION("QUERY('Volunteer Survey'!B244)"),"Gretchen Cote")</f>
        <v>Gretchen Cote</v>
      </c>
      <c r="AB245" s="175" t="str">
        <f ca="1">IFERROR(__xludf.DUMMYFUNCTION("QUERY('Volunteer Survey'!C244)"),"Virginia Division of Consolidated Laboratory Services")</f>
        <v>Virginia Division of Consolidated Laboratory Services</v>
      </c>
      <c r="AC245" s="175" t="str">
        <f ca="1">IFERROR(__xludf.DUMMYFUNCTION("QUERY('Volunteer Survey'!D244)"),"")</f>
        <v/>
      </c>
      <c r="AD245" s="175" t="str">
        <f ca="1">IFERROR(__xludf.DUMMYFUNCTION("QUERY('Volunteer Survey'!E244)"),"gretchen.cote@dgs.virginia.gov")</f>
        <v>gretchen.cote@dgs.virginia.gov</v>
      </c>
      <c r="AE245" s="175" t="str">
        <f ca="1">IFERROR(__xludf.DUMMYFUNCTION("QUERY('Volunteer Survey'!F244)"),"Bioinformatician focusing on Variant Interpretation")</f>
        <v>Bioinformatician focusing on Variant Interpretation</v>
      </c>
      <c r="AF245" s="175" t="str">
        <f ca="1">IFERROR(__xludf.DUMMYFUNCTION("QUERY('Volunteer Survey'!G244)"),"ClinGen affiliated emails and/or newsletters")</f>
        <v>ClinGen affiliated emails and/or newsletters</v>
      </c>
      <c r="AG245" s="175" t="str">
        <f ca="1">IFERROR(__xludf.DUMMYFUNCTION("QUERY('Volunteer Survey'!H244)"),"Comprehensive")</f>
        <v>Comprehensive</v>
      </c>
      <c r="AH245" s="175" t="str">
        <f ca="1">IFERROR(__xludf.DUMMYFUNCTION("QUERY('Volunteer Survey'!I244)"),"Variant Pathogenicity")</f>
        <v>Variant Pathogenicity</v>
      </c>
      <c r="AI245" s="175" t="str">
        <f ca="1">IFERROR(__xludf.DUMMYFUNCTION("QUERY('Volunteer Survey'!J244)"),"Clinical Actionability")</f>
        <v>Clinical Actionability</v>
      </c>
      <c r="AJ245" s="175" t="str">
        <f ca="1">IFERROR(__xludf.DUMMYFUNCTION("QUERY('Volunteer Survey'!K244)"),"Gene-Disease Validity")</f>
        <v>Gene-Disease Validity</v>
      </c>
      <c r="AK245" s="175" t="str">
        <f ca="1">IFERROR(__xludf.DUMMYFUNCTION("QUERY('Volunteer Survey'!L244)"),"Somatic Cancer")</f>
        <v>Somatic Cancer</v>
      </c>
      <c r="AL245" s="175" t="str">
        <f ca="1">IFERROR(__xludf.DUMMYFUNCTION("QUERY('Volunteer Survey'!M244)"),"Dosage Sensitivity")</f>
        <v>Dosage Sensitivity</v>
      </c>
      <c r="AM245" s="175" t="str">
        <f ca="1">IFERROR(__xludf.DUMMYFUNCTION("QUERY('Volunteer Survey'!N244)"),"I participate and weekly variant interpretation meetings for variant based newborn screening for Pompe and MPS1")</f>
        <v>I participate and weekly variant interpretation meetings for variant based newborn screening for Pompe and MPS1</v>
      </c>
      <c r="AN245" s="175" t="str">
        <f ca="1">IFERROR(__xludf.DUMMYFUNCTION("QUERY('Volunteer Survey'!O244)"),"Possibly")</f>
        <v>Possibly</v>
      </c>
      <c r="AO245" s="175" t="str">
        <f ca="1">IFERROR(__xludf.DUMMYFUNCTION("QUERY('Volunteer Survey'!P244)"),"Lysosomal Storage Disorders")</f>
        <v>Lysosomal Storage Disorders</v>
      </c>
    </row>
    <row r="246" spans="1:41" ht="14">
      <c r="A246" s="44">
        <f ca="1">IFERROR(__xludf.DUMMYFUNCTION("QUERY('Volunteer Survey'!A253)"),43673.0787835648)</f>
        <v>43673.078783564801</v>
      </c>
      <c r="B246" s="42" t="s">
        <v>125</v>
      </c>
      <c r="C246" s="73">
        <v>43689</v>
      </c>
      <c r="D246" s="49"/>
      <c r="E246" s="49"/>
      <c r="F246" s="42" t="s">
        <v>130</v>
      </c>
      <c r="G246" s="42" t="s">
        <v>19</v>
      </c>
      <c r="H246" s="45"/>
      <c r="I246" s="45" t="s">
        <v>139</v>
      </c>
      <c r="J246" s="49"/>
      <c r="K246" s="49"/>
      <c r="L246" s="49" t="str">
        <f ca="1">IFERROR(__xludf.DUMMYFUNCTION("QUERY('Volunteer Survey'!B253)"),"Parham Habibzadeh")</f>
        <v>Parham Habibzadeh</v>
      </c>
      <c r="M246" s="49" t="str">
        <f ca="1">IFERROR(__xludf.DUMMYFUNCTION("QUERY('Volunteer Survey'!E253)"),"parham.habibzadeh@yahoo.com")</f>
        <v>parham.habibzadeh@yahoo.com</v>
      </c>
      <c r="N246" s="49" t="str">
        <f ca="1">IFERROR(__xludf.DUMMYFUNCTION("QUERY('Volunteer Survey'!F253)"),"Scientific Researcher")</f>
        <v>Scientific Researcher</v>
      </c>
      <c r="O246" s="42" t="str">
        <f ca="1">IFERROR(__xludf.DUMMYFUNCTION("QUERY('Volunteer Survey'!H253)"),"Comprehensive")</f>
        <v>Comprehensive</v>
      </c>
      <c r="P246" s="49" t="str">
        <f ca="1">IFERROR(__xludf.DUMMYFUNCTION("QUERY('Volunteer Survey'!I253)"),"Clinical Actionability")</f>
        <v>Clinical Actionability</v>
      </c>
      <c r="Q246" s="54" t="str">
        <f ca="1">IFERROR(__xludf.DUMMYFUNCTION("QUERY('Volunteer Survey'!J253)"),"Variant Pathogenicity")</f>
        <v>Variant Pathogenicity</v>
      </c>
      <c r="R246" s="49" t="str">
        <f ca="1">IFERROR(__xludf.DUMMYFUNCTION("QUERY('Volunteer Survey'!K253)"),"Gene-Disease Validity")</f>
        <v>Gene-Disease Validity</v>
      </c>
      <c r="S246" s="49" t="str">
        <f ca="1">IFERROR(__xludf.DUMMYFUNCTION("QUERY('Volunteer Survey'!L253)"),"")</f>
        <v/>
      </c>
      <c r="T246" s="49" t="str">
        <f ca="1">IFERROR(__xludf.DUMMYFUNCTION("QUERY('Volunteer Survey'!M253)"),"")</f>
        <v/>
      </c>
      <c r="U246" s="58" t="str">
        <f ca="1">IFERROR(__xludf.DUMMYFUNCTION("QUERY('Volunteer Survey'!N253)"),"")</f>
        <v/>
      </c>
      <c r="V246" s="49" t="str">
        <f ca="1">IFERROR(__xludf.DUMMYFUNCTION("QUERY('Volunteer Survey'!O253)"),"Possibly")</f>
        <v>Possibly</v>
      </c>
      <c r="W246" s="60" t="str">
        <f ca="1">IFERROR(__xludf.DUMMYFUNCTION("QUERY('Volunteer Survey'!P253)"),"Cardiomyopathy, Brain Malformations")</f>
        <v>Cardiomyopathy, Brain Malformations</v>
      </c>
      <c r="X246" s="58" t="str">
        <f ca="1">IFERROR(__xludf.DUMMYFUNCTION("QUERY('Volunteer Survey'!R253)"),"Maybe -- please contact me with other options, and I will decide based on what is available")</f>
        <v>Maybe -- please contact me with other options, and I will decide based on what is available</v>
      </c>
      <c r="Y246" s="47"/>
      <c r="Z246" s="174">
        <f ca="1">IFERROR(__xludf.DUMMYFUNCTION("QUERY('Volunteer Survey'!A245)"),43661.5508873032)</f>
        <v>43661.550887303201</v>
      </c>
      <c r="AA246" s="175" t="str">
        <f ca="1">IFERROR(__xludf.DUMMYFUNCTION("QUERY('Volunteer Survey'!B245)"),"Mayher Patel")</f>
        <v>Mayher Patel</v>
      </c>
      <c r="AB246" s="175" t="str">
        <f ca="1">IFERROR(__xludf.DUMMYFUNCTION("QUERY('Volunteer Survey'!C245)"),"Broad Institute")</f>
        <v>Broad Institute</v>
      </c>
      <c r="AC246" s="175" t="str">
        <f ca="1">IFERROR(__xludf.DUMMYFUNCTION("QUERY('Volunteer Survey'!D245)"),"")</f>
        <v/>
      </c>
      <c r="AD246" s="175" t="str">
        <f ca="1">IFERROR(__xludf.DUMMYFUNCTION("QUERY('Volunteer Survey'!E245)"),"mayher@broadinstitute.org")</f>
        <v>mayher@broadinstitute.org</v>
      </c>
      <c r="AE246" s="175" t="str">
        <f ca="1">IFERROR(__xludf.DUMMYFUNCTION("QUERY('Volunteer Survey'!F245)"),"Biocurator")</f>
        <v>Biocurator</v>
      </c>
      <c r="AF246" s="175" t="str">
        <f ca="1">IFERROR(__xludf.DUMMYFUNCTION("QUERY('Volunteer Survey'!G245)"),"Colleagues, ClinGen affiliated emails and/or newsletters")</f>
        <v>Colleagues, ClinGen affiliated emails and/or newsletters</v>
      </c>
      <c r="AG246" s="175" t="str">
        <f ca="1">IFERROR(__xludf.DUMMYFUNCTION("QUERY('Volunteer Survey'!H245)"),"Comprehensive")</f>
        <v>Comprehensive</v>
      </c>
      <c r="AH246" s="175" t="str">
        <f ca="1">IFERROR(__xludf.DUMMYFUNCTION("QUERY('Volunteer Survey'!I245)"),"Gene-Disease Validity")</f>
        <v>Gene-Disease Validity</v>
      </c>
      <c r="AI246" s="175" t="str">
        <f ca="1">IFERROR(__xludf.DUMMYFUNCTION("QUERY('Volunteer Survey'!J245)"),"")</f>
        <v/>
      </c>
      <c r="AJ246" s="175" t="str">
        <f ca="1">IFERROR(__xludf.DUMMYFUNCTION("QUERY('Volunteer Survey'!K245)"),"")</f>
        <v/>
      </c>
      <c r="AK246" s="175" t="str">
        <f ca="1">IFERROR(__xludf.DUMMYFUNCTION("QUERY('Volunteer Survey'!L245)"),"")</f>
        <v/>
      </c>
      <c r="AL246" s="175" t="str">
        <f ca="1">IFERROR(__xludf.DUMMYFUNCTION("QUERY('Volunteer Survey'!M245)"),"")</f>
        <v/>
      </c>
      <c r="AM246" s="175" t="str">
        <f ca="1">IFERROR(__xludf.DUMMYFUNCTION("QUERY('Volunteer Survey'!N245)"),"")</f>
        <v/>
      </c>
      <c r="AN246" s="175" t="str">
        <f ca="1">IFERROR(__xludf.DUMMYFUNCTION("QUERY('Volunteer Survey'!O245)"),"")</f>
        <v/>
      </c>
      <c r="AO246" s="175" t="str">
        <f ca="1">IFERROR(__xludf.DUMMYFUNCTION("QUERY('Volunteer Survey'!P245)"),"")</f>
        <v/>
      </c>
    </row>
    <row r="247" spans="1:41" ht="14">
      <c r="A247" s="44">
        <f ca="1">IFERROR(__xludf.DUMMYFUNCTION("QUERY('Volunteer Survey'!A254)"),43674.4216592476)</f>
        <v>43674.4216592476</v>
      </c>
      <c r="B247" s="42" t="s">
        <v>108</v>
      </c>
      <c r="C247" s="73">
        <v>43717</v>
      </c>
      <c r="D247" s="59">
        <v>43769</v>
      </c>
      <c r="E247" s="42" t="s">
        <v>117</v>
      </c>
      <c r="F247" s="42" t="s">
        <v>117</v>
      </c>
      <c r="G247" s="42" t="s">
        <v>19</v>
      </c>
      <c r="H247" s="45" t="s">
        <v>19</v>
      </c>
      <c r="I247" s="45" t="s">
        <v>139</v>
      </c>
      <c r="J247" s="49"/>
      <c r="K247" s="49"/>
      <c r="L247" s="49" t="str">
        <f ca="1">IFERROR(__xludf.DUMMYFUNCTION("QUERY('Volunteer Survey'!B254)"),"Xiaolin Hu")</f>
        <v>Xiaolin Hu</v>
      </c>
      <c r="M247" s="49" t="str">
        <f ca="1">IFERROR(__xludf.DUMMYFUNCTION("QUERY('Volunteer Survey'!E254)"),"xiaolin.hu@cchmc.org")</f>
        <v>xiaolin.hu@cchmc.org</v>
      </c>
      <c r="N247" s="49" t="str">
        <f ca="1">IFERROR(__xludf.DUMMYFUNCTION("QUERY('Volunteer Survey'!F254)"),"Post Doc/Resident/Fellow (MD and/or PhD)")</f>
        <v>Post Doc/Resident/Fellow (MD and/or PhD)</v>
      </c>
      <c r="O247" s="42" t="str">
        <f ca="1">IFERROR(__xludf.DUMMYFUNCTION("QUERY('Volunteer Survey'!H254)"),"Comprehensive")</f>
        <v>Comprehensive</v>
      </c>
      <c r="P247" s="49" t="str">
        <f ca="1">IFERROR(__xludf.DUMMYFUNCTION("QUERY('Volunteer Survey'!I254)"),"Clinical Actionability")</f>
        <v>Clinical Actionability</v>
      </c>
      <c r="Q247" s="54" t="str">
        <f ca="1">IFERROR(__xludf.DUMMYFUNCTION("QUERY('Volunteer Survey'!J254)"),"Somatic Cancer")</f>
        <v>Somatic Cancer</v>
      </c>
      <c r="R247" s="49" t="str">
        <f ca="1">IFERROR(__xludf.DUMMYFUNCTION("QUERY('Volunteer Survey'!K254)"),"Gene-Disease Validity")</f>
        <v>Gene-Disease Validity</v>
      </c>
      <c r="S247" s="49" t="str">
        <f ca="1">IFERROR(__xludf.DUMMYFUNCTION("QUERY('Volunteer Survey'!L254)"),"Variant Pathogenicity")</f>
        <v>Variant Pathogenicity</v>
      </c>
      <c r="T247" s="49" t="str">
        <f ca="1">IFERROR(__xludf.DUMMYFUNCTION("QUERY('Volunteer Survey'!M254)"),"Dosage Sensitivity")</f>
        <v>Dosage Sensitivity</v>
      </c>
      <c r="U247" s="58" t="str">
        <f ca="1">IFERROR(__xludf.DUMMYFUNCTION("QUERY('Volunteer Survey'!N254)"),"Yes, as part of our fellow's training")</f>
        <v>Yes, as part of our fellow's training</v>
      </c>
      <c r="V247" s="49" t="str">
        <f ca="1">IFERROR(__xludf.DUMMYFUNCTION("QUERY('Volunteer Survey'!O254)"),"Yes")</f>
        <v>Yes</v>
      </c>
      <c r="W247" s="60" t="str">
        <f ca="1">IFERROR(__xludf.DUMMYFUNCTION("QUERY('Volunteer Survey'!P254)"),"hereditary cancer, somatic cancer, Mitochondrial Diseases")</f>
        <v>hereditary cancer, somatic cancer, Mitochondrial Diseases</v>
      </c>
      <c r="X247" s="58" t="str">
        <f ca="1">IFERROR(__xludf.DUMMYFUNCTION("QUERY('Volunteer Survey'!R254)"),"Maybe -- please contact me with other options, and I will decide based on what is available")</f>
        <v>Maybe -- please contact me with other options, and I will decide based on what is available</v>
      </c>
      <c r="Y247" s="47"/>
      <c r="Z247" s="174">
        <f ca="1">IFERROR(__xludf.DUMMYFUNCTION("QUERY('Volunteer Survey'!A246)"),43662.4893749305)</f>
        <v>43662.489374930497</v>
      </c>
      <c r="AA247" s="175" t="str">
        <f ca="1">IFERROR(__xludf.DUMMYFUNCTION("QUERY('Volunteer Survey'!B246)"),"Bryan Gall")</f>
        <v>Bryan Gall</v>
      </c>
      <c r="AB247" s="175" t="str">
        <f ca="1">IFERROR(__xludf.DUMMYFUNCTION("QUERY('Volunteer Survey'!C246)"),"Center for Genomic Interpretation")</f>
        <v>Center for Genomic Interpretation</v>
      </c>
      <c r="AC247" s="175" t="str">
        <f ca="1">IFERROR(__xludf.DUMMYFUNCTION("QUERY('Volunteer Survey'!D246)"),"")</f>
        <v/>
      </c>
      <c r="AD247" s="175" t="str">
        <f ca="1">IFERROR(__xludf.DUMMYFUNCTION("QUERY('Volunteer Survey'!E246)"),"bgall005@gmail.com")</f>
        <v>bgall005@gmail.com</v>
      </c>
      <c r="AE247" s="175" t="str">
        <f ca="1">IFERROR(__xludf.DUMMYFUNCTION("QUERY('Volunteer Survey'!F246)"),"Variant Analyst/Scientist - Industry")</f>
        <v>Variant Analyst/Scientist - Industry</v>
      </c>
      <c r="AF247" s="175" t="str">
        <f ca="1">IFERROR(__xludf.DUMMYFUNCTION("QUERY('Volunteer Survey'!G246)"),"Networking")</f>
        <v>Networking</v>
      </c>
      <c r="AG247" s="175" t="str">
        <f ca="1">IFERROR(__xludf.DUMMYFUNCTION("QUERY('Volunteer Survey'!H246)"),"Comprehensive")</f>
        <v>Comprehensive</v>
      </c>
      <c r="AH247" s="175" t="str">
        <f ca="1">IFERROR(__xludf.DUMMYFUNCTION("QUERY('Volunteer Survey'!I246)"),"Variant Pathogenicity")</f>
        <v>Variant Pathogenicity</v>
      </c>
      <c r="AI247" s="175" t="str">
        <f ca="1">IFERROR(__xludf.DUMMYFUNCTION("QUERY('Volunteer Survey'!J246)"),"Clinical Actionability")</f>
        <v>Clinical Actionability</v>
      </c>
      <c r="AJ247" s="175" t="str">
        <f ca="1">IFERROR(__xludf.DUMMYFUNCTION("QUERY('Volunteer Survey'!K246)"),"Gene-Disease Validity")</f>
        <v>Gene-Disease Validity</v>
      </c>
      <c r="AK247" s="175" t="str">
        <f ca="1">IFERROR(__xludf.DUMMYFUNCTION("QUERY('Volunteer Survey'!L246)"),"Somatic Cancer")</f>
        <v>Somatic Cancer</v>
      </c>
      <c r="AL247" s="175" t="str">
        <f ca="1">IFERROR(__xludf.DUMMYFUNCTION("QUERY('Volunteer Survey'!M246)"),"Dosage Sensitivity")</f>
        <v>Dosage Sensitivity</v>
      </c>
      <c r="AM247" s="175" t="str">
        <f ca="1">IFERROR(__xludf.DUMMYFUNCTION("QUERY('Volunteer Survey'!N246)"),"Manual variant interpretation using ClinGen resources")</f>
        <v>Manual variant interpretation using ClinGen resources</v>
      </c>
      <c r="AN247" s="175" t="str">
        <f ca="1">IFERROR(__xludf.DUMMYFUNCTION("QUERY('Volunteer Survey'!O246)"),"No")</f>
        <v>No</v>
      </c>
      <c r="AO247" s="175" t="str">
        <f ca="1">IFERROR(__xludf.DUMMYFUNCTION("QUERY('Volunteer Survey'!P246)"),"Colorectal Cancer, Familial Hypercholesterolemia, and Myeloid Malignancy")</f>
        <v>Colorectal Cancer, Familial Hypercholesterolemia, and Myeloid Malignancy</v>
      </c>
    </row>
    <row r="248" spans="1:41" ht="14">
      <c r="A248" s="44">
        <f ca="1">IFERROR(__xludf.DUMMYFUNCTION("QUERY('Volunteer Survey'!A255)"),43674.6812514004)</f>
        <v>43674.681251400398</v>
      </c>
      <c r="B248" s="42" t="s">
        <v>108</v>
      </c>
      <c r="C248" s="73">
        <v>43819</v>
      </c>
      <c r="D248" s="49"/>
      <c r="E248" s="49"/>
      <c r="F248" s="42" t="s">
        <v>130</v>
      </c>
      <c r="G248" s="42" t="s">
        <v>251</v>
      </c>
      <c r="H248" s="47"/>
      <c r="I248" s="45" t="s">
        <v>139</v>
      </c>
      <c r="J248" s="49"/>
      <c r="K248" s="49"/>
      <c r="L248" s="49" t="str">
        <f ca="1">IFERROR(__xludf.DUMMYFUNCTION("QUERY('Volunteer Survey'!B255)"),"Leighton Telling")</f>
        <v>Leighton Telling</v>
      </c>
      <c r="M248" s="49" t="str">
        <f ca="1">IFERROR(__xludf.DUMMYFUNCTION("QUERY('Volunteer Survey'!E255)"),"lptellin@ncsu.edu")</f>
        <v>lptellin@ncsu.edu</v>
      </c>
      <c r="N248" s="49" t="str">
        <f ca="1">IFERROR(__xludf.DUMMYFUNCTION("QUERY('Volunteer Survey'!F255)"),"Former UNC ClinGen Research Assistant")</f>
        <v>Former UNC ClinGen Research Assistant</v>
      </c>
      <c r="O248" s="42" t="str">
        <f ca="1">IFERROR(__xludf.DUMMYFUNCTION("QUERY('Volunteer Survey'!H255)"),"Comprehensive")</f>
        <v>Comprehensive</v>
      </c>
      <c r="P248" s="49" t="str">
        <f ca="1">IFERROR(__xludf.DUMMYFUNCTION("QUERY('Volunteer Survey'!I255)"),"Variant Pathogenicity")</f>
        <v>Variant Pathogenicity</v>
      </c>
      <c r="Q248" s="54" t="str">
        <f ca="1">IFERROR(__xludf.DUMMYFUNCTION("QUERY('Volunteer Survey'!J255)"),"")</f>
        <v/>
      </c>
      <c r="R248" s="49" t="str">
        <f ca="1">IFERROR(__xludf.DUMMYFUNCTION("QUERY('Volunteer Survey'!K255)"),"")</f>
        <v/>
      </c>
      <c r="S248" s="49" t="str">
        <f ca="1">IFERROR(__xludf.DUMMYFUNCTION("QUERY('Volunteer Survey'!L255)"),"")</f>
        <v/>
      </c>
      <c r="T248" s="49" t="str">
        <f ca="1">IFERROR(__xludf.DUMMYFUNCTION("QUERY('Volunteer Survey'!M255)"),"")</f>
        <v/>
      </c>
      <c r="U248" s="58" t="str">
        <f ca="1">IFERROR(__xludf.DUMMYFUNCTION("QUERY('Volunteer Survey'!N255)"),"")</f>
        <v/>
      </c>
      <c r="V248" s="49" t="str">
        <f ca="1">IFERROR(__xludf.DUMMYFUNCTION("QUERY('Volunteer Survey'!O255)"),"Yes")</f>
        <v>Yes</v>
      </c>
      <c r="W248" s="60" t="str">
        <f ca="1">IFERROR(__xludf.DUMMYFUNCTION("QUERY('Volunteer Survey'!P255)"),"N/A")</f>
        <v>N/A</v>
      </c>
      <c r="X248" s="58" t="str">
        <f ca="1">IFERROR(__xludf.DUMMYFUNCTION("QUERY('Volunteer Survey'!R255)"),"Yes- I am willing to volunteer with any available ClinGen group")</f>
        <v>Yes- I am willing to volunteer with any available ClinGen group</v>
      </c>
      <c r="Y248" s="47"/>
      <c r="Z248" s="174">
        <f ca="1">IFERROR(__xludf.DUMMYFUNCTION("QUERY('Volunteer Survey'!A247)"),43663.5681919791)</f>
        <v>43663.568191979102</v>
      </c>
      <c r="AA248" s="175" t="str">
        <f ca="1">IFERROR(__xludf.DUMMYFUNCTION("QUERY('Volunteer Survey'!B247)"),"Hwaida Hannoush")</f>
        <v>Hwaida Hannoush</v>
      </c>
      <c r="AB248" s="175" t="str">
        <f ca="1">IFERROR(__xludf.DUMMYFUNCTION("QUERY('Volunteer Survey'!C247)"),"ACMG")</f>
        <v>ACMG</v>
      </c>
      <c r="AC248" s="175" t="str">
        <f ca="1">IFERROR(__xludf.DUMMYFUNCTION("QUERY('Volunteer Survey'!D247)"),"8816 Bells Mill Road Potomac , MD 20854")</f>
        <v>8816 Bells Mill Road Potomac , MD 20854</v>
      </c>
      <c r="AD248" s="175" t="str">
        <f ca="1">IFERROR(__xludf.DUMMYFUNCTION("QUERY('Volunteer Survey'!E247)"),"hhannoush@acmg.net")</f>
        <v>hhannoush@acmg.net</v>
      </c>
      <c r="AE248" s="175" t="str">
        <f ca="1">IFERROR(__xludf.DUMMYFUNCTION("QUERY('Volunteer Survey'!F247)"),"Post Doc/Resident/Fellow (MD and/or PhD)")</f>
        <v>Post Doc/Resident/Fellow (MD and/or PhD)</v>
      </c>
      <c r="AF248" s="175" t="str">
        <f ca="1">IFERROR(__xludf.DUMMYFUNCTION("QUERY('Volunteer Survey'!G247)"),"ACMG training ")</f>
        <v xml:space="preserve">ACMG training </v>
      </c>
      <c r="AG248" s="175" t="str">
        <f ca="1">IFERROR(__xludf.DUMMYFUNCTION("QUERY('Volunteer Survey'!H247)"),"Comprehensive")</f>
        <v>Comprehensive</v>
      </c>
      <c r="AH248" s="175" t="str">
        <f ca="1">IFERROR(__xludf.DUMMYFUNCTION("QUERY('Volunteer Survey'!I247)"),"Gene-Disease Validity")</f>
        <v>Gene-Disease Validity</v>
      </c>
      <c r="AI248" s="175" t="str">
        <f ca="1">IFERROR(__xludf.DUMMYFUNCTION("QUERY('Volunteer Survey'!J247)"),"Variant Pathogenicity")</f>
        <v>Variant Pathogenicity</v>
      </c>
      <c r="AJ248" s="175" t="str">
        <f ca="1">IFERROR(__xludf.DUMMYFUNCTION("QUERY('Volunteer Survey'!K247)"),"")</f>
        <v/>
      </c>
      <c r="AK248" s="175" t="str">
        <f ca="1">IFERROR(__xludf.DUMMYFUNCTION("QUERY('Volunteer Survey'!L247)"),"")</f>
        <v/>
      </c>
      <c r="AL248" s="175" t="str">
        <f ca="1">IFERROR(__xludf.DUMMYFUNCTION("QUERY('Volunteer Survey'!M247)"),"")</f>
        <v/>
      </c>
      <c r="AM248" s="175" t="str">
        <f ca="1">IFERROR(__xludf.DUMMYFUNCTION("QUERY('Volunteer Survey'!N247)"),"None")</f>
        <v>None</v>
      </c>
      <c r="AN248" s="175" t="str">
        <f ca="1">IFERROR(__xludf.DUMMYFUNCTION("QUERY('Volunteer Survey'!O247)"),"No")</f>
        <v>No</v>
      </c>
      <c r="AO248" s="175" t="str">
        <f ca="1">IFERROR(__xludf.DUMMYFUNCTION("QUERY('Volunteer Survey'!P247)"),"Cardiomyopathy, Familial Hypercholesterolemia")</f>
        <v>Cardiomyopathy, Familial Hypercholesterolemia</v>
      </c>
    </row>
    <row r="249" spans="1:41" ht="42">
      <c r="A249" s="44">
        <f ca="1">IFERROR(__xludf.DUMMYFUNCTION("QUERY('Volunteer Survey'!A256)"),43675.6438709027)</f>
        <v>43675.643870902699</v>
      </c>
      <c r="B249" s="42" t="s">
        <v>160</v>
      </c>
      <c r="C249" s="73">
        <v>43705</v>
      </c>
      <c r="D249" s="59">
        <v>43719</v>
      </c>
      <c r="E249" s="42" t="s">
        <v>117</v>
      </c>
      <c r="F249" s="42" t="s">
        <v>130</v>
      </c>
      <c r="G249" s="42" t="s">
        <v>136</v>
      </c>
      <c r="H249" s="45" t="s">
        <v>319</v>
      </c>
      <c r="I249" s="45" t="s">
        <v>139</v>
      </c>
      <c r="J249" s="49"/>
      <c r="K249" s="49"/>
      <c r="L249" s="49" t="str">
        <f ca="1">IFERROR(__xludf.DUMMYFUNCTION("QUERY('Volunteer Survey'!B256)"),"Panieh Terraf")</f>
        <v>Panieh Terraf</v>
      </c>
      <c r="M249" s="49" t="str">
        <f ca="1">IFERROR(__xludf.DUMMYFUNCTION("QUERY('Volunteer Survey'!E256)"),"pterraf@bwh.harvard.edu")</f>
        <v>pterraf@bwh.harvard.edu</v>
      </c>
      <c r="N249" s="49" t="str">
        <f ca="1">IFERROR(__xludf.DUMMYFUNCTION("QUERY('Volunteer Survey'!F256)"),"Clinical laboratory geneticist")</f>
        <v>Clinical laboratory geneticist</v>
      </c>
      <c r="O249" s="42" t="str">
        <f ca="1">IFERROR(__xludf.DUMMYFUNCTION("QUERY('Volunteer Survey'!H256)"),"Comprehensive")</f>
        <v>Comprehensive</v>
      </c>
      <c r="P249" s="49" t="str">
        <f ca="1">IFERROR(__xludf.DUMMYFUNCTION("QUERY('Volunteer Survey'!I256)"),"Somatic Cancer")</f>
        <v>Somatic Cancer</v>
      </c>
      <c r="Q249" s="54" t="str">
        <f ca="1">IFERROR(__xludf.DUMMYFUNCTION("QUERY('Volunteer Survey'!J256)"),"Variant Pathogenicity, Dosage Sensitivity")</f>
        <v>Variant Pathogenicity, Dosage Sensitivity</v>
      </c>
      <c r="R249" s="49" t="str">
        <f ca="1">IFERROR(__xludf.DUMMYFUNCTION("QUERY('Volunteer Survey'!K256)"),"Gene-Disease Validity")</f>
        <v>Gene-Disease Validity</v>
      </c>
      <c r="S249" s="49" t="str">
        <f ca="1">IFERROR(__xludf.DUMMYFUNCTION("QUERY('Volunteer Survey'!L256)"),"Clinical Actionability")</f>
        <v>Clinical Actionability</v>
      </c>
      <c r="T249" s="49" t="str">
        <f ca="1">IFERROR(__xludf.DUMMYFUNCTION("QUERY('Volunteer Survey'!M256)"),"")</f>
        <v/>
      </c>
      <c r="U249" s="58" t="str">
        <f ca="1">IFERROR(__xludf.DUMMYFUNCTION("QUERY('Volunteer Survey'!N256)"),"Yes, in somatic cancer variant curation through my clinical training at the Brigham and Women's Hospital. ")</f>
        <v xml:space="preserve">Yes, in somatic cancer variant curation through my clinical training at the Brigham and Women's Hospital. </v>
      </c>
      <c r="V249" s="49" t="str">
        <f ca="1">IFERROR(__xludf.DUMMYFUNCTION("QUERY('Volunteer Survey'!O256)"),"No")</f>
        <v>No</v>
      </c>
      <c r="W249" s="60" t="str">
        <f ca="1">IFERROR(__xludf.DUMMYFUNCTION("QUERY('Volunteer Survey'!P256)"),"Variant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c r="X249" s="58" t="str">
        <f ca="1">IFERROR(__xludf.DUMMYFUNCTION("QUERY('Volunteer Survey'!R256)"),"Maybe -- please contact me with other options, and I will decide based on what is available")</f>
        <v>Maybe -- please contact me with other options, and I will decide based on what is available</v>
      </c>
      <c r="Y249" s="47"/>
      <c r="Z249" s="174">
        <f ca="1">IFERROR(__xludf.DUMMYFUNCTION("QUERY('Volunteer Survey'!A248)"),43663.9861156597)</f>
        <v>43663.986115659704</v>
      </c>
      <c r="AA249" s="175" t="str">
        <f ca="1">IFERROR(__xludf.DUMMYFUNCTION("QUERY('Volunteer Survey'!B248)"),"Rawan Awwad")</f>
        <v>Rawan Awwad</v>
      </c>
      <c r="AB249" s="175" t="str">
        <f ca="1">IFERROR(__xludf.DUMMYFUNCTION("QUERY('Volunteer Survey'!C248)"),"GeneMatters")</f>
        <v>GeneMatters</v>
      </c>
      <c r="AC249" s="175" t="str">
        <f ca="1">IFERROR(__xludf.DUMMYFUNCTION("QUERY('Volunteer Survey'!D248)"),"Michigan")</f>
        <v>Michigan</v>
      </c>
      <c r="AD249" s="175" t="str">
        <f ca="1">IFERROR(__xludf.DUMMYFUNCTION("QUERY('Volunteer Survey'!E248)"),"rawan.awwad@gmail.com")</f>
        <v>rawan.awwad@gmail.com</v>
      </c>
      <c r="AE249" s="175" t="str">
        <f ca="1">IFERROR(__xludf.DUMMYFUNCTION("QUERY('Volunteer Survey'!F248)"),"Genetic counselor")</f>
        <v>Genetic counselor</v>
      </c>
      <c r="AF249" s="175" t="str">
        <f ca="1">IFERROR(__xludf.DUMMYFUNCTION("QUERY('Volunteer Survey'!G248)"),"Networking")</f>
        <v>Networking</v>
      </c>
      <c r="AG249" s="175" t="str">
        <f ca="1">IFERROR(__xludf.DUMMYFUNCTION("QUERY('Volunteer Survey'!H248)"),"Comprehensive")</f>
        <v>Comprehensive</v>
      </c>
      <c r="AH249" s="175" t="str">
        <f ca="1">IFERROR(__xludf.DUMMYFUNCTION("QUERY('Volunteer Survey'!I248)"),"Clinical Actionability")</f>
        <v>Clinical Actionability</v>
      </c>
      <c r="AI249" s="175" t="str">
        <f ca="1">IFERROR(__xludf.DUMMYFUNCTION("QUERY('Volunteer Survey'!J248)"),"Gene-Disease Validity")</f>
        <v>Gene-Disease Validity</v>
      </c>
      <c r="AJ249" s="175" t="str">
        <f ca="1">IFERROR(__xludf.DUMMYFUNCTION("QUERY('Volunteer Survey'!K248)"),"Variant Pathogenicity")</f>
        <v>Variant Pathogenicity</v>
      </c>
      <c r="AK249" s="175" t="str">
        <f ca="1">IFERROR(__xludf.DUMMYFUNCTION("QUERY('Volunteer Survey'!L248)"),"")</f>
        <v/>
      </c>
      <c r="AL249" s="175" t="str">
        <f ca="1">IFERROR(__xludf.DUMMYFUNCTION("QUERY('Volunteer Survey'!M248)"),"")</f>
        <v/>
      </c>
      <c r="AM249" s="175" t="str">
        <f ca="1">IFERROR(__xludf.DUMMYFUNCTION("QUERY('Volunteer Survey'!N248)"),"No but I know I can pick it up ")</f>
        <v xml:space="preserve">No but I know I can pick it up </v>
      </c>
      <c r="AN249" s="175" t="str">
        <f ca="1">IFERROR(__xludf.DUMMYFUNCTION("QUERY('Volunteer Survey'!O248)"),"No")</f>
        <v>No</v>
      </c>
      <c r="AO249" s="175" t="str">
        <f ca="1">IFERROR(__xludf.DUMMYFUNCTION("QUERY('Volunteer Survey'!P248)"),"Clinical actionability for Peds ")</f>
        <v xml:space="preserve">Clinical actionability for Peds </v>
      </c>
    </row>
    <row r="250" spans="1:41" ht="14">
      <c r="A250" s="44">
        <f ca="1">IFERROR(__xludf.DUMMYFUNCTION("QUERY('Volunteer Survey'!A257)"),43677.4619924884)</f>
        <v>43677.461992488403</v>
      </c>
      <c r="B250" s="42" t="s">
        <v>108</v>
      </c>
      <c r="C250" s="73">
        <v>43819</v>
      </c>
      <c r="D250" s="49"/>
      <c r="E250" s="49"/>
      <c r="F250" s="42" t="s">
        <v>130</v>
      </c>
      <c r="G250" s="42" t="s">
        <v>122</v>
      </c>
      <c r="H250" s="47"/>
      <c r="I250" s="45" t="s">
        <v>139</v>
      </c>
      <c r="J250" s="49"/>
      <c r="K250" s="49"/>
      <c r="L250" s="49" t="str">
        <f ca="1">IFERROR(__xludf.DUMMYFUNCTION("QUERY('Volunteer Survey'!B257)"),"Jennifer Hull")</f>
        <v>Jennifer Hull</v>
      </c>
      <c r="M250" s="49" t="str">
        <f ca="1">IFERROR(__xludf.DUMMYFUNCTION("QUERY('Volunteer Survey'!E257)"),"jhull86@gmail.com")</f>
        <v>jhull86@gmail.com</v>
      </c>
      <c r="N250" s="49" t="str">
        <f ca="1">IFERROR(__xludf.DUMMYFUNCTION("QUERY('Volunteer Survey'!F257)"),"Graduate Student")</f>
        <v>Graduate Student</v>
      </c>
      <c r="O250" s="42" t="str">
        <f ca="1">IFERROR(__xludf.DUMMYFUNCTION("QUERY('Volunteer Survey'!H257)"),"comprehensive")</f>
        <v>comprehensive</v>
      </c>
      <c r="P250" s="49" t="str">
        <f ca="1">IFERROR(__xludf.DUMMYFUNCTION("QUERY('Volunteer Survey'!I257)"),"Gene-Disease Validity")</f>
        <v>Gene-Disease Validity</v>
      </c>
      <c r="Q250" s="54" t="str">
        <f ca="1">IFERROR(__xludf.DUMMYFUNCTION("QUERY('Volunteer Survey'!J257)"),"Variant Pathogenicity")</f>
        <v>Variant Pathogenicity</v>
      </c>
      <c r="R250" s="49" t="str">
        <f ca="1">IFERROR(__xludf.DUMMYFUNCTION("QUERY('Volunteer Survey'!K257)"),"Clinical Actionability")</f>
        <v>Clinical Actionability</v>
      </c>
      <c r="S250" s="49" t="str">
        <f ca="1">IFERROR(__xludf.DUMMYFUNCTION("QUERY('Volunteer Survey'!L257)"),"Dosage Sensitivity")</f>
        <v>Dosage Sensitivity</v>
      </c>
      <c r="T250" s="49" t="str">
        <f ca="1">IFERROR(__xludf.DUMMYFUNCTION("QUERY('Volunteer Survey'!M257)"),"Somatic Cancer")</f>
        <v>Somatic Cancer</v>
      </c>
      <c r="U250" s="58" t="str">
        <f ca="1">IFERROR(__xludf.DUMMYFUNCTION("QUERY('Volunteer Survey'!N257)"),"N/A")</f>
        <v>N/A</v>
      </c>
      <c r="V250" s="49" t="str">
        <f ca="1">IFERROR(__xludf.DUMMYFUNCTION("QUERY('Volunteer Survey'!O257)"),"Yes")</f>
        <v>Yes</v>
      </c>
      <c r="W250" s="60" t="str">
        <f ca="1">IFERROR(__xludf.DUMMYFUNCTION("QUERY('Volunteer Survey'!P257)"),"Phenylketonuria Variant Curation Expert Panel, epilepsy, CMT, hypercholesterolemia, colorectal cancer")</f>
        <v>Phenylketonuria Variant Curation Expert Panel, epilepsy, CMT, hypercholesterolemia, colorectal cancer</v>
      </c>
      <c r="X250" s="58" t="str">
        <f ca="1">IFERROR(__xludf.DUMMYFUNCTION("QUERY('Volunteer Survey'!R257)"),"Yes- I am willing to volunteer with any available ClinGen group")</f>
        <v>Yes- I am willing to volunteer with any available ClinGen group</v>
      </c>
      <c r="Y250" s="47"/>
      <c r="Z250" s="174">
        <f ca="1">IFERROR(__xludf.DUMMYFUNCTION("QUERY('Volunteer Survey'!A249)"),43665.5062351388)</f>
        <v>43665.506235138797</v>
      </c>
      <c r="AA250" s="175" t="str">
        <f ca="1">IFERROR(__xludf.DUMMYFUNCTION("QUERY('Volunteer Survey'!B249)"),"Yanhui Li")</f>
        <v>Yanhui Li</v>
      </c>
      <c r="AB250" s="175" t="str">
        <f ca="1">IFERROR(__xludf.DUMMYFUNCTION("QUERY('Volunteer Survey'!C249)"),"University of Texas Southwestern Medical Center")</f>
        <v>University of Texas Southwestern Medical Center</v>
      </c>
      <c r="AC250" s="175" t="str">
        <f ca="1">IFERROR(__xludf.DUMMYFUNCTION("QUERY('Volunteer Survey'!D249)"),"")</f>
        <v/>
      </c>
      <c r="AD250" s="175" t="str">
        <f ca="1">IFERROR(__xludf.DUMMYFUNCTION("QUERY('Volunteer Survey'!E249)"),"yxl280@gmail.com")</f>
        <v>yxl280@gmail.com</v>
      </c>
      <c r="AE250" s="175" t="str">
        <f ca="1">IFERROR(__xludf.DUMMYFUNCTION("QUERY('Volunteer Survey'!F249)"),"Post Doc/Resident/Fellow (MD and/or PhD)")</f>
        <v>Post Doc/Resident/Fellow (MD and/or PhD)</v>
      </c>
      <c r="AF250" s="175" t="str">
        <f ca="1">IFERROR(__xludf.DUMMYFUNCTION("QUERY('Volunteer Survey'!G249)"),"The clinicalgenome.org website")</f>
        <v>The clinicalgenome.org website</v>
      </c>
      <c r="AG250" s="175" t="str">
        <f ca="1">IFERROR(__xludf.DUMMYFUNCTION("QUERY('Volunteer Survey'!H249)"),"Comprehensive")</f>
        <v>Comprehensive</v>
      </c>
      <c r="AH250" s="175" t="str">
        <f ca="1">IFERROR(__xludf.DUMMYFUNCTION("QUERY('Volunteer Survey'!I249)"),"Variant Pathogenicity")</f>
        <v>Variant Pathogenicity</v>
      </c>
      <c r="AI250" s="175" t="str">
        <f ca="1">IFERROR(__xludf.DUMMYFUNCTION("QUERY('Volunteer Survey'!J249)"),"Gene-Disease Validity")</f>
        <v>Gene-Disease Validity</v>
      </c>
      <c r="AJ250" s="175" t="str">
        <f ca="1">IFERROR(__xludf.DUMMYFUNCTION("QUERY('Volunteer Survey'!K249)"),"Somatic Cancer")</f>
        <v>Somatic Cancer</v>
      </c>
      <c r="AK250" s="175" t="str">
        <f ca="1">IFERROR(__xludf.DUMMYFUNCTION("QUERY('Volunteer Survey'!L249)"),"Clinical Actionability")</f>
        <v>Clinical Actionability</v>
      </c>
      <c r="AL250" s="175" t="str">
        <f ca="1">IFERROR(__xludf.DUMMYFUNCTION("QUERY('Volunteer Survey'!M249)"),"Dosage Sensitivity")</f>
        <v>Dosage Sensitivity</v>
      </c>
      <c r="AM250" s="175" t="str">
        <f ca="1">IFERROR(__xludf.DUMMYFUNCTION("QUERY('Volunteer Survey'!N249)"),"")</f>
        <v/>
      </c>
      <c r="AN250" s="175" t="str">
        <f ca="1">IFERROR(__xludf.DUMMYFUNCTION("QUERY('Volunteer Survey'!O249)"),"Possibly")</f>
        <v>Possibly</v>
      </c>
      <c r="AO250" s="175" t="str">
        <f ca="1">IFERROR(__xludf.DUMMYFUNCTION("QUERY('Volunteer Survey'!P249)"),"Yes")</f>
        <v>Yes</v>
      </c>
    </row>
    <row r="251" spans="1:41" ht="14">
      <c r="A251" s="44">
        <f ca="1">IFERROR(__xludf.DUMMYFUNCTION("QUERY('Volunteer Survey'!A258)"),43678.4120406134)</f>
        <v>43678.412040613402</v>
      </c>
      <c r="B251" s="42" t="s">
        <v>108</v>
      </c>
      <c r="C251" s="73">
        <v>43705</v>
      </c>
      <c r="D251" s="59">
        <v>43719</v>
      </c>
      <c r="E251" s="42" t="s">
        <v>117</v>
      </c>
      <c r="F251" s="42" t="s">
        <v>130</v>
      </c>
      <c r="G251" s="42" t="s">
        <v>136</v>
      </c>
      <c r="H251" s="45"/>
      <c r="I251" s="45" t="s">
        <v>139</v>
      </c>
      <c r="J251" s="49"/>
      <c r="K251" s="49"/>
      <c r="L251" s="49" t="str">
        <f ca="1">IFERROR(__xludf.DUMMYFUNCTION("QUERY('Volunteer Survey'!B258)"),"Eric Kil")</f>
        <v>Eric Kil</v>
      </c>
      <c r="M251" s="49" t="str">
        <f ca="1">IFERROR(__xludf.DUMMYFUNCTION("QUERY('Volunteer Survey'!E258)"),"ekil18@students.kgi.edu")</f>
        <v>ekil18@students.kgi.edu</v>
      </c>
      <c r="N251" s="49" t="str">
        <f ca="1">IFERROR(__xludf.DUMMYFUNCTION("QUERY('Volunteer Survey'!F258)"),"Graduate Student")</f>
        <v>Graduate Student</v>
      </c>
      <c r="O251" s="42" t="str">
        <f ca="1">IFERROR(__xludf.DUMMYFUNCTION("QUERY('Volunteer Survey'!H258)"),"comprehensive")</f>
        <v>comprehensive</v>
      </c>
      <c r="P251" s="49" t="str">
        <f ca="1">IFERROR(__xludf.DUMMYFUNCTION("QUERY('Volunteer Survey'!I258)"),"Somatic Cancer")</f>
        <v>Somatic Cancer</v>
      </c>
      <c r="Q251" s="54" t="str">
        <f ca="1">IFERROR(__xludf.DUMMYFUNCTION("QUERY('Volunteer Survey'!J258)"),"Dosage Sensitivity")</f>
        <v>Dosage Sensitivity</v>
      </c>
      <c r="R251" s="49" t="str">
        <f ca="1">IFERROR(__xludf.DUMMYFUNCTION("QUERY('Volunteer Survey'!K258)"),"Variant Pathogenicity")</f>
        <v>Variant Pathogenicity</v>
      </c>
      <c r="S251" s="49" t="str">
        <f ca="1">IFERROR(__xludf.DUMMYFUNCTION("QUERY('Volunteer Survey'!L258)"),"Gene-Disease Validity")</f>
        <v>Gene-Disease Validity</v>
      </c>
      <c r="T251" s="49" t="str">
        <f ca="1">IFERROR(__xludf.DUMMYFUNCTION("QUERY('Volunteer Survey'!M258)"),"Clinical Actionability")</f>
        <v>Clinical Actionability</v>
      </c>
      <c r="U251" s="58" t="str">
        <f ca="1">IFERROR(__xludf.DUMMYFUNCTION("QUERY('Volunteer Survey'!N258)"),"No")</f>
        <v>No</v>
      </c>
      <c r="V251" s="49" t="str">
        <f ca="1">IFERROR(__xludf.DUMMYFUNCTION("QUERY('Volunteer Survey'!O258)"),"Possibly")</f>
        <v>Possibly</v>
      </c>
      <c r="W251" s="60" t="str">
        <f ca="1">IFERROR(__xludf.DUMMYFUNCTION("QUERY('Volunteer Survey'!P258)"),"I am interested in neuro-related conditions and cancer.")</f>
        <v>I am interested in neuro-related conditions and cancer.</v>
      </c>
      <c r="X251" s="58" t="str">
        <f ca="1">IFERROR(__xludf.DUMMYFUNCTION("QUERY('Volunteer Survey'!R258)"),"Yes- I am willing to volunteer with any available ClinGen group")</f>
        <v>Yes- I am willing to volunteer with any available ClinGen group</v>
      </c>
      <c r="Y251" s="47"/>
      <c r="Z251" s="174">
        <f ca="1">IFERROR(__xludf.DUMMYFUNCTION("QUERY('Volunteer Survey'!A250)"),43668.9450035879)</f>
        <v>43668.945003587898</v>
      </c>
      <c r="AA251" s="175" t="str">
        <f ca="1">IFERROR(__xludf.DUMMYFUNCTION("QUERY('Volunteer Survey'!B250)"),"Leila Jamal")</f>
        <v>Leila Jamal</v>
      </c>
      <c r="AB251" s="175" t="str">
        <f ca="1">IFERROR(__xludf.DUMMYFUNCTION("QUERY('Volunteer Survey'!C250)"),"NIH")</f>
        <v>NIH</v>
      </c>
      <c r="AC251" s="175" t="str">
        <f ca="1">IFERROR(__xludf.DUMMYFUNCTION("QUERY('Volunteer Survey'!D250)"),"900 Rockville Pike, Bethesda, MD 20892")</f>
        <v>900 Rockville Pike, Bethesda, MD 20892</v>
      </c>
      <c r="AD251" s="175" t="str">
        <f ca="1">IFERROR(__xludf.DUMMYFUNCTION("QUERY('Volunteer Survey'!E250)"),"leila.jamal@nih.gov")</f>
        <v>leila.jamal@nih.gov</v>
      </c>
      <c r="AE251" s="175" t="str">
        <f ca="1">IFERROR(__xludf.DUMMYFUNCTION("QUERY('Volunteer Survey'!F250)"),"Genetic counselor")</f>
        <v>Genetic counselor</v>
      </c>
      <c r="AF251" s="175" t="str">
        <f ca="1">IFERROR(__xludf.DUMMYFUNCTION("QUERY('Volunteer Survey'!G250)"),"Colleagues")</f>
        <v>Colleagues</v>
      </c>
      <c r="AG251" s="175" t="str">
        <f ca="1">IFERROR(__xludf.DUMMYFUNCTION("QUERY('Volunteer Survey'!H250)"),"Comprehensive")</f>
        <v>Comprehensive</v>
      </c>
      <c r="AH251" s="175" t="str">
        <f ca="1">IFERROR(__xludf.DUMMYFUNCTION("QUERY('Volunteer Survey'!I250)"),"Clinical Actionability")</f>
        <v>Clinical Actionability</v>
      </c>
      <c r="AI251" s="175" t="str">
        <f ca="1">IFERROR(__xludf.DUMMYFUNCTION("QUERY('Volunteer Survey'!J250)"),"Gene-Disease Validity")</f>
        <v>Gene-Disease Validity</v>
      </c>
      <c r="AJ251" s="175" t="str">
        <f ca="1">IFERROR(__xludf.DUMMYFUNCTION("QUERY('Volunteer Survey'!K250)"),"Variant Pathogenicity")</f>
        <v>Variant Pathogenicity</v>
      </c>
      <c r="AK251" s="175" t="str">
        <f ca="1">IFERROR(__xludf.DUMMYFUNCTION("QUERY('Volunteer Survey'!L250)"),"")</f>
        <v/>
      </c>
      <c r="AL251" s="175" t="str">
        <f ca="1">IFERROR(__xludf.DUMMYFUNCTION("QUERY('Volunteer Survey'!M250)"),"")</f>
        <v/>
      </c>
      <c r="AM251" s="175" t="str">
        <f ca="1">IFERROR(__xludf.DUMMYFUNCTION("QUERY('Volunteer Survey'!N250)"),"I have PhD training in public health and have also written clinical test reports for study participants enrolled in a large sequencing research protocol at NIAID (on which I am a co-investigator).   ")</f>
        <v xml:space="preserve">I have PhD training in public health and have also written clinical test reports for study participants enrolled in a large sequencing research protocol at NIAID (on which I am a co-investigator).   </v>
      </c>
      <c r="AN251" s="175" t="str">
        <f ca="1">IFERROR(__xludf.DUMMYFUNCTION("QUERY('Volunteer Survey'!O250)"),"No")</f>
        <v>No</v>
      </c>
      <c r="AO251" s="175" t="str">
        <f ca="1">IFERROR(__xludf.DUMMYFUNCTION("QUERY('Volunteer Survey'!P250)"),"I am most interested in the Pediatric Actionability Working Group and/or the Charcot-Marie-Tooth Gene Curation Group.  I would consider joining other gene or variant curation working groups as well.   ")</f>
        <v xml:space="preserve">I am most interested in the Pediatric Actionability Working Group and/or the Charcot-Marie-Tooth Gene Curation Group.  I would consider joining other gene or variant curation working groups as well.   </v>
      </c>
    </row>
    <row r="252" spans="1:41" ht="28">
      <c r="A252" s="44">
        <f ca="1">IFERROR(__xludf.DUMMYFUNCTION("QUERY('Volunteer Survey'!A259)"),43679.0893137847)</f>
        <v>43679.089313784702</v>
      </c>
      <c r="B252" s="42" t="s">
        <v>160</v>
      </c>
      <c r="C252" s="73">
        <v>43705</v>
      </c>
      <c r="D252" s="59">
        <v>43719</v>
      </c>
      <c r="E252" s="42" t="s">
        <v>117</v>
      </c>
      <c r="F252" s="42" t="s">
        <v>130</v>
      </c>
      <c r="G252" s="42" t="s">
        <v>136</v>
      </c>
      <c r="H252" s="45" t="s">
        <v>320</v>
      </c>
      <c r="I252" s="45" t="s">
        <v>139</v>
      </c>
      <c r="J252" s="49"/>
      <c r="K252" s="49"/>
      <c r="L252" s="49" t="str">
        <f ca="1">IFERROR(__xludf.DUMMYFUNCTION("QUERY('Volunteer Survey'!B259)"),"Joseph Steward")</f>
        <v>Joseph Steward</v>
      </c>
      <c r="M252" s="49" t="str">
        <f ca="1">IFERROR(__xludf.DUMMYFUNCTION("QUERY('Volunteer Survey'!E259)"),"jsteward2930@gmail.com")</f>
        <v>jsteward2930@gmail.com</v>
      </c>
      <c r="N252" s="49" t="str">
        <f ca="1">IFERROR(__xludf.DUMMYFUNCTION("QUERY('Volunteer Survey'!F259)"),"Scientific Researcher")</f>
        <v>Scientific Researcher</v>
      </c>
      <c r="O252" s="42" t="str">
        <f ca="1">IFERROR(__xludf.DUMMYFUNCTION("QUERY('Volunteer Survey'!H259)"),"comprehensive")</f>
        <v>comprehensive</v>
      </c>
      <c r="P252" s="49" t="str">
        <f ca="1">IFERROR(__xludf.DUMMYFUNCTION("QUERY('Volunteer Survey'!I259)"),"Somatic Cancer")</f>
        <v>Somatic Cancer</v>
      </c>
      <c r="Q252" s="54" t="str">
        <f ca="1">IFERROR(__xludf.DUMMYFUNCTION("QUERY('Volunteer Survey'!J259)"),"Variant Pathogenicity")</f>
        <v>Variant Pathogenicity</v>
      </c>
      <c r="R252" s="49" t="str">
        <f ca="1">IFERROR(__xludf.DUMMYFUNCTION("QUERY('Volunteer Survey'!K259)"),"Gene-Disease Validity")</f>
        <v>Gene-Disease Validity</v>
      </c>
      <c r="S252" s="49" t="str">
        <f ca="1">IFERROR(__xludf.DUMMYFUNCTION("QUERY('Volunteer Survey'!L259)"),"Clinical Actionability")</f>
        <v>Clinical Actionability</v>
      </c>
      <c r="T252" s="49" t="str">
        <f ca="1">IFERROR(__xludf.DUMMYFUNCTION("QUERY('Volunteer Survey'!M259)"),"Dosage Sensitivity")</f>
        <v>Dosage Sensitivity</v>
      </c>
      <c r="U252" s="58" t="str">
        <f ca="1">IFERROR(__xludf.DUMMYFUNCTION("QUERY('Volunteer Survey'!N259)"),"")</f>
        <v/>
      </c>
      <c r="V252" s="49" t="str">
        <f ca="1">IFERROR(__xludf.DUMMYFUNCTION("QUERY('Volunteer Survey'!O259)"),"Possibly")</f>
        <v>Possibly</v>
      </c>
      <c r="W252" s="60" t="str">
        <f ca="1">IFERROR(__xludf.DUMMYFUNCTION("QUERY('Volunteer Survey'!P259)"),"Pancreatic ")</f>
        <v xml:space="preserve">Pancreatic </v>
      </c>
      <c r="X252" s="58" t="str">
        <f ca="1">IFERROR(__xludf.DUMMYFUNCTION("QUERY('Volunteer Survey'!R259)"),"Yes- I am willing to volunteer with any available ClinGen group")</f>
        <v>Yes- I am willing to volunteer with any available ClinGen group</v>
      </c>
      <c r="Y252" s="47"/>
      <c r="Z252" s="174">
        <f ca="1">IFERROR(__xludf.DUMMYFUNCTION("QUERY('Volunteer Survey'!A251)"),43671.8877624537)</f>
        <v>43671.887762453698</v>
      </c>
      <c r="AA252" s="175" t="str">
        <f ca="1">IFERROR(__xludf.DUMMYFUNCTION("QUERY('Volunteer Survey'!B251)"),"Shahad Rahawi")</f>
        <v>Shahad Rahawi</v>
      </c>
      <c r="AB252" s="175" t="str">
        <f ca="1">IFERROR(__xludf.DUMMYFUNCTION("QUERY('Volunteer Survey'!C251)"),"Sema4 Genomics")</f>
        <v>Sema4 Genomics</v>
      </c>
      <c r="AC252" s="175" t="str">
        <f ca="1">IFERROR(__xludf.DUMMYFUNCTION("QUERY('Volunteer Survey'!D251)"),"2113 Lime Rock Court, El Cajon, CA 92019")</f>
        <v>2113 Lime Rock Court, El Cajon, CA 92019</v>
      </c>
      <c r="AD252" s="175" t="str">
        <f ca="1">IFERROR(__xludf.DUMMYFUNCTION("QUERY('Volunteer Survey'!E251)"),"shahadrahawi@gmail.com")</f>
        <v>shahadrahawi@gmail.com</v>
      </c>
      <c r="AE252" s="175" t="str">
        <f ca="1">IFERROR(__xludf.DUMMYFUNCTION("QUERY('Volunteer Survey'!F251)"),"Genetic counselor")</f>
        <v>Genetic counselor</v>
      </c>
      <c r="AF252" s="175" t="str">
        <f ca="1">IFERROR(__xludf.DUMMYFUNCTION("QUERY('Volunteer Survey'!G251)"),"Colleagues")</f>
        <v>Colleagues</v>
      </c>
      <c r="AG252" s="175" t="str">
        <f ca="1">IFERROR(__xludf.DUMMYFUNCTION("QUERY('Volunteer Survey'!H251)"),"Comprehensive")</f>
        <v>Comprehensive</v>
      </c>
      <c r="AH252" s="175" t="str">
        <f ca="1">IFERROR(__xludf.DUMMYFUNCTION("QUERY('Volunteer Survey'!I251)"),"Variant Pathogenicity")</f>
        <v>Variant Pathogenicity</v>
      </c>
      <c r="AI252" s="175" t="str">
        <f ca="1">IFERROR(__xludf.DUMMYFUNCTION("QUERY('Volunteer Survey'!J251)"),"Gene-Disease Validity")</f>
        <v>Gene-Disease Validity</v>
      </c>
      <c r="AJ252" s="175" t="str">
        <f ca="1">IFERROR(__xludf.DUMMYFUNCTION("QUERY('Volunteer Survey'!K251)"),"Clinical Actionability")</f>
        <v>Clinical Actionability</v>
      </c>
      <c r="AK252" s="175" t="str">
        <f ca="1">IFERROR(__xludf.DUMMYFUNCTION("QUERY('Volunteer Survey'!L251)"),"Dosage Sensitivity")</f>
        <v>Dosage Sensitivity</v>
      </c>
      <c r="AL252" s="175" t="str">
        <f ca="1">IFERROR(__xludf.DUMMYFUNCTION("QUERY('Volunteer Survey'!M251)"),"Somatic Cancer")</f>
        <v>Somatic Cancer</v>
      </c>
      <c r="AM252" s="175" t="str">
        <f ca="1">IFERROR(__xludf.DUMMYFUNCTION("QUERY('Volunteer Survey'!N251)"),"brief variant interpretation activities in ""analyze your genome"" class in grad school")</f>
        <v>brief variant interpretation activities in "analyze your genome" class in grad school</v>
      </c>
      <c r="AN252" s="175" t="str">
        <f ca="1">IFERROR(__xludf.DUMMYFUNCTION("QUERY('Volunteer Survey'!O251)"),"Possibly")</f>
        <v>Possibly</v>
      </c>
      <c r="AO252" s="175" t="str">
        <f ca="1">IFERROR(__xludf.DUMMYFUNCTION("QUERY('Volunteer Survey'!P251)"),"")</f>
        <v/>
      </c>
    </row>
    <row r="253" spans="1:41" ht="28">
      <c r="A253" s="44">
        <f ca="1">IFERROR(__xludf.DUMMYFUNCTION("QUERY('Volunteer Survey'!A260)"),43679.897445162)</f>
        <v>43679.897445162002</v>
      </c>
      <c r="B253" s="42" t="s">
        <v>322</v>
      </c>
      <c r="C253" s="47"/>
      <c r="D253" s="49"/>
      <c r="E253" s="49"/>
      <c r="F253" s="42" t="s">
        <v>130</v>
      </c>
      <c r="G253" s="42" t="s">
        <v>202</v>
      </c>
      <c r="H253" s="47"/>
      <c r="I253" s="45" t="s">
        <v>139</v>
      </c>
      <c r="J253" s="49"/>
      <c r="K253" s="49"/>
      <c r="L253" s="49" t="str">
        <f ca="1">IFERROR(__xludf.DUMMYFUNCTION("QUERY('Volunteer Survey'!B260)"),"NANDITA MULLAPUDI")</f>
        <v>NANDITA MULLAPUDI</v>
      </c>
      <c r="M253" s="49" t="str">
        <f ca="1">IFERROR(__xludf.DUMMYFUNCTION("QUERY('Volunteer Survey'!E260)"),"mnandita@gmail.com")</f>
        <v>mnandita@gmail.com</v>
      </c>
      <c r="N253" s="49" t="str">
        <f ca="1">IFERROR(__xludf.DUMMYFUNCTION("QUERY('Volunteer Survey'!F260)"),"Scientific Researcher")</f>
        <v>Scientific Researcher</v>
      </c>
      <c r="O253" s="42" t="str">
        <f ca="1">IFERROR(__xludf.DUMMYFUNCTION("QUERY('Volunteer Survey'!H260)"),"comprehensive")</f>
        <v>comprehensive</v>
      </c>
      <c r="P253" s="49" t="str">
        <f ca="1">IFERROR(__xludf.DUMMYFUNCTION("QUERY('Volunteer Survey'!I260)"),"")</f>
        <v/>
      </c>
      <c r="Q253" s="54" t="str">
        <f ca="1">IFERROR(__xludf.DUMMYFUNCTION("QUERY('Volunteer Survey'!J260)"),"")</f>
        <v/>
      </c>
      <c r="R253" s="49" t="str">
        <f ca="1">IFERROR(__xludf.DUMMYFUNCTION("QUERY('Volunteer Survey'!K260)"),"")</f>
        <v/>
      </c>
      <c r="S253" s="49" t="str">
        <f ca="1">IFERROR(__xludf.DUMMYFUNCTION("QUERY('Volunteer Survey'!L260)"),"")</f>
        <v/>
      </c>
      <c r="T253" s="49" t="str">
        <f ca="1">IFERROR(__xludf.DUMMYFUNCTION("QUERY('Volunteer Survey'!M260)"),"")</f>
        <v/>
      </c>
      <c r="U253" s="58" t="str">
        <f ca="1">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V253" s="49" t="str">
        <f ca="1">IFERROR(__xludf.DUMMYFUNCTION("QUERY('Volunteer Survey'!O260)"),"")</f>
        <v/>
      </c>
      <c r="W253" s="60" t="str">
        <f ca="1">IFERROR(__xludf.DUMMYFUNCTION("QUERY('Volunteer Survey'!P260)"),"Intellectual disability and autism, Mitochondrial diseases, Hearing loss, Familial hypercholesterolemia")</f>
        <v>Intellectual disability and autism, Mitochondrial diseases, Hearing loss, Familial hypercholesterolemia</v>
      </c>
      <c r="X253" s="58" t="str">
        <f ca="1">IFERROR(__xludf.DUMMYFUNCTION("QUERY('Volunteer Survey'!R260)"),"Yes- I am willing to volunteer with any available ClinGen group")</f>
        <v>Yes- I am willing to volunteer with any available ClinGen group</v>
      </c>
      <c r="Y253" s="45" t="s">
        <v>608</v>
      </c>
      <c r="Z253" s="174">
        <f ca="1">IFERROR(__xludf.DUMMYFUNCTION("QUERY('Volunteer Survey'!A252)"),43672.2475762268)</f>
        <v>43672.2475762268</v>
      </c>
      <c r="AA253" s="175" t="str">
        <f ca="1">IFERROR(__xludf.DUMMYFUNCTION("QUERY('Volunteer Survey'!B252)"),"John Beilby")</f>
        <v>John Beilby</v>
      </c>
      <c r="AB253" s="175" t="str">
        <f ca="1">IFERROR(__xludf.DUMMYFUNCTION("QUERY('Volunteer Survey'!C252)"),"PathWest")</f>
        <v>PathWest</v>
      </c>
      <c r="AC253" s="175" t="str">
        <f ca="1">IFERROR(__xludf.DUMMYFUNCTION("QUERY('Volunteer Survey'!D252)"),"Diagnostic Genomics, Level 2 PP Block, Queen Elizabeth II Medical Centre, Nedlands, WA. 6009")</f>
        <v>Diagnostic Genomics, Level 2 PP Block, Queen Elizabeth II Medical Centre, Nedlands, WA. 6009</v>
      </c>
      <c r="AD253" s="175" t="str">
        <f ca="1">IFERROR(__xludf.DUMMYFUNCTION("QUERY('Volunteer Survey'!E252)"),"John.Beilby@health.wa.gov.au")</f>
        <v>John.Beilby@health.wa.gov.au</v>
      </c>
      <c r="AE253" s="175" t="str">
        <f ca="1">IFERROR(__xludf.DUMMYFUNCTION("QUERY('Volunteer Survey'!F252)"),"Clinical laboratory geneticist")</f>
        <v>Clinical laboratory geneticist</v>
      </c>
      <c r="AF253" s="175" t="str">
        <f ca="1">IFERROR(__xludf.DUMMYFUNCTION("QUERY('Volunteer Survey'!G252)"),"The clinicalgenome.org website")</f>
        <v>The clinicalgenome.org website</v>
      </c>
      <c r="AG253" s="175" t="str">
        <f ca="1">IFERROR(__xludf.DUMMYFUNCTION("QUERY('Volunteer Survey'!H252)"),"Baseline")</f>
        <v>Baseline</v>
      </c>
      <c r="AH253" s="175" t="str">
        <f ca="1">IFERROR(__xludf.DUMMYFUNCTION("QUERY('Volunteer Survey'!I252)"),"Variant Pathogenicity")</f>
        <v>Variant Pathogenicity</v>
      </c>
      <c r="AI253" s="175" t="str">
        <f ca="1">IFERROR(__xludf.DUMMYFUNCTION("QUERY('Volunteer Survey'!J252)"),"Clinical Actionability")</f>
        <v>Clinical Actionability</v>
      </c>
      <c r="AJ253" s="175" t="str">
        <f ca="1">IFERROR(__xludf.DUMMYFUNCTION("QUERY('Volunteer Survey'!K252)"),"Dosage Sensitivity")</f>
        <v>Dosage Sensitivity</v>
      </c>
      <c r="AK253" s="175" t="str">
        <f ca="1">IFERROR(__xludf.DUMMYFUNCTION("QUERY('Volunteer Survey'!L252)"),"")</f>
        <v/>
      </c>
      <c r="AL253" s="175" t="str">
        <f ca="1">IFERROR(__xludf.DUMMYFUNCTION("QUERY('Volunteer Survey'!M252)"),"")</f>
        <v/>
      </c>
      <c r="AM253" s="175" t="str">
        <f ca="1">IFERROR(__xludf.DUMMYFUNCTION("QUERY('Volunteer Survey'!N252)"),"Regular classification of variants to incorporate into patient reports.")</f>
        <v>Regular classification of variants to incorporate into patient reports.</v>
      </c>
      <c r="AN253" s="175" t="str">
        <f ca="1">IFERROR(__xludf.DUMMYFUNCTION("QUERY('Volunteer Survey'!O252)"),"Possibly")</f>
        <v>Possibly</v>
      </c>
      <c r="AO253" s="175" t="str">
        <f ca="1">IFERROR(__xludf.DUMMYFUNCTION("QUERY('Volunteer Survey'!P252)"),"Cancer and cardiovascular diseases.")</f>
        <v>Cancer and cardiovascular diseases.</v>
      </c>
    </row>
    <row r="254" spans="1:41" ht="14">
      <c r="A254" s="44">
        <f ca="1">IFERROR(__xludf.DUMMYFUNCTION("QUERY('Volunteer Survey'!A261)"),43680.0504544212)</f>
        <v>43680.050454421202</v>
      </c>
      <c r="B254" s="42" t="s">
        <v>108</v>
      </c>
      <c r="C254" s="47"/>
      <c r="D254" s="49"/>
      <c r="E254" s="49"/>
      <c r="F254" s="42" t="s">
        <v>130</v>
      </c>
      <c r="G254" s="42" t="s">
        <v>202</v>
      </c>
      <c r="H254" s="47"/>
      <c r="I254" s="45" t="s">
        <v>139</v>
      </c>
      <c r="J254" s="49"/>
      <c r="K254" s="49"/>
      <c r="L254" s="49" t="str">
        <f ca="1">IFERROR(__xludf.DUMMYFUNCTION("QUERY('Volunteer Survey'!B261)"),"Hari Subramanian")</f>
        <v>Hari Subramanian</v>
      </c>
      <c r="M254" s="49" t="str">
        <f ca="1">IFERROR(__xludf.DUMMYFUNCTION("QUERY('Volunteer Survey'!E261)"),"hsubramanian@bsd.uchicago.edu")</f>
        <v>hsubramanian@bsd.uchicago.edu</v>
      </c>
      <c r="N254" s="49" t="str">
        <f ca="1">IFERROR(__xludf.DUMMYFUNCTION("QUERY('Volunteer Survey'!F261)"),"Bioinformatician, Clinical Diagnostics Lab")</f>
        <v>Bioinformatician, Clinical Diagnostics Lab</v>
      </c>
      <c r="O254" s="42" t="str">
        <f ca="1">IFERROR(__xludf.DUMMYFUNCTION("QUERY('Volunteer Survey'!H261)"),"Baseline")</f>
        <v>Baseline</v>
      </c>
      <c r="P254" s="49" t="str">
        <f ca="1">IFERROR(__xludf.DUMMYFUNCTION("QUERY('Volunteer Survey'!I261)"),"Dosage Sensitivity")</f>
        <v>Dosage Sensitivity</v>
      </c>
      <c r="Q254" s="54" t="str">
        <f ca="1">IFERROR(__xludf.DUMMYFUNCTION("QUERY('Volunteer Survey'!J261)"),"Variant Pathogenicity")</f>
        <v>Variant Pathogenicity</v>
      </c>
      <c r="R254" s="49" t="str">
        <f ca="1">IFERROR(__xludf.DUMMYFUNCTION("QUERY('Volunteer Survey'!K261)"),"Gene-Disease Validity")</f>
        <v>Gene-Disease Validity</v>
      </c>
      <c r="S254" s="49" t="str">
        <f ca="1">IFERROR(__xludf.DUMMYFUNCTION("QUERY('Volunteer Survey'!L261)"),"Somatic Cancer")</f>
        <v>Somatic Cancer</v>
      </c>
      <c r="T254" s="49" t="str">
        <f ca="1">IFERROR(__xludf.DUMMYFUNCTION("QUERY('Volunteer Survey'!M261)"),"")</f>
        <v/>
      </c>
      <c r="U254" s="58" t="str">
        <f ca="1">IFERROR(__xludf.DUMMYFUNCTION("QUERY('Volunteer Survey'!N261)"),"")</f>
        <v/>
      </c>
      <c r="V254" s="49" t="str">
        <f ca="1">IFERROR(__xludf.DUMMYFUNCTION("QUERY('Volunteer Survey'!O261)"),"Possibly")</f>
        <v>Possibly</v>
      </c>
      <c r="W254" s="60" t="str">
        <f ca="1">IFERROR(__xludf.DUMMYFUNCTION("QUERY('Volunteer Survey'!P261)"),"")</f>
        <v/>
      </c>
      <c r="X254" s="58" t="str">
        <f ca="1">IFERROR(__xludf.DUMMYFUNCTION("QUERY('Volunteer Survey'!R261)"),"Maybe -- please contact me with other options, and I will decide based on what is available")</f>
        <v>Maybe -- please contact me with other options, and I will decide based on what is available</v>
      </c>
      <c r="Y254" s="47"/>
      <c r="Z254" s="174">
        <f ca="1">IFERROR(__xludf.DUMMYFUNCTION("QUERY('Volunteer Survey'!A253)"),43673.0787835648)</f>
        <v>43673.078783564801</v>
      </c>
      <c r="AA254" s="175" t="str">
        <f ca="1">IFERROR(__xludf.DUMMYFUNCTION("QUERY('Volunteer Survey'!B253)"),"Parham Habibzadeh")</f>
        <v>Parham Habibzadeh</v>
      </c>
      <c r="AB254" s="175" t="str">
        <f ca="1">IFERROR(__xludf.DUMMYFUNCTION("QUERY('Volunteer Survey'!C253)"),"Persian Bayangene Research and Training Center, Shiraz University of Medical Sciences")</f>
        <v>Persian Bayangene Research and Training Center, Shiraz University of Medical Sciences</v>
      </c>
      <c r="AC254" s="175" t="str">
        <f ca="1">IFERROR(__xludf.DUMMYFUNCTION("QUERY('Volunteer Survey'!D253)"),"")</f>
        <v/>
      </c>
      <c r="AD254" s="175" t="str">
        <f ca="1">IFERROR(__xludf.DUMMYFUNCTION("QUERY('Volunteer Survey'!E253)"),"parham.habibzadeh@yahoo.com")</f>
        <v>parham.habibzadeh@yahoo.com</v>
      </c>
      <c r="AE254" s="175" t="str">
        <f ca="1">IFERROR(__xludf.DUMMYFUNCTION("QUERY('Volunteer Survey'!F253)"),"Scientific Researcher")</f>
        <v>Scientific Researcher</v>
      </c>
      <c r="AF254" s="175" t="str">
        <f ca="1">IFERROR(__xludf.DUMMYFUNCTION("QUERY('Volunteer Survey'!G253)"),"Youtube")</f>
        <v>Youtube</v>
      </c>
      <c r="AG254" s="175" t="str">
        <f ca="1">IFERROR(__xludf.DUMMYFUNCTION("QUERY('Volunteer Survey'!H253)"),"Comprehensive")</f>
        <v>Comprehensive</v>
      </c>
      <c r="AH254" s="175" t="str">
        <f ca="1">IFERROR(__xludf.DUMMYFUNCTION("QUERY('Volunteer Survey'!I253)"),"Clinical Actionability")</f>
        <v>Clinical Actionability</v>
      </c>
      <c r="AI254" s="175" t="str">
        <f ca="1">IFERROR(__xludf.DUMMYFUNCTION("QUERY('Volunteer Survey'!J253)"),"Variant Pathogenicity")</f>
        <v>Variant Pathogenicity</v>
      </c>
      <c r="AJ254" s="175" t="str">
        <f ca="1">IFERROR(__xludf.DUMMYFUNCTION("QUERY('Volunteer Survey'!K253)"),"Gene-Disease Validity")</f>
        <v>Gene-Disease Validity</v>
      </c>
      <c r="AK254" s="175" t="str">
        <f ca="1">IFERROR(__xludf.DUMMYFUNCTION("QUERY('Volunteer Survey'!L253)"),"")</f>
        <v/>
      </c>
      <c r="AL254" s="175" t="str">
        <f ca="1">IFERROR(__xludf.DUMMYFUNCTION("QUERY('Volunteer Survey'!M253)"),"")</f>
        <v/>
      </c>
      <c r="AM254" s="175" t="str">
        <f ca="1">IFERROR(__xludf.DUMMYFUNCTION("QUERY('Volunteer Survey'!N253)"),"")</f>
        <v/>
      </c>
      <c r="AN254" s="175" t="str">
        <f ca="1">IFERROR(__xludf.DUMMYFUNCTION("QUERY('Volunteer Survey'!O253)"),"Possibly")</f>
        <v>Possibly</v>
      </c>
      <c r="AO254" s="175" t="str">
        <f ca="1">IFERROR(__xludf.DUMMYFUNCTION("QUERY('Volunteer Survey'!P253)"),"Cardiomyopathy, Brain Malformations")</f>
        <v>Cardiomyopathy, Brain Malformations</v>
      </c>
    </row>
    <row r="255" spans="1:41" ht="14">
      <c r="A255" s="44">
        <f ca="1">IFERROR(__xludf.DUMMYFUNCTION("QUERY('Volunteer Survey'!A262)"),43684.3987829513)</f>
        <v>43684.398782951299</v>
      </c>
      <c r="B255" s="42" t="s">
        <v>108</v>
      </c>
      <c r="C255" s="73">
        <v>43819</v>
      </c>
      <c r="D255" s="49"/>
      <c r="E255" s="49"/>
      <c r="F255" s="42" t="s">
        <v>130</v>
      </c>
      <c r="G255" s="42" t="s">
        <v>251</v>
      </c>
      <c r="H255" s="47"/>
      <c r="I255" s="45" t="s">
        <v>139</v>
      </c>
      <c r="J255" s="49"/>
      <c r="K255" s="49"/>
      <c r="L255" s="49" t="str">
        <f ca="1">IFERROR(__xludf.DUMMYFUNCTION("QUERY('Volunteer Survey'!B262)"),"Georgios Tsaousis")</f>
        <v>Georgios Tsaousis</v>
      </c>
      <c r="M255" s="49" t="str">
        <f ca="1">IFERROR(__xludf.DUMMYFUNCTION("QUERY('Volunteer Survey'!E262)"),"gtsaousis@genekor.com")</f>
        <v>gtsaousis@genekor.com</v>
      </c>
      <c r="N255" s="49" t="str">
        <f ca="1">IFERROR(__xludf.DUMMYFUNCTION("QUERY('Volunteer Survey'!F262)"),"Variant Analyst/Scientist - Industry")</f>
        <v>Variant Analyst/Scientist - Industry</v>
      </c>
      <c r="O255" s="42" t="str">
        <f ca="1">IFERROR(__xludf.DUMMYFUNCTION("QUERY('Volunteer Survey'!H262)"),"Comprehensive")</f>
        <v>Comprehensive</v>
      </c>
      <c r="P255" s="49" t="str">
        <f ca="1">IFERROR(__xludf.DUMMYFUNCTION("QUERY('Volunteer Survey'!I262)"),"Variant Pathogenicity")</f>
        <v>Variant Pathogenicity</v>
      </c>
      <c r="Q255" s="54" t="str">
        <f ca="1">IFERROR(__xludf.DUMMYFUNCTION("QUERY('Volunteer Survey'!J262)"),"Gene-Disease Validity")</f>
        <v>Gene-Disease Validity</v>
      </c>
      <c r="R255" s="49" t="str">
        <f ca="1">IFERROR(__xludf.DUMMYFUNCTION("QUERY('Volunteer Survey'!K262)"),"Clinical Actionability")</f>
        <v>Clinical Actionability</v>
      </c>
      <c r="S255" s="49" t="str">
        <f ca="1">IFERROR(__xludf.DUMMYFUNCTION("QUERY('Volunteer Survey'!L262)"),"Somatic Cancer")</f>
        <v>Somatic Cancer</v>
      </c>
      <c r="T255" s="49" t="str">
        <f ca="1">IFERROR(__xludf.DUMMYFUNCTION("QUERY('Volunteer Survey'!M262)"),"Dosage Sensitivity")</f>
        <v>Dosage Sensitivity</v>
      </c>
      <c r="U255" s="58" t="str">
        <f ca="1">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V255" s="49" t="str">
        <f ca="1">IFERROR(__xludf.DUMMYFUNCTION("QUERY('Volunteer Survey'!O262)"),"Possibly")</f>
        <v>Possibly</v>
      </c>
      <c r="W255" s="60" t="str">
        <f ca="1">IFERROR(__xludf.DUMMYFUNCTION("QUERY('Volunteer Survey'!P262)"),"Hereditary Cancer, Somatic/Germline Variant Curation, Colorectal Cancer, PTEN, TP53, CDH1")</f>
        <v>Hereditary Cancer, Somatic/Germline Variant Curation, Colorectal Cancer, PTEN, TP53, CDH1</v>
      </c>
      <c r="X255" s="58" t="str">
        <f ca="1">IFERROR(__xludf.DUMMYFUNCTION("QUERY('Volunteer Survey'!R262)"),"Maybe -- please contact me with other options, and I will decide based on what is available")</f>
        <v>Maybe -- please contact me with other options, and I will decide based on what is available</v>
      </c>
      <c r="Y255" s="47"/>
      <c r="Z255" s="174">
        <f ca="1">IFERROR(__xludf.DUMMYFUNCTION("QUERY('Volunteer Survey'!A254)"),43674.4216592476)</f>
        <v>43674.4216592476</v>
      </c>
      <c r="AA255" s="175" t="str">
        <f ca="1">IFERROR(__xludf.DUMMYFUNCTION("QUERY('Volunteer Survey'!B254)"),"Xiaolin Hu")</f>
        <v>Xiaolin Hu</v>
      </c>
      <c r="AB255" s="175" t="str">
        <f ca="1">IFERROR(__xludf.DUMMYFUNCTION("QUERY('Volunteer Survey'!C254)"),"Cincinnati Children's hospital")</f>
        <v>Cincinnati Children's hospital</v>
      </c>
      <c r="AC255" s="175" t="str">
        <f ca="1">IFERROR(__xludf.DUMMYFUNCTION("QUERY('Volunteer Survey'!D254)"),"3333 Burnet ave, Cincinnati, OH, 45219")</f>
        <v>3333 Burnet ave, Cincinnati, OH, 45219</v>
      </c>
      <c r="AD255" s="175" t="str">
        <f ca="1">IFERROR(__xludf.DUMMYFUNCTION("QUERY('Volunteer Survey'!E254)"),"xiaolin.hu@cchmc.org")</f>
        <v>xiaolin.hu@cchmc.org</v>
      </c>
      <c r="AE255" s="175" t="str">
        <f ca="1">IFERROR(__xludf.DUMMYFUNCTION("QUERY('Volunteer Survey'!F254)"),"Post Doc/Resident/Fellow (MD and/or PhD)")</f>
        <v>Post Doc/Resident/Fellow (MD and/or PhD)</v>
      </c>
      <c r="AF255" s="175" t="str">
        <f ca="1">IFERROR(__xludf.DUMMYFUNCTION("QUERY('Volunteer Survey'!G254)"),"ACMG Conference 2019")</f>
        <v>ACMG Conference 2019</v>
      </c>
      <c r="AG255" s="175" t="str">
        <f ca="1">IFERROR(__xludf.DUMMYFUNCTION("QUERY('Volunteer Survey'!H254)"),"Comprehensive")</f>
        <v>Comprehensive</v>
      </c>
      <c r="AH255" s="175" t="str">
        <f ca="1">IFERROR(__xludf.DUMMYFUNCTION("QUERY('Volunteer Survey'!I254)"),"Clinical Actionability")</f>
        <v>Clinical Actionability</v>
      </c>
      <c r="AI255" s="175" t="str">
        <f ca="1">IFERROR(__xludf.DUMMYFUNCTION("QUERY('Volunteer Survey'!J254)"),"Somatic Cancer")</f>
        <v>Somatic Cancer</v>
      </c>
      <c r="AJ255" s="175" t="str">
        <f ca="1">IFERROR(__xludf.DUMMYFUNCTION("QUERY('Volunteer Survey'!K254)"),"Gene-Disease Validity")</f>
        <v>Gene-Disease Validity</v>
      </c>
      <c r="AK255" s="175" t="str">
        <f ca="1">IFERROR(__xludf.DUMMYFUNCTION("QUERY('Volunteer Survey'!L254)"),"Variant Pathogenicity")</f>
        <v>Variant Pathogenicity</v>
      </c>
      <c r="AL255" s="175" t="str">
        <f ca="1">IFERROR(__xludf.DUMMYFUNCTION("QUERY('Volunteer Survey'!M254)"),"Dosage Sensitivity")</f>
        <v>Dosage Sensitivity</v>
      </c>
      <c r="AM255" s="175" t="str">
        <f ca="1">IFERROR(__xludf.DUMMYFUNCTION("QUERY('Volunteer Survey'!N254)"),"Yes, as part of our fellow's training")</f>
        <v>Yes, as part of our fellow's training</v>
      </c>
      <c r="AN255" s="175" t="str">
        <f ca="1">IFERROR(__xludf.DUMMYFUNCTION("QUERY('Volunteer Survey'!O254)"),"Yes")</f>
        <v>Yes</v>
      </c>
      <c r="AO255" s="175" t="str">
        <f ca="1">IFERROR(__xludf.DUMMYFUNCTION("QUERY('Volunteer Survey'!P254)"),"hereditary cancer, somatic cancer, Mitochondrial Diseases")</f>
        <v>hereditary cancer, somatic cancer, Mitochondrial Diseases</v>
      </c>
    </row>
    <row r="256" spans="1:41" ht="14">
      <c r="A256" s="44">
        <f ca="1">IFERROR(__xludf.DUMMYFUNCTION("QUERY('Volunteer Survey'!A263)"),43684.4028878587)</f>
        <v>43684.402887858698</v>
      </c>
      <c r="B256" s="42" t="s">
        <v>108</v>
      </c>
      <c r="C256" s="73">
        <v>43819</v>
      </c>
      <c r="D256" s="49"/>
      <c r="E256" s="49"/>
      <c r="F256" s="42" t="s">
        <v>130</v>
      </c>
      <c r="G256" s="42" t="s">
        <v>251</v>
      </c>
      <c r="H256" s="47"/>
      <c r="I256" s="45" t="s">
        <v>139</v>
      </c>
      <c r="J256" s="49"/>
      <c r="K256" s="49"/>
      <c r="L256" s="49" t="str">
        <f ca="1">IFERROR(__xludf.DUMMYFUNCTION("QUERY('Volunteer Survey'!B263)"),"Jessica Hatton")</f>
        <v>Jessica Hatton</v>
      </c>
      <c r="M256" s="49" t="str">
        <f ca="1">IFERROR(__xludf.DUMMYFUNCTION("QUERY('Volunteer Survey'!E263)"),"jessica.hatton@nih.gov")</f>
        <v>jessica.hatton@nih.gov</v>
      </c>
      <c r="N256" s="49" t="str">
        <f ca="1">IFERROR(__xludf.DUMMYFUNCTION("QUERY('Volunteer Survey'!F263)"),"Genetic counselor")</f>
        <v>Genetic counselor</v>
      </c>
      <c r="O256" s="42" t="str">
        <f ca="1">IFERROR(__xludf.DUMMYFUNCTION("QUERY('Volunteer Survey'!H263)"),"Comprehensive")</f>
        <v>Comprehensive</v>
      </c>
      <c r="P256" s="49" t="str">
        <f ca="1">IFERROR(__xludf.DUMMYFUNCTION("QUERY('Volunteer Survey'!I263)"),"Variant Pathogenicity")</f>
        <v>Variant Pathogenicity</v>
      </c>
      <c r="Q256" s="54" t="str">
        <f ca="1">IFERROR(__xludf.DUMMYFUNCTION("QUERY('Volunteer Survey'!J263)"),"")</f>
        <v/>
      </c>
      <c r="R256" s="49" t="str">
        <f ca="1">IFERROR(__xludf.DUMMYFUNCTION("QUERY('Volunteer Survey'!K263)"),"")</f>
        <v/>
      </c>
      <c r="S256" s="49" t="str">
        <f ca="1">IFERROR(__xludf.DUMMYFUNCTION("QUERY('Volunteer Survey'!L263)"),"")</f>
        <v/>
      </c>
      <c r="T256" s="49" t="str">
        <f ca="1">IFERROR(__xludf.DUMMYFUNCTION("QUERY('Volunteer Survey'!M263)"),"")</f>
        <v/>
      </c>
      <c r="U256" s="58" t="str">
        <f ca="1">IFERROR(__xludf.DUMMYFUNCTION("QUERY('Volunteer Survey'!N263)"),"No")</f>
        <v>No</v>
      </c>
      <c r="V256" s="49" t="str">
        <f ca="1">IFERROR(__xludf.DUMMYFUNCTION("QUERY('Volunteer Survey'!O263)"),"Possibly")</f>
        <v>Possibly</v>
      </c>
      <c r="W256" s="60" t="str">
        <f ca="1">IFERROR(__xludf.DUMMYFUNCTION("QUERY('Volunteer Survey'!P263)"),"TP53")</f>
        <v>TP53</v>
      </c>
      <c r="X256" s="58" t="str">
        <f ca="1">IFERROR(__xludf.DUMMYFUNCTION("QUERY('Volunteer Survey'!R263)"),"No - I am only interested in the group(s) I previously indicated")</f>
        <v>No - I am only interested in the group(s) I previously indicated</v>
      </c>
      <c r="Y256" s="47"/>
      <c r="Z256" s="174">
        <f ca="1">IFERROR(__xludf.DUMMYFUNCTION("QUERY('Volunteer Survey'!A255)"),43674.6812514004)</f>
        <v>43674.681251400398</v>
      </c>
      <c r="AA256" s="175" t="str">
        <f ca="1">IFERROR(__xludf.DUMMYFUNCTION("QUERY('Volunteer Survey'!B255)"),"Leighton Telling")</f>
        <v>Leighton Telling</v>
      </c>
      <c r="AB256" s="175" t="str">
        <f ca="1">IFERROR(__xludf.DUMMYFUNCTION("QUERY('Volunteer Survey'!C255)"),"Formerly UNC")</f>
        <v>Formerly UNC</v>
      </c>
      <c r="AC256" s="175" t="str">
        <f ca="1">IFERROR(__xludf.DUMMYFUNCTION("QUERY('Volunteer Survey'!D255)"),"")</f>
        <v/>
      </c>
      <c r="AD256" s="175" t="str">
        <f ca="1">IFERROR(__xludf.DUMMYFUNCTION("QUERY('Volunteer Survey'!E255)"),"lptellin@ncsu.edu")</f>
        <v>lptellin@ncsu.edu</v>
      </c>
      <c r="AE256" s="175" t="str">
        <f ca="1">IFERROR(__xludf.DUMMYFUNCTION("QUERY('Volunteer Survey'!F255)"),"Former UNC ClinGen Research Assistant")</f>
        <v>Former UNC ClinGen Research Assistant</v>
      </c>
      <c r="AF256" s="175" t="str">
        <f ca="1">IFERROR(__xludf.DUMMYFUNCTION("QUERY('Volunteer Survey'!G255)"),"Colleagues")</f>
        <v>Colleagues</v>
      </c>
      <c r="AG256" s="175" t="str">
        <f ca="1">IFERROR(__xludf.DUMMYFUNCTION("QUERY('Volunteer Survey'!H255)"),"Comprehensive")</f>
        <v>Comprehensive</v>
      </c>
      <c r="AH256" s="175" t="str">
        <f ca="1">IFERROR(__xludf.DUMMYFUNCTION("QUERY('Volunteer Survey'!I255)"),"Variant Pathogenicity")</f>
        <v>Variant Pathogenicity</v>
      </c>
      <c r="AI256" s="175" t="str">
        <f ca="1">IFERROR(__xludf.DUMMYFUNCTION("QUERY('Volunteer Survey'!J255)"),"")</f>
        <v/>
      </c>
      <c r="AJ256" s="175" t="str">
        <f ca="1">IFERROR(__xludf.DUMMYFUNCTION("QUERY('Volunteer Survey'!K255)"),"")</f>
        <v/>
      </c>
      <c r="AK256" s="175" t="str">
        <f ca="1">IFERROR(__xludf.DUMMYFUNCTION("QUERY('Volunteer Survey'!L255)"),"")</f>
        <v/>
      </c>
      <c r="AL256" s="175" t="str">
        <f ca="1">IFERROR(__xludf.DUMMYFUNCTION("QUERY('Volunteer Survey'!M255)"),"")</f>
        <v/>
      </c>
      <c r="AM256" s="175" t="str">
        <f ca="1">IFERROR(__xludf.DUMMYFUNCTION("QUERY('Volunteer Survey'!N255)"),"")</f>
        <v/>
      </c>
      <c r="AN256" s="175" t="str">
        <f ca="1">IFERROR(__xludf.DUMMYFUNCTION("QUERY('Volunteer Survey'!O255)"),"Yes")</f>
        <v>Yes</v>
      </c>
      <c r="AO256" s="175" t="str">
        <f ca="1">IFERROR(__xludf.DUMMYFUNCTION("QUERY('Volunteer Survey'!P255)"),"N/A")</f>
        <v>N/A</v>
      </c>
    </row>
    <row r="257" spans="1:41" ht="14">
      <c r="A257" s="44">
        <f ca="1">IFERROR(__xludf.DUMMYFUNCTION("QUERY('Volunteer Survey'!A264)"),43684.6868770833)</f>
        <v>43684.686877083303</v>
      </c>
      <c r="B257" s="42" t="s">
        <v>108</v>
      </c>
      <c r="C257" s="73">
        <v>43819</v>
      </c>
      <c r="D257" s="49"/>
      <c r="E257" s="49"/>
      <c r="F257" s="42" t="s">
        <v>130</v>
      </c>
      <c r="G257" s="42" t="s">
        <v>251</v>
      </c>
      <c r="H257" s="47"/>
      <c r="I257" s="45" t="s">
        <v>139</v>
      </c>
      <c r="J257" s="49"/>
      <c r="K257" s="49"/>
      <c r="L257" s="49" t="str">
        <f ca="1">IFERROR(__xludf.DUMMYFUNCTION("QUERY('Volunteer Survey'!B264)"),"Xia Tian")</f>
        <v>Xia Tian</v>
      </c>
      <c r="M257" s="49" t="str">
        <f ca="1">IFERROR(__xludf.DUMMYFUNCTION("QUERY('Volunteer Survey'!E264)"),"xtian@wuxinextcode.com")</f>
        <v>xtian@wuxinextcode.com</v>
      </c>
      <c r="N257" s="49" t="str">
        <f ca="1">IFERROR(__xludf.DUMMYFUNCTION("QUERY('Volunteer Survey'!F264)"),"Variant Analyst/Scientist - Industry")</f>
        <v>Variant Analyst/Scientist - Industry</v>
      </c>
      <c r="O257" s="42" t="str">
        <f ca="1">IFERROR(__xludf.DUMMYFUNCTION("QUERY('Volunteer Survey'!H264)"),"Comprehensive")</f>
        <v>Comprehensive</v>
      </c>
      <c r="P257" s="49" t="str">
        <f ca="1">IFERROR(__xludf.DUMMYFUNCTION("QUERY('Volunteer Survey'!I264)"),"Variant Pathogenicity")</f>
        <v>Variant Pathogenicity</v>
      </c>
      <c r="Q257" s="54" t="str">
        <f ca="1">IFERROR(__xludf.DUMMYFUNCTION("QUERY('Volunteer Survey'!J264)"),"Somatic Cancer")</f>
        <v>Somatic Cancer</v>
      </c>
      <c r="R257" s="49" t="str">
        <f ca="1">IFERROR(__xludf.DUMMYFUNCTION("QUERY('Volunteer Survey'!K264)"),"Gene-Disease Validity")</f>
        <v>Gene-Disease Validity</v>
      </c>
      <c r="S257" s="49" t="str">
        <f ca="1">IFERROR(__xludf.DUMMYFUNCTION("QUERY('Volunteer Survey'!L264)"),"Dosage Sensitivity")</f>
        <v>Dosage Sensitivity</v>
      </c>
      <c r="T257" s="49" t="str">
        <f ca="1">IFERROR(__xludf.DUMMYFUNCTION("QUERY('Volunteer Survey'!M264)"),"Clinical Actionability")</f>
        <v>Clinical Actionability</v>
      </c>
      <c r="U257" s="58" t="str">
        <f ca="1">IFERROR(__xludf.DUMMYFUNCTION("QUERY('Volunteer Survey'!N264)"),"eight years' experience of gene/variant curation and clinical case review")</f>
        <v>eight years' experience of gene/variant curation and clinical case review</v>
      </c>
      <c r="V257" s="49" t="str">
        <f ca="1">IFERROR(__xludf.DUMMYFUNCTION("QUERY('Volunteer Survey'!O264)"),"Yes")</f>
        <v>Yes</v>
      </c>
      <c r="W257" s="60" t="str">
        <f ca="1">IFERROR(__xludf.DUMMYFUNCTION("QUERY('Volunteer Survey'!P264)"),"Mitochondrial Diseases(gene/variant) and Somatic Cancer")</f>
        <v>Mitochondrial Diseases(gene/variant) and Somatic Cancer</v>
      </c>
      <c r="X257" s="58" t="str">
        <f ca="1">IFERROR(__xludf.DUMMYFUNCTION("QUERY('Volunteer Survey'!R264)"),"Yes- I am willing to volunteer with any available ClinGen group")</f>
        <v>Yes- I am willing to volunteer with any available ClinGen group</v>
      </c>
      <c r="Y257" s="47"/>
      <c r="Z257" s="174">
        <f ca="1">IFERROR(__xludf.DUMMYFUNCTION("QUERY('Volunteer Survey'!A256)"),43675.6438709027)</f>
        <v>43675.643870902699</v>
      </c>
      <c r="AA257" s="175" t="str">
        <f ca="1">IFERROR(__xludf.DUMMYFUNCTION("QUERY('Volunteer Survey'!B256)"),"Panieh Terraf")</f>
        <v>Panieh Terraf</v>
      </c>
      <c r="AB257" s="175" t="str">
        <f ca="1">IFERROR(__xludf.DUMMYFUNCTION("QUERY('Volunteer Survey'!C256)"),"Harvard Medical School - Brigham and Women's Hospital")</f>
        <v>Harvard Medical School - Brigham and Women's Hospital</v>
      </c>
      <c r="AC257" s="175" t="str">
        <f ca="1">IFERROR(__xludf.DUMMYFUNCTION("QUERY('Volunteer Survey'!D256)"),"75 Francis St. Boston MA 02115 - Dept. of Pathology ")</f>
        <v xml:space="preserve">75 Francis St. Boston MA 02115 - Dept. of Pathology </v>
      </c>
      <c r="AD257" s="175" t="str">
        <f ca="1">IFERROR(__xludf.DUMMYFUNCTION("QUERY('Volunteer Survey'!E256)"),"pterraf@bwh.harvard.edu")</f>
        <v>pterraf@bwh.harvard.edu</v>
      </c>
      <c r="AE257" s="175" t="str">
        <f ca="1">IFERROR(__xludf.DUMMYFUNCTION("QUERY('Volunteer Survey'!F256)"),"Clinical laboratory geneticist")</f>
        <v>Clinical laboratory geneticist</v>
      </c>
      <c r="AF257" s="175" t="str">
        <f ca="1">IFERROR(__xludf.DUMMYFUNCTION("QUERY('Volunteer Survey'!G256)"),"Colleagues")</f>
        <v>Colleagues</v>
      </c>
      <c r="AG257" s="175" t="str">
        <f ca="1">IFERROR(__xludf.DUMMYFUNCTION("QUERY('Volunteer Survey'!H256)"),"Comprehensive")</f>
        <v>Comprehensive</v>
      </c>
      <c r="AH257" s="175" t="str">
        <f ca="1">IFERROR(__xludf.DUMMYFUNCTION("QUERY('Volunteer Survey'!I256)"),"Somatic Cancer")</f>
        <v>Somatic Cancer</v>
      </c>
      <c r="AI257" s="175" t="str">
        <f ca="1">IFERROR(__xludf.DUMMYFUNCTION("QUERY('Volunteer Survey'!J256)"),"Variant Pathogenicity, Dosage Sensitivity")</f>
        <v>Variant Pathogenicity, Dosage Sensitivity</v>
      </c>
      <c r="AJ257" s="175" t="str">
        <f ca="1">IFERROR(__xludf.DUMMYFUNCTION("QUERY('Volunteer Survey'!K256)"),"Gene-Disease Validity")</f>
        <v>Gene-Disease Validity</v>
      </c>
      <c r="AK257" s="175" t="str">
        <f ca="1">IFERROR(__xludf.DUMMYFUNCTION("QUERY('Volunteer Survey'!L256)"),"Clinical Actionability")</f>
        <v>Clinical Actionability</v>
      </c>
      <c r="AL257" s="175" t="str">
        <f ca="1">IFERROR(__xludf.DUMMYFUNCTION("QUERY('Volunteer Survey'!M256)"),"")</f>
        <v/>
      </c>
      <c r="AM257" s="175" t="str">
        <f ca="1">IFERROR(__xludf.DUMMYFUNCTION("QUERY('Volunteer Survey'!N256)"),"Yes, in somatic cancer variant curation through my clinical training at the Brigham and Women's Hospital. ")</f>
        <v xml:space="preserve">Yes, in somatic cancer variant curation through my clinical training at the Brigham and Women's Hospital. </v>
      </c>
      <c r="AN257" s="175" t="str">
        <f ca="1">IFERROR(__xludf.DUMMYFUNCTION("QUERY('Volunteer Survey'!O256)"),"No")</f>
        <v>No</v>
      </c>
      <c r="AO257" s="175" t="str">
        <f ca="1">IFERROR(__xludf.DUMMYFUNCTION("QUERY('Volunteer Survey'!P256)"),"Variant curation: myeloid malignancy, colorectal cancer, cardiomyopathy 
Somatic cancer working group: All, particularly pediatrics.
Dosage sensitivity: hereditary cancers, neurodevelopmental ")</f>
        <v xml:space="preserve">Variant curation: myeloid malignancy, colorectal cancer, cardiomyopathy 
Somatic cancer working group: All, particularly pediatrics.
Dosage sensitivity: hereditary cancers, neurodevelopmental </v>
      </c>
    </row>
    <row r="258" spans="1:41" ht="14">
      <c r="A258" s="44">
        <f ca="1">IFERROR(__xludf.DUMMYFUNCTION("QUERY('Volunteer Survey'!A265)"),43685.4674890046)</f>
        <v>43685.467489004601</v>
      </c>
      <c r="B258" s="42" t="s">
        <v>108</v>
      </c>
      <c r="C258" s="73">
        <v>43819</v>
      </c>
      <c r="D258" s="49"/>
      <c r="E258" s="49"/>
      <c r="F258" s="42" t="s">
        <v>130</v>
      </c>
      <c r="G258" s="42" t="s">
        <v>122</v>
      </c>
      <c r="H258" s="47"/>
      <c r="I258" s="45" t="s">
        <v>139</v>
      </c>
      <c r="J258" s="49"/>
      <c r="K258" s="49"/>
      <c r="L258" s="49" t="str">
        <f ca="1">IFERROR(__xludf.DUMMYFUNCTION("QUERY('Volunteer Survey'!B265)"),"MEGHA DANI")</f>
        <v>MEGHA DANI</v>
      </c>
      <c r="M258" s="49" t="str">
        <f ca="1">IFERROR(__xludf.DUMMYFUNCTION("QUERY('Volunteer Survey'!E265)"),"meghamdani@gmail.com")</f>
        <v>meghamdani@gmail.com</v>
      </c>
      <c r="N258" s="49" t="str">
        <f ca="1">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O258" s="42" t="str">
        <f ca="1">IFERROR(__xludf.DUMMYFUNCTION("QUERY('Volunteer Survey'!H265)"),"Comprehensive")</f>
        <v>Comprehensive</v>
      </c>
      <c r="P258" s="49" t="str">
        <f ca="1">IFERROR(__xludf.DUMMYFUNCTION("QUERY('Volunteer Survey'!I265)"),"Gene-Disease Validity")</f>
        <v>Gene-Disease Validity</v>
      </c>
      <c r="Q258" s="54" t="str">
        <f ca="1">IFERROR(__xludf.DUMMYFUNCTION("QUERY('Volunteer Survey'!J265)"),"Clinical Actionability")</f>
        <v>Clinical Actionability</v>
      </c>
      <c r="R258" s="49" t="str">
        <f ca="1">IFERROR(__xludf.DUMMYFUNCTION("QUERY('Volunteer Survey'!K265)"),"Variant Pathogenicity")</f>
        <v>Variant Pathogenicity</v>
      </c>
      <c r="S258" s="49" t="str">
        <f ca="1">IFERROR(__xludf.DUMMYFUNCTION("QUERY('Volunteer Survey'!L265)"),"Dosage Sensitivity")</f>
        <v>Dosage Sensitivity</v>
      </c>
      <c r="T258" s="49" t="str">
        <f ca="1">IFERROR(__xludf.DUMMYFUNCTION("QUERY('Volunteer Survey'!M265)"),"Somatic Cancer")</f>
        <v>Somatic Cancer</v>
      </c>
      <c r="U258" s="58" t="str">
        <f ca="1">IFERROR(__xludf.DUMMYFUNCTION("QUERY('Volunteer Survey'!N265)"),"No")</f>
        <v>No</v>
      </c>
      <c r="V258" s="49" t="str">
        <f ca="1">IFERROR(__xludf.DUMMYFUNCTION("QUERY('Volunteer Survey'!O265)"),"Yes")</f>
        <v>Yes</v>
      </c>
      <c r="W258" s="60" t="str">
        <f ca="1">IFERROR(__xludf.DUMMYFUNCTION("QUERY('Volunteer Survey'!P265)"),"Yes")</f>
        <v>Yes</v>
      </c>
      <c r="X258" s="58" t="str">
        <f ca="1">IFERROR(__xludf.DUMMYFUNCTION("QUERY('Volunteer Survey'!R265)"),"Yes- I am willing to volunteer with any available ClinGen group")</f>
        <v>Yes- I am willing to volunteer with any available ClinGen group</v>
      </c>
      <c r="Y258" s="47"/>
      <c r="Z258" s="174">
        <f ca="1">IFERROR(__xludf.DUMMYFUNCTION("QUERY('Volunteer Survey'!A257)"),43677.4619924884)</f>
        <v>43677.461992488403</v>
      </c>
      <c r="AA258" s="175" t="str">
        <f ca="1">IFERROR(__xludf.DUMMYFUNCTION("QUERY('Volunteer Survey'!B257)"),"Jennifer Hull")</f>
        <v>Jennifer Hull</v>
      </c>
      <c r="AB258" s="175" t="str">
        <f ca="1">IFERROR(__xludf.DUMMYFUNCTION("QUERY('Volunteer Survey'!C257)"),"Keck Graduate Institute (KGI)")</f>
        <v>Keck Graduate Institute (KGI)</v>
      </c>
      <c r="AC258" s="175" t="str">
        <f ca="1">IFERROR(__xludf.DUMMYFUNCTION("QUERY('Volunteer Survey'!D257)"),"4720 Coronado lane La Verne, CA 91750")</f>
        <v>4720 Coronado lane La Verne, CA 91750</v>
      </c>
      <c r="AD258" s="175" t="str">
        <f ca="1">IFERROR(__xludf.DUMMYFUNCTION("QUERY('Volunteer Survey'!E257)"),"jhull86@gmail.com")</f>
        <v>jhull86@gmail.com</v>
      </c>
      <c r="AE258" s="175" t="str">
        <f ca="1">IFERROR(__xludf.DUMMYFUNCTION("QUERY('Volunteer Survey'!F257)"),"Graduate Student")</f>
        <v>Graduate Student</v>
      </c>
      <c r="AF258" s="175" t="str">
        <f ca="1">IFERROR(__xludf.DUMMYFUNCTION("QUERY('Volunteer Survey'!G257)"),"Suggestion from mentor")</f>
        <v>Suggestion from mentor</v>
      </c>
      <c r="AG258" s="175" t="str">
        <f ca="1">IFERROR(__xludf.DUMMYFUNCTION("QUERY('Volunteer Survey'!H257)"),"comprehensive")</f>
        <v>comprehensive</v>
      </c>
      <c r="AH258" s="175" t="str">
        <f ca="1">IFERROR(__xludf.DUMMYFUNCTION("QUERY('Volunteer Survey'!I257)"),"Gene-Disease Validity")</f>
        <v>Gene-Disease Validity</v>
      </c>
      <c r="AI258" s="175" t="str">
        <f ca="1">IFERROR(__xludf.DUMMYFUNCTION("QUERY('Volunteer Survey'!J257)"),"Variant Pathogenicity")</f>
        <v>Variant Pathogenicity</v>
      </c>
      <c r="AJ258" s="175" t="str">
        <f ca="1">IFERROR(__xludf.DUMMYFUNCTION("QUERY('Volunteer Survey'!K257)"),"Clinical Actionability")</f>
        <v>Clinical Actionability</v>
      </c>
      <c r="AK258" s="175" t="str">
        <f ca="1">IFERROR(__xludf.DUMMYFUNCTION("QUERY('Volunteer Survey'!L257)"),"Dosage Sensitivity")</f>
        <v>Dosage Sensitivity</v>
      </c>
      <c r="AL258" s="175" t="str">
        <f ca="1">IFERROR(__xludf.DUMMYFUNCTION("QUERY('Volunteer Survey'!M257)"),"Somatic Cancer")</f>
        <v>Somatic Cancer</v>
      </c>
      <c r="AM258" s="175" t="str">
        <f ca="1">IFERROR(__xludf.DUMMYFUNCTION("QUERY('Volunteer Survey'!N257)"),"N/A")</f>
        <v>N/A</v>
      </c>
      <c r="AN258" s="175" t="str">
        <f ca="1">IFERROR(__xludf.DUMMYFUNCTION("QUERY('Volunteer Survey'!O257)"),"Yes")</f>
        <v>Yes</v>
      </c>
      <c r="AO258" s="175" t="str">
        <f ca="1">IFERROR(__xludf.DUMMYFUNCTION("QUERY('Volunteer Survey'!P257)"),"Phenylketonuria Variant Curation Expert Panel, epilepsy, CMT, hypercholesterolemia, colorectal cancer")</f>
        <v>Phenylketonuria Variant Curation Expert Panel, epilepsy, CMT, hypercholesterolemia, colorectal cancer</v>
      </c>
    </row>
    <row r="259" spans="1:41" ht="14">
      <c r="A259" s="44">
        <f ca="1">IFERROR(__xludf.DUMMYFUNCTION("QUERY('Volunteer Survey'!A266)"),43689.4068520833)</f>
        <v>43689.406852083303</v>
      </c>
      <c r="B259" s="42" t="s">
        <v>108</v>
      </c>
      <c r="C259" s="47"/>
      <c r="D259" s="59">
        <v>43692</v>
      </c>
      <c r="E259" s="42" t="s">
        <v>117</v>
      </c>
      <c r="F259" s="42" t="s">
        <v>130</v>
      </c>
      <c r="G259" s="42" t="s">
        <v>122</v>
      </c>
      <c r="H259" s="47"/>
      <c r="I259" s="45" t="s">
        <v>139</v>
      </c>
      <c r="J259" s="49"/>
      <c r="K259" s="49"/>
      <c r="L259" s="49" t="str">
        <f ca="1">IFERROR(__xludf.DUMMYFUNCTION("QUERY('Volunteer Survey'!B266)"),"SAILATHA RAVI")</f>
        <v>SAILATHA RAVI</v>
      </c>
      <c r="M259" s="49" t="str">
        <f ca="1">IFERROR(__xludf.DUMMYFUNCTION("QUERY('Volunteer Survey'!E266)"),"sailatha.ravi@gmail.com")</f>
        <v>sailatha.ravi@gmail.com</v>
      </c>
      <c r="N259" s="49" t="str">
        <f ca="1">IFERROR(__xludf.DUMMYFUNCTION("QUERY('Volunteer Survey'!F266)"),"Post Doc/Resident/Fellow (MD and/or PhD)")</f>
        <v>Post Doc/Resident/Fellow (MD and/or PhD)</v>
      </c>
      <c r="O259" s="42" t="str">
        <f ca="1">IFERROR(__xludf.DUMMYFUNCTION("QUERY('Volunteer Survey'!H266)"),"Comprehensive")</f>
        <v>Comprehensive</v>
      </c>
      <c r="P259" s="49" t="str">
        <f ca="1">IFERROR(__xludf.DUMMYFUNCTION("QUERY('Volunteer Survey'!I266)"),"Gene-Disease Validity")</f>
        <v>Gene-Disease Validity</v>
      </c>
      <c r="Q259" s="54" t="str">
        <f ca="1">IFERROR(__xludf.DUMMYFUNCTION("QUERY('Volunteer Survey'!J266)"),"Dosage Sensitivity")</f>
        <v>Dosage Sensitivity</v>
      </c>
      <c r="R259" s="49" t="str">
        <f ca="1">IFERROR(__xludf.DUMMYFUNCTION("QUERY('Volunteer Survey'!K266)"),"Clinical Actionability")</f>
        <v>Clinical Actionability</v>
      </c>
      <c r="S259" s="49" t="str">
        <f ca="1">IFERROR(__xludf.DUMMYFUNCTION("QUERY('Volunteer Survey'!L266)"),"Somatic Cancer")</f>
        <v>Somatic Cancer</v>
      </c>
      <c r="T259" s="49" t="str">
        <f ca="1">IFERROR(__xludf.DUMMYFUNCTION("QUERY('Volunteer Survey'!M266)"),"Variant Pathogenicity")</f>
        <v>Variant Pathogenicity</v>
      </c>
      <c r="U259" s="58" t="str">
        <f ca="1">IFERROR(__xludf.DUMMYFUNCTION("QUERY('Volunteer Survey'!N266)"),"")</f>
        <v/>
      </c>
      <c r="V259" s="49" t="str">
        <f ca="1">IFERROR(__xludf.DUMMYFUNCTION("QUERY('Volunteer Survey'!O266)"),"Yes")</f>
        <v>Yes</v>
      </c>
      <c r="W259" s="60" t="str">
        <f ca="1">IFERROR(__xludf.DUMMYFUNCTION("QUERY('Volunteer Survey'!P266)"),"")</f>
        <v/>
      </c>
      <c r="X259" s="58" t="str">
        <f ca="1">IFERROR(__xludf.DUMMYFUNCTION("QUERY('Volunteer Survey'!R266)"),"Yes- I am willing to volunteer with any available ClinGen group")</f>
        <v>Yes- I am willing to volunteer with any available ClinGen group</v>
      </c>
      <c r="Y259" s="47"/>
      <c r="Z259" s="174">
        <f ca="1">IFERROR(__xludf.DUMMYFUNCTION("QUERY('Volunteer Survey'!A258)"),43678.4120406134)</f>
        <v>43678.412040613402</v>
      </c>
      <c r="AA259" s="175" t="str">
        <f ca="1">IFERROR(__xludf.DUMMYFUNCTION("QUERY('Volunteer Survey'!B258)"),"Eric Kil")</f>
        <v>Eric Kil</v>
      </c>
      <c r="AB259" s="175" t="str">
        <f ca="1">IFERROR(__xludf.DUMMYFUNCTION("QUERY('Volunteer Survey'!C258)"),"Keck Graduate Institute")</f>
        <v>Keck Graduate Institute</v>
      </c>
      <c r="AC259" s="175" t="str">
        <f ca="1">IFERROR(__xludf.DUMMYFUNCTION("QUERY('Volunteer Survey'!D258)"),"535 Watson Dr, Claremont, CA 91711")</f>
        <v>535 Watson Dr, Claremont, CA 91711</v>
      </c>
      <c r="AD259" s="175" t="str">
        <f ca="1">IFERROR(__xludf.DUMMYFUNCTION("QUERY('Volunteer Survey'!E258)"),"ekil18@students.kgi.edu")</f>
        <v>ekil18@students.kgi.edu</v>
      </c>
      <c r="AE259" s="175" t="str">
        <f ca="1">IFERROR(__xludf.DUMMYFUNCTION("QUERY('Volunteer Survey'!F258)"),"Graduate Student")</f>
        <v>Graduate Student</v>
      </c>
      <c r="AF259" s="175" t="str">
        <f ca="1">IFERROR(__xludf.DUMMYFUNCTION("QUERY('Volunteer Survey'!G258)"),"Networking, Suggestion from mentor")</f>
        <v>Networking, Suggestion from mentor</v>
      </c>
      <c r="AG259" s="175" t="str">
        <f ca="1">IFERROR(__xludf.DUMMYFUNCTION("QUERY('Volunteer Survey'!H258)"),"comprehensive")</f>
        <v>comprehensive</v>
      </c>
      <c r="AH259" s="175" t="str">
        <f ca="1">IFERROR(__xludf.DUMMYFUNCTION("QUERY('Volunteer Survey'!I258)"),"Somatic Cancer")</f>
        <v>Somatic Cancer</v>
      </c>
      <c r="AI259" s="175" t="str">
        <f ca="1">IFERROR(__xludf.DUMMYFUNCTION("QUERY('Volunteer Survey'!J258)"),"Dosage Sensitivity")</f>
        <v>Dosage Sensitivity</v>
      </c>
      <c r="AJ259" s="175" t="str">
        <f ca="1">IFERROR(__xludf.DUMMYFUNCTION("QUERY('Volunteer Survey'!K258)"),"Variant Pathogenicity")</f>
        <v>Variant Pathogenicity</v>
      </c>
      <c r="AK259" s="175" t="str">
        <f ca="1">IFERROR(__xludf.DUMMYFUNCTION("QUERY('Volunteer Survey'!L258)"),"Gene-Disease Validity")</f>
        <v>Gene-Disease Validity</v>
      </c>
      <c r="AL259" s="175" t="str">
        <f ca="1">IFERROR(__xludf.DUMMYFUNCTION("QUERY('Volunteer Survey'!M258)"),"Clinical Actionability")</f>
        <v>Clinical Actionability</v>
      </c>
      <c r="AM259" s="175" t="str">
        <f ca="1">IFERROR(__xludf.DUMMYFUNCTION("QUERY('Volunteer Survey'!N258)"),"No")</f>
        <v>No</v>
      </c>
      <c r="AN259" s="175" t="str">
        <f ca="1">IFERROR(__xludf.DUMMYFUNCTION("QUERY('Volunteer Survey'!O258)"),"Possibly")</f>
        <v>Possibly</v>
      </c>
      <c r="AO259" s="175" t="str">
        <f ca="1">IFERROR(__xludf.DUMMYFUNCTION("QUERY('Volunteer Survey'!P258)"),"I am interested in neuro-related conditions and cancer.")</f>
        <v>I am interested in neuro-related conditions and cancer.</v>
      </c>
    </row>
    <row r="260" spans="1:41" ht="14">
      <c r="A260" s="44">
        <f ca="1">IFERROR(__xludf.DUMMYFUNCTION("QUERY('Volunteer Survey'!A267)"),43690.2584378819)</f>
        <v>43690.258437881901</v>
      </c>
      <c r="B260" s="42" t="s">
        <v>108</v>
      </c>
      <c r="C260" s="73">
        <v>43819</v>
      </c>
      <c r="D260" s="49"/>
      <c r="E260" s="49"/>
      <c r="F260" s="42" t="s">
        <v>130</v>
      </c>
      <c r="G260" s="42" t="s">
        <v>251</v>
      </c>
      <c r="H260" s="47"/>
      <c r="I260" s="45" t="s">
        <v>139</v>
      </c>
      <c r="J260" s="49"/>
      <c r="K260" s="49"/>
      <c r="L260" s="49" t="str">
        <f ca="1">IFERROR(__xludf.DUMMYFUNCTION("QUERY('Volunteer Survey'!B267)"),"Pamela Ajuyah")</f>
        <v>Pamela Ajuyah</v>
      </c>
      <c r="M260" s="49" t="str">
        <f ca="1">IFERROR(__xludf.DUMMYFUNCTION("QUERY('Volunteer Survey'!E267)"),"pamela.a.ajuyah@gmail.com")</f>
        <v>pamela.a.ajuyah@gmail.com</v>
      </c>
      <c r="N260" s="49" t="str">
        <f ca="1">IFERROR(__xludf.DUMMYFUNCTION("QUERY('Volunteer Survey'!F267)"),"Variant Analyst/Scientist - Industry")</f>
        <v>Variant Analyst/Scientist - Industry</v>
      </c>
      <c r="O260" s="42" t="str">
        <f ca="1">IFERROR(__xludf.DUMMYFUNCTION("QUERY('Volunteer Survey'!H267)"),"Comprehensive")</f>
        <v>Comprehensive</v>
      </c>
      <c r="P260" s="49" t="str">
        <f ca="1">IFERROR(__xludf.DUMMYFUNCTION("QUERY('Volunteer Survey'!I267)"),"Variant Pathogenicity")</f>
        <v>Variant Pathogenicity</v>
      </c>
      <c r="Q260" s="54" t="str">
        <f ca="1">IFERROR(__xludf.DUMMYFUNCTION("QUERY('Volunteer Survey'!J267)"),"Gene-Disease Validity")</f>
        <v>Gene-Disease Validity</v>
      </c>
      <c r="R260" s="49" t="str">
        <f ca="1">IFERROR(__xludf.DUMMYFUNCTION("QUERY('Volunteer Survey'!K267)"),"Clinical Actionability")</f>
        <v>Clinical Actionability</v>
      </c>
      <c r="S260" s="49" t="str">
        <f ca="1">IFERROR(__xludf.DUMMYFUNCTION("QUERY('Volunteer Survey'!L267)"),"Somatic Cancer")</f>
        <v>Somatic Cancer</v>
      </c>
      <c r="T260" s="49" t="str">
        <f ca="1">IFERROR(__xludf.DUMMYFUNCTION("QUERY('Volunteer Survey'!M267)"),"Dosage Sensitivity")</f>
        <v>Dosage Sensitivity</v>
      </c>
      <c r="U260" s="58" t="str">
        <f ca="1">IFERROR(__xludf.DUMMYFUNCTION("QUERY('Volunteer Survey'!N267)"),"")</f>
        <v/>
      </c>
      <c r="V260" s="49" t="str">
        <f ca="1">IFERROR(__xludf.DUMMYFUNCTION("QUERY('Volunteer Survey'!O267)"),"No")</f>
        <v>No</v>
      </c>
      <c r="W260" s="60" t="str">
        <f ca="1">IFERROR(__xludf.DUMMYFUNCTION("QUERY('Volunteer Survey'!P267)"),"")</f>
        <v/>
      </c>
      <c r="X260" s="58" t="str">
        <f ca="1">IFERROR(__xludf.DUMMYFUNCTION("QUERY('Volunteer Survey'!R267)"),"Yes- I am willing to volunteer with any available ClinGen group")</f>
        <v>Yes- I am willing to volunteer with any available ClinGen group</v>
      </c>
      <c r="Y260" s="47"/>
      <c r="Z260" s="174">
        <f ca="1">IFERROR(__xludf.DUMMYFUNCTION("QUERY('Volunteer Survey'!A259)"),43679.0893137847)</f>
        <v>43679.089313784702</v>
      </c>
      <c r="AA260" s="175" t="str">
        <f ca="1">IFERROR(__xludf.DUMMYFUNCTION("QUERY('Volunteer Survey'!B259)"),"Joseph Steward")</f>
        <v>Joseph Steward</v>
      </c>
      <c r="AB260" s="175" t="str">
        <f ca="1">IFERROR(__xludf.DUMMYFUNCTION("QUERY('Volunteer Survey'!C259)"),"Moore’s cancer center")</f>
        <v>Moore’s cancer center</v>
      </c>
      <c r="AC260" s="175" t="str">
        <f ca="1">IFERROR(__xludf.DUMMYFUNCTION("QUERY('Volunteer Survey'!D259)"),"4360 Alabama St. San Diego CA")</f>
        <v>4360 Alabama St. San Diego CA</v>
      </c>
      <c r="AD260" s="175" t="str">
        <f ca="1">IFERROR(__xludf.DUMMYFUNCTION("QUERY('Volunteer Survey'!E259)"),"jsteward2930@gmail.com")</f>
        <v>jsteward2930@gmail.com</v>
      </c>
      <c r="AE260" s="175" t="str">
        <f ca="1">IFERROR(__xludf.DUMMYFUNCTION("QUERY('Volunteer Survey'!F259)"),"Scientific Researcher")</f>
        <v>Scientific Researcher</v>
      </c>
      <c r="AF260" s="175" t="str">
        <f ca="1">IFERROR(__xludf.DUMMYFUNCTION("QUERY('Volunteer Survey'!G259)"),"The clinicalgenome.org website")</f>
        <v>The clinicalgenome.org website</v>
      </c>
      <c r="AG260" s="175" t="str">
        <f ca="1">IFERROR(__xludf.DUMMYFUNCTION("QUERY('Volunteer Survey'!H259)"),"comprehensive")</f>
        <v>comprehensive</v>
      </c>
      <c r="AH260" s="175" t="str">
        <f ca="1">IFERROR(__xludf.DUMMYFUNCTION("QUERY('Volunteer Survey'!I259)"),"Somatic Cancer")</f>
        <v>Somatic Cancer</v>
      </c>
      <c r="AI260" s="175" t="str">
        <f ca="1">IFERROR(__xludf.DUMMYFUNCTION("QUERY('Volunteer Survey'!J259)"),"Variant Pathogenicity")</f>
        <v>Variant Pathogenicity</v>
      </c>
      <c r="AJ260" s="175" t="str">
        <f ca="1">IFERROR(__xludf.DUMMYFUNCTION("QUERY('Volunteer Survey'!K259)"),"Gene-Disease Validity")</f>
        <v>Gene-Disease Validity</v>
      </c>
      <c r="AK260" s="175" t="str">
        <f ca="1">IFERROR(__xludf.DUMMYFUNCTION("QUERY('Volunteer Survey'!L259)"),"Clinical Actionability")</f>
        <v>Clinical Actionability</v>
      </c>
      <c r="AL260" s="175" t="str">
        <f ca="1">IFERROR(__xludf.DUMMYFUNCTION("QUERY('Volunteer Survey'!M259)"),"Dosage Sensitivity")</f>
        <v>Dosage Sensitivity</v>
      </c>
      <c r="AM260" s="175" t="str">
        <f ca="1">IFERROR(__xludf.DUMMYFUNCTION("QUERY('Volunteer Survey'!N259)"),"")</f>
        <v/>
      </c>
      <c r="AN260" s="175" t="str">
        <f ca="1">IFERROR(__xludf.DUMMYFUNCTION("QUERY('Volunteer Survey'!O259)"),"Possibly")</f>
        <v>Possibly</v>
      </c>
      <c r="AO260" s="175" t="str">
        <f ca="1">IFERROR(__xludf.DUMMYFUNCTION("QUERY('Volunteer Survey'!P259)"),"Pancreatic ")</f>
        <v xml:space="preserve">Pancreatic </v>
      </c>
    </row>
    <row r="261" spans="1:41" ht="14">
      <c r="A261" s="44">
        <f ca="1">IFERROR(__xludf.DUMMYFUNCTION("QUERY('Volunteer Survey'!A268)"),43691.5920437384)</f>
        <v>43691.592043738397</v>
      </c>
      <c r="B261" s="42" t="s">
        <v>108</v>
      </c>
      <c r="C261" s="73">
        <v>43819</v>
      </c>
      <c r="D261" s="49"/>
      <c r="E261" s="49"/>
      <c r="F261" s="42" t="s">
        <v>130</v>
      </c>
      <c r="G261" s="42" t="s">
        <v>122</v>
      </c>
      <c r="H261" s="47"/>
      <c r="I261" s="47"/>
      <c r="J261" s="49"/>
      <c r="K261" s="49"/>
      <c r="L261" s="49" t="str">
        <f ca="1">IFERROR(__xludf.DUMMYFUNCTION("QUERY('Volunteer Survey'!B268)"),"Yasser Sullcahuaman Allende")</f>
        <v>Yasser Sullcahuaman Allende</v>
      </c>
      <c r="M261" s="49" t="str">
        <f ca="1">IFERROR(__xludf.DUMMYFUNCTION("QUERY('Volunteer Survey'!E268)"),"ysullcahuaman@hotmail.com")</f>
        <v>ysullcahuaman@hotmail.com</v>
      </c>
      <c r="N261" s="49" t="str">
        <f ca="1">IFERROR(__xludf.DUMMYFUNCTION("QUERY('Volunteer Survey'!F268)"),"Clinical Medical Geneticist")</f>
        <v>Clinical Medical Geneticist</v>
      </c>
      <c r="O261" s="42" t="str">
        <f ca="1">IFERROR(__xludf.DUMMYFUNCTION("QUERY('Volunteer Survey'!H268)"),"Comprehensive")</f>
        <v>Comprehensive</v>
      </c>
      <c r="P261" s="49" t="str">
        <f ca="1">IFERROR(__xludf.DUMMYFUNCTION("QUERY('Volunteer Survey'!I268)"),"Gene-Disease Validity")</f>
        <v>Gene-Disease Validity</v>
      </c>
      <c r="Q261" s="54" t="str">
        <f ca="1">IFERROR(__xludf.DUMMYFUNCTION("QUERY('Volunteer Survey'!J268)"),"Variant Pathogenicity")</f>
        <v>Variant Pathogenicity</v>
      </c>
      <c r="R261" s="49" t="str">
        <f ca="1">IFERROR(__xludf.DUMMYFUNCTION("QUERY('Volunteer Survey'!K268)"),"Clinical Actionability")</f>
        <v>Clinical Actionability</v>
      </c>
      <c r="S261" s="49" t="str">
        <f ca="1">IFERROR(__xludf.DUMMYFUNCTION("QUERY('Volunteer Survey'!L268)"),"Somatic Cancer")</f>
        <v>Somatic Cancer</v>
      </c>
      <c r="T261" s="49" t="str">
        <f ca="1">IFERROR(__xludf.DUMMYFUNCTION("QUERY('Volunteer Survey'!M268)"),"Dosage Sensitivity")</f>
        <v>Dosage Sensitivity</v>
      </c>
      <c r="U261" s="58" t="str">
        <f ca="1">IFERROR(__xludf.DUMMYFUNCTION("QUERY('Volunteer Survey'!N268)"),"Yasser")</f>
        <v>Yasser</v>
      </c>
      <c r="V261" s="49" t="str">
        <f ca="1">IFERROR(__xludf.DUMMYFUNCTION("QUERY('Volunteer Survey'!O268)"),"Yes")</f>
        <v>Yes</v>
      </c>
      <c r="W261" s="60" t="str">
        <f ca="1">IFERROR(__xludf.DUMMYFUNCTION("QUERY('Volunteer Survey'!P268)"),"Hereditary cancer")</f>
        <v>Hereditary cancer</v>
      </c>
      <c r="X261" s="58" t="str">
        <f ca="1">IFERROR(__xludf.DUMMYFUNCTION("QUERY('Volunteer Survey'!R268)"),"Yes- I am willing to volunteer with any available ClinGen group")</f>
        <v>Yes- I am willing to volunteer with any available ClinGen group</v>
      </c>
      <c r="Y261" s="47"/>
      <c r="Z261" s="174">
        <f ca="1">IFERROR(__xludf.DUMMYFUNCTION("QUERY('Volunteer Survey'!A260)"),43679.897445162)</f>
        <v>43679.897445162002</v>
      </c>
      <c r="AA261" s="175" t="str">
        <f ca="1">IFERROR(__xludf.DUMMYFUNCTION("QUERY('Volunteer Survey'!B260)"),"NANDITA MULLAPUDI")</f>
        <v>NANDITA MULLAPUDI</v>
      </c>
      <c r="AB261" s="175" t="str">
        <f ca="1">IFERROR(__xludf.DUMMYFUNCTION("QUERY('Volunteer Survey'!C260)"),"Hong Kong University of Science and Technology")</f>
        <v>Hong Kong University of Science and Technology</v>
      </c>
      <c r="AC261" s="175" t="str">
        <f ca="1">IFERROR(__xludf.DUMMYFUNCTION("QUERY('Volunteer Survey'!D260)"),"19-21 TIN HAU TEMPLE ROAD, NORTH POINT, HONG KONG.")</f>
        <v>19-21 TIN HAU TEMPLE ROAD, NORTH POINT, HONG KONG.</v>
      </c>
      <c r="AD261" s="175" t="str">
        <f ca="1">IFERROR(__xludf.DUMMYFUNCTION("QUERY('Volunteer Survey'!E260)"),"mnandita@gmail.com")</f>
        <v>mnandita@gmail.com</v>
      </c>
      <c r="AE261" s="175" t="str">
        <f ca="1">IFERROR(__xludf.DUMMYFUNCTION("QUERY('Volunteer Survey'!F260)"),"Scientific Researcher")</f>
        <v>Scientific Researcher</v>
      </c>
      <c r="AF261" s="175" t="str">
        <f ca="1">IFERROR(__xludf.DUMMYFUNCTION("QUERY('Volunteer Survey'!G260)"),"Suggestion from mentor")</f>
        <v>Suggestion from mentor</v>
      </c>
      <c r="AG261" s="175" t="str">
        <f ca="1">IFERROR(__xludf.DUMMYFUNCTION("QUERY('Volunteer Survey'!H260)"),"comprehensive")</f>
        <v>comprehensive</v>
      </c>
      <c r="AH261" s="175" t="str">
        <f ca="1">IFERROR(__xludf.DUMMYFUNCTION("QUERY('Volunteer Survey'!I260)"),"")</f>
        <v/>
      </c>
      <c r="AI261" s="175" t="str">
        <f ca="1">IFERROR(__xludf.DUMMYFUNCTION("QUERY('Volunteer Survey'!J260)"),"")</f>
        <v/>
      </c>
      <c r="AJ261" s="175" t="str">
        <f ca="1">IFERROR(__xludf.DUMMYFUNCTION("QUERY('Volunteer Survey'!K260)"),"")</f>
        <v/>
      </c>
      <c r="AK261" s="175" t="str">
        <f ca="1">IFERROR(__xludf.DUMMYFUNCTION("QUERY('Volunteer Survey'!L260)"),"")</f>
        <v/>
      </c>
      <c r="AL261" s="175" t="str">
        <f ca="1">IFERROR(__xludf.DUMMYFUNCTION("QUERY('Volunteer Survey'!M260)"),"")</f>
        <v/>
      </c>
      <c r="AM261" s="175" t="str">
        <f ca="1">IFERROR(__xludf.DUMMYFUNCTION("QUERY('Volunteer Survey'!N260)"),"I am not currently signing up for being an active member, but I would like to eventually. I would like to state that I have almost two years of experience working with a molecular diagnostics company, wherein I was responsible for setting up the variant a"&amp;"nalyses and interpretation processes for a variety of inherited disorders.")</f>
        <v>I am not currently signing up for being an active member, but I would like to eventually. I would like to state that I have almost two years of experience working with a molecular diagnostics company, wherein I was responsible for setting up the variant analyses and interpretation processes for a variety of inherited disorders.</v>
      </c>
      <c r="AN261" s="175" t="str">
        <f ca="1">IFERROR(__xludf.DUMMYFUNCTION("QUERY('Volunteer Survey'!O260)"),"")</f>
        <v/>
      </c>
      <c r="AO261" s="175" t="str">
        <f ca="1">IFERROR(__xludf.DUMMYFUNCTION("QUERY('Volunteer Survey'!P260)"),"Intellectual disability and autism, Mitochondrial diseases, Hearing loss, Familial hypercholesterolemia")</f>
        <v>Intellectual disability and autism, Mitochondrial diseases, Hearing loss, Familial hypercholesterolemia</v>
      </c>
    </row>
    <row r="262" spans="1:41" ht="14">
      <c r="A262" s="44">
        <f ca="1">IFERROR(__xludf.DUMMYFUNCTION("QUERY('Volunteer Survey'!A269)"),43691.6995434143)</f>
        <v>43691.699543414303</v>
      </c>
      <c r="B262" s="42" t="s">
        <v>125</v>
      </c>
      <c r="C262" s="73">
        <v>43717</v>
      </c>
      <c r="D262" s="49"/>
      <c r="E262" s="49"/>
      <c r="F262" s="42" t="s">
        <v>130</v>
      </c>
      <c r="G262" s="42" t="s">
        <v>19</v>
      </c>
      <c r="H262" s="47"/>
      <c r="I262" s="45" t="s">
        <v>139</v>
      </c>
      <c r="J262" s="49"/>
      <c r="K262" s="49"/>
      <c r="L262" s="49" t="str">
        <f ca="1">IFERROR(__xludf.DUMMYFUNCTION("QUERY('Volunteer Survey'!B269)"),"Ellie Jhun")</f>
        <v>Ellie Jhun</v>
      </c>
      <c r="M262" s="49" t="str">
        <f ca="1">IFERROR(__xludf.DUMMYFUNCTION("QUERY('Volunteer Survey'!E269)"),"ejhun@base10genetics.com")</f>
        <v>ejhun@base10genetics.com</v>
      </c>
      <c r="N262" s="49" t="str">
        <f ca="1">IFERROR(__xludf.DUMMYFUNCTION("QUERY('Volunteer Survey'!F269)"),"Variant Analyst/Scientist - Industry")</f>
        <v>Variant Analyst/Scientist - Industry</v>
      </c>
      <c r="O262" s="42" t="str">
        <f ca="1">IFERROR(__xludf.DUMMYFUNCTION("QUERY('Volunteer Survey'!H269)"),"Comprehensive")</f>
        <v>Comprehensive</v>
      </c>
      <c r="P262" s="49" t="str">
        <f ca="1">IFERROR(__xludf.DUMMYFUNCTION("QUERY('Volunteer Survey'!I269)"),"Clinical Actionability")</f>
        <v>Clinical Actionability</v>
      </c>
      <c r="Q262" s="54" t="str">
        <f ca="1">IFERROR(__xludf.DUMMYFUNCTION("QUERY('Volunteer Survey'!J269)"),"")</f>
        <v/>
      </c>
      <c r="R262" s="49" t="str">
        <f ca="1">IFERROR(__xludf.DUMMYFUNCTION("QUERY('Volunteer Survey'!K269)"),"")</f>
        <v/>
      </c>
      <c r="S262" s="49" t="str">
        <f ca="1">IFERROR(__xludf.DUMMYFUNCTION("QUERY('Volunteer Survey'!L269)"),"")</f>
        <v/>
      </c>
      <c r="T262" s="49" t="str">
        <f ca="1">IFERROR(__xludf.DUMMYFUNCTION("QUERY('Volunteer Survey'!M269)"),"")</f>
        <v/>
      </c>
      <c r="U262" s="58" t="str">
        <f ca="1">IFERROR(__xludf.DUMMYFUNCTION("QUERY('Volunteer Survey'!N269)"),"Pharmacogenomics fellowship program at the University of Chicago")</f>
        <v>Pharmacogenomics fellowship program at the University of Chicago</v>
      </c>
      <c r="V262" s="49" t="str">
        <f ca="1">IFERROR(__xludf.DUMMYFUNCTION("QUERY('Volunteer Survey'!O269)"),"No")</f>
        <v>No</v>
      </c>
      <c r="W262" s="60" t="str">
        <f ca="1">IFERROR(__xludf.DUMMYFUNCTION("QUERY('Volunteer Survey'!P269)"),"")</f>
        <v/>
      </c>
      <c r="X262" s="58" t="str">
        <f ca="1">IFERROR(__xludf.DUMMYFUNCTION("QUERY('Volunteer Survey'!R269)"),"No - I am only interested in the group(s) I previously indicated")</f>
        <v>No - I am only interested in the group(s) I previously indicated</v>
      </c>
      <c r="Y262" s="47"/>
      <c r="Z262" s="174">
        <f ca="1">IFERROR(__xludf.DUMMYFUNCTION("QUERY('Volunteer Survey'!A261)"),43680.0504544212)</f>
        <v>43680.050454421202</v>
      </c>
      <c r="AA262" s="175" t="str">
        <f ca="1">IFERROR(__xludf.DUMMYFUNCTION("QUERY('Volunteer Survey'!B261)"),"Hari Subramanian")</f>
        <v>Hari Subramanian</v>
      </c>
      <c r="AB262" s="175" t="str">
        <f ca="1">IFERROR(__xludf.DUMMYFUNCTION("QUERY('Volunteer Survey'!C261)"),"The University of Chicago")</f>
        <v>The University of Chicago</v>
      </c>
      <c r="AC262" s="175" t="str">
        <f ca="1">IFERROR(__xludf.DUMMYFUNCTION("QUERY('Volunteer Survey'!D261)"),"")</f>
        <v/>
      </c>
      <c r="AD262" s="175" t="str">
        <f ca="1">IFERROR(__xludf.DUMMYFUNCTION("QUERY('Volunteer Survey'!E261)"),"hsubramanian@bsd.uchicago.edu")</f>
        <v>hsubramanian@bsd.uchicago.edu</v>
      </c>
      <c r="AE262" s="175" t="str">
        <f ca="1">IFERROR(__xludf.DUMMYFUNCTION("QUERY('Volunteer Survey'!F261)"),"Bioinformatician, Clinical Diagnostics Lab")</f>
        <v>Bioinformatician, Clinical Diagnostics Lab</v>
      </c>
      <c r="AF262" s="175" t="str">
        <f ca="1">IFERROR(__xludf.DUMMYFUNCTION("QUERY('Volunteer Survey'!G261)"),"ClinGen conference advertisements (i.e. booth, workshop, presentation), Colleagues, ClinGen affiliated emails and/or newsletters, The clinicalgenome.org website")</f>
        <v>ClinGen conference advertisements (i.e. booth, workshop, presentation), Colleagues, ClinGen affiliated emails and/or newsletters, The clinicalgenome.org website</v>
      </c>
      <c r="AG262" s="175" t="str">
        <f ca="1">IFERROR(__xludf.DUMMYFUNCTION("QUERY('Volunteer Survey'!H261)"),"Baseline")</f>
        <v>Baseline</v>
      </c>
      <c r="AH262" s="175" t="str">
        <f ca="1">IFERROR(__xludf.DUMMYFUNCTION("QUERY('Volunteer Survey'!I261)"),"Dosage Sensitivity")</f>
        <v>Dosage Sensitivity</v>
      </c>
      <c r="AI262" s="175" t="str">
        <f ca="1">IFERROR(__xludf.DUMMYFUNCTION("QUERY('Volunteer Survey'!J261)"),"Variant Pathogenicity")</f>
        <v>Variant Pathogenicity</v>
      </c>
      <c r="AJ262" s="175" t="str">
        <f ca="1">IFERROR(__xludf.DUMMYFUNCTION("QUERY('Volunteer Survey'!K261)"),"Gene-Disease Validity")</f>
        <v>Gene-Disease Validity</v>
      </c>
      <c r="AK262" s="175" t="str">
        <f ca="1">IFERROR(__xludf.DUMMYFUNCTION("QUERY('Volunteer Survey'!L261)"),"Somatic Cancer")</f>
        <v>Somatic Cancer</v>
      </c>
      <c r="AL262" s="175" t="str">
        <f ca="1">IFERROR(__xludf.DUMMYFUNCTION("QUERY('Volunteer Survey'!M261)"),"")</f>
        <v/>
      </c>
      <c r="AM262" s="175" t="str">
        <f ca="1">IFERROR(__xludf.DUMMYFUNCTION("QUERY('Volunteer Survey'!N261)"),"")</f>
        <v/>
      </c>
      <c r="AN262" s="175" t="str">
        <f ca="1">IFERROR(__xludf.DUMMYFUNCTION("QUERY('Volunteer Survey'!O261)"),"Possibly")</f>
        <v>Possibly</v>
      </c>
      <c r="AO262" s="175" t="str">
        <f ca="1">IFERROR(__xludf.DUMMYFUNCTION("QUERY('Volunteer Survey'!P261)"),"")</f>
        <v/>
      </c>
    </row>
    <row r="263" spans="1:41" ht="14">
      <c r="A263" s="44">
        <f ca="1">IFERROR(__xludf.DUMMYFUNCTION("QUERY('Volunteer Survey'!A270)"),43691.8558167476)</f>
        <v>43691.8558167476</v>
      </c>
      <c r="B263" s="42" t="s">
        <v>108</v>
      </c>
      <c r="C263" s="73">
        <v>43819</v>
      </c>
      <c r="D263" s="49"/>
      <c r="E263" s="49"/>
      <c r="F263" s="42" t="s">
        <v>130</v>
      </c>
      <c r="G263" s="42" t="s">
        <v>251</v>
      </c>
      <c r="H263" s="47"/>
      <c r="I263" s="45" t="s">
        <v>139</v>
      </c>
      <c r="J263" s="49"/>
      <c r="K263" s="49"/>
      <c r="L263" s="49" t="str">
        <f ca="1">IFERROR(__xludf.DUMMYFUNCTION("QUERY('Volunteer Survey'!B270)"),"Venkatesan Sengoda Gounder")</f>
        <v>Venkatesan Sengoda Gounder</v>
      </c>
      <c r="M263" s="49" t="str">
        <f ca="1">IFERROR(__xludf.DUMMYFUNCTION("QUERY('Volunteer Survey'!E270)"),"agrivenkat@gmail.com")</f>
        <v>agrivenkat@gmail.com</v>
      </c>
      <c r="N263" s="49" t="str">
        <f ca="1">IFERROR(__xludf.DUMMYFUNCTION("QUERY('Volunteer Survey'!F270)"),"Scientific Researcher")</f>
        <v>Scientific Researcher</v>
      </c>
      <c r="O263" s="42" t="str">
        <f ca="1">IFERROR(__xludf.DUMMYFUNCTION("QUERY('Volunteer Survey'!H270)"),"Comprehensive")</f>
        <v>Comprehensive</v>
      </c>
      <c r="P263" s="49" t="str">
        <f ca="1">IFERROR(__xludf.DUMMYFUNCTION("QUERY('Volunteer Survey'!I270)"),"Variant Pathogenicity")</f>
        <v>Variant Pathogenicity</v>
      </c>
      <c r="Q263" s="54" t="str">
        <f ca="1">IFERROR(__xludf.DUMMYFUNCTION("QUERY('Volunteer Survey'!J270)"),"Dosage Sensitivity")</f>
        <v>Dosage Sensitivity</v>
      </c>
      <c r="R263" s="49" t="str">
        <f ca="1">IFERROR(__xludf.DUMMYFUNCTION("QUERY('Volunteer Survey'!K270)"),"Gene-Disease Validity")</f>
        <v>Gene-Disease Validity</v>
      </c>
      <c r="S263" s="49" t="str">
        <f ca="1">IFERROR(__xludf.DUMMYFUNCTION("QUERY('Volunteer Survey'!L270)"),"Clinical Actionability")</f>
        <v>Clinical Actionability</v>
      </c>
      <c r="T263" s="49" t="str">
        <f ca="1">IFERROR(__xludf.DUMMYFUNCTION("QUERY('Volunteer Survey'!M270)"),"Somatic Cancer")</f>
        <v>Somatic Cancer</v>
      </c>
      <c r="U263" s="58" t="str">
        <f ca="1">IFERROR(__xludf.DUMMYFUNCTION("QUERY('Volunteer Survey'!N270)"),"No")</f>
        <v>No</v>
      </c>
      <c r="V263" s="49" t="str">
        <f ca="1">IFERROR(__xludf.DUMMYFUNCTION("QUERY('Volunteer Survey'!O270)"),"Yes")</f>
        <v>Yes</v>
      </c>
      <c r="W263" s="60" t="str">
        <f ca="1">IFERROR(__xludf.DUMMYFUNCTION("QUERY('Volunteer Survey'!P270)"),"Yes")</f>
        <v>Yes</v>
      </c>
      <c r="X263" s="58" t="str">
        <f ca="1">IFERROR(__xludf.DUMMYFUNCTION("QUERY('Volunteer Survey'!R270)"),"Yes- I am willing to volunteer with any available ClinGen group")</f>
        <v>Yes- I am willing to volunteer with any available ClinGen group</v>
      </c>
      <c r="Y263" s="47"/>
      <c r="Z263" s="174">
        <f ca="1">IFERROR(__xludf.DUMMYFUNCTION("QUERY('Volunteer Survey'!A262)"),43684.3987829513)</f>
        <v>43684.398782951299</v>
      </c>
      <c r="AA263" s="175" t="str">
        <f ca="1">IFERROR(__xludf.DUMMYFUNCTION("QUERY('Volunteer Survey'!B262)"),"Georgios Tsaousis")</f>
        <v>Georgios Tsaousis</v>
      </c>
      <c r="AB263" s="175" t="str">
        <f ca="1">IFERROR(__xludf.DUMMYFUNCTION("QUERY('Volunteer Survey'!C262)"),"Genekor Medical SA")</f>
        <v>Genekor Medical SA</v>
      </c>
      <c r="AC263" s="175" t="str">
        <f ca="1">IFERROR(__xludf.DUMMYFUNCTION("QUERY('Volunteer Survey'!D262)"),"52 Spaton Ave, Athens, Greece")</f>
        <v>52 Spaton Ave, Athens, Greece</v>
      </c>
      <c r="AD263" s="175" t="str">
        <f ca="1">IFERROR(__xludf.DUMMYFUNCTION("QUERY('Volunteer Survey'!E262)"),"gtsaousis@genekor.com")</f>
        <v>gtsaousis@genekor.com</v>
      </c>
      <c r="AE263" s="175" t="str">
        <f ca="1">IFERROR(__xludf.DUMMYFUNCTION("QUERY('Volunteer Survey'!F262)"),"Variant Analyst/Scientist - Industry")</f>
        <v>Variant Analyst/Scientist - Industry</v>
      </c>
      <c r="AF263" s="175" t="str">
        <f ca="1">IFERROR(__xludf.DUMMYFUNCTION("QUERY('Volunteer Survey'!G262)"),"ClinGen affiliated emails and/or newsletters, The clinicalgenome.org website, Twitter")</f>
        <v>ClinGen affiliated emails and/or newsletters, The clinicalgenome.org website, Twitter</v>
      </c>
      <c r="AG263" s="175" t="str">
        <f ca="1">IFERROR(__xludf.DUMMYFUNCTION("QUERY('Volunteer Survey'!H262)"),"Comprehensive")</f>
        <v>Comprehensive</v>
      </c>
      <c r="AH263" s="175" t="str">
        <f ca="1">IFERROR(__xludf.DUMMYFUNCTION("QUERY('Volunteer Survey'!I262)"),"Variant Pathogenicity")</f>
        <v>Variant Pathogenicity</v>
      </c>
      <c r="AI263" s="175" t="str">
        <f ca="1">IFERROR(__xludf.DUMMYFUNCTION("QUERY('Volunteer Survey'!J262)"),"Gene-Disease Validity")</f>
        <v>Gene-Disease Validity</v>
      </c>
      <c r="AJ263" s="175" t="str">
        <f ca="1">IFERROR(__xludf.DUMMYFUNCTION("QUERY('Volunteer Survey'!K262)"),"Clinical Actionability")</f>
        <v>Clinical Actionability</v>
      </c>
      <c r="AK263" s="175" t="str">
        <f ca="1">IFERROR(__xludf.DUMMYFUNCTION("QUERY('Volunteer Survey'!L262)"),"Somatic Cancer")</f>
        <v>Somatic Cancer</v>
      </c>
      <c r="AL263" s="175" t="str">
        <f ca="1">IFERROR(__xludf.DUMMYFUNCTION("QUERY('Volunteer Survey'!M262)"),"Dosage Sensitivity")</f>
        <v>Dosage Sensitivity</v>
      </c>
      <c r="AM263" s="175" t="str">
        <f ca="1">IFERROR(__xludf.DUMMYFUNCTION("QUERY('Volunteer Survey'!N262)"),"I am the Group Leader of the Bioinformatics department in Genekor Medical SA involved in data collection and curation activities for the determination of variant pathogenicity for all variants identified in our laboratory for Hereditary cancer genes. I am"&amp;" also a Post-doc Research Associate at the Biophysics and Bioinformatics Laboratory at the Department of Biology, School of Sciences, National and Kapodistrian University of Athens, where i am involved with sequence and structure analysis of biological se"&amp;"quences through the development of computational algorithms and biological databases.")</f>
        <v>I am the Group Leader of the Bioinformatics department in Genekor Medical SA involved in data collection and curation activities for the determination of variant pathogenicity for all variants identified in our laboratory for Hereditary cancer genes. I am also a Post-doc Research Associate at the Biophysics and Bioinformatics Laboratory at the Department of Biology, School of Sciences, National and Kapodistrian University of Athens, where i am involved with sequence and structure analysis of biological sequences through the development of computational algorithms and biological databases.</v>
      </c>
      <c r="AN263" s="175" t="str">
        <f ca="1">IFERROR(__xludf.DUMMYFUNCTION("QUERY('Volunteer Survey'!O262)"),"Possibly")</f>
        <v>Possibly</v>
      </c>
      <c r="AO263" s="175" t="str">
        <f ca="1">IFERROR(__xludf.DUMMYFUNCTION("QUERY('Volunteer Survey'!P262)"),"Hereditary Cancer, Somatic/Germline Variant Curation, Colorectal Cancer, PTEN, TP53, CDH1")</f>
        <v>Hereditary Cancer, Somatic/Germline Variant Curation, Colorectal Cancer, PTEN, TP53, CDH1</v>
      </c>
    </row>
    <row r="264" spans="1:41" ht="14">
      <c r="A264" s="44">
        <f ca="1">IFERROR(__xludf.DUMMYFUNCTION("QUERY('Volunteer Survey'!A271)"),43692.4398326041)</f>
        <v>43692.439832604097</v>
      </c>
      <c r="B264" s="42" t="s">
        <v>108</v>
      </c>
      <c r="C264" s="73">
        <v>43819</v>
      </c>
      <c r="D264" s="49"/>
      <c r="E264" s="49"/>
      <c r="F264" s="42" t="s">
        <v>130</v>
      </c>
      <c r="G264" s="42" t="s">
        <v>251</v>
      </c>
      <c r="H264" s="47"/>
      <c r="I264" s="45" t="s">
        <v>139</v>
      </c>
      <c r="J264" s="49"/>
      <c r="K264" s="49"/>
      <c r="L264" s="49" t="str">
        <f ca="1">IFERROR(__xludf.DUMMYFUNCTION("QUERY('Volunteer Survey'!B271)"),"Ronaldo da Silva Francisco Junior")</f>
        <v>Ronaldo da Silva Francisco Junior</v>
      </c>
      <c r="M264" s="49" t="str">
        <f ca="1">IFERROR(__xludf.DUMMYFUNCTION("QUERY('Volunteer Survey'!E271)"),"ronaldoj@lncc.br")</f>
        <v>ronaldoj@lncc.br</v>
      </c>
      <c r="N264" s="49" t="str">
        <f ca="1">IFERROR(__xludf.DUMMYFUNCTION("QUERY('Volunteer Survey'!F271)"),"Variant Analyst/Scientist - Academic")</f>
        <v>Variant Analyst/Scientist - Academic</v>
      </c>
      <c r="O264" s="42" t="str">
        <f ca="1">IFERROR(__xludf.DUMMYFUNCTION("QUERY('Volunteer Survey'!H271)"),"Comprehensive")</f>
        <v>Comprehensive</v>
      </c>
      <c r="P264" s="49" t="str">
        <f ca="1">IFERROR(__xludf.DUMMYFUNCTION("QUERY('Volunteer Survey'!I271)"),"Variant Pathogenicity")</f>
        <v>Variant Pathogenicity</v>
      </c>
      <c r="Q264" s="54" t="str">
        <f ca="1">IFERROR(__xludf.DUMMYFUNCTION("QUERY('Volunteer Survey'!J271)"),"Dosage Sensitivity")</f>
        <v>Dosage Sensitivity</v>
      </c>
      <c r="R264" s="49" t="str">
        <f ca="1">IFERROR(__xludf.DUMMYFUNCTION("QUERY('Volunteer Survey'!K271)"),"Clinical Actionability")</f>
        <v>Clinical Actionability</v>
      </c>
      <c r="S264" s="49" t="str">
        <f ca="1">IFERROR(__xludf.DUMMYFUNCTION("QUERY('Volunteer Survey'!L271)"),"Gene-Disease Validity")</f>
        <v>Gene-Disease Validity</v>
      </c>
      <c r="T264" s="49" t="str">
        <f ca="1">IFERROR(__xludf.DUMMYFUNCTION("QUERY('Volunteer Survey'!M271)"),"Somatic Cancer")</f>
        <v>Somatic Cancer</v>
      </c>
      <c r="U264" s="58" t="str">
        <f ca="1">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V264" s="49" t="str">
        <f ca="1">IFERROR(__xludf.DUMMYFUNCTION("QUERY('Volunteer Survey'!O271)"),"Yes")</f>
        <v>Yes</v>
      </c>
      <c r="W264" s="60" t="str">
        <f ca="1">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c r="X264" s="58" t="str">
        <f ca="1">IFERROR(__xludf.DUMMYFUNCTION("QUERY('Volunteer Survey'!R271)"),"Yes- I am willing to volunteer with any available ClinGen group")</f>
        <v>Yes- I am willing to volunteer with any available ClinGen group</v>
      </c>
      <c r="Y264" s="47"/>
      <c r="Z264" s="174">
        <f ca="1">IFERROR(__xludf.DUMMYFUNCTION("QUERY('Volunteer Survey'!A263)"),43684.4028878587)</f>
        <v>43684.402887858698</v>
      </c>
      <c r="AA264" s="175" t="str">
        <f ca="1">IFERROR(__xludf.DUMMYFUNCTION("QUERY('Volunteer Survey'!B263)"),"Jessica Hatton")</f>
        <v>Jessica Hatton</v>
      </c>
      <c r="AB264" s="175" t="str">
        <f ca="1">IFERROR(__xludf.DUMMYFUNCTION("QUERY('Volunteer Survey'!C263)"),"National Cancer Institute")</f>
        <v>National Cancer Institute</v>
      </c>
      <c r="AC264" s="175" t="str">
        <f ca="1">IFERROR(__xludf.DUMMYFUNCTION("QUERY('Volunteer Survey'!D263)"),"9609 Medical Center Drive")</f>
        <v>9609 Medical Center Drive</v>
      </c>
      <c r="AD264" s="175" t="str">
        <f ca="1">IFERROR(__xludf.DUMMYFUNCTION("QUERY('Volunteer Survey'!E263)"),"jessica.hatton@nih.gov")</f>
        <v>jessica.hatton@nih.gov</v>
      </c>
      <c r="AE264" s="175" t="str">
        <f ca="1">IFERROR(__xludf.DUMMYFUNCTION("QUERY('Volunteer Survey'!F263)"),"Genetic counselor")</f>
        <v>Genetic counselor</v>
      </c>
      <c r="AF264" s="175" t="str">
        <f ca="1">IFERROR(__xludf.DUMMYFUNCTION("QUERY('Volunteer Survey'!G263)"),"Colleagues")</f>
        <v>Colleagues</v>
      </c>
      <c r="AG264" s="175" t="str">
        <f ca="1">IFERROR(__xludf.DUMMYFUNCTION("QUERY('Volunteer Survey'!H263)"),"Comprehensive")</f>
        <v>Comprehensive</v>
      </c>
      <c r="AH264" s="175" t="str">
        <f ca="1">IFERROR(__xludf.DUMMYFUNCTION("QUERY('Volunteer Survey'!I263)"),"Variant Pathogenicity")</f>
        <v>Variant Pathogenicity</v>
      </c>
      <c r="AI264" s="175" t="str">
        <f ca="1">IFERROR(__xludf.DUMMYFUNCTION("QUERY('Volunteer Survey'!J263)"),"")</f>
        <v/>
      </c>
      <c r="AJ264" s="175" t="str">
        <f ca="1">IFERROR(__xludf.DUMMYFUNCTION("QUERY('Volunteer Survey'!K263)"),"")</f>
        <v/>
      </c>
      <c r="AK264" s="175" t="str">
        <f ca="1">IFERROR(__xludf.DUMMYFUNCTION("QUERY('Volunteer Survey'!L263)"),"")</f>
        <v/>
      </c>
      <c r="AL264" s="175" t="str">
        <f ca="1">IFERROR(__xludf.DUMMYFUNCTION("QUERY('Volunteer Survey'!M263)"),"")</f>
        <v/>
      </c>
      <c r="AM264" s="175" t="str">
        <f ca="1">IFERROR(__xludf.DUMMYFUNCTION("QUERY('Volunteer Survey'!N263)"),"No")</f>
        <v>No</v>
      </c>
      <c r="AN264" s="175" t="str">
        <f ca="1">IFERROR(__xludf.DUMMYFUNCTION("QUERY('Volunteer Survey'!O263)"),"Possibly")</f>
        <v>Possibly</v>
      </c>
      <c r="AO264" s="175" t="str">
        <f ca="1">IFERROR(__xludf.DUMMYFUNCTION("QUERY('Volunteer Survey'!P263)"),"TP53")</f>
        <v>TP53</v>
      </c>
    </row>
    <row r="265" spans="1:41" ht="14">
      <c r="A265" s="44">
        <f ca="1">IFERROR(__xludf.DUMMYFUNCTION("QUERY('Volunteer Survey'!A272)"),43692.75764353)</f>
        <v>43692.75764353</v>
      </c>
      <c r="B265" s="42" t="s">
        <v>108</v>
      </c>
      <c r="C265" s="73">
        <v>43819</v>
      </c>
      <c r="D265" s="49"/>
      <c r="E265" s="49"/>
      <c r="F265" s="42" t="s">
        <v>130</v>
      </c>
      <c r="G265" s="42" t="s">
        <v>122</v>
      </c>
      <c r="H265" s="47"/>
      <c r="I265" s="45" t="s">
        <v>139</v>
      </c>
      <c r="J265" s="49"/>
      <c r="K265" s="49"/>
      <c r="L265" s="49" t="str">
        <f ca="1">IFERROR(__xludf.DUMMYFUNCTION("QUERY('Volunteer Survey'!B272)"),"Krista Bluske")</f>
        <v>Krista Bluske</v>
      </c>
      <c r="M265" s="49" t="str">
        <f ca="1">IFERROR(__xludf.DUMMYFUNCTION("QUERY('Volunteer Survey'!E272)"),"kbluske@illumina.com")</f>
        <v>kbluske@illumina.com</v>
      </c>
      <c r="N265" s="49" t="str">
        <f ca="1">IFERROR(__xludf.DUMMYFUNCTION("QUERY('Volunteer Survey'!F272)"),"Variant Analyst/Scientist - Industry")</f>
        <v>Variant Analyst/Scientist - Industry</v>
      </c>
      <c r="O265" s="42" t="str">
        <f ca="1">IFERROR(__xludf.DUMMYFUNCTION("QUERY('Volunteer Survey'!H272)"),"Comprehensive")</f>
        <v>Comprehensive</v>
      </c>
      <c r="P265" s="49" t="str">
        <f ca="1">IFERROR(__xludf.DUMMYFUNCTION("QUERY('Volunteer Survey'!I272)"),"Gene-Disease Validity")</f>
        <v>Gene-Disease Validity</v>
      </c>
      <c r="Q265" s="54" t="str">
        <f ca="1">IFERROR(__xludf.DUMMYFUNCTION("QUERY('Volunteer Survey'!J272)"),"")</f>
        <v/>
      </c>
      <c r="R265" s="49" t="str">
        <f ca="1">IFERROR(__xludf.DUMMYFUNCTION("QUERY('Volunteer Survey'!K272)"),"")</f>
        <v/>
      </c>
      <c r="S265" s="49" t="str">
        <f ca="1">IFERROR(__xludf.DUMMYFUNCTION("QUERY('Volunteer Survey'!L272)"),"")</f>
        <v/>
      </c>
      <c r="T265" s="49" t="str">
        <f ca="1">IFERROR(__xludf.DUMMYFUNCTION("QUERY('Volunteer Survey'!M272)"),"")</f>
        <v/>
      </c>
      <c r="U265" s="58" t="str">
        <f ca="1">IFERROR(__xludf.DUMMYFUNCTION("QUERY('Volunteer Survey'!N272)"),"Yes, our group at Illumina is already contributing RUGD gene curations to ClinGen and we are active collaborators. I am trained in the ClinGen gene curation protocol. ")</f>
        <v xml:space="preserve">Yes, our group at Illumina is already contributing RUGD gene curations to ClinGen and we are active collaborators. I am trained in the ClinGen gene curation protocol. </v>
      </c>
      <c r="V265" s="49" t="str">
        <f ca="1">IFERROR(__xludf.DUMMYFUNCTION("QUERY('Volunteer Survey'!O272)"),"Possibly")</f>
        <v>Possibly</v>
      </c>
      <c r="W265" s="60" t="str">
        <f ca="1">IFERROR(__xludf.DUMMYFUNCTION("QUERY('Volunteer Survey'!P272)"),"Mitochondrial Diseases expert panel (already participating), the soon-to-be-formed RUGD expert panel")</f>
        <v>Mitochondrial Diseases expert panel (already participating), the soon-to-be-formed RUGD expert panel</v>
      </c>
      <c r="X265" s="58" t="str">
        <f ca="1">IFERROR(__xludf.DUMMYFUNCTION("QUERY('Volunteer Survey'!R272)"),"No - I am only interested in the group(s) I previously indicated")</f>
        <v>No - I am only interested in the group(s) I previously indicated</v>
      </c>
      <c r="Y265" s="47"/>
      <c r="Z265" s="174">
        <f ca="1">IFERROR(__xludf.DUMMYFUNCTION("QUERY('Volunteer Survey'!A264)"),43684.6868770833)</f>
        <v>43684.686877083303</v>
      </c>
      <c r="AA265" s="175" t="str">
        <f ca="1">IFERROR(__xludf.DUMMYFUNCTION("QUERY('Volunteer Survey'!B264)"),"Xia Tian")</f>
        <v>Xia Tian</v>
      </c>
      <c r="AB265" s="175" t="str">
        <f ca="1">IFERROR(__xludf.DUMMYFUNCTION("QUERY('Volunteer Survey'!C264)"),"Wuxi Nextcode")</f>
        <v>Wuxi Nextcode</v>
      </c>
      <c r="AC265" s="175" t="str">
        <f ca="1">IFERROR(__xludf.DUMMYFUNCTION("QUERY('Volunteer Survey'!D264)"),"")</f>
        <v/>
      </c>
      <c r="AD265" s="175" t="str">
        <f ca="1">IFERROR(__xludf.DUMMYFUNCTION("QUERY('Volunteer Survey'!E264)"),"xtian@wuxinextcode.com")</f>
        <v>xtian@wuxinextcode.com</v>
      </c>
      <c r="AE265" s="175" t="str">
        <f ca="1">IFERROR(__xludf.DUMMYFUNCTION("QUERY('Volunteer Survey'!F264)"),"Variant Analyst/Scientist - Industry")</f>
        <v>Variant Analyst/Scientist - Industry</v>
      </c>
      <c r="AF265" s="175" t="str">
        <f ca="1">IFERROR(__xludf.DUMMYFUNCTION("QUERY('Volunteer Survey'!G264)"),"ACMG Conference 2019")</f>
        <v>ACMG Conference 2019</v>
      </c>
      <c r="AG265" s="175" t="str">
        <f ca="1">IFERROR(__xludf.DUMMYFUNCTION("QUERY('Volunteer Survey'!H264)"),"Comprehensive")</f>
        <v>Comprehensive</v>
      </c>
      <c r="AH265" s="175" t="str">
        <f ca="1">IFERROR(__xludf.DUMMYFUNCTION("QUERY('Volunteer Survey'!I264)"),"Variant Pathogenicity")</f>
        <v>Variant Pathogenicity</v>
      </c>
      <c r="AI265" s="175" t="str">
        <f ca="1">IFERROR(__xludf.DUMMYFUNCTION("QUERY('Volunteer Survey'!J264)"),"Somatic Cancer")</f>
        <v>Somatic Cancer</v>
      </c>
      <c r="AJ265" s="175" t="str">
        <f ca="1">IFERROR(__xludf.DUMMYFUNCTION("QUERY('Volunteer Survey'!K264)"),"Gene-Disease Validity")</f>
        <v>Gene-Disease Validity</v>
      </c>
      <c r="AK265" s="175" t="str">
        <f ca="1">IFERROR(__xludf.DUMMYFUNCTION("QUERY('Volunteer Survey'!L264)"),"Dosage Sensitivity")</f>
        <v>Dosage Sensitivity</v>
      </c>
      <c r="AL265" s="175" t="str">
        <f ca="1">IFERROR(__xludf.DUMMYFUNCTION("QUERY('Volunteer Survey'!M264)"),"Clinical Actionability")</f>
        <v>Clinical Actionability</v>
      </c>
      <c r="AM265" s="175" t="str">
        <f ca="1">IFERROR(__xludf.DUMMYFUNCTION("QUERY('Volunteer Survey'!N264)"),"eight years' experience of gene/variant curation and clinical case review")</f>
        <v>eight years' experience of gene/variant curation and clinical case review</v>
      </c>
      <c r="AN265" s="175" t="str">
        <f ca="1">IFERROR(__xludf.DUMMYFUNCTION("QUERY('Volunteer Survey'!O264)"),"Yes")</f>
        <v>Yes</v>
      </c>
      <c r="AO265" s="175" t="str">
        <f ca="1">IFERROR(__xludf.DUMMYFUNCTION("QUERY('Volunteer Survey'!P264)"),"Mitochondrial Diseases(gene/variant) and Somatic Cancer")</f>
        <v>Mitochondrial Diseases(gene/variant) and Somatic Cancer</v>
      </c>
    </row>
    <row r="266" spans="1:41" ht="14">
      <c r="A266" s="44">
        <f ca="1">IFERROR(__xludf.DUMMYFUNCTION("QUERY('Volunteer Survey'!A273)"),43692.8081399189)</f>
        <v>43692.808139918903</v>
      </c>
      <c r="B266" s="42" t="s">
        <v>108</v>
      </c>
      <c r="C266" s="73">
        <v>43819</v>
      </c>
      <c r="D266" s="49"/>
      <c r="E266" s="49"/>
      <c r="F266" s="42" t="s">
        <v>130</v>
      </c>
      <c r="G266" s="42" t="s">
        <v>251</v>
      </c>
      <c r="H266" s="47"/>
      <c r="I266" s="45" t="s">
        <v>139</v>
      </c>
      <c r="J266" s="49"/>
      <c r="K266" s="49"/>
      <c r="L266" s="49" t="str">
        <f ca="1">IFERROR(__xludf.DUMMYFUNCTION("QUERY('Volunteer Survey'!B273)"),"Raman Bansal")</f>
        <v>Raman Bansal</v>
      </c>
      <c r="M266" s="49" t="str">
        <f ca="1">IFERROR(__xludf.DUMMYFUNCTION("QUERY('Volunteer Survey'!E273)"),"rbansal.osu@gmail.com")</f>
        <v>rbansal.osu@gmail.com</v>
      </c>
      <c r="N266" s="49" t="str">
        <f ca="1">IFERROR(__xludf.DUMMYFUNCTION("QUERY('Volunteer Survey'!F273)"),"Scientific Researcher")</f>
        <v>Scientific Researcher</v>
      </c>
      <c r="O266" s="42" t="str">
        <f ca="1">IFERROR(__xludf.DUMMYFUNCTION("QUERY('Volunteer Survey'!H273)"),"Comprehensive")</f>
        <v>Comprehensive</v>
      </c>
      <c r="P266" s="49" t="str">
        <f ca="1">IFERROR(__xludf.DUMMYFUNCTION("QUERY('Volunteer Survey'!I273)"),"Variant Pathogenicity")</f>
        <v>Variant Pathogenicity</v>
      </c>
      <c r="Q266" s="54" t="str">
        <f ca="1">IFERROR(__xludf.DUMMYFUNCTION("QUERY('Volunteer Survey'!J273)"),"Dosage Sensitivity")</f>
        <v>Dosage Sensitivity</v>
      </c>
      <c r="R266" s="49" t="str">
        <f ca="1">IFERROR(__xludf.DUMMYFUNCTION("QUERY('Volunteer Survey'!K273)"),"Gene-Disease Validity")</f>
        <v>Gene-Disease Validity</v>
      </c>
      <c r="S266" s="49" t="str">
        <f ca="1">IFERROR(__xludf.DUMMYFUNCTION("QUERY('Volunteer Survey'!L273)"),"Clinical Actionability")</f>
        <v>Clinical Actionability</v>
      </c>
      <c r="T266" s="49" t="str">
        <f ca="1">IFERROR(__xludf.DUMMYFUNCTION("QUERY('Volunteer Survey'!M273)"),"Somatic Cancer")</f>
        <v>Somatic Cancer</v>
      </c>
      <c r="U266" s="58" t="str">
        <f ca="1">IFERROR(__xludf.DUMMYFUNCTION("QUERY('Volunteer Survey'!N273)"),"")</f>
        <v/>
      </c>
      <c r="V266" s="49" t="str">
        <f ca="1">IFERROR(__xludf.DUMMYFUNCTION("QUERY('Volunteer Survey'!O273)"),"Yes")</f>
        <v>Yes</v>
      </c>
      <c r="W266" s="60" t="str">
        <f ca="1">IFERROR(__xludf.DUMMYFUNCTION("QUERY('Volunteer Survey'!P273)"),"")</f>
        <v/>
      </c>
      <c r="X266" s="58" t="str">
        <f ca="1">IFERROR(__xludf.DUMMYFUNCTION("QUERY('Volunteer Survey'!R273)"),"Yes- I am willing to volunteer with any available ClinGen group")</f>
        <v>Yes- I am willing to volunteer with any available ClinGen group</v>
      </c>
      <c r="Y266" s="47"/>
      <c r="Z266" s="174">
        <f ca="1">IFERROR(__xludf.DUMMYFUNCTION("QUERY('Volunteer Survey'!A265)"),43685.4674890046)</f>
        <v>43685.467489004601</v>
      </c>
      <c r="AA266" s="175" t="str">
        <f ca="1">IFERROR(__xludf.DUMMYFUNCTION("QUERY('Volunteer Survey'!B265)"),"MEGHA DANI")</f>
        <v>MEGHA DANI</v>
      </c>
      <c r="AB266" s="175" t="str">
        <f ca="1">IFERROR(__xludf.DUMMYFUNCTION("QUERY('Volunteer Survey'!C265)"),"Mind Speed Foundation")</f>
        <v>Mind Speed Foundation</v>
      </c>
      <c r="AC266" s="175" t="str">
        <f ca="1">IFERROR(__xludf.DUMMYFUNCTION("QUERY('Volunteer Survey'!D265)"),"136 Vivekanand Nagar, Nagpur 440015  India")</f>
        <v>136 Vivekanand Nagar, Nagpur 440015  India</v>
      </c>
      <c r="AD266" s="175" t="str">
        <f ca="1">IFERROR(__xludf.DUMMYFUNCTION("QUERY('Volunteer Survey'!E265)"),"meghamdani@gmail.com")</f>
        <v>meghamdani@gmail.com</v>
      </c>
      <c r="AE266" s="175" t="str">
        <f ca="1">IFERROR(__xludf.DUMMYFUNCTION("QUERY('Volunteer Survey'!F265)"),"I owned and worked for my clinical biochemistry/diagnostics laboratory but I have not done Genetics for lack for facilities.  I want to learn Genetics, its use in identification of various genetic disorders, learning new genetic techniques")</f>
        <v>I owned and worked for my clinical biochemistry/diagnostics laboratory but I have not done Genetics for lack for facilities.  I want to learn Genetics, its use in identification of various genetic disorders, learning new genetic techniques</v>
      </c>
      <c r="AF266" s="175" t="str">
        <f ca="1">IFERROR(__xludf.DUMMYFUNCTION("QUERY('Volunteer Survey'!G265)"),"Educational coursework")</f>
        <v>Educational coursework</v>
      </c>
      <c r="AG266" s="175" t="str">
        <f ca="1">IFERROR(__xludf.DUMMYFUNCTION("QUERY('Volunteer Survey'!H265)"),"Comprehensive")</f>
        <v>Comprehensive</v>
      </c>
      <c r="AH266" s="175" t="str">
        <f ca="1">IFERROR(__xludf.DUMMYFUNCTION("QUERY('Volunteer Survey'!I265)"),"Gene-Disease Validity")</f>
        <v>Gene-Disease Validity</v>
      </c>
      <c r="AI266" s="175" t="str">
        <f ca="1">IFERROR(__xludf.DUMMYFUNCTION("QUERY('Volunteer Survey'!J265)"),"Clinical Actionability")</f>
        <v>Clinical Actionability</v>
      </c>
      <c r="AJ266" s="175" t="str">
        <f ca="1">IFERROR(__xludf.DUMMYFUNCTION("QUERY('Volunteer Survey'!K265)"),"Variant Pathogenicity")</f>
        <v>Variant Pathogenicity</v>
      </c>
      <c r="AK266" s="175" t="str">
        <f ca="1">IFERROR(__xludf.DUMMYFUNCTION("QUERY('Volunteer Survey'!L265)"),"Dosage Sensitivity")</f>
        <v>Dosage Sensitivity</v>
      </c>
      <c r="AL266" s="175" t="str">
        <f ca="1">IFERROR(__xludf.DUMMYFUNCTION("QUERY('Volunteer Survey'!M265)"),"Somatic Cancer")</f>
        <v>Somatic Cancer</v>
      </c>
      <c r="AM266" s="175" t="str">
        <f ca="1">IFERROR(__xludf.DUMMYFUNCTION("QUERY('Volunteer Survey'!N265)"),"No")</f>
        <v>No</v>
      </c>
      <c r="AN266" s="175" t="str">
        <f ca="1">IFERROR(__xludf.DUMMYFUNCTION("QUERY('Volunteer Survey'!O265)"),"Yes")</f>
        <v>Yes</v>
      </c>
      <c r="AO266" s="175" t="str">
        <f ca="1">IFERROR(__xludf.DUMMYFUNCTION("QUERY('Volunteer Survey'!P265)"),"Yes")</f>
        <v>Yes</v>
      </c>
    </row>
    <row r="267" spans="1:41" ht="28">
      <c r="A267" s="44">
        <f ca="1">IFERROR(__xludf.DUMMYFUNCTION("QUERY('Volunteer Survey'!A275)"),43693.3430147685)</f>
        <v>43693.343014768499</v>
      </c>
      <c r="B267" s="42" t="s">
        <v>160</v>
      </c>
      <c r="C267" s="73">
        <v>43705</v>
      </c>
      <c r="D267" s="50">
        <v>43719</v>
      </c>
      <c r="E267" s="42" t="s">
        <v>117</v>
      </c>
      <c r="F267" s="42" t="s">
        <v>130</v>
      </c>
      <c r="G267" s="42" t="s">
        <v>136</v>
      </c>
      <c r="H267" s="45" t="s">
        <v>321</v>
      </c>
      <c r="I267" s="45" t="s">
        <v>139</v>
      </c>
      <c r="J267" s="49"/>
      <c r="K267" s="49"/>
      <c r="L267" s="49" t="str">
        <f ca="1">IFERROR(__xludf.DUMMYFUNCTION("QUERY('Volunteer Survey'!B275)"),"FENGLI ZHANG")</f>
        <v>FENGLI ZHANG</v>
      </c>
      <c r="M267" s="49" t="str">
        <f ca="1">IFERROR(__xludf.DUMMYFUNCTION("QUERY('Volunteer Survey'!E275)"),"fengli.zhang@slh.wisc.edu")</f>
        <v>fengli.zhang@slh.wisc.edu</v>
      </c>
      <c r="N267" s="49" t="str">
        <f ca="1">IFERROR(__xludf.DUMMYFUNCTION("QUERY('Volunteer Survey'!F275)"),"Clinical laboratory geneticist")</f>
        <v>Clinical laboratory geneticist</v>
      </c>
      <c r="O267" s="42" t="str">
        <f ca="1">IFERROR(__xludf.DUMMYFUNCTION("QUERY('Volunteer Survey'!H275)"),"Comprehensive")</f>
        <v>Comprehensive</v>
      </c>
      <c r="P267" s="49" t="str">
        <f ca="1">IFERROR(__xludf.DUMMYFUNCTION("QUERY('Volunteer Survey'!I275)"),"Somatic Cancer")</f>
        <v>Somatic Cancer</v>
      </c>
      <c r="Q267" s="54" t="str">
        <f ca="1">IFERROR(__xludf.DUMMYFUNCTION("QUERY('Volunteer Survey'!J275)"),"Variant Pathogenicity")</f>
        <v>Variant Pathogenicity</v>
      </c>
      <c r="R267" s="49" t="str">
        <f ca="1">IFERROR(__xludf.DUMMYFUNCTION("QUERY('Volunteer Survey'!K275)"),"Gene-Disease Validity")</f>
        <v>Gene-Disease Validity</v>
      </c>
      <c r="S267" s="49" t="str">
        <f ca="1">IFERROR(__xludf.DUMMYFUNCTION("QUERY('Volunteer Survey'!L275)"),"Dosage Sensitivity")</f>
        <v>Dosage Sensitivity</v>
      </c>
      <c r="T267" s="49" t="str">
        <f ca="1">IFERROR(__xludf.DUMMYFUNCTION("QUERY('Volunteer Survey'!M275)"),"Clinical Actionability")</f>
        <v>Clinical Actionability</v>
      </c>
      <c r="U267" s="58" t="str">
        <f ca="1">IFERROR(__xludf.DUMMYFUNCTION("QUERY('Volunteer Survey'!N275)"),"No")</f>
        <v>No</v>
      </c>
      <c r="V267" s="49" t="str">
        <f ca="1">IFERROR(__xludf.DUMMYFUNCTION("QUERY('Volunteer Survey'!O275)"),"Possibly")</f>
        <v>Possibly</v>
      </c>
      <c r="W267" s="60" t="str">
        <f ca="1">IFERROR(__xludf.DUMMYFUNCTION("QUERY('Volunteer Survey'!P275)"),"Cancer")</f>
        <v>Cancer</v>
      </c>
      <c r="X267" s="58" t="str">
        <f ca="1">IFERROR(__xludf.DUMMYFUNCTION("QUERY('Volunteer Survey'!R275)"),"Yes- I am willing to volunteer with any available ClinGen group")</f>
        <v>Yes- I am willing to volunteer with any available ClinGen group</v>
      </c>
      <c r="Y267" s="47"/>
      <c r="Z267" s="174">
        <f ca="1">IFERROR(__xludf.DUMMYFUNCTION("QUERY('Volunteer Survey'!A266)"),43689.4068520833)</f>
        <v>43689.406852083303</v>
      </c>
      <c r="AA267" s="175" t="str">
        <f ca="1">IFERROR(__xludf.DUMMYFUNCTION("QUERY('Volunteer Survey'!B266)"),"SAILATHA RAVI")</f>
        <v>SAILATHA RAVI</v>
      </c>
      <c r="AB267" s="175" t="str">
        <f ca="1">IFERROR(__xludf.DUMMYFUNCTION("QUERY('Volunteer Survey'!C266)"),"Medlish Communications")</f>
        <v>Medlish Communications</v>
      </c>
      <c r="AC267" s="175" t="str">
        <f ca="1">IFERROR(__xludf.DUMMYFUNCTION("QUERY('Volunteer Survey'!D266)"),"New no. 7, 5th cross street, Indranagar, Adyar")</f>
        <v>New no. 7, 5th cross street, Indranagar, Adyar</v>
      </c>
      <c r="AD267" s="175" t="str">
        <f ca="1">IFERROR(__xludf.DUMMYFUNCTION("QUERY('Volunteer Survey'!E266)"),"sailatha.ravi@gmail.com")</f>
        <v>sailatha.ravi@gmail.com</v>
      </c>
      <c r="AE267" s="175" t="str">
        <f ca="1">IFERROR(__xludf.DUMMYFUNCTION("QUERY('Volunteer Survey'!F266)"),"Post Doc/Resident/Fellow (MD and/or PhD)")</f>
        <v>Post Doc/Resident/Fellow (MD and/or PhD)</v>
      </c>
      <c r="AF267" s="175" t="str">
        <f ca="1">IFERROR(__xludf.DUMMYFUNCTION("QUERY('Volunteer Survey'!G266)"),"ClinGen affiliated emails and/or newsletters")</f>
        <v>ClinGen affiliated emails and/or newsletters</v>
      </c>
      <c r="AG267" s="175" t="str">
        <f ca="1">IFERROR(__xludf.DUMMYFUNCTION("QUERY('Volunteer Survey'!H266)"),"Comprehensive")</f>
        <v>Comprehensive</v>
      </c>
      <c r="AH267" s="175" t="str">
        <f ca="1">IFERROR(__xludf.DUMMYFUNCTION("QUERY('Volunteer Survey'!I266)"),"Gene-Disease Validity")</f>
        <v>Gene-Disease Validity</v>
      </c>
      <c r="AI267" s="175" t="str">
        <f ca="1">IFERROR(__xludf.DUMMYFUNCTION("QUERY('Volunteer Survey'!J266)"),"Dosage Sensitivity")</f>
        <v>Dosage Sensitivity</v>
      </c>
      <c r="AJ267" s="175" t="str">
        <f ca="1">IFERROR(__xludf.DUMMYFUNCTION("QUERY('Volunteer Survey'!K266)"),"Clinical Actionability")</f>
        <v>Clinical Actionability</v>
      </c>
      <c r="AK267" s="175" t="str">
        <f ca="1">IFERROR(__xludf.DUMMYFUNCTION("QUERY('Volunteer Survey'!L266)"),"Somatic Cancer")</f>
        <v>Somatic Cancer</v>
      </c>
      <c r="AL267" s="175" t="str">
        <f ca="1">IFERROR(__xludf.DUMMYFUNCTION("QUERY('Volunteer Survey'!M266)"),"Variant Pathogenicity")</f>
        <v>Variant Pathogenicity</v>
      </c>
      <c r="AM267" s="175" t="str">
        <f ca="1">IFERROR(__xludf.DUMMYFUNCTION("QUERY('Volunteer Survey'!N266)"),"")</f>
        <v/>
      </c>
      <c r="AN267" s="175" t="str">
        <f ca="1">IFERROR(__xludf.DUMMYFUNCTION("QUERY('Volunteer Survey'!O266)"),"Yes")</f>
        <v>Yes</v>
      </c>
      <c r="AO267" s="175" t="str">
        <f ca="1">IFERROR(__xludf.DUMMYFUNCTION("QUERY('Volunteer Survey'!P266)"),"")</f>
        <v/>
      </c>
    </row>
    <row r="268" spans="1:41" ht="14">
      <c r="A268" s="44">
        <f ca="1">IFERROR(__xludf.DUMMYFUNCTION("QUERY('Volunteer Survey'!A276)"),43693.3910887384)</f>
        <v>43693.391088738397</v>
      </c>
      <c r="B268" s="42" t="s">
        <v>108</v>
      </c>
      <c r="C268" s="73">
        <v>43819</v>
      </c>
      <c r="D268" s="49"/>
      <c r="E268" s="49"/>
      <c r="F268" s="42" t="s">
        <v>130</v>
      </c>
      <c r="G268" s="42" t="s">
        <v>122</v>
      </c>
      <c r="H268" s="47"/>
      <c r="I268" s="45" t="s">
        <v>139</v>
      </c>
      <c r="J268" s="49"/>
      <c r="K268" s="49"/>
      <c r="L268" s="49" t="str">
        <f ca="1">IFERROR(__xludf.DUMMYFUNCTION("QUERY('Volunteer Survey'!B276)"),"Amanda Clause")</f>
        <v>Amanda Clause</v>
      </c>
      <c r="M268" s="49" t="str">
        <f ca="1">IFERROR(__xludf.DUMMYFUNCTION("QUERY('Volunteer Survey'!E276)"),"aclause@illumina.com")</f>
        <v>aclause@illumina.com</v>
      </c>
      <c r="N268" s="49" t="str">
        <f ca="1">IFERROR(__xludf.DUMMYFUNCTION("QUERY('Volunteer Survey'!F276)"),"Variant Analyst/Scientist - Industry")</f>
        <v>Variant Analyst/Scientist - Industry</v>
      </c>
      <c r="O268" s="42" t="str">
        <f ca="1">IFERROR(__xludf.DUMMYFUNCTION("QUERY('Volunteer Survey'!H276)"),"Comprehensive")</f>
        <v>Comprehensive</v>
      </c>
      <c r="P268" s="49" t="str">
        <f ca="1">IFERROR(__xludf.DUMMYFUNCTION("QUERY('Volunteer Survey'!I276)"),"Gene-Disease Validity")</f>
        <v>Gene-Disease Validity</v>
      </c>
      <c r="Q268" s="54" t="str">
        <f ca="1">IFERROR(__xludf.DUMMYFUNCTION("QUERY('Volunteer Survey'!J276)"),"")</f>
        <v/>
      </c>
      <c r="R268" s="49" t="str">
        <f ca="1">IFERROR(__xludf.DUMMYFUNCTION("QUERY('Volunteer Survey'!K276)"),"")</f>
        <v/>
      </c>
      <c r="S268" s="49" t="str">
        <f ca="1">IFERROR(__xludf.DUMMYFUNCTION("QUERY('Volunteer Survey'!L276)"),"")</f>
        <v/>
      </c>
      <c r="T268" s="49" t="str">
        <f ca="1">IFERROR(__xludf.DUMMYFUNCTION("QUERY('Volunteer Survey'!M276)"),"")</f>
        <v/>
      </c>
      <c r="U268" s="58" t="str">
        <f ca="1">IFERROR(__xludf.DUMMYFUNCTION("QUERY('Volunteer Survey'!N276)"),"Yes; currently curate variants and GDAs for a clinical whole genome sequencing test")</f>
        <v>Yes; currently curate variants and GDAs for a clinical whole genome sequencing test</v>
      </c>
      <c r="V268" s="49" t="str">
        <f ca="1">IFERROR(__xludf.DUMMYFUNCTION("QUERY('Volunteer Survey'!O276)"),"No")</f>
        <v>No</v>
      </c>
      <c r="W268" s="60" t="str">
        <f ca="1">IFERROR(__xludf.DUMMYFUNCTION("QUERY('Volunteer Survey'!P276)"),"mitochondrial diseases, rare disease")</f>
        <v>mitochondrial diseases, rare disease</v>
      </c>
      <c r="X268" s="58" t="str">
        <f ca="1">IFERROR(__xludf.DUMMYFUNCTION("QUERY('Volunteer Survey'!R276)"),"Maybe -- please contact me with other options, and I will decide based on what is available")</f>
        <v>Maybe -- please contact me with other options, and I will decide based on what is available</v>
      </c>
      <c r="Y268" s="47"/>
      <c r="Z268" s="174">
        <f ca="1">IFERROR(__xludf.DUMMYFUNCTION("QUERY('Volunteer Survey'!A267)"),43690.2584378819)</f>
        <v>43690.258437881901</v>
      </c>
      <c r="AA268" s="175" t="str">
        <f ca="1">IFERROR(__xludf.DUMMYFUNCTION("QUERY('Volunteer Survey'!B267)"),"Pamela Ajuyah")</f>
        <v>Pamela Ajuyah</v>
      </c>
      <c r="AB268" s="175" t="str">
        <f ca="1">IFERROR(__xludf.DUMMYFUNCTION("QUERY('Volunteer Survey'!C267)"),"GenomeOne")</f>
        <v>GenomeOne</v>
      </c>
      <c r="AC268" s="175" t="str">
        <f ca="1">IFERROR(__xludf.DUMMYFUNCTION("QUERY('Volunteer Survey'!D267)"),"")</f>
        <v/>
      </c>
      <c r="AD268" s="175" t="str">
        <f ca="1">IFERROR(__xludf.DUMMYFUNCTION("QUERY('Volunteer Survey'!E267)"),"pamela.a.ajuyah@gmail.com")</f>
        <v>pamela.a.ajuyah@gmail.com</v>
      </c>
      <c r="AE268" s="175" t="str">
        <f ca="1">IFERROR(__xludf.DUMMYFUNCTION("QUERY('Volunteer Survey'!F267)"),"Variant Analyst/Scientist - Industry")</f>
        <v>Variant Analyst/Scientist - Industry</v>
      </c>
      <c r="AF268" s="175" t="str">
        <f ca="1">IFERROR(__xludf.DUMMYFUNCTION("QUERY('Volunteer Survey'!G267)"),"Suggestion from mentor")</f>
        <v>Suggestion from mentor</v>
      </c>
      <c r="AG268" s="175" t="str">
        <f ca="1">IFERROR(__xludf.DUMMYFUNCTION("QUERY('Volunteer Survey'!H267)"),"Comprehensive")</f>
        <v>Comprehensive</v>
      </c>
      <c r="AH268" s="175" t="str">
        <f ca="1">IFERROR(__xludf.DUMMYFUNCTION("QUERY('Volunteer Survey'!I267)"),"Variant Pathogenicity")</f>
        <v>Variant Pathogenicity</v>
      </c>
      <c r="AI268" s="175" t="str">
        <f ca="1">IFERROR(__xludf.DUMMYFUNCTION("QUERY('Volunteer Survey'!J267)"),"Gene-Disease Validity")</f>
        <v>Gene-Disease Validity</v>
      </c>
      <c r="AJ268" s="175" t="str">
        <f ca="1">IFERROR(__xludf.DUMMYFUNCTION("QUERY('Volunteer Survey'!K267)"),"Clinical Actionability")</f>
        <v>Clinical Actionability</v>
      </c>
      <c r="AK268" s="175" t="str">
        <f ca="1">IFERROR(__xludf.DUMMYFUNCTION("QUERY('Volunteer Survey'!L267)"),"Somatic Cancer")</f>
        <v>Somatic Cancer</v>
      </c>
      <c r="AL268" s="175" t="str">
        <f ca="1">IFERROR(__xludf.DUMMYFUNCTION("QUERY('Volunteer Survey'!M267)"),"Dosage Sensitivity")</f>
        <v>Dosage Sensitivity</v>
      </c>
      <c r="AM268" s="175" t="str">
        <f ca="1">IFERROR(__xludf.DUMMYFUNCTION("QUERY('Volunteer Survey'!N267)"),"")</f>
        <v/>
      </c>
      <c r="AN268" s="175" t="str">
        <f ca="1">IFERROR(__xludf.DUMMYFUNCTION("QUERY('Volunteer Survey'!O267)"),"No")</f>
        <v>No</v>
      </c>
      <c r="AO268" s="175" t="str">
        <f ca="1">IFERROR(__xludf.DUMMYFUNCTION("QUERY('Volunteer Survey'!P267)"),"")</f>
        <v/>
      </c>
    </row>
    <row r="269" spans="1:41" ht="18" customHeight="1">
      <c r="A269" s="44">
        <f ca="1">IFERROR(__xludf.DUMMYFUNCTION("QUERY('Volunteer Survey'!A277)"),43693.4577109722)</f>
        <v>43693.457710972201</v>
      </c>
      <c r="B269" s="42" t="s">
        <v>108</v>
      </c>
      <c r="C269" s="73">
        <v>43819</v>
      </c>
      <c r="D269" s="49"/>
      <c r="E269" s="49"/>
      <c r="F269" s="42" t="s">
        <v>130</v>
      </c>
      <c r="G269" s="42" t="s">
        <v>251</v>
      </c>
      <c r="H269" s="47"/>
      <c r="I269" s="45" t="s">
        <v>139</v>
      </c>
      <c r="J269" s="49"/>
      <c r="K269" s="49"/>
      <c r="L269" s="49" t="str">
        <f ca="1">IFERROR(__xludf.DUMMYFUNCTION("QUERY('Volunteer Survey'!B277)"),"Sara Spencer")</f>
        <v>Sara Spencer</v>
      </c>
      <c r="M269" s="49" t="str">
        <f ca="1">IFERROR(__xludf.DUMMYFUNCTION("QUERY('Volunteer Survey'!E277)"),"saspence@nm.org")</f>
        <v>saspence@nm.org</v>
      </c>
      <c r="N269" s="49" t="str">
        <f ca="1">IFERROR(__xludf.DUMMYFUNCTION("QUERY('Volunteer Survey'!F277)"),"Genetic counselor")</f>
        <v>Genetic counselor</v>
      </c>
      <c r="O269" s="42" t="str">
        <f ca="1">IFERROR(__xludf.DUMMYFUNCTION("QUERY('Volunteer Survey'!H277)"),"Comprehensive")</f>
        <v>Comprehensive</v>
      </c>
      <c r="P269" s="49" t="str">
        <f ca="1">IFERROR(__xludf.DUMMYFUNCTION("QUERY('Volunteer Survey'!I277)"),"Variant Pathogenicity")</f>
        <v>Variant Pathogenicity</v>
      </c>
      <c r="Q269" s="54" t="str">
        <f ca="1">IFERROR(__xludf.DUMMYFUNCTION("QUERY('Volunteer Survey'!J277)"),"Gene-Disease Validity")</f>
        <v>Gene-Disease Validity</v>
      </c>
      <c r="R269" s="49" t="str">
        <f ca="1">IFERROR(__xludf.DUMMYFUNCTION("QUERY('Volunteer Survey'!K277)"),"Dosage Sensitivity")</f>
        <v>Dosage Sensitivity</v>
      </c>
      <c r="S269" s="49" t="str">
        <f ca="1">IFERROR(__xludf.DUMMYFUNCTION("QUERY('Volunteer Survey'!L277)"),"")</f>
        <v/>
      </c>
      <c r="T269" s="49" t="str">
        <f ca="1">IFERROR(__xludf.DUMMYFUNCTION("QUERY('Volunteer Survey'!M277)"),"")</f>
        <v/>
      </c>
      <c r="U269" s="156" t="str">
        <f ca="1">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V269" s="49" t="str">
        <f ca="1">IFERROR(__xludf.DUMMYFUNCTION("QUERY('Volunteer Survey'!O277)"),"Possibly")</f>
        <v>Possibly</v>
      </c>
      <c r="W269" s="60" t="str">
        <f ca="1">IFERROR(__xludf.DUMMYFUNCTION("QUERY('Volunteer Survey'!P277)"),"Gene Curation Expert Panels - Epilepsy 
Variant Curation Expert Panels - Brain Malformations")</f>
        <v>Gene Curation Expert Panels - Epilepsy 
Variant Curation Expert Panels - Brain Malformations</v>
      </c>
      <c r="X269" s="58" t="str">
        <f ca="1">IFERROR(__xludf.DUMMYFUNCTION("QUERY('Volunteer Survey'!R277)"),"Yes- I am willing to volunteer with any available ClinGen group")</f>
        <v>Yes- I am willing to volunteer with any available ClinGen group</v>
      </c>
      <c r="Y269" s="47"/>
      <c r="Z269" s="174">
        <f ca="1">IFERROR(__xludf.DUMMYFUNCTION("QUERY('Volunteer Survey'!A268)"),43691.5920437384)</f>
        <v>43691.592043738397</v>
      </c>
      <c r="AA269" s="175" t="str">
        <f ca="1">IFERROR(__xludf.DUMMYFUNCTION("QUERY('Volunteer Survey'!B268)"),"Yasser Sullcahuaman Allende")</f>
        <v>Yasser Sullcahuaman Allende</v>
      </c>
      <c r="AB269" s="175" t="str">
        <f ca="1">IFERROR(__xludf.DUMMYFUNCTION("QUERY('Volunteer Survey'!C268)"),"IGENOMICA")</f>
        <v>IGENOMICA</v>
      </c>
      <c r="AC269" s="175" t="str">
        <f ca="1">IFERROR(__xludf.DUMMYFUNCTION("QUERY('Volunteer Survey'!D268)"),"F 53  Urb. Juan XXIII, San Borja
lima peru")</f>
        <v>F 53  Urb. Juan XXIII, San Borja
lima peru</v>
      </c>
      <c r="AD269" s="175" t="str">
        <f ca="1">IFERROR(__xludf.DUMMYFUNCTION("QUERY('Volunteer Survey'!E268)"),"ysullcahuaman@hotmail.com")</f>
        <v>ysullcahuaman@hotmail.com</v>
      </c>
      <c r="AE269" s="175" t="str">
        <f ca="1">IFERROR(__xludf.DUMMYFUNCTION("QUERY('Volunteer Survey'!F268)"),"Clinical Medical Geneticist")</f>
        <v>Clinical Medical Geneticist</v>
      </c>
      <c r="AF269" s="175" t="str">
        <f ca="1">IFERROR(__xludf.DUMMYFUNCTION("QUERY('Volunteer Survey'!G268)"),"The clinicalgenome.org website")</f>
        <v>The clinicalgenome.org website</v>
      </c>
      <c r="AG269" s="175" t="str">
        <f ca="1">IFERROR(__xludf.DUMMYFUNCTION("QUERY('Volunteer Survey'!H268)"),"Comprehensive")</f>
        <v>Comprehensive</v>
      </c>
      <c r="AH269" s="175" t="str">
        <f ca="1">IFERROR(__xludf.DUMMYFUNCTION("QUERY('Volunteer Survey'!I268)"),"Gene-Disease Validity")</f>
        <v>Gene-Disease Validity</v>
      </c>
      <c r="AI269" s="175" t="str">
        <f ca="1">IFERROR(__xludf.DUMMYFUNCTION("QUERY('Volunteer Survey'!J268)"),"Variant Pathogenicity")</f>
        <v>Variant Pathogenicity</v>
      </c>
      <c r="AJ269" s="175" t="str">
        <f ca="1">IFERROR(__xludf.DUMMYFUNCTION("QUERY('Volunteer Survey'!K268)"),"Clinical Actionability")</f>
        <v>Clinical Actionability</v>
      </c>
      <c r="AK269" s="175" t="str">
        <f ca="1">IFERROR(__xludf.DUMMYFUNCTION("QUERY('Volunteer Survey'!L268)"),"Somatic Cancer")</f>
        <v>Somatic Cancer</v>
      </c>
      <c r="AL269" s="175" t="str">
        <f ca="1">IFERROR(__xludf.DUMMYFUNCTION("QUERY('Volunteer Survey'!M268)"),"Dosage Sensitivity")</f>
        <v>Dosage Sensitivity</v>
      </c>
      <c r="AM269" s="175" t="str">
        <f ca="1">IFERROR(__xludf.DUMMYFUNCTION("QUERY('Volunteer Survey'!N268)"),"Yasser")</f>
        <v>Yasser</v>
      </c>
      <c r="AN269" s="175" t="str">
        <f ca="1">IFERROR(__xludf.DUMMYFUNCTION("QUERY('Volunteer Survey'!O268)"),"Yes")</f>
        <v>Yes</v>
      </c>
      <c r="AO269" s="175" t="str">
        <f ca="1">IFERROR(__xludf.DUMMYFUNCTION("QUERY('Volunteer Survey'!P268)"),"Hereditary cancer")</f>
        <v>Hereditary cancer</v>
      </c>
    </row>
    <row r="270" spans="1:41" ht="14">
      <c r="A270" s="44">
        <f ca="1">IFERROR(__xludf.DUMMYFUNCTION("QUERY('Volunteer Survey'!A278)"),43693.4749920023)</f>
        <v>43693.474992002302</v>
      </c>
      <c r="B270" s="42" t="s">
        <v>322</v>
      </c>
      <c r="C270" s="47"/>
      <c r="D270" s="49"/>
      <c r="E270" s="49"/>
      <c r="F270" s="42" t="s">
        <v>130</v>
      </c>
      <c r="G270" s="42" t="s">
        <v>163</v>
      </c>
      <c r="H270" s="47"/>
      <c r="I270" s="45" t="s">
        <v>139</v>
      </c>
      <c r="J270" s="49"/>
      <c r="K270" s="49"/>
      <c r="L270" s="49" t="str">
        <f ca="1">IFERROR(__xludf.DUMMYFUNCTION("QUERY('Volunteer Survey'!B278)"),"Niroshi Senaratne")</f>
        <v>Niroshi Senaratne</v>
      </c>
      <c r="M270" s="49" t="str">
        <f ca="1">IFERROR(__xludf.DUMMYFUNCTION("QUERY('Volunteer Survey'!E278)"),"niroshi.senaratne@gmail.com")</f>
        <v>niroshi.senaratne@gmail.com</v>
      </c>
      <c r="N270" s="49" t="str">
        <f ca="1">IFERROR(__xludf.DUMMYFUNCTION("QUERY('Volunteer Survey'!F278)"),"Clinical laboratory geneticist")</f>
        <v>Clinical laboratory geneticist</v>
      </c>
      <c r="O270" s="42" t="str">
        <f ca="1">IFERROR(__xludf.DUMMYFUNCTION("QUERY('Volunteer Survey'!H278)"),"Comprehensive")</f>
        <v>Comprehensive</v>
      </c>
      <c r="P270" s="49" t="str">
        <f ca="1">IFERROR(__xludf.DUMMYFUNCTION("QUERY('Volunteer Survey'!I278)"),"Dosage Sensitivity")</f>
        <v>Dosage Sensitivity</v>
      </c>
      <c r="Q270" s="54" t="str">
        <f ca="1">IFERROR(__xludf.DUMMYFUNCTION("QUERY('Volunteer Survey'!J278)"),"")</f>
        <v/>
      </c>
      <c r="R270" s="49" t="str">
        <f ca="1">IFERROR(__xludf.DUMMYFUNCTION("QUERY('Volunteer Survey'!K278)"),"")</f>
        <v/>
      </c>
      <c r="S270" s="49" t="str">
        <f ca="1">IFERROR(__xludf.DUMMYFUNCTION("QUERY('Volunteer Survey'!L278)"),"")</f>
        <v/>
      </c>
      <c r="T270" s="49" t="str">
        <f ca="1">IFERROR(__xludf.DUMMYFUNCTION("QUERY('Volunteer Survey'!M278)"),"")</f>
        <v/>
      </c>
      <c r="U270" s="58" t="str">
        <f ca="1">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V270" s="49" t="str">
        <f ca="1">IFERROR(__xludf.DUMMYFUNCTION("QUERY('Volunteer Survey'!O278)"),"Possibly")</f>
        <v>Possibly</v>
      </c>
      <c r="W270" s="60" t="str">
        <f ca="1">IFERROR(__xludf.DUMMYFUNCTION("QUERY('Volunteer Survey'!P278)"),"Dosage sensitivity (neurodevelopmental genes subgroup)")</f>
        <v>Dosage sensitivity (neurodevelopmental genes subgroup)</v>
      </c>
      <c r="X270" s="58" t="str">
        <f ca="1">IFERROR(__xludf.DUMMYFUNCTION("QUERY('Volunteer Survey'!R278)"),"Yes- I am willing to volunteer with any available ClinGen group")</f>
        <v>Yes- I am willing to volunteer with any available ClinGen group</v>
      </c>
      <c r="Y270" s="47"/>
      <c r="Z270" s="174">
        <f ca="1">IFERROR(__xludf.DUMMYFUNCTION("QUERY('Volunteer Survey'!A269)"),43691.6995434143)</f>
        <v>43691.699543414303</v>
      </c>
      <c r="AA270" s="175" t="str">
        <f ca="1">IFERROR(__xludf.DUMMYFUNCTION("QUERY('Volunteer Survey'!B269)"),"Ellie Jhun")</f>
        <v>Ellie Jhun</v>
      </c>
      <c r="AB270" s="175" t="str">
        <f ca="1">IFERROR(__xludf.DUMMYFUNCTION("QUERY('Volunteer Survey'!C269)"),"Base10 Genetics")</f>
        <v>Base10 Genetics</v>
      </c>
      <c r="AC270" s="175" t="str">
        <f ca="1">IFERROR(__xludf.DUMMYFUNCTION("QUERY('Volunteer Survey'!D269)"),"")</f>
        <v/>
      </c>
      <c r="AD270" s="175" t="str">
        <f ca="1">IFERROR(__xludf.DUMMYFUNCTION("QUERY('Volunteer Survey'!E269)"),"ejhun@base10genetics.com")</f>
        <v>ejhun@base10genetics.com</v>
      </c>
      <c r="AE270" s="175" t="str">
        <f ca="1">IFERROR(__xludf.DUMMYFUNCTION("QUERY('Volunteer Survey'!F269)"),"Variant Analyst/Scientist - Industry")</f>
        <v>Variant Analyst/Scientist - Industry</v>
      </c>
      <c r="AF270" s="175" t="str">
        <f ca="1">IFERROR(__xludf.DUMMYFUNCTION("QUERY('Volunteer Survey'!G269)"),"Colleagues")</f>
        <v>Colleagues</v>
      </c>
      <c r="AG270" s="175" t="str">
        <f ca="1">IFERROR(__xludf.DUMMYFUNCTION("QUERY('Volunteer Survey'!H269)"),"Comprehensive")</f>
        <v>Comprehensive</v>
      </c>
      <c r="AH270" s="175" t="str">
        <f ca="1">IFERROR(__xludf.DUMMYFUNCTION("QUERY('Volunteer Survey'!I269)"),"Clinical Actionability")</f>
        <v>Clinical Actionability</v>
      </c>
      <c r="AI270" s="175" t="str">
        <f ca="1">IFERROR(__xludf.DUMMYFUNCTION("QUERY('Volunteer Survey'!J269)"),"")</f>
        <v/>
      </c>
      <c r="AJ270" s="175" t="str">
        <f ca="1">IFERROR(__xludf.DUMMYFUNCTION("QUERY('Volunteer Survey'!K269)"),"")</f>
        <v/>
      </c>
      <c r="AK270" s="175" t="str">
        <f ca="1">IFERROR(__xludf.DUMMYFUNCTION("QUERY('Volunteer Survey'!L269)"),"")</f>
        <v/>
      </c>
      <c r="AL270" s="175" t="str">
        <f ca="1">IFERROR(__xludf.DUMMYFUNCTION("QUERY('Volunteer Survey'!M269)"),"")</f>
        <v/>
      </c>
      <c r="AM270" s="175" t="str">
        <f ca="1">IFERROR(__xludf.DUMMYFUNCTION("QUERY('Volunteer Survey'!N269)"),"Pharmacogenomics fellowship program at the University of Chicago")</f>
        <v>Pharmacogenomics fellowship program at the University of Chicago</v>
      </c>
      <c r="AN270" s="175" t="str">
        <f ca="1">IFERROR(__xludf.DUMMYFUNCTION("QUERY('Volunteer Survey'!O269)"),"No")</f>
        <v>No</v>
      </c>
      <c r="AO270" s="175" t="str">
        <f ca="1">IFERROR(__xludf.DUMMYFUNCTION("QUERY('Volunteer Survey'!P269)"),"")</f>
        <v/>
      </c>
    </row>
    <row r="271" spans="1:41" ht="14">
      <c r="A271" s="44">
        <f ca="1">IFERROR(__xludf.DUMMYFUNCTION("QUERY('Volunteer Survey'!A280)"),43693.8718907523)</f>
        <v>43693.8718907523</v>
      </c>
      <c r="B271" s="42" t="s">
        <v>108</v>
      </c>
      <c r="C271" s="73">
        <v>43819</v>
      </c>
      <c r="D271" s="49"/>
      <c r="E271" s="49"/>
      <c r="F271" s="42" t="s">
        <v>130</v>
      </c>
      <c r="G271" s="42" t="s">
        <v>251</v>
      </c>
      <c r="H271" s="47"/>
      <c r="I271" s="45" t="s">
        <v>139</v>
      </c>
      <c r="J271" s="49"/>
      <c r="K271" s="49"/>
      <c r="L271" s="49" t="str">
        <f ca="1">IFERROR(__xludf.DUMMYFUNCTION("QUERY('Volunteer Survey'!B280)"),"Madhu Ouseph")</f>
        <v>Madhu Ouseph</v>
      </c>
      <c r="M271" s="49" t="str">
        <f ca="1">IFERROR(__xludf.DUMMYFUNCTION("QUERY('Volunteer Survey'!E280)"),"mouseph@stanford.edu")</f>
        <v>mouseph@stanford.edu</v>
      </c>
      <c r="N271" s="49" t="str">
        <f ca="1">IFERROR(__xludf.DUMMYFUNCTION("QUERY('Volunteer Survey'!F280)"),"Post Doc/Resident/Fellow (MD and/or PhD)")</f>
        <v>Post Doc/Resident/Fellow (MD and/or PhD)</v>
      </c>
      <c r="O271" s="42" t="str">
        <f ca="1">IFERROR(__xludf.DUMMYFUNCTION("QUERY('Volunteer Survey'!H280)"),"Comprehensive")</f>
        <v>Comprehensive</v>
      </c>
      <c r="P271" s="49" t="str">
        <f ca="1">IFERROR(__xludf.DUMMYFUNCTION("QUERY('Volunteer Survey'!I280)"),"Variant Pathogenicity")</f>
        <v>Variant Pathogenicity</v>
      </c>
      <c r="Q271" s="54" t="str">
        <f ca="1">IFERROR(__xludf.DUMMYFUNCTION("QUERY('Volunteer Survey'!J280)"),"Somatic Cancer")</f>
        <v>Somatic Cancer</v>
      </c>
      <c r="R271" s="49" t="str">
        <f ca="1">IFERROR(__xludf.DUMMYFUNCTION("QUERY('Volunteer Survey'!K280)"),"Clinical Actionability")</f>
        <v>Clinical Actionability</v>
      </c>
      <c r="S271" s="49" t="str">
        <f ca="1">IFERROR(__xludf.DUMMYFUNCTION("QUERY('Volunteer Survey'!L280)"),"Dosage Sensitivity")</f>
        <v>Dosage Sensitivity</v>
      </c>
      <c r="T271" s="49" t="str">
        <f ca="1">IFERROR(__xludf.DUMMYFUNCTION("QUERY('Volunteer Survey'!M280)"),"Gene-Disease Validity")</f>
        <v>Gene-Disease Validity</v>
      </c>
      <c r="U271" s="58" t="str">
        <f ca="1">IFERROR(__xludf.DUMMYFUNCTION("QUERY('Volunteer Survey'!N280)"),"Currently involved in annotation of variants identified in NGS assays")</f>
        <v>Currently involved in annotation of variants identified in NGS assays</v>
      </c>
      <c r="V271" s="49" t="str">
        <f ca="1">IFERROR(__xludf.DUMMYFUNCTION("QUERY('Volunteer Survey'!O280)"),"Possibly")</f>
        <v>Possibly</v>
      </c>
      <c r="W271" s="60" t="str">
        <f ca="1">IFERROR(__xludf.DUMMYFUNCTION("QUERY('Volunteer Survey'!P280)"),"Myeloid Malignancy")</f>
        <v>Myeloid Malignancy</v>
      </c>
      <c r="X271" s="58" t="str">
        <f ca="1">IFERROR(__xludf.DUMMYFUNCTION("QUERY('Volunteer Survey'!R280)"),"Maybe -- please contact me with other options, and I will decide based on what is available")</f>
        <v>Maybe -- please contact me with other options, and I will decide based on what is available</v>
      </c>
      <c r="Y271" s="47"/>
      <c r="Z271" s="174">
        <f ca="1">IFERROR(__xludf.DUMMYFUNCTION("QUERY('Volunteer Survey'!A270)"),43691.8558167476)</f>
        <v>43691.8558167476</v>
      </c>
      <c r="AA271" s="175" t="str">
        <f ca="1">IFERROR(__xludf.DUMMYFUNCTION("QUERY('Volunteer Survey'!B270)"),"Venkatesan Sengoda Gounder")</f>
        <v>Venkatesan Sengoda Gounder</v>
      </c>
      <c r="AB271" s="175" t="str">
        <f ca="1">IFERROR(__xludf.DUMMYFUNCTION("QUERY('Volunteer Survey'!C270)"),"USDA-ARS")</f>
        <v>USDA-ARS</v>
      </c>
      <c r="AC271" s="175" t="str">
        <f ca="1">IFERROR(__xludf.DUMMYFUNCTION("QUERY('Volunteer Survey'!D270)"),"3 Bannock Glen Pl, Sacramento CA 95835")</f>
        <v>3 Bannock Glen Pl, Sacramento CA 95835</v>
      </c>
      <c r="AD271" s="175" t="str">
        <f ca="1">IFERROR(__xludf.DUMMYFUNCTION("QUERY('Volunteer Survey'!E270)"),"agrivenkat@gmail.com")</f>
        <v>agrivenkat@gmail.com</v>
      </c>
      <c r="AE271" s="175" t="str">
        <f ca="1">IFERROR(__xludf.DUMMYFUNCTION("QUERY('Volunteer Survey'!F270)"),"Scientific Researcher")</f>
        <v>Scientific Researcher</v>
      </c>
      <c r="AF271" s="175" t="str">
        <f ca="1">IFERROR(__xludf.DUMMYFUNCTION("QUERY('Volunteer Survey'!G270)"),"Colleagues")</f>
        <v>Colleagues</v>
      </c>
      <c r="AG271" s="175" t="str">
        <f ca="1">IFERROR(__xludf.DUMMYFUNCTION("QUERY('Volunteer Survey'!H270)"),"Comprehensive")</f>
        <v>Comprehensive</v>
      </c>
      <c r="AH271" s="175" t="str">
        <f ca="1">IFERROR(__xludf.DUMMYFUNCTION("QUERY('Volunteer Survey'!I270)"),"Variant Pathogenicity")</f>
        <v>Variant Pathogenicity</v>
      </c>
      <c r="AI271" s="175" t="str">
        <f ca="1">IFERROR(__xludf.DUMMYFUNCTION("QUERY('Volunteer Survey'!J270)"),"Dosage Sensitivity")</f>
        <v>Dosage Sensitivity</v>
      </c>
      <c r="AJ271" s="175" t="str">
        <f ca="1">IFERROR(__xludf.DUMMYFUNCTION("QUERY('Volunteer Survey'!K270)"),"Gene-Disease Validity")</f>
        <v>Gene-Disease Validity</v>
      </c>
      <c r="AK271" s="175" t="str">
        <f ca="1">IFERROR(__xludf.DUMMYFUNCTION("QUERY('Volunteer Survey'!L270)"),"Clinical Actionability")</f>
        <v>Clinical Actionability</v>
      </c>
      <c r="AL271" s="175" t="str">
        <f ca="1">IFERROR(__xludf.DUMMYFUNCTION("QUERY('Volunteer Survey'!M270)"),"Somatic Cancer")</f>
        <v>Somatic Cancer</v>
      </c>
      <c r="AM271" s="175" t="str">
        <f ca="1">IFERROR(__xludf.DUMMYFUNCTION("QUERY('Volunteer Survey'!N270)"),"No")</f>
        <v>No</v>
      </c>
      <c r="AN271" s="175" t="str">
        <f ca="1">IFERROR(__xludf.DUMMYFUNCTION("QUERY('Volunteer Survey'!O270)"),"Yes")</f>
        <v>Yes</v>
      </c>
      <c r="AO271" s="175" t="str">
        <f ca="1">IFERROR(__xludf.DUMMYFUNCTION("QUERY('Volunteer Survey'!P270)"),"Yes")</f>
        <v>Yes</v>
      </c>
    </row>
    <row r="272" spans="1:41" ht="14">
      <c r="A272" s="44">
        <f ca="1">IFERROR(__xludf.DUMMYFUNCTION("QUERY('Volunteer Survey'!A281)"),43695.7210746875)</f>
        <v>43695.721074687499</v>
      </c>
      <c r="B272" s="42" t="s">
        <v>108</v>
      </c>
      <c r="C272" s="73">
        <v>43819</v>
      </c>
      <c r="D272" s="49"/>
      <c r="E272" s="49"/>
      <c r="F272" s="42" t="s">
        <v>130</v>
      </c>
      <c r="G272" s="42" t="s">
        <v>251</v>
      </c>
      <c r="H272" s="47"/>
      <c r="I272" s="45" t="s">
        <v>139</v>
      </c>
      <c r="J272" s="49"/>
      <c r="K272" s="49"/>
      <c r="L272" s="49" t="str">
        <f ca="1">IFERROR(__xludf.DUMMYFUNCTION("QUERY('Volunteer Survey'!B281)"),"Janey Youngblom")</f>
        <v>Janey Youngblom</v>
      </c>
      <c r="M272" s="49" t="str">
        <f ca="1">IFERROR(__xludf.DUMMYFUNCTION("QUERY('Volunteer Survey'!E281)"),"jyoungblom1@csustan.edu")</f>
        <v>jyoungblom1@csustan.edu</v>
      </c>
      <c r="N272" s="49" t="str">
        <f ca="1">IFERROR(__xludf.DUMMYFUNCTION("QUERY('Volunteer Survey'!F281)"),"Scientific Researcher")</f>
        <v>Scientific Researcher</v>
      </c>
      <c r="O272" s="42" t="str">
        <f ca="1">IFERROR(__xludf.DUMMYFUNCTION("QUERY('Volunteer Survey'!H281)"),"Comprehensive")</f>
        <v>Comprehensive</v>
      </c>
      <c r="P272" s="49" t="str">
        <f ca="1">IFERROR(__xludf.DUMMYFUNCTION("QUERY('Volunteer Survey'!I281)"),"Variant Pathogenicity")</f>
        <v>Variant Pathogenicity</v>
      </c>
      <c r="Q272" s="54" t="str">
        <f ca="1">IFERROR(__xludf.DUMMYFUNCTION("QUERY('Volunteer Survey'!J281)"),"Gene-Disease Validity")</f>
        <v>Gene-Disease Validity</v>
      </c>
      <c r="R272" s="49" t="str">
        <f ca="1">IFERROR(__xludf.DUMMYFUNCTION("QUERY('Volunteer Survey'!K281)"),"Clinical Actionability")</f>
        <v>Clinical Actionability</v>
      </c>
      <c r="S272" s="49" t="str">
        <f ca="1">IFERROR(__xludf.DUMMYFUNCTION("QUERY('Volunteer Survey'!L281)"),"Dosage Sensitivity")</f>
        <v>Dosage Sensitivity</v>
      </c>
      <c r="T272" s="49" t="str">
        <f ca="1">IFERROR(__xludf.DUMMYFUNCTION("QUERY('Volunteer Survey'!M281)"),"Somatic Cancer")</f>
        <v>Somatic Cancer</v>
      </c>
      <c r="U272" s="58" t="str">
        <f ca="1">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V272" s="49" t="str">
        <f ca="1">IFERROR(__xludf.DUMMYFUNCTION("QUERY('Volunteer Survey'!O281)"),"Possibly")</f>
        <v>Possibly</v>
      </c>
      <c r="W272" s="60" t="str">
        <f ca="1">IFERROR(__xludf.DUMMYFUNCTION("QUERY('Volunteer Survey'!P281)"),"Familial Hypercholesterolemia")</f>
        <v>Familial Hypercholesterolemia</v>
      </c>
      <c r="X272" s="58" t="str">
        <f ca="1">IFERROR(__xludf.DUMMYFUNCTION("QUERY('Volunteer Survey'!R281)"),"Yes- I am willing to volunteer with any available ClinGen group")</f>
        <v>Yes- I am willing to volunteer with any available ClinGen group</v>
      </c>
      <c r="Y272" s="47"/>
      <c r="Z272" s="174">
        <f ca="1">IFERROR(__xludf.DUMMYFUNCTION("QUERY('Volunteer Survey'!A271)"),43692.4398326041)</f>
        <v>43692.439832604097</v>
      </c>
      <c r="AA272" s="175" t="str">
        <f ca="1">IFERROR(__xludf.DUMMYFUNCTION("QUERY('Volunteer Survey'!B271)"),"Ronaldo da Silva Francisco Junior")</f>
        <v>Ronaldo da Silva Francisco Junior</v>
      </c>
      <c r="AB272" s="175" t="str">
        <f ca="1">IFERROR(__xludf.DUMMYFUNCTION("QUERY('Volunteer Survey'!C271)"),"Bioinformatics Laboratory-LABINFO - National Laboratory of Scientific Computation LNCC/MCTIC")</f>
        <v>Bioinformatics Laboratory-LABINFO - National Laboratory of Scientific Computation LNCC/MCTIC</v>
      </c>
      <c r="AC272" s="175" t="str">
        <f ca="1">IFERROR(__xludf.DUMMYFUNCTION("QUERY('Volunteer Survey'!D271)"),"Av. Getulio Vargas, 333, Quitandinha CEP: 25651-075 - Petrópolis - Rio de Janeiro - Brazil")</f>
        <v>Av. Getulio Vargas, 333, Quitandinha CEP: 25651-075 - Petrópolis - Rio de Janeiro - Brazil</v>
      </c>
      <c r="AD272" s="175" t="str">
        <f ca="1">IFERROR(__xludf.DUMMYFUNCTION("QUERY('Volunteer Survey'!E271)"),"ronaldoj@lncc.br")</f>
        <v>ronaldoj@lncc.br</v>
      </c>
      <c r="AE272" s="175" t="str">
        <f ca="1">IFERROR(__xludf.DUMMYFUNCTION("QUERY('Volunteer Survey'!F271)"),"Variant Analyst/Scientist - Academic")</f>
        <v>Variant Analyst/Scientist - Academic</v>
      </c>
      <c r="AF272" s="175" t="str">
        <f ca="1">IFERROR(__xludf.DUMMYFUNCTION("QUERY('Volunteer Survey'!G271)"),"Youtube")</f>
        <v>Youtube</v>
      </c>
      <c r="AG272" s="175" t="str">
        <f ca="1">IFERROR(__xludf.DUMMYFUNCTION("QUERY('Volunteer Survey'!H271)"),"Comprehensive")</f>
        <v>Comprehensive</v>
      </c>
      <c r="AH272" s="175" t="str">
        <f ca="1">IFERROR(__xludf.DUMMYFUNCTION("QUERY('Volunteer Survey'!I271)"),"Variant Pathogenicity")</f>
        <v>Variant Pathogenicity</v>
      </c>
      <c r="AI272" s="175" t="str">
        <f ca="1">IFERROR(__xludf.DUMMYFUNCTION("QUERY('Volunteer Survey'!J271)"),"Dosage Sensitivity")</f>
        <v>Dosage Sensitivity</v>
      </c>
      <c r="AJ272" s="175" t="str">
        <f ca="1">IFERROR(__xludf.DUMMYFUNCTION("QUERY('Volunteer Survey'!K271)"),"Clinical Actionability")</f>
        <v>Clinical Actionability</v>
      </c>
      <c r="AK272" s="175" t="str">
        <f ca="1">IFERROR(__xludf.DUMMYFUNCTION("QUERY('Volunteer Survey'!L271)"),"Gene-Disease Validity")</f>
        <v>Gene-Disease Validity</v>
      </c>
      <c r="AL272" s="175" t="str">
        <f ca="1">IFERROR(__xludf.DUMMYFUNCTION("QUERY('Volunteer Survey'!M271)"),"Somatic Cancer")</f>
        <v>Somatic Cancer</v>
      </c>
      <c r="AM272" s="175" t="str">
        <f ca="1">IFERROR(__xludf.DUMMYFUNCTION("QUERY('Volunteer Survey'!N271)"),"Yes. I am currently working as a bioinformatician using WES data to perform the diagnosis and filtering of genetic variants in patients with Primary Immudeficiency Disorders")</f>
        <v>Yes. I am currently working as a bioinformatician using WES data to perform the diagnosis and filtering of genetic variants in patients with Primary Immudeficiency Disorders</v>
      </c>
      <c r="AN272" s="175" t="str">
        <f ca="1">IFERROR(__xludf.DUMMYFUNCTION("QUERY('Volunteer Survey'!O271)"),"Yes")</f>
        <v>Yes</v>
      </c>
      <c r="AO272" s="175" t="str">
        <f ca="1">IFERROR(__xludf.DUMMYFUNCTION("QUERY('Volunteer Survey'!P271)"),"Yes. RASopathy, Cardiomyopathy, Congenital Myopathies (newly forming), Mitochondrial diseases, Dosage-Recurrent Regions")</f>
        <v>Yes. RASopathy, Cardiomyopathy, Congenital Myopathies (newly forming), Mitochondrial diseases, Dosage-Recurrent Regions</v>
      </c>
    </row>
    <row r="273" spans="1:41" ht="14">
      <c r="A273" s="44">
        <f ca="1">IFERROR(__xludf.DUMMYFUNCTION("QUERY('Volunteer Survey'!A282)"),43696.3386174421)</f>
        <v>43696.338617442103</v>
      </c>
      <c r="B273" s="42" t="s">
        <v>160</v>
      </c>
      <c r="C273" s="73">
        <v>43717</v>
      </c>
      <c r="D273" s="59">
        <v>43678</v>
      </c>
      <c r="E273" s="42" t="s">
        <v>117</v>
      </c>
      <c r="F273" s="42" t="s">
        <v>117</v>
      </c>
      <c r="G273" s="42" t="s">
        <v>19</v>
      </c>
      <c r="H273" s="47"/>
      <c r="I273" s="45" t="s">
        <v>139</v>
      </c>
      <c r="J273" s="49"/>
      <c r="K273" s="49"/>
      <c r="L273" s="49" t="str">
        <f ca="1">IFERROR(__xludf.DUMMYFUNCTION("QUERY('Volunteer Survey'!B282)"),"Andrew Stergachis")</f>
        <v>Andrew Stergachis</v>
      </c>
      <c r="M273" s="49" t="str">
        <f ca="1">IFERROR(__xludf.DUMMYFUNCTION("QUERY('Volunteer Survey'!E282)"),"astergachis@bwh.harvard.edu")</f>
        <v>astergachis@bwh.harvard.edu</v>
      </c>
      <c r="N273" s="49" t="str">
        <f ca="1">IFERROR(__xludf.DUMMYFUNCTION("QUERY('Volunteer Survey'!F282)"),"Post Doc/Resident/Fellow (MD and/or PhD)")</f>
        <v>Post Doc/Resident/Fellow (MD and/or PhD)</v>
      </c>
      <c r="O273" s="42" t="str">
        <f ca="1">IFERROR(__xludf.DUMMYFUNCTION("QUERY('Volunteer Survey'!H282)"),"Comprehensive")</f>
        <v>Comprehensive</v>
      </c>
      <c r="P273" s="49" t="str">
        <f ca="1">IFERROR(__xludf.DUMMYFUNCTION("QUERY('Volunteer Survey'!I282)"),"Clinical Actionability")</f>
        <v>Clinical Actionability</v>
      </c>
      <c r="Q273" s="54" t="str">
        <f ca="1">IFERROR(__xludf.DUMMYFUNCTION("QUERY('Volunteer Survey'!J282)"),"")</f>
        <v/>
      </c>
      <c r="R273" s="49" t="str">
        <f ca="1">IFERROR(__xludf.DUMMYFUNCTION("QUERY('Volunteer Survey'!K282)"),"")</f>
        <v/>
      </c>
      <c r="S273" s="49" t="str">
        <f ca="1">IFERROR(__xludf.DUMMYFUNCTION("QUERY('Volunteer Survey'!L282)"),"")</f>
        <v/>
      </c>
      <c r="T273" s="49" t="str">
        <f ca="1">IFERROR(__xludf.DUMMYFUNCTION("QUERY('Volunteer Survey'!M282)"),"")</f>
        <v/>
      </c>
      <c r="U273" s="58" t="str">
        <f ca="1">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V273" s="49" t="str">
        <f ca="1">IFERROR(__xludf.DUMMYFUNCTION("QUERY('Volunteer Survey'!O282)"),"Possibly")</f>
        <v>Possibly</v>
      </c>
      <c r="W273" s="60" t="str">
        <f ca="1">IFERROR(__xludf.DUMMYFUNCTION("QUERY('Volunteer Survey'!P282)"),"Possibly ")</f>
        <v xml:space="preserve">Possibly </v>
      </c>
      <c r="X273" s="58" t="str">
        <f ca="1">IFERROR(__xludf.DUMMYFUNCTION("QUERY('Volunteer Survey'!R282)"),"Maybe -- please contact me with other options, and I will decide based on what is available")</f>
        <v>Maybe -- please contact me with other options, and I will decide based on what is available</v>
      </c>
      <c r="Y273" s="47"/>
      <c r="Z273" s="174">
        <f ca="1">IFERROR(__xludf.DUMMYFUNCTION("QUERY('Volunteer Survey'!A272)"),43692.75764353)</f>
        <v>43692.75764353</v>
      </c>
      <c r="AA273" s="175" t="str">
        <f ca="1">IFERROR(__xludf.DUMMYFUNCTION("QUERY('Volunteer Survey'!B272)"),"Krista Bluske")</f>
        <v>Krista Bluske</v>
      </c>
      <c r="AB273" s="175" t="str">
        <f ca="1">IFERROR(__xludf.DUMMYFUNCTION("QUERY('Volunteer Survey'!C272)"),"Illumina")</f>
        <v>Illumina</v>
      </c>
      <c r="AC273" s="175" t="str">
        <f ca="1">IFERROR(__xludf.DUMMYFUNCTION("QUERY('Volunteer Survey'!D272)"),"")</f>
        <v/>
      </c>
      <c r="AD273" s="175" t="str">
        <f ca="1">IFERROR(__xludf.DUMMYFUNCTION("QUERY('Volunteer Survey'!E272)"),"kbluske@illumina.com")</f>
        <v>kbluske@illumina.com</v>
      </c>
      <c r="AE273" s="175" t="str">
        <f ca="1">IFERROR(__xludf.DUMMYFUNCTION("QUERY('Volunteer Survey'!F272)"),"Variant Analyst/Scientist - Industry")</f>
        <v>Variant Analyst/Scientist - Industry</v>
      </c>
      <c r="AF273" s="175" t="str">
        <f ca="1">IFERROR(__xludf.DUMMYFUNCTION("QUERY('Volunteer Survey'!G272)"),"Colleagues")</f>
        <v>Colleagues</v>
      </c>
      <c r="AG273" s="175" t="str">
        <f ca="1">IFERROR(__xludf.DUMMYFUNCTION("QUERY('Volunteer Survey'!H272)"),"Comprehensive")</f>
        <v>Comprehensive</v>
      </c>
      <c r="AH273" s="175" t="str">
        <f ca="1">IFERROR(__xludf.DUMMYFUNCTION("QUERY('Volunteer Survey'!I272)"),"Gene-Disease Validity")</f>
        <v>Gene-Disease Validity</v>
      </c>
      <c r="AI273" s="175" t="str">
        <f ca="1">IFERROR(__xludf.DUMMYFUNCTION("QUERY('Volunteer Survey'!J272)"),"")</f>
        <v/>
      </c>
      <c r="AJ273" s="175" t="str">
        <f ca="1">IFERROR(__xludf.DUMMYFUNCTION("QUERY('Volunteer Survey'!K272)"),"")</f>
        <v/>
      </c>
      <c r="AK273" s="175" t="str">
        <f ca="1">IFERROR(__xludf.DUMMYFUNCTION("QUERY('Volunteer Survey'!L272)"),"")</f>
        <v/>
      </c>
      <c r="AL273" s="175" t="str">
        <f ca="1">IFERROR(__xludf.DUMMYFUNCTION("QUERY('Volunteer Survey'!M272)"),"")</f>
        <v/>
      </c>
      <c r="AM273" s="175" t="str">
        <f ca="1">IFERROR(__xludf.DUMMYFUNCTION("QUERY('Volunteer Survey'!N272)"),"Yes, our group at Illumina is already contributing RUGD gene curations to ClinGen and we are active collaborators. I am trained in the ClinGen gene curation protocol. ")</f>
        <v xml:space="preserve">Yes, our group at Illumina is already contributing RUGD gene curations to ClinGen and we are active collaborators. I am trained in the ClinGen gene curation protocol. </v>
      </c>
      <c r="AN273" s="175" t="str">
        <f ca="1">IFERROR(__xludf.DUMMYFUNCTION("QUERY('Volunteer Survey'!O272)"),"Possibly")</f>
        <v>Possibly</v>
      </c>
      <c r="AO273" s="175" t="str">
        <f ca="1">IFERROR(__xludf.DUMMYFUNCTION("QUERY('Volunteer Survey'!P272)"),"Mitochondrial Diseases expert panel (already participating), the soon-to-be-formed RUGD expert panel")</f>
        <v>Mitochondrial Diseases expert panel (already participating), the soon-to-be-formed RUGD expert panel</v>
      </c>
    </row>
    <row r="274" spans="1:41" ht="14">
      <c r="A274" s="44">
        <f ca="1">IFERROR(__xludf.DUMMYFUNCTION("QUERY('Volunteer Survey'!A283)"),43699.1581550231)</f>
        <v>43699.158155023099</v>
      </c>
      <c r="B274" s="42" t="s">
        <v>108</v>
      </c>
      <c r="C274" s="73">
        <v>43717</v>
      </c>
      <c r="D274" s="49"/>
      <c r="E274" s="49"/>
      <c r="F274" s="42" t="s">
        <v>130</v>
      </c>
      <c r="G274" s="42" t="s">
        <v>19</v>
      </c>
      <c r="H274" s="47"/>
      <c r="I274" s="45" t="s">
        <v>139</v>
      </c>
      <c r="J274" s="49"/>
      <c r="K274" s="49"/>
      <c r="L274" s="49" t="str">
        <f ca="1">IFERROR(__xludf.DUMMYFUNCTION("QUERY('Volunteer Survey'!B283)"),"Lalitha Venkateswaran")</f>
        <v>Lalitha Venkateswaran</v>
      </c>
      <c r="M274" s="49" t="str">
        <f ca="1">IFERROR(__xludf.DUMMYFUNCTION("QUERY('Volunteer Survey'!E283)"),"lalithapv19@gmail.com")</f>
        <v>lalithapv19@gmail.com</v>
      </c>
      <c r="N274" s="49" t="str">
        <f ca="1">IFERROR(__xludf.DUMMYFUNCTION("QUERY('Volunteer Survey'!F283)"),"Variant Analyst/Scientist - Industry")</f>
        <v>Variant Analyst/Scientist - Industry</v>
      </c>
      <c r="O274" s="42" t="str">
        <f ca="1">IFERROR(__xludf.DUMMYFUNCTION("QUERY('Volunteer Survey'!H283)"),"Comprehensive")</f>
        <v>Comprehensive</v>
      </c>
      <c r="P274" s="49" t="str">
        <f ca="1">IFERROR(__xludf.DUMMYFUNCTION("QUERY('Volunteer Survey'!I283)"),"Clinical Actionability")</f>
        <v>Clinical Actionability</v>
      </c>
      <c r="Q274" s="54" t="str">
        <f ca="1">IFERROR(__xludf.DUMMYFUNCTION("QUERY('Volunteer Survey'!J283)"),"Variant Pathogenicity")</f>
        <v>Variant Pathogenicity</v>
      </c>
      <c r="R274" s="49" t="str">
        <f ca="1">IFERROR(__xludf.DUMMYFUNCTION("QUERY('Volunteer Survey'!K283)"),"Gene-Disease Validity")</f>
        <v>Gene-Disease Validity</v>
      </c>
      <c r="S274" s="49" t="str">
        <f ca="1">IFERROR(__xludf.DUMMYFUNCTION("QUERY('Volunteer Survey'!L283)"),"Dosage Sensitivity")</f>
        <v>Dosage Sensitivity</v>
      </c>
      <c r="T274" s="49" t="str">
        <f ca="1">IFERROR(__xludf.DUMMYFUNCTION("QUERY('Volunteer Survey'!M283)"),"Somatic Cancer")</f>
        <v>Somatic Cancer</v>
      </c>
      <c r="U274" s="58" t="str">
        <f ca="1">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V274" s="49" t="str">
        <f ca="1">IFERROR(__xludf.DUMMYFUNCTION("QUERY('Volunteer Survey'!O283)"),"Yes")</f>
        <v>Yes</v>
      </c>
      <c r="W274" s="60" t="str">
        <f ca="1">IFERROR(__xludf.DUMMYFUNCTION("QUERY('Volunteer Survey'!P283)"),"")</f>
        <v/>
      </c>
      <c r="X274" s="58" t="str">
        <f ca="1">IFERROR(__xludf.DUMMYFUNCTION("QUERY('Volunteer Survey'!R283)"),"Yes- I am willing to volunteer with any available ClinGen group")</f>
        <v>Yes- I am willing to volunteer with any available ClinGen group</v>
      </c>
      <c r="Y274" s="47"/>
      <c r="Z274" s="174">
        <f ca="1">IFERROR(__xludf.DUMMYFUNCTION("QUERY('Volunteer Survey'!A273)"),43692.8081399189)</f>
        <v>43692.808139918903</v>
      </c>
      <c r="AA274" s="175" t="str">
        <f ca="1">IFERROR(__xludf.DUMMYFUNCTION("QUERY('Volunteer Survey'!B273)"),"Raman Bansal")</f>
        <v>Raman Bansal</v>
      </c>
      <c r="AB274" s="175" t="str">
        <f ca="1">IFERROR(__xludf.DUMMYFUNCTION("QUERY('Volunteer Survey'!C273)"),"ARS")</f>
        <v>ARS</v>
      </c>
      <c r="AC274" s="175" t="str">
        <f ca="1">IFERROR(__xludf.DUMMYFUNCTION("QUERY('Volunteer Survey'!D273)"),"")</f>
        <v/>
      </c>
      <c r="AD274" s="175" t="str">
        <f ca="1">IFERROR(__xludf.DUMMYFUNCTION("QUERY('Volunteer Survey'!E273)"),"rbansal.osu@gmail.com")</f>
        <v>rbansal.osu@gmail.com</v>
      </c>
      <c r="AE274" s="175" t="str">
        <f ca="1">IFERROR(__xludf.DUMMYFUNCTION("QUERY('Volunteer Survey'!F273)"),"Scientific Researcher")</f>
        <v>Scientific Researcher</v>
      </c>
      <c r="AF274" s="175" t="str">
        <f ca="1">IFERROR(__xludf.DUMMYFUNCTION("QUERY('Volunteer Survey'!G273)"),"Colleagues")</f>
        <v>Colleagues</v>
      </c>
      <c r="AG274" s="175" t="str">
        <f ca="1">IFERROR(__xludf.DUMMYFUNCTION("QUERY('Volunteer Survey'!H273)"),"Comprehensive")</f>
        <v>Comprehensive</v>
      </c>
      <c r="AH274" s="175" t="str">
        <f ca="1">IFERROR(__xludf.DUMMYFUNCTION("QUERY('Volunteer Survey'!I273)"),"Variant Pathogenicity")</f>
        <v>Variant Pathogenicity</v>
      </c>
      <c r="AI274" s="175" t="str">
        <f ca="1">IFERROR(__xludf.DUMMYFUNCTION("QUERY('Volunteer Survey'!J273)"),"Dosage Sensitivity")</f>
        <v>Dosage Sensitivity</v>
      </c>
      <c r="AJ274" s="175" t="str">
        <f ca="1">IFERROR(__xludf.DUMMYFUNCTION("QUERY('Volunteer Survey'!K273)"),"Gene-Disease Validity")</f>
        <v>Gene-Disease Validity</v>
      </c>
      <c r="AK274" s="175" t="str">
        <f ca="1">IFERROR(__xludf.DUMMYFUNCTION("QUERY('Volunteer Survey'!L273)"),"Clinical Actionability")</f>
        <v>Clinical Actionability</v>
      </c>
      <c r="AL274" s="175" t="str">
        <f ca="1">IFERROR(__xludf.DUMMYFUNCTION("QUERY('Volunteer Survey'!M273)"),"Somatic Cancer")</f>
        <v>Somatic Cancer</v>
      </c>
      <c r="AM274" s="175" t="str">
        <f ca="1">IFERROR(__xludf.DUMMYFUNCTION("QUERY('Volunteer Survey'!N273)"),"")</f>
        <v/>
      </c>
      <c r="AN274" s="175" t="str">
        <f ca="1">IFERROR(__xludf.DUMMYFUNCTION("QUERY('Volunteer Survey'!O273)"),"Yes")</f>
        <v>Yes</v>
      </c>
      <c r="AO274" s="175" t="str">
        <f ca="1">IFERROR(__xludf.DUMMYFUNCTION("QUERY('Volunteer Survey'!P273)"),"")</f>
        <v/>
      </c>
    </row>
    <row r="275" spans="1:41" ht="14">
      <c r="A275" s="44">
        <f ca="1">IFERROR(__xludf.DUMMYFUNCTION("QUERY('Volunteer Survey'!A284)"),43699.4692784838)</f>
        <v>43699.469278483797</v>
      </c>
      <c r="B275" s="42" t="s">
        <v>108</v>
      </c>
      <c r="C275" s="73">
        <v>43819</v>
      </c>
      <c r="D275" s="49"/>
      <c r="E275" s="49"/>
      <c r="F275" s="42" t="s">
        <v>130</v>
      </c>
      <c r="G275" s="42" t="s">
        <v>251</v>
      </c>
      <c r="H275" s="47"/>
      <c r="I275" s="45" t="s">
        <v>139</v>
      </c>
      <c r="J275" s="49"/>
      <c r="K275" s="49"/>
      <c r="L275" s="49" t="str">
        <f ca="1">IFERROR(__xludf.DUMMYFUNCTION("QUERY('Volunteer Survey'!B284)"),"Caterina Clementi")</f>
        <v>Caterina Clementi</v>
      </c>
      <c r="M275" s="49" t="str">
        <f ca="1">IFERROR(__xludf.DUMMYFUNCTION("QUERY('Volunteer Survey'!E284)"),"caterina.clementi@gmail.com")</f>
        <v>caterina.clementi@gmail.com</v>
      </c>
      <c r="N275" s="49" t="str">
        <f ca="1">IFERROR(__xludf.DUMMYFUNCTION("QUERY('Volunteer Survey'!F284)"),"Variant Analyst/Scientist - Industry")</f>
        <v>Variant Analyst/Scientist - Industry</v>
      </c>
      <c r="O275" s="42" t="str">
        <f ca="1">IFERROR(__xludf.DUMMYFUNCTION("QUERY('Volunteer Survey'!H284)"),"Comprehensive")</f>
        <v>Comprehensive</v>
      </c>
      <c r="P275" s="49" t="str">
        <f ca="1">IFERROR(__xludf.DUMMYFUNCTION("QUERY('Volunteer Survey'!I284)"),"Variant Pathogenicity")</f>
        <v>Variant Pathogenicity</v>
      </c>
      <c r="Q275" s="54" t="str">
        <f ca="1">IFERROR(__xludf.DUMMYFUNCTION("QUERY('Volunteer Survey'!J284)"),"Gene-Disease Validity")</f>
        <v>Gene-Disease Validity</v>
      </c>
      <c r="R275" s="49" t="str">
        <f ca="1">IFERROR(__xludf.DUMMYFUNCTION("QUERY('Volunteer Survey'!K284)"),"Clinical Actionability")</f>
        <v>Clinical Actionability</v>
      </c>
      <c r="S275" s="49" t="str">
        <f ca="1">IFERROR(__xludf.DUMMYFUNCTION("QUERY('Volunteer Survey'!L284)"),"")</f>
        <v/>
      </c>
      <c r="T275" s="49" t="str">
        <f ca="1">IFERROR(__xludf.DUMMYFUNCTION("QUERY('Volunteer Survey'!M284)"),"")</f>
        <v/>
      </c>
      <c r="U275" s="58" t="str">
        <f ca="1">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V275" s="49" t="str">
        <f ca="1">IFERROR(__xludf.DUMMYFUNCTION("QUERY('Volunteer Survey'!O284)"),"Possibly")</f>
        <v>Possibly</v>
      </c>
      <c r="W275" s="60" t="str">
        <f ca="1">IFERROR(__xludf.DUMMYFUNCTION("QUERY('Volunteer Survey'!P284)"),"Metabolic conditions")</f>
        <v>Metabolic conditions</v>
      </c>
      <c r="X275" s="58" t="str">
        <f ca="1">IFERROR(__xludf.DUMMYFUNCTION("QUERY('Volunteer Survey'!R284)"),"Yes- I am willing to volunteer with any available ClinGen group")</f>
        <v>Yes- I am willing to volunteer with any available ClinGen group</v>
      </c>
      <c r="Y275" s="47"/>
      <c r="Z275" s="174">
        <f ca="1">IFERROR(__xludf.DUMMYFUNCTION("QUERY('Volunteer Survey'!A274)"),43692.9403806134)</f>
        <v>43692.9403806134</v>
      </c>
      <c r="AA275" s="175" t="str">
        <f ca="1">IFERROR(__xludf.DUMMYFUNCTION("QUERY('Volunteer Survey'!B274)"),"FENGLI ZHANG")</f>
        <v>FENGLI ZHANG</v>
      </c>
      <c r="AB275" s="175" t="str">
        <f ca="1">IFERROR(__xludf.DUMMYFUNCTION("QUERY('Volunteer Survey'!C274)"),"UW Madison")</f>
        <v>UW Madison</v>
      </c>
      <c r="AC275" s="175" t="str">
        <f ca="1">IFERROR(__xludf.DUMMYFUNCTION("QUERY('Volunteer Survey'!D274)"),"")</f>
        <v/>
      </c>
      <c r="AD275" s="175" t="str">
        <f ca="1">IFERROR(__xludf.DUMMYFUNCTION("QUERY('Volunteer Survey'!E274)"),"fengli.zhang@slh.wisc.edu")</f>
        <v>fengli.zhang@slh.wisc.edu</v>
      </c>
      <c r="AE275" s="175" t="str">
        <f ca="1">IFERROR(__xludf.DUMMYFUNCTION("QUERY('Volunteer Survey'!F274)"),"Clinical laboratory geneticist")</f>
        <v>Clinical laboratory geneticist</v>
      </c>
      <c r="AF275" s="175" t="str">
        <f ca="1">IFERROR(__xludf.DUMMYFUNCTION("QUERY('Volunteer Survey'!G274)"),"Colleagues")</f>
        <v>Colleagues</v>
      </c>
      <c r="AG275" s="175" t="str">
        <f ca="1">IFERROR(__xludf.DUMMYFUNCTION("QUERY('Volunteer Survey'!H274)"),"Comprehensive")</f>
        <v>Comprehensive</v>
      </c>
      <c r="AH275" s="175" t="str">
        <f ca="1">IFERROR(__xludf.DUMMYFUNCTION("QUERY('Volunteer Survey'!I274)"),"Somatic Cancer")</f>
        <v>Somatic Cancer</v>
      </c>
      <c r="AI275" s="175" t="str">
        <f ca="1">IFERROR(__xludf.DUMMYFUNCTION("QUERY('Volunteer Survey'!J274)"),"Variant Pathogenicity")</f>
        <v>Variant Pathogenicity</v>
      </c>
      <c r="AJ275" s="175" t="str">
        <f ca="1">IFERROR(__xludf.DUMMYFUNCTION("QUERY('Volunteer Survey'!K274)"),"Gene-Disease Validity")</f>
        <v>Gene-Disease Validity</v>
      </c>
      <c r="AK275" s="175" t="str">
        <f ca="1">IFERROR(__xludf.DUMMYFUNCTION("QUERY('Volunteer Survey'!L274)"),"Dosage Sensitivity")</f>
        <v>Dosage Sensitivity</v>
      </c>
      <c r="AL275" s="175" t="str">
        <f ca="1">IFERROR(__xludf.DUMMYFUNCTION("QUERY('Volunteer Survey'!M274)"),"Clinical Actionability")</f>
        <v>Clinical Actionability</v>
      </c>
      <c r="AM275" s="175" t="str">
        <f ca="1">IFERROR(__xludf.DUMMYFUNCTION("QUERY('Volunteer Survey'!N274)"),"No")</f>
        <v>No</v>
      </c>
      <c r="AN275" s="175" t="str">
        <f ca="1">IFERROR(__xludf.DUMMYFUNCTION("QUERY('Volunteer Survey'!O274)"),"Possibly")</f>
        <v>Possibly</v>
      </c>
      <c r="AO275" s="175" t="str">
        <f ca="1">IFERROR(__xludf.DUMMYFUNCTION("QUERY('Volunteer Survey'!P274)"),"Cancer")</f>
        <v>Cancer</v>
      </c>
    </row>
    <row r="276" spans="1:41" ht="14">
      <c r="A276" s="44">
        <f ca="1">IFERROR(__xludf.DUMMYFUNCTION("QUERY('Volunteer Survey'!A285)"),43701.87979853)</f>
        <v>43701.879798529997</v>
      </c>
      <c r="B276" s="42" t="s">
        <v>108</v>
      </c>
      <c r="C276" s="73">
        <v>43819</v>
      </c>
      <c r="D276" s="49"/>
      <c r="E276" s="49"/>
      <c r="F276" s="42" t="s">
        <v>130</v>
      </c>
      <c r="G276" s="42" t="s">
        <v>251</v>
      </c>
      <c r="H276" s="47"/>
      <c r="I276" s="45" t="s">
        <v>139</v>
      </c>
      <c r="J276" s="49"/>
      <c r="K276" s="49"/>
      <c r="L276" s="49" t="str">
        <f ca="1">IFERROR(__xludf.DUMMYFUNCTION("QUERY('Volunteer Survey'!B285)"),"Catherine Spellicy")</f>
        <v>Catherine Spellicy</v>
      </c>
      <c r="M276" s="49" t="str">
        <f ca="1">IFERROR(__xludf.DUMMYFUNCTION("QUERY('Volunteer Survey'!E285)"),"cspellic@counsyl.com")</f>
        <v>cspellic@counsyl.com</v>
      </c>
      <c r="N276" s="49" t="str">
        <f ca="1">IFERROR(__xludf.DUMMYFUNCTION("QUERY('Volunteer Survey'!F285)"),"Clinical laboratory geneticist")</f>
        <v>Clinical laboratory geneticist</v>
      </c>
      <c r="O276" s="42" t="str">
        <f ca="1">IFERROR(__xludf.DUMMYFUNCTION("QUERY('Volunteer Survey'!H285)"),"Comprehensive")</f>
        <v>Comprehensive</v>
      </c>
      <c r="P276" s="49" t="str">
        <f ca="1">IFERROR(__xludf.DUMMYFUNCTION("QUERY('Volunteer Survey'!I285)"),"Variant Pathogenicity")</f>
        <v>Variant Pathogenicity</v>
      </c>
      <c r="Q276" s="54" t="str">
        <f ca="1">IFERROR(__xludf.DUMMYFUNCTION("QUERY('Volunteer Survey'!J285)"),"Gene-Disease Validity")</f>
        <v>Gene-Disease Validity</v>
      </c>
      <c r="R276" s="49" t="str">
        <f ca="1">IFERROR(__xludf.DUMMYFUNCTION("QUERY('Volunteer Survey'!K285)"),"")</f>
        <v/>
      </c>
      <c r="S276" s="49" t="str">
        <f ca="1">IFERROR(__xludf.DUMMYFUNCTION("QUERY('Volunteer Survey'!L285)"),"")</f>
        <v/>
      </c>
      <c r="T276" s="49" t="str">
        <f ca="1">IFERROR(__xludf.DUMMYFUNCTION("QUERY('Volunteer Survey'!M285)"),"")</f>
        <v/>
      </c>
      <c r="U276" s="58" t="str">
        <f ca="1">IFERROR(__xludf.DUMMYFUNCTION("QUERY('Volunteer Survey'!N285)"),"Many hours experience with variant analysis and classification.")</f>
        <v>Many hours experience with variant analysis and classification.</v>
      </c>
      <c r="V276" s="49" t="str">
        <f ca="1">IFERROR(__xludf.DUMMYFUNCTION("QUERY('Volunteer Survey'!O285)"),"Possibly")</f>
        <v>Possibly</v>
      </c>
      <c r="W276" s="60" t="str">
        <f ca="1">IFERROR(__xludf.DUMMYFUNCTION("QUERY('Volunteer Survey'!P285)"),"Sequence Variant Interpretation")</f>
        <v>Sequence Variant Interpretation</v>
      </c>
      <c r="X276" s="58" t="str">
        <f ca="1">IFERROR(__xludf.DUMMYFUNCTION("QUERY('Volunteer Survey'!R285)"),"Maybe -- please contact me with other options, and I will decide based on what is available")</f>
        <v>Maybe -- please contact me with other options, and I will decide based on what is available</v>
      </c>
      <c r="Y276" s="47"/>
      <c r="Z276" s="174">
        <f ca="1">IFERROR(__xludf.DUMMYFUNCTION("QUERY('Volunteer Survey'!A275)"),43693.3430147685)</f>
        <v>43693.343014768499</v>
      </c>
      <c r="AA276" s="175" t="str">
        <f ca="1">IFERROR(__xludf.DUMMYFUNCTION("QUERY('Volunteer Survey'!B275)"),"FENGLI ZHANG")</f>
        <v>FENGLI ZHANG</v>
      </c>
      <c r="AB276" s="175" t="str">
        <f ca="1">IFERROR(__xludf.DUMMYFUNCTION("QUERY('Volunteer Survey'!C275)"),"UW Madison")</f>
        <v>UW Madison</v>
      </c>
      <c r="AC276" s="175" t="str">
        <f ca="1">IFERROR(__xludf.DUMMYFUNCTION("QUERY('Volunteer Survey'!D275)"),"")</f>
        <v/>
      </c>
      <c r="AD276" s="175" t="str">
        <f ca="1">IFERROR(__xludf.DUMMYFUNCTION("QUERY('Volunteer Survey'!E275)"),"fengli.zhang@slh.wisc.edu")</f>
        <v>fengli.zhang@slh.wisc.edu</v>
      </c>
      <c r="AE276" s="175" t="str">
        <f ca="1">IFERROR(__xludf.DUMMYFUNCTION("QUERY('Volunteer Survey'!F275)"),"Clinical laboratory geneticist")</f>
        <v>Clinical laboratory geneticist</v>
      </c>
      <c r="AF276" s="175" t="str">
        <f ca="1">IFERROR(__xludf.DUMMYFUNCTION("QUERY('Volunteer Survey'!G275)"),"Colleagues")</f>
        <v>Colleagues</v>
      </c>
      <c r="AG276" s="175" t="str">
        <f ca="1">IFERROR(__xludf.DUMMYFUNCTION("QUERY('Volunteer Survey'!H275)"),"Comprehensive")</f>
        <v>Comprehensive</v>
      </c>
      <c r="AH276" s="175" t="str">
        <f ca="1">IFERROR(__xludf.DUMMYFUNCTION("QUERY('Volunteer Survey'!I275)"),"Somatic Cancer")</f>
        <v>Somatic Cancer</v>
      </c>
      <c r="AI276" s="175" t="str">
        <f ca="1">IFERROR(__xludf.DUMMYFUNCTION("QUERY('Volunteer Survey'!J275)"),"Variant Pathogenicity")</f>
        <v>Variant Pathogenicity</v>
      </c>
      <c r="AJ276" s="175" t="str">
        <f ca="1">IFERROR(__xludf.DUMMYFUNCTION("QUERY('Volunteer Survey'!K275)"),"Gene-Disease Validity")</f>
        <v>Gene-Disease Validity</v>
      </c>
      <c r="AK276" s="175" t="str">
        <f ca="1">IFERROR(__xludf.DUMMYFUNCTION("QUERY('Volunteer Survey'!L275)"),"Dosage Sensitivity")</f>
        <v>Dosage Sensitivity</v>
      </c>
      <c r="AL276" s="175" t="str">
        <f ca="1">IFERROR(__xludf.DUMMYFUNCTION("QUERY('Volunteer Survey'!M275)"),"Clinical Actionability")</f>
        <v>Clinical Actionability</v>
      </c>
      <c r="AM276" s="175" t="str">
        <f ca="1">IFERROR(__xludf.DUMMYFUNCTION("QUERY('Volunteer Survey'!N275)"),"No")</f>
        <v>No</v>
      </c>
      <c r="AN276" s="175" t="str">
        <f ca="1">IFERROR(__xludf.DUMMYFUNCTION("QUERY('Volunteer Survey'!O275)"),"Possibly")</f>
        <v>Possibly</v>
      </c>
      <c r="AO276" s="175" t="str">
        <f ca="1">IFERROR(__xludf.DUMMYFUNCTION("QUERY('Volunteer Survey'!P275)"),"Cancer")</f>
        <v>Cancer</v>
      </c>
    </row>
    <row r="277" spans="1:41" ht="14">
      <c r="A277" s="44">
        <f ca="1">IFERROR(__xludf.DUMMYFUNCTION("QUERY('Volunteer Survey'!A286)"),43703.2491424884)</f>
        <v>43703.249142488399</v>
      </c>
      <c r="B277" s="42" t="s">
        <v>108</v>
      </c>
      <c r="C277" s="73">
        <v>43819</v>
      </c>
      <c r="D277" s="49"/>
      <c r="E277" s="49"/>
      <c r="F277" s="42" t="s">
        <v>130</v>
      </c>
      <c r="G277" s="42" t="s">
        <v>122</v>
      </c>
      <c r="H277" s="47"/>
      <c r="I277" s="45" t="s">
        <v>139</v>
      </c>
      <c r="J277" s="49"/>
      <c r="K277" s="49"/>
      <c r="L277" s="49" t="str">
        <f ca="1">IFERROR(__xludf.DUMMYFUNCTION("QUERY('Volunteer Survey'!B286)"),"Julie P Taylor")</f>
        <v>Julie P Taylor</v>
      </c>
      <c r="M277" s="49" t="str">
        <f ca="1">IFERROR(__xludf.DUMMYFUNCTION("QUERY('Volunteer Survey'!E286)"),"jtaylor1@illumina.com")</f>
        <v>jtaylor1@illumina.com</v>
      </c>
      <c r="N277" s="49" t="str">
        <f ca="1">IFERROR(__xludf.DUMMYFUNCTION("QUERY('Volunteer Survey'!F286)"),"Biocurator")</f>
        <v>Biocurator</v>
      </c>
      <c r="O277" s="42" t="str">
        <f ca="1">IFERROR(__xludf.DUMMYFUNCTION("QUERY('Volunteer Survey'!H286)"),"Comprehensive")</f>
        <v>Comprehensive</v>
      </c>
      <c r="P277" s="49" t="str">
        <f ca="1">IFERROR(__xludf.DUMMYFUNCTION("QUERY('Volunteer Survey'!I286)"),"Gene-Disease Validity")</f>
        <v>Gene-Disease Validity</v>
      </c>
      <c r="Q277" s="54" t="str">
        <f ca="1">IFERROR(__xludf.DUMMYFUNCTION("QUERY('Volunteer Survey'!J286)"),"")</f>
        <v/>
      </c>
      <c r="R277" s="49" t="str">
        <f ca="1">IFERROR(__xludf.DUMMYFUNCTION("QUERY('Volunteer Survey'!K286)"),"")</f>
        <v/>
      </c>
      <c r="S277" s="49" t="str">
        <f ca="1">IFERROR(__xludf.DUMMYFUNCTION("QUERY('Volunteer Survey'!L286)"),"")</f>
        <v/>
      </c>
      <c r="T277" s="49" t="str">
        <f ca="1">IFERROR(__xludf.DUMMYFUNCTION("QUERY('Volunteer Survey'!M286)"),"")</f>
        <v/>
      </c>
      <c r="U277" s="58" t="str">
        <f ca="1">IFERROR(__xludf.DUMMYFUNCTION("QUERY('Volunteer Survey'!N286)"),"ClinGen Gene Curation is part of my role as a curation scientist at Illumina.")</f>
        <v>ClinGen Gene Curation is part of my role as a curation scientist at Illumina.</v>
      </c>
      <c r="V277" s="49" t="str">
        <f ca="1">IFERROR(__xludf.DUMMYFUNCTION("QUERY('Volunteer Survey'!O286)"),"Yes")</f>
        <v>Yes</v>
      </c>
      <c r="W277" s="60" t="str">
        <f ca="1">IFERROR(__xludf.DUMMYFUNCTION("QUERY('Volunteer Survey'!P286)"),"")</f>
        <v/>
      </c>
      <c r="X277" s="58" t="str">
        <f ca="1">IFERROR(__xludf.DUMMYFUNCTION("QUERY('Volunteer Survey'!R286)"),"Maybe -- please contact me with other options, and I will decide based on what is available")</f>
        <v>Maybe -- please contact me with other options, and I will decide based on what is available</v>
      </c>
      <c r="Y277" s="47"/>
      <c r="Z277" s="174">
        <f ca="1">IFERROR(__xludf.DUMMYFUNCTION("QUERY('Volunteer Survey'!A276)"),43693.3910887384)</f>
        <v>43693.391088738397</v>
      </c>
      <c r="AA277" s="175" t="str">
        <f ca="1">IFERROR(__xludf.DUMMYFUNCTION("QUERY('Volunteer Survey'!B276)"),"Amanda Clause")</f>
        <v>Amanda Clause</v>
      </c>
      <c r="AB277" s="175" t="str">
        <f ca="1">IFERROR(__xludf.DUMMYFUNCTION("QUERY('Volunteer Survey'!C276)"),"Illumina")</f>
        <v>Illumina</v>
      </c>
      <c r="AC277" s="175" t="str">
        <f ca="1">IFERROR(__xludf.DUMMYFUNCTION("QUERY('Volunteer Survey'!D276)"),"1501 Tyler Ct.")</f>
        <v>1501 Tyler Ct.</v>
      </c>
      <c r="AD277" s="175" t="str">
        <f ca="1">IFERROR(__xludf.DUMMYFUNCTION("QUERY('Volunteer Survey'!E276)"),"aclause@illumina.com")</f>
        <v>aclause@illumina.com</v>
      </c>
      <c r="AE277" s="175" t="str">
        <f ca="1">IFERROR(__xludf.DUMMYFUNCTION("QUERY('Volunteer Survey'!F276)"),"Variant Analyst/Scientist - Industry")</f>
        <v>Variant Analyst/Scientist - Industry</v>
      </c>
      <c r="AF277" s="175" t="str">
        <f ca="1">IFERROR(__xludf.DUMMYFUNCTION("QUERY('Volunteer Survey'!G276)"),"Colleagues")</f>
        <v>Colleagues</v>
      </c>
      <c r="AG277" s="175" t="str">
        <f ca="1">IFERROR(__xludf.DUMMYFUNCTION("QUERY('Volunteer Survey'!H276)"),"Comprehensive")</f>
        <v>Comprehensive</v>
      </c>
      <c r="AH277" s="175" t="str">
        <f ca="1">IFERROR(__xludf.DUMMYFUNCTION("QUERY('Volunteer Survey'!I276)"),"Gene-Disease Validity")</f>
        <v>Gene-Disease Validity</v>
      </c>
      <c r="AI277" s="175" t="str">
        <f ca="1">IFERROR(__xludf.DUMMYFUNCTION("QUERY('Volunteer Survey'!J276)"),"")</f>
        <v/>
      </c>
      <c r="AJ277" s="175" t="str">
        <f ca="1">IFERROR(__xludf.DUMMYFUNCTION("QUERY('Volunteer Survey'!K276)"),"")</f>
        <v/>
      </c>
      <c r="AK277" s="175" t="str">
        <f ca="1">IFERROR(__xludf.DUMMYFUNCTION("QUERY('Volunteer Survey'!L276)"),"")</f>
        <v/>
      </c>
      <c r="AL277" s="175" t="str">
        <f ca="1">IFERROR(__xludf.DUMMYFUNCTION("QUERY('Volunteer Survey'!M276)"),"")</f>
        <v/>
      </c>
      <c r="AM277" s="175" t="str">
        <f ca="1">IFERROR(__xludf.DUMMYFUNCTION("QUERY('Volunteer Survey'!N276)"),"Yes; currently curate variants and GDAs for a clinical whole genome sequencing test")</f>
        <v>Yes; currently curate variants and GDAs for a clinical whole genome sequencing test</v>
      </c>
      <c r="AN277" s="175" t="str">
        <f ca="1">IFERROR(__xludf.DUMMYFUNCTION("QUERY('Volunteer Survey'!O276)"),"No")</f>
        <v>No</v>
      </c>
      <c r="AO277" s="175" t="str">
        <f ca="1">IFERROR(__xludf.DUMMYFUNCTION("QUERY('Volunteer Survey'!P276)"),"mitochondrial diseases, rare disease")</f>
        <v>mitochondrial diseases, rare disease</v>
      </c>
    </row>
    <row r="278" spans="1:41" ht="14">
      <c r="A278" s="44">
        <f ca="1">IFERROR(__xludf.DUMMYFUNCTION("QUERY('Volunteer Survey'!A287)"),43703.6280798032)</f>
        <v>43703.628079803202</v>
      </c>
      <c r="B278" s="42" t="s">
        <v>108</v>
      </c>
      <c r="C278" s="73">
        <v>43840</v>
      </c>
      <c r="D278" s="49"/>
      <c r="E278" s="49"/>
      <c r="F278" s="42" t="s">
        <v>130</v>
      </c>
      <c r="G278" s="42" t="s">
        <v>122</v>
      </c>
      <c r="H278" s="47"/>
      <c r="I278" s="45" t="s">
        <v>139</v>
      </c>
      <c r="J278" s="49"/>
      <c r="K278" s="49"/>
      <c r="L278" s="49" t="str">
        <f ca="1">IFERROR(__xludf.DUMMYFUNCTION("QUERY('Volunteer Survey'!B287)"),"Charlene Preys")</f>
        <v>Charlene Preys</v>
      </c>
      <c r="M278" s="49" t="str">
        <f ca="1">IFERROR(__xludf.DUMMYFUNCTION("QUERY('Volunteer Survey'!E287)"),"clpreys@bwh.harvard.edu")</f>
        <v>clpreys@bwh.harvard.edu</v>
      </c>
      <c r="N278" s="49" t="str">
        <f ca="1">IFERROR(__xludf.DUMMYFUNCTION("QUERY('Volunteer Survey'!F287)"),"Undergraduate Student")</f>
        <v>Undergraduate Student</v>
      </c>
      <c r="O278" s="42" t="str">
        <f ca="1">IFERROR(__xludf.DUMMYFUNCTION("QUERY('Volunteer Survey'!H287)"),"Comprehensive")</f>
        <v>Comprehensive</v>
      </c>
      <c r="P278" s="49" t="str">
        <f ca="1">IFERROR(__xludf.DUMMYFUNCTION("QUERY('Volunteer Survey'!I287)"),"Gene-Disease Validity")</f>
        <v>Gene-Disease Validity</v>
      </c>
      <c r="Q278" s="54" t="str">
        <f ca="1">IFERROR(__xludf.DUMMYFUNCTION("QUERY('Volunteer Survey'!J287)"),"")</f>
        <v/>
      </c>
      <c r="R278" s="49" t="str">
        <f ca="1">IFERROR(__xludf.DUMMYFUNCTION("QUERY('Volunteer Survey'!K287)"),"")</f>
        <v/>
      </c>
      <c r="S278" s="49" t="str">
        <f ca="1">IFERROR(__xludf.DUMMYFUNCTION("QUERY('Volunteer Survey'!L287)"),"")</f>
        <v/>
      </c>
      <c r="T278" s="49" t="str">
        <f ca="1">IFERROR(__xludf.DUMMYFUNCTION("QUERY('Volunteer Survey'!M287)"),"")</f>
        <v/>
      </c>
      <c r="U278" s="58" t="str">
        <f ca="1">IFERROR(__xludf.DUMMYFUNCTION("QUERY('Volunteer Survey'!N287)"),"")</f>
        <v/>
      </c>
      <c r="V278" s="49" t="str">
        <f ca="1">IFERROR(__xludf.DUMMYFUNCTION("QUERY('Volunteer Survey'!O287)"),"")</f>
        <v/>
      </c>
      <c r="W278" s="60" t="str">
        <f ca="1">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c r="X278" s="58" t="str">
        <f ca="1">IFERROR(__xludf.DUMMYFUNCTION("QUERY('Volunteer Survey'!R287)"),"Yes- I am willing to volunteer with any available ClinGen group")</f>
        <v>Yes- I am willing to volunteer with any available ClinGen group</v>
      </c>
      <c r="Y278" s="45" t="s">
        <v>1043</v>
      </c>
      <c r="Z278" s="174">
        <f ca="1">IFERROR(__xludf.DUMMYFUNCTION("QUERY('Volunteer Survey'!A277)"),43693.4577109722)</f>
        <v>43693.457710972201</v>
      </c>
      <c r="AA278" s="175" t="str">
        <f ca="1">IFERROR(__xludf.DUMMYFUNCTION("QUERY('Volunteer Survey'!B277)"),"Sara Spencer")</f>
        <v>Sara Spencer</v>
      </c>
      <c r="AB278" s="175" t="str">
        <f ca="1">IFERROR(__xludf.DUMMYFUNCTION("QUERY('Volunteer Survey'!C277)"),"Northwestern Medicine/Northwestern University")</f>
        <v>Northwestern Medicine/Northwestern University</v>
      </c>
      <c r="AC278" s="175" t="str">
        <f ca="1">IFERROR(__xludf.DUMMYFUNCTION("QUERY('Volunteer Survey'!D277)"),"675 N. St. Clair Ste 14-200")</f>
        <v>675 N. St. Clair Ste 14-200</v>
      </c>
      <c r="AD278" s="175" t="str">
        <f ca="1">IFERROR(__xludf.DUMMYFUNCTION("QUERY('Volunteer Survey'!E277)"),"saspence@nm.org")</f>
        <v>saspence@nm.org</v>
      </c>
      <c r="AE278" s="175" t="str">
        <f ca="1">IFERROR(__xludf.DUMMYFUNCTION("QUERY('Volunteer Survey'!F277)"),"Genetic counselor")</f>
        <v>Genetic counselor</v>
      </c>
      <c r="AF278" s="175" t="str">
        <f ca="1">IFERROR(__xludf.DUMMYFUNCTION("QUERY('Volunteer Survey'!G277)"),"Colleagues")</f>
        <v>Colleagues</v>
      </c>
      <c r="AG278" s="175" t="str">
        <f ca="1">IFERROR(__xludf.DUMMYFUNCTION("QUERY('Volunteer Survey'!H277)"),"Comprehensive")</f>
        <v>Comprehensive</v>
      </c>
      <c r="AH278" s="175" t="str">
        <f ca="1">IFERROR(__xludf.DUMMYFUNCTION("QUERY('Volunteer Survey'!I277)"),"Variant Pathogenicity")</f>
        <v>Variant Pathogenicity</v>
      </c>
      <c r="AI278" s="175" t="str">
        <f ca="1">IFERROR(__xludf.DUMMYFUNCTION("QUERY('Volunteer Survey'!J277)"),"Gene-Disease Validity")</f>
        <v>Gene-Disease Validity</v>
      </c>
      <c r="AJ278" s="175" t="str">
        <f ca="1">IFERROR(__xludf.DUMMYFUNCTION("QUERY('Volunteer Survey'!K277)"),"Dosage Sensitivity")</f>
        <v>Dosage Sensitivity</v>
      </c>
      <c r="AK278" s="175" t="str">
        <f ca="1">IFERROR(__xludf.DUMMYFUNCTION("QUERY('Volunteer Survey'!L277)"),"")</f>
        <v/>
      </c>
      <c r="AL278" s="175" t="str">
        <f ca="1">IFERROR(__xludf.DUMMYFUNCTION("QUERY('Volunteer Survey'!M277)"),"")</f>
        <v/>
      </c>
      <c r="AM278" s="175" t="str">
        <f ca="1">IFERROR(__xludf.DUMMYFUNCTION("QUERY('Volunteer Survey'!N277)"),"As a clinician, I have been reviewing variant classifications provided by labs for 13 years. In addition, I have personal experience receiving a VOUS. This result motivated me to learn more about the variant classification process through shadowing my col"&amp;"leagues in the lab as well as taking the NSGC Variant Interpretation in the Era of WES/WGS Online Course. I am also currently watching the 2019 BROAD Institute - Interpreting Genomes for Rare Disease: Variant and Gene Interpretation lectures.
")</f>
        <v xml:space="preserve">As a clinician, I have been reviewing variant classifications provided by labs for 13 years. In addition, I have personal experience receiving a VOUS. This result motivated me to learn more about the variant classification process through shadowing my colleagues in the lab as well as taking the NSGC Variant Interpretation in the Era of WES/WGS Online Course. I am also currently watching the 2019 BROAD Institute - Interpreting Genomes for Rare Disease: Variant and Gene Interpretation lectures.
</v>
      </c>
      <c r="AN278" s="175" t="str">
        <f ca="1">IFERROR(__xludf.DUMMYFUNCTION("QUERY('Volunteer Survey'!O277)"),"Possibly")</f>
        <v>Possibly</v>
      </c>
      <c r="AO278" s="175" t="str">
        <f ca="1">IFERROR(__xludf.DUMMYFUNCTION("QUERY('Volunteer Survey'!P277)"),"Gene Curation Expert Panels - Epilepsy 
Variant Curation Expert Panels - Brain Malformations")</f>
        <v>Gene Curation Expert Panels - Epilepsy 
Variant Curation Expert Panels - Brain Malformations</v>
      </c>
    </row>
    <row r="279" spans="1:41" ht="14">
      <c r="A279" s="44">
        <f ca="1">IFERROR(__xludf.DUMMYFUNCTION("QUERY('Volunteer Survey'!A288)"),43705.8092491666)</f>
        <v>43705.809249166603</v>
      </c>
      <c r="B279" s="42" t="s">
        <v>108</v>
      </c>
      <c r="C279" s="73">
        <v>43819</v>
      </c>
      <c r="D279" s="49"/>
      <c r="E279" s="49"/>
      <c r="F279" s="42" t="s">
        <v>130</v>
      </c>
      <c r="G279" s="42" t="s">
        <v>251</v>
      </c>
      <c r="H279" s="47"/>
      <c r="I279" s="45" t="s">
        <v>139</v>
      </c>
      <c r="J279" s="49"/>
      <c r="K279" s="49"/>
      <c r="L279" s="49" t="str">
        <f ca="1">IFERROR(__xludf.DUMMYFUNCTION("QUERY('Volunteer Survey'!B288)"),"Edgar Ramirez")</f>
        <v>Edgar Ramirez</v>
      </c>
      <c r="M279" s="49" t="str">
        <f ca="1">IFERROR(__xludf.DUMMYFUNCTION("QUERY('Volunteer Survey'!E288)"),"e.ramirezr@hotmail.com")</f>
        <v>e.ramirezr@hotmail.com</v>
      </c>
      <c r="N279" s="49" t="str">
        <f ca="1">IFERROR(__xludf.DUMMYFUNCTION("QUERY('Volunteer Survey'!F288)"),"Scientific Researcher")</f>
        <v>Scientific Researcher</v>
      </c>
      <c r="O279" s="42" t="str">
        <f ca="1">IFERROR(__xludf.DUMMYFUNCTION("QUERY('Volunteer Survey'!H288)"),"Comprehensive")</f>
        <v>Comprehensive</v>
      </c>
      <c r="P279" s="49" t="str">
        <f ca="1">IFERROR(__xludf.DUMMYFUNCTION("QUERY('Volunteer Survey'!I288)"),"Variant Pathogenicity")</f>
        <v>Variant Pathogenicity</v>
      </c>
      <c r="Q279" s="54" t="str">
        <f ca="1">IFERROR(__xludf.DUMMYFUNCTION("QUERY('Volunteer Survey'!J288)"),"Clinical Actionability")</f>
        <v>Clinical Actionability</v>
      </c>
      <c r="R279" s="49" t="str">
        <f ca="1">IFERROR(__xludf.DUMMYFUNCTION("QUERY('Volunteer Survey'!K288)"),"Gene-Disease Validity")</f>
        <v>Gene-Disease Validity</v>
      </c>
      <c r="S279" s="49" t="str">
        <f ca="1">IFERROR(__xludf.DUMMYFUNCTION("QUERY('Volunteer Survey'!L288)"),"Dosage Sensitivity")</f>
        <v>Dosage Sensitivity</v>
      </c>
      <c r="T279" s="49" t="str">
        <f ca="1">IFERROR(__xludf.DUMMYFUNCTION("QUERY('Volunteer Survey'!M288)"),"Somatic Cancer")</f>
        <v>Somatic Cancer</v>
      </c>
      <c r="U279" s="58" t="str">
        <f ca="1">IFERROR(__xludf.DUMMYFUNCTION("QUERY('Volunteer Survey'!N288)"),"I was lead scientist for variant interpretation at a clinical laboratory")</f>
        <v>I was lead scientist for variant interpretation at a clinical laboratory</v>
      </c>
      <c r="V279" s="49" t="str">
        <f ca="1">IFERROR(__xludf.DUMMYFUNCTION("QUERY('Volunteer Survey'!O288)"),"Possibly")</f>
        <v>Possibly</v>
      </c>
      <c r="W279" s="60" t="str">
        <f ca="1">IFERROR(__xludf.DUMMYFUNCTION("QUERY('Volunteer Survey'!P288)"),"")</f>
        <v/>
      </c>
      <c r="X279" s="58" t="str">
        <f ca="1">IFERROR(__xludf.DUMMYFUNCTION("QUERY('Volunteer Survey'!R288)"),"Maybe -- please contact me with other options, and I will decide based on what is available")</f>
        <v>Maybe -- please contact me with other options, and I will decide based on what is available</v>
      </c>
      <c r="Y279" s="47"/>
      <c r="Z279" s="174">
        <f ca="1">IFERROR(__xludf.DUMMYFUNCTION("QUERY('Volunteer Survey'!A278)"),43693.4749920023)</f>
        <v>43693.474992002302</v>
      </c>
      <c r="AA279" s="175" t="str">
        <f ca="1">IFERROR(__xludf.DUMMYFUNCTION("QUERY('Volunteer Survey'!B278)"),"Niroshi Senaratne")</f>
        <v>Niroshi Senaratne</v>
      </c>
      <c r="AB279" s="175" t="str">
        <f ca="1">IFERROR(__xludf.DUMMYFUNCTION("QUERY('Volunteer Survey'!C278)"),"University of California, Los Angeles")</f>
        <v>University of California, Los Angeles</v>
      </c>
      <c r="AC279" s="175" t="str">
        <f ca="1">IFERROR(__xludf.DUMMYFUNCTION("QUERY('Volunteer Survey'!D278)"),"")</f>
        <v/>
      </c>
      <c r="AD279" s="175" t="str">
        <f ca="1">IFERROR(__xludf.DUMMYFUNCTION("QUERY('Volunteer Survey'!E278)"),"niroshi.senaratne@gmail.com")</f>
        <v>niroshi.senaratne@gmail.com</v>
      </c>
      <c r="AE279" s="175" t="str">
        <f ca="1">IFERROR(__xludf.DUMMYFUNCTION("QUERY('Volunteer Survey'!F278)"),"Clinical laboratory geneticist")</f>
        <v>Clinical laboratory geneticist</v>
      </c>
      <c r="AF279" s="175" t="str">
        <f ca="1">IFERROR(__xludf.DUMMYFUNCTION("QUERY('Volunteer Survey'!G278)"),"Colleagues")</f>
        <v>Colleagues</v>
      </c>
      <c r="AG279" s="175" t="str">
        <f ca="1">IFERROR(__xludf.DUMMYFUNCTION("QUERY('Volunteer Survey'!H278)"),"Comprehensive")</f>
        <v>Comprehensive</v>
      </c>
      <c r="AH279" s="175" t="str">
        <f ca="1">IFERROR(__xludf.DUMMYFUNCTION("QUERY('Volunteer Survey'!I278)"),"Dosage Sensitivity")</f>
        <v>Dosage Sensitivity</v>
      </c>
      <c r="AI279" s="175" t="str">
        <f ca="1">IFERROR(__xludf.DUMMYFUNCTION("QUERY('Volunteer Survey'!J278)"),"")</f>
        <v/>
      </c>
      <c r="AJ279" s="175" t="str">
        <f ca="1">IFERROR(__xludf.DUMMYFUNCTION("QUERY('Volunteer Survey'!K278)"),"")</f>
        <v/>
      </c>
      <c r="AK279" s="175" t="str">
        <f ca="1">IFERROR(__xludf.DUMMYFUNCTION("QUERY('Volunteer Survey'!L278)"),"")</f>
        <v/>
      </c>
      <c r="AL279" s="175" t="str">
        <f ca="1">IFERROR(__xludf.DUMMYFUNCTION("QUERY('Volunteer Survey'!M278)"),"")</f>
        <v/>
      </c>
      <c r="AM279" s="175" t="str">
        <f ca="1">IFERROR(__xludf.DUMMYFUNCTION("QUERY('Volunteer Survey'!N278)"),"Yes, having worked on constitutional chromosomal microarrays during my fellowship (referred for a variety of indications including autism and other neurodevelopmental disorders) I have often had to research novel CNVs for evidence of dosage pathogenicity.")</f>
        <v>Yes, having worked on constitutional chromosomal microarrays during my fellowship (referred for a variety of indications including autism and other neurodevelopmental disorders) I have often had to research novel CNVs for evidence of dosage pathogenicity.</v>
      </c>
      <c r="AN279" s="175" t="str">
        <f ca="1">IFERROR(__xludf.DUMMYFUNCTION("QUERY('Volunteer Survey'!O278)"),"Possibly")</f>
        <v>Possibly</v>
      </c>
      <c r="AO279" s="175" t="str">
        <f ca="1">IFERROR(__xludf.DUMMYFUNCTION("QUERY('Volunteer Survey'!P278)"),"Dosage sensitivity (neurodevelopmental genes subgroup)")</f>
        <v>Dosage sensitivity (neurodevelopmental genes subgroup)</v>
      </c>
    </row>
    <row r="280" spans="1:41" ht="14">
      <c r="A280" s="44">
        <f ca="1">IFERROR(__xludf.DUMMYFUNCTION("QUERY('Volunteer Survey'!A289)"),43707.2969791087)</f>
        <v>43707.296979108702</v>
      </c>
      <c r="B280" s="42" t="s">
        <v>108</v>
      </c>
      <c r="C280" s="73">
        <v>43819</v>
      </c>
      <c r="D280" s="49"/>
      <c r="E280" s="49"/>
      <c r="F280" s="42" t="s">
        <v>130</v>
      </c>
      <c r="G280" s="42" t="s">
        <v>122</v>
      </c>
      <c r="H280" s="47"/>
      <c r="I280" s="45" t="s">
        <v>139</v>
      </c>
      <c r="J280" s="49"/>
      <c r="K280" s="49"/>
      <c r="L280" s="49" t="str">
        <f ca="1">IFERROR(__xludf.DUMMYFUNCTION("QUERY('Volunteer Survey'!B289)"),"Laura Roht")</f>
        <v>Laura Roht</v>
      </c>
      <c r="M280" s="49" t="str">
        <f ca="1">IFERROR(__xludf.DUMMYFUNCTION("QUERY('Volunteer Survey'!E289)"),"laura.roht@kliinikum.ee")</f>
        <v>laura.roht@kliinikum.ee</v>
      </c>
      <c r="N280" s="49" t="str">
        <f ca="1">IFERROR(__xludf.DUMMYFUNCTION("QUERY('Volunteer Survey'!F289)"),"Clinical Medical Geneticist")</f>
        <v>Clinical Medical Geneticist</v>
      </c>
      <c r="O280" s="42" t="str">
        <f ca="1">IFERROR(__xludf.DUMMYFUNCTION("QUERY('Volunteer Survey'!H289)"),"Comprehensive")</f>
        <v>Comprehensive</v>
      </c>
      <c r="P280" s="49" t="str">
        <f ca="1">IFERROR(__xludf.DUMMYFUNCTION("QUERY('Volunteer Survey'!I289)"),"Gene-Disease Validity")</f>
        <v>Gene-Disease Validity</v>
      </c>
      <c r="Q280" s="54" t="str">
        <f ca="1">IFERROR(__xludf.DUMMYFUNCTION("QUERY('Volunteer Survey'!J289)"),"Variant Pathogenicity")</f>
        <v>Variant Pathogenicity</v>
      </c>
      <c r="R280" s="49" t="str">
        <f ca="1">IFERROR(__xludf.DUMMYFUNCTION("QUERY('Volunteer Survey'!K289)"),"")</f>
        <v/>
      </c>
      <c r="S280" s="49" t="str">
        <f ca="1">IFERROR(__xludf.DUMMYFUNCTION("QUERY('Volunteer Survey'!L289)"),"")</f>
        <v/>
      </c>
      <c r="T280" s="49" t="str">
        <f ca="1">IFERROR(__xludf.DUMMYFUNCTION("QUERY('Volunteer Survey'!M289)"),"")</f>
        <v/>
      </c>
      <c r="U280" s="58" t="str">
        <f ca="1">IFERROR(__xludf.DUMMYFUNCTION("QUERY('Volunteer Survey'!N289)"),"")</f>
        <v/>
      </c>
      <c r="V280" s="49" t="str">
        <f ca="1">IFERROR(__xludf.DUMMYFUNCTION("QUERY('Volunteer Survey'!O289)"),"Possibly")</f>
        <v>Possibly</v>
      </c>
      <c r="W280" s="60" t="str">
        <f ca="1">IFERROR(__xludf.DUMMYFUNCTION("QUERY('Volunteer Survey'!P289)"),"Hereditary Cancer")</f>
        <v>Hereditary Cancer</v>
      </c>
      <c r="X280" s="58" t="str">
        <f ca="1">IFERROR(__xludf.DUMMYFUNCTION("QUERY('Volunteer Survey'!R289)"),"Maybe -- please contact me with other options, and I will decide based on what is available")</f>
        <v>Maybe -- please contact me with other options, and I will decide based on what is available</v>
      </c>
      <c r="Y280" s="47"/>
      <c r="Z280" s="174">
        <f ca="1">IFERROR(__xludf.DUMMYFUNCTION("QUERY('Volunteer Survey'!A279)"),43693.4766677546)</f>
        <v>43693.476667754599</v>
      </c>
      <c r="AA280" s="175" t="str">
        <f ca="1">IFERROR(__xludf.DUMMYFUNCTION("QUERY('Volunteer Survey'!B279)"),"FENGLI ZHANG")</f>
        <v>FENGLI ZHANG</v>
      </c>
      <c r="AB280" s="175" t="str">
        <f ca="1">IFERROR(__xludf.DUMMYFUNCTION("QUERY('Volunteer Survey'!C279)"),"UNIVERSITY OF WISCONSIN")</f>
        <v>UNIVERSITY OF WISCONSIN</v>
      </c>
      <c r="AC280" s="175" t="str">
        <f ca="1">IFERROR(__xludf.DUMMYFUNCTION("QUERY('Volunteer Survey'!D279)"),"")</f>
        <v/>
      </c>
      <c r="AD280" s="175" t="str">
        <f ca="1">IFERROR(__xludf.DUMMYFUNCTION("QUERY('Volunteer Survey'!E279)"),"fengli.zhang@slh.wisc.edu")</f>
        <v>fengli.zhang@slh.wisc.edu</v>
      </c>
      <c r="AE280" s="175" t="str">
        <f ca="1">IFERROR(__xludf.DUMMYFUNCTION("QUERY('Volunteer Survey'!F279)"),"Clinical laboratory geneticist")</f>
        <v>Clinical laboratory geneticist</v>
      </c>
      <c r="AF280" s="175" t="str">
        <f ca="1">IFERROR(__xludf.DUMMYFUNCTION("QUERY('Volunteer Survey'!G279)"),"The clinicalgenome.org website")</f>
        <v>The clinicalgenome.org website</v>
      </c>
      <c r="AG280" s="175" t="str">
        <f ca="1">IFERROR(__xludf.DUMMYFUNCTION("QUERY('Volunteer Survey'!H279)"),"Comprehensive")</f>
        <v>Comprehensive</v>
      </c>
      <c r="AH280" s="175" t="str">
        <f ca="1">IFERROR(__xludf.DUMMYFUNCTION("QUERY('Volunteer Survey'!I279)"),"Somatic Cancer")</f>
        <v>Somatic Cancer</v>
      </c>
      <c r="AI280" s="175" t="str">
        <f ca="1">IFERROR(__xludf.DUMMYFUNCTION("QUERY('Volunteer Survey'!J279)"),"Variant Pathogenicity")</f>
        <v>Variant Pathogenicity</v>
      </c>
      <c r="AJ280" s="175" t="str">
        <f ca="1">IFERROR(__xludf.DUMMYFUNCTION("QUERY('Volunteer Survey'!K279)"),"Gene-Disease Validity")</f>
        <v>Gene-Disease Validity</v>
      </c>
      <c r="AK280" s="175" t="str">
        <f ca="1">IFERROR(__xludf.DUMMYFUNCTION("QUERY('Volunteer Survey'!L279)"),"Dosage Sensitivity")</f>
        <v>Dosage Sensitivity</v>
      </c>
      <c r="AL280" s="175" t="str">
        <f ca="1">IFERROR(__xludf.DUMMYFUNCTION("QUERY('Volunteer Survey'!M279)"),"Clinical Actionability")</f>
        <v>Clinical Actionability</v>
      </c>
      <c r="AM280" s="175" t="str">
        <f ca="1">IFERROR(__xludf.DUMMYFUNCTION("QUERY('Volunteer Survey'!N279)"),"YES. ")</f>
        <v xml:space="preserve">YES. </v>
      </c>
      <c r="AN280" s="175" t="str">
        <f ca="1">IFERROR(__xludf.DUMMYFUNCTION("QUERY('Volunteer Survey'!O279)"),"Yes")</f>
        <v>Yes</v>
      </c>
      <c r="AO280" s="175" t="str">
        <f ca="1">IFERROR(__xludf.DUMMYFUNCTION("QUERY('Volunteer Survey'!P279)"),"")</f>
        <v/>
      </c>
    </row>
    <row r="281" spans="1:41" ht="14">
      <c r="A281" s="44">
        <f ca="1">IFERROR(__xludf.DUMMYFUNCTION("QUERY('Volunteer Survey'!A290)"),43707.8085726851)</f>
        <v>43707.808572685099</v>
      </c>
      <c r="B281" s="42" t="s">
        <v>108</v>
      </c>
      <c r="C281" s="47"/>
      <c r="D281" s="49"/>
      <c r="E281" s="49"/>
      <c r="F281" s="42" t="s">
        <v>130</v>
      </c>
      <c r="G281" s="42" t="s">
        <v>313</v>
      </c>
      <c r="H281" s="47"/>
      <c r="I281" s="45" t="s">
        <v>139</v>
      </c>
      <c r="J281" s="49"/>
      <c r="K281" s="49"/>
      <c r="L281" s="49" t="str">
        <f ca="1">IFERROR(__xludf.DUMMYFUNCTION("QUERY('Volunteer Survey'!B290)"),"Donia Hany Mostafa ")</f>
        <v xml:space="preserve">Donia Hany Mostafa </v>
      </c>
      <c r="M281" s="49" t="str">
        <f ca="1">IFERROR(__xludf.DUMMYFUNCTION("QUERY('Volunteer Survey'!E290)"),"donia.1518105@stemkalubya.moe.edu.eg")</f>
        <v>donia.1518105@stemkalubya.moe.edu.eg</v>
      </c>
      <c r="N281" s="49" t="str">
        <f ca="1">IFERROR(__xludf.DUMMYFUNCTION("QUERY('Volunteer Survey'!F290)"),"Undergraduate Student")</f>
        <v>Undergraduate Student</v>
      </c>
      <c r="O281" s="42" t="str">
        <f ca="1">IFERROR(__xludf.DUMMYFUNCTION("QUERY('Volunteer Survey'!H290)"),"Comprehensive")</f>
        <v>Comprehensive</v>
      </c>
      <c r="P281" s="49" t="str">
        <f ca="1">IFERROR(__xludf.DUMMYFUNCTION("QUERY('Volunteer Survey'!I290)"),"Somatic Cancer")</f>
        <v>Somatic Cancer</v>
      </c>
      <c r="Q281" s="54" t="str">
        <f ca="1">IFERROR(__xludf.DUMMYFUNCTION("QUERY('Volunteer Survey'!J290)"),"Dosage Sensitivity")</f>
        <v>Dosage Sensitivity</v>
      </c>
      <c r="R281" s="49" t="str">
        <f ca="1">IFERROR(__xludf.DUMMYFUNCTION("QUERY('Volunteer Survey'!K290)"),"Gene-Disease Validity")</f>
        <v>Gene-Disease Validity</v>
      </c>
      <c r="S281" s="49" t="str">
        <f ca="1">IFERROR(__xludf.DUMMYFUNCTION("QUERY('Volunteer Survey'!L290)"),"Clinical Actionability")</f>
        <v>Clinical Actionability</v>
      </c>
      <c r="T281" s="49" t="str">
        <f ca="1">IFERROR(__xludf.DUMMYFUNCTION("QUERY('Volunteer Survey'!M290)"),"Variant Pathogenicity")</f>
        <v>Variant Pathogenicity</v>
      </c>
      <c r="U281" s="58" t="str">
        <f ca="1">IFERROR(__xludf.DUMMYFUNCTION("QUERY('Volunteer Survey'!N290)"),"")</f>
        <v/>
      </c>
      <c r="V281" s="49" t="str">
        <f ca="1">IFERROR(__xludf.DUMMYFUNCTION("QUERY('Volunteer Survey'!O290)"),"No")</f>
        <v>No</v>
      </c>
      <c r="W281" s="60" t="str">
        <f ca="1">IFERROR(__xludf.DUMMYFUNCTION("QUERY('Volunteer Survey'!P290)"),"Yes,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c r="X281" s="58" t="str">
        <f ca="1">IFERROR(__xludf.DUMMYFUNCTION("QUERY('Volunteer Survey'!R290)"),"Maybe -- please contact me with other options, and I will decide based on what is available")</f>
        <v>Maybe -- please contact me with other options, and I will decide based on what is available</v>
      </c>
      <c r="Y281" s="47"/>
      <c r="Z281" s="174">
        <f ca="1">IFERROR(__xludf.DUMMYFUNCTION("QUERY('Volunteer Survey'!A280)"),43693.8718907523)</f>
        <v>43693.8718907523</v>
      </c>
      <c r="AA281" s="175" t="str">
        <f ca="1">IFERROR(__xludf.DUMMYFUNCTION("QUERY('Volunteer Survey'!B280)"),"Madhu Ouseph")</f>
        <v>Madhu Ouseph</v>
      </c>
      <c r="AB281" s="175" t="str">
        <f ca="1">IFERROR(__xludf.DUMMYFUNCTION("QUERY('Volunteer Survey'!C280)"),"Stanford University ")</f>
        <v xml:space="preserve">Stanford University </v>
      </c>
      <c r="AC281" s="175" t="str">
        <f ca="1">IFERROR(__xludf.DUMMYFUNCTION("QUERY('Volunteer Survey'!D280)"),"3377 Hillview Avenue, Palo Alto, CA")</f>
        <v>3377 Hillview Avenue, Palo Alto, CA</v>
      </c>
      <c r="AD281" s="175" t="str">
        <f ca="1">IFERROR(__xludf.DUMMYFUNCTION("QUERY('Volunteer Survey'!E280)"),"mouseph@stanford.edu")</f>
        <v>mouseph@stanford.edu</v>
      </c>
      <c r="AE281" s="175" t="str">
        <f ca="1">IFERROR(__xludf.DUMMYFUNCTION("QUERY('Volunteer Survey'!F280)"),"Post Doc/Resident/Fellow (MD and/or PhD)")</f>
        <v>Post Doc/Resident/Fellow (MD and/or PhD)</v>
      </c>
      <c r="AF281" s="175" t="str">
        <f ca="1">IFERROR(__xludf.DUMMYFUNCTION("QUERY('Volunteer Survey'!G280)"),"Colleagues")</f>
        <v>Colleagues</v>
      </c>
      <c r="AG281" s="175" t="str">
        <f ca="1">IFERROR(__xludf.DUMMYFUNCTION("QUERY('Volunteer Survey'!H280)"),"Comprehensive")</f>
        <v>Comprehensive</v>
      </c>
      <c r="AH281" s="175" t="str">
        <f ca="1">IFERROR(__xludf.DUMMYFUNCTION("QUERY('Volunteer Survey'!I280)"),"Variant Pathogenicity")</f>
        <v>Variant Pathogenicity</v>
      </c>
      <c r="AI281" s="175" t="str">
        <f ca="1">IFERROR(__xludf.DUMMYFUNCTION("QUERY('Volunteer Survey'!J280)"),"Somatic Cancer")</f>
        <v>Somatic Cancer</v>
      </c>
      <c r="AJ281" s="175" t="str">
        <f ca="1">IFERROR(__xludf.DUMMYFUNCTION("QUERY('Volunteer Survey'!K280)"),"Clinical Actionability")</f>
        <v>Clinical Actionability</v>
      </c>
      <c r="AK281" s="175" t="str">
        <f ca="1">IFERROR(__xludf.DUMMYFUNCTION("QUERY('Volunteer Survey'!L280)"),"Dosage Sensitivity")</f>
        <v>Dosage Sensitivity</v>
      </c>
      <c r="AL281" s="175" t="str">
        <f ca="1">IFERROR(__xludf.DUMMYFUNCTION("QUERY('Volunteer Survey'!M280)"),"Gene-Disease Validity")</f>
        <v>Gene-Disease Validity</v>
      </c>
      <c r="AM281" s="175" t="str">
        <f ca="1">IFERROR(__xludf.DUMMYFUNCTION("QUERY('Volunteer Survey'!N280)"),"Currently involved in annotation of variants identified in NGS assays")</f>
        <v>Currently involved in annotation of variants identified in NGS assays</v>
      </c>
      <c r="AN281" s="175" t="str">
        <f ca="1">IFERROR(__xludf.DUMMYFUNCTION("QUERY('Volunteer Survey'!O280)"),"Possibly")</f>
        <v>Possibly</v>
      </c>
      <c r="AO281" s="175" t="str">
        <f ca="1">IFERROR(__xludf.DUMMYFUNCTION("QUERY('Volunteer Survey'!P280)"),"Myeloid Malignancy")</f>
        <v>Myeloid Malignancy</v>
      </c>
    </row>
    <row r="282" spans="1:41" ht="14">
      <c r="A282" s="44">
        <f ca="1">IFERROR(__xludf.DUMMYFUNCTION("QUERY('Volunteer Survey'!A291)"),43711.082065081)</f>
        <v>43711.082065080998</v>
      </c>
      <c r="B282" s="42" t="s">
        <v>108</v>
      </c>
      <c r="C282" s="73">
        <v>43819</v>
      </c>
      <c r="D282" s="49"/>
      <c r="E282" s="49"/>
      <c r="F282" s="42" t="s">
        <v>130</v>
      </c>
      <c r="G282" s="42" t="s">
        <v>251</v>
      </c>
      <c r="H282" s="47"/>
      <c r="I282" s="45" t="s">
        <v>139</v>
      </c>
      <c r="J282" s="49"/>
      <c r="K282" s="49"/>
      <c r="L282" s="49" t="str">
        <f ca="1">IFERROR(__xludf.DUMMYFUNCTION("QUERY('Volunteer Survey'!B291)"),"Xin Chen")</f>
        <v>Xin Chen</v>
      </c>
      <c r="M282" s="49" t="str">
        <f ca="1">IFERROR(__xludf.DUMMYFUNCTION("QUERY('Volunteer Survey'!E291)"),"chenx30nju@gmail.com")</f>
        <v>chenx30nju@gmail.com</v>
      </c>
      <c r="N282" s="49" t="str">
        <f ca="1">IFERROR(__xludf.DUMMYFUNCTION("QUERY('Volunteer Survey'!F291)"),"Post Doc/Resident/Fellow (MD and/or PhD)")</f>
        <v>Post Doc/Resident/Fellow (MD and/or PhD)</v>
      </c>
      <c r="O282" s="42" t="str">
        <f ca="1">IFERROR(__xludf.DUMMYFUNCTION("QUERY('Volunteer Survey'!H291)"),"Comprehensive")</f>
        <v>Comprehensive</v>
      </c>
      <c r="P282" s="49" t="str">
        <f ca="1">IFERROR(__xludf.DUMMYFUNCTION("QUERY('Volunteer Survey'!I291)"),"Variant Pathogenicity")</f>
        <v>Variant Pathogenicity</v>
      </c>
      <c r="Q282" s="54" t="str">
        <f ca="1">IFERROR(__xludf.DUMMYFUNCTION("QUERY('Volunteer Survey'!J291)"),"Somatic Cancer")</f>
        <v>Somatic Cancer</v>
      </c>
      <c r="R282" s="49" t="str">
        <f ca="1">IFERROR(__xludf.DUMMYFUNCTION("QUERY('Volunteer Survey'!K291)"),"Gene-Disease Validity")</f>
        <v>Gene-Disease Validity</v>
      </c>
      <c r="S282" s="49" t="str">
        <f ca="1">IFERROR(__xludf.DUMMYFUNCTION("QUERY('Volunteer Survey'!L291)"),"Dosage Sensitivity")</f>
        <v>Dosage Sensitivity</v>
      </c>
      <c r="T282" s="49" t="str">
        <f ca="1">IFERROR(__xludf.DUMMYFUNCTION("QUERY('Volunteer Survey'!M291)"),"Clinical Actionability")</f>
        <v>Clinical Actionability</v>
      </c>
      <c r="U282" s="58" t="str">
        <f ca="1">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c r="V282" s="49" t="str">
        <f ca="1">IFERROR(__xludf.DUMMYFUNCTION("QUERY('Volunteer Survey'!O291)"),"Possibly")</f>
        <v>Possibly</v>
      </c>
      <c r="W282" s="60" t="str">
        <f ca="1">IFERROR(__xludf.DUMMYFUNCTION("QUERY('Volunteer Survey'!P291)"),"I am open to any opportunity.")</f>
        <v>I am open to any opportunity.</v>
      </c>
      <c r="X282" s="58" t="str">
        <f ca="1">IFERROR(__xludf.DUMMYFUNCTION("QUERY('Volunteer Survey'!R291)"),"Yes- I am willing to volunteer with any available ClinGen group")</f>
        <v>Yes- I am willing to volunteer with any available ClinGen group</v>
      </c>
      <c r="Y282" s="47"/>
      <c r="Z282" s="174">
        <f ca="1">IFERROR(__xludf.DUMMYFUNCTION("QUERY('Volunteer Survey'!A281)"),43695.7210746875)</f>
        <v>43695.721074687499</v>
      </c>
      <c r="AA282" s="175" t="str">
        <f ca="1">IFERROR(__xludf.DUMMYFUNCTION("QUERY('Volunteer Survey'!B281)"),"Janey Youngblom")</f>
        <v>Janey Youngblom</v>
      </c>
      <c r="AB282" s="175" t="str">
        <f ca="1">IFERROR(__xludf.DUMMYFUNCTION("QUERY('Volunteer Survey'!C281)"),"California State University, Stanislaus")</f>
        <v>California State University, Stanislaus</v>
      </c>
      <c r="AC282" s="175" t="str">
        <f ca="1">IFERROR(__xludf.DUMMYFUNCTION("QUERY('Volunteer Survey'!D281)"),"1083 El Paseo St., Turlock, CA 95380")</f>
        <v>1083 El Paseo St., Turlock, CA 95380</v>
      </c>
      <c r="AD282" s="175" t="str">
        <f ca="1">IFERROR(__xludf.DUMMYFUNCTION("QUERY('Volunteer Survey'!E281)"),"jyoungblom1@csustan.edu")</f>
        <v>jyoungblom1@csustan.edu</v>
      </c>
      <c r="AE282" s="175" t="str">
        <f ca="1">IFERROR(__xludf.DUMMYFUNCTION("QUERY('Volunteer Survey'!F281)"),"Scientific Researcher")</f>
        <v>Scientific Researcher</v>
      </c>
      <c r="AF282" s="175" t="str">
        <f ca="1">IFERROR(__xludf.DUMMYFUNCTION("QUERY('Volunteer Survey'!G281)"),"Colleagues")</f>
        <v>Colleagues</v>
      </c>
      <c r="AG282" s="175" t="str">
        <f ca="1">IFERROR(__xludf.DUMMYFUNCTION("QUERY('Volunteer Survey'!H281)"),"Comprehensive")</f>
        <v>Comprehensive</v>
      </c>
      <c r="AH282" s="175" t="str">
        <f ca="1">IFERROR(__xludf.DUMMYFUNCTION("QUERY('Volunteer Survey'!I281)"),"Variant Pathogenicity")</f>
        <v>Variant Pathogenicity</v>
      </c>
      <c r="AI282" s="175" t="str">
        <f ca="1">IFERROR(__xludf.DUMMYFUNCTION("QUERY('Volunteer Survey'!J281)"),"Gene-Disease Validity")</f>
        <v>Gene-Disease Validity</v>
      </c>
      <c r="AJ282" s="175" t="str">
        <f ca="1">IFERROR(__xludf.DUMMYFUNCTION("QUERY('Volunteer Survey'!K281)"),"Clinical Actionability")</f>
        <v>Clinical Actionability</v>
      </c>
      <c r="AK282" s="175" t="str">
        <f ca="1">IFERROR(__xludf.DUMMYFUNCTION("QUERY('Volunteer Survey'!L281)"),"Dosage Sensitivity")</f>
        <v>Dosage Sensitivity</v>
      </c>
      <c r="AL282" s="175" t="str">
        <f ca="1">IFERROR(__xludf.DUMMYFUNCTION("QUERY('Volunteer Survey'!M281)"),"Somatic Cancer")</f>
        <v>Somatic Cancer</v>
      </c>
      <c r="AM282" s="175" t="str">
        <f ca="1">IFERROR(__xludf.DUMMYFUNCTION("QUERY('Volunteer Survey'!N281)"),"As the Associate Director of a Genetic Counseling Program, I have helped organize and participate in Variant Curation Workshops for training genetic counselors in the variant curation process.  I have also organized a workshop for training university scie"&amp;"nce faculty in the variant curation process so they can start integrating this training module into their undergraduate coursework as a CURES (course-based undergraduate research experience) component. ")</f>
        <v xml:space="preserve">As the Associate Director of a Genetic Counseling Program, I have helped organize and participate in Variant Curation Workshops for training genetic counselors in the variant curation process.  I have also organized a workshop for training university science faculty in the variant curation process so they can start integrating this training module into their undergraduate coursework as a CURES (course-based undergraduate research experience) component. </v>
      </c>
      <c r="AN282" s="175" t="str">
        <f ca="1">IFERROR(__xludf.DUMMYFUNCTION("QUERY('Volunteer Survey'!O281)"),"Possibly")</f>
        <v>Possibly</v>
      </c>
      <c r="AO282" s="175" t="str">
        <f ca="1">IFERROR(__xludf.DUMMYFUNCTION("QUERY('Volunteer Survey'!P281)"),"Familial Hypercholesterolemia")</f>
        <v>Familial Hypercholesterolemia</v>
      </c>
    </row>
    <row r="283" spans="1:41" ht="14">
      <c r="A283" s="44">
        <f ca="1">IFERROR(__xludf.DUMMYFUNCTION("QUERY('Volunteer Survey'!A292)"),43711.3899223842)</f>
        <v>43711.389922384202</v>
      </c>
      <c r="B283" s="42" t="s">
        <v>108</v>
      </c>
      <c r="C283" s="47"/>
      <c r="D283" s="50">
        <v>43626</v>
      </c>
      <c r="E283" s="42" t="s">
        <v>117</v>
      </c>
      <c r="F283" s="42" t="s">
        <v>117</v>
      </c>
      <c r="G283" s="42" t="s">
        <v>251</v>
      </c>
      <c r="H283" s="47"/>
      <c r="I283" s="45" t="s">
        <v>356</v>
      </c>
      <c r="J283" s="49"/>
      <c r="K283" s="49"/>
      <c r="L283" s="49" t="str">
        <f ca="1">IFERROR(__xludf.DUMMYFUNCTION("QUERY('Volunteer Survey'!B292)"),"Tomohiko Ai")</f>
        <v>Tomohiko Ai</v>
      </c>
      <c r="M283" s="49" t="str">
        <f ca="1">IFERROR(__xludf.DUMMYFUNCTION("QUERY('Volunteer Survey'!E292)"),"Tomohiko.Ai@osumc.edu")</f>
        <v>Tomohiko.Ai@osumc.edu</v>
      </c>
      <c r="N283" s="49" t="str">
        <f ca="1">IFERROR(__xludf.DUMMYFUNCTION("QUERY('Volunteer Survey'!F292)"),"Scientific Researcher")</f>
        <v>Scientific Researcher</v>
      </c>
      <c r="O283" s="42" t="str">
        <f ca="1">IFERROR(__xludf.DUMMYFUNCTION("QUERY('Volunteer Survey'!H292)"),"Comprehensive")</f>
        <v>Comprehensive</v>
      </c>
      <c r="P283" s="49" t="str">
        <f ca="1">IFERROR(__xludf.DUMMYFUNCTION("QUERY('Volunteer Survey'!I292)"),"Variant Pathogenicity")</f>
        <v>Variant Pathogenicity</v>
      </c>
      <c r="Q283" s="54" t="str">
        <f ca="1">IFERROR(__xludf.DUMMYFUNCTION("QUERY('Volunteer Survey'!J292)"),"")</f>
        <v/>
      </c>
      <c r="R283" s="49" t="str">
        <f ca="1">IFERROR(__xludf.DUMMYFUNCTION("QUERY('Volunteer Survey'!K292)"),"")</f>
        <v/>
      </c>
      <c r="S283" s="49" t="str">
        <f ca="1">IFERROR(__xludf.DUMMYFUNCTION("QUERY('Volunteer Survey'!L292)"),"")</f>
        <v/>
      </c>
      <c r="T283" s="49" t="str">
        <f ca="1">IFERROR(__xludf.DUMMYFUNCTION("QUERY('Volunteer Survey'!M292)"),"")</f>
        <v/>
      </c>
      <c r="U283" s="58" t="str">
        <f ca="1">IFERROR(__xludf.DUMMYFUNCTION("QUERY('Volunteer Survey'!N292)"),"")</f>
        <v/>
      </c>
      <c r="V283" s="49" t="str">
        <f ca="1">IFERROR(__xludf.DUMMYFUNCTION("QUERY('Volunteer Survey'!O292)"),"")</f>
        <v/>
      </c>
      <c r="W283" s="60" t="str">
        <f ca="1">IFERROR(__xludf.DUMMYFUNCTION("QUERY('Volunteer Survey'!P292)"),"")</f>
        <v/>
      </c>
      <c r="X283" s="58" t="str">
        <f ca="1">IFERROR(__xludf.DUMMYFUNCTION("QUERY('Volunteer Survey'!R292)"),"")</f>
        <v/>
      </c>
      <c r="Y283" s="47"/>
      <c r="Z283" s="174">
        <f ca="1">IFERROR(__xludf.DUMMYFUNCTION("QUERY('Volunteer Survey'!A282)"),43696.3386174421)</f>
        <v>43696.338617442103</v>
      </c>
      <c r="AA283" s="175" t="str">
        <f ca="1">IFERROR(__xludf.DUMMYFUNCTION("QUERY('Volunteer Survey'!B282)"),"Andrew Stergachis")</f>
        <v>Andrew Stergachis</v>
      </c>
      <c r="AB283" s="175" t="str">
        <f ca="1">IFERROR(__xludf.DUMMYFUNCTION("QUERY('Volunteer Survey'!C282)"),"Brigham and Women's Hospital")</f>
        <v>Brigham and Women's Hospital</v>
      </c>
      <c r="AC283" s="175" t="str">
        <f ca="1">IFERROR(__xludf.DUMMYFUNCTION("QUERY('Volunteer Survey'!D282)"),"75 Francis St, Boston MA 02445")</f>
        <v>75 Francis St, Boston MA 02445</v>
      </c>
      <c r="AD283" s="175" t="str">
        <f ca="1">IFERROR(__xludf.DUMMYFUNCTION("QUERY('Volunteer Survey'!E282)"),"astergachis@bwh.harvard.edu")</f>
        <v>astergachis@bwh.harvard.edu</v>
      </c>
      <c r="AE283" s="175" t="str">
        <f ca="1">IFERROR(__xludf.DUMMYFUNCTION("QUERY('Volunteer Survey'!F282)"),"Post Doc/Resident/Fellow (MD and/or PhD)")</f>
        <v>Post Doc/Resident/Fellow (MD and/or PhD)</v>
      </c>
      <c r="AF283" s="175" t="str">
        <f ca="1">IFERROR(__xludf.DUMMYFUNCTION("QUERY('Volunteer Survey'!G282)"),"Colleagues")</f>
        <v>Colleagues</v>
      </c>
      <c r="AG283" s="175" t="str">
        <f ca="1">IFERROR(__xludf.DUMMYFUNCTION("QUERY('Volunteer Survey'!H282)"),"Comprehensive")</f>
        <v>Comprehensive</v>
      </c>
      <c r="AH283" s="175" t="str">
        <f ca="1">IFERROR(__xludf.DUMMYFUNCTION("QUERY('Volunteer Survey'!I282)"),"Clinical Actionability")</f>
        <v>Clinical Actionability</v>
      </c>
      <c r="AI283" s="175" t="str">
        <f ca="1">IFERROR(__xludf.DUMMYFUNCTION("QUERY('Volunteer Survey'!J282)"),"")</f>
        <v/>
      </c>
      <c r="AJ283" s="175" t="str">
        <f ca="1">IFERROR(__xludf.DUMMYFUNCTION("QUERY('Volunteer Survey'!K282)"),"")</f>
        <v/>
      </c>
      <c r="AK283" s="175" t="str">
        <f ca="1">IFERROR(__xludf.DUMMYFUNCTION("QUERY('Volunteer Survey'!L282)"),"")</f>
        <v/>
      </c>
      <c r="AL283" s="175" t="str">
        <f ca="1">IFERROR(__xludf.DUMMYFUNCTION("QUERY('Volunteer Survey'!M282)"),"")</f>
        <v/>
      </c>
      <c r="AM283" s="175" t="str">
        <f ca="1">IFERROR(__xludf.DUMMYFUNCTION("QUERY('Volunteer Survey'!N282)"),"Involved in the Partners BioBank return of results committee where we discuss the actionability of different genes.")</f>
        <v>Involved in the Partners BioBank return of results committee where we discuss the actionability of different genes.</v>
      </c>
      <c r="AN283" s="175" t="str">
        <f ca="1">IFERROR(__xludf.DUMMYFUNCTION("QUERY('Volunteer Survey'!O282)"),"Possibly")</f>
        <v>Possibly</v>
      </c>
      <c r="AO283" s="175" t="str">
        <f ca="1">IFERROR(__xludf.DUMMYFUNCTION("QUERY('Volunteer Survey'!P282)"),"Possibly ")</f>
        <v xml:space="preserve">Possibly </v>
      </c>
    </row>
    <row r="284" spans="1:41" ht="14">
      <c r="A284" s="44">
        <f ca="1">IFERROR(__xludf.DUMMYFUNCTION("QUERY('Volunteer Survey'!A293)"),43711.40800353)</f>
        <v>43711.408003529999</v>
      </c>
      <c r="B284" s="42" t="s">
        <v>108</v>
      </c>
      <c r="C284" s="47"/>
      <c r="D284" s="50">
        <v>43585</v>
      </c>
      <c r="E284" s="42" t="s">
        <v>117</v>
      </c>
      <c r="F284" s="42" t="s">
        <v>130</v>
      </c>
      <c r="G284" s="42" t="s">
        <v>122</v>
      </c>
      <c r="H284" s="47"/>
      <c r="I284" s="45" t="s">
        <v>356</v>
      </c>
      <c r="J284" s="50">
        <v>43712</v>
      </c>
      <c r="K284" s="50"/>
      <c r="L284" s="49" t="str">
        <f ca="1">IFERROR(__xludf.DUMMYFUNCTION("QUERY('Volunteer Survey'!B293)"),"Coumarane Mani")</f>
        <v>Coumarane Mani</v>
      </c>
      <c r="M284" s="49" t="str">
        <f ca="1">IFERROR(__xludf.DUMMYFUNCTION("QUERY('Volunteer Survey'!E293)"),"coumarane.mani@aruplab.com")</f>
        <v>coumarane.mani@aruplab.com</v>
      </c>
      <c r="N284" s="49" t="str">
        <f ca="1">IFERROR(__xludf.DUMMYFUNCTION("QUERY('Volunteer Survey'!F293)"),"Variant Analyst/Scientist - Industry")</f>
        <v>Variant Analyst/Scientist - Industry</v>
      </c>
      <c r="O284" s="42" t="str">
        <f ca="1">IFERROR(__xludf.DUMMYFUNCTION("QUERY('Volunteer Survey'!H293)"),"Comprehensive")</f>
        <v>Comprehensive</v>
      </c>
      <c r="P284" s="49" t="str">
        <f ca="1">IFERROR(__xludf.DUMMYFUNCTION("QUERY('Volunteer Survey'!I293)"),"Gene-Disease Validity")</f>
        <v>Gene-Disease Validity</v>
      </c>
      <c r="Q284" s="54" t="str">
        <f ca="1">IFERROR(__xludf.DUMMYFUNCTION("QUERY('Volunteer Survey'!J293)"),"")</f>
        <v/>
      </c>
      <c r="R284" s="49" t="str">
        <f ca="1">IFERROR(__xludf.DUMMYFUNCTION("QUERY('Volunteer Survey'!K293)"),"")</f>
        <v/>
      </c>
      <c r="S284" s="49" t="str">
        <f ca="1">IFERROR(__xludf.DUMMYFUNCTION("QUERY('Volunteer Survey'!L293)"),"")</f>
        <v/>
      </c>
      <c r="T284" s="49" t="str">
        <f ca="1">IFERROR(__xludf.DUMMYFUNCTION("QUERY('Volunteer Survey'!M293)"),"")</f>
        <v/>
      </c>
      <c r="U284" s="58" t="str">
        <f ca="1">IFERROR(__xludf.DUMMYFUNCTION("QUERY('Volunteer Survey'!N293)"),"")</f>
        <v/>
      </c>
      <c r="V284" s="49" t="str">
        <f ca="1">IFERROR(__xludf.DUMMYFUNCTION("QUERY('Volunteer Survey'!O293)"),"")</f>
        <v/>
      </c>
      <c r="W284" s="60" t="str">
        <f ca="1">IFERROR(__xludf.DUMMYFUNCTION("QUERY('Volunteer Survey'!P293)"),"")</f>
        <v/>
      </c>
      <c r="X284" s="58" t="str">
        <f ca="1">IFERROR(__xludf.DUMMYFUNCTION("QUERY('Volunteer Survey'!R293)"),"")</f>
        <v/>
      </c>
      <c r="Y284" s="47"/>
      <c r="Z284" s="174">
        <f ca="1">IFERROR(__xludf.DUMMYFUNCTION("QUERY('Volunteer Survey'!A283)"),43699.1581550231)</f>
        <v>43699.158155023099</v>
      </c>
      <c r="AA284" s="175" t="str">
        <f ca="1">IFERROR(__xludf.DUMMYFUNCTION("QUERY('Volunteer Survey'!B283)"),"Lalitha Venkateswaran")</f>
        <v>Lalitha Venkateswaran</v>
      </c>
      <c r="AB284" s="175" t="str">
        <f ca="1">IFERROR(__xludf.DUMMYFUNCTION("QUERY('Volunteer Survey'!C283)"),"Self-employed (Genomics and LifeSciences)")</f>
        <v>Self-employed (Genomics and LifeSciences)</v>
      </c>
      <c r="AC284" s="175" t="str">
        <f ca="1">IFERROR(__xludf.DUMMYFUNCTION("QUERY('Volunteer Survey'!D283)"),"Pune, India")</f>
        <v>Pune, India</v>
      </c>
      <c r="AD284" s="175" t="str">
        <f ca="1">IFERROR(__xludf.DUMMYFUNCTION("QUERY('Volunteer Survey'!E283)"),"lalithapv19@gmail.com")</f>
        <v>lalithapv19@gmail.com</v>
      </c>
      <c r="AE284" s="175" t="str">
        <f ca="1">IFERROR(__xludf.DUMMYFUNCTION("QUERY('Volunteer Survey'!F283)"),"Variant Analyst/Scientist - Industry")</f>
        <v>Variant Analyst/Scientist - Industry</v>
      </c>
      <c r="AF284" s="175" t="str">
        <f ca="1">IFERROR(__xludf.DUMMYFUNCTION("QUERY('Volunteer Survey'!G283)"),"Networking")</f>
        <v>Networking</v>
      </c>
      <c r="AG284" s="175" t="str">
        <f ca="1">IFERROR(__xludf.DUMMYFUNCTION("QUERY('Volunteer Survey'!H283)"),"Comprehensive")</f>
        <v>Comprehensive</v>
      </c>
      <c r="AH284" s="175" t="str">
        <f ca="1">IFERROR(__xludf.DUMMYFUNCTION("QUERY('Volunteer Survey'!I283)"),"Clinical Actionability")</f>
        <v>Clinical Actionability</v>
      </c>
      <c r="AI284" s="175" t="str">
        <f ca="1">IFERROR(__xludf.DUMMYFUNCTION("QUERY('Volunteer Survey'!J283)"),"Variant Pathogenicity")</f>
        <v>Variant Pathogenicity</v>
      </c>
      <c r="AJ284" s="175" t="str">
        <f ca="1">IFERROR(__xludf.DUMMYFUNCTION("QUERY('Volunteer Survey'!K283)"),"Gene-Disease Validity")</f>
        <v>Gene-Disease Validity</v>
      </c>
      <c r="AK284" s="175" t="str">
        <f ca="1">IFERROR(__xludf.DUMMYFUNCTION("QUERY('Volunteer Survey'!L283)"),"Dosage Sensitivity")</f>
        <v>Dosage Sensitivity</v>
      </c>
      <c r="AL284" s="175" t="str">
        <f ca="1">IFERROR(__xludf.DUMMYFUNCTION("QUERY('Volunteer Survey'!M283)"),"Somatic Cancer")</f>
        <v>Somatic Cancer</v>
      </c>
      <c r="AM284" s="175" t="str">
        <f ca="1">IFERROR(__xludf.DUMMYFUNCTION("QUERY('Volunteer Survey'!N283)"),"Yes! I have led a team of curators in several Genomic projects. I have worked with Blueprint Genetics and Sema4. I have conducted training and workshops on the basics of curation and scientific writing.")</f>
        <v>Yes! I have led a team of curators in several Genomic projects. I have worked with Blueprint Genetics and Sema4. I have conducted training and workshops on the basics of curation and scientific writing.</v>
      </c>
      <c r="AN284" s="175" t="str">
        <f ca="1">IFERROR(__xludf.DUMMYFUNCTION("QUERY('Volunteer Survey'!O283)"),"Yes")</f>
        <v>Yes</v>
      </c>
      <c r="AO284" s="175" t="str">
        <f ca="1">IFERROR(__xludf.DUMMYFUNCTION("QUERY('Volunteer Survey'!P283)"),"")</f>
        <v/>
      </c>
    </row>
    <row r="285" spans="1:41" ht="14">
      <c r="A285" s="44">
        <f ca="1">IFERROR(__xludf.DUMMYFUNCTION("QUERY('Volunteer Survey'!A294)"),43711.4090853819)</f>
        <v>43711.4090853819</v>
      </c>
      <c r="B285" s="42" t="s">
        <v>108</v>
      </c>
      <c r="C285" s="47"/>
      <c r="D285" s="50">
        <v>43605</v>
      </c>
      <c r="E285" s="42" t="s">
        <v>117</v>
      </c>
      <c r="F285" s="42" t="s">
        <v>117</v>
      </c>
      <c r="G285" s="42" t="s">
        <v>251</v>
      </c>
      <c r="H285" s="47"/>
      <c r="I285" s="45" t="s">
        <v>1229</v>
      </c>
      <c r="J285" s="49"/>
      <c r="K285" s="49"/>
      <c r="L285" s="49" t="str">
        <f ca="1">IFERROR(__xludf.DUMMYFUNCTION("QUERY('Volunteer Survey'!B294)"),"Coumarane Mani")</f>
        <v>Coumarane Mani</v>
      </c>
      <c r="M285" s="49" t="str">
        <f ca="1">IFERROR(__xludf.DUMMYFUNCTION("QUERY('Volunteer Survey'!E294)"),"coumarane.mani@aruplab.com")</f>
        <v>coumarane.mani@aruplab.com</v>
      </c>
      <c r="N285" s="49" t="str">
        <f ca="1">IFERROR(__xludf.DUMMYFUNCTION("QUERY('Volunteer Survey'!F294)"),"Variant Analyst/Scientist - Industry")</f>
        <v>Variant Analyst/Scientist - Industry</v>
      </c>
      <c r="O285" s="42" t="str">
        <f ca="1">IFERROR(__xludf.DUMMYFUNCTION("QUERY('Volunteer Survey'!H294)"),"Comprehensive")</f>
        <v>Comprehensive</v>
      </c>
      <c r="P285" s="49" t="str">
        <f ca="1">IFERROR(__xludf.DUMMYFUNCTION("QUERY('Volunteer Survey'!I294)"),"Variant Pathogenicity")</f>
        <v>Variant Pathogenicity</v>
      </c>
      <c r="Q285" s="54" t="str">
        <f ca="1">IFERROR(__xludf.DUMMYFUNCTION("QUERY('Volunteer Survey'!J294)"),"")</f>
        <v/>
      </c>
      <c r="R285" s="49" t="str">
        <f ca="1">IFERROR(__xludf.DUMMYFUNCTION("QUERY('Volunteer Survey'!K294)"),"")</f>
        <v/>
      </c>
      <c r="S285" s="49" t="str">
        <f ca="1">IFERROR(__xludf.DUMMYFUNCTION("QUERY('Volunteer Survey'!L294)"),"")</f>
        <v/>
      </c>
      <c r="T285" s="49" t="str">
        <f ca="1">IFERROR(__xludf.DUMMYFUNCTION("QUERY('Volunteer Survey'!M294)"),"")</f>
        <v/>
      </c>
      <c r="U285" s="58" t="str">
        <f ca="1">IFERROR(__xludf.DUMMYFUNCTION("QUERY('Volunteer Survey'!N294)"),"")</f>
        <v/>
      </c>
      <c r="V285" s="49" t="str">
        <f ca="1">IFERROR(__xludf.DUMMYFUNCTION("QUERY('Volunteer Survey'!O294)"),"")</f>
        <v/>
      </c>
      <c r="W285" s="60" t="str">
        <f ca="1">IFERROR(__xludf.DUMMYFUNCTION("QUERY('Volunteer Survey'!P294)"),"")</f>
        <v/>
      </c>
      <c r="X285" s="58" t="str">
        <f ca="1">IFERROR(__xludf.DUMMYFUNCTION("QUERY('Volunteer Survey'!R294)"),"")</f>
        <v/>
      </c>
      <c r="Y285" s="47"/>
      <c r="Z285" s="174">
        <f ca="1">IFERROR(__xludf.DUMMYFUNCTION("QUERY('Volunteer Survey'!A284)"),43699.4692784838)</f>
        <v>43699.469278483797</v>
      </c>
      <c r="AA285" s="175" t="str">
        <f ca="1">IFERROR(__xludf.DUMMYFUNCTION("QUERY('Volunteer Survey'!B284)"),"Caterina Clementi")</f>
        <v>Caterina Clementi</v>
      </c>
      <c r="AB285" s="175" t="str">
        <f ca="1">IFERROR(__xludf.DUMMYFUNCTION("QUERY('Volunteer Survey'!C284)"),"Celmatix, Inc.")</f>
        <v>Celmatix, Inc.</v>
      </c>
      <c r="AC285" s="175" t="str">
        <f ca="1">IFERROR(__xludf.DUMMYFUNCTION("QUERY('Volunteer Survey'!D284)"),"14 wall street")</f>
        <v>14 wall street</v>
      </c>
      <c r="AD285" s="175" t="str">
        <f ca="1">IFERROR(__xludf.DUMMYFUNCTION("QUERY('Volunteer Survey'!E284)"),"caterina.clementi@gmail.com")</f>
        <v>caterina.clementi@gmail.com</v>
      </c>
      <c r="AE285" s="175" t="str">
        <f ca="1">IFERROR(__xludf.DUMMYFUNCTION("QUERY('Volunteer Survey'!F284)"),"Variant Analyst/Scientist - Industry")</f>
        <v>Variant Analyst/Scientist - Industry</v>
      </c>
      <c r="AF285" s="175" t="str">
        <f ca="1">IFERROR(__xludf.DUMMYFUNCTION("QUERY('Volunteer Survey'!G284)"),"The clinicalgenome.org website")</f>
        <v>The clinicalgenome.org website</v>
      </c>
      <c r="AG285" s="175" t="str">
        <f ca="1">IFERROR(__xludf.DUMMYFUNCTION("QUERY('Volunteer Survey'!H284)"),"Comprehensive")</f>
        <v>Comprehensive</v>
      </c>
      <c r="AH285" s="175" t="str">
        <f ca="1">IFERROR(__xludf.DUMMYFUNCTION("QUERY('Volunteer Survey'!I284)"),"Variant Pathogenicity")</f>
        <v>Variant Pathogenicity</v>
      </c>
      <c r="AI285" s="175" t="str">
        <f ca="1">IFERROR(__xludf.DUMMYFUNCTION("QUERY('Volunteer Survey'!J284)"),"Gene-Disease Validity")</f>
        <v>Gene-Disease Validity</v>
      </c>
      <c r="AJ285" s="175" t="str">
        <f ca="1">IFERROR(__xludf.DUMMYFUNCTION("QUERY('Volunteer Survey'!K284)"),"Clinical Actionability")</f>
        <v>Clinical Actionability</v>
      </c>
      <c r="AK285" s="175" t="str">
        <f ca="1">IFERROR(__xludf.DUMMYFUNCTION("QUERY('Volunteer Survey'!L284)"),"")</f>
        <v/>
      </c>
      <c r="AL285" s="175" t="str">
        <f ca="1">IFERROR(__xludf.DUMMYFUNCTION("QUERY('Volunteer Survey'!M284)"),"")</f>
        <v/>
      </c>
      <c r="AM285" s="175" t="str">
        <f ca="1">IFERROR(__xludf.DUMMYFUNCTION("QUERY('Volunteer Survey'!N284)"),"Yes, I applied the ClinGen framework to score the clinical validity of gene-condition associations in the context of reproductive conditions")</f>
        <v>Yes, I applied the ClinGen framework to score the clinical validity of gene-condition associations in the context of reproductive conditions</v>
      </c>
      <c r="AN285" s="175" t="str">
        <f ca="1">IFERROR(__xludf.DUMMYFUNCTION("QUERY('Volunteer Survey'!O284)"),"Possibly")</f>
        <v>Possibly</v>
      </c>
      <c r="AO285" s="175" t="str">
        <f ca="1">IFERROR(__xludf.DUMMYFUNCTION("QUERY('Volunteer Survey'!P284)"),"Metabolic conditions")</f>
        <v>Metabolic conditions</v>
      </c>
    </row>
    <row r="286" spans="1:41" ht="14">
      <c r="A286" s="44">
        <f ca="1">IFERROR(__xludf.DUMMYFUNCTION("QUERY('Volunteer Survey'!A295)"),43711.4140849884)</f>
        <v>43711.414084988399</v>
      </c>
      <c r="B286" s="42" t="s">
        <v>108</v>
      </c>
      <c r="C286" s="47"/>
      <c r="D286" s="50">
        <v>47258</v>
      </c>
      <c r="E286" s="42" t="s">
        <v>117</v>
      </c>
      <c r="F286" s="42" t="s">
        <v>117</v>
      </c>
      <c r="G286" s="42" t="s">
        <v>251</v>
      </c>
      <c r="H286" s="47"/>
      <c r="I286" s="45" t="s">
        <v>356</v>
      </c>
      <c r="J286" s="49"/>
      <c r="K286" s="49"/>
      <c r="L286" s="49" t="str">
        <f ca="1">IFERROR(__xludf.DUMMYFUNCTION("QUERY('Volunteer Survey'!B295)"),"Diogo Ventura Lovato")</f>
        <v>Diogo Ventura Lovato</v>
      </c>
      <c r="M286" s="49" t="str">
        <f ca="1">IFERROR(__xludf.DUMMYFUNCTION("QUERY('Volunteer Survey'!E295)"),"diogo.v.lovato@gmail.com")</f>
        <v>diogo.v.lovato@gmail.com</v>
      </c>
      <c r="N286" s="49" t="str">
        <f ca="1">IFERROR(__xludf.DUMMYFUNCTION("QUERY('Volunteer Survey'!F295)"),"Clinical laboratory geneticist")</f>
        <v>Clinical laboratory geneticist</v>
      </c>
      <c r="O286" s="42" t="str">
        <f ca="1">IFERROR(__xludf.DUMMYFUNCTION("QUERY('Volunteer Survey'!H295)"),"Comprehensive")</f>
        <v>Comprehensive</v>
      </c>
      <c r="P286" s="49" t="str">
        <f ca="1">IFERROR(__xludf.DUMMYFUNCTION("QUERY('Volunteer Survey'!I295)"),"Variant Pathogenicity")</f>
        <v>Variant Pathogenicity</v>
      </c>
      <c r="Q286" s="54" t="str">
        <f ca="1">IFERROR(__xludf.DUMMYFUNCTION("QUERY('Volunteer Survey'!J295)"),"")</f>
        <v/>
      </c>
      <c r="R286" s="49" t="str">
        <f ca="1">IFERROR(__xludf.DUMMYFUNCTION("QUERY('Volunteer Survey'!K295)"),"")</f>
        <v/>
      </c>
      <c r="S286" s="49" t="str">
        <f ca="1">IFERROR(__xludf.DUMMYFUNCTION("QUERY('Volunteer Survey'!L295)"),"")</f>
        <v/>
      </c>
      <c r="T286" s="49" t="str">
        <f ca="1">IFERROR(__xludf.DUMMYFUNCTION("QUERY('Volunteer Survey'!M295)"),"")</f>
        <v/>
      </c>
      <c r="U286" s="58" t="str">
        <f ca="1">IFERROR(__xludf.DUMMYFUNCTION("QUERY('Volunteer Survey'!N295)"),"")</f>
        <v/>
      </c>
      <c r="V286" s="49" t="str">
        <f ca="1">IFERROR(__xludf.DUMMYFUNCTION("QUERY('Volunteer Survey'!O295)"),"")</f>
        <v/>
      </c>
      <c r="W286" s="60" t="str">
        <f ca="1">IFERROR(__xludf.DUMMYFUNCTION("QUERY('Volunteer Survey'!P295)"),"")</f>
        <v/>
      </c>
      <c r="X286" s="58" t="str">
        <f ca="1">IFERROR(__xludf.DUMMYFUNCTION("QUERY('Volunteer Survey'!R295)"),"")</f>
        <v/>
      </c>
      <c r="Y286" s="47"/>
      <c r="Z286" s="174">
        <f ca="1">IFERROR(__xludf.DUMMYFUNCTION("QUERY('Volunteer Survey'!A285)"),43701.87979853)</f>
        <v>43701.879798529997</v>
      </c>
      <c r="AA286" s="175" t="str">
        <f ca="1">IFERROR(__xludf.DUMMYFUNCTION("QUERY('Volunteer Survey'!B285)"),"Catherine Spellicy")</f>
        <v>Catherine Spellicy</v>
      </c>
      <c r="AB286" s="175" t="str">
        <f ca="1">IFERROR(__xludf.DUMMYFUNCTION("QUERY('Volunteer Survey'!C285)"),"Myriad Women's Health")</f>
        <v>Myriad Women's Health</v>
      </c>
      <c r="AC286" s="175" t="str">
        <f ca="1">IFERROR(__xludf.DUMMYFUNCTION("QUERY('Volunteer Survey'!D285)"),"233 School Rd Asheville NC 28806")</f>
        <v>233 School Rd Asheville NC 28806</v>
      </c>
      <c r="AD286" s="175" t="str">
        <f ca="1">IFERROR(__xludf.DUMMYFUNCTION("QUERY('Volunteer Survey'!E285)"),"cspellic@counsyl.com")</f>
        <v>cspellic@counsyl.com</v>
      </c>
      <c r="AE286" s="175" t="str">
        <f ca="1">IFERROR(__xludf.DUMMYFUNCTION("QUERY('Volunteer Survey'!F285)"),"Clinical laboratory geneticist")</f>
        <v>Clinical laboratory geneticist</v>
      </c>
      <c r="AF286" s="175" t="str">
        <f ca="1">IFERROR(__xludf.DUMMYFUNCTION("QUERY('Volunteer Survey'!G285)"),"ACMG Conference 2019")</f>
        <v>ACMG Conference 2019</v>
      </c>
      <c r="AG286" s="175" t="str">
        <f ca="1">IFERROR(__xludf.DUMMYFUNCTION("QUERY('Volunteer Survey'!H285)"),"Comprehensive")</f>
        <v>Comprehensive</v>
      </c>
      <c r="AH286" s="175" t="str">
        <f ca="1">IFERROR(__xludf.DUMMYFUNCTION("QUERY('Volunteer Survey'!I285)"),"Variant Pathogenicity")</f>
        <v>Variant Pathogenicity</v>
      </c>
      <c r="AI286" s="175" t="str">
        <f ca="1">IFERROR(__xludf.DUMMYFUNCTION("QUERY('Volunteer Survey'!J285)"),"Gene-Disease Validity")</f>
        <v>Gene-Disease Validity</v>
      </c>
      <c r="AJ286" s="175" t="str">
        <f ca="1">IFERROR(__xludf.DUMMYFUNCTION("QUERY('Volunteer Survey'!K285)"),"")</f>
        <v/>
      </c>
      <c r="AK286" s="175" t="str">
        <f ca="1">IFERROR(__xludf.DUMMYFUNCTION("QUERY('Volunteer Survey'!L285)"),"")</f>
        <v/>
      </c>
      <c r="AL286" s="175" t="str">
        <f ca="1">IFERROR(__xludf.DUMMYFUNCTION("QUERY('Volunteer Survey'!M285)"),"")</f>
        <v/>
      </c>
      <c r="AM286" s="175" t="str">
        <f ca="1">IFERROR(__xludf.DUMMYFUNCTION("QUERY('Volunteer Survey'!N285)"),"Many hours experience with variant analysis and classification.")</f>
        <v>Many hours experience with variant analysis and classification.</v>
      </c>
      <c r="AN286" s="175" t="str">
        <f ca="1">IFERROR(__xludf.DUMMYFUNCTION("QUERY('Volunteer Survey'!O285)"),"Possibly")</f>
        <v>Possibly</v>
      </c>
      <c r="AO286" s="175" t="str">
        <f ca="1">IFERROR(__xludf.DUMMYFUNCTION("QUERY('Volunteer Survey'!P285)"),"Sequence Variant Interpretation")</f>
        <v>Sequence Variant Interpretation</v>
      </c>
    </row>
    <row r="287" spans="1:41" ht="14">
      <c r="A287" s="44">
        <f ca="1">IFERROR(__xludf.DUMMYFUNCTION("QUERY('Volunteer Survey'!A296)"),43711.416964699)</f>
        <v>43711.416964698998</v>
      </c>
      <c r="B287" s="42" t="s">
        <v>108</v>
      </c>
      <c r="C287" s="47"/>
      <c r="D287" s="50">
        <v>43626</v>
      </c>
      <c r="E287" s="42" t="s">
        <v>117</v>
      </c>
      <c r="F287" s="42" t="s">
        <v>130</v>
      </c>
      <c r="G287" s="42" t="s">
        <v>251</v>
      </c>
      <c r="H287" s="47"/>
      <c r="I287" s="45" t="s">
        <v>356</v>
      </c>
      <c r="J287" s="49"/>
      <c r="K287" s="49"/>
      <c r="L287" s="49" t="str">
        <f ca="1">IFERROR(__xludf.DUMMYFUNCTION("QUERY('Volunteer Survey'!B296)"),"Elaine Spector")</f>
        <v>Elaine Spector</v>
      </c>
      <c r="M287" s="49" t="str">
        <f ca="1">IFERROR(__xludf.DUMMYFUNCTION("QUERY('Volunteer Survey'!E296)"),"elaine.spector@childrenscolorado.org")</f>
        <v>elaine.spector@childrenscolorado.org</v>
      </c>
      <c r="N287" s="49" t="str">
        <f ca="1">IFERROR(__xludf.DUMMYFUNCTION("QUERY('Volunteer Survey'!F296)"),"Clinical laboratory geneticist")</f>
        <v>Clinical laboratory geneticist</v>
      </c>
      <c r="O287" s="42" t="str">
        <f ca="1">IFERROR(__xludf.DUMMYFUNCTION("QUERY('Volunteer Survey'!H296)"),"Comprehensive")</f>
        <v>Comprehensive</v>
      </c>
      <c r="P287" s="49" t="str">
        <f ca="1">IFERROR(__xludf.DUMMYFUNCTION("QUERY('Volunteer Survey'!I296)"),"Variant Pathogenicity")</f>
        <v>Variant Pathogenicity</v>
      </c>
      <c r="Q287" s="54" t="str">
        <f ca="1">IFERROR(__xludf.DUMMYFUNCTION("QUERY('Volunteer Survey'!J296)"),"")</f>
        <v/>
      </c>
      <c r="R287" s="49" t="str">
        <f ca="1">IFERROR(__xludf.DUMMYFUNCTION("QUERY('Volunteer Survey'!K296)"),"")</f>
        <v/>
      </c>
      <c r="S287" s="49" t="str">
        <f ca="1">IFERROR(__xludf.DUMMYFUNCTION("QUERY('Volunteer Survey'!L296)"),"")</f>
        <v/>
      </c>
      <c r="T287" s="49" t="str">
        <f ca="1">IFERROR(__xludf.DUMMYFUNCTION("QUERY('Volunteer Survey'!M296)"),"")</f>
        <v/>
      </c>
      <c r="U287" s="58" t="str">
        <f ca="1">IFERROR(__xludf.DUMMYFUNCTION("QUERY('Volunteer Survey'!N296)"),"")</f>
        <v/>
      </c>
      <c r="V287" s="49" t="str">
        <f ca="1">IFERROR(__xludf.DUMMYFUNCTION("QUERY('Volunteer Survey'!O296)"),"")</f>
        <v/>
      </c>
      <c r="W287" s="60" t="str">
        <f ca="1">IFERROR(__xludf.DUMMYFUNCTION("QUERY('Volunteer Survey'!P296)"),"")</f>
        <v/>
      </c>
      <c r="X287" s="58" t="str">
        <f ca="1">IFERROR(__xludf.DUMMYFUNCTION("QUERY('Volunteer Survey'!R296)"),"")</f>
        <v/>
      </c>
      <c r="Y287" s="47"/>
      <c r="Z287" s="174">
        <f ca="1">IFERROR(__xludf.DUMMYFUNCTION("QUERY('Volunteer Survey'!A286)"),43703.2491424884)</f>
        <v>43703.249142488399</v>
      </c>
      <c r="AA287" s="175" t="str">
        <f ca="1">IFERROR(__xludf.DUMMYFUNCTION("QUERY('Volunteer Survey'!B286)"),"Julie P Taylor")</f>
        <v>Julie P Taylor</v>
      </c>
      <c r="AB287" s="175" t="str">
        <f ca="1">IFERROR(__xludf.DUMMYFUNCTION("QUERY('Volunteer Survey'!C286)"),"Illumina ")</f>
        <v xml:space="preserve">Illumina </v>
      </c>
      <c r="AC287" s="175" t="str">
        <f ca="1">IFERROR(__xludf.DUMMYFUNCTION("QUERY('Volunteer Survey'!D286)"),"")</f>
        <v/>
      </c>
      <c r="AD287" s="175" t="str">
        <f ca="1">IFERROR(__xludf.DUMMYFUNCTION("QUERY('Volunteer Survey'!E286)"),"jtaylor1@illumina.com")</f>
        <v>jtaylor1@illumina.com</v>
      </c>
      <c r="AE287" s="175" t="str">
        <f ca="1">IFERROR(__xludf.DUMMYFUNCTION("QUERY('Volunteer Survey'!F286)"),"Biocurator")</f>
        <v>Biocurator</v>
      </c>
      <c r="AF287" s="175" t="str">
        <f ca="1">IFERROR(__xludf.DUMMYFUNCTION("QUERY('Volunteer Survey'!G286)"),"Suggestion from mentor")</f>
        <v>Suggestion from mentor</v>
      </c>
      <c r="AG287" s="175" t="str">
        <f ca="1">IFERROR(__xludf.DUMMYFUNCTION("QUERY('Volunteer Survey'!H286)"),"Comprehensive")</f>
        <v>Comprehensive</v>
      </c>
      <c r="AH287" s="175" t="str">
        <f ca="1">IFERROR(__xludf.DUMMYFUNCTION("QUERY('Volunteer Survey'!I286)"),"Gene-Disease Validity")</f>
        <v>Gene-Disease Validity</v>
      </c>
      <c r="AI287" s="175" t="str">
        <f ca="1">IFERROR(__xludf.DUMMYFUNCTION("QUERY('Volunteer Survey'!J286)"),"")</f>
        <v/>
      </c>
      <c r="AJ287" s="175" t="str">
        <f ca="1">IFERROR(__xludf.DUMMYFUNCTION("QUERY('Volunteer Survey'!K286)"),"")</f>
        <v/>
      </c>
      <c r="AK287" s="175" t="str">
        <f ca="1">IFERROR(__xludf.DUMMYFUNCTION("QUERY('Volunteer Survey'!L286)"),"")</f>
        <v/>
      </c>
      <c r="AL287" s="175" t="str">
        <f ca="1">IFERROR(__xludf.DUMMYFUNCTION("QUERY('Volunteer Survey'!M286)"),"")</f>
        <v/>
      </c>
      <c r="AM287" s="175" t="str">
        <f ca="1">IFERROR(__xludf.DUMMYFUNCTION("QUERY('Volunteer Survey'!N286)"),"ClinGen Gene Curation is part of my role as a curation scientist at Illumina.")</f>
        <v>ClinGen Gene Curation is part of my role as a curation scientist at Illumina.</v>
      </c>
      <c r="AN287" s="175" t="str">
        <f ca="1">IFERROR(__xludf.DUMMYFUNCTION("QUERY('Volunteer Survey'!O286)"),"Yes")</f>
        <v>Yes</v>
      </c>
      <c r="AO287" s="175" t="str">
        <f ca="1">IFERROR(__xludf.DUMMYFUNCTION("QUERY('Volunteer Survey'!P286)"),"")</f>
        <v/>
      </c>
    </row>
    <row r="288" spans="1:41" ht="14">
      <c r="A288" s="44">
        <f ca="1">IFERROR(__xludf.DUMMYFUNCTION("QUERY('Volunteer Survey'!A297)"),43711.4222845949)</f>
        <v>43711.422284594897</v>
      </c>
      <c r="B288" s="42" t="s">
        <v>108</v>
      </c>
      <c r="C288" s="47"/>
      <c r="D288" s="50">
        <v>43608</v>
      </c>
      <c r="E288" s="42" t="s">
        <v>117</v>
      </c>
      <c r="F288" s="42" t="s">
        <v>117</v>
      </c>
      <c r="G288" s="42" t="s">
        <v>251</v>
      </c>
      <c r="H288" s="45" t="s">
        <v>305</v>
      </c>
      <c r="I288" s="45" t="s">
        <v>356</v>
      </c>
      <c r="J288" s="50">
        <v>43712</v>
      </c>
      <c r="K288" s="50"/>
      <c r="L288" s="49" t="str">
        <f ca="1">IFERROR(__xludf.DUMMYFUNCTION("QUERY('Volunteer Survey'!B297)"),"Laura Fuqua")</f>
        <v>Laura Fuqua</v>
      </c>
      <c r="M288" s="49" t="str">
        <f ca="1">IFERROR(__xludf.DUMMYFUNCTION("QUERY('Volunteer Survey'!E297)"),"laura.fuqua@gmail.com")</f>
        <v>laura.fuqua@gmail.com</v>
      </c>
      <c r="N288" s="49" t="str">
        <f ca="1">IFERROR(__xludf.DUMMYFUNCTION("QUERY('Volunteer Survey'!F297)"),"Genetic counselor")</f>
        <v>Genetic counselor</v>
      </c>
      <c r="O288" s="42" t="str">
        <f ca="1">IFERROR(__xludf.DUMMYFUNCTION("QUERY('Volunteer Survey'!H297)"),"Comprehensive")</f>
        <v>Comprehensive</v>
      </c>
      <c r="P288" s="49" t="str">
        <f ca="1">IFERROR(__xludf.DUMMYFUNCTION("QUERY('Volunteer Survey'!I297)"),"Variant Pathogenicity")</f>
        <v>Variant Pathogenicity</v>
      </c>
      <c r="Q288" s="54" t="str">
        <f ca="1">IFERROR(__xludf.DUMMYFUNCTION("QUERY('Volunteer Survey'!J297)"),"")</f>
        <v/>
      </c>
      <c r="R288" s="49" t="str">
        <f ca="1">IFERROR(__xludf.DUMMYFUNCTION("QUERY('Volunteer Survey'!K297)"),"")</f>
        <v/>
      </c>
      <c r="S288" s="49" t="str">
        <f ca="1">IFERROR(__xludf.DUMMYFUNCTION("QUERY('Volunteer Survey'!L297)"),"")</f>
        <v/>
      </c>
      <c r="T288" s="49" t="str">
        <f ca="1">IFERROR(__xludf.DUMMYFUNCTION("QUERY('Volunteer Survey'!M297)"),"")</f>
        <v/>
      </c>
      <c r="U288" s="58" t="str">
        <f ca="1">IFERROR(__xludf.DUMMYFUNCTION("QUERY('Volunteer Survey'!N297)"),"")</f>
        <v/>
      </c>
      <c r="V288" s="49" t="str">
        <f ca="1">IFERROR(__xludf.DUMMYFUNCTION("QUERY('Volunteer Survey'!O297)"),"")</f>
        <v/>
      </c>
      <c r="W288" s="60" t="str">
        <f ca="1">IFERROR(__xludf.DUMMYFUNCTION("QUERY('Volunteer Survey'!P297)"),"")</f>
        <v/>
      </c>
      <c r="X288" s="58" t="str">
        <f ca="1">IFERROR(__xludf.DUMMYFUNCTION("QUERY('Volunteer Survey'!R297)"),"")</f>
        <v/>
      </c>
      <c r="Y288" s="47"/>
      <c r="Z288" s="174">
        <f ca="1">IFERROR(__xludf.DUMMYFUNCTION("QUERY('Volunteer Survey'!A287)"),43703.6280798032)</f>
        <v>43703.628079803202</v>
      </c>
      <c r="AA288" s="175" t="str">
        <f ca="1">IFERROR(__xludf.DUMMYFUNCTION("QUERY('Volunteer Survey'!B287)"),"Charlene Preys")</f>
        <v>Charlene Preys</v>
      </c>
      <c r="AB288" s="175" t="str">
        <f ca="1">IFERROR(__xludf.DUMMYFUNCTION("QUERY('Volunteer Survey'!C287)"),"Endicott College/Genomes2People")</f>
        <v>Endicott College/Genomes2People</v>
      </c>
      <c r="AC288" s="175" t="str">
        <f ca="1">IFERROR(__xludf.DUMMYFUNCTION("QUERY('Volunteer Survey'!D287)"),"41 Avenue Louis Pasture Boston, MA 02115")</f>
        <v>41 Avenue Louis Pasture Boston, MA 02115</v>
      </c>
      <c r="AD288" s="175" t="str">
        <f ca="1">IFERROR(__xludf.DUMMYFUNCTION("QUERY('Volunteer Survey'!E287)"),"clpreys@bwh.harvard.edu")</f>
        <v>clpreys@bwh.harvard.edu</v>
      </c>
      <c r="AE288" s="175" t="str">
        <f ca="1">IFERROR(__xludf.DUMMYFUNCTION("QUERY('Volunteer Survey'!F287)"),"Undergraduate Student")</f>
        <v>Undergraduate Student</v>
      </c>
      <c r="AF288" s="175" t="str">
        <f ca="1">IFERROR(__xludf.DUMMYFUNCTION("QUERY('Volunteer Survey'!G287)"),"ClinGen conference advertisements (i.e. booth, workshop, presentation)")</f>
        <v>ClinGen conference advertisements (i.e. booth, workshop, presentation)</v>
      </c>
      <c r="AG288" s="175" t="str">
        <f ca="1">IFERROR(__xludf.DUMMYFUNCTION("QUERY('Volunteer Survey'!H287)"),"Comprehensive")</f>
        <v>Comprehensive</v>
      </c>
      <c r="AH288" s="175" t="str">
        <f ca="1">IFERROR(__xludf.DUMMYFUNCTION("QUERY('Volunteer Survey'!I287)"),"Gene-Disease Validity")</f>
        <v>Gene-Disease Validity</v>
      </c>
      <c r="AI288" s="175" t="str">
        <f ca="1">IFERROR(__xludf.DUMMYFUNCTION("QUERY('Volunteer Survey'!J287)"),"")</f>
        <v/>
      </c>
      <c r="AJ288" s="175" t="str">
        <f ca="1">IFERROR(__xludf.DUMMYFUNCTION("QUERY('Volunteer Survey'!K287)"),"")</f>
        <v/>
      </c>
      <c r="AK288" s="175" t="str">
        <f ca="1">IFERROR(__xludf.DUMMYFUNCTION("QUERY('Volunteer Survey'!L287)"),"")</f>
        <v/>
      </c>
      <c r="AL288" s="175" t="str">
        <f ca="1">IFERROR(__xludf.DUMMYFUNCTION("QUERY('Volunteer Survey'!M287)"),"")</f>
        <v/>
      </c>
      <c r="AM288" s="175" t="str">
        <f ca="1">IFERROR(__xludf.DUMMYFUNCTION("QUERY('Volunteer Survey'!N287)"),"")</f>
        <v/>
      </c>
      <c r="AN288" s="175" t="str">
        <f ca="1">IFERROR(__xludf.DUMMYFUNCTION("QUERY('Volunteer Survey'!O287)"),"")</f>
        <v/>
      </c>
      <c r="AO288" s="175" t="str">
        <f ca="1">IFERROR(__xludf.DUMMYFUNCTION("QUERY('Volunteer Survey'!P287)"),"TP53 or Mitochondrial (will gladly help any panel/working group) - Hereditary cancer, Hemostasis or Congenital Myopathy")</f>
        <v>TP53 or Mitochondrial (will gladly help any panel/working group) - Hereditary cancer, Hemostasis or Congenital Myopathy</v>
      </c>
    </row>
    <row r="289" spans="1:41" ht="14">
      <c r="A289" s="44">
        <f ca="1">IFERROR(__xludf.DUMMYFUNCTION("QUERY('Volunteer Survey'!A298)"),43712.7747749189)</f>
        <v>43712.7747749189</v>
      </c>
      <c r="B289" s="42" t="s">
        <v>322</v>
      </c>
      <c r="C289" s="47"/>
      <c r="D289" s="49"/>
      <c r="E289" s="49"/>
      <c r="F289" s="42" t="s">
        <v>130</v>
      </c>
      <c r="G289" s="42" t="s">
        <v>313</v>
      </c>
      <c r="H289" s="47"/>
      <c r="I289" s="47"/>
      <c r="J289" s="49"/>
      <c r="K289" s="49"/>
      <c r="L289" s="49" t="str">
        <f ca="1">IFERROR(__xludf.DUMMYFUNCTION("QUERY('Volunteer Survey'!B298)"),"Kelly McGoldrick")</f>
        <v>Kelly McGoldrick</v>
      </c>
      <c r="M289" s="49" t="str">
        <f ca="1">IFERROR(__xludf.DUMMYFUNCTION("QUERY('Volunteer Survey'!E298)"),"kmcgoldrick@ambrygenetics.com")</f>
        <v>kmcgoldrick@ambrygenetics.com</v>
      </c>
      <c r="N289" s="49" t="str">
        <f ca="1">IFERROR(__xludf.DUMMYFUNCTION("QUERY('Volunteer Survey'!F298)"),"Variant Analyst/Scientist - Industry")</f>
        <v>Variant Analyst/Scientist - Industry</v>
      </c>
      <c r="O289" s="42" t="str">
        <f ca="1">IFERROR(__xludf.DUMMYFUNCTION("QUERY('Volunteer Survey'!H298)"),"Comprehensive")</f>
        <v>Comprehensive</v>
      </c>
      <c r="P289" s="49" t="str">
        <f ca="1">IFERROR(__xludf.DUMMYFUNCTION("QUERY('Volunteer Survey'!I298)"),"")</f>
        <v/>
      </c>
      <c r="Q289" s="54" t="str">
        <f ca="1">IFERROR(__xludf.DUMMYFUNCTION("QUERY('Volunteer Survey'!J298)"),"")</f>
        <v/>
      </c>
      <c r="R289" s="49" t="str">
        <f ca="1">IFERROR(__xludf.DUMMYFUNCTION("QUERY('Volunteer Survey'!K298)"),"")</f>
        <v/>
      </c>
      <c r="S289" s="49" t="str">
        <f ca="1">IFERROR(__xludf.DUMMYFUNCTION("QUERY('Volunteer Survey'!L298)"),"")</f>
        <v/>
      </c>
      <c r="T289" s="49" t="str">
        <f ca="1">IFERROR(__xludf.DUMMYFUNCTION("QUERY('Volunteer Survey'!M298)"),"")</f>
        <v/>
      </c>
      <c r="U289" s="58" t="str">
        <f ca="1">IFERROR(__xludf.DUMMYFUNCTION("QUERY('Volunteer Survey'!N298)"),"I am a variant curation scientist at Ambry Genetics")</f>
        <v>I am a variant curation scientist at Ambry Genetics</v>
      </c>
      <c r="V289" s="49" t="str">
        <f ca="1">IFERROR(__xludf.DUMMYFUNCTION("QUERY('Volunteer Survey'!O298)"),"Possibly")</f>
        <v>Possibly</v>
      </c>
      <c r="W289" s="60" t="str">
        <f ca="1">IFERROR(__xludf.DUMMYFUNCTION("QUERY('Volunteer Survey'!P298)"),"Already a member of TP53 and VHL groups")</f>
        <v>Already a member of TP53 and VHL groups</v>
      </c>
      <c r="X289" s="58" t="str">
        <f ca="1">IFERROR(__xludf.DUMMYFUNCTION("QUERY('Volunteer Survey'!R298)"),"No - I am only interested in the group(s) I previously indicated")</f>
        <v>No - I am only interested in the group(s) I previously indicated</v>
      </c>
      <c r="Y289" s="47"/>
      <c r="Z289" s="174">
        <f ca="1">IFERROR(__xludf.DUMMYFUNCTION("QUERY('Volunteer Survey'!A288)"),43705.8092491666)</f>
        <v>43705.809249166603</v>
      </c>
      <c r="AA289" s="175" t="str">
        <f ca="1">IFERROR(__xludf.DUMMYFUNCTION("QUERY('Volunteer Survey'!B288)"),"Edgar Ramirez")</f>
        <v>Edgar Ramirez</v>
      </c>
      <c r="AB289" s="175" t="str">
        <f ca="1">IFERROR(__xludf.DUMMYFUNCTION("QUERY('Volunteer Survey'!C288)"),"Imagine Biotechnologies")</f>
        <v>Imagine Biotechnologies</v>
      </c>
      <c r="AC289" s="175" t="str">
        <f ca="1">IFERROR(__xludf.DUMMYFUNCTION("QUERY('Volunteer Survey'!D288)"),"Paseo de la Rosita 507-A. Campestre La Rosita. Torreón, Coahuila, México. CP 27250")</f>
        <v>Paseo de la Rosita 507-A. Campestre La Rosita. Torreón, Coahuila, México. CP 27250</v>
      </c>
      <c r="AD289" s="175" t="str">
        <f ca="1">IFERROR(__xludf.DUMMYFUNCTION("QUERY('Volunteer Survey'!E288)"),"e.ramirezr@hotmail.com")</f>
        <v>e.ramirezr@hotmail.com</v>
      </c>
      <c r="AE289" s="175" t="str">
        <f ca="1">IFERROR(__xludf.DUMMYFUNCTION("QUERY('Volunteer Survey'!F288)"),"Scientific Researcher")</f>
        <v>Scientific Researcher</v>
      </c>
      <c r="AF289" s="175" t="str">
        <f ca="1">IFERROR(__xludf.DUMMYFUNCTION("QUERY('Volunteer Survey'!G288)"),"The clinicalgenome.org website")</f>
        <v>The clinicalgenome.org website</v>
      </c>
      <c r="AG289" s="175" t="str">
        <f ca="1">IFERROR(__xludf.DUMMYFUNCTION("QUERY('Volunteer Survey'!H288)"),"Comprehensive")</f>
        <v>Comprehensive</v>
      </c>
      <c r="AH289" s="175" t="str">
        <f ca="1">IFERROR(__xludf.DUMMYFUNCTION("QUERY('Volunteer Survey'!I288)"),"Variant Pathogenicity")</f>
        <v>Variant Pathogenicity</v>
      </c>
      <c r="AI289" s="175" t="str">
        <f ca="1">IFERROR(__xludf.DUMMYFUNCTION("QUERY('Volunteer Survey'!J288)"),"Clinical Actionability")</f>
        <v>Clinical Actionability</v>
      </c>
      <c r="AJ289" s="175" t="str">
        <f ca="1">IFERROR(__xludf.DUMMYFUNCTION("QUERY('Volunteer Survey'!K288)"),"Gene-Disease Validity")</f>
        <v>Gene-Disease Validity</v>
      </c>
      <c r="AK289" s="175" t="str">
        <f ca="1">IFERROR(__xludf.DUMMYFUNCTION("QUERY('Volunteer Survey'!L288)"),"Dosage Sensitivity")</f>
        <v>Dosage Sensitivity</v>
      </c>
      <c r="AL289" s="175" t="str">
        <f ca="1">IFERROR(__xludf.DUMMYFUNCTION("QUERY('Volunteer Survey'!M288)"),"Somatic Cancer")</f>
        <v>Somatic Cancer</v>
      </c>
      <c r="AM289" s="175" t="str">
        <f ca="1">IFERROR(__xludf.DUMMYFUNCTION("QUERY('Volunteer Survey'!N288)"),"I was lead scientist for variant interpretation at a clinical laboratory")</f>
        <v>I was lead scientist for variant interpretation at a clinical laboratory</v>
      </c>
      <c r="AN289" s="175" t="str">
        <f ca="1">IFERROR(__xludf.DUMMYFUNCTION("QUERY('Volunteer Survey'!O288)"),"Possibly")</f>
        <v>Possibly</v>
      </c>
      <c r="AO289" s="175" t="str">
        <f ca="1">IFERROR(__xludf.DUMMYFUNCTION("QUERY('Volunteer Survey'!P288)"),"")</f>
        <v/>
      </c>
    </row>
    <row r="290" spans="1:41" ht="14">
      <c r="A290" s="44">
        <f ca="1">IFERROR(__xludf.DUMMYFUNCTION("QUERY('Volunteer Survey'!A299)"),43713.488728831)</f>
        <v>43713.488728830998</v>
      </c>
      <c r="B290" s="42" t="s">
        <v>108</v>
      </c>
      <c r="C290" s="73">
        <v>43819</v>
      </c>
      <c r="D290" s="49"/>
      <c r="E290" s="49"/>
      <c r="F290" s="42" t="s">
        <v>130</v>
      </c>
      <c r="G290" s="42" t="s">
        <v>251</v>
      </c>
      <c r="H290" s="47"/>
      <c r="I290" s="47"/>
      <c r="J290" s="49"/>
      <c r="K290" s="49"/>
      <c r="L290" s="49" t="str">
        <f ca="1">IFERROR(__xludf.DUMMYFUNCTION("QUERY('Volunteer Survey'!B299)"),"Patricia Harper")</f>
        <v>Patricia Harper</v>
      </c>
      <c r="M290" s="49" t="str">
        <f ca="1">IFERROR(__xludf.DUMMYFUNCTION("QUERY('Volunteer Survey'!E299)"),"pharper@cheo.on.ca")</f>
        <v>pharper@cheo.on.ca</v>
      </c>
      <c r="N290" s="49" t="str">
        <f ca="1">IFERROR(__xludf.DUMMYFUNCTION("QUERY('Volunteer Survey'!F299)"),"Genetic counselor")</f>
        <v>Genetic counselor</v>
      </c>
      <c r="O290" s="42" t="str">
        <f ca="1">IFERROR(__xludf.DUMMYFUNCTION("QUERY('Volunteer Survey'!H299)"),"Comprehensive")</f>
        <v>Comprehensive</v>
      </c>
      <c r="P290" s="49" t="str">
        <f ca="1">IFERROR(__xludf.DUMMYFUNCTION("QUERY('Volunteer Survey'!I299)"),"Variant Pathogenicity")</f>
        <v>Variant Pathogenicity</v>
      </c>
      <c r="Q290" s="54" t="str">
        <f ca="1">IFERROR(__xludf.DUMMYFUNCTION("QUERY('Volunteer Survey'!J299)"),"Clinical Actionability")</f>
        <v>Clinical Actionability</v>
      </c>
      <c r="R290" s="49" t="str">
        <f ca="1">IFERROR(__xludf.DUMMYFUNCTION("QUERY('Volunteer Survey'!K299)"),"Gene-Disease Validity")</f>
        <v>Gene-Disease Validity</v>
      </c>
      <c r="S290" s="49" t="str">
        <f ca="1">IFERROR(__xludf.DUMMYFUNCTION("QUERY('Volunteer Survey'!L299)"),"")</f>
        <v/>
      </c>
      <c r="T290" s="49" t="str">
        <f ca="1">IFERROR(__xludf.DUMMYFUNCTION("QUERY('Volunteer Survey'!M299)"),"")</f>
        <v/>
      </c>
      <c r="U290" s="58" t="str">
        <f ca="1">IFERROR(__xludf.DUMMYFUNCTION("QUERY('Volunteer Survey'!N299)"),"Yes, currently a member of the ClinGen Cardiomyopathy VCC")</f>
        <v>Yes, currently a member of the ClinGen Cardiomyopathy VCC</v>
      </c>
      <c r="V290" s="49" t="str">
        <f ca="1">IFERROR(__xludf.DUMMYFUNCTION("QUERY('Volunteer Survey'!O299)"),"Possibly")</f>
        <v>Possibly</v>
      </c>
      <c r="W290" s="60" t="str">
        <f ca="1">IFERROR(__xludf.DUMMYFUNCTION("QUERY('Volunteer Survey'!P299)"),"Hereditary cancer (and/or associated genes such as TP53)")</f>
        <v>Hereditary cancer (and/or associated genes such as TP53)</v>
      </c>
      <c r="X290" s="58" t="str">
        <f ca="1">IFERROR(__xludf.DUMMYFUNCTION("QUERY('Volunteer Survey'!R299)"),"Maybe -- please contact me with other options, and I will decide based on what is available")</f>
        <v>Maybe -- please contact me with other options, and I will decide based on what is available</v>
      </c>
      <c r="Y290" s="47"/>
      <c r="Z290" s="174">
        <f ca="1">IFERROR(__xludf.DUMMYFUNCTION("QUERY('Volunteer Survey'!A289)"),43707.2969791087)</f>
        <v>43707.296979108702</v>
      </c>
      <c r="AA290" s="175" t="str">
        <f ca="1">IFERROR(__xludf.DUMMYFUNCTION("QUERY('Volunteer Survey'!B289)"),"Laura Roht")</f>
        <v>Laura Roht</v>
      </c>
      <c r="AB290" s="175" t="str">
        <f ca="1">IFERROR(__xludf.DUMMYFUNCTION("QUERY('Volunteer Survey'!C289)"),"Tartu University Hospital, Department of Clinical Genetics")</f>
        <v>Tartu University Hospital, Department of Clinical Genetics</v>
      </c>
      <c r="AC290" s="175" t="str">
        <f ca="1">IFERROR(__xludf.DUMMYFUNCTION("QUERY('Volunteer Survey'!D289)"),"Puusepa Street 2, Tartu/Hariduse Street 6, Tallinn, Estonia")</f>
        <v>Puusepa Street 2, Tartu/Hariduse Street 6, Tallinn, Estonia</v>
      </c>
      <c r="AD290" s="175" t="str">
        <f ca="1">IFERROR(__xludf.DUMMYFUNCTION("QUERY('Volunteer Survey'!E289)"),"laura.roht@kliinikum.ee")</f>
        <v>laura.roht@kliinikum.ee</v>
      </c>
      <c r="AE290" s="175" t="str">
        <f ca="1">IFERROR(__xludf.DUMMYFUNCTION("QUERY('Volunteer Survey'!F289)"),"Clinical Medical Geneticist")</f>
        <v>Clinical Medical Geneticist</v>
      </c>
      <c r="AF290" s="175" t="str">
        <f ca="1">IFERROR(__xludf.DUMMYFUNCTION("QUERY('Volunteer Survey'!G289)"),"Networking, Suggestion from mentor")</f>
        <v>Networking, Suggestion from mentor</v>
      </c>
      <c r="AG290" s="175" t="str">
        <f ca="1">IFERROR(__xludf.DUMMYFUNCTION("QUERY('Volunteer Survey'!H289)"),"Comprehensive")</f>
        <v>Comprehensive</v>
      </c>
      <c r="AH290" s="175" t="str">
        <f ca="1">IFERROR(__xludf.DUMMYFUNCTION("QUERY('Volunteer Survey'!I289)"),"Gene-Disease Validity")</f>
        <v>Gene-Disease Validity</v>
      </c>
      <c r="AI290" s="175" t="str">
        <f ca="1">IFERROR(__xludf.DUMMYFUNCTION("QUERY('Volunteer Survey'!J289)"),"Variant Pathogenicity")</f>
        <v>Variant Pathogenicity</v>
      </c>
      <c r="AJ290" s="175" t="str">
        <f ca="1">IFERROR(__xludf.DUMMYFUNCTION("QUERY('Volunteer Survey'!K289)"),"")</f>
        <v/>
      </c>
      <c r="AK290" s="175" t="str">
        <f ca="1">IFERROR(__xludf.DUMMYFUNCTION("QUERY('Volunteer Survey'!L289)"),"")</f>
        <v/>
      </c>
      <c r="AL290" s="175" t="str">
        <f ca="1">IFERROR(__xludf.DUMMYFUNCTION("QUERY('Volunteer Survey'!M289)"),"")</f>
        <v/>
      </c>
      <c r="AM290" s="175" t="str">
        <f ca="1">IFERROR(__xludf.DUMMYFUNCTION("QUERY('Volunteer Survey'!N289)"),"")</f>
        <v/>
      </c>
      <c r="AN290" s="175" t="str">
        <f ca="1">IFERROR(__xludf.DUMMYFUNCTION("QUERY('Volunteer Survey'!O289)"),"Possibly")</f>
        <v>Possibly</v>
      </c>
      <c r="AO290" s="175" t="str">
        <f ca="1">IFERROR(__xludf.DUMMYFUNCTION("QUERY('Volunteer Survey'!P289)"),"Hereditary Cancer")</f>
        <v>Hereditary Cancer</v>
      </c>
    </row>
    <row r="291" spans="1:41" ht="14">
      <c r="A291" s="44">
        <f ca="1">IFERROR(__xludf.DUMMYFUNCTION("QUERY('Volunteer Survey'!A300)"),43714.5542454861)</f>
        <v>43714.554245486099</v>
      </c>
      <c r="B291" s="42" t="s">
        <v>322</v>
      </c>
      <c r="C291" s="47"/>
      <c r="D291" s="49"/>
      <c r="E291" s="49"/>
      <c r="F291" s="42" t="s">
        <v>130</v>
      </c>
      <c r="G291" s="42" t="s">
        <v>136</v>
      </c>
      <c r="H291" s="47"/>
      <c r="I291" s="47"/>
      <c r="J291" s="49"/>
      <c r="K291" s="49"/>
      <c r="L291" s="49" t="str">
        <f ca="1">IFERROR(__xludf.DUMMYFUNCTION("QUERY('Volunteer Survey'!B300)"),"Rasha hekal ")</f>
        <v xml:space="preserve">Rasha hekal </v>
      </c>
      <c r="M291" s="49" t="str">
        <f ca="1">IFERROR(__xludf.DUMMYFUNCTION("QUERY('Volunteer Survey'!E300)"),"rasha.hekal.152003@gmail.com")</f>
        <v>rasha.hekal.152003@gmail.com</v>
      </c>
      <c r="N291" s="49" t="str">
        <f ca="1">IFERROR(__xludf.DUMMYFUNCTION("QUERY('Volunteer Survey'!F300)"),"Undergraduate Student")</f>
        <v>Undergraduate Student</v>
      </c>
      <c r="O291" s="42" t="str">
        <f ca="1">IFERROR(__xludf.DUMMYFUNCTION("QUERY('Volunteer Survey'!H300)"),"Comprehensive")</f>
        <v>Comprehensive</v>
      </c>
      <c r="P291" s="49" t="str">
        <f ca="1">IFERROR(__xludf.DUMMYFUNCTION("QUERY('Volunteer Survey'!I300)"),"Somatic Cancer")</f>
        <v>Somatic Cancer</v>
      </c>
      <c r="Q291" s="54" t="str">
        <f ca="1">IFERROR(__xludf.DUMMYFUNCTION("QUERY('Volunteer Survey'!J300)"),"Gene-Disease Validity")</f>
        <v>Gene-Disease Validity</v>
      </c>
      <c r="R291" s="49" t="str">
        <f ca="1">IFERROR(__xludf.DUMMYFUNCTION("QUERY('Volunteer Survey'!K300)"),"Clinical Actionability")</f>
        <v>Clinical Actionability</v>
      </c>
      <c r="S291" s="49" t="str">
        <f ca="1">IFERROR(__xludf.DUMMYFUNCTION("QUERY('Volunteer Survey'!L300)"),"Dosage Sensitivity")</f>
        <v>Dosage Sensitivity</v>
      </c>
      <c r="T291" s="49" t="str">
        <f ca="1">IFERROR(__xludf.DUMMYFUNCTION("QUERY('Volunteer Survey'!M300)"),"Variant Pathogenicity")</f>
        <v>Variant Pathogenicity</v>
      </c>
      <c r="U291" s="58" t="str">
        <f ca="1">IFERROR(__xludf.DUMMYFUNCTION("QUERY('Volunteer Survey'!N300)"),"No I didn't have but I have a lot of information.")</f>
        <v>No I didn't have but I have a lot of information.</v>
      </c>
      <c r="V291" s="49" t="str">
        <f ca="1">IFERROR(__xludf.DUMMYFUNCTION("QUERY('Volunteer Survey'!O300)"),"Yes")</f>
        <v>Yes</v>
      </c>
      <c r="W291" s="60" t="str">
        <f ca="1">IFERROR(__xludf.DUMMYFUNCTION("QUERY('Volunteer Survey'!P300)"),"Yes I am very interested to join this group. ")</f>
        <v xml:space="preserve">Yes I am very interested to join this group. </v>
      </c>
      <c r="X291" s="58" t="str">
        <f ca="1">IFERROR(__xludf.DUMMYFUNCTION("QUERY('Volunteer Survey'!R300)"),"Yes- I am willing to volunteer with any available ClinGen group")</f>
        <v>Yes- I am willing to volunteer with any available ClinGen group</v>
      </c>
      <c r="Y291" s="47"/>
      <c r="Z291" s="174">
        <f ca="1">IFERROR(__xludf.DUMMYFUNCTION("QUERY('Volunteer Survey'!A290)"),43707.8085726851)</f>
        <v>43707.808572685099</v>
      </c>
      <c r="AA291" s="175" t="str">
        <f ca="1">IFERROR(__xludf.DUMMYFUNCTION("QUERY('Volunteer Survey'!B290)"),"Donia Hany Mostafa ")</f>
        <v xml:space="preserve">Donia Hany Mostafa </v>
      </c>
      <c r="AB291" s="175" t="str">
        <f ca="1">IFERROR(__xludf.DUMMYFUNCTION("QUERY('Volunteer Survey'!C290)"),"Kalubya STEM School")</f>
        <v>Kalubya STEM School</v>
      </c>
      <c r="AC291" s="175" t="str">
        <f ca="1">IFERROR(__xludf.DUMMYFUNCTION("QUERY('Volunteer Survey'!D290)"),"29 Obyda Ebn El Graah ST. Imbabah-Giza-Cairo-Egypt")</f>
        <v>29 Obyda Ebn El Graah ST. Imbabah-Giza-Cairo-Egypt</v>
      </c>
      <c r="AD291" s="175" t="str">
        <f ca="1">IFERROR(__xludf.DUMMYFUNCTION("QUERY('Volunteer Survey'!E290)"),"donia.1518105@stemkalubya.moe.edu.eg")</f>
        <v>donia.1518105@stemkalubya.moe.edu.eg</v>
      </c>
      <c r="AE291" s="175" t="str">
        <f ca="1">IFERROR(__xludf.DUMMYFUNCTION("QUERY('Volunteer Survey'!F290)"),"Undergraduate Student")</f>
        <v>Undergraduate Student</v>
      </c>
      <c r="AF291" s="175" t="str">
        <f ca="1">IFERROR(__xludf.DUMMYFUNCTION("QUERY('Volunteer Survey'!G290)"),"Facebook")</f>
        <v>Facebook</v>
      </c>
      <c r="AG291" s="175" t="str">
        <f ca="1">IFERROR(__xludf.DUMMYFUNCTION("QUERY('Volunteer Survey'!H290)"),"Comprehensive")</f>
        <v>Comprehensive</v>
      </c>
      <c r="AH291" s="175" t="str">
        <f ca="1">IFERROR(__xludf.DUMMYFUNCTION("QUERY('Volunteer Survey'!I290)"),"Somatic Cancer")</f>
        <v>Somatic Cancer</v>
      </c>
      <c r="AI291" s="175" t="str">
        <f ca="1">IFERROR(__xludf.DUMMYFUNCTION("QUERY('Volunteer Survey'!J290)"),"Dosage Sensitivity")</f>
        <v>Dosage Sensitivity</v>
      </c>
      <c r="AJ291" s="175" t="str">
        <f ca="1">IFERROR(__xludf.DUMMYFUNCTION("QUERY('Volunteer Survey'!K290)"),"Gene-Disease Validity")</f>
        <v>Gene-Disease Validity</v>
      </c>
      <c r="AK291" s="175" t="str">
        <f ca="1">IFERROR(__xludf.DUMMYFUNCTION("QUERY('Volunteer Survey'!L290)"),"Clinical Actionability")</f>
        <v>Clinical Actionability</v>
      </c>
      <c r="AL291" s="175" t="str">
        <f ca="1">IFERROR(__xludf.DUMMYFUNCTION("QUERY('Volunteer Survey'!M290)"),"Variant Pathogenicity")</f>
        <v>Variant Pathogenicity</v>
      </c>
      <c r="AM291" s="175" t="str">
        <f ca="1">IFERROR(__xludf.DUMMYFUNCTION("QUERY('Volunteer Survey'!N290)"),"")</f>
        <v/>
      </c>
      <c r="AN291" s="175" t="str">
        <f ca="1">IFERROR(__xludf.DUMMYFUNCTION("QUERY('Volunteer Survey'!O290)"),"No")</f>
        <v>No</v>
      </c>
      <c r="AO291" s="175" t="str">
        <f ca="1">IFERROR(__xludf.DUMMYFUNCTION("QUERY('Volunteer Survey'!P290)"),"Yes, I am very interested about being in group that will help me to do many researches and will help me to be through a new experience. ")</f>
        <v xml:space="preserve">Yes, I am very interested about being in group that will help me to do many researches and will help me to be through a new experience. </v>
      </c>
    </row>
    <row r="292" spans="1:41" ht="14">
      <c r="A292" s="44">
        <f ca="1">IFERROR(__xludf.DUMMYFUNCTION("QUERY('Volunteer Survey'!A301)"),43714.7015272337)</f>
        <v>43714.701527233701</v>
      </c>
      <c r="B292" s="42" t="s">
        <v>108</v>
      </c>
      <c r="C292" s="47"/>
      <c r="D292" s="49"/>
      <c r="E292" s="49"/>
      <c r="F292" s="42" t="s">
        <v>130</v>
      </c>
      <c r="G292" s="42" t="s">
        <v>202</v>
      </c>
      <c r="H292" s="47"/>
      <c r="I292" s="45" t="s">
        <v>139</v>
      </c>
      <c r="J292" s="49"/>
      <c r="K292" s="49"/>
      <c r="L292" s="49" t="str">
        <f ca="1">IFERROR(__xludf.DUMMYFUNCTION("QUERY('Volunteer Survey'!B301)"),"Nathaniel Jue")</f>
        <v>Nathaniel Jue</v>
      </c>
      <c r="M292" s="49" t="str">
        <f ca="1">IFERROR(__xludf.DUMMYFUNCTION("QUERY('Volunteer Survey'!E301)"),"njue@csumb.edu")</f>
        <v>njue@csumb.edu</v>
      </c>
      <c r="N292" s="49" t="str">
        <f ca="1">IFERROR(__xludf.DUMMYFUNCTION("QUERY('Volunteer Survey'!F301)"),"Scientific Researcher")</f>
        <v>Scientific Researcher</v>
      </c>
      <c r="O292" s="42" t="str">
        <f ca="1">IFERROR(__xludf.DUMMYFUNCTION("QUERY('Volunteer Survey'!H301)"),"Baseline")</f>
        <v>Baseline</v>
      </c>
      <c r="P292" s="49" t="str">
        <f ca="1">IFERROR(__xludf.DUMMYFUNCTION("QUERY('Volunteer Survey'!I301)"),"")</f>
        <v/>
      </c>
      <c r="Q292" s="54" t="str">
        <f ca="1">IFERROR(__xludf.DUMMYFUNCTION("QUERY('Volunteer Survey'!J301)"),"")</f>
        <v/>
      </c>
      <c r="R292" s="49" t="str">
        <f ca="1">IFERROR(__xludf.DUMMYFUNCTION("QUERY('Volunteer Survey'!K301)"),"")</f>
        <v/>
      </c>
      <c r="S292" s="49" t="str">
        <f ca="1">IFERROR(__xludf.DUMMYFUNCTION("QUERY('Volunteer Survey'!L301)"),"")</f>
        <v/>
      </c>
      <c r="T292" s="49" t="str">
        <f ca="1">IFERROR(__xludf.DUMMYFUNCTION("QUERY('Volunteer Survey'!M301)"),"")</f>
        <v/>
      </c>
      <c r="U292" s="58" t="str">
        <f ca="1">IFERROR(__xludf.DUMMYFUNCTION("QUERY('Volunteer Survey'!N301)"),"De novo genome annotation")</f>
        <v>De novo genome annotation</v>
      </c>
      <c r="V292" s="49" t="str">
        <f ca="1">IFERROR(__xludf.DUMMYFUNCTION("QUERY('Volunteer Survey'!O301)"),"Possibly")</f>
        <v>Possibly</v>
      </c>
      <c r="W292" s="60" t="str">
        <f ca="1">IFERROR(__xludf.DUMMYFUNCTION("QUERY('Volunteer Survey'!P301)"),"No")</f>
        <v>No</v>
      </c>
      <c r="X292" s="58" t="str">
        <f ca="1">IFERROR(__xludf.DUMMYFUNCTION("QUERY('Volunteer Survey'!R301)"),"Maybe -- please contact me with other options, and I will decide based on what is available")</f>
        <v>Maybe -- please contact me with other options, and I will decide based on what is available</v>
      </c>
      <c r="Y292" s="47"/>
      <c r="Z292" s="174">
        <f ca="1">IFERROR(__xludf.DUMMYFUNCTION("QUERY('Volunteer Survey'!A291)"),43711.082065081)</f>
        <v>43711.082065080998</v>
      </c>
      <c r="AA292" s="175" t="str">
        <f ca="1">IFERROR(__xludf.DUMMYFUNCTION("QUERY('Volunteer Survey'!B291)"),"Xin Chen")</f>
        <v>Xin Chen</v>
      </c>
      <c r="AB292" s="175" t="str">
        <f ca="1">IFERROR(__xludf.DUMMYFUNCTION("QUERY('Volunteer Survey'!C291)"),"Northwestern University")</f>
        <v>Northwestern University</v>
      </c>
      <c r="AC292" s="175" t="str">
        <f ca="1">IFERROR(__xludf.DUMMYFUNCTION("QUERY('Volunteer Survey'!D291)"),"2205 Tech Drive, Evanston, IL 60208")</f>
        <v>2205 Tech Drive, Evanston, IL 60208</v>
      </c>
      <c r="AD292" s="175" t="str">
        <f ca="1">IFERROR(__xludf.DUMMYFUNCTION("QUERY('Volunteer Survey'!E291)"),"chenx30nju@gmail.com")</f>
        <v>chenx30nju@gmail.com</v>
      </c>
      <c r="AE292" s="175" t="str">
        <f ca="1">IFERROR(__xludf.DUMMYFUNCTION("QUERY('Volunteer Survey'!F291)"),"Post Doc/Resident/Fellow (MD and/or PhD)")</f>
        <v>Post Doc/Resident/Fellow (MD and/or PhD)</v>
      </c>
      <c r="AF292" s="175" t="str">
        <f ca="1">IFERROR(__xludf.DUMMYFUNCTION("QUERY('Volunteer Survey'!G291)"),"Colleagues")</f>
        <v>Colleagues</v>
      </c>
      <c r="AG292" s="175" t="str">
        <f ca="1">IFERROR(__xludf.DUMMYFUNCTION("QUERY('Volunteer Survey'!H291)"),"Comprehensive")</f>
        <v>Comprehensive</v>
      </c>
      <c r="AH292" s="175" t="str">
        <f ca="1">IFERROR(__xludf.DUMMYFUNCTION("QUERY('Volunteer Survey'!I291)"),"Variant Pathogenicity")</f>
        <v>Variant Pathogenicity</v>
      </c>
      <c r="AI292" s="175" t="str">
        <f ca="1">IFERROR(__xludf.DUMMYFUNCTION("QUERY('Volunteer Survey'!J291)"),"Somatic Cancer")</f>
        <v>Somatic Cancer</v>
      </c>
      <c r="AJ292" s="175" t="str">
        <f ca="1">IFERROR(__xludf.DUMMYFUNCTION("QUERY('Volunteer Survey'!K291)"),"Gene-Disease Validity")</f>
        <v>Gene-Disease Validity</v>
      </c>
      <c r="AK292" s="175" t="str">
        <f ca="1">IFERROR(__xludf.DUMMYFUNCTION("QUERY('Volunteer Survey'!L291)"),"Dosage Sensitivity")</f>
        <v>Dosage Sensitivity</v>
      </c>
      <c r="AL292" s="175" t="str">
        <f ca="1">IFERROR(__xludf.DUMMYFUNCTION("QUERY('Volunteer Survey'!M291)"),"Clinical Actionability")</f>
        <v>Clinical Actionability</v>
      </c>
      <c r="AM292" s="175" t="str">
        <f ca="1">IFERROR(__xludf.DUMMYFUNCTION("QUERY('Volunteer Survey'!N291)"),"During my PhD study, I summarized all the reported mutations of the gene SETX that were reported to cause neurodegenerative disease AOA2, generated the mutations in the budding yeast model, and experimentally verified the defects caused by the mutations. ")</f>
        <v xml:space="preserve">During my PhD study, I summarized all the reported mutations of the gene SETX that were reported to cause neurodegenerative disease AOA2, generated the mutations in the budding yeast model, and experimentally verified the defects caused by the mutations. </v>
      </c>
      <c r="AN292" s="175" t="str">
        <f ca="1">IFERROR(__xludf.DUMMYFUNCTION("QUERY('Volunteer Survey'!O291)"),"Possibly")</f>
        <v>Possibly</v>
      </c>
      <c r="AO292" s="175" t="str">
        <f ca="1">IFERROR(__xludf.DUMMYFUNCTION("QUERY('Volunteer Survey'!P291)"),"I am open to any opportunity.")</f>
        <v>I am open to any opportunity.</v>
      </c>
    </row>
    <row r="293" spans="1:41" ht="14">
      <c r="A293" s="44">
        <f ca="1">IFERROR(__xludf.DUMMYFUNCTION("QUERY('Volunteer Survey'!A302)"),43716.6957171064)</f>
        <v>43716.695717106399</v>
      </c>
      <c r="B293" s="42" t="s">
        <v>322</v>
      </c>
      <c r="C293" s="47"/>
      <c r="D293" s="49"/>
      <c r="E293" s="49"/>
      <c r="F293" s="42" t="s">
        <v>130</v>
      </c>
      <c r="G293" s="42" t="s">
        <v>136</v>
      </c>
      <c r="H293" s="47"/>
      <c r="I293" s="47"/>
      <c r="J293" s="49"/>
      <c r="K293" s="49"/>
      <c r="L293" s="49" t="str">
        <f ca="1">IFERROR(__xludf.DUMMYFUNCTION("QUERY('Volunteer Survey'!B302)"),"Nihal Ahmed ")</f>
        <v xml:space="preserve">Nihal Ahmed </v>
      </c>
      <c r="M293" s="49" t="str">
        <f ca="1">IFERROR(__xludf.DUMMYFUNCTION("QUERY('Volunteer Survey'!E302)"),"nihalahmed087@gmail.com")</f>
        <v>nihalahmed087@gmail.com</v>
      </c>
      <c r="N293" s="49" t="str">
        <f ca="1">IFERROR(__xludf.DUMMYFUNCTION("QUERY('Volunteer Survey'!F302)"),"Undergraduate Student")</f>
        <v>Undergraduate Student</v>
      </c>
      <c r="O293" s="42" t="str">
        <f ca="1">IFERROR(__xludf.DUMMYFUNCTION("QUERY('Volunteer Survey'!H302)"),"Comprehensive")</f>
        <v>Comprehensive</v>
      </c>
      <c r="P293" s="49" t="str">
        <f ca="1">IFERROR(__xludf.DUMMYFUNCTION("QUERY('Volunteer Survey'!I302)"),"Somatic Cancer")</f>
        <v>Somatic Cancer</v>
      </c>
      <c r="Q293" s="54" t="str">
        <f ca="1">IFERROR(__xludf.DUMMYFUNCTION("QUERY('Volunteer Survey'!J302)"),"Gene-Disease Validity")</f>
        <v>Gene-Disease Validity</v>
      </c>
      <c r="R293" s="49" t="str">
        <f ca="1">IFERROR(__xludf.DUMMYFUNCTION("QUERY('Volunteer Survey'!K302)"),"Variant Pathogenicity")</f>
        <v>Variant Pathogenicity</v>
      </c>
      <c r="S293" s="49" t="str">
        <f ca="1">IFERROR(__xludf.DUMMYFUNCTION("QUERY('Volunteer Survey'!L302)"),"Clinical Actionability")</f>
        <v>Clinical Actionability</v>
      </c>
      <c r="T293" s="49" t="str">
        <f ca="1">IFERROR(__xludf.DUMMYFUNCTION("QUERY('Volunteer Survey'!M302)"),"Dosage Sensitivity")</f>
        <v>Dosage Sensitivity</v>
      </c>
      <c r="U293" s="58" t="str">
        <f ca="1">IFERROR(__xludf.DUMMYFUNCTION("QUERY('Volunteer Survey'!N302)"),"No, this is the first time for me to join something like this")</f>
        <v>No, this is the first time for me to join something like this</v>
      </c>
      <c r="V293" s="49" t="str">
        <f ca="1">IFERROR(__xludf.DUMMYFUNCTION("QUERY('Volunteer Survey'!O302)"),"Possibly")</f>
        <v>Possibly</v>
      </c>
      <c r="W293" s="60" t="str">
        <f ca="1">IFERROR(__xludf.DUMMYFUNCTION("QUERY('Volunteer Survey'!P302)"),"Not so interested ")</f>
        <v xml:space="preserve">Not so interested </v>
      </c>
      <c r="X293" s="58" t="str">
        <f ca="1">IFERROR(__xludf.DUMMYFUNCTION("QUERY('Volunteer Survey'!R302)"),"Maybe -- please contact me with other options, and I will decide based on what is available")</f>
        <v>Maybe -- please contact me with other options, and I will decide based on what is available</v>
      </c>
      <c r="Y293" s="47"/>
      <c r="Z293" s="174">
        <f ca="1">IFERROR(__xludf.DUMMYFUNCTION("QUERY('Volunteer Survey'!A292)"),43711.3899223842)</f>
        <v>43711.389922384202</v>
      </c>
      <c r="AA293" s="175" t="str">
        <f ca="1">IFERROR(__xludf.DUMMYFUNCTION("QUERY('Volunteer Survey'!B292)"),"Tomohiko Ai")</f>
        <v>Tomohiko Ai</v>
      </c>
      <c r="AB293" s="175" t="str">
        <f ca="1">IFERROR(__xludf.DUMMYFUNCTION("QUERY('Volunteer Survey'!C292)"),"Ohio State University")</f>
        <v>Ohio State University</v>
      </c>
      <c r="AC293" s="175" t="str">
        <f ca="1">IFERROR(__xludf.DUMMYFUNCTION("QUERY('Volunteer Survey'!D292)"),"336 BRT W. 12 Ave. Columbus, Ohio 43210")</f>
        <v>336 BRT W. 12 Ave. Columbus, Ohio 43210</v>
      </c>
      <c r="AD293" s="175" t="str">
        <f ca="1">IFERROR(__xludf.DUMMYFUNCTION("QUERY('Volunteer Survey'!E292)"),"Tomohiko.Ai@osumc.edu")</f>
        <v>Tomohiko.Ai@osumc.edu</v>
      </c>
      <c r="AE293" s="175" t="str">
        <f ca="1">IFERROR(__xludf.DUMMYFUNCTION("QUERY('Volunteer Survey'!F292)"),"Scientific Researcher")</f>
        <v>Scientific Researcher</v>
      </c>
      <c r="AF293" s="175" t="str">
        <f ca="1">IFERROR(__xludf.DUMMYFUNCTION("QUERY('Volunteer Survey'!G292)"),"I have been adjudicating variants of DCM at Ohio State University. I have been performing translational research in cardiovascular medicine. I am interested in underling molecular mechanisms of cardiomayopathy and arrhythmias.")</f>
        <v>I have been adjudicating variants of DCM at Ohio State University. I have been performing translational research in cardiovascular medicine. I am interested in underling molecular mechanisms of cardiomayopathy and arrhythmias.</v>
      </c>
      <c r="AG293" s="175" t="str">
        <f ca="1">IFERROR(__xludf.DUMMYFUNCTION("QUERY('Volunteer Survey'!H292)"),"Comprehensive")</f>
        <v>Comprehensive</v>
      </c>
      <c r="AH293" s="175" t="str">
        <f ca="1">IFERROR(__xludf.DUMMYFUNCTION("QUERY('Volunteer Survey'!I292)"),"Variant Pathogenicity")</f>
        <v>Variant Pathogenicity</v>
      </c>
      <c r="AI293" s="175" t="str">
        <f ca="1">IFERROR(__xludf.DUMMYFUNCTION("QUERY('Volunteer Survey'!J292)"),"")</f>
        <v/>
      </c>
      <c r="AJ293" s="175" t="str">
        <f ca="1">IFERROR(__xludf.DUMMYFUNCTION("QUERY('Volunteer Survey'!K292)"),"")</f>
        <v/>
      </c>
      <c r="AK293" s="175" t="str">
        <f ca="1">IFERROR(__xludf.DUMMYFUNCTION("QUERY('Volunteer Survey'!L292)"),"")</f>
        <v/>
      </c>
      <c r="AL293" s="175" t="str">
        <f ca="1">IFERROR(__xludf.DUMMYFUNCTION("QUERY('Volunteer Survey'!M292)"),"")</f>
        <v/>
      </c>
      <c r="AM293" s="175" t="str">
        <f ca="1">IFERROR(__xludf.DUMMYFUNCTION("QUERY('Volunteer Survey'!N292)"),"")</f>
        <v/>
      </c>
      <c r="AN293" s="175" t="str">
        <f ca="1">IFERROR(__xludf.DUMMYFUNCTION("QUERY('Volunteer Survey'!O292)"),"")</f>
        <v/>
      </c>
      <c r="AO293" s="175" t="str">
        <f ca="1">IFERROR(__xludf.DUMMYFUNCTION("QUERY('Volunteer Survey'!P292)"),"")</f>
        <v/>
      </c>
    </row>
    <row r="294" spans="1:41" ht="14">
      <c r="A294" s="44">
        <f ca="1">IFERROR(__xludf.DUMMYFUNCTION("QUERY('Volunteer Survey'!A303)"),43717.7217262268)</f>
        <v>43717.721726226802</v>
      </c>
      <c r="B294" s="42" t="s">
        <v>108</v>
      </c>
      <c r="C294" s="73">
        <v>43819</v>
      </c>
      <c r="D294" s="67">
        <v>43846</v>
      </c>
      <c r="E294" s="42" t="s">
        <v>117</v>
      </c>
      <c r="F294" s="42" t="s">
        <v>130</v>
      </c>
      <c r="G294" s="42" t="s">
        <v>122</v>
      </c>
      <c r="H294" s="47"/>
      <c r="I294" s="47"/>
      <c r="J294" s="49"/>
      <c r="K294" s="49"/>
      <c r="L294" s="49" t="str">
        <f ca="1">IFERROR(__xludf.DUMMYFUNCTION("QUERY('Volunteer Survey'!B303)"),"Xiaoting Ma")</f>
        <v>Xiaoting Ma</v>
      </c>
      <c r="M294" s="49" t="str">
        <f ca="1">IFERROR(__xludf.DUMMYFUNCTION("QUERY('Volunteer Survey'!E303)"),"Xiaoting.Ma@childrens.harvard.edu")</f>
        <v>Xiaoting.Ma@childrens.harvard.edu</v>
      </c>
      <c r="N294" s="49" t="str">
        <f ca="1">IFERROR(__xludf.DUMMYFUNCTION("QUERY('Volunteer Survey'!F303)"),"Post Doc/Resident/Fellow (MD and/or PhD)")</f>
        <v>Post Doc/Resident/Fellow (MD and/or PhD)</v>
      </c>
      <c r="O294" s="42" t="str">
        <f ca="1">IFERROR(__xludf.DUMMYFUNCTION("QUERY('Volunteer Survey'!H303)"),"Comprehensive")</f>
        <v>Comprehensive</v>
      </c>
      <c r="P294" s="49" t="str">
        <f ca="1">IFERROR(__xludf.DUMMYFUNCTION("QUERY('Volunteer Survey'!I303)"),"Gene-Disease Validity")</f>
        <v>Gene-Disease Validity</v>
      </c>
      <c r="Q294" s="54" t="str">
        <f ca="1">IFERROR(__xludf.DUMMYFUNCTION("QUERY('Volunteer Survey'!J303)"),"Variant Pathogenicity")</f>
        <v>Variant Pathogenicity</v>
      </c>
      <c r="R294" s="49" t="str">
        <f ca="1">IFERROR(__xludf.DUMMYFUNCTION("QUERY('Volunteer Survey'!K303)"),"Somatic Cancer")</f>
        <v>Somatic Cancer</v>
      </c>
      <c r="S294" s="49" t="str">
        <f ca="1">IFERROR(__xludf.DUMMYFUNCTION("QUERY('Volunteer Survey'!L303)"),"Dosage Sensitivity")</f>
        <v>Dosage Sensitivity</v>
      </c>
      <c r="T294" s="49" t="str">
        <f ca="1">IFERROR(__xludf.DUMMYFUNCTION("QUERY('Volunteer Survey'!M303)"),"Clinical Actionability")</f>
        <v>Clinical Actionability</v>
      </c>
      <c r="U294" s="58" t="str">
        <f ca="1">IFERROR(__xludf.DUMMYFUNCTION("QUERY('Volunteer Survey'!N303)"),"")</f>
        <v/>
      </c>
      <c r="V294" s="49" t="str">
        <f ca="1">IFERROR(__xludf.DUMMYFUNCTION("QUERY('Volunteer Survey'!O303)"),"Yes")</f>
        <v>Yes</v>
      </c>
      <c r="W294" s="60" t="str">
        <f ca="1">IFERROR(__xludf.DUMMYFUNCTION("QUERY('Volunteer Survey'!P303)"),"I am open to any opportunities")</f>
        <v>I am open to any opportunities</v>
      </c>
      <c r="X294" s="58" t="str">
        <f ca="1">IFERROR(__xludf.DUMMYFUNCTION("QUERY('Volunteer Survey'!R303)"),"Yes- I am willing to volunteer with any available ClinGen group")</f>
        <v>Yes- I am willing to volunteer with any available ClinGen group</v>
      </c>
      <c r="Y294" s="47"/>
      <c r="Z294" s="174">
        <f ca="1">IFERROR(__xludf.DUMMYFUNCTION("QUERY('Volunteer Survey'!A293)"),43711.40800353)</f>
        <v>43711.408003529999</v>
      </c>
      <c r="AA294" s="175" t="str">
        <f ca="1">IFERROR(__xludf.DUMMYFUNCTION("QUERY('Volunteer Survey'!B293)"),"Coumarane Mani")</f>
        <v>Coumarane Mani</v>
      </c>
      <c r="AB294" s="175" t="str">
        <f ca="1">IFERROR(__xludf.DUMMYFUNCTION("QUERY('Volunteer Survey'!C293)"),"ARUP Laboratories")</f>
        <v>ARUP Laboratories</v>
      </c>
      <c r="AC294" s="175" t="str">
        <f ca="1">IFERROR(__xludf.DUMMYFUNCTION("QUERY('Volunteer Survey'!D293)"),"SLC, Utah")</f>
        <v>SLC, Utah</v>
      </c>
      <c r="AD294" s="175" t="str">
        <f ca="1">IFERROR(__xludf.DUMMYFUNCTION("QUERY('Volunteer Survey'!E293)"),"coumarane.mani@aruplab.com")</f>
        <v>coumarane.mani@aruplab.com</v>
      </c>
      <c r="AE294" s="175" t="str">
        <f ca="1">IFERROR(__xludf.DUMMYFUNCTION("QUERY('Volunteer Survey'!F293)"),"Variant Analyst/Scientist - Industry")</f>
        <v>Variant Analyst/Scientist - Industry</v>
      </c>
      <c r="AF294" s="175" t="str">
        <f ca="1">IFERROR(__xludf.DUMMYFUNCTION("QUERY('Volunteer Survey'!G293)"),"Survey retaken by Liz - question not originally answered.")</f>
        <v>Survey retaken by Liz - question not originally answered.</v>
      </c>
      <c r="AG294" s="175" t="str">
        <f ca="1">IFERROR(__xludf.DUMMYFUNCTION("QUERY('Volunteer Survey'!H293)"),"Comprehensive")</f>
        <v>Comprehensive</v>
      </c>
      <c r="AH294" s="175" t="str">
        <f ca="1">IFERROR(__xludf.DUMMYFUNCTION("QUERY('Volunteer Survey'!I293)"),"Gene-Disease Validity")</f>
        <v>Gene-Disease Validity</v>
      </c>
      <c r="AI294" s="175" t="str">
        <f ca="1">IFERROR(__xludf.DUMMYFUNCTION("QUERY('Volunteer Survey'!J293)"),"")</f>
        <v/>
      </c>
      <c r="AJ294" s="175" t="str">
        <f ca="1">IFERROR(__xludf.DUMMYFUNCTION("QUERY('Volunteer Survey'!K293)"),"")</f>
        <v/>
      </c>
      <c r="AK294" s="175" t="str">
        <f ca="1">IFERROR(__xludf.DUMMYFUNCTION("QUERY('Volunteer Survey'!L293)"),"")</f>
        <v/>
      </c>
      <c r="AL294" s="175" t="str">
        <f ca="1">IFERROR(__xludf.DUMMYFUNCTION("QUERY('Volunteer Survey'!M293)"),"")</f>
        <v/>
      </c>
      <c r="AM294" s="175" t="str">
        <f ca="1">IFERROR(__xludf.DUMMYFUNCTION("QUERY('Volunteer Survey'!N293)"),"")</f>
        <v/>
      </c>
      <c r="AN294" s="175" t="str">
        <f ca="1">IFERROR(__xludf.DUMMYFUNCTION("QUERY('Volunteer Survey'!O293)"),"")</f>
        <v/>
      </c>
      <c r="AO294" s="175" t="str">
        <f ca="1">IFERROR(__xludf.DUMMYFUNCTION("QUERY('Volunteer Survey'!P293)"),"")</f>
        <v/>
      </c>
    </row>
    <row r="295" spans="1:41" ht="14">
      <c r="A295" s="44">
        <f ca="1">IFERROR(__xludf.DUMMYFUNCTION("QUERY('Volunteer Survey'!A304)"),43717.7789646296)</f>
        <v>43717.778964629601</v>
      </c>
      <c r="B295" s="42" t="s">
        <v>108</v>
      </c>
      <c r="C295" s="73">
        <v>43819</v>
      </c>
      <c r="D295" s="49"/>
      <c r="E295" s="49"/>
      <c r="F295" s="42" t="s">
        <v>130</v>
      </c>
      <c r="G295" s="42" t="s">
        <v>251</v>
      </c>
      <c r="H295" s="47"/>
      <c r="I295" s="47"/>
      <c r="J295" s="49"/>
      <c r="K295" s="49"/>
      <c r="L295" s="49" t="str">
        <f ca="1">IFERROR(__xludf.DUMMYFUNCTION("QUERY('Volunteer Survey'!B304)"),"Saja El Yaacoub")</f>
        <v>Saja El Yaacoub</v>
      </c>
      <c r="M295" s="49" t="str">
        <f ca="1">IFERROR(__xludf.DUMMYFUNCTION("QUERY('Volunteer Survey'!E304)"),"saja.alyaacoub@live.com")</f>
        <v>saja.alyaacoub@live.com</v>
      </c>
      <c r="N295" s="49" t="str">
        <f ca="1">IFERROR(__xludf.DUMMYFUNCTION("QUERY('Volunteer Survey'!F304)"),"Graduate Student")</f>
        <v>Graduate Student</v>
      </c>
      <c r="O295" s="42" t="str">
        <f ca="1">IFERROR(__xludf.DUMMYFUNCTION("QUERY('Volunteer Survey'!H304)"),"Comprehensive")</f>
        <v>Comprehensive</v>
      </c>
      <c r="P295" s="49" t="str">
        <f ca="1">IFERROR(__xludf.DUMMYFUNCTION("QUERY('Volunteer Survey'!I304)"),"Variant Pathogenicity")</f>
        <v>Variant Pathogenicity</v>
      </c>
      <c r="Q295" s="54" t="str">
        <f ca="1">IFERROR(__xludf.DUMMYFUNCTION("QUERY('Volunteer Survey'!J304)"),"Gene-Disease Validity")</f>
        <v>Gene-Disease Validity</v>
      </c>
      <c r="R295" s="49" t="str">
        <f ca="1">IFERROR(__xludf.DUMMYFUNCTION("QUERY('Volunteer Survey'!K304)"),"Somatic Cancer")</f>
        <v>Somatic Cancer</v>
      </c>
      <c r="S295" s="49" t="str">
        <f ca="1">IFERROR(__xludf.DUMMYFUNCTION("QUERY('Volunteer Survey'!L304)"),"Dosage Sensitivity")</f>
        <v>Dosage Sensitivity</v>
      </c>
      <c r="T295" s="49" t="str">
        <f ca="1">IFERROR(__xludf.DUMMYFUNCTION("QUERY('Volunteer Survey'!M304)"),"Clinical Actionability")</f>
        <v>Clinical Actionability</v>
      </c>
      <c r="U295" s="58" t="str">
        <f ca="1">IFERROR(__xludf.DUMMYFUNCTION("QUERY('Volunteer Survey'!N304)"),"")</f>
        <v/>
      </c>
      <c r="V295" s="49" t="str">
        <f ca="1">IFERROR(__xludf.DUMMYFUNCTION("QUERY('Volunteer Survey'!O304)"),"No")</f>
        <v>No</v>
      </c>
      <c r="W295" s="60" t="str">
        <f ca="1">IFERROR(__xludf.DUMMYFUNCTION("QUERY('Volunteer Survey'!P304)"),"Mitochondrial Diseases")</f>
        <v>Mitochondrial Diseases</v>
      </c>
      <c r="X295" s="58" t="str">
        <f ca="1">IFERROR(__xludf.DUMMYFUNCTION("QUERY('Volunteer Survey'!R304)"),"Yes- I am willing to volunteer with any available ClinGen group")</f>
        <v>Yes- I am willing to volunteer with any available ClinGen group</v>
      </c>
      <c r="Y295" s="47"/>
      <c r="Z295" s="174">
        <f ca="1">IFERROR(__xludf.DUMMYFUNCTION("QUERY('Volunteer Survey'!A294)"),43711.4090853819)</f>
        <v>43711.4090853819</v>
      </c>
      <c r="AA295" s="175" t="str">
        <f ca="1">IFERROR(__xludf.DUMMYFUNCTION("QUERY('Volunteer Survey'!B294)"),"Coumarane Mani")</f>
        <v>Coumarane Mani</v>
      </c>
      <c r="AB295" s="175" t="str">
        <f ca="1">IFERROR(__xludf.DUMMYFUNCTION("QUERY('Volunteer Survey'!C294)"),"ARUP Laboratories")</f>
        <v>ARUP Laboratories</v>
      </c>
      <c r="AC295" s="175" t="str">
        <f ca="1">IFERROR(__xludf.DUMMYFUNCTION("QUERY('Volunteer Survey'!D294)"),"SLC, Utah")</f>
        <v>SLC, Utah</v>
      </c>
      <c r="AD295" s="175" t="str">
        <f ca="1">IFERROR(__xludf.DUMMYFUNCTION("QUERY('Volunteer Survey'!E294)"),"coumarane.mani@aruplab.com")</f>
        <v>coumarane.mani@aruplab.com</v>
      </c>
      <c r="AE295" s="175" t="str">
        <f ca="1">IFERROR(__xludf.DUMMYFUNCTION("QUERY('Volunteer Survey'!F294)"),"Variant Analyst/Scientist - Industry")</f>
        <v>Variant Analyst/Scientist - Industry</v>
      </c>
      <c r="AF295" s="175" t="str">
        <f ca="1">IFERROR(__xludf.DUMMYFUNCTION("QUERY('Volunteer Survey'!G294)"),"Survey retaken by Liz - question not originally answered.")</f>
        <v>Survey retaken by Liz - question not originally answered.</v>
      </c>
      <c r="AG295" s="175" t="str">
        <f ca="1">IFERROR(__xludf.DUMMYFUNCTION("QUERY('Volunteer Survey'!H294)"),"Comprehensive")</f>
        <v>Comprehensive</v>
      </c>
      <c r="AH295" s="175" t="str">
        <f ca="1">IFERROR(__xludf.DUMMYFUNCTION("QUERY('Volunteer Survey'!I294)"),"Variant Pathogenicity")</f>
        <v>Variant Pathogenicity</v>
      </c>
      <c r="AI295" s="175" t="str">
        <f ca="1">IFERROR(__xludf.DUMMYFUNCTION("QUERY('Volunteer Survey'!J294)"),"")</f>
        <v/>
      </c>
      <c r="AJ295" s="175" t="str">
        <f ca="1">IFERROR(__xludf.DUMMYFUNCTION("QUERY('Volunteer Survey'!K294)"),"")</f>
        <v/>
      </c>
      <c r="AK295" s="175" t="str">
        <f ca="1">IFERROR(__xludf.DUMMYFUNCTION("QUERY('Volunteer Survey'!L294)"),"")</f>
        <v/>
      </c>
      <c r="AL295" s="175" t="str">
        <f ca="1">IFERROR(__xludf.DUMMYFUNCTION("QUERY('Volunteer Survey'!M294)"),"")</f>
        <v/>
      </c>
      <c r="AM295" s="175" t="str">
        <f ca="1">IFERROR(__xludf.DUMMYFUNCTION("QUERY('Volunteer Survey'!N294)"),"")</f>
        <v/>
      </c>
      <c r="AN295" s="175" t="str">
        <f ca="1">IFERROR(__xludf.DUMMYFUNCTION("QUERY('Volunteer Survey'!O294)"),"")</f>
        <v/>
      </c>
      <c r="AO295" s="175" t="str">
        <f ca="1">IFERROR(__xludf.DUMMYFUNCTION("QUERY('Volunteer Survey'!P294)"),"")</f>
        <v/>
      </c>
    </row>
    <row r="296" spans="1:41" ht="14">
      <c r="A296" s="44">
        <f ca="1">IFERROR(__xludf.DUMMYFUNCTION("QUERY('Volunteer Survey'!A305)"),43718.6167821759)</f>
        <v>43718.616782175901</v>
      </c>
      <c r="B296" s="42" t="s">
        <v>168</v>
      </c>
      <c r="C296" s="47"/>
      <c r="D296" s="49"/>
      <c r="E296" s="49"/>
      <c r="F296" s="42" t="s">
        <v>130</v>
      </c>
      <c r="G296" s="42" t="s">
        <v>19</v>
      </c>
      <c r="H296" s="47"/>
      <c r="I296" s="47"/>
      <c r="J296" s="49"/>
      <c r="K296" s="49"/>
      <c r="L296" s="49" t="str">
        <f ca="1">IFERROR(__xludf.DUMMYFUNCTION("QUERY('Volunteer Survey'!B305)"),"Andrew Langlois")</f>
        <v>Andrew Langlois</v>
      </c>
      <c r="M296" s="49" t="str">
        <f ca="1">IFERROR(__xludf.DUMMYFUNCTION("QUERY('Volunteer Survey'!E305)"),"andrewlanglois001@gmail.com")</f>
        <v>andrewlanglois001@gmail.com</v>
      </c>
      <c r="N296" s="49" t="str">
        <f ca="1">IFERROR(__xludf.DUMMYFUNCTION("QUERY('Volunteer Survey'!F305)"),"Graduate Student")</f>
        <v>Graduate Student</v>
      </c>
      <c r="O296" s="42" t="str">
        <f ca="1">IFERROR(__xludf.DUMMYFUNCTION("QUERY('Volunteer Survey'!H305)"),"Comprehensive")</f>
        <v>Comprehensive</v>
      </c>
      <c r="P296" s="49" t="str">
        <f ca="1">IFERROR(__xludf.DUMMYFUNCTION("QUERY('Volunteer Survey'!I305)"),"Clinical Actionability")</f>
        <v>Clinical Actionability</v>
      </c>
      <c r="Q296" s="54" t="str">
        <f ca="1">IFERROR(__xludf.DUMMYFUNCTION("QUERY('Volunteer Survey'!J305)"),"Dosage Sensitivity")</f>
        <v>Dosage Sensitivity</v>
      </c>
      <c r="R296" s="49" t="str">
        <f ca="1">IFERROR(__xludf.DUMMYFUNCTION("QUERY('Volunteer Survey'!K305)"),"Somatic Cancer")</f>
        <v>Somatic Cancer</v>
      </c>
      <c r="S296" s="49" t="str">
        <f ca="1">IFERROR(__xludf.DUMMYFUNCTION("QUERY('Volunteer Survey'!L305)"),"Variant Pathogenicity")</f>
        <v>Variant Pathogenicity</v>
      </c>
      <c r="T296" s="49" t="str">
        <f ca="1">IFERROR(__xludf.DUMMYFUNCTION("QUERY('Volunteer Survey'!M305)"),"Gene-Disease Validity")</f>
        <v>Gene-Disease Validity</v>
      </c>
      <c r="U296" s="58" t="str">
        <f ca="1">IFERROR(__xludf.DUMMYFUNCTION("QUERY('Volunteer Survey'!N305)"),"No")</f>
        <v>No</v>
      </c>
      <c r="V296" s="49" t="str">
        <f ca="1">IFERROR(__xludf.DUMMYFUNCTION("QUERY('Volunteer Survey'!O305)"),"Yes")</f>
        <v>Yes</v>
      </c>
      <c r="W296" s="60" t="str">
        <f ca="1">IFERROR(__xludf.DUMMYFUNCTION("QUERY('Volunteer Survey'!P305)"),"")</f>
        <v/>
      </c>
      <c r="X296" s="58" t="str">
        <f ca="1">IFERROR(__xludf.DUMMYFUNCTION("QUERY('Volunteer Survey'!R305)"),"Yes- I am willing to volunteer with any available ClinGen group")</f>
        <v>Yes- I am willing to volunteer with any available ClinGen group</v>
      </c>
      <c r="Y296" s="47"/>
      <c r="Z296" s="174">
        <f ca="1">IFERROR(__xludf.DUMMYFUNCTION("QUERY('Volunteer Survey'!A295)"),43711.4140849884)</f>
        <v>43711.414084988399</v>
      </c>
      <c r="AA296" s="175" t="str">
        <f ca="1">IFERROR(__xludf.DUMMYFUNCTION("QUERY('Volunteer Survey'!B295)"),"Diogo Ventura Lovato")</f>
        <v>Diogo Ventura Lovato</v>
      </c>
      <c r="AB296" s="175" t="str">
        <f ca="1">IFERROR(__xludf.DUMMYFUNCTION("QUERY('Volunteer Survey'!C295)"),"Tismoo Biotech")</f>
        <v>Tismoo Biotech</v>
      </c>
      <c r="AC296" s="175" t="str">
        <f ca="1">IFERROR(__xludf.DUMMYFUNCTION("QUERY('Volunteer Survey'!D295)"),"Brazil")</f>
        <v>Brazil</v>
      </c>
      <c r="AD296" s="175" t="str">
        <f ca="1">IFERROR(__xludf.DUMMYFUNCTION("QUERY('Volunteer Survey'!E295)"),"diogo.v.lovato@gmail.com")</f>
        <v>diogo.v.lovato@gmail.com</v>
      </c>
      <c r="AE296" s="175" t="str">
        <f ca="1">IFERROR(__xludf.DUMMYFUNCTION("QUERY('Volunteer Survey'!F295)"),"Clinical laboratory geneticist")</f>
        <v>Clinical laboratory geneticist</v>
      </c>
      <c r="AF296" s="175" t="str">
        <f ca="1">IFERROR(__xludf.DUMMYFUNCTION("QUERY('Volunteer Survey'!G295)"),"Survey retaken by Liz - question not originally answered")</f>
        <v>Survey retaken by Liz - question not originally answered</v>
      </c>
      <c r="AG296" s="175" t="str">
        <f ca="1">IFERROR(__xludf.DUMMYFUNCTION("QUERY('Volunteer Survey'!H295)"),"Comprehensive")</f>
        <v>Comprehensive</v>
      </c>
      <c r="AH296" s="175" t="str">
        <f ca="1">IFERROR(__xludf.DUMMYFUNCTION("QUERY('Volunteer Survey'!I295)"),"Variant Pathogenicity")</f>
        <v>Variant Pathogenicity</v>
      </c>
      <c r="AI296" s="175" t="str">
        <f ca="1">IFERROR(__xludf.DUMMYFUNCTION("QUERY('Volunteer Survey'!J295)"),"")</f>
        <v/>
      </c>
      <c r="AJ296" s="175" t="str">
        <f ca="1">IFERROR(__xludf.DUMMYFUNCTION("QUERY('Volunteer Survey'!K295)"),"")</f>
        <v/>
      </c>
      <c r="AK296" s="175" t="str">
        <f ca="1">IFERROR(__xludf.DUMMYFUNCTION("QUERY('Volunteer Survey'!L295)"),"")</f>
        <v/>
      </c>
      <c r="AL296" s="175" t="str">
        <f ca="1">IFERROR(__xludf.DUMMYFUNCTION("QUERY('Volunteer Survey'!M295)"),"")</f>
        <v/>
      </c>
      <c r="AM296" s="175" t="str">
        <f ca="1">IFERROR(__xludf.DUMMYFUNCTION("QUERY('Volunteer Survey'!N295)"),"")</f>
        <v/>
      </c>
      <c r="AN296" s="175" t="str">
        <f ca="1">IFERROR(__xludf.DUMMYFUNCTION("QUERY('Volunteer Survey'!O295)"),"")</f>
        <v/>
      </c>
      <c r="AO296" s="175" t="str">
        <f ca="1">IFERROR(__xludf.DUMMYFUNCTION("QUERY('Volunteer Survey'!P295)"),"")</f>
        <v/>
      </c>
    </row>
    <row r="297" spans="1:41" ht="14">
      <c r="A297" s="44">
        <f ca="1">IFERROR(__xludf.DUMMYFUNCTION("QUERY('Volunteer Survey'!A306)"),43720.9022698495)</f>
        <v>43720.902269849503</v>
      </c>
      <c r="B297" s="42" t="s">
        <v>108</v>
      </c>
      <c r="C297" s="73">
        <v>43819</v>
      </c>
      <c r="D297" s="49"/>
      <c r="E297" s="49"/>
      <c r="F297" s="42" t="s">
        <v>130</v>
      </c>
      <c r="G297" s="42" t="s">
        <v>251</v>
      </c>
      <c r="H297" s="47"/>
      <c r="I297" s="47"/>
      <c r="J297" s="49"/>
      <c r="K297" s="49"/>
      <c r="L297" s="49" t="str">
        <f ca="1">IFERROR(__xludf.DUMMYFUNCTION("QUERY('Volunteer Survey'!B306)"),"Brandon Chalazan")</f>
        <v>Brandon Chalazan</v>
      </c>
      <c r="M297" s="49" t="str">
        <f ca="1">IFERROR(__xludf.DUMMYFUNCTION("QUERY('Volunteer Survey'!E306)"),"brandon.chalazan@cw.bc.ca")</f>
        <v>brandon.chalazan@cw.bc.ca</v>
      </c>
      <c r="N297" s="49" t="str">
        <f ca="1">IFERROR(__xludf.DUMMYFUNCTION("QUERY('Volunteer Survey'!F306)"),"Post Doc/Resident/Fellow (MD and/or PhD)")</f>
        <v>Post Doc/Resident/Fellow (MD and/or PhD)</v>
      </c>
      <c r="O297" s="42" t="str">
        <f ca="1">IFERROR(__xludf.DUMMYFUNCTION("QUERY('Volunteer Survey'!H306)"),"Comprehensive")</f>
        <v>Comprehensive</v>
      </c>
      <c r="P297" s="49" t="str">
        <f ca="1">IFERROR(__xludf.DUMMYFUNCTION("QUERY('Volunteer Survey'!I306)"),"Variant Pathogenicity")</f>
        <v>Variant Pathogenicity</v>
      </c>
      <c r="Q297" s="54" t="str">
        <f ca="1">IFERROR(__xludf.DUMMYFUNCTION("QUERY('Volunteer Survey'!J306)"),"Dosage Sensitivity")</f>
        <v>Dosage Sensitivity</v>
      </c>
      <c r="R297" s="49" t="str">
        <f ca="1">IFERROR(__xludf.DUMMYFUNCTION("QUERY('Volunteer Survey'!K306)"),"Gene-Disease Validity")</f>
        <v>Gene-Disease Validity</v>
      </c>
      <c r="S297" s="49" t="str">
        <f ca="1">IFERROR(__xludf.DUMMYFUNCTION("QUERY('Volunteer Survey'!L306)"),"Clinical Actionability")</f>
        <v>Clinical Actionability</v>
      </c>
      <c r="T297" s="49" t="str">
        <f ca="1">IFERROR(__xludf.DUMMYFUNCTION("QUERY('Volunteer Survey'!M306)"),"")</f>
        <v/>
      </c>
      <c r="U297" s="58" t="str">
        <f ca="1">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V297" s="49" t="str">
        <f ca="1">IFERROR(__xludf.DUMMYFUNCTION("QUERY('Volunteer Survey'!O306)"),"Possibly")</f>
        <v>Possibly</v>
      </c>
      <c r="W297" s="60" t="str">
        <f ca="1">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c r="X297" s="58" t="str">
        <f ca="1">IFERROR(__xludf.DUMMYFUNCTION("QUERY('Volunteer Survey'!R306)"),"Maybe -- please contact me with other options, and I will decide based on what is available")</f>
        <v>Maybe -- please contact me with other options, and I will decide based on what is available</v>
      </c>
      <c r="Y297" s="47"/>
      <c r="Z297" s="174">
        <f ca="1">IFERROR(__xludf.DUMMYFUNCTION("QUERY('Volunteer Survey'!A296)"),43711.416964699)</f>
        <v>43711.416964698998</v>
      </c>
      <c r="AA297" s="175" t="str">
        <f ca="1">IFERROR(__xludf.DUMMYFUNCTION("QUERY('Volunteer Survey'!B296)"),"Elaine Spector")</f>
        <v>Elaine Spector</v>
      </c>
      <c r="AB297" s="175" t="str">
        <f ca="1">IFERROR(__xludf.DUMMYFUNCTION("QUERY('Volunteer Survey'!C296)"),"Univ of Colorado, Children's Hospital")</f>
        <v>Univ of Colorado, Children's Hospital</v>
      </c>
      <c r="AC297" s="175" t="str">
        <f ca="1">IFERROR(__xludf.DUMMYFUNCTION("QUERY('Volunteer Survey'!D296)"),"CO")</f>
        <v>CO</v>
      </c>
      <c r="AD297" s="175" t="str">
        <f ca="1">IFERROR(__xludf.DUMMYFUNCTION("QUERY('Volunteer Survey'!E296)"),"elaine.spector@childrenscolorado.org")</f>
        <v>elaine.spector@childrenscolorado.org</v>
      </c>
      <c r="AE297" s="175" t="str">
        <f ca="1">IFERROR(__xludf.DUMMYFUNCTION("QUERY('Volunteer Survey'!F296)"),"Clinical laboratory geneticist")</f>
        <v>Clinical laboratory geneticist</v>
      </c>
      <c r="AF297" s="175" t="str">
        <f ca="1">IFERROR(__xludf.DUMMYFUNCTION("QUERY('Volunteer Survey'!G296)"),"Survey retaken by Liz - question not originally answered.")</f>
        <v>Survey retaken by Liz - question not originally answered.</v>
      </c>
      <c r="AG297" s="175" t="str">
        <f ca="1">IFERROR(__xludf.DUMMYFUNCTION("QUERY('Volunteer Survey'!H296)"),"Comprehensive")</f>
        <v>Comprehensive</v>
      </c>
      <c r="AH297" s="175" t="str">
        <f ca="1">IFERROR(__xludf.DUMMYFUNCTION("QUERY('Volunteer Survey'!I296)"),"Variant Pathogenicity")</f>
        <v>Variant Pathogenicity</v>
      </c>
      <c r="AI297" s="175" t="str">
        <f ca="1">IFERROR(__xludf.DUMMYFUNCTION("QUERY('Volunteer Survey'!J296)"),"")</f>
        <v/>
      </c>
      <c r="AJ297" s="175" t="str">
        <f ca="1">IFERROR(__xludf.DUMMYFUNCTION("QUERY('Volunteer Survey'!K296)"),"")</f>
        <v/>
      </c>
      <c r="AK297" s="175" t="str">
        <f ca="1">IFERROR(__xludf.DUMMYFUNCTION("QUERY('Volunteer Survey'!L296)"),"")</f>
        <v/>
      </c>
      <c r="AL297" s="175" t="str">
        <f ca="1">IFERROR(__xludf.DUMMYFUNCTION("QUERY('Volunteer Survey'!M296)"),"")</f>
        <v/>
      </c>
      <c r="AM297" s="175" t="str">
        <f ca="1">IFERROR(__xludf.DUMMYFUNCTION("QUERY('Volunteer Survey'!N296)"),"")</f>
        <v/>
      </c>
      <c r="AN297" s="175" t="str">
        <f ca="1">IFERROR(__xludf.DUMMYFUNCTION("QUERY('Volunteer Survey'!O296)"),"")</f>
        <v/>
      </c>
      <c r="AO297" s="175" t="str">
        <f ca="1">IFERROR(__xludf.DUMMYFUNCTION("QUERY('Volunteer Survey'!P296)"),"")</f>
        <v/>
      </c>
    </row>
    <row r="298" spans="1:41" ht="14">
      <c r="A298" s="44">
        <f ca="1">IFERROR(__xludf.DUMMYFUNCTION("QUERY('Volunteer Survey'!A307)"),43721.4084676504)</f>
        <v>43721.408467650399</v>
      </c>
      <c r="B298" s="42" t="s">
        <v>108</v>
      </c>
      <c r="C298" s="73">
        <v>43819</v>
      </c>
      <c r="D298" s="49"/>
      <c r="E298" s="49"/>
      <c r="F298" s="42" t="s">
        <v>130</v>
      </c>
      <c r="G298" s="42" t="s">
        <v>251</v>
      </c>
      <c r="H298" s="47"/>
      <c r="I298" s="47"/>
      <c r="J298" s="49"/>
      <c r="K298" s="49"/>
      <c r="L298" s="49" t="str">
        <f ca="1">IFERROR(__xludf.DUMMYFUNCTION("QUERY('Volunteer Survey'!B307)"),"jean-leon chong")</f>
        <v>jean-leon chong</v>
      </c>
      <c r="M298" s="49" t="str">
        <f ca="1">IFERROR(__xludf.DUMMYFUNCTION("QUERY('Volunteer Survey'!E307)"),"leon0044@gmail.com")</f>
        <v>leon0044@gmail.com</v>
      </c>
      <c r="N298" s="49" t="str">
        <f ca="1">IFERROR(__xludf.DUMMYFUNCTION("QUERY('Volunteer Survey'!F307)"),"biochemical genetics lab director")</f>
        <v>biochemical genetics lab director</v>
      </c>
      <c r="O298" s="42" t="str">
        <f ca="1">IFERROR(__xludf.DUMMYFUNCTION("QUERY('Volunteer Survey'!H307)"),"Comprehensive")</f>
        <v>Comprehensive</v>
      </c>
      <c r="P298" s="49" t="str">
        <f ca="1">IFERROR(__xludf.DUMMYFUNCTION("QUERY('Volunteer Survey'!I307)"),"Variant Pathogenicity")</f>
        <v>Variant Pathogenicity</v>
      </c>
      <c r="Q298" s="54" t="str">
        <f ca="1">IFERROR(__xludf.DUMMYFUNCTION("QUERY('Volunteer Survey'!J307)"),"Gene-Disease Validity")</f>
        <v>Gene-Disease Validity</v>
      </c>
      <c r="R298" s="49" t="str">
        <f ca="1">IFERROR(__xludf.DUMMYFUNCTION("QUERY('Volunteer Survey'!K307)"),"")</f>
        <v/>
      </c>
      <c r="S298" s="49" t="str">
        <f ca="1">IFERROR(__xludf.DUMMYFUNCTION("QUERY('Volunteer Survey'!L307)"),"")</f>
        <v/>
      </c>
      <c r="T298" s="49" t="str">
        <f ca="1">IFERROR(__xludf.DUMMYFUNCTION("QUERY('Volunteer Survey'!M307)"),"")</f>
        <v/>
      </c>
      <c r="U298" s="58" t="str">
        <f ca="1">IFERROR(__xludf.DUMMYFUNCTION("QUERY('Volunteer Survey'!N307)"),"some experience during fellowship training ")</f>
        <v xml:space="preserve">some experience during fellowship training </v>
      </c>
      <c r="V298" s="49" t="str">
        <f ca="1">IFERROR(__xludf.DUMMYFUNCTION("QUERY('Volunteer Survey'!O307)"),"Possibly")</f>
        <v>Possibly</v>
      </c>
      <c r="W298" s="60" t="str">
        <f ca="1">IFERROR(__xludf.DUMMYFUNCTION("QUERY('Volunteer Survey'!P307)"),"")</f>
        <v/>
      </c>
      <c r="X298" s="58" t="str">
        <f ca="1">IFERROR(__xludf.DUMMYFUNCTION("QUERY('Volunteer Survey'!R307)"),"Maybe -- please contact me with other options, and I will decide based on what is available")</f>
        <v>Maybe -- please contact me with other options, and I will decide based on what is available</v>
      </c>
      <c r="Y298" s="47"/>
      <c r="Z298" s="174">
        <f ca="1">IFERROR(__xludf.DUMMYFUNCTION("QUERY('Volunteer Survey'!A297)"),43711.4222845949)</f>
        <v>43711.422284594897</v>
      </c>
      <c r="AA298" s="175" t="str">
        <f ca="1">IFERROR(__xludf.DUMMYFUNCTION("QUERY('Volunteer Survey'!B297)"),"Laura Fuqua")</f>
        <v>Laura Fuqua</v>
      </c>
      <c r="AB298" s="175" t="str">
        <f ca="1">IFERROR(__xludf.DUMMYFUNCTION("QUERY('Volunteer Survey'!C297)"),"NA")</f>
        <v>NA</v>
      </c>
      <c r="AC298" s="175" t="str">
        <f ca="1">IFERROR(__xludf.DUMMYFUNCTION("QUERY('Volunteer Survey'!D297)"),"CA")</f>
        <v>CA</v>
      </c>
      <c r="AD298" s="175" t="str">
        <f ca="1">IFERROR(__xludf.DUMMYFUNCTION("QUERY('Volunteer Survey'!E297)"),"laura.fuqua@gmail.com")</f>
        <v>laura.fuqua@gmail.com</v>
      </c>
      <c r="AE298" s="175" t="str">
        <f ca="1">IFERROR(__xludf.DUMMYFUNCTION("QUERY('Volunteer Survey'!F297)"),"Genetic counselor")</f>
        <v>Genetic counselor</v>
      </c>
      <c r="AF298" s="175" t="str">
        <f ca="1">IFERROR(__xludf.DUMMYFUNCTION("QUERY('Volunteer Survey'!G297)"),"Survey retaken by Liz - question not originally answered")</f>
        <v>Survey retaken by Liz - question not originally answered</v>
      </c>
      <c r="AG298" s="175" t="str">
        <f ca="1">IFERROR(__xludf.DUMMYFUNCTION("QUERY('Volunteer Survey'!H297)"),"Comprehensive")</f>
        <v>Comprehensive</v>
      </c>
      <c r="AH298" s="175" t="str">
        <f ca="1">IFERROR(__xludf.DUMMYFUNCTION("QUERY('Volunteer Survey'!I297)"),"Variant Pathogenicity")</f>
        <v>Variant Pathogenicity</v>
      </c>
      <c r="AI298" s="175" t="str">
        <f ca="1">IFERROR(__xludf.DUMMYFUNCTION("QUERY('Volunteer Survey'!J297)"),"")</f>
        <v/>
      </c>
      <c r="AJ298" s="175" t="str">
        <f ca="1">IFERROR(__xludf.DUMMYFUNCTION("QUERY('Volunteer Survey'!K297)"),"")</f>
        <v/>
      </c>
      <c r="AK298" s="175" t="str">
        <f ca="1">IFERROR(__xludf.DUMMYFUNCTION("QUERY('Volunteer Survey'!L297)"),"")</f>
        <v/>
      </c>
      <c r="AL298" s="175" t="str">
        <f ca="1">IFERROR(__xludf.DUMMYFUNCTION("QUERY('Volunteer Survey'!M297)"),"")</f>
        <v/>
      </c>
      <c r="AM298" s="175" t="str">
        <f ca="1">IFERROR(__xludf.DUMMYFUNCTION("QUERY('Volunteer Survey'!N297)"),"")</f>
        <v/>
      </c>
      <c r="AN298" s="175" t="str">
        <f ca="1">IFERROR(__xludf.DUMMYFUNCTION("QUERY('Volunteer Survey'!O297)"),"")</f>
        <v/>
      </c>
      <c r="AO298" s="175" t="str">
        <f ca="1">IFERROR(__xludf.DUMMYFUNCTION("QUERY('Volunteer Survey'!P297)"),"")</f>
        <v/>
      </c>
    </row>
    <row r="299" spans="1:41" ht="14">
      <c r="A299" s="44">
        <f ca="1">IFERROR(__xludf.DUMMYFUNCTION("QUERY('Volunteer Survey'!A308)"),43721.6622042361)</f>
        <v>43721.662204236098</v>
      </c>
      <c r="B299" s="42" t="s">
        <v>108</v>
      </c>
      <c r="C299" s="73">
        <v>43819</v>
      </c>
      <c r="D299" s="49"/>
      <c r="E299" s="49"/>
      <c r="F299" s="42" t="s">
        <v>130</v>
      </c>
      <c r="G299" s="42" t="s">
        <v>251</v>
      </c>
      <c r="H299" s="47"/>
      <c r="I299" s="47"/>
      <c r="J299" s="49"/>
      <c r="K299" s="49"/>
      <c r="L299" s="49" t="str">
        <f ca="1">IFERROR(__xludf.DUMMYFUNCTION("QUERY('Volunteer Survey'!B308)"),"Terra Brannan")</f>
        <v>Terra Brannan</v>
      </c>
      <c r="M299" s="49" t="str">
        <f ca="1">IFERROR(__xludf.DUMMYFUNCTION("QUERY('Volunteer Survey'!E308)"),"tbrannan@ambrygen.com")</f>
        <v>tbrannan@ambrygen.com</v>
      </c>
      <c r="N299" s="49" t="str">
        <f ca="1">IFERROR(__xludf.DUMMYFUNCTION("QUERY('Volunteer Survey'!F308)"),"Variant Analyst/Scientist - Industry")</f>
        <v>Variant Analyst/Scientist - Industry</v>
      </c>
      <c r="O299" s="42" t="str">
        <f ca="1">IFERROR(__xludf.DUMMYFUNCTION("QUERY('Volunteer Survey'!H308)"),"Comprehensive")</f>
        <v>Comprehensive</v>
      </c>
      <c r="P299" s="49" t="str">
        <f ca="1">IFERROR(__xludf.DUMMYFUNCTION("QUERY('Volunteer Survey'!I308)"),"Variant Pathogenicity")</f>
        <v>Variant Pathogenicity</v>
      </c>
      <c r="Q299" s="54" t="str">
        <f ca="1">IFERROR(__xludf.DUMMYFUNCTION("QUERY('Volunteer Survey'!J308)"),"")</f>
        <v/>
      </c>
      <c r="R299" s="49" t="str">
        <f ca="1">IFERROR(__xludf.DUMMYFUNCTION("QUERY('Volunteer Survey'!K308)"),"")</f>
        <v/>
      </c>
      <c r="S299" s="49" t="str">
        <f ca="1">IFERROR(__xludf.DUMMYFUNCTION("QUERY('Volunteer Survey'!L308)"),"")</f>
        <v/>
      </c>
      <c r="T299" s="49" t="str">
        <f ca="1">IFERROR(__xludf.DUMMYFUNCTION("QUERY('Volunteer Survey'!M308)"),"")</f>
        <v/>
      </c>
      <c r="U299" s="58" t="str">
        <f ca="1">IFERROR(__xludf.DUMMYFUNCTION("QUERY('Volunteer Survey'!N308)"),"Yes, I have been performing variant assessment since December 2018")</f>
        <v>Yes, I have been performing variant assessment since December 2018</v>
      </c>
      <c r="V299" s="49" t="str">
        <f ca="1">IFERROR(__xludf.DUMMYFUNCTION("QUERY('Volunteer Survey'!O308)"),"No")</f>
        <v>No</v>
      </c>
      <c r="W299" s="60" t="str">
        <f ca="1">IFERROR(__xludf.DUMMYFUNCTION("QUERY('Volunteer Survey'!P308)"),"CDH1")</f>
        <v>CDH1</v>
      </c>
      <c r="X299" s="58" t="str">
        <f ca="1">IFERROR(__xludf.DUMMYFUNCTION("QUERY('Volunteer Survey'!R308)"),"No - I am only interested in the group(s) I previously indicated")</f>
        <v>No - I am only interested in the group(s) I previously indicated</v>
      </c>
      <c r="Y299" s="47"/>
      <c r="Z299" s="174">
        <f ca="1">IFERROR(__xludf.DUMMYFUNCTION("QUERY('Volunteer Survey'!A298)"),43712.7747749189)</f>
        <v>43712.7747749189</v>
      </c>
      <c r="AA299" s="175" t="str">
        <f ca="1">IFERROR(__xludf.DUMMYFUNCTION("QUERY('Volunteer Survey'!B298)"),"Kelly McGoldrick")</f>
        <v>Kelly McGoldrick</v>
      </c>
      <c r="AB299" s="175" t="str">
        <f ca="1">IFERROR(__xludf.DUMMYFUNCTION("QUERY('Volunteer Survey'!C298)"),"Ambry Genetics")</f>
        <v>Ambry Genetics</v>
      </c>
      <c r="AC299" s="175" t="str">
        <f ca="1">IFERROR(__xludf.DUMMYFUNCTION("QUERY('Volunteer Survey'!D298)"),"")</f>
        <v/>
      </c>
      <c r="AD299" s="175" t="str">
        <f ca="1">IFERROR(__xludf.DUMMYFUNCTION("QUERY('Volunteer Survey'!E298)"),"kmcgoldrick@ambrygenetics.com")</f>
        <v>kmcgoldrick@ambrygenetics.com</v>
      </c>
      <c r="AE299" s="175" t="str">
        <f ca="1">IFERROR(__xludf.DUMMYFUNCTION("QUERY('Volunteer Survey'!F298)"),"Variant Analyst/Scientist - Industry")</f>
        <v>Variant Analyst/Scientist - Industry</v>
      </c>
      <c r="AF299" s="175" t="str">
        <f ca="1">IFERROR(__xludf.DUMMYFUNCTION("QUERY('Volunteer Survey'!G298)"),"Networking")</f>
        <v>Networking</v>
      </c>
      <c r="AG299" s="175" t="str">
        <f ca="1">IFERROR(__xludf.DUMMYFUNCTION("QUERY('Volunteer Survey'!H298)"),"Comprehensive")</f>
        <v>Comprehensive</v>
      </c>
      <c r="AH299" s="175" t="str">
        <f ca="1">IFERROR(__xludf.DUMMYFUNCTION("QUERY('Volunteer Survey'!I298)"),"")</f>
        <v/>
      </c>
      <c r="AI299" s="175" t="str">
        <f ca="1">IFERROR(__xludf.DUMMYFUNCTION("QUERY('Volunteer Survey'!J298)"),"")</f>
        <v/>
      </c>
      <c r="AJ299" s="175" t="str">
        <f ca="1">IFERROR(__xludf.DUMMYFUNCTION("QUERY('Volunteer Survey'!K298)"),"")</f>
        <v/>
      </c>
      <c r="AK299" s="175" t="str">
        <f ca="1">IFERROR(__xludf.DUMMYFUNCTION("QUERY('Volunteer Survey'!L298)"),"")</f>
        <v/>
      </c>
      <c r="AL299" s="175" t="str">
        <f ca="1">IFERROR(__xludf.DUMMYFUNCTION("QUERY('Volunteer Survey'!M298)"),"")</f>
        <v/>
      </c>
      <c r="AM299" s="175" t="str">
        <f ca="1">IFERROR(__xludf.DUMMYFUNCTION("QUERY('Volunteer Survey'!N298)"),"I am a variant curation scientist at Ambry Genetics")</f>
        <v>I am a variant curation scientist at Ambry Genetics</v>
      </c>
      <c r="AN299" s="175" t="str">
        <f ca="1">IFERROR(__xludf.DUMMYFUNCTION("QUERY('Volunteer Survey'!O298)"),"Possibly")</f>
        <v>Possibly</v>
      </c>
      <c r="AO299" s="175" t="str">
        <f ca="1">IFERROR(__xludf.DUMMYFUNCTION("QUERY('Volunteer Survey'!P298)"),"Already a member of TP53 and VHL groups")</f>
        <v>Already a member of TP53 and VHL groups</v>
      </c>
    </row>
    <row r="300" spans="1:41" ht="14">
      <c r="A300" s="44">
        <f ca="1">IFERROR(__xludf.DUMMYFUNCTION("QUERY('Volunteer Survey'!A309)"),43724.5553965277)</f>
        <v>43724.555396527699</v>
      </c>
      <c r="B300" s="42" t="s">
        <v>322</v>
      </c>
      <c r="C300" s="47"/>
      <c r="D300" s="49"/>
      <c r="E300" s="49"/>
      <c r="F300" s="42" t="s">
        <v>130</v>
      </c>
      <c r="G300" s="42" t="s">
        <v>163</v>
      </c>
      <c r="H300" s="47"/>
      <c r="I300" s="47"/>
      <c r="J300" s="49"/>
      <c r="K300" s="49"/>
      <c r="L300" s="49" t="str">
        <f ca="1">IFERROR(__xludf.DUMMYFUNCTION("QUERY('Volunteer Survey'!B309)"),"Ankita Patel")</f>
        <v>Ankita Patel</v>
      </c>
      <c r="M300" s="49" t="str">
        <f ca="1">IFERROR(__xludf.DUMMYFUNCTION("QUERY('Volunteer Survey'!E309)"),"aspatel1@yahoo.com")</f>
        <v>aspatel1@yahoo.com</v>
      </c>
      <c r="N300" s="49" t="str">
        <f ca="1">IFERROR(__xludf.DUMMYFUNCTION("QUERY('Volunteer Survey'!F309)"),"Independent cytogenetic consultant")</f>
        <v>Independent cytogenetic consultant</v>
      </c>
      <c r="O300" s="42" t="str">
        <f ca="1">IFERROR(__xludf.DUMMYFUNCTION("QUERY('Volunteer Survey'!H309)"),"Comprehensive")</f>
        <v>Comprehensive</v>
      </c>
      <c r="P300" s="49" t="str">
        <f ca="1">IFERROR(__xludf.DUMMYFUNCTION("QUERY('Volunteer Survey'!I309)"),"Dosage Sensitivity")</f>
        <v>Dosage Sensitivity</v>
      </c>
      <c r="Q300" s="54" t="str">
        <f ca="1">IFERROR(__xludf.DUMMYFUNCTION("QUERY('Volunteer Survey'!J309)"),"Variant Pathogenicity")</f>
        <v>Variant Pathogenicity</v>
      </c>
      <c r="R300" s="49" t="str">
        <f ca="1">IFERROR(__xludf.DUMMYFUNCTION("QUERY('Volunteer Survey'!K309)"),"Gene-Disease Validity")</f>
        <v>Gene-Disease Validity</v>
      </c>
      <c r="S300" s="49" t="str">
        <f ca="1">IFERROR(__xludf.DUMMYFUNCTION("QUERY('Volunteer Survey'!L309)"),"Clinical Actionability")</f>
        <v>Clinical Actionability</v>
      </c>
      <c r="T300" s="49" t="str">
        <f ca="1">IFERROR(__xludf.DUMMYFUNCTION("QUERY('Volunteer Survey'!M309)"),"Somatic Cancer")</f>
        <v>Somatic Cancer</v>
      </c>
      <c r="U300" s="58" t="str">
        <f ca="1">IFERROR(__xludf.DUMMYFUNCTION("QUERY('Volunteer Survey'!N309)"),"Part of the CLinGen CNV ")</f>
        <v xml:space="preserve">Part of the CLinGen CNV </v>
      </c>
      <c r="V300" s="49" t="str">
        <f ca="1">IFERROR(__xludf.DUMMYFUNCTION("QUERY('Volunteer Survey'!O309)"),"Yes")</f>
        <v>Yes</v>
      </c>
      <c r="W300" s="60" t="str">
        <f ca="1">IFERROR(__xludf.DUMMYFUNCTION("QUERY('Volunteer Survey'!P309)"),"no- can owrk on where there is need")</f>
        <v>no- can owrk on where there is need</v>
      </c>
      <c r="X300" s="58" t="str">
        <f ca="1">IFERROR(__xludf.DUMMYFUNCTION("QUERY('Volunteer Survey'!R309)"),"Yes- I am willing to volunteer with any available ClinGen group")</f>
        <v>Yes- I am willing to volunteer with any available ClinGen group</v>
      </c>
      <c r="Y300" s="47"/>
      <c r="Z300" s="174">
        <f ca="1">IFERROR(__xludf.DUMMYFUNCTION("QUERY('Volunteer Survey'!A299)"),43713.488728831)</f>
        <v>43713.488728830998</v>
      </c>
      <c r="AA300" s="175" t="str">
        <f ca="1">IFERROR(__xludf.DUMMYFUNCTION("QUERY('Volunteer Survey'!B299)"),"Patricia Harper")</f>
        <v>Patricia Harper</v>
      </c>
      <c r="AB300" s="175" t="str">
        <f ca="1">IFERROR(__xludf.DUMMYFUNCTION("QUERY('Volunteer Survey'!C299)"),"CHEO, Ottawa Ontario, Canada")</f>
        <v>CHEO, Ottawa Ontario, Canada</v>
      </c>
      <c r="AC300" s="175" t="str">
        <f ca="1">IFERROR(__xludf.DUMMYFUNCTION("QUERY('Volunteer Survey'!D299)"),"")</f>
        <v/>
      </c>
      <c r="AD300" s="175" t="str">
        <f ca="1">IFERROR(__xludf.DUMMYFUNCTION("QUERY('Volunteer Survey'!E299)"),"pharper@cheo.on.ca")</f>
        <v>pharper@cheo.on.ca</v>
      </c>
      <c r="AE300" s="175" t="str">
        <f ca="1">IFERROR(__xludf.DUMMYFUNCTION("QUERY('Volunteer Survey'!F299)"),"Genetic counselor")</f>
        <v>Genetic counselor</v>
      </c>
      <c r="AF300" s="175" t="str">
        <f ca="1">IFERROR(__xludf.DUMMYFUNCTION("QUERY('Volunteer Survey'!G299)"),"Colleagues, ClinGen affiliated emails and/or newsletters")</f>
        <v>Colleagues, ClinGen affiliated emails and/or newsletters</v>
      </c>
      <c r="AG300" s="175" t="str">
        <f ca="1">IFERROR(__xludf.DUMMYFUNCTION("QUERY('Volunteer Survey'!H299)"),"Comprehensive")</f>
        <v>Comprehensive</v>
      </c>
      <c r="AH300" s="175" t="str">
        <f ca="1">IFERROR(__xludf.DUMMYFUNCTION("QUERY('Volunteer Survey'!I299)"),"Variant Pathogenicity")</f>
        <v>Variant Pathogenicity</v>
      </c>
      <c r="AI300" s="175" t="str">
        <f ca="1">IFERROR(__xludf.DUMMYFUNCTION("QUERY('Volunteer Survey'!J299)"),"Clinical Actionability")</f>
        <v>Clinical Actionability</v>
      </c>
      <c r="AJ300" s="175" t="str">
        <f ca="1">IFERROR(__xludf.DUMMYFUNCTION("QUERY('Volunteer Survey'!K299)"),"Gene-Disease Validity")</f>
        <v>Gene-Disease Validity</v>
      </c>
      <c r="AK300" s="175" t="str">
        <f ca="1">IFERROR(__xludf.DUMMYFUNCTION("QUERY('Volunteer Survey'!L299)"),"")</f>
        <v/>
      </c>
      <c r="AL300" s="175" t="str">
        <f ca="1">IFERROR(__xludf.DUMMYFUNCTION("QUERY('Volunteer Survey'!M299)"),"")</f>
        <v/>
      </c>
      <c r="AM300" s="175" t="str">
        <f ca="1">IFERROR(__xludf.DUMMYFUNCTION("QUERY('Volunteer Survey'!N299)"),"Yes, currently a member of the ClinGen Cardiomyopathy VCC")</f>
        <v>Yes, currently a member of the ClinGen Cardiomyopathy VCC</v>
      </c>
      <c r="AN300" s="175" t="str">
        <f ca="1">IFERROR(__xludf.DUMMYFUNCTION("QUERY('Volunteer Survey'!O299)"),"Possibly")</f>
        <v>Possibly</v>
      </c>
      <c r="AO300" s="175" t="str">
        <f ca="1">IFERROR(__xludf.DUMMYFUNCTION("QUERY('Volunteer Survey'!P299)"),"Hereditary cancer (and/or associated genes such as TP53)")</f>
        <v>Hereditary cancer (and/or associated genes such as TP53)</v>
      </c>
    </row>
    <row r="301" spans="1:41" ht="14">
      <c r="A301" s="44">
        <f ca="1">IFERROR(__xludf.DUMMYFUNCTION("QUERY('Volunteer Survey'!A310)"),43724.6840868634)</f>
        <v>43724.684086863403</v>
      </c>
      <c r="B301" s="42" t="s">
        <v>108</v>
      </c>
      <c r="C301" s="73">
        <v>43819</v>
      </c>
      <c r="D301" s="49"/>
      <c r="E301" s="49"/>
      <c r="F301" s="42" t="s">
        <v>130</v>
      </c>
      <c r="G301" s="42" t="s">
        <v>251</v>
      </c>
      <c r="H301" s="47"/>
      <c r="I301" s="47"/>
      <c r="J301" s="49"/>
      <c r="K301" s="49"/>
      <c r="L301" s="49" t="str">
        <f ca="1">IFERROR(__xludf.DUMMYFUNCTION("QUERY('Volunteer Survey'!B310)"),"Jordan Stern")</f>
        <v>Jordan Stern</v>
      </c>
      <c r="M301" s="49" t="str">
        <f ca="1">IFERROR(__xludf.DUMMYFUNCTION("QUERY('Volunteer Survey'!E310)"),"jordanjnstern@gmail.com")</f>
        <v>jordanjnstern@gmail.com</v>
      </c>
      <c r="N301" s="49" t="str">
        <f ca="1">IFERROR(__xludf.DUMMYFUNCTION("QUERY('Volunteer Survey'!F310)"),"Undergraduate Student")</f>
        <v>Undergraduate Student</v>
      </c>
      <c r="O301" s="42" t="str">
        <f ca="1">IFERROR(__xludf.DUMMYFUNCTION("QUERY('Volunteer Survey'!H310)"),"Comprehensive")</f>
        <v>Comprehensive</v>
      </c>
      <c r="P301" s="49" t="str">
        <f ca="1">IFERROR(__xludf.DUMMYFUNCTION("QUERY('Volunteer Survey'!I310)"),"Variant Pathogenicity")</f>
        <v>Variant Pathogenicity</v>
      </c>
      <c r="Q301" s="54" t="str">
        <f ca="1">IFERROR(__xludf.DUMMYFUNCTION("QUERY('Volunteer Survey'!J310)"),"Dosage Sensitivity")</f>
        <v>Dosage Sensitivity</v>
      </c>
      <c r="R301" s="49" t="str">
        <f ca="1">IFERROR(__xludf.DUMMYFUNCTION("QUERY('Volunteer Survey'!K310)"),"Clinical Actionability")</f>
        <v>Clinical Actionability</v>
      </c>
      <c r="S301" s="49" t="str">
        <f ca="1">IFERROR(__xludf.DUMMYFUNCTION("QUERY('Volunteer Survey'!L310)"),"Gene-Disease Validity")</f>
        <v>Gene-Disease Validity</v>
      </c>
      <c r="T301" s="49" t="str">
        <f ca="1">IFERROR(__xludf.DUMMYFUNCTION("QUERY('Volunteer Survey'!M310)"),"Somatic Cancer")</f>
        <v>Somatic Cancer</v>
      </c>
      <c r="U301" s="58" t="str">
        <f ca="1">IFERROR(__xludf.DUMMYFUNCTION("QUERY('Volunteer Survey'!N310)"),"")</f>
        <v/>
      </c>
      <c r="V301" s="49" t="str">
        <f ca="1">IFERROR(__xludf.DUMMYFUNCTION("QUERY('Volunteer Survey'!O310)"),"Yes")</f>
        <v>Yes</v>
      </c>
      <c r="W301" s="60" t="str">
        <f ca="1">IFERROR(__xludf.DUMMYFUNCTION("QUERY('Volunteer Survey'!P310)"),"yes")</f>
        <v>yes</v>
      </c>
      <c r="X301" s="58" t="str">
        <f ca="1">IFERROR(__xludf.DUMMYFUNCTION("QUERY('Volunteer Survey'!R310)"),"Yes- I am willing to volunteer with any available ClinGen group")</f>
        <v>Yes- I am willing to volunteer with any available ClinGen group</v>
      </c>
      <c r="Y301" s="47"/>
      <c r="Z301" s="174">
        <f ca="1">IFERROR(__xludf.DUMMYFUNCTION("QUERY('Volunteer Survey'!A300)"),43714.5542454861)</f>
        <v>43714.554245486099</v>
      </c>
      <c r="AA301" s="175" t="str">
        <f ca="1">IFERROR(__xludf.DUMMYFUNCTION("QUERY('Volunteer Survey'!B300)"),"Rasha hekal ")</f>
        <v xml:space="preserve">Rasha hekal </v>
      </c>
      <c r="AB301" s="175" t="str">
        <f ca="1">IFERROR(__xludf.DUMMYFUNCTION("QUERY('Volunteer Survey'!C300)"),"STEM GHARBIYA ")</f>
        <v xml:space="preserve">STEM GHARBIYA </v>
      </c>
      <c r="AC301" s="175" t="str">
        <f ca="1">IFERROR(__xludf.DUMMYFUNCTION("QUERY('Volunteer Survey'!D300)"),"Kom Hamada El behira ")</f>
        <v xml:space="preserve">Kom Hamada El behira </v>
      </c>
      <c r="AD301" s="175" t="str">
        <f ca="1">IFERROR(__xludf.DUMMYFUNCTION("QUERY('Volunteer Survey'!E300)"),"rasha.hekal.152003@gmail.com")</f>
        <v>rasha.hekal.152003@gmail.com</v>
      </c>
      <c r="AE301" s="175" t="str">
        <f ca="1">IFERROR(__xludf.DUMMYFUNCTION("QUERY('Volunteer Survey'!F300)"),"Undergraduate Student")</f>
        <v>Undergraduate Student</v>
      </c>
      <c r="AF301" s="175" t="str">
        <f ca="1">IFERROR(__xludf.DUMMYFUNCTION("QUERY('Volunteer Survey'!G300)"),"ClinGen conference advertisements (i.e. booth, workshop, presentation), The clinicalgenome.org website, Facebook")</f>
        <v>ClinGen conference advertisements (i.e. booth, workshop, presentation), The clinicalgenome.org website, Facebook</v>
      </c>
      <c r="AG301" s="175" t="str">
        <f ca="1">IFERROR(__xludf.DUMMYFUNCTION("QUERY('Volunteer Survey'!H300)"),"Comprehensive")</f>
        <v>Comprehensive</v>
      </c>
      <c r="AH301" s="175" t="str">
        <f ca="1">IFERROR(__xludf.DUMMYFUNCTION("QUERY('Volunteer Survey'!I300)"),"Somatic Cancer")</f>
        <v>Somatic Cancer</v>
      </c>
      <c r="AI301" s="175" t="str">
        <f ca="1">IFERROR(__xludf.DUMMYFUNCTION("QUERY('Volunteer Survey'!J300)"),"Gene-Disease Validity")</f>
        <v>Gene-Disease Validity</v>
      </c>
      <c r="AJ301" s="175" t="str">
        <f ca="1">IFERROR(__xludf.DUMMYFUNCTION("QUERY('Volunteer Survey'!K300)"),"Clinical Actionability")</f>
        <v>Clinical Actionability</v>
      </c>
      <c r="AK301" s="175" t="str">
        <f ca="1">IFERROR(__xludf.DUMMYFUNCTION("QUERY('Volunteer Survey'!L300)"),"Dosage Sensitivity")</f>
        <v>Dosage Sensitivity</v>
      </c>
      <c r="AL301" s="175" t="str">
        <f ca="1">IFERROR(__xludf.DUMMYFUNCTION("QUERY('Volunteer Survey'!M300)"),"Variant Pathogenicity")</f>
        <v>Variant Pathogenicity</v>
      </c>
      <c r="AM301" s="175" t="str">
        <f ca="1">IFERROR(__xludf.DUMMYFUNCTION("QUERY('Volunteer Survey'!N300)"),"No I didn't have but I have a lot of information.")</f>
        <v>No I didn't have but I have a lot of information.</v>
      </c>
      <c r="AN301" s="175" t="str">
        <f ca="1">IFERROR(__xludf.DUMMYFUNCTION("QUERY('Volunteer Survey'!O300)"),"Yes")</f>
        <v>Yes</v>
      </c>
      <c r="AO301" s="175" t="str">
        <f ca="1">IFERROR(__xludf.DUMMYFUNCTION("QUERY('Volunteer Survey'!P300)"),"Yes I am very interested to join this group. ")</f>
        <v xml:space="preserve">Yes I am very interested to join this group. </v>
      </c>
    </row>
    <row r="302" spans="1:41" ht="14">
      <c r="A302" s="44">
        <f ca="1">IFERROR(__xludf.DUMMYFUNCTION("QUERY('Volunteer Survey'!A311)"),43725.5943007754)</f>
        <v>43725.594300775403</v>
      </c>
      <c r="B302" s="42" t="s">
        <v>108</v>
      </c>
      <c r="C302" s="47"/>
      <c r="D302" s="49"/>
      <c r="E302" s="49"/>
      <c r="F302" s="42" t="s">
        <v>130</v>
      </c>
      <c r="G302" s="42" t="s">
        <v>202</v>
      </c>
      <c r="H302" s="47"/>
      <c r="I302" s="45" t="s">
        <v>139</v>
      </c>
      <c r="J302" s="49"/>
      <c r="K302" s="49"/>
      <c r="L302" s="49" t="str">
        <f ca="1">IFERROR(__xludf.DUMMYFUNCTION("QUERY('Volunteer Survey'!B311)"),"Chris Darnell")</f>
        <v>Chris Darnell</v>
      </c>
      <c r="M302" s="49" t="str">
        <f ca="1">IFERROR(__xludf.DUMMYFUNCTION("QUERY('Volunteer Survey'!E311)"),"chris.darnell@bluewaterdxlab.com")</f>
        <v>chris.darnell@bluewaterdxlab.com</v>
      </c>
      <c r="N302" s="49" t="str">
        <f ca="1">IFERROR(__xludf.DUMMYFUNCTION("QUERY('Volunteer Survey'!F311)"),"Laboratory Technical Supervisor")</f>
        <v>Laboratory Technical Supervisor</v>
      </c>
      <c r="O302" s="42" t="str">
        <f ca="1">IFERROR(__xludf.DUMMYFUNCTION("QUERY('Volunteer Survey'!H311)"),"Baseline")</f>
        <v>Baseline</v>
      </c>
      <c r="P302" s="49" t="str">
        <f ca="1">IFERROR(__xludf.DUMMYFUNCTION("QUERY('Volunteer Survey'!I311)"),"Gene-Disease Validity")</f>
        <v>Gene-Disease Validity</v>
      </c>
      <c r="Q302" s="54" t="str">
        <f ca="1">IFERROR(__xludf.DUMMYFUNCTION("QUERY('Volunteer Survey'!J311)"),"Variant Pathogenicity")</f>
        <v>Variant Pathogenicity</v>
      </c>
      <c r="R302" s="49" t="str">
        <f ca="1">IFERROR(__xludf.DUMMYFUNCTION("QUERY('Volunteer Survey'!K311)"),"Somatic Cancer")</f>
        <v>Somatic Cancer</v>
      </c>
      <c r="S302" s="49" t="str">
        <f ca="1">IFERROR(__xludf.DUMMYFUNCTION("QUERY('Volunteer Survey'!L311)"),"Dosage Sensitivity")</f>
        <v>Dosage Sensitivity</v>
      </c>
      <c r="T302" s="49" t="str">
        <f ca="1">IFERROR(__xludf.DUMMYFUNCTION("QUERY('Volunteer Survey'!M311)"),"Clinical Actionability")</f>
        <v>Clinical Actionability</v>
      </c>
      <c r="U302" s="58" t="str">
        <f ca="1">IFERROR(__xludf.DUMMYFUNCTION("QUERY('Volunteer Survey'!N311)"),"")</f>
        <v/>
      </c>
      <c r="V302" s="49" t="str">
        <f ca="1">IFERROR(__xludf.DUMMYFUNCTION("QUERY('Volunteer Survey'!O311)"),"Yes")</f>
        <v>Yes</v>
      </c>
      <c r="W302" s="60" t="str">
        <f ca="1">IFERROR(__xludf.DUMMYFUNCTION("QUERY('Volunteer Survey'!P311)"),"")</f>
        <v/>
      </c>
      <c r="X302" s="58" t="str">
        <f ca="1">IFERROR(__xludf.DUMMYFUNCTION("QUERY('Volunteer Survey'!R311)"),"")</f>
        <v/>
      </c>
      <c r="Y302" s="47"/>
      <c r="Z302" s="174">
        <f ca="1">IFERROR(__xludf.DUMMYFUNCTION("QUERY('Volunteer Survey'!A301)"),43714.7015272337)</f>
        <v>43714.701527233701</v>
      </c>
      <c r="AA302" s="175" t="str">
        <f ca="1">IFERROR(__xludf.DUMMYFUNCTION("QUERY('Volunteer Survey'!B301)"),"Nathaniel Jue")</f>
        <v>Nathaniel Jue</v>
      </c>
      <c r="AB302" s="175" t="str">
        <f ca="1">IFERROR(__xludf.DUMMYFUNCTION("QUERY('Volunteer Survey'!C301)"),"California State University, Monterey Bay")</f>
        <v>California State University, Monterey Bay</v>
      </c>
      <c r="AC302" s="175" t="str">
        <f ca="1">IFERROR(__xludf.DUMMYFUNCTION("QUERY('Volunteer Survey'!D301)"),"100 Campus Ctr., Seaside, CA 93955")</f>
        <v>100 Campus Ctr., Seaside, CA 93955</v>
      </c>
      <c r="AD302" s="175" t="str">
        <f ca="1">IFERROR(__xludf.DUMMYFUNCTION("QUERY('Volunteer Survey'!E301)"),"njue@csumb.edu")</f>
        <v>njue@csumb.edu</v>
      </c>
      <c r="AE302" s="175" t="str">
        <f ca="1">IFERROR(__xludf.DUMMYFUNCTION("QUERY('Volunteer Survey'!F301)"),"Scientific Researcher")</f>
        <v>Scientific Researcher</v>
      </c>
      <c r="AF302" s="175" t="str">
        <f ca="1">IFERROR(__xludf.DUMMYFUNCTION("QUERY('Volunteer Survey'!G301)"),"Colleagues")</f>
        <v>Colleagues</v>
      </c>
      <c r="AG302" s="175" t="str">
        <f ca="1">IFERROR(__xludf.DUMMYFUNCTION("QUERY('Volunteer Survey'!H301)"),"Baseline")</f>
        <v>Baseline</v>
      </c>
      <c r="AH302" s="175" t="str">
        <f ca="1">IFERROR(__xludf.DUMMYFUNCTION("QUERY('Volunteer Survey'!I301)"),"")</f>
        <v/>
      </c>
      <c r="AI302" s="175" t="str">
        <f ca="1">IFERROR(__xludf.DUMMYFUNCTION("QUERY('Volunteer Survey'!J301)"),"")</f>
        <v/>
      </c>
      <c r="AJ302" s="175" t="str">
        <f ca="1">IFERROR(__xludf.DUMMYFUNCTION("QUERY('Volunteer Survey'!K301)"),"")</f>
        <v/>
      </c>
      <c r="AK302" s="175" t="str">
        <f ca="1">IFERROR(__xludf.DUMMYFUNCTION("QUERY('Volunteer Survey'!L301)"),"")</f>
        <v/>
      </c>
      <c r="AL302" s="175" t="str">
        <f ca="1">IFERROR(__xludf.DUMMYFUNCTION("QUERY('Volunteer Survey'!M301)"),"")</f>
        <v/>
      </c>
      <c r="AM302" s="175" t="str">
        <f ca="1">IFERROR(__xludf.DUMMYFUNCTION("QUERY('Volunteer Survey'!N301)"),"De novo genome annotation")</f>
        <v>De novo genome annotation</v>
      </c>
      <c r="AN302" s="175" t="str">
        <f ca="1">IFERROR(__xludf.DUMMYFUNCTION("QUERY('Volunteer Survey'!O301)"),"Possibly")</f>
        <v>Possibly</v>
      </c>
      <c r="AO302" s="175" t="str">
        <f ca="1">IFERROR(__xludf.DUMMYFUNCTION("QUERY('Volunteer Survey'!P301)"),"No")</f>
        <v>No</v>
      </c>
    </row>
    <row r="303" spans="1:41" ht="14">
      <c r="A303" s="44">
        <f ca="1">IFERROR(__xludf.DUMMYFUNCTION("QUERY('Volunteer Survey'!A312)"),43727.8252852314)</f>
        <v>43727.825285231404</v>
      </c>
      <c r="B303" s="42" t="s">
        <v>168</v>
      </c>
      <c r="C303" s="47"/>
      <c r="D303" s="49"/>
      <c r="E303" s="49"/>
      <c r="F303" s="42" t="s">
        <v>130</v>
      </c>
      <c r="G303" s="42" t="s">
        <v>19</v>
      </c>
      <c r="H303" s="47"/>
      <c r="I303" s="47"/>
      <c r="J303" s="49"/>
      <c r="K303" s="49"/>
      <c r="L303" s="49" t="str">
        <f ca="1">IFERROR(__xludf.DUMMYFUNCTION("QUERY('Volunteer Survey'!B312)"),"Sally Pea ")</f>
        <v xml:space="preserve">Sally Pea </v>
      </c>
      <c r="M303" s="49" t="str">
        <f ca="1">IFERROR(__xludf.DUMMYFUNCTION("QUERY('Volunteer Survey'!E312)"),"spea@live.com")</f>
        <v>spea@live.com</v>
      </c>
      <c r="N303" s="49" t="str">
        <f ca="1">IFERROR(__xludf.DUMMYFUNCTION("QUERY('Volunteer Survey'!F312)"),"Citizen Scientist/Patient Advocate")</f>
        <v>Citizen Scientist/Patient Advocate</v>
      </c>
      <c r="O303" s="42" t="str">
        <f ca="1">IFERROR(__xludf.DUMMYFUNCTION("QUERY('Volunteer Survey'!H312)"),"Comprehensive")</f>
        <v>Comprehensive</v>
      </c>
      <c r="P303" s="49" t="str">
        <f ca="1">IFERROR(__xludf.DUMMYFUNCTION("QUERY('Volunteer Survey'!I312)"),"Clinical Actionability")</f>
        <v>Clinical Actionability</v>
      </c>
      <c r="Q303" s="54" t="str">
        <f ca="1">IFERROR(__xludf.DUMMYFUNCTION("QUERY('Volunteer Survey'!J312)"),"Gene-Disease Validity")</f>
        <v>Gene-Disease Validity</v>
      </c>
      <c r="R303" s="49" t="str">
        <f ca="1">IFERROR(__xludf.DUMMYFUNCTION("QUERY('Volunteer Survey'!K312)"),"Variant Pathogenicity")</f>
        <v>Variant Pathogenicity</v>
      </c>
      <c r="S303" s="49" t="str">
        <f ca="1">IFERROR(__xludf.DUMMYFUNCTION("QUERY('Volunteer Survey'!L312)"),"Dosage Sensitivity")</f>
        <v>Dosage Sensitivity</v>
      </c>
      <c r="T303" s="49" t="str">
        <f ca="1">IFERROR(__xludf.DUMMYFUNCTION("QUERY('Volunteer Survey'!M312)"),"Somatic Cancer")</f>
        <v>Somatic Cancer</v>
      </c>
      <c r="U303" s="58" t="str">
        <f ca="1">IFERROR(__xludf.DUMMYFUNCTION("QUERY('Volunteer Survey'!N312)"),"No")</f>
        <v>No</v>
      </c>
      <c r="V303" s="49" t="str">
        <f ca="1">IFERROR(__xludf.DUMMYFUNCTION("QUERY('Volunteer Survey'!O312)"),"Yes")</f>
        <v>Yes</v>
      </c>
      <c r="W303" s="60" t="str">
        <f ca="1">IFERROR(__xludf.DUMMYFUNCTION("QUERY('Volunteer Survey'!P312)"),"Congenital Myopathies or Limb Girdle Dystrophies or anywhere needed")</f>
        <v>Congenital Myopathies or Limb Girdle Dystrophies or anywhere needed</v>
      </c>
      <c r="X303" s="58" t="str">
        <f ca="1">IFERROR(__xludf.DUMMYFUNCTION("QUERY('Volunteer Survey'!R312)"),"Yes- I am willing to volunteer with any available ClinGen group")</f>
        <v>Yes- I am willing to volunteer with any available ClinGen group</v>
      </c>
      <c r="Y303" s="47"/>
      <c r="Z303" s="174">
        <f ca="1">IFERROR(__xludf.DUMMYFUNCTION("QUERY('Volunteer Survey'!A302)"),43716.6957171064)</f>
        <v>43716.695717106399</v>
      </c>
      <c r="AA303" s="175" t="str">
        <f ca="1">IFERROR(__xludf.DUMMYFUNCTION("QUERY('Volunteer Survey'!B302)"),"Nihal Ahmed ")</f>
        <v xml:space="preserve">Nihal Ahmed </v>
      </c>
      <c r="AB303" s="175" t="str">
        <f ca="1">IFERROR(__xludf.DUMMYFUNCTION("QUERY('Volunteer Survey'!C302)"),"Stem gharbiya")</f>
        <v>Stem gharbiya</v>
      </c>
      <c r="AC303" s="175" t="str">
        <f ca="1">IFERROR(__xludf.DUMMYFUNCTION("QUERY('Volunteer Survey'!D302)"),"3 El-shafey Ahmed st. From El-madina El-monawara Ard El-lwa, Giza, Egypt.")</f>
        <v>3 El-shafey Ahmed st. From El-madina El-monawara Ard El-lwa, Giza, Egypt.</v>
      </c>
      <c r="AD303" s="175" t="str">
        <f ca="1">IFERROR(__xludf.DUMMYFUNCTION("QUERY('Volunteer Survey'!E302)"),"nihalahmed087@gmail.com")</f>
        <v>nihalahmed087@gmail.com</v>
      </c>
      <c r="AE303" s="175" t="str">
        <f ca="1">IFERROR(__xludf.DUMMYFUNCTION("QUERY('Volunteer Survey'!F302)"),"Undergraduate Student")</f>
        <v>Undergraduate Student</v>
      </c>
      <c r="AF303" s="175" t="str">
        <f ca="1">IFERROR(__xludf.DUMMYFUNCTION("QUERY('Volunteer Survey'!G302)"),"Facebook")</f>
        <v>Facebook</v>
      </c>
      <c r="AG303" s="175" t="str">
        <f ca="1">IFERROR(__xludf.DUMMYFUNCTION("QUERY('Volunteer Survey'!H302)"),"Comprehensive")</f>
        <v>Comprehensive</v>
      </c>
      <c r="AH303" s="175" t="str">
        <f ca="1">IFERROR(__xludf.DUMMYFUNCTION("QUERY('Volunteer Survey'!I302)"),"Somatic Cancer")</f>
        <v>Somatic Cancer</v>
      </c>
      <c r="AI303" s="175" t="str">
        <f ca="1">IFERROR(__xludf.DUMMYFUNCTION("QUERY('Volunteer Survey'!J302)"),"Gene-Disease Validity")</f>
        <v>Gene-Disease Validity</v>
      </c>
      <c r="AJ303" s="175" t="str">
        <f ca="1">IFERROR(__xludf.DUMMYFUNCTION("QUERY('Volunteer Survey'!K302)"),"Variant Pathogenicity")</f>
        <v>Variant Pathogenicity</v>
      </c>
      <c r="AK303" s="175" t="str">
        <f ca="1">IFERROR(__xludf.DUMMYFUNCTION("QUERY('Volunteer Survey'!L302)"),"Clinical Actionability")</f>
        <v>Clinical Actionability</v>
      </c>
      <c r="AL303" s="175" t="str">
        <f ca="1">IFERROR(__xludf.DUMMYFUNCTION("QUERY('Volunteer Survey'!M302)"),"Dosage Sensitivity")</f>
        <v>Dosage Sensitivity</v>
      </c>
      <c r="AM303" s="175" t="str">
        <f ca="1">IFERROR(__xludf.DUMMYFUNCTION("QUERY('Volunteer Survey'!N302)"),"No, this is the first time for me to join something like this")</f>
        <v>No, this is the first time for me to join something like this</v>
      </c>
      <c r="AN303" s="175" t="str">
        <f ca="1">IFERROR(__xludf.DUMMYFUNCTION("QUERY('Volunteer Survey'!O302)"),"Possibly")</f>
        <v>Possibly</v>
      </c>
      <c r="AO303" s="175" t="str">
        <f ca="1">IFERROR(__xludf.DUMMYFUNCTION("QUERY('Volunteer Survey'!P302)"),"Not so interested ")</f>
        <v xml:space="preserve">Not so interested </v>
      </c>
    </row>
    <row r="304" spans="1:41" ht="14">
      <c r="A304" s="44">
        <f ca="1">IFERROR(__xludf.DUMMYFUNCTION("QUERY('Volunteer Survey'!A313)"),43727.9494733217)</f>
        <v>43727.9494733217</v>
      </c>
      <c r="B304" s="42" t="s">
        <v>108</v>
      </c>
      <c r="C304" s="73">
        <v>43819</v>
      </c>
      <c r="D304" s="49"/>
      <c r="E304" s="49"/>
      <c r="F304" s="42" t="s">
        <v>130</v>
      </c>
      <c r="G304" s="42" t="s">
        <v>122</v>
      </c>
      <c r="H304" s="47"/>
      <c r="I304" s="47"/>
      <c r="J304" s="49"/>
      <c r="K304" s="49"/>
      <c r="L304" s="49" t="str">
        <f ca="1">IFERROR(__xludf.DUMMYFUNCTION("QUERY('Volunteer Survey'!B313)"),"Sali Farhan")</f>
        <v>Sali Farhan</v>
      </c>
      <c r="M304" s="49" t="str">
        <f ca="1">IFERROR(__xludf.DUMMYFUNCTION("QUERY('Volunteer Survey'!E313)"),"sfarhan@broadinstitute.org")</f>
        <v>sfarhan@broadinstitute.org</v>
      </c>
      <c r="N304" s="49" t="str">
        <f ca="1">IFERROR(__xludf.DUMMYFUNCTION("QUERY('Volunteer Survey'!F313)"),"Post Doc/Resident/Fellow (MD and/or PhD)")</f>
        <v>Post Doc/Resident/Fellow (MD and/or PhD)</v>
      </c>
      <c r="O304" s="42" t="str">
        <f ca="1">IFERROR(__xludf.DUMMYFUNCTION("QUERY('Volunteer Survey'!H313)"),"Comprehensive")</f>
        <v>Comprehensive</v>
      </c>
      <c r="P304" s="49" t="str">
        <f ca="1">IFERROR(__xludf.DUMMYFUNCTION("QUERY('Volunteer Survey'!I313)"),"Gene-Disease Validity")</f>
        <v>Gene-Disease Validity</v>
      </c>
      <c r="Q304" s="54" t="str">
        <f ca="1">IFERROR(__xludf.DUMMYFUNCTION("QUERY('Volunteer Survey'!J313)"),"Variant Pathogenicity")</f>
        <v>Variant Pathogenicity</v>
      </c>
      <c r="R304" s="49" t="str">
        <f ca="1">IFERROR(__xludf.DUMMYFUNCTION("QUERY('Volunteer Survey'!K313)"),"Clinical Actionability")</f>
        <v>Clinical Actionability</v>
      </c>
      <c r="S304" s="49" t="str">
        <f ca="1">IFERROR(__xludf.DUMMYFUNCTION("QUERY('Volunteer Survey'!L313)"),"Dosage Sensitivity")</f>
        <v>Dosage Sensitivity</v>
      </c>
      <c r="T304" s="49" t="str">
        <f ca="1">IFERROR(__xludf.DUMMYFUNCTION("QUERY('Volunteer Survey'!M313)"),"Somatic Cancer")</f>
        <v>Somatic Cancer</v>
      </c>
      <c r="U304" s="58" t="str">
        <f ca="1">IFERROR(__xludf.DUMMYFUNCTION("QUERY('Volunteer Survey'!N313)"),"")</f>
        <v/>
      </c>
      <c r="V304" s="49" t="str">
        <f ca="1">IFERROR(__xludf.DUMMYFUNCTION("QUERY('Volunteer Survey'!O313)"),"No")</f>
        <v>No</v>
      </c>
      <c r="W304" s="60" t="str">
        <f ca="1">IFERROR(__xludf.DUMMYFUNCTION("QUERY('Volunteer Survey'!P313)"),"")</f>
        <v/>
      </c>
      <c r="X304" s="58" t="str">
        <f ca="1">IFERROR(__xludf.DUMMYFUNCTION("QUERY('Volunteer Survey'!R313)"),"No - I am only interested in the group(s) I previously indicated")</f>
        <v>No - I am only interested in the group(s) I previously indicated</v>
      </c>
      <c r="Y304" s="47"/>
      <c r="Z304" s="174">
        <f ca="1">IFERROR(__xludf.DUMMYFUNCTION("QUERY('Volunteer Survey'!A303)"),43717.7217262268)</f>
        <v>43717.721726226802</v>
      </c>
      <c r="AA304" s="175" t="str">
        <f ca="1">IFERROR(__xludf.DUMMYFUNCTION("QUERY('Volunteer Survey'!B303)"),"Xiaoting Ma")</f>
        <v>Xiaoting Ma</v>
      </c>
      <c r="AB304" s="175" t="str">
        <f ca="1">IFERROR(__xludf.DUMMYFUNCTION("QUERY('Volunteer Survey'!C303)"),"Boston Children's Hospital_Genetics&amp;Genomics Department")</f>
        <v>Boston Children's Hospital_Genetics&amp;Genomics Department</v>
      </c>
      <c r="AC304" s="175" t="str">
        <f ca="1">IFERROR(__xludf.DUMMYFUNCTION("QUERY('Volunteer Survey'!D303)"),"Center for Life Science 15030.9, 3 Blackfan Circle, Boston, MA, 02115")</f>
        <v>Center for Life Science 15030.9, 3 Blackfan Circle, Boston, MA, 02115</v>
      </c>
      <c r="AD304" s="175" t="str">
        <f ca="1">IFERROR(__xludf.DUMMYFUNCTION("QUERY('Volunteer Survey'!E303)"),"Xiaoting.Ma@childrens.harvard.edu")</f>
        <v>Xiaoting.Ma@childrens.harvard.edu</v>
      </c>
      <c r="AE304" s="175" t="str">
        <f ca="1">IFERROR(__xludf.DUMMYFUNCTION("QUERY('Volunteer Survey'!F303)"),"Post Doc/Resident/Fellow (MD and/or PhD)")</f>
        <v>Post Doc/Resident/Fellow (MD and/or PhD)</v>
      </c>
      <c r="AF304" s="175" t="str">
        <f ca="1">IFERROR(__xludf.DUMMYFUNCTION("QUERY('Volunteer Survey'!G303)"),"Educational coursework")</f>
        <v>Educational coursework</v>
      </c>
      <c r="AG304" s="175" t="str">
        <f ca="1">IFERROR(__xludf.DUMMYFUNCTION("QUERY('Volunteer Survey'!H303)"),"Comprehensive")</f>
        <v>Comprehensive</v>
      </c>
      <c r="AH304" s="175" t="str">
        <f ca="1">IFERROR(__xludf.DUMMYFUNCTION("QUERY('Volunteer Survey'!I303)"),"Gene-Disease Validity")</f>
        <v>Gene-Disease Validity</v>
      </c>
      <c r="AI304" s="175" t="str">
        <f ca="1">IFERROR(__xludf.DUMMYFUNCTION("QUERY('Volunteer Survey'!J303)"),"Variant Pathogenicity")</f>
        <v>Variant Pathogenicity</v>
      </c>
      <c r="AJ304" s="175" t="str">
        <f ca="1">IFERROR(__xludf.DUMMYFUNCTION("QUERY('Volunteer Survey'!K303)"),"Somatic Cancer")</f>
        <v>Somatic Cancer</v>
      </c>
      <c r="AK304" s="175" t="str">
        <f ca="1">IFERROR(__xludf.DUMMYFUNCTION("QUERY('Volunteer Survey'!L303)"),"Dosage Sensitivity")</f>
        <v>Dosage Sensitivity</v>
      </c>
      <c r="AL304" s="175" t="str">
        <f ca="1">IFERROR(__xludf.DUMMYFUNCTION("QUERY('Volunteer Survey'!M303)"),"Clinical Actionability")</f>
        <v>Clinical Actionability</v>
      </c>
      <c r="AM304" s="175" t="str">
        <f ca="1">IFERROR(__xludf.DUMMYFUNCTION("QUERY('Volunteer Survey'!N303)"),"")</f>
        <v/>
      </c>
      <c r="AN304" s="175" t="str">
        <f ca="1">IFERROR(__xludf.DUMMYFUNCTION("QUERY('Volunteer Survey'!O303)"),"Yes")</f>
        <v>Yes</v>
      </c>
      <c r="AO304" s="175" t="str">
        <f ca="1">IFERROR(__xludf.DUMMYFUNCTION("QUERY('Volunteer Survey'!P303)"),"I am open to any opportunities")</f>
        <v>I am open to any opportunities</v>
      </c>
    </row>
    <row r="305" spans="1:41" ht="14">
      <c r="A305" s="44">
        <f ca="1">IFERROR(__xludf.DUMMYFUNCTION("QUERY('Volunteer Survey'!A314)"),43731.7024725115)</f>
        <v>43731.702472511497</v>
      </c>
      <c r="B305" s="42" t="s">
        <v>108</v>
      </c>
      <c r="C305" s="47"/>
      <c r="D305" s="67">
        <v>43846</v>
      </c>
      <c r="E305" s="42" t="s">
        <v>117</v>
      </c>
      <c r="F305" s="42" t="s">
        <v>117</v>
      </c>
      <c r="G305" s="42" t="s">
        <v>122</v>
      </c>
      <c r="H305" s="47"/>
      <c r="I305" s="47"/>
      <c r="J305" s="49"/>
      <c r="K305" s="49"/>
      <c r="L305" s="49" t="str">
        <f ca="1">IFERROR(__xludf.DUMMYFUNCTION("QUERY('Volunteer Survey'!B314)"),"Julie Kim ")</f>
        <v xml:space="preserve">Julie Kim </v>
      </c>
      <c r="M305" s="49" t="str">
        <f ca="1">IFERROR(__xludf.DUMMYFUNCTION("QUERY('Volunteer Survey'!E314)"),"serin.kim@nih.gov")</f>
        <v>serin.kim@nih.gov</v>
      </c>
      <c r="N305" s="49" t="str">
        <f ca="1">IFERROR(__xludf.DUMMYFUNCTION("QUERY('Volunteer Survey'!F314)"),"Scientific Program Analyst at NHGRI")</f>
        <v>Scientific Program Analyst at NHGRI</v>
      </c>
      <c r="O305" s="42" t="str">
        <f ca="1">IFERROR(__xludf.DUMMYFUNCTION("QUERY('Volunteer Survey'!H314)"),"Comprehensive")</f>
        <v>Comprehensive</v>
      </c>
      <c r="P305" s="49" t="str">
        <f ca="1">IFERROR(__xludf.DUMMYFUNCTION("QUERY('Volunteer Survey'!I314)"),"Gene-Disease Validity")</f>
        <v>Gene-Disease Validity</v>
      </c>
      <c r="Q305" s="54" t="str">
        <f ca="1">IFERROR(__xludf.DUMMYFUNCTION("QUERY('Volunteer Survey'!J314)"),"Clinical Actionability")</f>
        <v>Clinical Actionability</v>
      </c>
      <c r="R305" s="49" t="str">
        <f ca="1">IFERROR(__xludf.DUMMYFUNCTION("QUERY('Volunteer Survey'!K314)"),"")</f>
        <v/>
      </c>
      <c r="S305" s="49" t="str">
        <f ca="1">IFERROR(__xludf.DUMMYFUNCTION("QUERY('Volunteer Survey'!L314)"),"")</f>
        <v/>
      </c>
      <c r="T305" s="49" t="str">
        <f ca="1">IFERROR(__xludf.DUMMYFUNCTION("QUERY('Volunteer Survey'!M314)"),"")</f>
        <v/>
      </c>
      <c r="U305" s="58" t="str">
        <f ca="1">IFERROR(__xludf.DUMMYFUNCTION("QUERY('Volunteer Survey'!N314)"),"")</f>
        <v/>
      </c>
      <c r="V305" s="49" t="str">
        <f ca="1">IFERROR(__xludf.DUMMYFUNCTION("QUERY('Volunteer Survey'!O314)"),"No")</f>
        <v>No</v>
      </c>
      <c r="W305" s="60" t="str">
        <f ca="1">IFERROR(__xludf.DUMMYFUNCTION("QUERY('Volunteer Survey'!P314)"),"Cardiomyopathy, Brain Malformations, hearing loss")</f>
        <v>Cardiomyopathy, Brain Malformations, hearing loss</v>
      </c>
      <c r="X305" s="58" t="str">
        <f ca="1">IFERROR(__xludf.DUMMYFUNCTION("QUERY('Volunteer Survey'!R314)"),"Yes- I am willing to volunteer with any available ClinGen group")</f>
        <v>Yes- I am willing to volunteer with any available ClinGen group</v>
      </c>
      <c r="Y305" s="45" t="s">
        <v>1747</v>
      </c>
      <c r="Z305" s="174">
        <f ca="1">IFERROR(__xludf.DUMMYFUNCTION("QUERY('Volunteer Survey'!A304)"),43717.7789646296)</f>
        <v>43717.778964629601</v>
      </c>
      <c r="AA305" s="175" t="str">
        <f ca="1">IFERROR(__xludf.DUMMYFUNCTION("QUERY('Volunteer Survey'!B304)"),"Saja El Yaacoub")</f>
        <v>Saja El Yaacoub</v>
      </c>
      <c r="AB305" s="175" t="str">
        <f ca="1">IFERROR(__xludf.DUMMYFUNCTION("QUERY('Volunteer Survey'!C304)"),"Arizona State University")</f>
        <v>Arizona State University</v>
      </c>
      <c r="AC305" s="175" t="str">
        <f ca="1">IFERROR(__xludf.DUMMYFUNCTION("QUERY('Volunteer Survey'!D304)"),"")</f>
        <v/>
      </c>
      <c r="AD305" s="175" t="str">
        <f ca="1">IFERROR(__xludf.DUMMYFUNCTION("QUERY('Volunteer Survey'!E304)"),"saja.alyaacoub@live.com")</f>
        <v>saja.alyaacoub@live.com</v>
      </c>
      <c r="AE305" s="175" t="str">
        <f ca="1">IFERROR(__xludf.DUMMYFUNCTION("QUERY('Volunteer Survey'!F304)"),"Graduate Student")</f>
        <v>Graduate Student</v>
      </c>
      <c r="AF305" s="175" t="str">
        <f ca="1">IFERROR(__xludf.DUMMYFUNCTION("QUERY('Volunteer Survey'!G304)"),"Colleagues")</f>
        <v>Colleagues</v>
      </c>
      <c r="AG305" s="175" t="str">
        <f ca="1">IFERROR(__xludf.DUMMYFUNCTION("QUERY('Volunteer Survey'!H304)"),"Comprehensive")</f>
        <v>Comprehensive</v>
      </c>
      <c r="AH305" s="175" t="str">
        <f ca="1">IFERROR(__xludf.DUMMYFUNCTION("QUERY('Volunteer Survey'!I304)"),"Variant Pathogenicity")</f>
        <v>Variant Pathogenicity</v>
      </c>
      <c r="AI305" s="175" t="str">
        <f ca="1">IFERROR(__xludf.DUMMYFUNCTION("QUERY('Volunteer Survey'!J304)"),"Gene-Disease Validity")</f>
        <v>Gene-Disease Validity</v>
      </c>
      <c r="AJ305" s="175" t="str">
        <f ca="1">IFERROR(__xludf.DUMMYFUNCTION("QUERY('Volunteer Survey'!K304)"),"Somatic Cancer")</f>
        <v>Somatic Cancer</v>
      </c>
      <c r="AK305" s="175" t="str">
        <f ca="1">IFERROR(__xludf.DUMMYFUNCTION("QUERY('Volunteer Survey'!L304)"),"Dosage Sensitivity")</f>
        <v>Dosage Sensitivity</v>
      </c>
      <c r="AL305" s="175" t="str">
        <f ca="1">IFERROR(__xludf.DUMMYFUNCTION("QUERY('Volunteer Survey'!M304)"),"Clinical Actionability")</f>
        <v>Clinical Actionability</v>
      </c>
      <c r="AM305" s="175" t="str">
        <f ca="1">IFERROR(__xludf.DUMMYFUNCTION("QUERY('Volunteer Survey'!N304)"),"")</f>
        <v/>
      </c>
      <c r="AN305" s="175" t="str">
        <f ca="1">IFERROR(__xludf.DUMMYFUNCTION("QUERY('Volunteer Survey'!O304)"),"No")</f>
        <v>No</v>
      </c>
      <c r="AO305" s="175" t="str">
        <f ca="1">IFERROR(__xludf.DUMMYFUNCTION("QUERY('Volunteer Survey'!P304)"),"Mitochondrial Diseases")</f>
        <v>Mitochondrial Diseases</v>
      </c>
    </row>
    <row r="306" spans="1:41" ht="14">
      <c r="A306" s="44">
        <f ca="1">IFERROR(__xludf.DUMMYFUNCTION("QUERY('Volunteer Survey'!A315)"),43733.739980405)</f>
        <v>43733.739980405</v>
      </c>
      <c r="B306" s="42" t="s">
        <v>108</v>
      </c>
      <c r="C306" s="73">
        <v>43819</v>
      </c>
      <c r="D306" s="49"/>
      <c r="E306" s="49"/>
      <c r="F306" s="42" t="s">
        <v>130</v>
      </c>
      <c r="G306" s="42" t="s">
        <v>251</v>
      </c>
      <c r="H306" s="47"/>
      <c r="I306" s="47"/>
      <c r="J306" s="49"/>
      <c r="K306" s="49"/>
      <c r="L306" s="49" t="str">
        <f ca="1">IFERROR(__xludf.DUMMYFUNCTION("QUERY('Volunteer Survey'!B315)"),"Jamie Maciaszek")</f>
        <v>Jamie Maciaszek</v>
      </c>
      <c r="M306" s="49" t="str">
        <f ca="1">IFERROR(__xludf.DUMMYFUNCTION("QUERY('Volunteer Survey'!E315)"),"jamie.maciaszek@stjude.org")</f>
        <v>jamie.maciaszek@stjude.org</v>
      </c>
      <c r="N306" s="49" t="str">
        <f ca="1">IFERROR(__xludf.DUMMYFUNCTION("QUERY('Volunteer Survey'!F315)"),"Scientific Researcher")</f>
        <v>Scientific Researcher</v>
      </c>
      <c r="O306" s="42" t="str">
        <f ca="1">IFERROR(__xludf.DUMMYFUNCTION("QUERY('Volunteer Survey'!H315)"),"Comprehensive")</f>
        <v>Comprehensive</v>
      </c>
      <c r="P306" s="49" t="str">
        <f ca="1">IFERROR(__xludf.DUMMYFUNCTION("QUERY('Volunteer Survey'!I315)"),"Variant Pathogenicity")</f>
        <v>Variant Pathogenicity</v>
      </c>
      <c r="Q306" s="54" t="str">
        <f ca="1">IFERROR(__xludf.DUMMYFUNCTION("QUERY('Volunteer Survey'!J315)"),"Gene-Disease Validity")</f>
        <v>Gene-Disease Validity</v>
      </c>
      <c r="R306" s="49" t="str">
        <f ca="1">IFERROR(__xludf.DUMMYFUNCTION("QUERY('Volunteer Survey'!K315)"),"Somatic Cancer")</f>
        <v>Somatic Cancer</v>
      </c>
      <c r="S306" s="49" t="str">
        <f ca="1">IFERROR(__xludf.DUMMYFUNCTION("QUERY('Volunteer Survey'!L315)"),"Clinical Actionability")</f>
        <v>Clinical Actionability</v>
      </c>
      <c r="T306" s="49" t="str">
        <f ca="1">IFERROR(__xludf.DUMMYFUNCTION("QUERY('Volunteer Survey'!M315)"),"Dosage Sensitivity")</f>
        <v>Dosage Sensitivity</v>
      </c>
      <c r="U306" s="58" t="str">
        <f ca="1">IFERROR(__xludf.DUMMYFUNCTION("QUERY('Volunteer Survey'!N315)"),"working on SJFAMILY study to curate variants in suspected cases of hereditary cancer")</f>
        <v>working on SJFAMILY study to curate variants in suspected cases of hereditary cancer</v>
      </c>
      <c r="V306" s="49" t="str">
        <f ca="1">IFERROR(__xludf.DUMMYFUNCTION("QUERY('Volunteer Survey'!O315)"),"Possibly")</f>
        <v>Possibly</v>
      </c>
      <c r="W306" s="60" t="str">
        <f ca="1">IFERROR(__xludf.DUMMYFUNCTION("QUERY('Volunteer Survey'!P315)"),"Myeloid Malignancy, Hereditary Cancer")</f>
        <v>Myeloid Malignancy, Hereditary Cancer</v>
      </c>
      <c r="X306" s="58" t="str">
        <f ca="1">IFERROR(__xludf.DUMMYFUNCTION("QUERY('Volunteer Survey'!R315)"),"Yes- I am willing to volunteer with any available ClinGen group")</f>
        <v>Yes- I am willing to volunteer with any available ClinGen group</v>
      </c>
      <c r="Y306" s="47"/>
      <c r="Z306" s="174">
        <f ca="1">IFERROR(__xludf.DUMMYFUNCTION("QUERY('Volunteer Survey'!A305)"),43718.6167821759)</f>
        <v>43718.616782175901</v>
      </c>
      <c r="AA306" s="175" t="str">
        <f ca="1">IFERROR(__xludf.DUMMYFUNCTION("QUERY('Volunteer Survey'!B305)"),"Andrew Langlois")</f>
        <v>Andrew Langlois</v>
      </c>
      <c r="AB306" s="175" t="str">
        <f ca="1">IFERROR(__xludf.DUMMYFUNCTION("QUERY('Volunteer Survey'!C305)"),"Lenoir Rhyne University School of Public Health")</f>
        <v>Lenoir Rhyne University School of Public Health</v>
      </c>
      <c r="AC306" s="175" t="str">
        <f ca="1">IFERROR(__xludf.DUMMYFUNCTION("QUERY('Volunteer Survey'!D305)"),"447 Hidden Lake Parkway, Nebo, NC 28761")</f>
        <v>447 Hidden Lake Parkway, Nebo, NC 28761</v>
      </c>
      <c r="AD306" s="175" t="str">
        <f ca="1">IFERROR(__xludf.DUMMYFUNCTION("QUERY('Volunteer Survey'!E305)"),"andrewlanglois001@gmail.com")</f>
        <v>andrewlanglois001@gmail.com</v>
      </c>
      <c r="AE306" s="175" t="str">
        <f ca="1">IFERROR(__xludf.DUMMYFUNCTION("QUERY('Volunteer Survey'!F305)"),"Graduate Student")</f>
        <v>Graduate Student</v>
      </c>
      <c r="AF306" s="175" t="str">
        <f ca="1">IFERROR(__xludf.DUMMYFUNCTION("QUERY('Volunteer Survey'!G305)"),"Online search")</f>
        <v>Online search</v>
      </c>
      <c r="AG306" s="175" t="str">
        <f ca="1">IFERROR(__xludf.DUMMYFUNCTION("QUERY('Volunteer Survey'!H305)"),"Comprehensive")</f>
        <v>Comprehensive</v>
      </c>
      <c r="AH306" s="175" t="str">
        <f ca="1">IFERROR(__xludf.DUMMYFUNCTION("QUERY('Volunteer Survey'!I305)"),"Clinical Actionability")</f>
        <v>Clinical Actionability</v>
      </c>
      <c r="AI306" s="175" t="str">
        <f ca="1">IFERROR(__xludf.DUMMYFUNCTION("QUERY('Volunteer Survey'!J305)"),"Dosage Sensitivity")</f>
        <v>Dosage Sensitivity</v>
      </c>
      <c r="AJ306" s="175" t="str">
        <f ca="1">IFERROR(__xludf.DUMMYFUNCTION("QUERY('Volunteer Survey'!K305)"),"Somatic Cancer")</f>
        <v>Somatic Cancer</v>
      </c>
      <c r="AK306" s="175" t="str">
        <f ca="1">IFERROR(__xludf.DUMMYFUNCTION("QUERY('Volunteer Survey'!L305)"),"Variant Pathogenicity")</f>
        <v>Variant Pathogenicity</v>
      </c>
      <c r="AL306" s="175" t="str">
        <f ca="1">IFERROR(__xludf.DUMMYFUNCTION("QUERY('Volunteer Survey'!M305)"),"Gene-Disease Validity")</f>
        <v>Gene-Disease Validity</v>
      </c>
      <c r="AM306" s="175" t="str">
        <f ca="1">IFERROR(__xludf.DUMMYFUNCTION("QUERY('Volunteer Survey'!N305)"),"No")</f>
        <v>No</v>
      </c>
      <c r="AN306" s="175" t="str">
        <f ca="1">IFERROR(__xludf.DUMMYFUNCTION("QUERY('Volunteer Survey'!O305)"),"Yes")</f>
        <v>Yes</v>
      </c>
      <c r="AO306" s="175" t="str">
        <f ca="1">IFERROR(__xludf.DUMMYFUNCTION("QUERY('Volunteer Survey'!P305)"),"")</f>
        <v/>
      </c>
    </row>
    <row r="307" spans="1:41" ht="14">
      <c r="A307" s="44">
        <f ca="1">IFERROR(__xludf.DUMMYFUNCTION("QUERY('Volunteer Survey'!A316)"),43734.3440148726)</f>
        <v>43734.3440148726</v>
      </c>
      <c r="B307" s="42" t="s">
        <v>108</v>
      </c>
      <c r="C307" s="73">
        <v>43819</v>
      </c>
      <c r="D307" s="49"/>
      <c r="E307" s="49"/>
      <c r="F307" s="42" t="s">
        <v>130</v>
      </c>
      <c r="G307" s="42" t="s">
        <v>251</v>
      </c>
      <c r="H307" s="47"/>
      <c r="I307" s="47"/>
      <c r="J307" s="49"/>
      <c r="K307" s="49"/>
      <c r="L307" s="49" t="str">
        <f ca="1">IFERROR(__xludf.DUMMYFUNCTION("QUERY('Volunteer Survey'!B316)"),"Olivier Bluteau")</f>
        <v>Olivier Bluteau</v>
      </c>
      <c r="M307" s="49" t="str">
        <f ca="1">IFERROR(__xludf.DUMMYFUNCTION("QUERY('Volunteer Survey'!E316)"),"olivier.bluteau@aphp.fr")</f>
        <v>olivier.bluteau@aphp.fr</v>
      </c>
      <c r="N307" s="49" t="str">
        <f ca="1">IFERROR(__xludf.DUMMYFUNCTION("QUERY('Volunteer Survey'!F316)"),"Variant Analyst/Scientist - Academic")</f>
        <v>Variant Analyst/Scientist - Academic</v>
      </c>
      <c r="O307" s="42" t="str">
        <f ca="1">IFERROR(__xludf.DUMMYFUNCTION("QUERY('Volunteer Survey'!H316)"),"Comprehensive")</f>
        <v>Comprehensive</v>
      </c>
      <c r="P307" s="49" t="str">
        <f ca="1">IFERROR(__xludf.DUMMYFUNCTION("QUERY('Volunteer Survey'!I316)"),"Variant Pathogenicity")</f>
        <v>Variant Pathogenicity</v>
      </c>
      <c r="Q307" s="54" t="str">
        <f ca="1">IFERROR(__xludf.DUMMYFUNCTION("QUERY('Volunteer Survey'!J316)"),"Gene-Disease Validity")</f>
        <v>Gene-Disease Validity</v>
      </c>
      <c r="R307" s="49" t="str">
        <f ca="1">IFERROR(__xludf.DUMMYFUNCTION("QUERY('Volunteer Survey'!K316)"),"Clinical Actionability")</f>
        <v>Clinical Actionability</v>
      </c>
      <c r="S307" s="49" t="str">
        <f ca="1">IFERROR(__xludf.DUMMYFUNCTION("QUERY('Volunteer Survey'!L316)"),"Dosage Sensitivity")</f>
        <v>Dosage Sensitivity</v>
      </c>
      <c r="T307" s="49" t="str">
        <f ca="1">IFERROR(__xludf.DUMMYFUNCTION("QUERY('Volunteer Survey'!M316)"),"Somatic Cancer")</f>
        <v>Somatic Cancer</v>
      </c>
      <c r="U307" s="58" t="str">
        <f ca="1">IFERROR(__xludf.DUMMYFUNCTION("QUERY('Volunteer Survey'!N316)"),"")</f>
        <v/>
      </c>
      <c r="V307" s="49" t="str">
        <f ca="1">IFERROR(__xludf.DUMMYFUNCTION("QUERY('Volunteer Survey'!O316)"),"No")</f>
        <v>No</v>
      </c>
      <c r="W307" s="60" t="str">
        <f ca="1">IFERROR(__xludf.DUMMYFUNCTION("QUERY('Volunteer Survey'!P316)"),"Familial Hypercholesterolemia Variant Curation Expert Panel")</f>
        <v>Familial Hypercholesterolemia Variant Curation Expert Panel</v>
      </c>
      <c r="X307" s="58" t="str">
        <f ca="1">IFERROR(__xludf.DUMMYFUNCTION("QUERY('Volunteer Survey'!R316)"),"No - I am only interested in the group(s) I previously indicated")</f>
        <v>No - I am only interested in the group(s) I previously indicated</v>
      </c>
      <c r="Y307" s="47"/>
      <c r="Z307" s="174">
        <f ca="1">IFERROR(__xludf.DUMMYFUNCTION("QUERY('Volunteer Survey'!A306)"),43720.9022698495)</f>
        <v>43720.902269849503</v>
      </c>
      <c r="AA307" s="175" t="str">
        <f ca="1">IFERROR(__xludf.DUMMYFUNCTION("QUERY('Volunteer Survey'!B306)"),"Brandon Chalazan")</f>
        <v>Brandon Chalazan</v>
      </c>
      <c r="AB307" s="175" t="str">
        <f ca="1">IFERROR(__xludf.DUMMYFUNCTION("QUERY('Volunteer Survey'!C306)"),"University of British Columbia")</f>
        <v>University of British Columbia</v>
      </c>
      <c r="AC307" s="175" t="str">
        <f ca="1">IFERROR(__xludf.DUMMYFUNCTION("QUERY('Volunteer Survey'!D306)"),"Apartment 3009
939 Homer Street
Vancouver, BC, CAN
V6B2W6")</f>
        <v>Apartment 3009
939 Homer Street
Vancouver, BC, CAN
V6B2W6</v>
      </c>
      <c r="AD307" s="175" t="str">
        <f ca="1">IFERROR(__xludf.DUMMYFUNCTION("QUERY('Volunteer Survey'!E306)"),"brandon.chalazan@cw.bc.ca")</f>
        <v>brandon.chalazan@cw.bc.ca</v>
      </c>
      <c r="AE307" s="175" t="str">
        <f ca="1">IFERROR(__xludf.DUMMYFUNCTION("QUERY('Volunteer Survey'!F306)"),"Post Doc/Resident/Fellow (MD and/or PhD)")</f>
        <v>Post Doc/Resident/Fellow (MD and/or PhD)</v>
      </c>
      <c r="AF307" s="175" t="str">
        <f ca="1">IFERROR(__xludf.DUMMYFUNCTION("QUERY('Volunteer Survey'!G306)"),"Colleagues")</f>
        <v>Colleagues</v>
      </c>
      <c r="AG307" s="175" t="str">
        <f ca="1">IFERROR(__xludf.DUMMYFUNCTION("QUERY('Volunteer Survey'!H306)"),"Comprehensive")</f>
        <v>Comprehensive</v>
      </c>
      <c r="AH307" s="175" t="str">
        <f ca="1">IFERROR(__xludf.DUMMYFUNCTION("QUERY('Volunteer Survey'!I306)"),"Variant Pathogenicity")</f>
        <v>Variant Pathogenicity</v>
      </c>
      <c r="AI307" s="175" t="str">
        <f ca="1">IFERROR(__xludf.DUMMYFUNCTION("QUERY('Volunteer Survey'!J306)"),"Dosage Sensitivity")</f>
        <v>Dosage Sensitivity</v>
      </c>
      <c r="AJ307" s="175" t="str">
        <f ca="1">IFERROR(__xludf.DUMMYFUNCTION("QUERY('Volunteer Survey'!K306)"),"Gene-Disease Validity")</f>
        <v>Gene-Disease Validity</v>
      </c>
      <c r="AK307" s="175" t="str">
        <f ca="1">IFERROR(__xludf.DUMMYFUNCTION("QUERY('Volunteer Survey'!L306)"),"Clinical Actionability")</f>
        <v>Clinical Actionability</v>
      </c>
      <c r="AL307" s="175" t="str">
        <f ca="1">IFERROR(__xludf.DUMMYFUNCTION("QUERY('Volunteer Survey'!M306)"),"")</f>
        <v/>
      </c>
      <c r="AM307" s="175" t="str">
        <f ca="1">IFERROR(__xludf.DUMMYFUNCTION("QUERY('Volunteer Survey'!N306)"),"Yes - I have designed candidate SNP and gene panels, designed specific variant filtering criteria and commonly use ACMG / AMP / ACGS criteria.")</f>
        <v>Yes - I have designed candidate SNP and gene panels, designed specific variant filtering criteria and commonly use ACMG / AMP / ACGS criteria.</v>
      </c>
      <c r="AN307" s="175" t="str">
        <f ca="1">IFERROR(__xludf.DUMMYFUNCTION("QUERY('Volunteer Survey'!O306)"),"Possibly")</f>
        <v>Possibly</v>
      </c>
      <c r="AO307" s="175" t="str">
        <f ca="1">IFERROR(__xludf.DUMMYFUNCTION("QUERY('Volunteer Survey'!P306)"),"All inherited cardiovascular genetic conditions.  However, I want to form a Atrial Fibrillation working expert panel.")</f>
        <v>All inherited cardiovascular genetic conditions.  However, I want to form a Atrial Fibrillation working expert panel.</v>
      </c>
    </row>
    <row r="308" spans="1:41" ht="14">
      <c r="A308" s="44">
        <f ca="1">IFERROR(__xludf.DUMMYFUNCTION("QUERY('Volunteer Survey'!A317)"),43734.386442905)</f>
        <v>43734.386442905001</v>
      </c>
      <c r="B308" s="42" t="s">
        <v>108</v>
      </c>
      <c r="C308" s="47"/>
      <c r="D308" s="49"/>
      <c r="E308" s="49"/>
      <c r="F308" s="42" t="s">
        <v>130</v>
      </c>
      <c r="G308" s="42" t="s">
        <v>202</v>
      </c>
      <c r="H308" s="47"/>
      <c r="I308" s="45" t="s">
        <v>139</v>
      </c>
      <c r="J308" s="49"/>
      <c r="K308" s="49"/>
      <c r="L308" s="49" t="str">
        <f ca="1">IFERROR(__xludf.DUMMYFUNCTION("QUERY('Volunteer Survey'!B317)"),"Alexandra Miller")</f>
        <v>Alexandra Miller</v>
      </c>
      <c r="M308" s="49" t="str">
        <f ca="1">IFERROR(__xludf.DUMMYFUNCTION("QUERY('Volunteer Survey'!E317)"),"miller.alexandra@mayo.edu")</f>
        <v>miller.alexandra@mayo.edu</v>
      </c>
      <c r="N308" s="49" t="str">
        <f ca="1">IFERROR(__xludf.DUMMYFUNCTION("QUERY('Volunteer Survey'!F317)"),"Scientific Researcher")</f>
        <v>Scientific Researcher</v>
      </c>
      <c r="O308" s="42" t="str">
        <f ca="1">IFERROR(__xludf.DUMMYFUNCTION("QUERY('Volunteer Survey'!H317)"),"Baseline")</f>
        <v>Baseline</v>
      </c>
      <c r="P308" s="49" t="str">
        <f ca="1">IFERROR(__xludf.DUMMYFUNCTION("QUERY('Volunteer Survey'!I317)"),"Variant Pathogenicity")</f>
        <v>Variant Pathogenicity</v>
      </c>
      <c r="Q308" s="54" t="str">
        <f ca="1">IFERROR(__xludf.DUMMYFUNCTION("QUERY('Volunteer Survey'!J317)"),"Clinical Actionability")</f>
        <v>Clinical Actionability</v>
      </c>
      <c r="R308" s="49" t="str">
        <f ca="1">IFERROR(__xludf.DUMMYFUNCTION("QUERY('Volunteer Survey'!K317)"),"Gene-Disease Validity")</f>
        <v>Gene-Disease Validity</v>
      </c>
      <c r="S308" s="49" t="str">
        <f ca="1">IFERROR(__xludf.DUMMYFUNCTION("QUERY('Volunteer Survey'!L317)"),"Dosage Sensitivity")</f>
        <v>Dosage Sensitivity</v>
      </c>
      <c r="T308" s="49" t="str">
        <f ca="1">IFERROR(__xludf.DUMMYFUNCTION("QUERY('Volunteer Survey'!M317)"),"Somatic Cancer")</f>
        <v>Somatic Cancer</v>
      </c>
      <c r="U308" s="58" t="str">
        <f ca="1">IFERROR(__xludf.DUMMYFUNCTION("QUERY('Volunteer Survey'!N317)"),"")</f>
        <v/>
      </c>
      <c r="V308" s="49" t="str">
        <f ca="1">IFERROR(__xludf.DUMMYFUNCTION("QUERY('Volunteer Survey'!O317)"),"No")</f>
        <v>No</v>
      </c>
      <c r="W308" s="60" t="str">
        <f ca="1">IFERROR(__xludf.DUMMYFUNCTION("QUERY('Volunteer Survey'!P317)"),"FH VCEP")</f>
        <v>FH VCEP</v>
      </c>
      <c r="X308" s="58" t="str">
        <f ca="1">IFERROR(__xludf.DUMMYFUNCTION("QUERY('Volunteer Survey'!R317)"),"No - I am only interested in the group(s) I previously indicated")</f>
        <v>No - I am only interested in the group(s) I previously indicated</v>
      </c>
      <c r="Y308" s="47"/>
      <c r="Z308" s="174">
        <f ca="1">IFERROR(__xludf.DUMMYFUNCTION("QUERY('Volunteer Survey'!A307)"),43721.4084676504)</f>
        <v>43721.408467650399</v>
      </c>
      <c r="AA308" s="175" t="str">
        <f ca="1">IFERROR(__xludf.DUMMYFUNCTION("QUERY('Volunteer Survey'!B307)"),"jean-leon chong")</f>
        <v>jean-leon chong</v>
      </c>
      <c r="AB308" s="175" t="str">
        <f ca="1">IFERROR(__xludf.DUMMYFUNCTION("QUERY('Volunteer Survey'!C307)"),"LabCorp")</f>
        <v>LabCorp</v>
      </c>
      <c r="AC308" s="175" t="str">
        <f ca="1">IFERROR(__xludf.DUMMYFUNCTION("QUERY('Volunteer Survey'!D307)"),"Apt 408, 108 Ephesus Church Rd. Chapel Hill, NC")</f>
        <v>Apt 408, 108 Ephesus Church Rd. Chapel Hill, NC</v>
      </c>
      <c r="AD308" s="175" t="str">
        <f ca="1">IFERROR(__xludf.DUMMYFUNCTION("QUERY('Volunteer Survey'!E307)"),"leon0044@gmail.com")</f>
        <v>leon0044@gmail.com</v>
      </c>
      <c r="AE308" s="175" t="str">
        <f ca="1">IFERROR(__xludf.DUMMYFUNCTION("QUERY('Volunteer Survey'!F307)"),"biochemical genetics lab director")</f>
        <v>biochemical genetics lab director</v>
      </c>
      <c r="AF308" s="175" t="str">
        <f ca="1">IFERROR(__xludf.DUMMYFUNCTION("QUERY('Volunteer Survey'!G307)"),"The clinicalgenome.org website")</f>
        <v>The clinicalgenome.org website</v>
      </c>
      <c r="AG308" s="175" t="str">
        <f ca="1">IFERROR(__xludf.DUMMYFUNCTION("QUERY('Volunteer Survey'!H307)"),"Comprehensive")</f>
        <v>Comprehensive</v>
      </c>
      <c r="AH308" s="175" t="str">
        <f ca="1">IFERROR(__xludf.DUMMYFUNCTION("QUERY('Volunteer Survey'!I307)"),"Variant Pathogenicity")</f>
        <v>Variant Pathogenicity</v>
      </c>
      <c r="AI308" s="175" t="str">
        <f ca="1">IFERROR(__xludf.DUMMYFUNCTION("QUERY('Volunteer Survey'!J307)"),"Gene-Disease Validity")</f>
        <v>Gene-Disease Validity</v>
      </c>
      <c r="AJ308" s="175" t="str">
        <f ca="1">IFERROR(__xludf.DUMMYFUNCTION("QUERY('Volunteer Survey'!K307)"),"")</f>
        <v/>
      </c>
      <c r="AK308" s="175" t="str">
        <f ca="1">IFERROR(__xludf.DUMMYFUNCTION("QUERY('Volunteer Survey'!L307)"),"")</f>
        <v/>
      </c>
      <c r="AL308" s="175" t="str">
        <f ca="1">IFERROR(__xludf.DUMMYFUNCTION("QUERY('Volunteer Survey'!M307)"),"")</f>
        <v/>
      </c>
      <c r="AM308" s="175" t="str">
        <f ca="1">IFERROR(__xludf.DUMMYFUNCTION("QUERY('Volunteer Survey'!N307)"),"some experience during fellowship training ")</f>
        <v xml:space="preserve">some experience during fellowship training </v>
      </c>
      <c r="AN308" s="175" t="str">
        <f ca="1">IFERROR(__xludf.DUMMYFUNCTION("QUERY('Volunteer Survey'!O307)"),"Possibly")</f>
        <v>Possibly</v>
      </c>
      <c r="AO308" s="175" t="str">
        <f ca="1">IFERROR(__xludf.DUMMYFUNCTION("QUERY('Volunteer Survey'!P307)"),"")</f>
        <v/>
      </c>
    </row>
    <row r="309" spans="1:41" ht="14">
      <c r="A309" s="44">
        <f ca="1">IFERROR(__xludf.DUMMYFUNCTION("QUERY('Volunteer Survey'!A318)"),43735.7369703124)</f>
        <v>43735.736970312399</v>
      </c>
      <c r="B309" s="42" t="s">
        <v>322</v>
      </c>
      <c r="C309" s="47"/>
      <c r="D309" s="49"/>
      <c r="E309" s="49"/>
      <c r="F309" s="42" t="s">
        <v>130</v>
      </c>
      <c r="G309" s="42" t="s">
        <v>136</v>
      </c>
      <c r="H309" s="47"/>
      <c r="I309" s="47"/>
      <c r="J309" s="49"/>
      <c r="K309" s="49"/>
      <c r="L309" s="49" t="str">
        <f ca="1">IFERROR(__xludf.DUMMYFUNCTION("QUERY('Volunteer Survey'!B318)"),"Zonggao Shi")</f>
        <v>Zonggao Shi</v>
      </c>
      <c r="M309" s="49" t="str">
        <f ca="1">IFERROR(__xludf.DUMMYFUNCTION("QUERY('Volunteer Survey'!E318)"),"zshi1@stjude.org")</f>
        <v>zshi1@stjude.org</v>
      </c>
      <c r="N309" s="49" t="str">
        <f ca="1">IFERROR(__xludf.DUMMYFUNCTION("QUERY('Volunteer Survey'!F318)"),"Variant Analyst/Scientist - Academic")</f>
        <v>Variant Analyst/Scientist - Academic</v>
      </c>
      <c r="O309" s="42" t="str">
        <f ca="1">IFERROR(__xludf.DUMMYFUNCTION("QUERY('Volunteer Survey'!H318)"),"Comprehensive")</f>
        <v>Comprehensive</v>
      </c>
      <c r="P309" s="49" t="str">
        <f ca="1">IFERROR(__xludf.DUMMYFUNCTION("QUERY('Volunteer Survey'!I318)"),"Somatic Cancer")</f>
        <v>Somatic Cancer</v>
      </c>
      <c r="Q309" s="54" t="str">
        <f ca="1">IFERROR(__xludf.DUMMYFUNCTION("QUERY('Volunteer Survey'!J318)"),"Variant Pathogenicity")</f>
        <v>Variant Pathogenicity</v>
      </c>
      <c r="R309" s="49" t="str">
        <f ca="1">IFERROR(__xludf.DUMMYFUNCTION("QUERY('Volunteer Survey'!K318)"),"Clinical Actionability")</f>
        <v>Clinical Actionability</v>
      </c>
      <c r="S309" s="49" t="str">
        <f ca="1">IFERROR(__xludf.DUMMYFUNCTION("QUERY('Volunteer Survey'!L318)"),"Gene-Disease Validity")</f>
        <v>Gene-Disease Validity</v>
      </c>
      <c r="T309" s="49" t="str">
        <f ca="1">IFERROR(__xludf.DUMMYFUNCTION("QUERY('Volunteer Survey'!M318)"),"Dosage Sensitivity")</f>
        <v>Dosage Sensitivity</v>
      </c>
      <c r="U309" s="58" t="str">
        <f ca="1">IFERROR(__xludf.DUMMYFUNCTION("QUERY('Volunteer Survey'!N318)"),"Yes, currently working as an analyst for the manual review of variants and a member of our somatic cancer variant pathogenicity committee in St Jude Children's Clinical Genomics Team. ")</f>
        <v xml:space="preserve">Yes, currently working as an analyst for the manual review of variants and a member of our somatic cancer variant pathogenicity committee in St Jude Children's Clinical Genomics Team. </v>
      </c>
      <c r="V309" s="49" t="str">
        <f ca="1">IFERROR(__xludf.DUMMYFUNCTION("QUERY('Volunteer Survey'!O318)"),"Possibly")</f>
        <v>Possibly</v>
      </c>
      <c r="W309" s="60" t="str">
        <f ca="1">IFERROR(__xludf.DUMMYFUNCTION("QUERY('Volunteer Survey'!P318)"),"Yes, Somatic Cancer Pediatric Taskforce would be a good match")</f>
        <v>Yes, Somatic Cancer Pediatric Taskforce would be a good match</v>
      </c>
      <c r="X309" s="58" t="str">
        <f ca="1">IFERROR(__xludf.DUMMYFUNCTION("QUERY('Volunteer Survey'!R318)"),"Yes- I am willing to volunteer with any available ClinGen group")</f>
        <v>Yes- I am willing to volunteer with any available ClinGen group</v>
      </c>
      <c r="Y309" s="47"/>
      <c r="Z309" s="174">
        <f ca="1">IFERROR(__xludf.DUMMYFUNCTION("QUERY('Volunteer Survey'!A308)"),43721.6622042361)</f>
        <v>43721.662204236098</v>
      </c>
      <c r="AA309" s="175" t="str">
        <f ca="1">IFERROR(__xludf.DUMMYFUNCTION("QUERY('Volunteer Survey'!B308)"),"Terra Brannan")</f>
        <v>Terra Brannan</v>
      </c>
      <c r="AB309" s="175" t="str">
        <f ca="1">IFERROR(__xludf.DUMMYFUNCTION("QUERY('Volunteer Survey'!C308)"),"Ambry Genetics")</f>
        <v>Ambry Genetics</v>
      </c>
      <c r="AC309" s="175" t="str">
        <f ca="1">IFERROR(__xludf.DUMMYFUNCTION("QUERY('Volunteer Survey'!D308)"),"15 Argonaut, Aliso Viejo, CA 92656")</f>
        <v>15 Argonaut, Aliso Viejo, CA 92656</v>
      </c>
      <c r="AD309" s="175" t="str">
        <f ca="1">IFERROR(__xludf.DUMMYFUNCTION("QUERY('Volunteer Survey'!E308)"),"tbrannan@ambrygen.com")</f>
        <v>tbrannan@ambrygen.com</v>
      </c>
      <c r="AE309" s="175" t="str">
        <f ca="1">IFERROR(__xludf.DUMMYFUNCTION("QUERY('Volunteer Survey'!F308)"),"Variant Analyst/Scientist - Industry")</f>
        <v>Variant Analyst/Scientist - Industry</v>
      </c>
      <c r="AF309" s="175" t="str">
        <f ca="1">IFERROR(__xludf.DUMMYFUNCTION("QUERY('Volunteer Survey'!G308)"),"Colleagues")</f>
        <v>Colleagues</v>
      </c>
      <c r="AG309" s="175" t="str">
        <f ca="1">IFERROR(__xludf.DUMMYFUNCTION("QUERY('Volunteer Survey'!H308)"),"Comprehensive")</f>
        <v>Comprehensive</v>
      </c>
      <c r="AH309" s="175" t="str">
        <f ca="1">IFERROR(__xludf.DUMMYFUNCTION("QUERY('Volunteer Survey'!I308)"),"Variant Pathogenicity")</f>
        <v>Variant Pathogenicity</v>
      </c>
      <c r="AI309" s="175" t="str">
        <f ca="1">IFERROR(__xludf.DUMMYFUNCTION("QUERY('Volunteer Survey'!J308)"),"")</f>
        <v/>
      </c>
      <c r="AJ309" s="175" t="str">
        <f ca="1">IFERROR(__xludf.DUMMYFUNCTION("QUERY('Volunteer Survey'!K308)"),"")</f>
        <v/>
      </c>
      <c r="AK309" s="175" t="str">
        <f ca="1">IFERROR(__xludf.DUMMYFUNCTION("QUERY('Volunteer Survey'!L308)"),"")</f>
        <v/>
      </c>
      <c r="AL309" s="175" t="str">
        <f ca="1">IFERROR(__xludf.DUMMYFUNCTION("QUERY('Volunteer Survey'!M308)"),"")</f>
        <v/>
      </c>
      <c r="AM309" s="175" t="str">
        <f ca="1">IFERROR(__xludf.DUMMYFUNCTION("QUERY('Volunteer Survey'!N308)"),"Yes, I have been performing variant assessment since December 2018")</f>
        <v>Yes, I have been performing variant assessment since December 2018</v>
      </c>
      <c r="AN309" s="175" t="str">
        <f ca="1">IFERROR(__xludf.DUMMYFUNCTION("QUERY('Volunteer Survey'!O308)"),"No")</f>
        <v>No</v>
      </c>
      <c r="AO309" s="175" t="str">
        <f ca="1">IFERROR(__xludf.DUMMYFUNCTION("QUERY('Volunteer Survey'!P308)"),"CDH1")</f>
        <v>CDH1</v>
      </c>
    </row>
    <row r="310" spans="1:41" ht="14">
      <c r="A310" s="44">
        <f ca="1">IFERROR(__xludf.DUMMYFUNCTION("QUERY('Volunteer Survey'!A319)"),43736.418810243)</f>
        <v>43736.418810242998</v>
      </c>
      <c r="B310" s="42" t="s">
        <v>108</v>
      </c>
      <c r="C310" s="73">
        <v>43819</v>
      </c>
      <c r="D310" s="49"/>
      <c r="E310" s="49"/>
      <c r="F310" s="42" t="s">
        <v>130</v>
      </c>
      <c r="G310" s="42" t="s">
        <v>251</v>
      </c>
      <c r="H310" s="47"/>
      <c r="I310" s="47"/>
      <c r="J310" s="49"/>
      <c r="K310" s="49"/>
      <c r="L310" s="49" t="str">
        <f ca="1">IFERROR(__xludf.DUMMYFUNCTION("QUERY('Volunteer Survey'!B319)"),"Linlin Zhang")</f>
        <v>Linlin Zhang</v>
      </c>
      <c r="M310" s="49" t="str">
        <f ca="1">IFERROR(__xludf.DUMMYFUNCTION("QUERY('Volunteer Survey'!E319)"),"linlinzhang277@gmail.com")</f>
        <v>linlinzhang277@gmail.com</v>
      </c>
      <c r="N310" s="49" t="str">
        <f ca="1">IFERROR(__xludf.DUMMYFUNCTION("QUERY('Volunteer Survey'!F319)"),"Clinical laboratory geneticist")</f>
        <v>Clinical laboratory geneticist</v>
      </c>
      <c r="O310" s="42" t="str">
        <f ca="1">IFERROR(__xludf.DUMMYFUNCTION("QUERY('Volunteer Survey'!H319)"),"Comprehensive")</f>
        <v>Comprehensive</v>
      </c>
      <c r="P310" s="49" t="str">
        <f ca="1">IFERROR(__xludf.DUMMYFUNCTION("QUERY('Volunteer Survey'!I319)"),"Variant Pathogenicity")</f>
        <v>Variant Pathogenicity</v>
      </c>
      <c r="Q310" s="54" t="str">
        <f ca="1">IFERROR(__xludf.DUMMYFUNCTION("QUERY('Volunteer Survey'!J319)"),"Dosage Sensitivity")</f>
        <v>Dosage Sensitivity</v>
      </c>
      <c r="R310" s="49" t="str">
        <f ca="1">IFERROR(__xludf.DUMMYFUNCTION("QUERY('Volunteer Survey'!K319)"),"Gene-Disease Validity")</f>
        <v>Gene-Disease Validity</v>
      </c>
      <c r="S310" s="49" t="str">
        <f ca="1">IFERROR(__xludf.DUMMYFUNCTION("QUERY('Volunteer Survey'!L319)"),"Clinical Actionability")</f>
        <v>Clinical Actionability</v>
      </c>
      <c r="T310" s="49" t="str">
        <f ca="1">IFERROR(__xludf.DUMMYFUNCTION("QUERY('Volunteer Survey'!M319)"),"Somatic Cancer")</f>
        <v>Somatic Cancer</v>
      </c>
      <c r="U310" s="58" t="str">
        <f ca="1">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V310" s="49" t="str">
        <f ca="1">IFERROR(__xludf.DUMMYFUNCTION("QUERY('Volunteer Survey'!O319)"),"Yes")</f>
        <v>Yes</v>
      </c>
      <c r="W310" s="60" t="str">
        <f ca="1">IFERROR(__xludf.DUMMYFUNCTION("QUERY('Volunteer Survey'!P319)"),"Dosage Sensitivity Working Group  or Variant Curation Expert Panels in Phenylketonuria")</f>
        <v>Dosage Sensitivity Working Group  or Variant Curation Expert Panels in Phenylketonuria</v>
      </c>
      <c r="X310" s="58" t="str">
        <f ca="1">IFERROR(__xludf.DUMMYFUNCTION("QUERY('Volunteer Survey'!R319)"),"Yes- I am willing to volunteer with any available ClinGen group")</f>
        <v>Yes- I am willing to volunteer with any available ClinGen group</v>
      </c>
      <c r="Y310" s="47"/>
      <c r="Z310" s="174">
        <f ca="1">IFERROR(__xludf.DUMMYFUNCTION("QUERY('Volunteer Survey'!A309)"),43724.5553965277)</f>
        <v>43724.555396527699</v>
      </c>
      <c r="AA310" s="175" t="str">
        <f ca="1">IFERROR(__xludf.DUMMYFUNCTION("QUERY('Volunteer Survey'!B309)"),"Ankita Patel")</f>
        <v>Ankita Patel</v>
      </c>
      <c r="AB310" s="175" t="str">
        <f ca="1">IFERROR(__xludf.DUMMYFUNCTION("QUERY('Volunteer Survey'!C309)"),"Independent")</f>
        <v>Independent</v>
      </c>
      <c r="AC310" s="175" t="str">
        <f ca="1">IFERROR(__xludf.DUMMYFUNCTION("QUERY('Volunteer Survey'!D309)"),"2222 Long Cove Ct")</f>
        <v>2222 Long Cove Ct</v>
      </c>
      <c r="AD310" s="175" t="str">
        <f ca="1">IFERROR(__xludf.DUMMYFUNCTION("QUERY('Volunteer Survey'!E309)"),"aspatel1@yahoo.com")</f>
        <v>aspatel1@yahoo.com</v>
      </c>
      <c r="AE310" s="175" t="str">
        <f ca="1">IFERROR(__xludf.DUMMYFUNCTION("QUERY('Volunteer Survey'!F309)"),"Independent cytogenetic consultant")</f>
        <v>Independent cytogenetic consultant</v>
      </c>
      <c r="AF310" s="175" t="str">
        <f ca="1">IFERROR(__xludf.DUMMYFUNCTION("QUERY('Volunteer Survey'!G309)"),"The clinicalgenome.org website")</f>
        <v>The clinicalgenome.org website</v>
      </c>
      <c r="AG310" s="175" t="str">
        <f ca="1">IFERROR(__xludf.DUMMYFUNCTION("QUERY('Volunteer Survey'!H309)"),"Comprehensive")</f>
        <v>Comprehensive</v>
      </c>
      <c r="AH310" s="175" t="str">
        <f ca="1">IFERROR(__xludf.DUMMYFUNCTION("QUERY('Volunteer Survey'!I309)"),"Dosage Sensitivity")</f>
        <v>Dosage Sensitivity</v>
      </c>
      <c r="AI310" s="175" t="str">
        <f ca="1">IFERROR(__xludf.DUMMYFUNCTION("QUERY('Volunteer Survey'!J309)"),"Variant Pathogenicity")</f>
        <v>Variant Pathogenicity</v>
      </c>
      <c r="AJ310" s="175" t="str">
        <f ca="1">IFERROR(__xludf.DUMMYFUNCTION("QUERY('Volunteer Survey'!K309)"),"Gene-Disease Validity")</f>
        <v>Gene-Disease Validity</v>
      </c>
      <c r="AK310" s="175" t="str">
        <f ca="1">IFERROR(__xludf.DUMMYFUNCTION("QUERY('Volunteer Survey'!L309)"),"Clinical Actionability")</f>
        <v>Clinical Actionability</v>
      </c>
      <c r="AL310" s="175" t="str">
        <f ca="1">IFERROR(__xludf.DUMMYFUNCTION("QUERY('Volunteer Survey'!M309)"),"Somatic Cancer")</f>
        <v>Somatic Cancer</v>
      </c>
      <c r="AM310" s="175" t="str">
        <f ca="1">IFERROR(__xludf.DUMMYFUNCTION("QUERY('Volunteer Survey'!N309)"),"Part of the CLinGen CNV ")</f>
        <v xml:space="preserve">Part of the CLinGen CNV </v>
      </c>
      <c r="AN310" s="175" t="str">
        <f ca="1">IFERROR(__xludf.DUMMYFUNCTION("QUERY('Volunteer Survey'!O309)"),"Yes")</f>
        <v>Yes</v>
      </c>
      <c r="AO310" s="175" t="str">
        <f ca="1">IFERROR(__xludf.DUMMYFUNCTION("QUERY('Volunteer Survey'!P309)"),"no- can owrk on where there is need")</f>
        <v>no- can owrk on where there is need</v>
      </c>
    </row>
    <row r="311" spans="1:41" ht="14">
      <c r="A311" s="44">
        <f ca="1">IFERROR(__xludf.DUMMYFUNCTION("QUERY('Volunteer Survey'!A320)"),43739.0382272337)</f>
        <v>43739.038227233701</v>
      </c>
      <c r="B311" s="42" t="s">
        <v>108</v>
      </c>
      <c r="C311" s="73">
        <v>43819</v>
      </c>
      <c r="D311" s="49"/>
      <c r="E311" s="49"/>
      <c r="F311" s="42" t="s">
        <v>130</v>
      </c>
      <c r="G311" s="42" t="s">
        <v>251</v>
      </c>
      <c r="H311" s="47"/>
      <c r="I311" s="47"/>
      <c r="J311" s="49"/>
      <c r="K311" s="49"/>
      <c r="L311" s="49" t="str">
        <f ca="1">IFERROR(__xludf.DUMMYFUNCTION("QUERY('Volunteer Survey'!B320)"),"Marco Montes de Oca")</f>
        <v>Marco Montes de Oca</v>
      </c>
      <c r="M311" s="49" t="str">
        <f ca="1">IFERROR(__xludf.DUMMYFUNCTION("QUERY('Volunteer Survey'!E320)"),"montesm@student.unimelb.edu.au")</f>
        <v>montesm@student.unimelb.edu.au</v>
      </c>
      <c r="N311" s="49" t="str">
        <f ca="1">IFERROR(__xludf.DUMMYFUNCTION("QUERY('Volunteer Survey'!F320)"),"Graduate Student")</f>
        <v>Graduate Student</v>
      </c>
      <c r="O311" s="42" t="str">
        <f ca="1">IFERROR(__xludf.DUMMYFUNCTION("QUERY('Volunteer Survey'!H320)"),"Comprehensive")</f>
        <v>Comprehensive</v>
      </c>
      <c r="P311" s="49" t="str">
        <f ca="1">IFERROR(__xludf.DUMMYFUNCTION("QUERY('Volunteer Survey'!I320)"),"Variant Pathogenicity")</f>
        <v>Variant Pathogenicity</v>
      </c>
      <c r="Q311" s="54" t="str">
        <f ca="1">IFERROR(__xludf.DUMMYFUNCTION("QUERY('Volunteer Survey'!J320)"),"Gene-Disease Validity")</f>
        <v>Gene-Disease Validity</v>
      </c>
      <c r="R311" s="49" t="str">
        <f ca="1">IFERROR(__xludf.DUMMYFUNCTION("QUERY('Volunteer Survey'!K320)"),"Dosage Sensitivity")</f>
        <v>Dosage Sensitivity</v>
      </c>
      <c r="S311" s="49" t="str">
        <f ca="1">IFERROR(__xludf.DUMMYFUNCTION("QUERY('Volunteer Survey'!L320)"),"")</f>
        <v/>
      </c>
      <c r="T311" s="49" t="str">
        <f ca="1">IFERROR(__xludf.DUMMYFUNCTION("QUERY('Volunteer Survey'!M320)"),"")</f>
        <v/>
      </c>
      <c r="U311" s="58" t="str">
        <f ca="1">IFERROR(__xludf.DUMMYFUNCTION("QUERY('Volunteer Survey'!N320)"),"")</f>
        <v/>
      </c>
      <c r="V311" s="49" t="str">
        <f ca="1">IFERROR(__xludf.DUMMYFUNCTION("QUERY('Volunteer Survey'!O320)"),"No")</f>
        <v>No</v>
      </c>
      <c r="W311" s="60" t="str">
        <f ca="1">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c r="X311" s="58" t="str">
        <f ca="1">IFERROR(__xludf.DUMMYFUNCTION("QUERY('Volunteer Survey'!R320)"),"Yes- I am willing to volunteer with any available ClinGen group")</f>
        <v>Yes- I am willing to volunteer with any available ClinGen group</v>
      </c>
      <c r="Y311" s="45" t="s">
        <v>1910</v>
      </c>
      <c r="Z311" s="174">
        <f ca="1">IFERROR(__xludf.DUMMYFUNCTION("QUERY('Volunteer Survey'!A310)"),43724.6840868634)</f>
        <v>43724.684086863403</v>
      </c>
      <c r="AA311" s="175" t="str">
        <f ca="1">IFERROR(__xludf.DUMMYFUNCTION("QUERY('Volunteer Survey'!B310)"),"Jordan Stern")</f>
        <v>Jordan Stern</v>
      </c>
      <c r="AB311" s="175" t="str">
        <f ca="1">IFERROR(__xludf.DUMMYFUNCTION("QUERY('Volunteer Survey'!C310)"),"Michigan State University")</f>
        <v>Michigan State University</v>
      </c>
      <c r="AC311" s="175" t="str">
        <f ca="1">IFERROR(__xludf.DUMMYFUNCTION("QUERY('Volunteer Survey'!D310)"),"2838 Crestscene Trl")</f>
        <v>2838 Crestscene Trl</v>
      </c>
      <c r="AD311" s="175" t="str">
        <f ca="1">IFERROR(__xludf.DUMMYFUNCTION("QUERY('Volunteer Survey'!E310)"),"jordanjnstern@gmail.com")</f>
        <v>jordanjnstern@gmail.com</v>
      </c>
      <c r="AE311" s="175" t="str">
        <f ca="1">IFERROR(__xludf.DUMMYFUNCTION("QUERY('Volunteer Survey'!F310)"),"Undergraduate Student")</f>
        <v>Undergraduate Student</v>
      </c>
      <c r="AF311" s="175" t="str">
        <f ca="1">IFERROR(__xludf.DUMMYFUNCTION("QUERY('Volunteer Survey'!G310)"),"Colleagues, The clinicalgenome.org website")</f>
        <v>Colleagues, The clinicalgenome.org website</v>
      </c>
      <c r="AG311" s="175" t="str">
        <f ca="1">IFERROR(__xludf.DUMMYFUNCTION("QUERY('Volunteer Survey'!H310)"),"Comprehensive")</f>
        <v>Comprehensive</v>
      </c>
      <c r="AH311" s="175" t="str">
        <f ca="1">IFERROR(__xludf.DUMMYFUNCTION("QUERY('Volunteer Survey'!I310)"),"Variant Pathogenicity")</f>
        <v>Variant Pathogenicity</v>
      </c>
      <c r="AI311" s="175" t="str">
        <f ca="1">IFERROR(__xludf.DUMMYFUNCTION("QUERY('Volunteer Survey'!J310)"),"Dosage Sensitivity")</f>
        <v>Dosage Sensitivity</v>
      </c>
      <c r="AJ311" s="175" t="str">
        <f ca="1">IFERROR(__xludf.DUMMYFUNCTION("QUERY('Volunteer Survey'!K310)"),"Clinical Actionability")</f>
        <v>Clinical Actionability</v>
      </c>
      <c r="AK311" s="175" t="str">
        <f ca="1">IFERROR(__xludf.DUMMYFUNCTION("QUERY('Volunteer Survey'!L310)"),"Gene-Disease Validity")</f>
        <v>Gene-Disease Validity</v>
      </c>
      <c r="AL311" s="175" t="str">
        <f ca="1">IFERROR(__xludf.DUMMYFUNCTION("QUERY('Volunteer Survey'!M310)"),"Somatic Cancer")</f>
        <v>Somatic Cancer</v>
      </c>
      <c r="AM311" s="175" t="str">
        <f ca="1">IFERROR(__xludf.DUMMYFUNCTION("QUERY('Volunteer Survey'!N310)"),"")</f>
        <v/>
      </c>
      <c r="AN311" s="175" t="str">
        <f ca="1">IFERROR(__xludf.DUMMYFUNCTION("QUERY('Volunteer Survey'!O310)"),"Yes")</f>
        <v>Yes</v>
      </c>
      <c r="AO311" s="175" t="str">
        <f ca="1">IFERROR(__xludf.DUMMYFUNCTION("QUERY('Volunteer Survey'!P310)"),"yes")</f>
        <v>yes</v>
      </c>
    </row>
    <row r="312" spans="1:41" ht="14">
      <c r="A312" s="44">
        <f ca="1">IFERROR(__xludf.DUMMYFUNCTION("QUERY('Volunteer Survey'!A321)"),43739.3803571296)</f>
        <v>43739.380357129601</v>
      </c>
      <c r="B312" s="42" t="s">
        <v>108</v>
      </c>
      <c r="C312" s="47"/>
      <c r="D312" s="49"/>
      <c r="E312" s="49"/>
      <c r="F312" s="42" t="s">
        <v>130</v>
      </c>
      <c r="G312" s="42" t="s">
        <v>202</v>
      </c>
      <c r="H312" s="47"/>
      <c r="I312" s="47"/>
      <c r="J312" s="49"/>
      <c r="K312" s="49"/>
      <c r="L312" s="49" t="str">
        <f ca="1">IFERROR(__xludf.DUMMYFUNCTION("QUERY('Volunteer Survey'!B321)"),"Carolina Bustamante")</f>
        <v>Carolina Bustamante</v>
      </c>
      <c r="M312" s="49" t="str">
        <f ca="1">IFERROR(__xludf.DUMMYFUNCTION("QUERY('Volunteer Survey'!E321)"),"carolina.bustamante@gmail.com")</f>
        <v>carolina.bustamante@gmail.com</v>
      </c>
      <c r="N312" s="49" t="str">
        <f ca="1">IFERROR(__xludf.DUMMYFUNCTION("QUERY('Volunteer Survey'!F321)"),"Clinical laboratory geneticist")</f>
        <v>Clinical laboratory geneticist</v>
      </c>
      <c r="O312" s="42" t="str">
        <f ca="1">IFERROR(__xludf.DUMMYFUNCTION("QUERY('Volunteer Survey'!H321)"),"Baseline")</f>
        <v>Baseline</v>
      </c>
      <c r="P312" s="49" t="str">
        <f ca="1">IFERROR(__xludf.DUMMYFUNCTION("QUERY('Volunteer Survey'!I321)"),"Somatic Cancer")</f>
        <v>Somatic Cancer</v>
      </c>
      <c r="Q312" s="54" t="str">
        <f ca="1">IFERROR(__xludf.DUMMYFUNCTION("QUERY('Volunteer Survey'!J321)"),"Variant Pathogenicity")</f>
        <v>Variant Pathogenicity</v>
      </c>
      <c r="R312" s="49" t="str">
        <f ca="1">IFERROR(__xludf.DUMMYFUNCTION("QUERY('Volunteer Survey'!K321)"),"Clinical Actionability")</f>
        <v>Clinical Actionability</v>
      </c>
      <c r="S312" s="49" t="str">
        <f ca="1">IFERROR(__xludf.DUMMYFUNCTION("QUERY('Volunteer Survey'!L321)"),"Gene-Disease Validity")</f>
        <v>Gene-Disease Validity</v>
      </c>
      <c r="T312" s="49" t="str">
        <f ca="1">IFERROR(__xludf.DUMMYFUNCTION("QUERY('Volunteer Survey'!M321)"),"Dosage Sensitivity")</f>
        <v>Dosage Sensitivity</v>
      </c>
      <c r="U312" s="58" t="str">
        <f ca="1">IFERROR(__xludf.DUMMYFUNCTION("QUERY('Volunteer Survey'!N321)"),"Yes, I work in a clinical laboratory with NGS panels ")</f>
        <v xml:space="preserve">Yes, I work in a clinical laboratory with NGS panels </v>
      </c>
      <c r="V312" s="49" t="str">
        <f ca="1">IFERROR(__xludf.DUMMYFUNCTION("QUERY('Volunteer Survey'!O321)"),"Possibly")</f>
        <v>Possibly</v>
      </c>
      <c r="W312" s="60" t="str">
        <f ca="1">IFERROR(__xludf.DUMMYFUNCTION("QUERY('Volunteer Survey'!P321)"),"Cancer, lung cancer, Hereditary cancer, cardiomyopathy, TP53, colorectal cancer, genitourinary tract cancer")</f>
        <v>Cancer, lung cancer, Hereditary cancer, cardiomyopathy, TP53, colorectal cancer, genitourinary tract cancer</v>
      </c>
      <c r="X312" s="58" t="str">
        <f ca="1">IFERROR(__xludf.DUMMYFUNCTION("QUERY('Volunteer Survey'!R321)"),"Yes- I am willing to volunteer with any available ClinGen group")</f>
        <v>Yes- I am willing to volunteer with any available ClinGen group</v>
      </c>
      <c r="Y312" s="47"/>
      <c r="Z312" s="174">
        <f ca="1">IFERROR(__xludf.DUMMYFUNCTION("QUERY('Volunteer Survey'!A311)"),43725.5943007754)</f>
        <v>43725.594300775403</v>
      </c>
      <c r="AA312" s="175" t="str">
        <f ca="1">IFERROR(__xludf.DUMMYFUNCTION("QUERY('Volunteer Survey'!B311)"),"Chris Darnell")</f>
        <v>Chris Darnell</v>
      </c>
      <c r="AB312" s="175" t="str">
        <f ca="1">IFERROR(__xludf.DUMMYFUNCTION("QUERY('Volunteer Survey'!C311)"),"Bluewater Diagnostic Laboratory")</f>
        <v>Bluewater Diagnostic Laboratory</v>
      </c>
      <c r="AC312" s="175" t="str">
        <f ca="1">IFERROR(__xludf.DUMMYFUNCTION("QUERY('Volunteer Survey'!D311)"),"221 S. Bardstown Road, Mount Washington, KY 40047")</f>
        <v>221 S. Bardstown Road, Mount Washington, KY 40047</v>
      </c>
      <c r="AD312" s="175" t="str">
        <f ca="1">IFERROR(__xludf.DUMMYFUNCTION("QUERY('Volunteer Survey'!E311)"),"chris.darnell@bluewaterdxlab.com")</f>
        <v>chris.darnell@bluewaterdxlab.com</v>
      </c>
      <c r="AE312" s="175" t="str">
        <f ca="1">IFERROR(__xludf.DUMMYFUNCTION("QUERY('Volunteer Survey'!F311)"),"Laboratory Technical Supervisor")</f>
        <v>Laboratory Technical Supervisor</v>
      </c>
      <c r="AF312" s="175" t="str">
        <f ca="1">IFERROR(__xludf.DUMMYFUNCTION("QUERY('Volunteer Survey'!G311)"),"Colleagues, Suggestion from mentor")</f>
        <v>Colleagues, Suggestion from mentor</v>
      </c>
      <c r="AG312" s="175" t="str">
        <f ca="1">IFERROR(__xludf.DUMMYFUNCTION("QUERY('Volunteer Survey'!H311)"),"Baseline")</f>
        <v>Baseline</v>
      </c>
      <c r="AH312" s="175" t="str">
        <f ca="1">IFERROR(__xludf.DUMMYFUNCTION("QUERY('Volunteer Survey'!I311)"),"Gene-Disease Validity")</f>
        <v>Gene-Disease Validity</v>
      </c>
      <c r="AI312" s="175" t="str">
        <f ca="1">IFERROR(__xludf.DUMMYFUNCTION("QUERY('Volunteer Survey'!J311)"),"Variant Pathogenicity")</f>
        <v>Variant Pathogenicity</v>
      </c>
      <c r="AJ312" s="175" t="str">
        <f ca="1">IFERROR(__xludf.DUMMYFUNCTION("QUERY('Volunteer Survey'!K311)"),"Somatic Cancer")</f>
        <v>Somatic Cancer</v>
      </c>
      <c r="AK312" s="175" t="str">
        <f ca="1">IFERROR(__xludf.DUMMYFUNCTION("QUERY('Volunteer Survey'!L311)"),"Dosage Sensitivity")</f>
        <v>Dosage Sensitivity</v>
      </c>
      <c r="AL312" s="175" t="str">
        <f ca="1">IFERROR(__xludf.DUMMYFUNCTION("QUERY('Volunteer Survey'!M311)"),"Clinical Actionability")</f>
        <v>Clinical Actionability</v>
      </c>
      <c r="AM312" s="175" t="str">
        <f ca="1">IFERROR(__xludf.DUMMYFUNCTION("QUERY('Volunteer Survey'!N311)"),"")</f>
        <v/>
      </c>
      <c r="AN312" s="175" t="str">
        <f ca="1">IFERROR(__xludf.DUMMYFUNCTION("QUERY('Volunteer Survey'!O311)"),"Yes")</f>
        <v>Yes</v>
      </c>
      <c r="AO312" s="175" t="str">
        <f ca="1">IFERROR(__xludf.DUMMYFUNCTION("QUERY('Volunteer Survey'!P311)"),"")</f>
        <v/>
      </c>
    </row>
    <row r="313" spans="1:41" ht="14">
      <c r="A313" s="44">
        <f ca="1">IFERROR(__xludf.DUMMYFUNCTION("QUERY('Volunteer Survey'!A322)"),43739.4634738541)</f>
        <v>43739.463473854099</v>
      </c>
      <c r="B313" s="42" t="s">
        <v>108</v>
      </c>
      <c r="C313" s="47"/>
      <c r="D313" s="49"/>
      <c r="E313" s="49"/>
      <c r="F313" s="42" t="s">
        <v>130</v>
      </c>
      <c r="G313" s="42" t="s">
        <v>202</v>
      </c>
      <c r="H313" s="47"/>
      <c r="I313" s="47"/>
      <c r="J313" s="49"/>
      <c r="K313" s="49"/>
      <c r="L313" s="49" t="str">
        <f ca="1">IFERROR(__xludf.DUMMYFUNCTION("QUERY('Volunteer Survey'!B322)"),"Alex Gout")</f>
        <v>Alex Gout</v>
      </c>
      <c r="M313" s="49" t="str">
        <f ca="1">IFERROR(__xludf.DUMMYFUNCTION("QUERY('Volunteer Survey'!E322)"),"alex.gout@stjude.org")</f>
        <v>alex.gout@stjude.org</v>
      </c>
      <c r="N313" s="49" t="str">
        <f ca="1">IFERROR(__xludf.DUMMYFUNCTION("QUERY('Volunteer Survey'!F322)"),"Scientific Researcher")</f>
        <v>Scientific Researcher</v>
      </c>
      <c r="O313" s="42" t="str">
        <f ca="1">IFERROR(__xludf.DUMMYFUNCTION("QUERY('Volunteer Survey'!H322)"),"Baseline")</f>
        <v>Baseline</v>
      </c>
      <c r="P313" s="49" t="str">
        <f ca="1">IFERROR(__xludf.DUMMYFUNCTION("QUERY('Volunteer Survey'!I322)"),"")</f>
        <v/>
      </c>
      <c r="Q313" s="54" t="str">
        <f ca="1">IFERROR(__xludf.DUMMYFUNCTION("QUERY('Volunteer Survey'!J322)"),"")</f>
        <v/>
      </c>
      <c r="R313" s="49" t="str">
        <f ca="1">IFERROR(__xludf.DUMMYFUNCTION("QUERY('Volunteer Survey'!K322)"),"")</f>
        <v/>
      </c>
      <c r="S313" s="49" t="str">
        <f ca="1">IFERROR(__xludf.DUMMYFUNCTION("QUERY('Volunteer Survey'!L322)"),"")</f>
        <v/>
      </c>
      <c r="T313" s="49" t="str">
        <f ca="1">IFERROR(__xludf.DUMMYFUNCTION("QUERY('Volunteer Survey'!M322)"),"")</f>
        <v/>
      </c>
      <c r="U313" s="58" t="str">
        <f ca="1">IFERROR(__xludf.DUMMYFUNCTION("QUERY('Volunteer Survey'!N322)"),"")</f>
        <v/>
      </c>
      <c r="V313" s="49" t="str">
        <f ca="1">IFERROR(__xludf.DUMMYFUNCTION("QUERY('Volunteer Survey'!O322)"),"Possibly")</f>
        <v>Possibly</v>
      </c>
      <c r="W313" s="60" t="str">
        <f ca="1">IFERROR(__xludf.DUMMYFUNCTION("QUERY('Volunteer Survey'!P322)"),"somatic cancer working group - pediatric")</f>
        <v>somatic cancer working group - pediatric</v>
      </c>
      <c r="X313" s="58" t="str">
        <f ca="1">IFERROR(__xludf.DUMMYFUNCTION("QUERY('Volunteer Survey'!R322)"),"Maybe -- please contact me with other options, and I will decide based on what is available")</f>
        <v>Maybe -- please contact me with other options, and I will decide based on what is available</v>
      </c>
      <c r="Y313" s="47"/>
      <c r="Z313" s="174">
        <f ca="1">IFERROR(__xludf.DUMMYFUNCTION("QUERY('Volunteer Survey'!A312)"),43727.8252852314)</f>
        <v>43727.825285231404</v>
      </c>
      <c r="AA313" s="175" t="str">
        <f ca="1">IFERROR(__xludf.DUMMYFUNCTION("QUERY('Volunteer Survey'!B312)"),"Sally Pea ")</f>
        <v xml:space="preserve">Sally Pea </v>
      </c>
      <c r="AB313" s="175" t="str">
        <f ca="1">IFERROR(__xludf.DUMMYFUNCTION("QUERY('Volunteer Survey'!C312)"),"No affiliation ")</f>
        <v xml:space="preserve">No affiliation </v>
      </c>
      <c r="AC313" s="175" t="str">
        <f ca="1">IFERROR(__xludf.DUMMYFUNCTION("QUERY('Volunteer Survey'!D312)"),"8111 Knollview Court ")</f>
        <v xml:space="preserve">8111 Knollview Court </v>
      </c>
      <c r="AD313" s="175" t="str">
        <f ca="1">IFERROR(__xludf.DUMMYFUNCTION("QUERY('Volunteer Survey'!E312)"),"spea@live.com")</f>
        <v>spea@live.com</v>
      </c>
      <c r="AE313" s="175" t="str">
        <f ca="1">IFERROR(__xludf.DUMMYFUNCTION("QUERY('Volunteer Survey'!F312)"),"Citizen Scientist/Patient Advocate")</f>
        <v>Citizen Scientist/Patient Advocate</v>
      </c>
      <c r="AF313" s="175" t="str">
        <f ca="1">IFERROR(__xludf.DUMMYFUNCTION("QUERY('Volunteer Survey'!G312)"),"Received an email")</f>
        <v>Received an email</v>
      </c>
      <c r="AG313" s="175" t="str">
        <f ca="1">IFERROR(__xludf.DUMMYFUNCTION("QUERY('Volunteer Survey'!H312)"),"Comprehensive")</f>
        <v>Comprehensive</v>
      </c>
      <c r="AH313" s="175" t="str">
        <f ca="1">IFERROR(__xludf.DUMMYFUNCTION("QUERY('Volunteer Survey'!I312)"),"Clinical Actionability")</f>
        <v>Clinical Actionability</v>
      </c>
      <c r="AI313" s="175" t="str">
        <f ca="1">IFERROR(__xludf.DUMMYFUNCTION("QUERY('Volunteer Survey'!J312)"),"Gene-Disease Validity")</f>
        <v>Gene-Disease Validity</v>
      </c>
      <c r="AJ313" s="175" t="str">
        <f ca="1">IFERROR(__xludf.DUMMYFUNCTION("QUERY('Volunteer Survey'!K312)"),"Variant Pathogenicity")</f>
        <v>Variant Pathogenicity</v>
      </c>
      <c r="AK313" s="175" t="str">
        <f ca="1">IFERROR(__xludf.DUMMYFUNCTION("QUERY('Volunteer Survey'!L312)"),"Dosage Sensitivity")</f>
        <v>Dosage Sensitivity</v>
      </c>
      <c r="AL313" s="175" t="str">
        <f ca="1">IFERROR(__xludf.DUMMYFUNCTION("QUERY('Volunteer Survey'!M312)"),"Somatic Cancer")</f>
        <v>Somatic Cancer</v>
      </c>
      <c r="AM313" s="175" t="str">
        <f ca="1">IFERROR(__xludf.DUMMYFUNCTION("QUERY('Volunteer Survey'!N312)"),"No")</f>
        <v>No</v>
      </c>
      <c r="AN313" s="175" t="str">
        <f ca="1">IFERROR(__xludf.DUMMYFUNCTION("QUERY('Volunteer Survey'!O312)"),"Yes")</f>
        <v>Yes</v>
      </c>
      <c r="AO313" s="175" t="str">
        <f ca="1">IFERROR(__xludf.DUMMYFUNCTION("QUERY('Volunteer Survey'!P312)"),"Congenital Myopathies or Limb Girdle Dystrophies or anywhere needed")</f>
        <v>Congenital Myopathies or Limb Girdle Dystrophies or anywhere needed</v>
      </c>
    </row>
    <row r="314" spans="1:41" ht="14">
      <c r="A314" s="44">
        <f ca="1">IFERROR(__xludf.DUMMYFUNCTION("QUERY('Volunteer Survey'!A323)"),43742.0541094791)</f>
        <v>43742.054109479097</v>
      </c>
      <c r="B314" s="42" t="s">
        <v>108</v>
      </c>
      <c r="C314" s="47"/>
      <c r="D314" s="49"/>
      <c r="E314" s="49"/>
      <c r="F314" s="42" t="s">
        <v>130</v>
      </c>
      <c r="G314" s="42" t="s">
        <v>202</v>
      </c>
      <c r="H314" s="47"/>
      <c r="I314" s="47"/>
      <c r="J314" s="49"/>
      <c r="K314" s="49"/>
      <c r="L314" s="49" t="str">
        <f ca="1">IFERROR(__xludf.DUMMYFUNCTION("QUERY('Volunteer Survey'!B323)"),"Kim Phuong Tong")</f>
        <v>Kim Phuong Tong</v>
      </c>
      <c r="M314" s="49" t="str">
        <f ca="1">IFERROR(__xludf.DUMMYFUNCTION("QUERY('Volunteer Survey'!E323)"),"ktongpotter@yahoo.com")</f>
        <v>ktongpotter@yahoo.com</v>
      </c>
      <c r="N314" s="49" t="str">
        <f ca="1">IFERROR(__xludf.DUMMYFUNCTION("QUERY('Volunteer Survey'!F323)"),"Citizen Scientist/Patient Advocate")</f>
        <v>Citizen Scientist/Patient Advocate</v>
      </c>
      <c r="O314" s="42" t="str">
        <f ca="1">IFERROR(__xludf.DUMMYFUNCTION("QUERY('Volunteer Survey'!H323)"),"Baseline")</f>
        <v>Baseline</v>
      </c>
      <c r="P314" s="49" t="str">
        <f ca="1">IFERROR(__xludf.DUMMYFUNCTION("QUERY('Volunteer Survey'!I323)"),"Gene-Disease Validity")</f>
        <v>Gene-Disease Validity</v>
      </c>
      <c r="Q314" s="54" t="str">
        <f ca="1">IFERROR(__xludf.DUMMYFUNCTION("QUERY('Volunteer Survey'!J323)"),"Clinical Actionability")</f>
        <v>Clinical Actionability</v>
      </c>
      <c r="R314" s="49" t="str">
        <f ca="1">IFERROR(__xludf.DUMMYFUNCTION("QUERY('Volunteer Survey'!K323)"),"Variant Pathogenicity")</f>
        <v>Variant Pathogenicity</v>
      </c>
      <c r="S314" s="49" t="str">
        <f ca="1">IFERROR(__xludf.DUMMYFUNCTION("QUERY('Volunteer Survey'!L323)"),"")</f>
        <v/>
      </c>
      <c r="T314" s="49" t="str">
        <f ca="1">IFERROR(__xludf.DUMMYFUNCTION("QUERY('Volunteer Survey'!M323)"),"")</f>
        <v/>
      </c>
      <c r="U314" s="58" t="str">
        <f ca="1">IFERROR(__xludf.DUMMYFUNCTION("QUERY('Volunteer Survey'!N323)"),"")</f>
        <v/>
      </c>
      <c r="V314" s="49" t="str">
        <f ca="1">IFERROR(__xludf.DUMMYFUNCTION("QUERY('Volunteer Survey'!O323)"),"Possibly")</f>
        <v>Possibly</v>
      </c>
      <c r="W314" s="60" t="str">
        <f ca="1">IFERROR(__xludf.DUMMYFUNCTION("QUERY('Volunteer Survey'!P323)"),"")</f>
        <v/>
      </c>
      <c r="X314" s="58" t="str">
        <f ca="1">IFERROR(__xludf.DUMMYFUNCTION("QUERY('Volunteer Survey'!R323)"),"Maybe -- please contact me with other options, and I will decide based on what is available")</f>
        <v>Maybe -- please contact me with other options, and I will decide based on what is available</v>
      </c>
      <c r="Y314" s="47"/>
      <c r="Z314" s="174">
        <f ca="1">IFERROR(__xludf.DUMMYFUNCTION("QUERY('Volunteer Survey'!A313)"),43727.9494733217)</f>
        <v>43727.9494733217</v>
      </c>
      <c r="AA314" s="175" t="str">
        <f ca="1">IFERROR(__xludf.DUMMYFUNCTION("QUERY('Volunteer Survey'!B313)"),"Sali Farhan")</f>
        <v>Sali Farhan</v>
      </c>
      <c r="AB314" s="175" t="str">
        <f ca="1">IFERROR(__xludf.DUMMYFUNCTION("QUERY('Volunteer Survey'!C313)"),"Massachusetts General Hospital/Broad Institute")</f>
        <v>Massachusetts General Hospital/Broad Institute</v>
      </c>
      <c r="AC314" s="175" t="str">
        <f ca="1">IFERROR(__xludf.DUMMYFUNCTION("QUERY('Volunteer Survey'!D313)"),"")</f>
        <v/>
      </c>
      <c r="AD314" s="175" t="str">
        <f ca="1">IFERROR(__xludf.DUMMYFUNCTION("QUERY('Volunteer Survey'!E313)"),"sfarhan@broadinstitute.org")</f>
        <v>sfarhan@broadinstitute.org</v>
      </c>
      <c r="AE314" s="175" t="str">
        <f ca="1">IFERROR(__xludf.DUMMYFUNCTION("QUERY('Volunteer Survey'!F313)"),"Post Doc/Resident/Fellow (MD and/or PhD)")</f>
        <v>Post Doc/Resident/Fellow (MD and/or PhD)</v>
      </c>
      <c r="AF314" s="175" t="str">
        <f ca="1">IFERROR(__xludf.DUMMYFUNCTION("QUERY('Volunteer Survey'!G313)"),"Networking, Heidi Rehm")</f>
        <v>Networking, Heidi Rehm</v>
      </c>
      <c r="AG314" s="175" t="str">
        <f ca="1">IFERROR(__xludf.DUMMYFUNCTION("QUERY('Volunteer Survey'!H313)"),"Comprehensive")</f>
        <v>Comprehensive</v>
      </c>
      <c r="AH314" s="175" t="str">
        <f ca="1">IFERROR(__xludf.DUMMYFUNCTION("QUERY('Volunteer Survey'!I313)"),"Gene-Disease Validity")</f>
        <v>Gene-Disease Validity</v>
      </c>
      <c r="AI314" s="175" t="str">
        <f ca="1">IFERROR(__xludf.DUMMYFUNCTION("QUERY('Volunteer Survey'!J313)"),"Variant Pathogenicity")</f>
        <v>Variant Pathogenicity</v>
      </c>
      <c r="AJ314" s="175" t="str">
        <f ca="1">IFERROR(__xludf.DUMMYFUNCTION("QUERY('Volunteer Survey'!K313)"),"Clinical Actionability")</f>
        <v>Clinical Actionability</v>
      </c>
      <c r="AK314" s="175" t="str">
        <f ca="1">IFERROR(__xludf.DUMMYFUNCTION("QUERY('Volunteer Survey'!L313)"),"Dosage Sensitivity")</f>
        <v>Dosage Sensitivity</v>
      </c>
      <c r="AL314" s="175" t="str">
        <f ca="1">IFERROR(__xludf.DUMMYFUNCTION("QUERY('Volunteer Survey'!M313)"),"Somatic Cancer")</f>
        <v>Somatic Cancer</v>
      </c>
      <c r="AM314" s="175" t="str">
        <f ca="1">IFERROR(__xludf.DUMMYFUNCTION("QUERY('Volunteer Survey'!N313)"),"")</f>
        <v/>
      </c>
      <c r="AN314" s="175" t="str">
        <f ca="1">IFERROR(__xludf.DUMMYFUNCTION("QUERY('Volunteer Survey'!O313)"),"No")</f>
        <v>No</v>
      </c>
      <c r="AO314" s="175" t="str">
        <f ca="1">IFERROR(__xludf.DUMMYFUNCTION("QUERY('Volunteer Survey'!P313)"),"")</f>
        <v/>
      </c>
    </row>
    <row r="315" spans="1:41" ht="14">
      <c r="A315" s="44">
        <f ca="1">IFERROR(__xludf.DUMMYFUNCTION("QUERY('Volunteer Survey'!A324)"),43742.6688535069)</f>
        <v>43742.668853506897</v>
      </c>
      <c r="B315" s="42" t="s">
        <v>108</v>
      </c>
      <c r="C315" s="73">
        <v>43819</v>
      </c>
      <c r="D315" s="49"/>
      <c r="E315" s="49"/>
      <c r="F315" s="42" t="s">
        <v>130</v>
      </c>
      <c r="G315" s="42" t="s">
        <v>251</v>
      </c>
      <c r="H315" s="47"/>
      <c r="I315" s="47"/>
      <c r="J315" s="49"/>
      <c r="K315" s="49"/>
      <c r="L315" s="49" t="str">
        <f ca="1">IFERROR(__xludf.DUMMYFUNCTION("QUERY('Volunteer Survey'!B324)"),"Heather Harris")</f>
        <v>Heather Harris</v>
      </c>
      <c r="M315" s="49" t="str">
        <f ca="1">IFERROR(__xludf.DUMMYFUNCTION("QUERY('Volunteer Survey'!E324)"),"heatherkharris1@gmail.com")</f>
        <v>heatherkharris1@gmail.com</v>
      </c>
      <c r="N315" s="49" t="str">
        <f ca="1">IFERROR(__xludf.DUMMYFUNCTION("QUERY('Volunteer Survey'!F324)"),"Genetic counselor")</f>
        <v>Genetic counselor</v>
      </c>
      <c r="O315" s="42" t="str">
        <f ca="1">IFERROR(__xludf.DUMMYFUNCTION("QUERY('Volunteer Survey'!H324)"),"Comprehensive")</f>
        <v>Comprehensive</v>
      </c>
      <c r="P315" s="49" t="str">
        <f ca="1">IFERROR(__xludf.DUMMYFUNCTION("QUERY('Volunteer Survey'!I324)"),"Variant Pathogenicity")</f>
        <v>Variant Pathogenicity</v>
      </c>
      <c r="Q315" s="54" t="str">
        <f ca="1">IFERROR(__xludf.DUMMYFUNCTION("QUERY('Volunteer Survey'!J324)"),"Clinical Actionability")</f>
        <v>Clinical Actionability</v>
      </c>
      <c r="R315" s="49" t="str">
        <f ca="1">IFERROR(__xludf.DUMMYFUNCTION("QUERY('Volunteer Survey'!K324)"),"Gene-Disease Validity")</f>
        <v>Gene-Disease Validity</v>
      </c>
      <c r="S315" s="49" t="str">
        <f ca="1">IFERROR(__xludf.DUMMYFUNCTION("QUERY('Volunteer Survey'!L324)"),"Somatic Cancer")</f>
        <v>Somatic Cancer</v>
      </c>
      <c r="T315" s="49" t="str">
        <f ca="1">IFERROR(__xludf.DUMMYFUNCTION("QUERY('Volunteer Survey'!M324)"),"Dosage Sensitivity")</f>
        <v>Dosage Sensitivity</v>
      </c>
      <c r="U315" s="58" t="str">
        <f ca="1">IFERROR(__xludf.DUMMYFUNCTION("QUERY('Volunteer Survey'!N324)"),"Limited experience with creating variant descriptions for lab report writing. ")</f>
        <v xml:space="preserve">Limited experience with creating variant descriptions for lab report writing. </v>
      </c>
      <c r="V315" s="49" t="str">
        <f ca="1">IFERROR(__xludf.DUMMYFUNCTION("QUERY('Volunteer Survey'!O324)"),"No")</f>
        <v>No</v>
      </c>
      <c r="W315" s="60" t="str">
        <f ca="1">IFERROR(__xludf.DUMMYFUNCTION("QUERY('Volunteer Survey'!P324)"),"I am open to any opportunity.")</f>
        <v>I am open to any opportunity.</v>
      </c>
      <c r="X315" s="58" t="str">
        <f ca="1">IFERROR(__xludf.DUMMYFUNCTION("QUERY('Volunteer Survey'!R324)"),"")</f>
        <v/>
      </c>
      <c r="Y315" s="47"/>
      <c r="Z315" s="174">
        <f ca="1">IFERROR(__xludf.DUMMYFUNCTION("QUERY('Volunteer Survey'!A314)"),43731.7024725115)</f>
        <v>43731.702472511497</v>
      </c>
      <c r="AA315" s="175" t="str">
        <f ca="1">IFERROR(__xludf.DUMMYFUNCTION("QUERY('Volunteer Survey'!B314)"),"Julie Kim ")</f>
        <v xml:space="preserve">Julie Kim </v>
      </c>
      <c r="AB315" s="175" t="str">
        <f ca="1">IFERROR(__xludf.DUMMYFUNCTION("QUERY('Volunteer Survey'!C314)"),"NHGRI")</f>
        <v>NHGRI</v>
      </c>
      <c r="AC315" s="175" t="str">
        <f ca="1">IFERROR(__xludf.DUMMYFUNCTION("QUERY('Volunteer Survey'!D314)"),"6700B Rockledge Dr. Bethesda, MD 20817")</f>
        <v>6700B Rockledge Dr. Bethesda, MD 20817</v>
      </c>
      <c r="AD315" s="175" t="str">
        <f ca="1">IFERROR(__xludf.DUMMYFUNCTION("QUERY('Volunteer Survey'!E314)"),"serin.kim@nih.gov")</f>
        <v>serin.kim@nih.gov</v>
      </c>
      <c r="AE315" s="175" t="str">
        <f ca="1">IFERROR(__xludf.DUMMYFUNCTION("QUERY('Volunteer Survey'!F314)"),"Scientific Program Analyst at NHGRI")</f>
        <v>Scientific Program Analyst at NHGRI</v>
      </c>
      <c r="AF315" s="175" t="str">
        <f ca="1">IFERROR(__xludf.DUMMYFUNCTION("QUERY('Volunteer Survey'!G314)"),"working as a ClinGen program analyst")</f>
        <v>working as a ClinGen program analyst</v>
      </c>
      <c r="AG315" s="175" t="str">
        <f ca="1">IFERROR(__xludf.DUMMYFUNCTION("QUERY('Volunteer Survey'!H314)"),"Comprehensive")</f>
        <v>Comprehensive</v>
      </c>
      <c r="AH315" s="175" t="str">
        <f ca="1">IFERROR(__xludf.DUMMYFUNCTION("QUERY('Volunteer Survey'!I314)"),"Gene-Disease Validity")</f>
        <v>Gene-Disease Validity</v>
      </c>
      <c r="AI315" s="175" t="str">
        <f ca="1">IFERROR(__xludf.DUMMYFUNCTION("QUERY('Volunteer Survey'!J314)"),"Clinical Actionability")</f>
        <v>Clinical Actionability</v>
      </c>
      <c r="AJ315" s="175" t="str">
        <f ca="1">IFERROR(__xludf.DUMMYFUNCTION("QUERY('Volunteer Survey'!K314)"),"")</f>
        <v/>
      </c>
      <c r="AK315" s="175" t="str">
        <f ca="1">IFERROR(__xludf.DUMMYFUNCTION("QUERY('Volunteer Survey'!L314)"),"")</f>
        <v/>
      </c>
      <c r="AL315" s="175" t="str">
        <f ca="1">IFERROR(__xludf.DUMMYFUNCTION("QUERY('Volunteer Survey'!M314)"),"")</f>
        <v/>
      </c>
      <c r="AM315" s="175" t="str">
        <f ca="1">IFERROR(__xludf.DUMMYFUNCTION("QUERY('Volunteer Survey'!N314)"),"")</f>
        <v/>
      </c>
      <c r="AN315" s="175" t="str">
        <f ca="1">IFERROR(__xludf.DUMMYFUNCTION("QUERY('Volunteer Survey'!O314)"),"No")</f>
        <v>No</v>
      </c>
      <c r="AO315" s="175" t="str">
        <f ca="1">IFERROR(__xludf.DUMMYFUNCTION("QUERY('Volunteer Survey'!P314)"),"Cardiomyopathy, Brain Malformations, hearing loss")</f>
        <v>Cardiomyopathy, Brain Malformations, hearing loss</v>
      </c>
    </row>
    <row r="316" spans="1:41" ht="14">
      <c r="A316" s="44">
        <f ca="1">IFERROR(__xludf.DUMMYFUNCTION("QUERY('Volunteer Survey'!A325)"),43744.7547774074)</f>
        <v>43744.754777407397</v>
      </c>
      <c r="B316" s="42" t="s">
        <v>108</v>
      </c>
      <c r="C316" s="47"/>
      <c r="D316" s="49"/>
      <c r="E316" s="49"/>
      <c r="F316" s="42" t="s">
        <v>130</v>
      </c>
      <c r="G316" s="42" t="s">
        <v>202</v>
      </c>
      <c r="H316" s="47"/>
      <c r="I316" s="47"/>
      <c r="J316" s="49"/>
      <c r="K316" s="49"/>
      <c r="L316" s="49" t="str">
        <f ca="1">IFERROR(__xludf.DUMMYFUNCTION("QUERY('Volunteer Survey'!B325)"),"C. Anwar A. Chahal")</f>
        <v>C. Anwar A. Chahal</v>
      </c>
      <c r="M316" s="49" t="str">
        <f ca="1">IFERROR(__xludf.DUMMYFUNCTION("QUERY('Volunteer Survey'!E325)"),"anwar.chahal@uphs.upenn.edu")</f>
        <v>anwar.chahal@uphs.upenn.edu</v>
      </c>
      <c r="N316" s="49" t="str">
        <f ca="1">IFERROR(__xludf.DUMMYFUNCTION("QUERY('Volunteer Survey'!F325)"),"Clinician Scientist, EP and Inherited CV Diseases, in final year clinical EP Fellowship")</f>
        <v>Clinician Scientist, EP and Inherited CV Diseases, in final year clinical EP Fellowship</v>
      </c>
      <c r="O316" s="42" t="str">
        <f ca="1">IFERROR(__xludf.DUMMYFUNCTION("QUERY('Volunteer Survey'!H325)"),"Baseline")</f>
        <v>Baseline</v>
      </c>
      <c r="P316" s="49" t="str">
        <f ca="1">IFERROR(__xludf.DUMMYFUNCTION("QUERY('Volunteer Survey'!I325)"),"Variant Pathogenicity")</f>
        <v>Variant Pathogenicity</v>
      </c>
      <c r="Q316" s="54" t="str">
        <f ca="1">IFERROR(__xludf.DUMMYFUNCTION("QUERY('Volunteer Survey'!J325)"),"Gene-Disease Validity")</f>
        <v>Gene-Disease Validity</v>
      </c>
      <c r="R316" s="49" t="str">
        <f ca="1">IFERROR(__xludf.DUMMYFUNCTION("QUERY('Volunteer Survey'!K325)"),"Clinical Actionability")</f>
        <v>Clinical Actionability</v>
      </c>
      <c r="S316" s="49" t="str">
        <f ca="1">IFERROR(__xludf.DUMMYFUNCTION("QUERY('Volunteer Survey'!L325)"),"")</f>
        <v/>
      </c>
      <c r="T316" s="49" t="str">
        <f ca="1">IFERROR(__xludf.DUMMYFUNCTION("QUERY('Volunteer Survey'!M325)"),"")</f>
        <v/>
      </c>
      <c r="U316" s="58" t="str">
        <f ca="1">IFERROR(__xludf.DUMMYFUNCTION("QUERY('Volunteer Survey'!N325)"),"Not curation, experience in geneomics (PhD, American Heart Association)")</f>
        <v>Not curation, experience in geneomics (PhD, American Heart Association)</v>
      </c>
      <c r="V316" s="49" t="str">
        <f ca="1">IFERROR(__xludf.DUMMYFUNCTION("QUERY('Volunteer Survey'!O325)"),"Possibly")</f>
        <v>Possibly</v>
      </c>
      <c r="W316" s="60" t="str">
        <f ca="1">IFERROR(__xludf.DUMMYFUNCTION("QUERY('Volunteer Survey'!P325)"),"Congenital myopathies, Cardiomyopathy* (these are my areas of expertise/interest)")</f>
        <v>Congenital myopathies, Cardiomyopathy* (these are my areas of expertise/interest)</v>
      </c>
      <c r="X316" s="58" t="str">
        <f ca="1">IFERROR(__xludf.DUMMYFUNCTION("QUERY('Volunteer Survey'!R325)"),"No - I am only interested in the group(s) I previously indicated")</f>
        <v>No - I am only interested in the group(s) I previously indicated</v>
      </c>
      <c r="Y316" s="47"/>
      <c r="Z316" s="174">
        <f ca="1">IFERROR(__xludf.DUMMYFUNCTION("QUERY('Volunteer Survey'!A315)"),43733.739980405)</f>
        <v>43733.739980405</v>
      </c>
      <c r="AA316" s="175" t="str">
        <f ca="1">IFERROR(__xludf.DUMMYFUNCTION("QUERY('Volunteer Survey'!B315)"),"Jamie Maciaszek")</f>
        <v>Jamie Maciaszek</v>
      </c>
      <c r="AB316" s="175" t="str">
        <f ca="1">IFERROR(__xludf.DUMMYFUNCTION("QUERY('Volunteer Survey'!C315)"),"St. Jude Children's Research Hospital")</f>
        <v>St. Jude Children's Research Hospital</v>
      </c>
      <c r="AC316" s="175" t="str">
        <f ca="1">IFERROR(__xludf.DUMMYFUNCTION("QUERY('Volunteer Survey'!D315)"),"262 Danny Thomas Place, Mail Stop 1170, Memphis, TN 38105")</f>
        <v>262 Danny Thomas Place, Mail Stop 1170, Memphis, TN 38105</v>
      </c>
      <c r="AD316" s="175" t="str">
        <f ca="1">IFERROR(__xludf.DUMMYFUNCTION("QUERY('Volunteer Survey'!E315)"),"jamie.maciaszek@stjude.org")</f>
        <v>jamie.maciaszek@stjude.org</v>
      </c>
      <c r="AE316" s="175" t="str">
        <f ca="1">IFERROR(__xludf.DUMMYFUNCTION("QUERY('Volunteer Survey'!F315)"),"Scientific Researcher")</f>
        <v>Scientific Researcher</v>
      </c>
      <c r="AF316" s="175" t="str">
        <f ca="1">IFERROR(__xludf.DUMMYFUNCTION("QUERY('Volunteer Survey'!G315)"),"Suggestion from mentor, ClinGen affiliated emails and/or newsletters")</f>
        <v>Suggestion from mentor, ClinGen affiliated emails and/or newsletters</v>
      </c>
      <c r="AG316" s="175" t="str">
        <f ca="1">IFERROR(__xludf.DUMMYFUNCTION("QUERY('Volunteer Survey'!H315)"),"Comprehensive")</f>
        <v>Comprehensive</v>
      </c>
      <c r="AH316" s="175" t="str">
        <f ca="1">IFERROR(__xludf.DUMMYFUNCTION("QUERY('Volunteer Survey'!I315)"),"Variant Pathogenicity")</f>
        <v>Variant Pathogenicity</v>
      </c>
      <c r="AI316" s="175" t="str">
        <f ca="1">IFERROR(__xludf.DUMMYFUNCTION("QUERY('Volunteer Survey'!J315)"),"Gene-Disease Validity")</f>
        <v>Gene-Disease Validity</v>
      </c>
      <c r="AJ316" s="175" t="str">
        <f ca="1">IFERROR(__xludf.DUMMYFUNCTION("QUERY('Volunteer Survey'!K315)"),"Somatic Cancer")</f>
        <v>Somatic Cancer</v>
      </c>
      <c r="AK316" s="175" t="str">
        <f ca="1">IFERROR(__xludf.DUMMYFUNCTION("QUERY('Volunteer Survey'!L315)"),"Clinical Actionability")</f>
        <v>Clinical Actionability</v>
      </c>
      <c r="AL316" s="175" t="str">
        <f ca="1">IFERROR(__xludf.DUMMYFUNCTION("QUERY('Volunteer Survey'!M315)"),"Dosage Sensitivity")</f>
        <v>Dosage Sensitivity</v>
      </c>
      <c r="AM316" s="175" t="str">
        <f ca="1">IFERROR(__xludf.DUMMYFUNCTION("QUERY('Volunteer Survey'!N315)"),"working on SJFAMILY study to curate variants in suspected cases of hereditary cancer")</f>
        <v>working on SJFAMILY study to curate variants in suspected cases of hereditary cancer</v>
      </c>
      <c r="AN316" s="175" t="str">
        <f ca="1">IFERROR(__xludf.DUMMYFUNCTION("QUERY('Volunteer Survey'!O315)"),"Possibly")</f>
        <v>Possibly</v>
      </c>
      <c r="AO316" s="175" t="str">
        <f ca="1">IFERROR(__xludf.DUMMYFUNCTION("QUERY('Volunteer Survey'!P315)"),"Myeloid Malignancy, Hereditary Cancer")</f>
        <v>Myeloid Malignancy, Hereditary Cancer</v>
      </c>
    </row>
    <row r="317" spans="1:41" ht="14">
      <c r="A317" s="44">
        <f ca="1">IFERROR(__xludf.DUMMYFUNCTION("QUERY('Volunteer Survey'!A326)"),43745.6517298611)</f>
        <v>43745.6517298611</v>
      </c>
      <c r="B317" s="42" t="s">
        <v>108</v>
      </c>
      <c r="C317" s="73">
        <v>43819</v>
      </c>
      <c r="D317" s="49"/>
      <c r="E317" s="49"/>
      <c r="F317" s="42" t="s">
        <v>130</v>
      </c>
      <c r="G317" s="42" t="s">
        <v>251</v>
      </c>
      <c r="H317" s="47"/>
      <c r="I317" s="47"/>
      <c r="J317" s="49"/>
      <c r="K317" s="49"/>
      <c r="L317" s="49" t="str">
        <f ca="1">IFERROR(__xludf.DUMMYFUNCTION("QUERY('Volunteer Survey'!B326)"),"Kaitlin Lenhart")</f>
        <v>Kaitlin Lenhart</v>
      </c>
      <c r="M317" s="49" t="str">
        <f ca="1">IFERROR(__xludf.DUMMYFUNCTION("QUERY('Volunteer Survey'!E326)"),"kaitlin.lenhart@slh.wisc.edu")</f>
        <v>kaitlin.lenhart@slh.wisc.edu</v>
      </c>
      <c r="N317" s="49" t="str">
        <f ca="1">IFERROR(__xludf.DUMMYFUNCTION("QUERY('Volunteer Survey'!F326)"),"Clinical laboratory geneticist")</f>
        <v>Clinical laboratory geneticist</v>
      </c>
      <c r="O317" s="42" t="str">
        <f ca="1">IFERROR(__xludf.DUMMYFUNCTION("QUERY('Volunteer Survey'!H326)"),"Comprehensive")</f>
        <v>Comprehensive</v>
      </c>
      <c r="P317" s="49" t="str">
        <f ca="1">IFERROR(__xludf.DUMMYFUNCTION("QUERY('Volunteer Survey'!I326)"),"Variant Pathogenicity")</f>
        <v>Variant Pathogenicity</v>
      </c>
      <c r="Q317" s="54" t="str">
        <f ca="1">IFERROR(__xludf.DUMMYFUNCTION("QUERY('Volunteer Survey'!J326)"),"Gene-Disease Validity")</f>
        <v>Gene-Disease Validity</v>
      </c>
      <c r="R317" s="49" t="str">
        <f ca="1">IFERROR(__xludf.DUMMYFUNCTION("QUERY('Volunteer Survey'!K326)"),"Dosage Sensitivity")</f>
        <v>Dosage Sensitivity</v>
      </c>
      <c r="S317" s="49" t="str">
        <f ca="1">IFERROR(__xludf.DUMMYFUNCTION("QUERY('Volunteer Survey'!L326)"),"Clinical Actionability")</f>
        <v>Clinical Actionability</v>
      </c>
      <c r="T317" s="49" t="str">
        <f ca="1">IFERROR(__xludf.DUMMYFUNCTION("QUERY('Volunteer Survey'!M326)"),"")</f>
        <v/>
      </c>
      <c r="U317" s="58" t="str">
        <f ca="1">IFERROR(__xludf.DUMMYFUNCTION("QUERY('Volunteer Survey'!N326)"),"")</f>
        <v/>
      </c>
      <c r="V317" s="49" t="str">
        <f ca="1">IFERROR(__xludf.DUMMYFUNCTION("QUERY('Volunteer Survey'!O326)"),"Possibly")</f>
        <v>Possibly</v>
      </c>
      <c r="W317" s="60" t="str">
        <f ca="1">IFERROR(__xludf.DUMMYFUNCTION("QUERY('Volunteer Survey'!P326)"),"")</f>
        <v/>
      </c>
      <c r="X317" s="58" t="str">
        <f ca="1">IFERROR(__xludf.DUMMYFUNCTION("QUERY('Volunteer Survey'!R326)"),"Maybe -- please contact me with other options, and I will decide based on what is available")</f>
        <v>Maybe -- please contact me with other options, and I will decide based on what is available</v>
      </c>
      <c r="Y317" s="47"/>
      <c r="Z317" s="174">
        <f ca="1">IFERROR(__xludf.DUMMYFUNCTION("QUERY('Volunteer Survey'!A316)"),43734.3440148726)</f>
        <v>43734.3440148726</v>
      </c>
      <c r="AA317" s="175" t="str">
        <f ca="1">IFERROR(__xludf.DUMMYFUNCTION("QUERY('Volunteer Survey'!B316)"),"Olivier Bluteau")</f>
        <v>Olivier Bluteau</v>
      </c>
      <c r="AB317" s="175" t="str">
        <f ca="1">IFERROR(__xludf.DUMMYFUNCTION("QUERY('Volunteer Survey'!C316)"),"APHP")</f>
        <v>APHP</v>
      </c>
      <c r="AC317" s="175" t="str">
        <f ca="1">IFERROR(__xludf.DUMMYFUNCTION("QUERY('Volunteer Survey'!D316)"),"Hôpital Universitaire Pitié Salpêtrière - CGMC. 
Bâtiment de Pharmacie. 
47/83 Bd de L'Hôpital. 
75651 PARIS Cedex 13
FRANCE")</f>
        <v>Hôpital Universitaire Pitié Salpêtrière - CGMC. 
Bâtiment de Pharmacie. 
47/83 Bd de L'Hôpital. 
75651 PARIS Cedex 13
FRANCE</v>
      </c>
      <c r="AD317" s="175" t="str">
        <f ca="1">IFERROR(__xludf.DUMMYFUNCTION("QUERY('Volunteer Survey'!E316)"),"olivier.bluteau@aphp.fr")</f>
        <v>olivier.bluteau@aphp.fr</v>
      </c>
      <c r="AE317" s="175" t="str">
        <f ca="1">IFERROR(__xludf.DUMMYFUNCTION("QUERY('Volunteer Survey'!F316)"),"Variant Analyst/Scientist - Academic")</f>
        <v>Variant Analyst/Scientist - Academic</v>
      </c>
      <c r="AF317" s="175" t="str">
        <f ca="1">IFERROR(__xludf.DUMMYFUNCTION("QUERY('Volunteer Survey'!G316)"),"Colleagues, Suggestion from mentor")</f>
        <v>Colleagues, Suggestion from mentor</v>
      </c>
      <c r="AG317" s="175" t="str">
        <f ca="1">IFERROR(__xludf.DUMMYFUNCTION("QUERY('Volunteer Survey'!H316)"),"Comprehensive")</f>
        <v>Comprehensive</v>
      </c>
      <c r="AH317" s="175" t="str">
        <f ca="1">IFERROR(__xludf.DUMMYFUNCTION("QUERY('Volunteer Survey'!I316)"),"Variant Pathogenicity")</f>
        <v>Variant Pathogenicity</v>
      </c>
      <c r="AI317" s="175" t="str">
        <f ca="1">IFERROR(__xludf.DUMMYFUNCTION("QUERY('Volunteer Survey'!J316)"),"Gene-Disease Validity")</f>
        <v>Gene-Disease Validity</v>
      </c>
      <c r="AJ317" s="175" t="str">
        <f ca="1">IFERROR(__xludf.DUMMYFUNCTION("QUERY('Volunteer Survey'!K316)"),"Clinical Actionability")</f>
        <v>Clinical Actionability</v>
      </c>
      <c r="AK317" s="175" t="str">
        <f ca="1">IFERROR(__xludf.DUMMYFUNCTION("QUERY('Volunteer Survey'!L316)"),"Dosage Sensitivity")</f>
        <v>Dosage Sensitivity</v>
      </c>
      <c r="AL317" s="175" t="str">
        <f ca="1">IFERROR(__xludf.DUMMYFUNCTION("QUERY('Volunteer Survey'!M316)"),"Somatic Cancer")</f>
        <v>Somatic Cancer</v>
      </c>
      <c r="AM317" s="175" t="str">
        <f ca="1">IFERROR(__xludf.DUMMYFUNCTION("QUERY('Volunteer Survey'!N316)"),"")</f>
        <v/>
      </c>
      <c r="AN317" s="175" t="str">
        <f ca="1">IFERROR(__xludf.DUMMYFUNCTION("QUERY('Volunteer Survey'!O316)"),"No")</f>
        <v>No</v>
      </c>
      <c r="AO317" s="175" t="str">
        <f ca="1">IFERROR(__xludf.DUMMYFUNCTION("QUERY('Volunteer Survey'!P316)"),"Familial Hypercholesterolemia Variant Curation Expert Panel")</f>
        <v>Familial Hypercholesterolemia Variant Curation Expert Panel</v>
      </c>
    </row>
    <row r="318" spans="1:41" ht="14">
      <c r="A318" s="44">
        <f ca="1">IFERROR(__xludf.DUMMYFUNCTION("QUERY('Volunteer Survey'!A327)"),43746.8638248263)</f>
        <v>43746.863824826301</v>
      </c>
      <c r="B318" s="42" t="s">
        <v>108</v>
      </c>
      <c r="C318" s="73">
        <v>43819</v>
      </c>
      <c r="D318" s="49"/>
      <c r="E318" s="49"/>
      <c r="F318" s="42" t="s">
        <v>130</v>
      </c>
      <c r="G318" s="42" t="s">
        <v>251</v>
      </c>
      <c r="H318" s="47"/>
      <c r="I318" s="47"/>
      <c r="J318" s="49"/>
      <c r="K318" s="49"/>
      <c r="L318" s="49" t="str">
        <f ca="1">IFERROR(__xludf.DUMMYFUNCTION("QUERY('Volunteer Survey'!B327)"),"YANYI YAO")</f>
        <v>YANYI YAO</v>
      </c>
      <c r="M318" s="49" t="str">
        <f ca="1">IFERROR(__xludf.DUMMYFUNCTION("QUERY('Volunteer Survey'!E327)"),"yaoyanyi@hotmail.com")</f>
        <v>yaoyanyi@hotmail.com</v>
      </c>
      <c r="N318" s="49" t="str">
        <f ca="1">IFERROR(__xludf.DUMMYFUNCTION("QUERY('Volunteer Survey'!F327)"),"Post Doc/Resident/Fellow (MD and/or PhD)")</f>
        <v>Post Doc/Resident/Fellow (MD and/or PhD)</v>
      </c>
      <c r="O318" s="42" t="str">
        <f ca="1">IFERROR(__xludf.DUMMYFUNCTION("QUERY('Volunteer Survey'!H327)"),"Comprehensive")</f>
        <v>Comprehensive</v>
      </c>
      <c r="P318" s="49" t="str">
        <f ca="1">IFERROR(__xludf.DUMMYFUNCTION("QUERY('Volunteer Survey'!I327)"),"Variant Pathogenicity")</f>
        <v>Variant Pathogenicity</v>
      </c>
      <c r="Q318" s="54" t="str">
        <f ca="1">IFERROR(__xludf.DUMMYFUNCTION("QUERY('Volunteer Survey'!J327)"),"Gene-Disease Validity")</f>
        <v>Gene-Disease Validity</v>
      </c>
      <c r="R318" s="49" t="str">
        <f ca="1">IFERROR(__xludf.DUMMYFUNCTION("QUERY('Volunteer Survey'!K327)"),"Dosage Sensitivity")</f>
        <v>Dosage Sensitivity</v>
      </c>
      <c r="S318" s="49" t="str">
        <f ca="1">IFERROR(__xludf.DUMMYFUNCTION("QUERY('Volunteer Survey'!L327)"),"Clinical Actionability")</f>
        <v>Clinical Actionability</v>
      </c>
      <c r="T318" s="49" t="str">
        <f ca="1">IFERROR(__xludf.DUMMYFUNCTION("QUERY('Volunteer Survey'!M327)"),"")</f>
        <v/>
      </c>
      <c r="U318" s="58" t="str">
        <f ca="1">IFERROR(__xludf.DUMMYFUNCTION("QUERY('Volunteer Survey'!N327)"),"I attended Interpreting Genomes for Rare Disease 2019.")</f>
        <v>I attended Interpreting Genomes for Rare Disease 2019.</v>
      </c>
      <c r="V318" s="49" t="str">
        <f ca="1">IFERROR(__xludf.DUMMYFUNCTION("QUERY('Volunteer Survey'!O327)"),"Possibly")</f>
        <v>Possibly</v>
      </c>
      <c r="W318" s="60" t="str">
        <f ca="1">IFERROR(__xludf.DUMMYFUNCTION("QUERY('Volunteer Survey'!P327)"),"Limb Girdle Muscular Dystrophy ")</f>
        <v xml:space="preserve">Limb Girdle Muscular Dystrophy </v>
      </c>
      <c r="X318" s="58" t="str">
        <f ca="1">IFERROR(__xludf.DUMMYFUNCTION("QUERY('Volunteer Survey'!R327)"),"Yes- I am willing to volunteer with any available ClinGen group")</f>
        <v>Yes- I am willing to volunteer with any available ClinGen group</v>
      </c>
      <c r="Y318" s="47"/>
      <c r="Z318" s="174">
        <f ca="1">IFERROR(__xludf.DUMMYFUNCTION("QUERY('Volunteer Survey'!A317)"),43734.386442905)</f>
        <v>43734.386442905001</v>
      </c>
      <c r="AA318" s="175" t="str">
        <f ca="1">IFERROR(__xludf.DUMMYFUNCTION("QUERY('Volunteer Survey'!B317)"),"Alexandra Miller")</f>
        <v>Alexandra Miller</v>
      </c>
      <c r="AB318" s="175" t="str">
        <f ca="1">IFERROR(__xludf.DUMMYFUNCTION("QUERY('Volunteer Survey'!C317)"),"Mayo Clinic")</f>
        <v>Mayo Clinic</v>
      </c>
      <c r="AC318" s="175" t="str">
        <f ca="1">IFERROR(__xludf.DUMMYFUNCTION("QUERY('Volunteer Survey'!D317)"),"")</f>
        <v/>
      </c>
      <c r="AD318" s="175" t="str">
        <f ca="1">IFERROR(__xludf.DUMMYFUNCTION("QUERY('Volunteer Survey'!E317)"),"miller.alexandra@mayo.edu")</f>
        <v>miller.alexandra@mayo.edu</v>
      </c>
      <c r="AE318" s="175" t="str">
        <f ca="1">IFERROR(__xludf.DUMMYFUNCTION("QUERY('Volunteer Survey'!F317)"),"Scientific Researcher")</f>
        <v>Scientific Researcher</v>
      </c>
      <c r="AF318" s="175" t="str">
        <f ca="1">IFERROR(__xludf.DUMMYFUNCTION("QUERY('Volunteer Survey'!G317)"),"Colleagues")</f>
        <v>Colleagues</v>
      </c>
      <c r="AG318" s="175" t="str">
        <f ca="1">IFERROR(__xludf.DUMMYFUNCTION("QUERY('Volunteer Survey'!H317)"),"Baseline")</f>
        <v>Baseline</v>
      </c>
      <c r="AH318" s="175" t="str">
        <f ca="1">IFERROR(__xludf.DUMMYFUNCTION("QUERY('Volunteer Survey'!I317)"),"Variant Pathogenicity")</f>
        <v>Variant Pathogenicity</v>
      </c>
      <c r="AI318" s="175" t="str">
        <f ca="1">IFERROR(__xludf.DUMMYFUNCTION("QUERY('Volunteer Survey'!J317)"),"Clinical Actionability")</f>
        <v>Clinical Actionability</v>
      </c>
      <c r="AJ318" s="175" t="str">
        <f ca="1">IFERROR(__xludf.DUMMYFUNCTION("QUERY('Volunteer Survey'!K317)"),"Gene-Disease Validity")</f>
        <v>Gene-Disease Validity</v>
      </c>
      <c r="AK318" s="175" t="str">
        <f ca="1">IFERROR(__xludf.DUMMYFUNCTION("QUERY('Volunteer Survey'!L317)"),"Dosage Sensitivity")</f>
        <v>Dosage Sensitivity</v>
      </c>
      <c r="AL318" s="175" t="str">
        <f ca="1">IFERROR(__xludf.DUMMYFUNCTION("QUERY('Volunteer Survey'!M317)"),"Somatic Cancer")</f>
        <v>Somatic Cancer</v>
      </c>
      <c r="AM318" s="175" t="str">
        <f ca="1">IFERROR(__xludf.DUMMYFUNCTION("QUERY('Volunteer Survey'!N317)"),"")</f>
        <v/>
      </c>
      <c r="AN318" s="175" t="str">
        <f ca="1">IFERROR(__xludf.DUMMYFUNCTION("QUERY('Volunteer Survey'!O317)"),"No")</f>
        <v>No</v>
      </c>
      <c r="AO318" s="175" t="str">
        <f ca="1">IFERROR(__xludf.DUMMYFUNCTION("QUERY('Volunteer Survey'!P317)"),"FH VCEP")</f>
        <v>FH VCEP</v>
      </c>
    </row>
    <row r="319" spans="1:41" ht="14">
      <c r="A319" s="44">
        <f ca="1">IFERROR(__xludf.DUMMYFUNCTION("QUERY('Volunteer Survey'!A328)"),43747.5422410532)</f>
        <v>43747.542241053197</v>
      </c>
      <c r="B319" s="42" t="s">
        <v>108</v>
      </c>
      <c r="C319" s="73">
        <v>43819</v>
      </c>
      <c r="D319" s="67">
        <v>43846</v>
      </c>
      <c r="E319" s="42" t="s">
        <v>117</v>
      </c>
      <c r="F319" s="42" t="s">
        <v>130</v>
      </c>
      <c r="G319" s="42" t="s">
        <v>122</v>
      </c>
      <c r="H319" s="47"/>
      <c r="I319" s="47"/>
      <c r="J319" s="49"/>
      <c r="K319" s="49"/>
      <c r="L319" s="49" t="str">
        <f ca="1">IFERROR(__xludf.DUMMYFUNCTION("QUERY('Volunteer Survey'!B328)"),"Ikeoluwa Osei-Owusu")</f>
        <v>Ikeoluwa Osei-Owusu</v>
      </c>
      <c r="M319" s="49" t="str">
        <f ca="1">IFERROR(__xludf.DUMMYFUNCTION("QUERY('Volunteer Survey'!E328)"),"ikeoluwa@jhmi.edu")</f>
        <v>ikeoluwa@jhmi.edu</v>
      </c>
      <c r="N319" s="49" t="str">
        <f ca="1">IFERROR(__xludf.DUMMYFUNCTION("QUERY('Volunteer Survey'!F328)"),"Graduate Student")</f>
        <v>Graduate Student</v>
      </c>
      <c r="O319" s="42" t="str">
        <f ca="1">IFERROR(__xludf.DUMMYFUNCTION("QUERY('Volunteer Survey'!H328)"),"Comprehensive")</f>
        <v>Comprehensive</v>
      </c>
      <c r="P319" s="49" t="str">
        <f ca="1">IFERROR(__xludf.DUMMYFUNCTION("QUERY('Volunteer Survey'!I328)"),"Gene-Disease Validity")</f>
        <v>Gene-Disease Validity</v>
      </c>
      <c r="Q319" s="54" t="str">
        <f ca="1">IFERROR(__xludf.DUMMYFUNCTION("QUERY('Volunteer Survey'!J328)"),"Variant Pathogenicity")</f>
        <v>Variant Pathogenicity</v>
      </c>
      <c r="R319" s="49" t="str">
        <f ca="1">IFERROR(__xludf.DUMMYFUNCTION("QUERY('Volunteer Survey'!K328)"),"Dosage Sensitivity")</f>
        <v>Dosage Sensitivity</v>
      </c>
      <c r="S319" s="49" t="str">
        <f ca="1">IFERROR(__xludf.DUMMYFUNCTION("QUERY('Volunteer Survey'!L328)"),"Clinical Actionability")</f>
        <v>Clinical Actionability</v>
      </c>
      <c r="T319" s="49" t="str">
        <f ca="1">IFERROR(__xludf.DUMMYFUNCTION("QUERY('Volunteer Survey'!M328)"),"Somatic Cancer")</f>
        <v>Somatic Cancer</v>
      </c>
      <c r="U319" s="58" t="str">
        <f ca="1">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V319" s="49" t="str">
        <f ca="1">IFERROR(__xludf.DUMMYFUNCTION("QUERY('Volunteer Survey'!O328)"),"Possibly")</f>
        <v>Possibly</v>
      </c>
      <c r="W319" s="60" t="str">
        <f ca="1">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c r="X319" s="58" t="str">
        <f ca="1">IFERROR(__xludf.DUMMYFUNCTION("QUERY('Volunteer Survey'!R328)"),"Maybe -- please contact me with other options, and I will decide based on what is available")</f>
        <v>Maybe -- please contact me with other options, and I will decide based on what is available</v>
      </c>
      <c r="Y319" s="47"/>
      <c r="Z319" s="174">
        <f ca="1">IFERROR(__xludf.DUMMYFUNCTION("QUERY('Volunteer Survey'!A318)"),43735.7369703124)</f>
        <v>43735.736970312399</v>
      </c>
      <c r="AA319" s="175" t="str">
        <f ca="1">IFERROR(__xludf.DUMMYFUNCTION("QUERY('Volunteer Survey'!B318)"),"Zonggao Shi")</f>
        <v>Zonggao Shi</v>
      </c>
      <c r="AB319" s="175" t="str">
        <f ca="1">IFERROR(__xludf.DUMMYFUNCTION("QUERY('Volunteer Survey'!C318)"),"St Jude Children's Research Hospital")</f>
        <v>St Jude Children's Research Hospital</v>
      </c>
      <c r="AC319" s="175" t="str">
        <f ca="1">IFERROR(__xludf.DUMMYFUNCTION("QUERY('Volunteer Survey'!D318)"),"262 Danny Thomas Place, Memphis, TN 38105")</f>
        <v>262 Danny Thomas Place, Memphis, TN 38105</v>
      </c>
      <c r="AD319" s="175" t="str">
        <f ca="1">IFERROR(__xludf.DUMMYFUNCTION("QUERY('Volunteer Survey'!E318)"),"zshi1@stjude.org")</f>
        <v>zshi1@stjude.org</v>
      </c>
      <c r="AE319" s="175" t="str">
        <f ca="1">IFERROR(__xludf.DUMMYFUNCTION("QUERY('Volunteer Survey'!F318)"),"Variant Analyst/Scientist - Academic")</f>
        <v>Variant Analyst/Scientist - Academic</v>
      </c>
      <c r="AF319" s="175" t="str">
        <f ca="1">IFERROR(__xludf.DUMMYFUNCTION("QUERY('Volunteer Survey'!G318)"),"Networking, Colleagues, The clinicalgenome.org website")</f>
        <v>Networking, Colleagues, The clinicalgenome.org website</v>
      </c>
      <c r="AG319" s="175" t="str">
        <f ca="1">IFERROR(__xludf.DUMMYFUNCTION("QUERY('Volunteer Survey'!H318)"),"Comprehensive")</f>
        <v>Comprehensive</v>
      </c>
      <c r="AH319" s="175" t="str">
        <f ca="1">IFERROR(__xludf.DUMMYFUNCTION("QUERY('Volunteer Survey'!I318)"),"Somatic Cancer")</f>
        <v>Somatic Cancer</v>
      </c>
      <c r="AI319" s="175" t="str">
        <f ca="1">IFERROR(__xludf.DUMMYFUNCTION("QUERY('Volunteer Survey'!J318)"),"Variant Pathogenicity")</f>
        <v>Variant Pathogenicity</v>
      </c>
      <c r="AJ319" s="175" t="str">
        <f ca="1">IFERROR(__xludf.DUMMYFUNCTION("QUERY('Volunteer Survey'!K318)"),"Clinical Actionability")</f>
        <v>Clinical Actionability</v>
      </c>
      <c r="AK319" s="175" t="str">
        <f ca="1">IFERROR(__xludf.DUMMYFUNCTION("QUERY('Volunteer Survey'!L318)"),"Gene-Disease Validity")</f>
        <v>Gene-Disease Validity</v>
      </c>
      <c r="AL319" s="175" t="str">
        <f ca="1">IFERROR(__xludf.DUMMYFUNCTION("QUERY('Volunteer Survey'!M318)"),"Dosage Sensitivity")</f>
        <v>Dosage Sensitivity</v>
      </c>
      <c r="AM319" s="175" t="str">
        <f ca="1">IFERROR(__xludf.DUMMYFUNCTION("QUERY('Volunteer Survey'!N318)"),"Yes, currently working as an analyst for the manual review of variants and a member of our somatic cancer variant pathogenicity committee in St Jude Children's Clinical Genomics Team. ")</f>
        <v xml:space="preserve">Yes, currently working as an analyst for the manual review of variants and a member of our somatic cancer variant pathogenicity committee in St Jude Children's Clinical Genomics Team. </v>
      </c>
      <c r="AN319" s="175" t="str">
        <f ca="1">IFERROR(__xludf.DUMMYFUNCTION("QUERY('Volunteer Survey'!O318)"),"Possibly")</f>
        <v>Possibly</v>
      </c>
      <c r="AO319" s="175" t="str">
        <f ca="1">IFERROR(__xludf.DUMMYFUNCTION("QUERY('Volunteer Survey'!P318)"),"Yes, Somatic Cancer Pediatric Taskforce would be a good match")</f>
        <v>Yes, Somatic Cancer Pediatric Taskforce would be a good match</v>
      </c>
    </row>
    <row r="320" spans="1:41" ht="14">
      <c r="A320" s="44">
        <f ca="1">IFERROR(__xludf.DUMMYFUNCTION("QUERY('Volunteer Survey'!A329)"),43749.6818134143)</f>
        <v>43749.681813414303</v>
      </c>
      <c r="B320" s="42" t="s">
        <v>108</v>
      </c>
      <c r="C320" s="73">
        <v>43819</v>
      </c>
      <c r="D320" s="49"/>
      <c r="E320" s="49"/>
      <c r="F320" s="42" t="s">
        <v>130</v>
      </c>
      <c r="G320" s="42" t="s">
        <v>251</v>
      </c>
      <c r="H320" s="47"/>
      <c r="I320" s="47"/>
      <c r="J320" s="49"/>
      <c r="K320" s="49"/>
      <c r="L320" s="49" t="str">
        <f ca="1">IFERROR(__xludf.DUMMYFUNCTION("QUERY('Volunteer Survey'!B329)"),"Daniela Martiniuc")</f>
        <v>Daniela Martiniuc</v>
      </c>
      <c r="M320" s="49" t="str">
        <f ca="1">IFERROR(__xludf.DUMMYFUNCTION("QUERY('Volunteer Survey'!E329)"),"dmartiniuc@ucdavis.edu")</f>
        <v>dmartiniuc@ucdavis.edu</v>
      </c>
      <c r="N320" s="49" t="str">
        <f ca="1">IFERROR(__xludf.DUMMYFUNCTION("QUERY('Volunteer Survey'!F329)"),"Genetic counselor")</f>
        <v>Genetic counselor</v>
      </c>
      <c r="O320" s="42" t="str">
        <f ca="1">IFERROR(__xludf.DUMMYFUNCTION("QUERY('Volunteer Survey'!H329)"),"Comprehensive")</f>
        <v>Comprehensive</v>
      </c>
      <c r="P320" s="49" t="str">
        <f ca="1">IFERROR(__xludf.DUMMYFUNCTION("QUERY('Volunteer Survey'!I329)"),"Variant Pathogenicity")</f>
        <v>Variant Pathogenicity</v>
      </c>
      <c r="Q320" s="54" t="str">
        <f ca="1">IFERROR(__xludf.DUMMYFUNCTION("QUERY('Volunteer Survey'!J329)"),"Clinical Actionability")</f>
        <v>Clinical Actionability</v>
      </c>
      <c r="R320" s="49" t="str">
        <f ca="1">IFERROR(__xludf.DUMMYFUNCTION("QUERY('Volunteer Survey'!K329)"),"Gene-Disease Validity")</f>
        <v>Gene-Disease Validity</v>
      </c>
      <c r="S320" s="49" t="str">
        <f ca="1">IFERROR(__xludf.DUMMYFUNCTION("QUERY('Volunteer Survey'!L329)"),"")</f>
        <v/>
      </c>
      <c r="T320" s="49" t="str">
        <f ca="1">IFERROR(__xludf.DUMMYFUNCTION("QUERY('Volunteer Survey'!M329)"),"")</f>
        <v/>
      </c>
      <c r="U320" s="58" t="str">
        <f ca="1">IFERROR(__xludf.DUMMYFUNCTION("QUERY('Volunteer Survey'!N329)"),"I have no experience with curation")</f>
        <v>I have no experience with curation</v>
      </c>
      <c r="V320" s="49" t="str">
        <f ca="1">IFERROR(__xludf.DUMMYFUNCTION("QUERY('Volunteer Survey'!O329)"),"No")</f>
        <v>No</v>
      </c>
      <c r="W320" s="60" t="str">
        <f ca="1">IFERROR(__xludf.DUMMYFUNCTION("QUERY('Volunteer Survey'!P329)"),"")</f>
        <v/>
      </c>
      <c r="X320" s="58" t="str">
        <f ca="1">IFERROR(__xludf.DUMMYFUNCTION("QUERY('Volunteer Survey'!R329)"),"Maybe -- please contact me with other options, and I will decide based on what is available")</f>
        <v>Maybe -- please contact me with other options, and I will decide based on what is available</v>
      </c>
      <c r="Y320" s="47"/>
      <c r="Z320" s="174">
        <f ca="1">IFERROR(__xludf.DUMMYFUNCTION("QUERY('Volunteer Survey'!A319)"),43736.418810243)</f>
        <v>43736.418810242998</v>
      </c>
      <c r="AA320" s="175" t="str">
        <f ca="1">IFERROR(__xludf.DUMMYFUNCTION("QUERY('Volunteer Survey'!B319)"),"Linlin Zhang")</f>
        <v>Linlin Zhang</v>
      </c>
      <c r="AB320" s="175" t="str">
        <f ca="1">IFERROR(__xludf.DUMMYFUNCTION("QUERY('Volunteer Survey'!C319)"),"The Third Affiliated Hospital of Zhengzhou University")</f>
        <v>The Third Affiliated Hospital of Zhengzhou University</v>
      </c>
      <c r="AC320" s="175" t="str">
        <f ca="1">IFERROR(__xludf.DUMMYFUNCTION("QUERY('Volunteer Survey'!D319)"),"7 Kangfu Qian Street, Zhengzhou, Henan, China")</f>
        <v>7 Kangfu Qian Street, Zhengzhou, Henan, China</v>
      </c>
      <c r="AD320" s="175" t="str">
        <f ca="1">IFERROR(__xludf.DUMMYFUNCTION("QUERY('Volunteer Survey'!E319)"),"linlinzhang277@gmail.com")</f>
        <v>linlinzhang277@gmail.com</v>
      </c>
      <c r="AE320" s="175" t="str">
        <f ca="1">IFERROR(__xludf.DUMMYFUNCTION("QUERY('Volunteer Survey'!F319)"),"Clinical laboratory geneticist")</f>
        <v>Clinical laboratory geneticist</v>
      </c>
      <c r="AF320" s="175" t="str">
        <f ca="1">IFERROR(__xludf.DUMMYFUNCTION("QUERY('Volunteer Survey'!G319)"),"ClinGen conference advertisements (i.e. booth, workshop, presentation), Networking, Colleagues")</f>
        <v>ClinGen conference advertisements (i.e. booth, workshop, presentation), Networking, Colleagues</v>
      </c>
      <c r="AG320" s="175" t="str">
        <f ca="1">IFERROR(__xludf.DUMMYFUNCTION("QUERY('Volunteer Survey'!H319)"),"Comprehensive")</f>
        <v>Comprehensive</v>
      </c>
      <c r="AH320" s="175" t="str">
        <f ca="1">IFERROR(__xludf.DUMMYFUNCTION("QUERY('Volunteer Survey'!I319)"),"Variant Pathogenicity")</f>
        <v>Variant Pathogenicity</v>
      </c>
      <c r="AI320" s="175" t="str">
        <f ca="1">IFERROR(__xludf.DUMMYFUNCTION("QUERY('Volunteer Survey'!J319)"),"Dosage Sensitivity")</f>
        <v>Dosage Sensitivity</v>
      </c>
      <c r="AJ320" s="175" t="str">
        <f ca="1">IFERROR(__xludf.DUMMYFUNCTION("QUERY('Volunteer Survey'!K319)"),"Gene-Disease Validity")</f>
        <v>Gene-Disease Validity</v>
      </c>
      <c r="AK320" s="175" t="str">
        <f ca="1">IFERROR(__xludf.DUMMYFUNCTION("QUERY('Volunteer Survey'!L319)"),"Clinical Actionability")</f>
        <v>Clinical Actionability</v>
      </c>
      <c r="AL320" s="175" t="str">
        <f ca="1">IFERROR(__xludf.DUMMYFUNCTION("QUERY('Volunteer Survey'!M319)"),"Somatic Cancer")</f>
        <v>Somatic Cancer</v>
      </c>
      <c r="AM320" s="175" t="str">
        <f ca="1">IFERROR(__xludf.DUMMYFUNCTION("QUERY('Volunteer Survey'!N319)"),"I am a director of clinical molecular and genetic lab of the Third Affliated Hospital of Zhengzhou University which is the largest maternal and children's hospital of Henan Province serving over 100 million population. I finish more than 30 CMA reports an"&amp;"d  4 variant pathogenic curation everyweek. I have 7 years of work experience in molecular genetic diagnosis, especially in the field of prenatal diagnosis.  Our Lab will finish about 200 Phenylketonuria molecular tests. These patients are from the newbor"&amp;"n screening center of Henan Province.")</f>
        <v>I am a director of clinical molecular and genetic lab of the Third Affliated Hospital of Zhengzhou University which is the largest maternal and children's hospital of Henan Province serving over 100 million population. I finish more than 30 CMA reports and  4 variant pathogenic curation everyweek. I have 7 years of work experience in molecular genetic diagnosis, especially in the field of prenatal diagnosis.  Our Lab will finish about 200 Phenylketonuria molecular tests. These patients are from the newborn screening center of Henan Province.</v>
      </c>
      <c r="AN320" s="175" t="str">
        <f ca="1">IFERROR(__xludf.DUMMYFUNCTION("QUERY('Volunteer Survey'!O319)"),"Yes")</f>
        <v>Yes</v>
      </c>
      <c r="AO320" s="175" t="str">
        <f ca="1">IFERROR(__xludf.DUMMYFUNCTION("QUERY('Volunteer Survey'!P319)"),"Dosage Sensitivity Working Group  or Variant Curation Expert Panels in Phenylketonuria")</f>
        <v>Dosage Sensitivity Working Group  or Variant Curation Expert Panels in Phenylketonuria</v>
      </c>
    </row>
    <row r="321" spans="1:41" ht="14">
      <c r="A321" s="44">
        <f ca="1">IFERROR(__xludf.DUMMYFUNCTION("QUERY('Volunteer Survey'!A330)"),43753.641005324)</f>
        <v>43753.641005324003</v>
      </c>
      <c r="B321" s="42" t="s">
        <v>322</v>
      </c>
      <c r="C321" s="47"/>
      <c r="D321" s="49"/>
      <c r="E321" s="49"/>
      <c r="F321" s="42" t="s">
        <v>130</v>
      </c>
      <c r="G321" s="42" t="s">
        <v>136</v>
      </c>
      <c r="H321" s="47"/>
      <c r="I321" s="47"/>
      <c r="J321" s="49"/>
      <c r="K321" s="49"/>
      <c r="L321" s="49" t="str">
        <f ca="1">IFERROR(__xludf.DUMMYFUNCTION("QUERY('Volunteer Survey'!B330)"),"Emilie Lalonde")</f>
        <v>Emilie Lalonde</v>
      </c>
      <c r="M321" s="49" t="str">
        <f ca="1">IFERROR(__xludf.DUMMYFUNCTION("QUERY('Volunteer Survey'!E330)"),"lalondee@email.chop.edu")</f>
        <v>lalondee@email.chop.edu</v>
      </c>
      <c r="N321" s="49" t="str">
        <f ca="1">IFERROR(__xludf.DUMMYFUNCTION("QUERY('Volunteer Survey'!F330)"),"Clinical laboratory geneticist")</f>
        <v>Clinical laboratory geneticist</v>
      </c>
      <c r="O321" s="42" t="str">
        <f ca="1">IFERROR(__xludf.DUMMYFUNCTION("QUERY('Volunteer Survey'!H330)"),"Comprehensive")</f>
        <v>Comprehensive</v>
      </c>
      <c r="P321" s="49" t="str">
        <f ca="1">IFERROR(__xludf.DUMMYFUNCTION("QUERY('Volunteer Survey'!I330)"),"Somatic Cancer")</f>
        <v>Somatic Cancer</v>
      </c>
      <c r="Q321" s="54" t="str">
        <f ca="1">IFERROR(__xludf.DUMMYFUNCTION("QUERY('Volunteer Survey'!J330)"),"Clinical Actionability")</f>
        <v>Clinical Actionability</v>
      </c>
      <c r="R321" s="49" t="str">
        <f ca="1">IFERROR(__xludf.DUMMYFUNCTION("QUERY('Volunteer Survey'!K330)"),"Gene-Disease Validity")</f>
        <v>Gene-Disease Validity</v>
      </c>
      <c r="S321" s="49" t="str">
        <f ca="1">IFERROR(__xludf.DUMMYFUNCTION("QUERY('Volunteer Survey'!L330)"),"Dosage Sensitivity")</f>
        <v>Dosage Sensitivity</v>
      </c>
      <c r="T321" s="49" t="str">
        <f ca="1">IFERROR(__xludf.DUMMYFUNCTION("QUERY('Volunteer Survey'!M330)"),"Variant Pathogenicity")</f>
        <v>Variant Pathogenicity</v>
      </c>
      <c r="U321" s="58" t="str">
        <f ca="1">IFERROR(__xludf.DUMMYFUNCTION("QUERY('Volunteer Survey'!N330)"),"Yes within CHOP/Penn labs for new test design and/or standard variant interpretation")</f>
        <v>Yes within CHOP/Penn labs for new test design and/or standard variant interpretation</v>
      </c>
      <c r="V321" s="49" t="str">
        <f ca="1">IFERROR(__xludf.DUMMYFUNCTION("QUERY('Volunteer Survey'!O330)"),"Possibly")</f>
        <v>Possibly</v>
      </c>
      <c r="W321" s="60" t="str">
        <f ca="1">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c r="X321" s="58" t="str">
        <f ca="1">IFERROR(__xludf.DUMMYFUNCTION("QUERY('Volunteer Survey'!R330)"),"Maybe -- please contact me with other options, and I will decide based on what is available")</f>
        <v>Maybe -- please contact me with other options, and I will decide based on what is available</v>
      </c>
      <c r="Y321" s="47"/>
      <c r="Z321" s="174">
        <f ca="1">IFERROR(__xludf.DUMMYFUNCTION("QUERY('Volunteer Survey'!A320)"),43739.0382272337)</f>
        <v>43739.038227233701</v>
      </c>
      <c r="AA321" s="175" t="str">
        <f ca="1">IFERROR(__xludf.DUMMYFUNCTION("QUERY('Volunteer Survey'!B320)"),"Marco Montes de Oca")</f>
        <v>Marco Montes de Oca</v>
      </c>
      <c r="AB321" s="175" t="str">
        <f ca="1">IFERROR(__xludf.DUMMYFUNCTION("QUERY('Volunteer Survey'!C320)"),"The University of Melbourne")</f>
        <v>The University of Melbourne</v>
      </c>
      <c r="AC321" s="175" t="str">
        <f ca="1">IFERROR(__xludf.DUMMYFUNCTION("QUERY('Volunteer Survey'!D320)"),"40 Koornang Rd, Carnegie, Melbourne, VIC, Australia")</f>
        <v>40 Koornang Rd, Carnegie, Melbourne, VIC, Australia</v>
      </c>
      <c r="AD321" s="175" t="str">
        <f ca="1">IFERROR(__xludf.DUMMYFUNCTION("QUERY('Volunteer Survey'!E320)"),"montesm@student.unimelb.edu.au")</f>
        <v>montesm@student.unimelb.edu.au</v>
      </c>
      <c r="AE321" s="175" t="str">
        <f ca="1">IFERROR(__xludf.DUMMYFUNCTION("QUERY('Volunteer Survey'!F320)"),"Graduate Student")</f>
        <v>Graduate Student</v>
      </c>
      <c r="AF321" s="175" t="str">
        <f ca="1">IFERROR(__xludf.DUMMYFUNCTION("QUERY('Volunteer Survey'!G320)"),"The clinicalgenome.org website")</f>
        <v>The clinicalgenome.org website</v>
      </c>
      <c r="AG321" s="175" t="str">
        <f ca="1">IFERROR(__xludf.DUMMYFUNCTION("QUERY('Volunteer Survey'!H320)"),"Comprehensive")</f>
        <v>Comprehensive</v>
      </c>
      <c r="AH321" s="175" t="str">
        <f ca="1">IFERROR(__xludf.DUMMYFUNCTION("QUERY('Volunteer Survey'!I320)"),"Variant Pathogenicity")</f>
        <v>Variant Pathogenicity</v>
      </c>
      <c r="AI321" s="175" t="str">
        <f ca="1">IFERROR(__xludf.DUMMYFUNCTION("QUERY('Volunteer Survey'!J320)"),"Gene-Disease Validity")</f>
        <v>Gene-Disease Validity</v>
      </c>
      <c r="AJ321" s="175" t="str">
        <f ca="1">IFERROR(__xludf.DUMMYFUNCTION("QUERY('Volunteer Survey'!K320)"),"Dosage Sensitivity")</f>
        <v>Dosage Sensitivity</v>
      </c>
      <c r="AK321" s="175" t="str">
        <f ca="1">IFERROR(__xludf.DUMMYFUNCTION("QUERY('Volunteer Survey'!L320)"),"")</f>
        <v/>
      </c>
      <c r="AL321" s="175" t="str">
        <f ca="1">IFERROR(__xludf.DUMMYFUNCTION("QUERY('Volunteer Survey'!M320)"),"")</f>
        <v/>
      </c>
      <c r="AM321" s="175" t="str">
        <f ca="1">IFERROR(__xludf.DUMMYFUNCTION("QUERY('Volunteer Survey'!N320)"),"")</f>
        <v/>
      </c>
      <c r="AN321" s="175" t="str">
        <f ca="1">IFERROR(__xludf.DUMMYFUNCTION("QUERY('Volunteer Survey'!O320)"),"No")</f>
        <v>No</v>
      </c>
      <c r="AO321" s="175" t="str">
        <f ca="1">IFERROR(__xludf.DUMMYFUNCTION("QUERY('Volunteer Survey'!P320)"),"I am interested in the following working groups:
- Brain Malformations Variant Curation Expert Panel
- Mitochondrial Diseases Gene Curation Expert Panel")</f>
        <v>I am interested in the following working groups:
- Brain Malformations Variant Curation Expert Panel
- Mitochondrial Diseases Gene Curation Expert Panel</v>
      </c>
    </row>
    <row r="322" spans="1:41" ht="14">
      <c r="A322" s="44">
        <f ca="1">IFERROR(__xludf.DUMMYFUNCTION("QUERY('Volunteer Survey'!A331)"),43755.5373836342)</f>
        <v>43755.537383634197</v>
      </c>
      <c r="B322" s="42" t="s">
        <v>108</v>
      </c>
      <c r="C322" s="73">
        <v>43819</v>
      </c>
      <c r="D322" s="49"/>
      <c r="E322" s="49"/>
      <c r="F322" s="42" t="s">
        <v>130</v>
      </c>
      <c r="G322" s="42" t="s">
        <v>251</v>
      </c>
      <c r="H322" s="47"/>
      <c r="I322" s="47"/>
      <c r="J322" s="49"/>
      <c r="K322" s="49"/>
      <c r="L322" s="49" t="str">
        <f ca="1">IFERROR(__xludf.DUMMYFUNCTION("QUERY('Volunteer Survey'!B331)"),"Elizabeth Ewen")</f>
        <v>Elizabeth Ewen</v>
      </c>
      <c r="M322" s="49" t="str">
        <f ca="1">IFERROR(__xludf.DUMMYFUNCTION("QUERY('Volunteer Survey'!E331)"),"elizabeth.ewen@agilent.com")</f>
        <v>elizabeth.ewen@agilent.com</v>
      </c>
      <c r="N322" s="49" t="str">
        <f ca="1">IFERROR(__xludf.DUMMYFUNCTION("QUERY('Volunteer Survey'!F331)"),"Variant Analyst/Scientist - Industry")</f>
        <v>Variant Analyst/Scientist - Industry</v>
      </c>
      <c r="O322" s="42" t="str">
        <f ca="1">IFERROR(__xludf.DUMMYFUNCTION("QUERY('Volunteer Survey'!H331)"),"Comprehensive")</f>
        <v>Comprehensive</v>
      </c>
      <c r="P322" s="49" t="str">
        <f ca="1">IFERROR(__xludf.DUMMYFUNCTION("QUERY('Volunteer Survey'!I331)"),"Variant Pathogenicity")</f>
        <v>Variant Pathogenicity</v>
      </c>
      <c r="Q322" s="54" t="str">
        <f ca="1">IFERROR(__xludf.DUMMYFUNCTION("QUERY('Volunteer Survey'!J331)"),"Gene-Disease Validity")</f>
        <v>Gene-Disease Validity</v>
      </c>
      <c r="R322" s="49" t="str">
        <f ca="1">IFERROR(__xludf.DUMMYFUNCTION("QUERY('Volunteer Survey'!K331)"),"Clinical Actionability")</f>
        <v>Clinical Actionability</v>
      </c>
      <c r="S322" s="49" t="str">
        <f ca="1">IFERROR(__xludf.DUMMYFUNCTION("QUERY('Volunteer Survey'!L331)"),"Somatic Cancer")</f>
        <v>Somatic Cancer</v>
      </c>
      <c r="T322" s="49" t="str">
        <f ca="1">IFERROR(__xludf.DUMMYFUNCTION("QUERY('Volunteer Survey'!M331)"),"Dosage Sensitivity")</f>
        <v>Dosage Sensitivity</v>
      </c>
      <c r="U322" s="58" t="str">
        <f ca="1">IFERROR(__xludf.DUMMYFUNCTION("QUERY('Volunteer Survey'!N331)"),"Helping customers find clinically relevant/pathogenic variants")</f>
        <v>Helping customers find clinically relevant/pathogenic variants</v>
      </c>
      <c r="V322" s="49" t="str">
        <f ca="1">IFERROR(__xludf.DUMMYFUNCTION("QUERY('Volunteer Survey'!O331)"),"Possibly")</f>
        <v>Possibly</v>
      </c>
      <c r="W322" s="60" t="str">
        <f ca="1">IFERROR(__xludf.DUMMYFUNCTION("QUERY('Volunteer Survey'!P331)"),"")</f>
        <v/>
      </c>
      <c r="X322" s="58" t="str">
        <f ca="1">IFERROR(__xludf.DUMMYFUNCTION("QUERY('Volunteer Survey'!R331)"),"Yes- I am willing to volunteer with any available ClinGen group")</f>
        <v>Yes- I am willing to volunteer with any available ClinGen group</v>
      </c>
      <c r="Y322" s="47"/>
      <c r="Z322" s="174">
        <f ca="1">IFERROR(__xludf.DUMMYFUNCTION("QUERY('Volunteer Survey'!A321)"),43739.3803571296)</f>
        <v>43739.380357129601</v>
      </c>
      <c r="AA322" s="175" t="str">
        <f ca="1">IFERROR(__xludf.DUMMYFUNCTION("QUERY('Volunteer Survey'!B321)"),"Carolina Bustamante")</f>
        <v>Carolina Bustamante</v>
      </c>
      <c r="AB322" s="175" t="str">
        <f ca="1">IFERROR(__xludf.DUMMYFUNCTION("QUERY('Volunteer Survey'!C321)"),"Indegene")</f>
        <v>Indegene</v>
      </c>
      <c r="AC322" s="175" t="str">
        <f ca="1">IFERROR(__xludf.DUMMYFUNCTION("QUERY('Volunteer Survey'!D321)"),"Av. Rio Branco, 148. ")</f>
        <v xml:space="preserve">Av. Rio Branco, 148. </v>
      </c>
      <c r="AD322" s="175" t="str">
        <f ca="1">IFERROR(__xludf.DUMMYFUNCTION("QUERY('Volunteer Survey'!E321)"),"carolina.bustamante@gmail.com")</f>
        <v>carolina.bustamante@gmail.com</v>
      </c>
      <c r="AE322" s="175" t="str">
        <f ca="1">IFERROR(__xludf.DUMMYFUNCTION("QUERY('Volunteer Survey'!F321)"),"Clinical laboratory geneticist")</f>
        <v>Clinical laboratory geneticist</v>
      </c>
      <c r="AF322" s="175" t="str">
        <f ca="1">IFERROR(__xludf.DUMMYFUNCTION("QUERY('Volunteer Survey'!G321)"),"The clinicalgenome.org website")</f>
        <v>The clinicalgenome.org website</v>
      </c>
      <c r="AG322" s="175" t="str">
        <f ca="1">IFERROR(__xludf.DUMMYFUNCTION("QUERY('Volunteer Survey'!H321)"),"Baseline")</f>
        <v>Baseline</v>
      </c>
      <c r="AH322" s="175" t="str">
        <f ca="1">IFERROR(__xludf.DUMMYFUNCTION("QUERY('Volunteer Survey'!I321)"),"Somatic Cancer")</f>
        <v>Somatic Cancer</v>
      </c>
      <c r="AI322" s="175" t="str">
        <f ca="1">IFERROR(__xludf.DUMMYFUNCTION("QUERY('Volunteer Survey'!J321)"),"Variant Pathogenicity")</f>
        <v>Variant Pathogenicity</v>
      </c>
      <c r="AJ322" s="175" t="str">
        <f ca="1">IFERROR(__xludf.DUMMYFUNCTION("QUERY('Volunteer Survey'!K321)"),"Clinical Actionability")</f>
        <v>Clinical Actionability</v>
      </c>
      <c r="AK322" s="175" t="str">
        <f ca="1">IFERROR(__xludf.DUMMYFUNCTION("QUERY('Volunteer Survey'!L321)"),"Gene-Disease Validity")</f>
        <v>Gene-Disease Validity</v>
      </c>
      <c r="AL322" s="175" t="str">
        <f ca="1">IFERROR(__xludf.DUMMYFUNCTION("QUERY('Volunteer Survey'!M321)"),"Dosage Sensitivity")</f>
        <v>Dosage Sensitivity</v>
      </c>
      <c r="AM322" s="175" t="str">
        <f ca="1">IFERROR(__xludf.DUMMYFUNCTION("QUERY('Volunteer Survey'!N321)"),"Yes, I work in a clinical laboratory with NGS panels ")</f>
        <v xml:space="preserve">Yes, I work in a clinical laboratory with NGS panels </v>
      </c>
      <c r="AN322" s="175" t="str">
        <f ca="1">IFERROR(__xludf.DUMMYFUNCTION("QUERY('Volunteer Survey'!O321)"),"Possibly")</f>
        <v>Possibly</v>
      </c>
      <c r="AO322" s="175" t="str">
        <f ca="1">IFERROR(__xludf.DUMMYFUNCTION("QUERY('Volunteer Survey'!P321)"),"Cancer, lung cancer, Hereditary cancer, cardiomyopathy, TP53, colorectal cancer, genitourinary tract cancer")</f>
        <v>Cancer, lung cancer, Hereditary cancer, cardiomyopathy, TP53, colorectal cancer, genitourinary tract cancer</v>
      </c>
    </row>
    <row r="323" spans="1:41" ht="14">
      <c r="A323" s="44">
        <f ca="1">IFERROR(__xludf.DUMMYFUNCTION("QUERY('Volunteer Survey'!A332)"),43755.5898295833)</f>
        <v>43755.589829583303</v>
      </c>
      <c r="B323" s="42" t="s">
        <v>322</v>
      </c>
      <c r="C323" s="47"/>
      <c r="D323" s="49"/>
      <c r="E323" s="49"/>
      <c r="F323" s="42" t="s">
        <v>130</v>
      </c>
      <c r="G323" s="42" t="s">
        <v>313</v>
      </c>
      <c r="H323" s="47"/>
      <c r="I323" s="47"/>
      <c r="J323" s="49"/>
      <c r="K323" s="49"/>
      <c r="L323" s="49" t="str">
        <f ca="1">IFERROR(__xludf.DUMMYFUNCTION("QUERY('Volunteer Survey'!B332)"),"Brigette Brown-Kipphut")</f>
        <v>Brigette Brown-Kipphut</v>
      </c>
      <c r="M323" s="49" t="str">
        <f ca="1">IFERROR(__xludf.DUMMYFUNCTION("QUERY('Volunteer Survey'!E332)"),"brigette.kipphut@agilent.com")</f>
        <v>brigette.kipphut@agilent.com</v>
      </c>
      <c r="N323" s="49" t="str">
        <f ca="1">IFERROR(__xludf.DUMMYFUNCTION("QUERY('Volunteer Survey'!F332)"),"Variant Analyst/Scientist - Industry")</f>
        <v>Variant Analyst/Scientist - Industry</v>
      </c>
      <c r="O323" s="42" t="str">
        <f ca="1">IFERROR(__xludf.DUMMYFUNCTION("QUERY('Volunteer Survey'!H332)"),"Baseline")</f>
        <v>Baseline</v>
      </c>
      <c r="P323" s="49" t="str">
        <f ca="1">IFERROR(__xludf.DUMMYFUNCTION("QUERY('Volunteer Survey'!I332)"),"Variant Pathogenicity")</f>
        <v>Variant Pathogenicity</v>
      </c>
      <c r="Q323" s="54" t="str">
        <f ca="1">IFERROR(__xludf.DUMMYFUNCTION("QUERY('Volunteer Survey'!J332)"),"Gene-Disease Validity")</f>
        <v>Gene-Disease Validity</v>
      </c>
      <c r="R323" s="49" t="str">
        <f ca="1">IFERROR(__xludf.DUMMYFUNCTION("QUERY('Volunteer Survey'!K332)"),"Clinical Actionability")</f>
        <v>Clinical Actionability</v>
      </c>
      <c r="S323" s="49" t="str">
        <f ca="1">IFERROR(__xludf.DUMMYFUNCTION("QUERY('Volunteer Survey'!L332)"),"Somatic Cancer")</f>
        <v>Somatic Cancer</v>
      </c>
      <c r="T323" s="49" t="str">
        <f ca="1">IFERROR(__xludf.DUMMYFUNCTION("QUERY('Volunteer Survey'!M332)"),"Dosage Sensitivity")</f>
        <v>Dosage Sensitivity</v>
      </c>
      <c r="U323" s="58" t="str">
        <f ca="1">IFERROR(__xludf.DUMMYFUNCTION("QUERY('Volunteer Survey'!N332)"),"Yes - performed variant analysis for NGS at CHOP and internally at Agilent")</f>
        <v>Yes - performed variant analysis for NGS at CHOP and internally at Agilent</v>
      </c>
      <c r="V323" s="49" t="str">
        <f ca="1">IFERROR(__xludf.DUMMYFUNCTION("QUERY('Volunteer Survey'!O332)"),"Yes")</f>
        <v>Yes</v>
      </c>
      <c r="W323" s="60" t="str">
        <f ca="1">IFERROR(__xludf.DUMMYFUNCTION("QUERY('Volunteer Survey'!P332)"),"")</f>
        <v/>
      </c>
      <c r="X323" s="58" t="str">
        <f ca="1">IFERROR(__xludf.DUMMYFUNCTION("QUERY('Volunteer Survey'!R332)"),"Maybe -- please contact me with other options, and I will decide based on what is available")</f>
        <v>Maybe -- please contact me with other options, and I will decide based on what is available</v>
      </c>
      <c r="Y323" s="47"/>
      <c r="Z323" s="174">
        <f ca="1">IFERROR(__xludf.DUMMYFUNCTION("QUERY('Volunteer Survey'!A322)"),43739.4634738541)</f>
        <v>43739.463473854099</v>
      </c>
      <c r="AA323" s="175" t="str">
        <f ca="1">IFERROR(__xludf.DUMMYFUNCTION("QUERY('Volunteer Survey'!B322)"),"Alex Gout")</f>
        <v>Alex Gout</v>
      </c>
      <c r="AB323" s="175" t="str">
        <f ca="1">IFERROR(__xludf.DUMMYFUNCTION("QUERY('Volunteer Survey'!C322)"),"St. Jude Children's Research Hospital")</f>
        <v>St. Jude Children's Research Hospital</v>
      </c>
      <c r="AC323" s="175" t="str">
        <f ca="1">IFERROR(__xludf.DUMMYFUNCTION("QUERY('Volunteer Survey'!D322)"),"")</f>
        <v/>
      </c>
      <c r="AD323" s="175" t="str">
        <f ca="1">IFERROR(__xludf.DUMMYFUNCTION("QUERY('Volunteer Survey'!E322)"),"alex.gout@stjude.org")</f>
        <v>alex.gout@stjude.org</v>
      </c>
      <c r="AE323" s="175" t="str">
        <f ca="1">IFERROR(__xludf.DUMMYFUNCTION("QUERY('Volunteer Survey'!F322)"),"Scientific Researcher")</f>
        <v>Scientific Researcher</v>
      </c>
      <c r="AF323" s="175" t="str">
        <f ca="1">IFERROR(__xludf.DUMMYFUNCTION("QUERY('Volunteer Survey'!G322)"),"Networking")</f>
        <v>Networking</v>
      </c>
      <c r="AG323" s="175" t="str">
        <f ca="1">IFERROR(__xludf.DUMMYFUNCTION("QUERY('Volunteer Survey'!H322)"),"Baseline")</f>
        <v>Baseline</v>
      </c>
      <c r="AH323" s="175" t="str">
        <f ca="1">IFERROR(__xludf.DUMMYFUNCTION("QUERY('Volunteer Survey'!I322)"),"")</f>
        <v/>
      </c>
      <c r="AI323" s="175" t="str">
        <f ca="1">IFERROR(__xludf.DUMMYFUNCTION("QUERY('Volunteer Survey'!J322)"),"")</f>
        <v/>
      </c>
      <c r="AJ323" s="175" t="str">
        <f ca="1">IFERROR(__xludf.DUMMYFUNCTION("QUERY('Volunteer Survey'!K322)"),"")</f>
        <v/>
      </c>
      <c r="AK323" s="175" t="str">
        <f ca="1">IFERROR(__xludf.DUMMYFUNCTION("QUERY('Volunteer Survey'!L322)"),"")</f>
        <v/>
      </c>
      <c r="AL323" s="175" t="str">
        <f ca="1">IFERROR(__xludf.DUMMYFUNCTION("QUERY('Volunteer Survey'!M322)"),"")</f>
        <v/>
      </c>
      <c r="AM323" s="175" t="str">
        <f ca="1">IFERROR(__xludf.DUMMYFUNCTION("QUERY('Volunteer Survey'!N322)"),"")</f>
        <v/>
      </c>
      <c r="AN323" s="175" t="str">
        <f ca="1">IFERROR(__xludf.DUMMYFUNCTION("QUERY('Volunteer Survey'!O322)"),"Possibly")</f>
        <v>Possibly</v>
      </c>
      <c r="AO323" s="175" t="str">
        <f ca="1">IFERROR(__xludf.DUMMYFUNCTION("QUERY('Volunteer Survey'!P322)"),"somatic cancer working group - pediatric")</f>
        <v>somatic cancer working group - pediatric</v>
      </c>
    </row>
    <row r="324" spans="1:41" ht="14">
      <c r="A324" s="44">
        <f ca="1">IFERROR(__xludf.DUMMYFUNCTION("QUERY('Volunteer Survey'!A333)"),43755.7747853356)</f>
        <v>43755.774785335598</v>
      </c>
      <c r="B324" s="42" t="s">
        <v>322</v>
      </c>
      <c r="C324" s="47"/>
      <c r="D324" s="49"/>
      <c r="E324" s="49"/>
      <c r="F324" s="42" t="s">
        <v>130</v>
      </c>
      <c r="G324" s="42" t="s">
        <v>136</v>
      </c>
      <c r="H324" s="47"/>
      <c r="I324" s="47"/>
      <c r="J324" s="49"/>
      <c r="K324" s="49"/>
      <c r="L324" s="49" t="str">
        <f ca="1">IFERROR(__xludf.DUMMYFUNCTION("QUERY('Volunteer Survey'!B333)"),"KC Vavra")</f>
        <v>KC Vavra</v>
      </c>
      <c r="M324" s="49" t="str">
        <f ca="1">IFERROR(__xludf.DUMMYFUNCTION("QUERY('Volunteer Survey'!E333)"),"kc.vavra@agilent.com")</f>
        <v>kc.vavra@agilent.com</v>
      </c>
      <c r="N324" s="49" t="str">
        <f ca="1">IFERROR(__xludf.DUMMYFUNCTION("QUERY('Volunteer Survey'!F333)"),"Citizen Scientist/Patient Advocate")</f>
        <v>Citizen Scientist/Patient Advocate</v>
      </c>
      <c r="O324" s="42" t="str">
        <f ca="1">IFERROR(__xludf.DUMMYFUNCTION("QUERY('Volunteer Survey'!H333)"),"Comprehensive")</f>
        <v>Comprehensive</v>
      </c>
      <c r="P324" s="49" t="str">
        <f ca="1">IFERROR(__xludf.DUMMYFUNCTION("QUERY('Volunteer Survey'!I333)"),"Somatic Cancer")</f>
        <v>Somatic Cancer</v>
      </c>
      <c r="Q324" s="54" t="str">
        <f ca="1">IFERROR(__xludf.DUMMYFUNCTION("QUERY('Volunteer Survey'!J333)"),"Gene-Disease Validity")</f>
        <v>Gene-Disease Validity</v>
      </c>
      <c r="R324" s="49" t="str">
        <f ca="1">IFERROR(__xludf.DUMMYFUNCTION("QUERY('Volunteer Survey'!K333)"),"Clinical Actionability")</f>
        <v>Clinical Actionability</v>
      </c>
      <c r="S324" s="49" t="str">
        <f ca="1">IFERROR(__xludf.DUMMYFUNCTION("QUERY('Volunteer Survey'!L333)"),"Dosage Sensitivity")</f>
        <v>Dosage Sensitivity</v>
      </c>
      <c r="T324" s="49" t="str">
        <f ca="1">IFERROR(__xludf.DUMMYFUNCTION("QUERY('Volunteer Survey'!M333)"),"Variant Pathogenicity")</f>
        <v>Variant Pathogenicity</v>
      </c>
      <c r="U324" s="58" t="str">
        <f ca="1">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V324" s="49" t="str">
        <f ca="1">IFERROR(__xludf.DUMMYFUNCTION("QUERY('Volunteer Survey'!O333)"),"Possibly")</f>
        <v>Possibly</v>
      </c>
      <c r="W324" s="60" t="str">
        <f ca="1">IFERROR(__xludf.DUMMYFUNCTION("QUERY('Volunteer Survey'!P333)"),"")</f>
        <v/>
      </c>
      <c r="X324" s="58" t="str">
        <f ca="1">IFERROR(__xludf.DUMMYFUNCTION("QUERY('Volunteer Survey'!R333)"),"Maybe -- please contact me with other options, and I will decide based on what is available")</f>
        <v>Maybe -- please contact me with other options, and I will decide based on what is available</v>
      </c>
      <c r="Y324" s="47"/>
      <c r="Z324" s="174">
        <f ca="1">IFERROR(__xludf.DUMMYFUNCTION("QUERY('Volunteer Survey'!A323)"),43742.0541094791)</f>
        <v>43742.054109479097</v>
      </c>
      <c r="AA324" s="175" t="str">
        <f ca="1">IFERROR(__xludf.DUMMYFUNCTION("QUERY('Volunteer Survey'!B323)"),"Kim Phuong Tong")</f>
        <v>Kim Phuong Tong</v>
      </c>
      <c r="AB324" s="175" t="str">
        <f ca="1">IFERROR(__xludf.DUMMYFUNCTION("QUERY('Volunteer Survey'!C323)"),"Former Research Supervisor, University of MD")</f>
        <v>Former Research Supervisor, University of MD</v>
      </c>
      <c r="AC324" s="175" t="str">
        <f ca="1">IFERROR(__xludf.DUMMYFUNCTION("QUERY('Volunteer Survey'!D323)"),"1930 Stomeleaf Dr Tyler, TX 75703")</f>
        <v>1930 Stomeleaf Dr Tyler, TX 75703</v>
      </c>
      <c r="AD324" s="175" t="str">
        <f ca="1">IFERROR(__xludf.DUMMYFUNCTION("QUERY('Volunteer Survey'!E323)"),"ktongpotter@yahoo.com")</f>
        <v>ktongpotter@yahoo.com</v>
      </c>
      <c r="AE324" s="175" t="str">
        <f ca="1">IFERROR(__xludf.DUMMYFUNCTION("QUERY('Volunteer Survey'!F323)"),"Citizen Scientist/Patient Advocate")</f>
        <v>Citizen Scientist/Patient Advocate</v>
      </c>
      <c r="AF324" s="175" t="str">
        <f ca="1">IFERROR(__xludf.DUMMYFUNCTION("QUERY('Volunteer Survey'!G323)"),"Toni Pollin, PhD")</f>
        <v>Toni Pollin, PhD</v>
      </c>
      <c r="AG324" s="175" t="str">
        <f ca="1">IFERROR(__xludf.DUMMYFUNCTION("QUERY('Volunteer Survey'!H323)"),"Baseline")</f>
        <v>Baseline</v>
      </c>
      <c r="AH324" s="175" t="str">
        <f ca="1">IFERROR(__xludf.DUMMYFUNCTION("QUERY('Volunteer Survey'!I323)"),"Gene-Disease Validity")</f>
        <v>Gene-Disease Validity</v>
      </c>
      <c r="AI324" s="175" t="str">
        <f ca="1">IFERROR(__xludf.DUMMYFUNCTION("QUERY('Volunteer Survey'!J323)"),"Clinical Actionability")</f>
        <v>Clinical Actionability</v>
      </c>
      <c r="AJ324" s="175" t="str">
        <f ca="1">IFERROR(__xludf.DUMMYFUNCTION("QUERY('Volunteer Survey'!K323)"),"Variant Pathogenicity")</f>
        <v>Variant Pathogenicity</v>
      </c>
      <c r="AK324" s="175" t="str">
        <f ca="1">IFERROR(__xludf.DUMMYFUNCTION("QUERY('Volunteer Survey'!L323)"),"")</f>
        <v/>
      </c>
      <c r="AL324" s="175" t="str">
        <f ca="1">IFERROR(__xludf.DUMMYFUNCTION("QUERY('Volunteer Survey'!M323)"),"")</f>
        <v/>
      </c>
      <c r="AM324" s="175" t="str">
        <f ca="1">IFERROR(__xludf.DUMMYFUNCTION("QUERY('Volunteer Survey'!N323)"),"")</f>
        <v/>
      </c>
      <c r="AN324" s="175" t="str">
        <f ca="1">IFERROR(__xludf.DUMMYFUNCTION("QUERY('Volunteer Survey'!O323)"),"Possibly")</f>
        <v>Possibly</v>
      </c>
      <c r="AO324" s="175" t="str">
        <f ca="1">IFERROR(__xludf.DUMMYFUNCTION("QUERY('Volunteer Survey'!P323)"),"")</f>
        <v/>
      </c>
    </row>
    <row r="325" spans="1:41" ht="14">
      <c r="A325" s="44">
        <f ca="1">IFERROR(__xludf.DUMMYFUNCTION("QUERY('Volunteer Survey'!A334)"),43756.6804716087)</f>
        <v>43756.680471608699</v>
      </c>
      <c r="B325" s="42" t="s">
        <v>322</v>
      </c>
      <c r="C325" s="47"/>
      <c r="D325" s="49"/>
      <c r="E325" s="49"/>
      <c r="F325" s="42" t="s">
        <v>130</v>
      </c>
      <c r="G325" s="42" t="s">
        <v>313</v>
      </c>
      <c r="H325" s="47"/>
      <c r="I325" s="47"/>
      <c r="J325" s="49"/>
      <c r="K325" s="49"/>
      <c r="L325" s="49" t="str">
        <f ca="1">IFERROR(__xludf.DUMMYFUNCTION("QUERY('Volunteer Survey'!B334)"),"Chisato Yamasaki")</f>
        <v>Chisato Yamasaki</v>
      </c>
      <c r="M325" s="49" t="str">
        <f ca="1">IFERROR(__xludf.DUMMYFUNCTION("QUERY('Volunteer Survey'!E334)"),"cyamasak@eth.med.osaka-u.ac.jp")</f>
        <v>cyamasak@eth.med.osaka-u.ac.jp</v>
      </c>
      <c r="N325" s="49" t="str">
        <f ca="1">IFERROR(__xludf.DUMMYFUNCTION("QUERY('Volunteer Survey'!F334)"),"Post Doc/Resident/Fellow (MD and/or PhD)")</f>
        <v>Post Doc/Resident/Fellow (MD and/or PhD)</v>
      </c>
      <c r="O325" s="42" t="str">
        <f ca="1">IFERROR(__xludf.DUMMYFUNCTION("QUERY('Volunteer Survey'!H334)"),"Baseline")</f>
        <v>Baseline</v>
      </c>
      <c r="P325" s="49" t="str">
        <f ca="1">IFERROR(__xludf.DUMMYFUNCTION("QUERY('Volunteer Survey'!I334)"),"Gene-Disease Validity")</f>
        <v>Gene-Disease Validity</v>
      </c>
      <c r="Q325" s="54" t="str">
        <f ca="1">IFERROR(__xludf.DUMMYFUNCTION("QUERY('Volunteer Survey'!J334)"),"Variant Pathogenicity")</f>
        <v>Variant Pathogenicity</v>
      </c>
      <c r="R325" s="49" t="str">
        <f ca="1">IFERROR(__xludf.DUMMYFUNCTION("QUERY('Volunteer Survey'!K334)"),"Clinical Actionability")</f>
        <v>Clinical Actionability</v>
      </c>
      <c r="S325" s="49" t="str">
        <f ca="1">IFERROR(__xludf.DUMMYFUNCTION("QUERY('Volunteer Survey'!L334)"),"")</f>
        <v/>
      </c>
      <c r="T325" s="49" t="str">
        <f ca="1">IFERROR(__xludf.DUMMYFUNCTION("QUERY('Volunteer Survey'!M334)"),"")</f>
        <v/>
      </c>
      <c r="U325" s="58" t="str">
        <f ca="1">IFERROR(__xludf.DUMMYFUNCTION("QUERY('Volunteer Survey'!N334)"),"H-inv")</f>
        <v>H-inv</v>
      </c>
      <c r="V325" s="49" t="str">
        <f ca="1">IFERROR(__xludf.DUMMYFUNCTION("QUERY('Volunteer Survey'!O334)"),"Yes")</f>
        <v>Yes</v>
      </c>
      <c r="W325" s="60" t="str">
        <f ca="1">IFERROR(__xludf.DUMMYFUNCTION("QUERY('Volunteer Survey'!P334)"),"")</f>
        <v/>
      </c>
      <c r="X325" s="58" t="str">
        <f ca="1">IFERROR(__xludf.DUMMYFUNCTION("QUERY('Volunteer Survey'!R334)"),"No - I am only interested in the group(s) I previously indicated")</f>
        <v>No - I am only interested in the group(s) I previously indicated</v>
      </c>
      <c r="Y325" s="47"/>
      <c r="Z325" s="174">
        <f ca="1">IFERROR(__xludf.DUMMYFUNCTION("QUERY('Volunteer Survey'!A324)"),43742.6688535069)</f>
        <v>43742.668853506897</v>
      </c>
      <c r="AA325" s="175" t="str">
        <f ca="1">IFERROR(__xludf.DUMMYFUNCTION("QUERY('Volunteer Survey'!B324)"),"Heather Harris")</f>
        <v>Heather Harris</v>
      </c>
      <c r="AB325" s="175" t="str">
        <f ca="1">IFERROR(__xludf.DUMMYFUNCTION("QUERY('Volunteer Survey'!C324)"),"Ancestry")</f>
        <v>Ancestry</v>
      </c>
      <c r="AC325" s="175" t="str">
        <f ca="1">IFERROR(__xludf.DUMMYFUNCTION("QUERY('Volunteer Survey'!D324)"),"3133 Texas St Oakland, CA, 94602")</f>
        <v>3133 Texas St Oakland, CA, 94602</v>
      </c>
      <c r="AD325" s="175" t="str">
        <f ca="1">IFERROR(__xludf.DUMMYFUNCTION("QUERY('Volunteer Survey'!E324)"),"heatherkharris1@gmail.com")</f>
        <v>heatherkharris1@gmail.com</v>
      </c>
      <c r="AE325" s="175" t="str">
        <f ca="1">IFERROR(__xludf.DUMMYFUNCTION("QUERY('Volunteer Survey'!F324)"),"Genetic counselor")</f>
        <v>Genetic counselor</v>
      </c>
      <c r="AF325" s="175" t="str">
        <f ca="1">IFERROR(__xludf.DUMMYFUNCTION("QUERY('Volunteer Survey'!G324)"),"Conference")</f>
        <v>Conference</v>
      </c>
      <c r="AG325" s="175" t="str">
        <f ca="1">IFERROR(__xludf.DUMMYFUNCTION("QUERY('Volunteer Survey'!H324)"),"Comprehensive")</f>
        <v>Comprehensive</v>
      </c>
      <c r="AH325" s="175" t="str">
        <f ca="1">IFERROR(__xludf.DUMMYFUNCTION("QUERY('Volunteer Survey'!I324)"),"Variant Pathogenicity")</f>
        <v>Variant Pathogenicity</v>
      </c>
      <c r="AI325" s="175" t="str">
        <f ca="1">IFERROR(__xludf.DUMMYFUNCTION("QUERY('Volunteer Survey'!J324)"),"Clinical Actionability")</f>
        <v>Clinical Actionability</v>
      </c>
      <c r="AJ325" s="175" t="str">
        <f ca="1">IFERROR(__xludf.DUMMYFUNCTION("QUERY('Volunteer Survey'!K324)"),"Gene-Disease Validity")</f>
        <v>Gene-Disease Validity</v>
      </c>
      <c r="AK325" s="175" t="str">
        <f ca="1">IFERROR(__xludf.DUMMYFUNCTION("QUERY('Volunteer Survey'!L324)"),"Somatic Cancer")</f>
        <v>Somatic Cancer</v>
      </c>
      <c r="AL325" s="175" t="str">
        <f ca="1">IFERROR(__xludf.DUMMYFUNCTION("QUERY('Volunteer Survey'!M324)"),"Dosage Sensitivity")</f>
        <v>Dosage Sensitivity</v>
      </c>
      <c r="AM325" s="175" t="str">
        <f ca="1">IFERROR(__xludf.DUMMYFUNCTION("QUERY('Volunteer Survey'!N324)"),"Limited experience with creating variant descriptions for lab report writing. ")</f>
        <v xml:space="preserve">Limited experience with creating variant descriptions for lab report writing. </v>
      </c>
      <c r="AN325" s="175" t="str">
        <f ca="1">IFERROR(__xludf.DUMMYFUNCTION("QUERY('Volunteer Survey'!O324)"),"No")</f>
        <v>No</v>
      </c>
      <c r="AO325" s="175" t="str">
        <f ca="1">IFERROR(__xludf.DUMMYFUNCTION("QUERY('Volunteer Survey'!P324)"),"I am open to any opportunity.")</f>
        <v>I am open to any opportunity.</v>
      </c>
    </row>
    <row r="326" spans="1:41" ht="14">
      <c r="A326" s="44">
        <f ca="1">IFERROR(__xludf.DUMMYFUNCTION("QUERY('Volunteer Survey'!A335)"),43758.7028289814)</f>
        <v>43758.702828981397</v>
      </c>
      <c r="B326" s="42" t="s">
        <v>108</v>
      </c>
      <c r="C326" s="73">
        <v>43819</v>
      </c>
      <c r="D326" s="67">
        <v>43846</v>
      </c>
      <c r="E326" s="42" t="s">
        <v>117</v>
      </c>
      <c r="F326" s="42" t="s">
        <v>130</v>
      </c>
      <c r="G326" s="42" t="s">
        <v>122</v>
      </c>
      <c r="H326" s="47"/>
      <c r="I326" s="47"/>
      <c r="J326" s="49"/>
      <c r="K326" s="49"/>
      <c r="L326" s="49" t="str">
        <f ca="1">IFERROR(__xludf.DUMMYFUNCTION("QUERY('Volunteer Survey'!B335)"),"Beth Stronach")</f>
        <v>Beth Stronach</v>
      </c>
      <c r="M326" s="49" t="str">
        <f ca="1">IFERROR(__xludf.DUMMYFUNCTION("QUERY('Volunteer Survey'!E335)"),"stronach@pitt.edu")</f>
        <v>stronach@pitt.edu</v>
      </c>
      <c r="N326" s="49" t="str">
        <f ca="1">IFERROR(__xludf.DUMMYFUNCTION("QUERY('Volunteer Survey'!F335)"),"Scientific Researcher")</f>
        <v>Scientific Researcher</v>
      </c>
      <c r="O326" s="42" t="str">
        <f ca="1">IFERROR(__xludf.DUMMYFUNCTION("QUERY('Volunteer Survey'!H335)"),"Comprehensive")</f>
        <v>Comprehensive</v>
      </c>
      <c r="P326" s="49" t="str">
        <f ca="1">IFERROR(__xludf.DUMMYFUNCTION("QUERY('Volunteer Survey'!I335)"),"Gene-Disease Validity")</f>
        <v>Gene-Disease Validity</v>
      </c>
      <c r="Q326" s="54" t="str">
        <f ca="1">IFERROR(__xludf.DUMMYFUNCTION("QUERY('Volunteer Survey'!J335)"),"Variant Pathogenicity")</f>
        <v>Variant Pathogenicity</v>
      </c>
      <c r="R326" s="49" t="str">
        <f ca="1">IFERROR(__xludf.DUMMYFUNCTION("QUERY('Volunteer Survey'!K335)"),"Clinical Actionability")</f>
        <v>Clinical Actionability</v>
      </c>
      <c r="S326" s="49" t="str">
        <f ca="1">IFERROR(__xludf.DUMMYFUNCTION("QUERY('Volunteer Survey'!L335)"),"Somatic Cancer")</f>
        <v>Somatic Cancer</v>
      </c>
      <c r="T326" s="49" t="str">
        <f ca="1">IFERROR(__xludf.DUMMYFUNCTION("QUERY('Volunteer Survey'!M335)"),"Dosage Sensitivity")</f>
        <v>Dosage Sensitivity</v>
      </c>
      <c r="U326" s="58" t="str">
        <f ca="1">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V326" s="49" t="str">
        <f ca="1">IFERROR(__xludf.DUMMYFUNCTION("QUERY('Volunteer Survey'!O335)"),"Possibly")</f>
        <v>Possibly</v>
      </c>
      <c r="W326" s="60" t="str">
        <f ca="1">IFERROR(__xludf.DUMMYFUNCTION("QUERY('Volunteer Survey'!P335)"),"RASopathy, neurodevelopmental, or myopathy groups")</f>
        <v>RASopathy, neurodevelopmental, or myopathy groups</v>
      </c>
      <c r="X326" s="58" t="str">
        <f ca="1">IFERROR(__xludf.DUMMYFUNCTION("QUERY('Volunteer Survey'!R335)"),"Yes- I am willing to volunteer with any available ClinGen group")</f>
        <v>Yes- I am willing to volunteer with any available ClinGen group</v>
      </c>
      <c r="Y326" s="47"/>
      <c r="Z326" s="174">
        <f ca="1">IFERROR(__xludf.DUMMYFUNCTION("QUERY('Volunteer Survey'!A325)"),43744.7547774074)</f>
        <v>43744.754777407397</v>
      </c>
      <c r="AA326" s="175" t="str">
        <f ca="1">IFERROR(__xludf.DUMMYFUNCTION("QUERY('Volunteer Survey'!B325)"),"C. Anwar A. Chahal")</f>
        <v>C. Anwar A. Chahal</v>
      </c>
      <c r="AB326" s="175" t="str">
        <f ca="1">IFERROR(__xludf.DUMMYFUNCTION("QUERY('Volunteer Survey'!C325)"),"University of Pennsylvania")</f>
        <v>University of Pennsylvania</v>
      </c>
      <c r="AC326" s="175" t="str">
        <f ca="1">IFERROR(__xludf.DUMMYFUNCTION("QUERY('Volunteer Survey'!D325)"),"3400 Spruce Street, Philadelphia, PA 19104")</f>
        <v>3400 Spruce Street, Philadelphia, PA 19104</v>
      </c>
      <c r="AD326" s="175" t="str">
        <f ca="1">IFERROR(__xludf.DUMMYFUNCTION("QUERY('Volunteer Survey'!E325)"),"anwar.chahal@uphs.upenn.edu")</f>
        <v>anwar.chahal@uphs.upenn.edu</v>
      </c>
      <c r="AE326" s="175" t="str">
        <f ca="1">IFERROR(__xludf.DUMMYFUNCTION("QUERY('Volunteer Survey'!F325)"),"Clinician Scientist, EP and Inherited CV Diseases, in final year clinical EP Fellowship")</f>
        <v>Clinician Scientist, EP and Inherited CV Diseases, in final year clinical EP Fellowship</v>
      </c>
      <c r="AF326" s="175" t="str">
        <f ca="1">IFERROR(__xludf.DUMMYFUNCTION("QUERY('Volunteer Survey'!G325)"),"ASHG 2019, Colleagues, Suggestion from mentor")</f>
        <v>ASHG 2019, Colleagues, Suggestion from mentor</v>
      </c>
      <c r="AG326" s="175" t="str">
        <f ca="1">IFERROR(__xludf.DUMMYFUNCTION("QUERY('Volunteer Survey'!H325)"),"Baseline")</f>
        <v>Baseline</v>
      </c>
      <c r="AH326" s="175" t="str">
        <f ca="1">IFERROR(__xludf.DUMMYFUNCTION("QUERY('Volunteer Survey'!I325)"),"Variant Pathogenicity")</f>
        <v>Variant Pathogenicity</v>
      </c>
      <c r="AI326" s="175" t="str">
        <f ca="1">IFERROR(__xludf.DUMMYFUNCTION("QUERY('Volunteer Survey'!J325)"),"Gene-Disease Validity")</f>
        <v>Gene-Disease Validity</v>
      </c>
      <c r="AJ326" s="175" t="str">
        <f ca="1">IFERROR(__xludf.DUMMYFUNCTION("QUERY('Volunteer Survey'!K325)"),"Clinical Actionability")</f>
        <v>Clinical Actionability</v>
      </c>
      <c r="AK326" s="175" t="str">
        <f ca="1">IFERROR(__xludf.DUMMYFUNCTION("QUERY('Volunteer Survey'!L325)"),"")</f>
        <v/>
      </c>
      <c r="AL326" s="175" t="str">
        <f ca="1">IFERROR(__xludf.DUMMYFUNCTION("QUERY('Volunteer Survey'!M325)"),"")</f>
        <v/>
      </c>
      <c r="AM326" s="175" t="str">
        <f ca="1">IFERROR(__xludf.DUMMYFUNCTION("QUERY('Volunteer Survey'!N325)"),"Not curation, experience in geneomics (PhD, American Heart Association)")</f>
        <v>Not curation, experience in geneomics (PhD, American Heart Association)</v>
      </c>
      <c r="AN326" s="175" t="str">
        <f ca="1">IFERROR(__xludf.DUMMYFUNCTION("QUERY('Volunteer Survey'!O325)"),"Possibly")</f>
        <v>Possibly</v>
      </c>
      <c r="AO326" s="175" t="str">
        <f ca="1">IFERROR(__xludf.DUMMYFUNCTION("QUERY('Volunteer Survey'!P325)"),"Congenital myopathies, Cardiomyopathy* (these are my areas of expertise/interest)")</f>
        <v>Congenital myopathies, Cardiomyopathy* (these are my areas of expertise/interest)</v>
      </c>
    </row>
    <row r="327" spans="1:41" ht="14">
      <c r="A327" s="44">
        <f ca="1">IFERROR(__xludf.DUMMYFUNCTION("QUERY('Volunteer Survey'!A336)"),43759.3618434143)</f>
        <v>43759.361843414299</v>
      </c>
      <c r="B327" s="42" t="s">
        <v>322</v>
      </c>
      <c r="C327" s="47"/>
      <c r="D327" s="49"/>
      <c r="E327" s="49"/>
      <c r="F327" s="42" t="s">
        <v>130</v>
      </c>
      <c r="G327" s="42" t="s">
        <v>136</v>
      </c>
      <c r="H327" s="47"/>
      <c r="I327" s="47"/>
      <c r="J327" s="49"/>
      <c r="K327" s="49"/>
      <c r="L327" s="49" t="str">
        <f ca="1">IFERROR(__xludf.DUMMYFUNCTION("QUERY('Volunteer Survey'!B336)"),"Eileen Chen")</f>
        <v>Eileen Chen</v>
      </c>
      <c r="M327" s="49" t="str">
        <f ca="1">IFERROR(__xludf.DUMMYFUNCTION("QUERY('Volunteer Survey'!E336)"),"eileen.chen.x.q@sgh.com.sg")</f>
        <v>eileen.chen.x.q@sgh.com.sg</v>
      </c>
      <c r="N327" s="49" t="str">
        <f ca="1">IFERROR(__xludf.DUMMYFUNCTION("QUERY('Volunteer Survey'!F336)"),"Variant Analyst/Scientist - Academic")</f>
        <v>Variant Analyst/Scientist - Academic</v>
      </c>
      <c r="O327" s="42" t="str">
        <f ca="1">IFERROR(__xludf.DUMMYFUNCTION("QUERY('Volunteer Survey'!H336)"),"Comprehensive")</f>
        <v>Comprehensive</v>
      </c>
      <c r="P327" s="49" t="str">
        <f ca="1">IFERROR(__xludf.DUMMYFUNCTION("QUERY('Volunteer Survey'!I336)"),"Somatic Cancer")</f>
        <v>Somatic Cancer</v>
      </c>
      <c r="Q327" s="54" t="str">
        <f ca="1">IFERROR(__xludf.DUMMYFUNCTION("QUERY('Volunteer Survey'!J336)"),"Clinical Actionability")</f>
        <v>Clinical Actionability</v>
      </c>
      <c r="R327" s="49" t="str">
        <f ca="1">IFERROR(__xludf.DUMMYFUNCTION("QUERY('Volunteer Survey'!K336)"),"Dosage Sensitivity")</f>
        <v>Dosage Sensitivity</v>
      </c>
      <c r="S327" s="49" t="str">
        <f ca="1">IFERROR(__xludf.DUMMYFUNCTION("QUERY('Volunteer Survey'!L336)"),"Variant Pathogenicity")</f>
        <v>Variant Pathogenicity</v>
      </c>
      <c r="T327" s="49" t="str">
        <f ca="1">IFERROR(__xludf.DUMMYFUNCTION("QUERY('Volunteer Survey'!M336)"),"Gene-Disease Validity")</f>
        <v>Gene-Disease Validity</v>
      </c>
      <c r="U327" s="58" t="str">
        <f ca="1">IFERROR(__xludf.DUMMYFUNCTION("QUERY('Volunteer Survey'!N336)"),"No, only minimal training. ")</f>
        <v xml:space="preserve">No, only minimal training. </v>
      </c>
      <c r="V327" s="49" t="str">
        <f ca="1">IFERROR(__xludf.DUMMYFUNCTION("QUERY('Volunteer Survey'!O336)"),"Yes")</f>
        <v>Yes</v>
      </c>
      <c r="W327" s="60" t="str">
        <f ca="1">IFERROR(__xludf.DUMMYFUNCTION("QUERY('Volunteer Survey'!P336)"),"Yes. Somatic Cancer Working Group as the first choice.")</f>
        <v>Yes. Somatic Cancer Working Group as the first choice.</v>
      </c>
      <c r="X327" s="58" t="str">
        <f ca="1">IFERROR(__xludf.DUMMYFUNCTION("QUERY('Volunteer Survey'!R336)"),"Yes- I am willing to volunteer with any available ClinGen group")</f>
        <v>Yes- I am willing to volunteer with any available ClinGen group</v>
      </c>
      <c r="Y327" s="47"/>
      <c r="Z327" s="174">
        <f ca="1">IFERROR(__xludf.DUMMYFUNCTION("QUERY('Volunteer Survey'!A326)"),43745.6517298611)</f>
        <v>43745.6517298611</v>
      </c>
      <c r="AA327" s="175" t="str">
        <f ca="1">IFERROR(__xludf.DUMMYFUNCTION("QUERY('Volunteer Survey'!B326)"),"Kaitlin Lenhart")</f>
        <v>Kaitlin Lenhart</v>
      </c>
      <c r="AB327" s="175" t="str">
        <f ca="1">IFERROR(__xludf.DUMMYFUNCTION("QUERY('Volunteer Survey'!C326)"),"University of Wisconsin - Madison")</f>
        <v>University of Wisconsin - Madison</v>
      </c>
      <c r="AC327" s="175" t="str">
        <f ca="1">IFERROR(__xludf.DUMMYFUNCTION("QUERY('Volunteer Survey'!D326)"),"465 Henry Mall, HMS-411, Madison WI, 53706")</f>
        <v>465 Henry Mall, HMS-411, Madison WI, 53706</v>
      </c>
      <c r="AD327" s="175" t="str">
        <f ca="1">IFERROR(__xludf.DUMMYFUNCTION("QUERY('Volunteer Survey'!E326)"),"kaitlin.lenhart@slh.wisc.edu")</f>
        <v>kaitlin.lenhart@slh.wisc.edu</v>
      </c>
      <c r="AE327" s="175" t="str">
        <f ca="1">IFERROR(__xludf.DUMMYFUNCTION("QUERY('Volunteer Survey'!F326)"),"Clinical laboratory geneticist")</f>
        <v>Clinical laboratory geneticist</v>
      </c>
      <c r="AF327" s="175" t="str">
        <f ca="1">IFERROR(__xludf.DUMMYFUNCTION("QUERY('Volunteer Survey'!G326)"),"ACMG Conference 2019")</f>
        <v>ACMG Conference 2019</v>
      </c>
      <c r="AG327" s="175" t="str">
        <f ca="1">IFERROR(__xludf.DUMMYFUNCTION("QUERY('Volunteer Survey'!H326)"),"Comprehensive")</f>
        <v>Comprehensive</v>
      </c>
      <c r="AH327" s="175" t="str">
        <f ca="1">IFERROR(__xludf.DUMMYFUNCTION("QUERY('Volunteer Survey'!I326)"),"Variant Pathogenicity")</f>
        <v>Variant Pathogenicity</v>
      </c>
      <c r="AI327" s="175" t="str">
        <f ca="1">IFERROR(__xludf.DUMMYFUNCTION("QUERY('Volunteer Survey'!J326)"),"Gene-Disease Validity")</f>
        <v>Gene-Disease Validity</v>
      </c>
      <c r="AJ327" s="175" t="str">
        <f ca="1">IFERROR(__xludf.DUMMYFUNCTION("QUERY('Volunteer Survey'!K326)"),"Dosage Sensitivity")</f>
        <v>Dosage Sensitivity</v>
      </c>
      <c r="AK327" s="175" t="str">
        <f ca="1">IFERROR(__xludf.DUMMYFUNCTION("QUERY('Volunteer Survey'!L326)"),"Clinical Actionability")</f>
        <v>Clinical Actionability</v>
      </c>
      <c r="AL327" s="175" t="str">
        <f ca="1">IFERROR(__xludf.DUMMYFUNCTION("QUERY('Volunteer Survey'!M326)"),"")</f>
        <v/>
      </c>
      <c r="AM327" s="175" t="str">
        <f ca="1">IFERROR(__xludf.DUMMYFUNCTION("QUERY('Volunteer Survey'!N326)"),"")</f>
        <v/>
      </c>
      <c r="AN327" s="175" t="str">
        <f ca="1">IFERROR(__xludf.DUMMYFUNCTION("QUERY('Volunteer Survey'!O326)"),"Possibly")</f>
        <v>Possibly</v>
      </c>
      <c r="AO327" s="175" t="str">
        <f ca="1">IFERROR(__xludf.DUMMYFUNCTION("QUERY('Volunteer Survey'!P326)"),"")</f>
        <v/>
      </c>
    </row>
    <row r="328" spans="1:41" ht="14">
      <c r="A328" s="44">
        <f ca="1">IFERROR(__xludf.DUMMYFUNCTION("QUERY('Volunteer Survey'!A337)"),43760.4814893402)</f>
        <v>43760.4814893402</v>
      </c>
      <c r="B328" s="42" t="s">
        <v>108</v>
      </c>
      <c r="C328" s="73">
        <v>43819</v>
      </c>
      <c r="D328" s="49"/>
      <c r="E328" s="49"/>
      <c r="F328" s="42" t="s">
        <v>130</v>
      </c>
      <c r="G328" s="42" t="s">
        <v>251</v>
      </c>
      <c r="H328" s="47"/>
      <c r="I328" s="47"/>
      <c r="J328" s="49"/>
      <c r="K328" s="49"/>
      <c r="L328" s="49" t="str">
        <f ca="1">IFERROR(__xludf.DUMMYFUNCTION("QUERY('Volunteer Survey'!B337)"),"Jennifer Sloan")</f>
        <v>Jennifer Sloan</v>
      </c>
      <c r="M328" s="49" t="str">
        <f ca="1">IFERROR(__xludf.DUMMYFUNCTION("QUERY('Volunteer Survey'!E337)"),"jsloan@mail.nih.gov")</f>
        <v>jsloan@mail.nih.gov</v>
      </c>
      <c r="N328" s="49" t="str">
        <f ca="1">IFERROR(__xludf.DUMMYFUNCTION("QUERY('Volunteer Survey'!F337)"),"Genetic counselor")</f>
        <v>Genetic counselor</v>
      </c>
      <c r="O328" s="42" t="str">
        <f ca="1">IFERROR(__xludf.DUMMYFUNCTION("QUERY('Volunteer Survey'!H337)"),"Comprehensive")</f>
        <v>Comprehensive</v>
      </c>
      <c r="P328" s="49" t="str">
        <f ca="1">IFERROR(__xludf.DUMMYFUNCTION("QUERY('Volunteer Survey'!I337)"),"Variant Pathogenicity")</f>
        <v>Variant Pathogenicity</v>
      </c>
      <c r="Q328" s="54" t="str">
        <f ca="1">IFERROR(__xludf.DUMMYFUNCTION("QUERY('Volunteer Survey'!J337)"),"Gene-Disease Validity")</f>
        <v>Gene-Disease Validity</v>
      </c>
      <c r="R328" s="49" t="str">
        <f ca="1">IFERROR(__xludf.DUMMYFUNCTION("QUERY('Volunteer Survey'!K337)"),"Clinical Actionability")</f>
        <v>Clinical Actionability</v>
      </c>
      <c r="S328" s="49" t="str">
        <f ca="1">IFERROR(__xludf.DUMMYFUNCTION("QUERY('Volunteer Survey'!L337)"),"Dosage Sensitivity")</f>
        <v>Dosage Sensitivity</v>
      </c>
      <c r="T328" s="49" t="str">
        <f ca="1">IFERROR(__xludf.DUMMYFUNCTION("QUERY('Volunteer Survey'!M337)"),"Somatic Cancer")</f>
        <v>Somatic Cancer</v>
      </c>
      <c r="U328" s="58" t="str">
        <f ca="1">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V328" s="49" t="str">
        <f ca="1">IFERROR(__xludf.DUMMYFUNCTION("QUERY('Volunteer Survey'!O337)"),"Possibly")</f>
        <v>Possibly</v>
      </c>
      <c r="W328" s="60" t="str">
        <f ca="1">IFERROR(__xludf.DUMMYFUNCTION("QUERY('Volunteer Survey'!P337)"),"OTC")</f>
        <v>OTC</v>
      </c>
      <c r="X328" s="58" t="str">
        <f ca="1">IFERROR(__xludf.DUMMYFUNCTION("QUERY('Volunteer Survey'!R337)"),"Maybe -- please contact me with other options, and I will decide based on what is available")</f>
        <v>Maybe -- please contact me with other options, and I will decide based on what is available</v>
      </c>
      <c r="Y328" s="47"/>
      <c r="Z328" s="174">
        <f ca="1">IFERROR(__xludf.DUMMYFUNCTION("QUERY('Volunteer Survey'!A327)"),43746.8638248263)</f>
        <v>43746.863824826301</v>
      </c>
      <c r="AA328" s="175" t="str">
        <f ca="1">IFERROR(__xludf.DUMMYFUNCTION("QUERY('Volunteer Survey'!B327)"),"YANYI YAO")</f>
        <v>YANYI YAO</v>
      </c>
      <c r="AB328" s="175" t="str">
        <f ca="1">IFERROR(__xludf.DUMMYFUNCTION("QUERY('Volunteer Survey'!C327)"),"Brigham and Women's hospital")</f>
        <v>Brigham and Women's hospital</v>
      </c>
      <c r="AC328" s="175" t="str">
        <f ca="1">IFERROR(__xludf.DUMMYFUNCTION("QUERY('Volunteer Survey'!D327)"),"259 kent street")</f>
        <v>259 kent street</v>
      </c>
      <c r="AD328" s="175" t="str">
        <f ca="1">IFERROR(__xludf.DUMMYFUNCTION("QUERY('Volunteer Survey'!E327)"),"yaoyanyi@hotmail.com")</f>
        <v>yaoyanyi@hotmail.com</v>
      </c>
      <c r="AE328" s="175" t="str">
        <f ca="1">IFERROR(__xludf.DUMMYFUNCTION("QUERY('Volunteer Survey'!F327)"),"Post Doc/Resident/Fellow (MD and/or PhD)")</f>
        <v>Post Doc/Resident/Fellow (MD and/or PhD)</v>
      </c>
      <c r="AF328" s="175" t="str">
        <f ca="1">IFERROR(__xludf.DUMMYFUNCTION("QUERY('Volunteer Survey'!G327)"),"Educational coursework")</f>
        <v>Educational coursework</v>
      </c>
      <c r="AG328" s="175" t="str">
        <f ca="1">IFERROR(__xludf.DUMMYFUNCTION("QUERY('Volunteer Survey'!H327)"),"Comprehensive")</f>
        <v>Comprehensive</v>
      </c>
      <c r="AH328" s="175" t="str">
        <f ca="1">IFERROR(__xludf.DUMMYFUNCTION("QUERY('Volunteer Survey'!I327)"),"Variant Pathogenicity")</f>
        <v>Variant Pathogenicity</v>
      </c>
      <c r="AI328" s="175" t="str">
        <f ca="1">IFERROR(__xludf.DUMMYFUNCTION("QUERY('Volunteer Survey'!J327)"),"Gene-Disease Validity")</f>
        <v>Gene-Disease Validity</v>
      </c>
      <c r="AJ328" s="175" t="str">
        <f ca="1">IFERROR(__xludf.DUMMYFUNCTION("QUERY('Volunteer Survey'!K327)"),"Dosage Sensitivity")</f>
        <v>Dosage Sensitivity</v>
      </c>
      <c r="AK328" s="175" t="str">
        <f ca="1">IFERROR(__xludf.DUMMYFUNCTION("QUERY('Volunteer Survey'!L327)"),"Clinical Actionability")</f>
        <v>Clinical Actionability</v>
      </c>
      <c r="AL328" s="175" t="str">
        <f ca="1">IFERROR(__xludf.DUMMYFUNCTION("QUERY('Volunteer Survey'!M327)"),"")</f>
        <v/>
      </c>
      <c r="AM328" s="175" t="str">
        <f ca="1">IFERROR(__xludf.DUMMYFUNCTION("QUERY('Volunteer Survey'!N327)"),"I attended Interpreting Genomes for Rare Disease 2019.")</f>
        <v>I attended Interpreting Genomes for Rare Disease 2019.</v>
      </c>
      <c r="AN328" s="175" t="str">
        <f ca="1">IFERROR(__xludf.DUMMYFUNCTION("QUERY('Volunteer Survey'!O327)"),"Possibly")</f>
        <v>Possibly</v>
      </c>
      <c r="AO328" s="175" t="str">
        <f ca="1">IFERROR(__xludf.DUMMYFUNCTION("QUERY('Volunteer Survey'!P327)"),"Limb Girdle Muscular Dystrophy ")</f>
        <v xml:space="preserve">Limb Girdle Muscular Dystrophy </v>
      </c>
    </row>
    <row r="329" spans="1:41" ht="14">
      <c r="A329" s="44">
        <f ca="1">IFERROR(__xludf.DUMMYFUNCTION("QUERY('Volunteer Survey'!A338)"),43761.4006915509)</f>
        <v>43761.400691550902</v>
      </c>
      <c r="B329" s="42" t="s">
        <v>108</v>
      </c>
      <c r="C329" s="73">
        <v>43819</v>
      </c>
      <c r="D329" s="49"/>
      <c r="E329" s="49"/>
      <c r="F329" s="42" t="s">
        <v>130</v>
      </c>
      <c r="G329" s="42" t="s">
        <v>122</v>
      </c>
      <c r="H329" s="47"/>
      <c r="I329" s="47"/>
      <c r="J329" s="49"/>
      <c r="K329" s="49"/>
      <c r="L329" s="49" t="str">
        <f ca="1">IFERROR(__xludf.DUMMYFUNCTION("QUERY('Volunteer Survey'!B338)"),"Vasiliki Rahimzadeh")</f>
        <v>Vasiliki Rahimzadeh</v>
      </c>
      <c r="M329" s="49" t="str">
        <f ca="1">IFERROR(__xludf.DUMMYFUNCTION("QUERY('Volunteer Survey'!E338)"),"vrahim@stanford.edu")</f>
        <v>vrahim@stanford.edu</v>
      </c>
      <c r="N329" s="49" t="str">
        <f ca="1">IFERROR(__xludf.DUMMYFUNCTION("QUERY('Volunteer Survey'!F338)"),"Postdoctoral fellow ")</f>
        <v xml:space="preserve">Postdoctoral fellow </v>
      </c>
      <c r="O329" s="42" t="str">
        <f ca="1">IFERROR(__xludf.DUMMYFUNCTION("QUERY('Volunteer Survey'!H338)"),"Comprehensive")</f>
        <v>Comprehensive</v>
      </c>
      <c r="P329" s="49" t="str">
        <f ca="1">IFERROR(__xludf.DUMMYFUNCTION("QUERY('Volunteer Survey'!I338)"),"Gene-Disease Validity")</f>
        <v>Gene-Disease Validity</v>
      </c>
      <c r="Q329" s="54" t="str">
        <f ca="1">IFERROR(__xludf.DUMMYFUNCTION("QUERY('Volunteer Survey'!J338)"),"Variant Pathogenicity")</f>
        <v>Variant Pathogenicity</v>
      </c>
      <c r="R329" s="49" t="str">
        <f ca="1">IFERROR(__xludf.DUMMYFUNCTION("QUERY('Volunteer Survey'!K338)"),"Somatic Cancer")</f>
        <v>Somatic Cancer</v>
      </c>
      <c r="S329" s="49" t="str">
        <f ca="1">IFERROR(__xludf.DUMMYFUNCTION("QUERY('Volunteer Survey'!L338)"),"")</f>
        <v/>
      </c>
      <c r="T329" s="49" t="str">
        <f ca="1">IFERROR(__xludf.DUMMYFUNCTION("QUERY('Volunteer Survey'!M338)"),"")</f>
        <v/>
      </c>
      <c r="U329" s="58" t="str">
        <f ca="1">IFERROR(__xludf.DUMMYFUNCTION("QUERY('Volunteer Survey'!N338)"),"No, but have a basic theoretical background of genomic/genetic science ")</f>
        <v xml:space="preserve">No, but have a basic theoretical background of genomic/genetic science </v>
      </c>
      <c r="V329" s="49" t="str">
        <f ca="1">IFERROR(__xludf.DUMMYFUNCTION("QUERY('Volunteer Survey'!O338)"),"Possibly")</f>
        <v>Possibly</v>
      </c>
      <c r="W329" s="60" t="str">
        <f ca="1">IFERROR(__xludf.DUMMYFUNCTION("QUERY('Volunteer Survey'!P338)"),"Yes, pediatric cancer or rare genetic disease ")</f>
        <v xml:space="preserve">Yes, pediatric cancer or rare genetic disease </v>
      </c>
      <c r="X329" s="58" t="str">
        <f ca="1">IFERROR(__xludf.DUMMYFUNCTION("QUERY('Volunteer Survey'!R338)"),"Yes- I am willing to volunteer with any available ClinGen group")</f>
        <v>Yes- I am willing to volunteer with any available ClinGen group</v>
      </c>
      <c r="Y329" s="47"/>
      <c r="Z329" s="174">
        <f ca="1">IFERROR(__xludf.DUMMYFUNCTION("QUERY('Volunteer Survey'!A328)"),43747.5422410532)</f>
        <v>43747.542241053197</v>
      </c>
      <c r="AA329" s="175" t="str">
        <f ca="1">IFERROR(__xludf.DUMMYFUNCTION("QUERY('Volunteer Survey'!B328)"),"Ikeoluwa Osei-Owusu")</f>
        <v>Ikeoluwa Osei-Owusu</v>
      </c>
      <c r="AB329" s="175" t="str">
        <f ca="1">IFERROR(__xludf.DUMMYFUNCTION("QUERY('Volunteer Survey'!C328)"),"Johns Hopkins University School of Medicine")</f>
        <v>Johns Hopkins University School of Medicine</v>
      </c>
      <c r="AC329" s="175" t="str">
        <f ca="1">IFERROR(__xludf.DUMMYFUNCTION("QUERY('Volunteer Survey'!D328)"),"733 N Broadway, MRB 515, Baltimore MD 21205")</f>
        <v>733 N Broadway, MRB 515, Baltimore MD 21205</v>
      </c>
      <c r="AD329" s="175" t="str">
        <f ca="1">IFERROR(__xludf.DUMMYFUNCTION("QUERY('Volunteer Survey'!E328)"),"ikeoluwa@jhmi.edu")</f>
        <v>ikeoluwa@jhmi.edu</v>
      </c>
      <c r="AE329" s="175" t="str">
        <f ca="1">IFERROR(__xludf.DUMMYFUNCTION("QUERY('Volunteer Survey'!F328)"),"Graduate Student")</f>
        <v>Graduate Student</v>
      </c>
      <c r="AF329" s="175" t="str">
        <f ca="1">IFERROR(__xludf.DUMMYFUNCTION("QUERY('Volunteer Survey'!G328)"),"ASHG 2018")</f>
        <v>ASHG 2018</v>
      </c>
      <c r="AG329" s="175" t="str">
        <f ca="1">IFERROR(__xludf.DUMMYFUNCTION("QUERY('Volunteer Survey'!H328)"),"Comprehensive")</f>
        <v>Comprehensive</v>
      </c>
      <c r="AH329" s="175" t="str">
        <f ca="1">IFERROR(__xludf.DUMMYFUNCTION("QUERY('Volunteer Survey'!I328)"),"Gene-Disease Validity")</f>
        <v>Gene-Disease Validity</v>
      </c>
      <c r="AI329" s="175" t="str">
        <f ca="1">IFERROR(__xludf.DUMMYFUNCTION("QUERY('Volunteer Survey'!J328)"),"Variant Pathogenicity")</f>
        <v>Variant Pathogenicity</v>
      </c>
      <c r="AJ329" s="175" t="str">
        <f ca="1">IFERROR(__xludf.DUMMYFUNCTION("QUERY('Volunteer Survey'!K328)"),"Dosage Sensitivity")</f>
        <v>Dosage Sensitivity</v>
      </c>
      <c r="AK329" s="175" t="str">
        <f ca="1">IFERROR(__xludf.DUMMYFUNCTION("QUERY('Volunteer Survey'!L328)"),"Clinical Actionability")</f>
        <v>Clinical Actionability</v>
      </c>
      <c r="AL329" s="175" t="str">
        <f ca="1">IFERROR(__xludf.DUMMYFUNCTION("QUERY('Volunteer Survey'!M328)"),"Somatic Cancer")</f>
        <v>Somatic Cancer</v>
      </c>
      <c r="AM329" s="175" t="str">
        <f ca="1">IFERROR(__xludf.DUMMYFUNCTION("QUERY('Volunteer Survey'!N328)"),"My PhD thesis has required the need to associate genes found to be deleterious in whole genome sequence analyses with known diseases. Thereby, I am familiar with databases such as ClinVar, Online Mendelian Inheritance in Man (OMIM), Development Disorder G"&amp;"enotype - Phenotype Database (DDG2P), and Simons Foundation Autism Research Initiative (SFARI). In addition, I have presented papers on the use of in silico algorithms as a ACMG variant interpretation criteria and its implications on ClinVar submissions. ")</f>
        <v xml:space="preserve">My PhD thesis has required the need to associate genes found to be deleterious in whole genome sequence analyses with known diseases. Thereby, I am familiar with databases such as ClinVar, Online Mendelian Inheritance in Man (OMIM), Development Disorder Genotype - Phenotype Database (DDG2P), and Simons Foundation Autism Research Initiative (SFARI). In addition, I have presented papers on the use of in silico algorithms as a ACMG variant interpretation criteria and its implications on ClinVar submissions. </v>
      </c>
      <c r="AN329" s="175" t="str">
        <f ca="1">IFERROR(__xludf.DUMMYFUNCTION("QUERY('Volunteer Survey'!O328)"),"Possibly")</f>
        <v>Possibly</v>
      </c>
      <c r="AO329" s="175" t="str">
        <f ca="1">IFERROR(__xludf.DUMMYFUNCTION("QUERY('Volunteer Survey'!P328)"),"Neurodevelopmental Dosage Sensitivity Working Group; Brain Malformations Gene Curation Expert Panel; Brain Malformations Variant Curation Expert Panel; Pediatric Actionability Working Group")</f>
        <v>Neurodevelopmental Dosage Sensitivity Working Group; Brain Malformations Gene Curation Expert Panel; Brain Malformations Variant Curation Expert Panel; Pediatric Actionability Working Group</v>
      </c>
    </row>
    <row r="330" spans="1:41" ht="14">
      <c r="A330" s="44">
        <f ca="1">IFERROR(__xludf.DUMMYFUNCTION("QUERY('Volunteer Survey'!A339)"),43761.5122648958)</f>
        <v>43761.512264895799</v>
      </c>
      <c r="B330" s="42" t="s">
        <v>108</v>
      </c>
      <c r="C330" s="73">
        <v>43819</v>
      </c>
      <c r="D330" s="49"/>
      <c r="E330" s="49"/>
      <c r="F330" s="42" t="s">
        <v>130</v>
      </c>
      <c r="G330" s="42" t="s">
        <v>251</v>
      </c>
      <c r="H330" s="47"/>
      <c r="I330" s="47"/>
      <c r="J330" s="49"/>
      <c r="K330" s="49"/>
      <c r="L330" s="49" t="str">
        <f ca="1">IFERROR(__xludf.DUMMYFUNCTION("QUERY('Volunteer Survey'!B339)"),"Guadalupe Carvajal")</f>
        <v>Guadalupe Carvajal</v>
      </c>
      <c r="M330" s="49" t="str">
        <f ca="1">IFERROR(__xludf.DUMMYFUNCTION("QUERY('Volunteer Survey'!E339)"),"gcarvajal18@students.kgi.edu")</f>
        <v>gcarvajal18@students.kgi.edu</v>
      </c>
      <c r="N330" s="49" t="str">
        <f ca="1">IFERROR(__xludf.DUMMYFUNCTION("QUERY('Volunteer Survey'!F339)"),"Genetic counselor")</f>
        <v>Genetic counselor</v>
      </c>
      <c r="O330" s="42" t="str">
        <f ca="1">IFERROR(__xludf.DUMMYFUNCTION("QUERY('Volunteer Survey'!H339)"),"Comprehensive")</f>
        <v>Comprehensive</v>
      </c>
      <c r="P330" s="49" t="str">
        <f ca="1">IFERROR(__xludf.DUMMYFUNCTION("QUERY('Volunteer Survey'!I339)"),"Variant Pathogenicity")</f>
        <v>Variant Pathogenicity</v>
      </c>
      <c r="Q330" s="54" t="str">
        <f ca="1">IFERROR(__xludf.DUMMYFUNCTION("QUERY('Volunteer Survey'!J339)"),"Clinical Actionability")</f>
        <v>Clinical Actionability</v>
      </c>
      <c r="R330" s="49" t="str">
        <f ca="1">IFERROR(__xludf.DUMMYFUNCTION("QUERY('Volunteer Survey'!K339)"),"Somatic Cancer")</f>
        <v>Somatic Cancer</v>
      </c>
      <c r="S330" s="49" t="str">
        <f ca="1">IFERROR(__xludf.DUMMYFUNCTION("QUERY('Volunteer Survey'!L339)"),"Dosage Sensitivity")</f>
        <v>Dosage Sensitivity</v>
      </c>
      <c r="T330" s="49" t="str">
        <f ca="1">IFERROR(__xludf.DUMMYFUNCTION("QUERY('Volunteer Survey'!M339)"),"Gene-Disease Validity")</f>
        <v>Gene-Disease Validity</v>
      </c>
      <c r="U330" s="58" t="str">
        <f ca="1">IFERROR(__xludf.DUMMYFUNCTION("QUERY('Volunteer Survey'!N339)"),"Very basic work done in class")</f>
        <v>Very basic work done in class</v>
      </c>
      <c r="V330" s="49" t="str">
        <f ca="1">IFERROR(__xludf.DUMMYFUNCTION("QUERY('Volunteer Survey'!O339)"),"Yes")</f>
        <v>Yes</v>
      </c>
      <c r="W330" s="60" t="str">
        <f ca="1">IFERROR(__xludf.DUMMYFUNCTION("QUERY('Volunteer Survey'!P339)"),"")</f>
        <v/>
      </c>
      <c r="X330" s="58" t="str">
        <f ca="1">IFERROR(__xludf.DUMMYFUNCTION("QUERY('Volunteer Survey'!R339)"),"")</f>
        <v/>
      </c>
      <c r="Y330" s="47"/>
      <c r="Z330" s="174">
        <f ca="1">IFERROR(__xludf.DUMMYFUNCTION("QUERY('Volunteer Survey'!A329)"),43749.6818134143)</f>
        <v>43749.681813414303</v>
      </c>
      <c r="AA330" s="175" t="str">
        <f ca="1">IFERROR(__xludf.DUMMYFUNCTION("QUERY('Volunteer Survey'!B329)"),"Daniela Martiniuc")</f>
        <v>Daniela Martiniuc</v>
      </c>
      <c r="AB330" s="175" t="str">
        <f ca="1">IFERROR(__xludf.DUMMYFUNCTION("QUERY('Volunteer Survey'!C329)"),"UC Davis Comprehensive Cancer Center")</f>
        <v>UC Davis Comprehensive Cancer Center</v>
      </c>
      <c r="AC330" s="175" t="str">
        <f ca="1">IFERROR(__xludf.DUMMYFUNCTION("QUERY('Volunteer Survey'!D329)"),"2501 X street, building 30, Sacramento, CA 95817")</f>
        <v>2501 X street, building 30, Sacramento, CA 95817</v>
      </c>
      <c r="AD330" s="175" t="str">
        <f ca="1">IFERROR(__xludf.DUMMYFUNCTION("QUERY('Volunteer Survey'!E329)"),"dmartiniuc@ucdavis.edu")</f>
        <v>dmartiniuc@ucdavis.edu</v>
      </c>
      <c r="AE330" s="175" t="str">
        <f ca="1">IFERROR(__xludf.DUMMYFUNCTION("QUERY('Volunteer Survey'!F329)"),"Genetic counselor")</f>
        <v>Genetic counselor</v>
      </c>
      <c r="AF330" s="175" t="str">
        <f ca="1">IFERROR(__xludf.DUMMYFUNCTION("QUERY('Volunteer Survey'!G329)"),"presented at NorCal GC conference ")</f>
        <v xml:space="preserve">presented at NorCal GC conference </v>
      </c>
      <c r="AG330" s="175" t="str">
        <f ca="1">IFERROR(__xludf.DUMMYFUNCTION("QUERY('Volunteer Survey'!H329)"),"Comprehensive")</f>
        <v>Comprehensive</v>
      </c>
      <c r="AH330" s="175" t="str">
        <f ca="1">IFERROR(__xludf.DUMMYFUNCTION("QUERY('Volunteer Survey'!I329)"),"Variant Pathogenicity")</f>
        <v>Variant Pathogenicity</v>
      </c>
      <c r="AI330" s="175" t="str">
        <f ca="1">IFERROR(__xludf.DUMMYFUNCTION("QUERY('Volunteer Survey'!J329)"),"Clinical Actionability")</f>
        <v>Clinical Actionability</v>
      </c>
      <c r="AJ330" s="175" t="str">
        <f ca="1">IFERROR(__xludf.DUMMYFUNCTION("QUERY('Volunteer Survey'!K329)"),"Gene-Disease Validity")</f>
        <v>Gene-Disease Validity</v>
      </c>
      <c r="AK330" s="175" t="str">
        <f ca="1">IFERROR(__xludf.DUMMYFUNCTION("QUERY('Volunteer Survey'!L329)"),"")</f>
        <v/>
      </c>
      <c r="AL330" s="175" t="str">
        <f ca="1">IFERROR(__xludf.DUMMYFUNCTION("QUERY('Volunteer Survey'!M329)"),"")</f>
        <v/>
      </c>
      <c r="AM330" s="175" t="str">
        <f ca="1">IFERROR(__xludf.DUMMYFUNCTION("QUERY('Volunteer Survey'!N329)"),"I have no experience with curation")</f>
        <v>I have no experience with curation</v>
      </c>
      <c r="AN330" s="175" t="str">
        <f ca="1">IFERROR(__xludf.DUMMYFUNCTION("QUERY('Volunteer Survey'!O329)"),"No")</f>
        <v>No</v>
      </c>
      <c r="AO330" s="175" t="str">
        <f ca="1">IFERROR(__xludf.DUMMYFUNCTION("QUERY('Volunteer Survey'!P329)"),"")</f>
        <v/>
      </c>
    </row>
    <row r="331" spans="1:41" ht="14">
      <c r="A331" s="44">
        <f ca="1">IFERROR(__xludf.DUMMYFUNCTION("QUERY('Volunteer Survey'!A340)"),43762.7162558333)</f>
        <v>43762.7162558333</v>
      </c>
      <c r="B331" s="42" t="s">
        <v>108</v>
      </c>
      <c r="C331" s="73">
        <v>43819</v>
      </c>
      <c r="D331" s="49"/>
      <c r="E331" s="49"/>
      <c r="F331" s="42" t="s">
        <v>130</v>
      </c>
      <c r="G331" s="42" t="s">
        <v>251</v>
      </c>
      <c r="H331" s="47"/>
      <c r="I331" s="47"/>
      <c r="J331" s="49"/>
      <c r="K331" s="49"/>
      <c r="L331" s="49" t="str">
        <f ca="1">IFERROR(__xludf.DUMMYFUNCTION("QUERY('Volunteer Survey'!B340)"),"Liang Guo")</f>
        <v>Liang Guo</v>
      </c>
      <c r="M331" s="49" t="str">
        <f ca="1">IFERROR(__xludf.DUMMYFUNCTION("QUERY('Volunteer Survey'!E340)"),"lguo@cvpath.org")</f>
        <v>lguo@cvpath.org</v>
      </c>
      <c r="N331" s="49" t="str">
        <f ca="1">IFERROR(__xludf.DUMMYFUNCTION("QUERY('Volunteer Survey'!F340)"),"Scientific Researcher")</f>
        <v>Scientific Researcher</v>
      </c>
      <c r="O331" s="42" t="str">
        <f ca="1">IFERROR(__xludf.DUMMYFUNCTION("QUERY('Volunteer Survey'!H340)"),"Comprehensive")</f>
        <v>Comprehensive</v>
      </c>
      <c r="P331" s="49" t="str">
        <f ca="1">IFERROR(__xludf.DUMMYFUNCTION("QUERY('Volunteer Survey'!I340)"),"Variant Pathogenicity")</f>
        <v>Variant Pathogenicity</v>
      </c>
      <c r="Q331" s="54" t="str">
        <f ca="1">IFERROR(__xludf.DUMMYFUNCTION("QUERY('Volunteer Survey'!J340)"),"Gene-Disease Validity")</f>
        <v>Gene-Disease Validity</v>
      </c>
      <c r="R331" s="49" t="str">
        <f ca="1">IFERROR(__xludf.DUMMYFUNCTION("QUERY('Volunteer Survey'!K340)"),"Clinical Actionability")</f>
        <v>Clinical Actionability</v>
      </c>
      <c r="S331" s="49" t="str">
        <f ca="1">IFERROR(__xludf.DUMMYFUNCTION("QUERY('Volunteer Survey'!L340)"),"Dosage Sensitivity")</f>
        <v>Dosage Sensitivity</v>
      </c>
      <c r="T331" s="49" t="str">
        <f ca="1">IFERROR(__xludf.DUMMYFUNCTION("QUERY('Volunteer Survey'!M340)"),"Somatic Cancer")</f>
        <v>Somatic Cancer</v>
      </c>
      <c r="U331" s="58" t="str">
        <f ca="1">IFERROR(__xludf.DUMMYFUNCTION("QUERY('Volunteer Survey'!N340)"),"Yes, curation of hypertrophic cardiomyopathy")</f>
        <v>Yes, curation of hypertrophic cardiomyopathy</v>
      </c>
      <c r="V331" s="49" t="str">
        <f ca="1">IFERROR(__xludf.DUMMYFUNCTION("QUERY('Volunteer Survey'!O340)"),"Yes")</f>
        <v>Yes</v>
      </c>
      <c r="W331" s="60" t="str">
        <f ca="1">IFERROR(__xludf.DUMMYFUNCTION("QUERY('Volunteer Survey'!P340)"),"Cardiovascular working group")</f>
        <v>Cardiovascular working group</v>
      </c>
      <c r="X331" s="58" t="str">
        <f ca="1">IFERROR(__xludf.DUMMYFUNCTION("QUERY('Volunteer Survey'!R340)"),"No - I am only interested in the group(s) I previously indicated")</f>
        <v>No - I am only interested in the group(s) I previously indicated</v>
      </c>
      <c r="Y331" s="47"/>
      <c r="Z331" s="174">
        <f ca="1">IFERROR(__xludf.DUMMYFUNCTION("QUERY('Volunteer Survey'!A330)"),43753.641005324)</f>
        <v>43753.641005324003</v>
      </c>
      <c r="AA331" s="175" t="str">
        <f ca="1">IFERROR(__xludf.DUMMYFUNCTION("QUERY('Volunteer Survey'!B330)"),"Emilie Lalonde")</f>
        <v>Emilie Lalonde</v>
      </c>
      <c r="AB331" s="175" t="str">
        <f ca="1">IFERROR(__xludf.DUMMYFUNCTION("QUERY('Volunteer Survey'!C330)"),"Children's Hospital of Philadelphia")</f>
        <v>Children's Hospital of Philadelphia</v>
      </c>
      <c r="AC331" s="175" t="str">
        <f ca="1">IFERROR(__xludf.DUMMYFUNCTION("QUERY('Volunteer Survey'!D330)"),"3500 Civic Center Blvd")</f>
        <v>3500 Civic Center Blvd</v>
      </c>
      <c r="AD331" s="175" t="str">
        <f ca="1">IFERROR(__xludf.DUMMYFUNCTION("QUERY('Volunteer Survey'!E330)"),"lalondee@email.chop.edu")</f>
        <v>lalondee@email.chop.edu</v>
      </c>
      <c r="AE331" s="175" t="str">
        <f ca="1">IFERROR(__xludf.DUMMYFUNCTION("QUERY('Volunteer Survey'!F330)"),"Clinical laboratory geneticist")</f>
        <v>Clinical laboratory geneticist</v>
      </c>
      <c r="AF331" s="175" t="str">
        <f ca="1">IFERROR(__xludf.DUMMYFUNCTION("QUERY('Volunteer Survey'!G330)"),"ClinGen affiliated emails and/or newsletters")</f>
        <v>ClinGen affiliated emails and/or newsletters</v>
      </c>
      <c r="AG331" s="175" t="str">
        <f ca="1">IFERROR(__xludf.DUMMYFUNCTION("QUERY('Volunteer Survey'!H330)"),"Comprehensive")</f>
        <v>Comprehensive</v>
      </c>
      <c r="AH331" s="175" t="str">
        <f ca="1">IFERROR(__xludf.DUMMYFUNCTION("QUERY('Volunteer Survey'!I330)"),"Somatic Cancer")</f>
        <v>Somatic Cancer</v>
      </c>
      <c r="AI331" s="175" t="str">
        <f ca="1">IFERROR(__xludf.DUMMYFUNCTION("QUERY('Volunteer Survey'!J330)"),"Clinical Actionability")</f>
        <v>Clinical Actionability</v>
      </c>
      <c r="AJ331" s="175" t="str">
        <f ca="1">IFERROR(__xludf.DUMMYFUNCTION("QUERY('Volunteer Survey'!K330)"),"Gene-Disease Validity")</f>
        <v>Gene-Disease Validity</v>
      </c>
      <c r="AK331" s="175" t="str">
        <f ca="1">IFERROR(__xludf.DUMMYFUNCTION("QUERY('Volunteer Survey'!L330)"),"Dosage Sensitivity")</f>
        <v>Dosage Sensitivity</v>
      </c>
      <c r="AL331" s="175" t="str">
        <f ca="1">IFERROR(__xludf.DUMMYFUNCTION("QUERY('Volunteer Survey'!M330)"),"Variant Pathogenicity")</f>
        <v>Variant Pathogenicity</v>
      </c>
      <c r="AM331" s="175" t="str">
        <f ca="1">IFERROR(__xludf.DUMMYFUNCTION("QUERY('Volunteer Survey'!N330)"),"Yes within CHOP/Penn labs for new test design and/or standard variant interpretation")</f>
        <v>Yes within CHOP/Penn labs for new test design and/or standard variant interpretation</v>
      </c>
      <c r="AN331" s="175" t="str">
        <f ca="1">IFERROR(__xludf.DUMMYFUNCTION("QUERY('Volunteer Survey'!O330)"),"Possibly")</f>
        <v>Possibly</v>
      </c>
      <c r="AO331" s="175" t="str">
        <f ca="1">IFERROR(__xludf.DUMMYFUNCTION("QUERY('Volunteer Survey'!P330)"),"Somatic cancer WG, hereditary cancer EP, RASopathy EP, Myeloid Malignancy EP, dosage hereditary cancer WG, others as needed")</f>
        <v>Somatic cancer WG, hereditary cancer EP, RASopathy EP, Myeloid Malignancy EP, dosage hereditary cancer WG, others as needed</v>
      </c>
    </row>
    <row r="332" spans="1:41" ht="14">
      <c r="A332" s="44">
        <f ca="1">IFERROR(__xludf.DUMMYFUNCTION("QUERY('Volunteer Survey'!A341)"),43765.7261636226)</f>
        <v>43765.726163622603</v>
      </c>
      <c r="B332" s="42" t="s">
        <v>108</v>
      </c>
      <c r="C332" s="73">
        <v>43819</v>
      </c>
      <c r="D332" s="49"/>
      <c r="E332" s="49"/>
      <c r="F332" s="42" t="s">
        <v>130</v>
      </c>
      <c r="G332" s="42" t="s">
        <v>122</v>
      </c>
      <c r="H332" s="47"/>
      <c r="I332" s="47"/>
      <c r="J332" s="49"/>
      <c r="K332" s="49"/>
      <c r="L332" s="49" t="str">
        <f ca="1">IFERROR(__xludf.DUMMYFUNCTION("QUERY('Volunteer Survey'!B341)"),"Sha Tang")</f>
        <v>Sha Tang</v>
      </c>
      <c r="M332" s="49" t="str">
        <f ca="1">IFERROR(__xludf.DUMMYFUNCTION("QUERY('Volunteer Survey'!E341)"),"stang@wuxinextcode.cm")</f>
        <v>stang@wuxinextcode.cm</v>
      </c>
      <c r="N332" s="49" t="str">
        <f ca="1">IFERROR(__xludf.DUMMYFUNCTION("QUERY('Volunteer Survey'!F341)"),"Clinical laboratory geneticist")</f>
        <v>Clinical laboratory geneticist</v>
      </c>
      <c r="O332" s="42" t="str">
        <f ca="1">IFERROR(__xludf.DUMMYFUNCTION("QUERY('Volunteer Survey'!H341)"),"Comprehensive")</f>
        <v>Comprehensive</v>
      </c>
      <c r="P332" s="49" t="str">
        <f ca="1">IFERROR(__xludf.DUMMYFUNCTION("QUERY('Volunteer Survey'!I341)"),"Gene-Disease Validity")</f>
        <v>Gene-Disease Validity</v>
      </c>
      <c r="Q332" s="54" t="str">
        <f ca="1">IFERROR(__xludf.DUMMYFUNCTION("QUERY('Volunteer Survey'!J341)"),"Variant Pathogenicity")</f>
        <v>Variant Pathogenicity</v>
      </c>
      <c r="R332" s="49" t="str">
        <f ca="1">IFERROR(__xludf.DUMMYFUNCTION("QUERY('Volunteer Survey'!K341)"),"Dosage Sensitivity")</f>
        <v>Dosage Sensitivity</v>
      </c>
      <c r="S332" s="49" t="str">
        <f ca="1">IFERROR(__xludf.DUMMYFUNCTION("QUERY('Volunteer Survey'!L341)"),"Clinical Actionability")</f>
        <v>Clinical Actionability</v>
      </c>
      <c r="T332" s="49" t="str">
        <f ca="1">IFERROR(__xludf.DUMMYFUNCTION("QUERY('Volunteer Survey'!M341)"),"Somatic Cancer")</f>
        <v>Somatic Cancer</v>
      </c>
      <c r="U332" s="58" t="str">
        <f ca="1">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V332" s="49" t="str">
        <f ca="1">IFERROR(__xludf.DUMMYFUNCTION("QUERY('Volunteer Survey'!O341)"),"Yes")</f>
        <v>Yes</v>
      </c>
      <c r="W332" s="60" t="str">
        <f ca="1">IFERROR(__xludf.DUMMYFUNCTION("QUERY('Volunteer Survey'!P341)"),"Intellectual Disability and Autism, Mitochondrial Diseases")</f>
        <v>Intellectual Disability and Autism, Mitochondrial Diseases</v>
      </c>
      <c r="X332" s="58" t="str">
        <f ca="1">IFERROR(__xludf.DUMMYFUNCTION("QUERY('Volunteer Survey'!R341)"),"Maybe -- please contact me with other options, and I will decide based on what is available")</f>
        <v>Maybe -- please contact me with other options, and I will decide based on what is available</v>
      </c>
      <c r="Y332" s="47"/>
      <c r="Z332" s="174">
        <f ca="1">IFERROR(__xludf.DUMMYFUNCTION("QUERY('Volunteer Survey'!A331)"),43755.5373836342)</f>
        <v>43755.537383634197</v>
      </c>
      <c r="AA332" s="175" t="str">
        <f ca="1">IFERROR(__xludf.DUMMYFUNCTION("QUERY('Volunteer Survey'!B331)"),"Elizabeth Ewen")</f>
        <v>Elizabeth Ewen</v>
      </c>
      <c r="AB332" s="175" t="str">
        <f ca="1">IFERROR(__xludf.DUMMYFUNCTION("QUERY('Volunteer Survey'!C331)"),"Agilent")</f>
        <v>Agilent</v>
      </c>
      <c r="AC332" s="175" t="str">
        <f ca="1">IFERROR(__xludf.DUMMYFUNCTION("QUERY('Volunteer Survey'!D331)"),"403 Prudden Lane Orange, CT 06477")</f>
        <v>403 Prudden Lane Orange, CT 06477</v>
      </c>
      <c r="AD332" s="175" t="str">
        <f ca="1">IFERROR(__xludf.DUMMYFUNCTION("QUERY('Volunteer Survey'!E331)"),"elizabeth.ewen@agilent.com")</f>
        <v>elizabeth.ewen@agilent.com</v>
      </c>
      <c r="AE332" s="175" t="str">
        <f ca="1">IFERROR(__xludf.DUMMYFUNCTION("QUERY('Volunteer Survey'!F331)"),"Variant Analyst/Scientist - Industry")</f>
        <v>Variant Analyst/Scientist - Industry</v>
      </c>
      <c r="AF332" s="175" t="str">
        <f ca="1">IFERROR(__xludf.DUMMYFUNCTION("QUERY('Volunteer Survey'!G331)"),"ASHG 2019, Networking, Colleagues")</f>
        <v>ASHG 2019, Networking, Colleagues</v>
      </c>
      <c r="AG332" s="175" t="str">
        <f ca="1">IFERROR(__xludf.DUMMYFUNCTION("QUERY('Volunteer Survey'!H331)"),"Comprehensive")</f>
        <v>Comprehensive</v>
      </c>
      <c r="AH332" s="175" t="str">
        <f ca="1">IFERROR(__xludf.DUMMYFUNCTION("QUERY('Volunteer Survey'!I331)"),"Variant Pathogenicity")</f>
        <v>Variant Pathogenicity</v>
      </c>
      <c r="AI332" s="175" t="str">
        <f ca="1">IFERROR(__xludf.DUMMYFUNCTION("QUERY('Volunteer Survey'!J331)"),"Gene-Disease Validity")</f>
        <v>Gene-Disease Validity</v>
      </c>
      <c r="AJ332" s="175" t="str">
        <f ca="1">IFERROR(__xludf.DUMMYFUNCTION("QUERY('Volunteer Survey'!K331)"),"Clinical Actionability")</f>
        <v>Clinical Actionability</v>
      </c>
      <c r="AK332" s="175" t="str">
        <f ca="1">IFERROR(__xludf.DUMMYFUNCTION("QUERY('Volunteer Survey'!L331)"),"Somatic Cancer")</f>
        <v>Somatic Cancer</v>
      </c>
      <c r="AL332" s="175" t="str">
        <f ca="1">IFERROR(__xludf.DUMMYFUNCTION("QUERY('Volunteer Survey'!M331)"),"Dosage Sensitivity")</f>
        <v>Dosage Sensitivity</v>
      </c>
      <c r="AM332" s="175" t="str">
        <f ca="1">IFERROR(__xludf.DUMMYFUNCTION("QUERY('Volunteer Survey'!N331)"),"Helping customers find clinically relevant/pathogenic variants")</f>
        <v>Helping customers find clinically relevant/pathogenic variants</v>
      </c>
      <c r="AN332" s="175" t="str">
        <f ca="1">IFERROR(__xludf.DUMMYFUNCTION("QUERY('Volunteer Survey'!O331)"),"Possibly")</f>
        <v>Possibly</v>
      </c>
      <c r="AO332" s="175" t="str">
        <f ca="1">IFERROR(__xludf.DUMMYFUNCTION("QUERY('Volunteer Survey'!P331)"),"")</f>
        <v/>
      </c>
    </row>
    <row r="333" spans="1:41" ht="14">
      <c r="A333" s="44">
        <f ca="1">IFERROR(__xludf.DUMMYFUNCTION("QUERY('Volunteer Survey'!A342)"),43766.531923831)</f>
        <v>43766.531923830997</v>
      </c>
      <c r="B333" s="42" t="s">
        <v>322</v>
      </c>
      <c r="C333" s="47"/>
      <c r="D333" s="49"/>
      <c r="E333" s="49"/>
      <c r="F333" s="42" t="s">
        <v>130</v>
      </c>
      <c r="G333" s="42" t="s">
        <v>313</v>
      </c>
      <c r="H333" s="47"/>
      <c r="I333" s="47"/>
      <c r="J333" s="49"/>
      <c r="K333" s="49"/>
      <c r="L333" s="49" t="str">
        <f ca="1">IFERROR(__xludf.DUMMYFUNCTION("QUERY('Volunteer Survey'!B342)"),"Patrick Forny")</f>
        <v>Patrick Forny</v>
      </c>
      <c r="M333" s="49" t="str">
        <f ca="1">IFERROR(__xludf.DUMMYFUNCTION("QUERY('Volunteer Survey'!E342)"),"patrick.forny@kispi.uzh.ch")</f>
        <v>patrick.forny@kispi.uzh.ch</v>
      </c>
      <c r="N333" s="49" t="str">
        <f ca="1">IFERROR(__xludf.DUMMYFUNCTION("QUERY('Volunteer Survey'!F342)"),"Post Doc/Resident/Fellow (MD and/or PhD)")</f>
        <v>Post Doc/Resident/Fellow (MD and/or PhD)</v>
      </c>
      <c r="O333" s="42" t="str">
        <f ca="1">IFERROR(__xludf.DUMMYFUNCTION("QUERY('Volunteer Survey'!H342)"),"Baseline")</f>
        <v>Baseline</v>
      </c>
      <c r="P333" s="49" t="str">
        <f ca="1">IFERROR(__xludf.DUMMYFUNCTION("QUERY('Volunteer Survey'!I342)"),"Gene-Disease Validity, Variant Pathogenicity")</f>
        <v>Gene-Disease Validity, Variant Pathogenicity</v>
      </c>
      <c r="Q333" s="54" t="str">
        <f ca="1">IFERROR(__xludf.DUMMYFUNCTION("QUERY('Volunteer Survey'!J342)"),"Clinical Actionability")</f>
        <v>Clinical Actionability</v>
      </c>
      <c r="R333" s="49" t="str">
        <f ca="1">IFERROR(__xludf.DUMMYFUNCTION("QUERY('Volunteer Survey'!K342)"),"Dosage Sensitivity")</f>
        <v>Dosage Sensitivity</v>
      </c>
      <c r="S333" s="49" t="str">
        <f ca="1">IFERROR(__xludf.DUMMYFUNCTION("QUERY('Volunteer Survey'!L342)"),"Somatic Cancer")</f>
        <v>Somatic Cancer</v>
      </c>
      <c r="T333" s="49" t="str">
        <f ca="1">IFERROR(__xludf.DUMMYFUNCTION("QUERY('Volunteer Survey'!M342)"),"")</f>
        <v/>
      </c>
      <c r="U333" s="58" t="str">
        <f ca="1">IFERROR(__xludf.DUMMYFUNCTION("QUERY('Volunteer Survey'!N342)"),"")</f>
        <v/>
      </c>
      <c r="V333" s="49" t="str">
        <f ca="1">IFERROR(__xludf.DUMMYFUNCTION("QUERY('Volunteer Survey'!O342)"),"No")</f>
        <v>No</v>
      </c>
      <c r="W333" s="60" t="str">
        <f ca="1">IFERROR(__xludf.DUMMYFUNCTION("QUERY('Volunteer Survey'!P342)"),"")</f>
        <v/>
      </c>
      <c r="X333" s="58" t="str">
        <f ca="1">IFERROR(__xludf.DUMMYFUNCTION("QUERY('Volunteer Survey'!R342)"),"No - I am only interested in the group(s) I previously indicated")</f>
        <v>No - I am only interested in the group(s) I previously indicated</v>
      </c>
      <c r="Y333" s="47"/>
      <c r="Z333" s="174">
        <f ca="1">IFERROR(__xludf.DUMMYFUNCTION("QUERY('Volunteer Survey'!A332)"),43755.5898295833)</f>
        <v>43755.589829583303</v>
      </c>
      <c r="AA333" s="175" t="str">
        <f ca="1">IFERROR(__xludf.DUMMYFUNCTION("QUERY('Volunteer Survey'!B332)"),"Brigette Brown-Kipphut")</f>
        <v>Brigette Brown-Kipphut</v>
      </c>
      <c r="AB333" s="175" t="str">
        <f ca="1">IFERROR(__xludf.DUMMYFUNCTION("QUERY('Volunteer Survey'!C332)"),"Agilent - previously CHOP")</f>
        <v>Agilent - previously CHOP</v>
      </c>
      <c r="AC333" s="175" t="str">
        <f ca="1">IFERROR(__xludf.DUMMYFUNCTION("QUERY('Volunteer Survey'!D332)"),"")</f>
        <v/>
      </c>
      <c r="AD333" s="175" t="str">
        <f ca="1">IFERROR(__xludf.DUMMYFUNCTION("QUERY('Volunteer Survey'!E332)"),"brigette.kipphut@agilent.com")</f>
        <v>brigette.kipphut@agilent.com</v>
      </c>
      <c r="AE333" s="175" t="str">
        <f ca="1">IFERROR(__xludf.DUMMYFUNCTION("QUERY('Volunteer Survey'!F332)"),"Variant Analyst/Scientist - Industry")</f>
        <v>Variant Analyst/Scientist - Industry</v>
      </c>
      <c r="AF333" s="175" t="str">
        <f ca="1">IFERROR(__xludf.DUMMYFUNCTION("QUERY('Volunteer Survey'!G332)"),"ASHG 2019, Colleagues")</f>
        <v>ASHG 2019, Colleagues</v>
      </c>
      <c r="AG333" s="175" t="str">
        <f ca="1">IFERROR(__xludf.DUMMYFUNCTION("QUERY('Volunteer Survey'!H332)"),"Baseline")</f>
        <v>Baseline</v>
      </c>
      <c r="AH333" s="175" t="str">
        <f ca="1">IFERROR(__xludf.DUMMYFUNCTION("QUERY('Volunteer Survey'!I332)"),"Variant Pathogenicity")</f>
        <v>Variant Pathogenicity</v>
      </c>
      <c r="AI333" s="175" t="str">
        <f ca="1">IFERROR(__xludf.DUMMYFUNCTION("QUERY('Volunteer Survey'!J332)"),"Gene-Disease Validity")</f>
        <v>Gene-Disease Validity</v>
      </c>
      <c r="AJ333" s="175" t="str">
        <f ca="1">IFERROR(__xludf.DUMMYFUNCTION("QUERY('Volunteer Survey'!K332)"),"Clinical Actionability")</f>
        <v>Clinical Actionability</v>
      </c>
      <c r="AK333" s="175" t="str">
        <f ca="1">IFERROR(__xludf.DUMMYFUNCTION("QUERY('Volunteer Survey'!L332)"),"Somatic Cancer")</f>
        <v>Somatic Cancer</v>
      </c>
      <c r="AL333" s="175" t="str">
        <f ca="1">IFERROR(__xludf.DUMMYFUNCTION("QUERY('Volunteer Survey'!M332)"),"Dosage Sensitivity")</f>
        <v>Dosage Sensitivity</v>
      </c>
      <c r="AM333" s="175" t="str">
        <f ca="1">IFERROR(__xludf.DUMMYFUNCTION("QUERY('Volunteer Survey'!N332)"),"Yes - performed variant analysis for NGS at CHOP and internally at Agilent")</f>
        <v>Yes - performed variant analysis for NGS at CHOP and internally at Agilent</v>
      </c>
      <c r="AN333" s="175" t="str">
        <f ca="1">IFERROR(__xludf.DUMMYFUNCTION("QUERY('Volunteer Survey'!O332)"),"Yes")</f>
        <v>Yes</v>
      </c>
      <c r="AO333" s="175" t="str">
        <f ca="1">IFERROR(__xludf.DUMMYFUNCTION("QUERY('Volunteer Survey'!P332)"),"")</f>
        <v/>
      </c>
    </row>
    <row r="334" spans="1:41" ht="14">
      <c r="A334" s="44">
        <f ca="1">IFERROR(__xludf.DUMMYFUNCTION("QUERY('Volunteer Survey'!A343)"),43767.2022327662)</f>
        <v>43767.202232766198</v>
      </c>
      <c r="B334" s="42" t="s">
        <v>322</v>
      </c>
      <c r="C334" s="47"/>
      <c r="D334" s="49"/>
      <c r="E334" s="49"/>
      <c r="F334" s="42" t="s">
        <v>130</v>
      </c>
      <c r="G334" s="42" t="s">
        <v>313</v>
      </c>
      <c r="H334" s="47"/>
      <c r="I334" s="47"/>
      <c r="J334" s="49"/>
      <c r="K334" s="49"/>
      <c r="L334" s="49" t="str">
        <f ca="1">IFERROR(__xludf.DUMMYFUNCTION("QUERY('Volunteer Survey'!B343)"),"Ximena Bonilla")</f>
        <v>Ximena Bonilla</v>
      </c>
      <c r="M334" s="49" t="str">
        <f ca="1">IFERROR(__xludf.DUMMYFUNCTION("QUERY('Volunteer Survey'!E343)"),"ximena.bonilla@inf.ethz.ch")</f>
        <v>ximena.bonilla@inf.ethz.ch</v>
      </c>
      <c r="N334" s="49" t="str">
        <f ca="1">IFERROR(__xludf.DUMMYFUNCTION("QUERY('Volunteer Survey'!F343)"),"Post Doc/Resident/Fellow (MD and/or PhD)")</f>
        <v>Post Doc/Resident/Fellow (MD and/or PhD)</v>
      </c>
      <c r="O334" s="42" t="str">
        <f ca="1">IFERROR(__xludf.DUMMYFUNCTION("QUERY('Volunteer Survey'!H343)"),"Baseline")</f>
        <v>Baseline</v>
      </c>
      <c r="P334" s="49" t="str">
        <f ca="1">IFERROR(__xludf.DUMMYFUNCTION("QUERY('Volunteer Survey'!I343)"),"Variant Pathogenicity")</f>
        <v>Variant Pathogenicity</v>
      </c>
      <c r="Q334" s="54" t="str">
        <f ca="1">IFERROR(__xludf.DUMMYFUNCTION("QUERY('Volunteer Survey'!J343)"),"Dosage Sensitivity")</f>
        <v>Dosage Sensitivity</v>
      </c>
      <c r="R334" s="49" t="str">
        <f ca="1">IFERROR(__xludf.DUMMYFUNCTION("QUERY('Volunteer Survey'!K343)"),"Gene-Disease Validity")</f>
        <v>Gene-Disease Validity</v>
      </c>
      <c r="S334" s="49" t="str">
        <f ca="1">IFERROR(__xludf.DUMMYFUNCTION("QUERY('Volunteer Survey'!L343)"),"")</f>
        <v/>
      </c>
      <c r="T334" s="49" t="str">
        <f ca="1">IFERROR(__xludf.DUMMYFUNCTION("QUERY('Volunteer Survey'!M343)"),"")</f>
        <v/>
      </c>
      <c r="U334" s="58" t="str">
        <f ca="1">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V334" s="49" t="str">
        <f ca="1">IFERROR(__xludf.DUMMYFUNCTION("QUERY('Volunteer Survey'!O343)"),"Possibly")</f>
        <v>Possibly</v>
      </c>
      <c r="W334" s="60" t="str">
        <f ca="1">IFERROR(__xludf.DUMMYFUNCTION("QUERY('Volunteer Survey'!P343)"),"")</f>
        <v/>
      </c>
      <c r="X334" s="58" t="str">
        <f ca="1">IFERROR(__xludf.DUMMYFUNCTION("QUERY('Volunteer Survey'!R343)"),"Yes- I am willing to volunteer with any available ClinGen group")</f>
        <v>Yes- I am willing to volunteer with any available ClinGen group</v>
      </c>
      <c r="Y334" s="47"/>
      <c r="Z334" s="174">
        <f ca="1">IFERROR(__xludf.DUMMYFUNCTION("QUERY('Volunteer Survey'!A333)"),43755.7747853356)</f>
        <v>43755.774785335598</v>
      </c>
      <c r="AA334" s="175" t="str">
        <f ca="1">IFERROR(__xludf.DUMMYFUNCTION("QUERY('Volunteer Survey'!B333)"),"KC Vavra")</f>
        <v>KC Vavra</v>
      </c>
      <c r="AB334" s="175" t="str">
        <f ca="1">IFERROR(__xludf.DUMMYFUNCTION("QUERY('Volunteer Survey'!C333)"),"Agilent Technologies")</f>
        <v>Agilent Technologies</v>
      </c>
      <c r="AC334" s="175" t="str">
        <f ca="1">IFERROR(__xludf.DUMMYFUNCTION("QUERY('Volunteer Survey'!D333)"),"")</f>
        <v/>
      </c>
      <c r="AD334" s="175" t="str">
        <f ca="1">IFERROR(__xludf.DUMMYFUNCTION("QUERY('Volunteer Survey'!E333)"),"kc.vavra@agilent.com")</f>
        <v>kc.vavra@agilent.com</v>
      </c>
      <c r="AE334" s="175" t="str">
        <f ca="1">IFERROR(__xludf.DUMMYFUNCTION("QUERY('Volunteer Survey'!F333)"),"Citizen Scientist/Patient Advocate")</f>
        <v>Citizen Scientist/Patient Advocate</v>
      </c>
      <c r="AF334" s="175" t="str">
        <f ca="1">IFERROR(__xludf.DUMMYFUNCTION("QUERY('Volunteer Survey'!G333)"),"ASHG 2019, Colleagues")</f>
        <v>ASHG 2019, Colleagues</v>
      </c>
      <c r="AG334" s="175" t="str">
        <f ca="1">IFERROR(__xludf.DUMMYFUNCTION("QUERY('Volunteer Survey'!H333)"),"Comprehensive")</f>
        <v>Comprehensive</v>
      </c>
      <c r="AH334" s="175" t="str">
        <f ca="1">IFERROR(__xludf.DUMMYFUNCTION("QUERY('Volunteer Survey'!I333)"),"Somatic Cancer")</f>
        <v>Somatic Cancer</v>
      </c>
      <c r="AI334" s="175" t="str">
        <f ca="1">IFERROR(__xludf.DUMMYFUNCTION("QUERY('Volunteer Survey'!J333)"),"Gene-Disease Validity")</f>
        <v>Gene-Disease Validity</v>
      </c>
      <c r="AJ334" s="175" t="str">
        <f ca="1">IFERROR(__xludf.DUMMYFUNCTION("QUERY('Volunteer Survey'!K333)"),"Clinical Actionability")</f>
        <v>Clinical Actionability</v>
      </c>
      <c r="AK334" s="175" t="str">
        <f ca="1">IFERROR(__xludf.DUMMYFUNCTION("QUERY('Volunteer Survey'!L333)"),"Dosage Sensitivity")</f>
        <v>Dosage Sensitivity</v>
      </c>
      <c r="AL334" s="175" t="str">
        <f ca="1">IFERROR(__xludf.DUMMYFUNCTION("QUERY('Volunteer Survey'!M333)"),"Variant Pathogenicity")</f>
        <v>Variant Pathogenicity</v>
      </c>
      <c r="AM334" s="175" t="str">
        <f ca="1">IFERROR(__xludf.DUMMYFUNCTION("QUERY('Volunteer Survey'!N333)"),"Variant curation in tumor/normal matched samples in ovarian cancer for a private database. Currently assisting customers or Agilent with various curation databases and understanding of curated variants.")</f>
        <v>Variant curation in tumor/normal matched samples in ovarian cancer for a private database. Currently assisting customers or Agilent with various curation databases and understanding of curated variants.</v>
      </c>
      <c r="AN334" s="175" t="str">
        <f ca="1">IFERROR(__xludf.DUMMYFUNCTION("QUERY('Volunteer Survey'!O333)"),"Possibly")</f>
        <v>Possibly</v>
      </c>
      <c r="AO334" s="175" t="str">
        <f ca="1">IFERROR(__xludf.DUMMYFUNCTION("QUERY('Volunteer Survey'!P333)"),"")</f>
        <v/>
      </c>
    </row>
    <row r="335" spans="1:41" ht="14">
      <c r="A335" s="44">
        <f ca="1">IFERROR(__xludf.DUMMYFUNCTION("QUERY('Volunteer Survey'!A344)"),43767.6245374074)</f>
        <v>43767.624537407399</v>
      </c>
      <c r="B335" s="42" t="s">
        <v>108</v>
      </c>
      <c r="C335" s="73">
        <v>43819</v>
      </c>
      <c r="D335" s="49"/>
      <c r="E335" s="49"/>
      <c r="F335" s="42" t="s">
        <v>130</v>
      </c>
      <c r="G335" s="42" t="s">
        <v>122</v>
      </c>
      <c r="H335" s="47"/>
      <c r="I335" s="47"/>
      <c r="J335" s="49"/>
      <c r="K335" s="49"/>
      <c r="L335" s="49" t="str">
        <f ca="1">IFERROR(__xludf.DUMMYFUNCTION("QUERY('Volunteer Survey'!B344)"),"Steve Waring")</f>
        <v>Steve Waring</v>
      </c>
      <c r="M335" s="49" t="str">
        <f ca="1">IFERROR(__xludf.DUMMYFUNCTION("QUERY('Volunteer Survey'!E344)"),"stephen.waring@essentiahealth.org")</f>
        <v>stephen.waring@essentiahealth.org</v>
      </c>
      <c r="N335" s="49" t="str">
        <f ca="1">IFERROR(__xludf.DUMMYFUNCTION("QUERY('Volunteer Survey'!F344)"),"Scientific Researcher")</f>
        <v>Scientific Researcher</v>
      </c>
      <c r="O335" s="42" t="str">
        <f ca="1">IFERROR(__xludf.DUMMYFUNCTION("QUERY('Volunteer Survey'!H344)"),"Comprehensive")</f>
        <v>Comprehensive</v>
      </c>
      <c r="P335" s="49" t="str">
        <f ca="1">IFERROR(__xludf.DUMMYFUNCTION("QUERY('Volunteer Survey'!I344)"),"Gene-Disease Validity")</f>
        <v>Gene-Disease Validity</v>
      </c>
      <c r="Q335" s="54" t="str">
        <f ca="1">IFERROR(__xludf.DUMMYFUNCTION("QUERY('Volunteer Survey'!J344)"),"Clinical Actionability")</f>
        <v>Clinical Actionability</v>
      </c>
      <c r="R335" s="49" t="str">
        <f ca="1">IFERROR(__xludf.DUMMYFUNCTION("QUERY('Volunteer Survey'!K344)"),"")</f>
        <v/>
      </c>
      <c r="S335" s="49" t="str">
        <f ca="1">IFERROR(__xludf.DUMMYFUNCTION("QUERY('Volunteer Survey'!L344)"),"")</f>
        <v/>
      </c>
      <c r="T335" s="49" t="str">
        <f ca="1">IFERROR(__xludf.DUMMYFUNCTION("QUERY('Volunteer Survey'!M344)"),"")</f>
        <v/>
      </c>
      <c r="U335" s="58" t="str">
        <f ca="1">IFERROR(__xludf.DUMMYFUNCTION("QUERY('Volunteer Survey'!N344)"),"Genetic epidemiology research involving gene-gene and gene-env interactions; PGx")</f>
        <v>Genetic epidemiology research involving gene-gene and gene-env interactions; PGx</v>
      </c>
      <c r="V335" s="49" t="str">
        <f ca="1">IFERROR(__xludf.DUMMYFUNCTION("QUERY('Volunteer Survey'!O344)"),"No")</f>
        <v>No</v>
      </c>
      <c r="W335" s="60" t="str">
        <f ca="1">IFERROR(__xludf.DUMMYFUNCTION("QUERY('Volunteer Survey'!P344)"),"Open to assignment based on greatest need")</f>
        <v>Open to assignment based on greatest need</v>
      </c>
      <c r="X335" s="58" t="str">
        <f ca="1">IFERROR(__xludf.DUMMYFUNCTION("QUERY('Volunteer Survey'!R344)"),"Yes- I am willing to volunteer with any available ClinGen group")</f>
        <v>Yes- I am willing to volunteer with any available ClinGen group</v>
      </c>
      <c r="Y335" s="47"/>
      <c r="Z335" s="174">
        <f ca="1">IFERROR(__xludf.DUMMYFUNCTION("QUERY('Volunteer Survey'!A334)"),43756.6804716087)</f>
        <v>43756.680471608699</v>
      </c>
      <c r="AA335" s="175" t="str">
        <f ca="1">IFERROR(__xludf.DUMMYFUNCTION("QUERY('Volunteer Survey'!B334)"),"Chisato Yamasaki")</f>
        <v>Chisato Yamasaki</v>
      </c>
      <c r="AB335" s="175" t="str">
        <f ca="1">IFERROR(__xludf.DUMMYFUNCTION("QUERY('Volunteer Survey'!C334)"),"Osaka Univ., Japan")</f>
        <v>Osaka Univ., Japan</v>
      </c>
      <c r="AC335" s="175" t="str">
        <f ca="1">IFERROR(__xludf.DUMMYFUNCTION("QUERY('Volunteer Survey'!D334)"),"")</f>
        <v/>
      </c>
      <c r="AD335" s="175" t="str">
        <f ca="1">IFERROR(__xludf.DUMMYFUNCTION("QUERY('Volunteer Survey'!E334)"),"cyamasak@eth.med.osaka-u.ac.jp")</f>
        <v>cyamasak@eth.med.osaka-u.ac.jp</v>
      </c>
      <c r="AE335" s="175" t="str">
        <f ca="1">IFERROR(__xludf.DUMMYFUNCTION("QUERY('Volunteer Survey'!F334)"),"Post Doc/Resident/Fellow (MD and/or PhD)")</f>
        <v>Post Doc/Resident/Fellow (MD and/or PhD)</v>
      </c>
      <c r="AF335" s="175" t="str">
        <f ca="1">IFERROR(__xludf.DUMMYFUNCTION("QUERY('Volunteer Survey'!G334)"),"ASHG 2019")</f>
        <v>ASHG 2019</v>
      </c>
      <c r="AG335" s="175" t="str">
        <f ca="1">IFERROR(__xludf.DUMMYFUNCTION("QUERY('Volunteer Survey'!H334)"),"Baseline")</f>
        <v>Baseline</v>
      </c>
      <c r="AH335" s="175" t="str">
        <f ca="1">IFERROR(__xludf.DUMMYFUNCTION("QUERY('Volunteer Survey'!I334)"),"Gene-Disease Validity")</f>
        <v>Gene-Disease Validity</v>
      </c>
      <c r="AI335" s="175" t="str">
        <f ca="1">IFERROR(__xludf.DUMMYFUNCTION("QUERY('Volunteer Survey'!J334)"),"Variant Pathogenicity")</f>
        <v>Variant Pathogenicity</v>
      </c>
      <c r="AJ335" s="175" t="str">
        <f ca="1">IFERROR(__xludf.DUMMYFUNCTION("QUERY('Volunteer Survey'!K334)"),"Clinical Actionability")</f>
        <v>Clinical Actionability</v>
      </c>
      <c r="AK335" s="175" t="str">
        <f ca="1">IFERROR(__xludf.DUMMYFUNCTION("QUERY('Volunteer Survey'!L334)"),"")</f>
        <v/>
      </c>
      <c r="AL335" s="175" t="str">
        <f ca="1">IFERROR(__xludf.DUMMYFUNCTION("QUERY('Volunteer Survey'!M334)"),"")</f>
        <v/>
      </c>
      <c r="AM335" s="175" t="str">
        <f ca="1">IFERROR(__xludf.DUMMYFUNCTION("QUERY('Volunteer Survey'!N334)"),"H-inv")</f>
        <v>H-inv</v>
      </c>
      <c r="AN335" s="175" t="str">
        <f ca="1">IFERROR(__xludf.DUMMYFUNCTION("QUERY('Volunteer Survey'!O334)"),"Yes")</f>
        <v>Yes</v>
      </c>
      <c r="AO335" s="175" t="str">
        <f ca="1">IFERROR(__xludf.DUMMYFUNCTION("QUERY('Volunteer Survey'!P334)"),"")</f>
        <v/>
      </c>
    </row>
    <row r="336" spans="1:41" ht="14">
      <c r="A336" s="44">
        <f ca="1">IFERROR(__xludf.DUMMYFUNCTION("QUERY('Volunteer Survey'!A345)"),43769.5390624537)</f>
        <v>43769.539062453703</v>
      </c>
      <c r="B336" s="42" t="s">
        <v>108</v>
      </c>
      <c r="C336" s="73">
        <v>43819</v>
      </c>
      <c r="D336" s="49"/>
      <c r="E336" s="49"/>
      <c r="F336" s="42" t="s">
        <v>130</v>
      </c>
      <c r="G336" s="42" t="s">
        <v>251</v>
      </c>
      <c r="H336" s="47"/>
      <c r="I336" s="45" t="s">
        <v>356</v>
      </c>
      <c r="J336" s="49"/>
      <c r="K336" s="49"/>
      <c r="L336" s="49" t="str">
        <f ca="1">IFERROR(__xludf.DUMMYFUNCTION("QUERY('Volunteer Survey'!B345)"),"Abul Kalam Azad")</f>
        <v>Abul Kalam Azad</v>
      </c>
      <c r="M336" s="49" t="str">
        <f ca="1">IFERROR(__xludf.DUMMYFUNCTION("QUERY('Volunteer Survey'!E345)"),"azadak@gmail.com")</f>
        <v>azadak@gmail.com</v>
      </c>
      <c r="N336" s="49" t="str">
        <f ca="1">IFERROR(__xludf.DUMMYFUNCTION("QUERY('Volunteer Survey'!F345)"),"Post Doc/Resident/Fellow (MD and/or PhD)")</f>
        <v>Post Doc/Resident/Fellow (MD and/or PhD)</v>
      </c>
      <c r="O336" s="42" t="str">
        <f ca="1">IFERROR(__xludf.DUMMYFUNCTION("QUERY('Volunteer Survey'!H345)"),"Comprehensive")</f>
        <v>Comprehensive</v>
      </c>
      <c r="P336" s="49" t="str">
        <f ca="1">IFERROR(__xludf.DUMMYFUNCTION("QUERY('Volunteer Survey'!I345)"),"Variant Pathogenicity")</f>
        <v>Variant Pathogenicity</v>
      </c>
      <c r="Q336" s="54" t="str">
        <f ca="1">IFERROR(__xludf.DUMMYFUNCTION("QUERY('Volunteer Survey'!J345)"),"")</f>
        <v/>
      </c>
      <c r="R336" s="49" t="str">
        <f ca="1">IFERROR(__xludf.DUMMYFUNCTION("QUERY('Volunteer Survey'!K345)"),"")</f>
        <v/>
      </c>
      <c r="S336" s="49" t="str">
        <f ca="1">IFERROR(__xludf.DUMMYFUNCTION("QUERY('Volunteer Survey'!L345)"),"")</f>
        <v/>
      </c>
      <c r="T336" s="49" t="str">
        <f ca="1">IFERROR(__xludf.DUMMYFUNCTION("QUERY('Volunteer Survey'!M345)"),"")</f>
        <v/>
      </c>
      <c r="U336" s="58" t="str">
        <f ca="1">IFERROR(__xludf.DUMMYFUNCTION("QUERY('Volunteer Survey'!N345)"),"")</f>
        <v/>
      </c>
      <c r="V336" s="49" t="str">
        <f ca="1">IFERROR(__xludf.DUMMYFUNCTION("QUERY('Volunteer Survey'!O345)"),"Yes")</f>
        <v>Yes</v>
      </c>
      <c r="W336" s="60" t="str">
        <f ca="1">IFERROR(__xludf.DUMMYFUNCTION("QUERY('Volunteer Survey'!P345)"),"")</f>
        <v/>
      </c>
      <c r="X336" s="58" t="str">
        <f ca="1">IFERROR(__xludf.DUMMYFUNCTION("QUERY('Volunteer Survey'!R345)"),"Yes- I am willing to volunteer with any available ClinGen group")</f>
        <v>Yes- I am willing to volunteer with any available ClinGen group</v>
      </c>
      <c r="Y336" s="47"/>
      <c r="Z336" s="174">
        <f ca="1">IFERROR(__xludf.DUMMYFUNCTION("QUERY('Volunteer Survey'!A335)"),43758.7028289814)</f>
        <v>43758.702828981397</v>
      </c>
      <c r="AA336" s="175" t="str">
        <f ca="1">IFERROR(__xludf.DUMMYFUNCTION("QUERY('Volunteer Survey'!B335)"),"Beth Stronach")</f>
        <v>Beth Stronach</v>
      </c>
      <c r="AB336" s="175" t="str">
        <f ca="1">IFERROR(__xludf.DUMMYFUNCTION("QUERY('Volunteer Survey'!C335)"),"University of Pittsburgh")</f>
        <v>University of Pittsburgh</v>
      </c>
      <c r="AC336" s="175" t="str">
        <f ca="1">IFERROR(__xludf.DUMMYFUNCTION("QUERY('Volunteer Survey'!D335)"),"6016 Bryant St")</f>
        <v>6016 Bryant St</v>
      </c>
      <c r="AD336" s="175" t="str">
        <f ca="1">IFERROR(__xludf.DUMMYFUNCTION("QUERY('Volunteer Survey'!E335)"),"stronach@pitt.edu")</f>
        <v>stronach@pitt.edu</v>
      </c>
      <c r="AE336" s="175" t="str">
        <f ca="1">IFERROR(__xludf.DUMMYFUNCTION("QUERY('Volunteer Survey'!F335)"),"Scientific Researcher")</f>
        <v>Scientific Researcher</v>
      </c>
      <c r="AF336" s="175" t="str">
        <f ca="1">IFERROR(__xludf.DUMMYFUNCTION("QUERY('Volunteer Survey'!G335)"),"The clinicalgenome.org website")</f>
        <v>The clinicalgenome.org website</v>
      </c>
      <c r="AG336" s="175" t="str">
        <f ca="1">IFERROR(__xludf.DUMMYFUNCTION("QUERY('Volunteer Survey'!H335)"),"Comprehensive")</f>
        <v>Comprehensive</v>
      </c>
      <c r="AH336" s="175" t="str">
        <f ca="1">IFERROR(__xludf.DUMMYFUNCTION("QUERY('Volunteer Survey'!I335)"),"Gene-Disease Validity")</f>
        <v>Gene-Disease Validity</v>
      </c>
      <c r="AI336" s="175" t="str">
        <f ca="1">IFERROR(__xludf.DUMMYFUNCTION("QUERY('Volunteer Survey'!J335)"),"Variant Pathogenicity")</f>
        <v>Variant Pathogenicity</v>
      </c>
      <c r="AJ336" s="175" t="str">
        <f ca="1">IFERROR(__xludf.DUMMYFUNCTION("QUERY('Volunteer Survey'!K335)"),"Clinical Actionability")</f>
        <v>Clinical Actionability</v>
      </c>
      <c r="AK336" s="175" t="str">
        <f ca="1">IFERROR(__xludf.DUMMYFUNCTION("QUERY('Volunteer Survey'!L335)"),"Somatic Cancer")</f>
        <v>Somatic Cancer</v>
      </c>
      <c r="AL336" s="175" t="str">
        <f ca="1">IFERROR(__xludf.DUMMYFUNCTION("QUERY('Volunteer Survey'!M335)"),"Dosage Sensitivity")</f>
        <v>Dosage Sensitivity</v>
      </c>
      <c r="AM336" s="175" t="str">
        <f ca="1">IFERROR(__xludf.DUMMYFUNCTION("QUERY('Volunteer Survey'!N335)"),"Not formally, but as a practicing basic research scientist for over a decade, and a molecular biologist and developmental geneticist by training, I could be useful.")</f>
        <v>Not formally, but as a practicing basic research scientist for over a decade, and a molecular biologist and developmental geneticist by training, I could be useful.</v>
      </c>
      <c r="AN336" s="175" t="str">
        <f ca="1">IFERROR(__xludf.DUMMYFUNCTION("QUERY('Volunteer Survey'!O335)"),"Possibly")</f>
        <v>Possibly</v>
      </c>
      <c r="AO336" s="175" t="str">
        <f ca="1">IFERROR(__xludf.DUMMYFUNCTION("QUERY('Volunteer Survey'!P335)"),"RASopathy, neurodevelopmental, or myopathy groups")</f>
        <v>RASopathy, neurodevelopmental, or myopathy groups</v>
      </c>
    </row>
    <row r="337" spans="1:41" ht="14">
      <c r="A337" s="44">
        <f ca="1">IFERROR(__xludf.DUMMYFUNCTION("QUERY('Volunteer Survey'!A346)"),43769.8890638773)</f>
        <v>43769.889063877301</v>
      </c>
      <c r="B337" s="42" t="s">
        <v>322</v>
      </c>
      <c r="C337" s="47"/>
      <c r="D337" s="49"/>
      <c r="E337" s="49"/>
      <c r="F337" s="42" t="s">
        <v>130</v>
      </c>
      <c r="G337" s="42" t="s">
        <v>313</v>
      </c>
      <c r="H337" s="47"/>
      <c r="I337" s="47"/>
      <c r="J337" s="49"/>
      <c r="K337" s="49"/>
      <c r="L337" s="49" t="str">
        <f ca="1">IFERROR(__xludf.DUMMYFUNCTION("QUERY('Volunteer Survey'!B346)"),"Lise Graversen")</f>
        <v>Lise Graversen</v>
      </c>
      <c r="M337" s="49" t="str">
        <f ca="1">IFERROR(__xludf.DUMMYFUNCTION("QUERY('Volunteer Survey'!E346)"),"lisega@rm.dk")</f>
        <v>lisega@rm.dk</v>
      </c>
      <c r="N337" s="49" t="str">
        <f ca="1">IFERROR(__xludf.DUMMYFUNCTION("QUERY('Volunteer Survey'!F346)"),"Clinical Medical Geneticist")</f>
        <v>Clinical Medical Geneticist</v>
      </c>
      <c r="O337" s="42" t="str">
        <f ca="1">IFERROR(__xludf.DUMMYFUNCTION("QUERY('Volunteer Survey'!H346)"),"Baseline")</f>
        <v>Baseline</v>
      </c>
      <c r="P337" s="49" t="str">
        <f ca="1">IFERROR(__xludf.DUMMYFUNCTION("QUERY('Volunteer Survey'!I346)"),"")</f>
        <v/>
      </c>
      <c r="Q337" s="54" t="str">
        <f ca="1">IFERROR(__xludf.DUMMYFUNCTION("QUERY('Volunteer Survey'!J346)"),"")</f>
        <v/>
      </c>
      <c r="R337" s="49" t="str">
        <f ca="1">IFERROR(__xludf.DUMMYFUNCTION("QUERY('Volunteer Survey'!K346)"),"")</f>
        <v/>
      </c>
      <c r="S337" s="49" t="str">
        <f ca="1">IFERROR(__xludf.DUMMYFUNCTION("QUERY('Volunteer Survey'!L346)"),"")</f>
        <v/>
      </c>
      <c r="T337" s="49" t="str">
        <f ca="1">IFERROR(__xludf.DUMMYFUNCTION("QUERY('Volunteer Survey'!M346)"),"")</f>
        <v/>
      </c>
      <c r="U337" s="58" t="str">
        <f ca="1">IFERROR(__xludf.DUMMYFUNCTION("QUERY('Volunteer Survey'!N346)"),"")</f>
        <v/>
      </c>
      <c r="V337" s="49" t="str">
        <f ca="1">IFERROR(__xludf.DUMMYFUNCTION("QUERY('Volunteer Survey'!O346)"),"No")</f>
        <v>No</v>
      </c>
      <c r="W337" s="60" t="str">
        <f ca="1">IFERROR(__xludf.DUMMYFUNCTION("QUERY('Volunteer Survey'!P346)"),"Insight mismatch repair")</f>
        <v>Insight mismatch repair</v>
      </c>
      <c r="X337" s="58" t="str">
        <f ca="1">IFERROR(__xludf.DUMMYFUNCTION("QUERY('Volunteer Survey'!R346)"),"No - I am only interested in the group(s) I previously indicated")</f>
        <v>No - I am only interested in the group(s) I previously indicated</v>
      </c>
      <c r="Y337" s="47"/>
      <c r="Z337" s="174">
        <f ca="1">IFERROR(__xludf.DUMMYFUNCTION("QUERY('Volunteer Survey'!A336)"),43759.3618434143)</f>
        <v>43759.361843414299</v>
      </c>
      <c r="AA337" s="175" t="str">
        <f ca="1">IFERROR(__xludf.DUMMYFUNCTION("QUERY('Volunteer Survey'!B336)"),"Eileen Chen")</f>
        <v>Eileen Chen</v>
      </c>
      <c r="AB337" s="175" t="str">
        <f ca="1">IFERROR(__xludf.DUMMYFUNCTION("QUERY('Volunteer Survey'!C336)"),"Singapore General Hospital")</f>
        <v>Singapore General Hospital</v>
      </c>
      <c r="AC337" s="175" t="str">
        <f ca="1">IFERROR(__xludf.DUMMYFUNCTION("QUERY('Volunteer Survey'!D336)"),"Academia, 20 College Road, Singapore 169856")</f>
        <v>Academia, 20 College Road, Singapore 169856</v>
      </c>
      <c r="AD337" s="175" t="str">
        <f ca="1">IFERROR(__xludf.DUMMYFUNCTION("QUERY('Volunteer Survey'!E336)"),"eileen.chen.x.q@sgh.com.sg")</f>
        <v>eileen.chen.x.q@sgh.com.sg</v>
      </c>
      <c r="AE337" s="175" t="str">
        <f ca="1">IFERROR(__xludf.DUMMYFUNCTION("QUERY('Volunteer Survey'!F336)"),"Variant Analyst/Scientist - Academic")</f>
        <v>Variant Analyst/Scientist - Academic</v>
      </c>
      <c r="AF337" s="175" t="str">
        <f ca="1">IFERROR(__xludf.DUMMYFUNCTION("QUERY('Volunteer Survey'!G336)"),"The clinicalgenome.org website")</f>
        <v>The clinicalgenome.org website</v>
      </c>
      <c r="AG337" s="175" t="str">
        <f ca="1">IFERROR(__xludf.DUMMYFUNCTION("QUERY('Volunteer Survey'!H336)"),"Comprehensive")</f>
        <v>Comprehensive</v>
      </c>
      <c r="AH337" s="175" t="str">
        <f ca="1">IFERROR(__xludf.DUMMYFUNCTION("QUERY('Volunteer Survey'!I336)"),"Somatic Cancer")</f>
        <v>Somatic Cancer</v>
      </c>
      <c r="AI337" s="175" t="str">
        <f ca="1">IFERROR(__xludf.DUMMYFUNCTION("QUERY('Volunteer Survey'!J336)"),"Clinical Actionability")</f>
        <v>Clinical Actionability</v>
      </c>
      <c r="AJ337" s="175" t="str">
        <f ca="1">IFERROR(__xludf.DUMMYFUNCTION("QUERY('Volunteer Survey'!K336)"),"Dosage Sensitivity")</f>
        <v>Dosage Sensitivity</v>
      </c>
      <c r="AK337" s="175" t="str">
        <f ca="1">IFERROR(__xludf.DUMMYFUNCTION("QUERY('Volunteer Survey'!L336)"),"Variant Pathogenicity")</f>
        <v>Variant Pathogenicity</v>
      </c>
      <c r="AL337" s="175" t="str">
        <f ca="1">IFERROR(__xludf.DUMMYFUNCTION("QUERY('Volunteer Survey'!M336)"),"Gene-Disease Validity")</f>
        <v>Gene-Disease Validity</v>
      </c>
      <c r="AM337" s="175" t="str">
        <f ca="1">IFERROR(__xludf.DUMMYFUNCTION("QUERY('Volunteer Survey'!N336)"),"No, only minimal training. ")</f>
        <v xml:space="preserve">No, only minimal training. </v>
      </c>
      <c r="AN337" s="175" t="str">
        <f ca="1">IFERROR(__xludf.DUMMYFUNCTION("QUERY('Volunteer Survey'!O336)"),"Yes")</f>
        <v>Yes</v>
      </c>
      <c r="AO337" s="175" t="str">
        <f ca="1">IFERROR(__xludf.DUMMYFUNCTION("QUERY('Volunteer Survey'!P336)"),"Yes. Somatic Cancer Working Group as the first choice.")</f>
        <v>Yes. Somatic Cancer Working Group as the first choice.</v>
      </c>
    </row>
    <row r="338" spans="1:41" ht="14">
      <c r="A338" s="44">
        <f ca="1">IFERROR(__xludf.DUMMYFUNCTION("QUERY('Volunteer Survey'!A347)"),43772.9457219097)</f>
        <v>43772.945721909702</v>
      </c>
      <c r="B338" s="42" t="s">
        <v>322</v>
      </c>
      <c r="C338" s="47"/>
      <c r="D338" s="49"/>
      <c r="E338" s="49"/>
      <c r="F338" s="42" t="s">
        <v>130</v>
      </c>
      <c r="G338" s="42" t="s">
        <v>313</v>
      </c>
      <c r="H338" s="47"/>
      <c r="I338" s="47"/>
      <c r="J338" s="49"/>
      <c r="K338" s="49"/>
      <c r="L338" s="49" t="str">
        <f ca="1">IFERROR(__xludf.DUMMYFUNCTION("QUERY('Volunteer Survey'!B347)"),"Ke Yu")</f>
        <v>Ke Yu</v>
      </c>
      <c r="M338" s="49" t="str">
        <f ca="1">IFERROR(__xludf.DUMMYFUNCTION("QUERY('Volunteer Survey'!E347)"),"yukefg@163.com")</f>
        <v>yukefg@163.com</v>
      </c>
      <c r="N338" s="49" t="str">
        <f ca="1">IFERROR(__xludf.DUMMYFUNCTION("QUERY('Volunteer Survey'!F347)"),"Clinical laboratory geneticist")</f>
        <v>Clinical laboratory geneticist</v>
      </c>
      <c r="O338" s="42" t="str">
        <f ca="1">IFERROR(__xludf.DUMMYFUNCTION("QUERY('Volunteer Survey'!H347)"),"Baseline")</f>
        <v>Baseline</v>
      </c>
      <c r="P338" s="49" t="str">
        <f ca="1">IFERROR(__xludf.DUMMYFUNCTION("QUERY('Volunteer Survey'!I347)"),"Variant Pathogenicity")</f>
        <v>Variant Pathogenicity</v>
      </c>
      <c r="Q338" s="54" t="str">
        <f ca="1">IFERROR(__xludf.DUMMYFUNCTION("QUERY('Volunteer Survey'!J347)"),"Gene-Disease Validity")</f>
        <v>Gene-Disease Validity</v>
      </c>
      <c r="R338" s="49" t="str">
        <f ca="1">IFERROR(__xludf.DUMMYFUNCTION("QUERY('Volunteer Survey'!K347)"),"Somatic Cancer")</f>
        <v>Somatic Cancer</v>
      </c>
      <c r="S338" s="49" t="str">
        <f ca="1">IFERROR(__xludf.DUMMYFUNCTION("QUERY('Volunteer Survey'!L347)"),"Dosage Sensitivity")</f>
        <v>Dosage Sensitivity</v>
      </c>
      <c r="T338" s="49" t="str">
        <f ca="1">IFERROR(__xludf.DUMMYFUNCTION("QUERY('Volunteer Survey'!M347)"),"Clinical Actionability")</f>
        <v>Clinical Actionability</v>
      </c>
      <c r="U338" s="58" t="str">
        <f ca="1">IFERROR(__xludf.DUMMYFUNCTION("QUERY('Volunteer Survey'!N347)"),"")</f>
        <v/>
      </c>
      <c r="V338" s="49" t="str">
        <f ca="1">IFERROR(__xludf.DUMMYFUNCTION("QUERY('Volunteer Survey'!O347)"),"Yes")</f>
        <v>Yes</v>
      </c>
      <c r="W338" s="60" t="str">
        <f ca="1">IFERROR(__xludf.DUMMYFUNCTION("QUERY('Volunteer Survey'!P347)"),"")</f>
        <v/>
      </c>
      <c r="X338" s="58" t="str">
        <f ca="1">IFERROR(__xludf.DUMMYFUNCTION("QUERY('Volunteer Survey'!R347)"),"Yes- I am willing to volunteer with any available ClinGen group")</f>
        <v>Yes- I am willing to volunteer with any available ClinGen group</v>
      </c>
      <c r="Y338" s="47"/>
      <c r="Z338" s="174">
        <f ca="1">IFERROR(__xludf.DUMMYFUNCTION("QUERY('Volunteer Survey'!A337)"),43760.4814893402)</f>
        <v>43760.4814893402</v>
      </c>
      <c r="AA338" s="175" t="str">
        <f ca="1">IFERROR(__xludf.DUMMYFUNCTION("QUERY('Volunteer Survey'!B337)"),"Jennifer Sloan")</f>
        <v>Jennifer Sloan</v>
      </c>
      <c r="AB338" s="175" t="str">
        <f ca="1">IFERROR(__xludf.DUMMYFUNCTION("QUERY('Volunteer Survey'!C337)"),"NHGRI")</f>
        <v>NHGRI</v>
      </c>
      <c r="AC338" s="175" t="str">
        <f ca="1">IFERROR(__xludf.DUMMYFUNCTION("QUERY('Volunteer Survey'!D337)"),"10 Center Dr. Bldg 10 Room 7N248B")</f>
        <v>10 Center Dr. Bldg 10 Room 7N248B</v>
      </c>
      <c r="AD338" s="175" t="str">
        <f ca="1">IFERROR(__xludf.DUMMYFUNCTION("QUERY('Volunteer Survey'!E337)"),"jsloan@mail.nih.gov")</f>
        <v>jsloan@mail.nih.gov</v>
      </c>
      <c r="AE338" s="175" t="str">
        <f ca="1">IFERROR(__xludf.DUMMYFUNCTION("QUERY('Volunteer Survey'!F337)"),"Genetic counselor")</f>
        <v>Genetic counselor</v>
      </c>
      <c r="AF338" s="175" t="str">
        <f ca="1">IFERROR(__xludf.DUMMYFUNCTION("QUERY('Volunteer Survey'!G337)"),"Networking")</f>
        <v>Networking</v>
      </c>
      <c r="AG338" s="175" t="str">
        <f ca="1">IFERROR(__xludf.DUMMYFUNCTION("QUERY('Volunteer Survey'!H337)"),"Comprehensive")</f>
        <v>Comprehensive</v>
      </c>
      <c r="AH338" s="175" t="str">
        <f ca="1">IFERROR(__xludf.DUMMYFUNCTION("QUERY('Volunteer Survey'!I337)"),"Variant Pathogenicity")</f>
        <v>Variant Pathogenicity</v>
      </c>
      <c r="AI338" s="175" t="str">
        <f ca="1">IFERROR(__xludf.DUMMYFUNCTION("QUERY('Volunteer Survey'!J337)"),"Gene-Disease Validity")</f>
        <v>Gene-Disease Validity</v>
      </c>
      <c r="AJ338" s="175" t="str">
        <f ca="1">IFERROR(__xludf.DUMMYFUNCTION("QUERY('Volunteer Survey'!K337)"),"Clinical Actionability")</f>
        <v>Clinical Actionability</v>
      </c>
      <c r="AK338" s="175" t="str">
        <f ca="1">IFERROR(__xludf.DUMMYFUNCTION("QUERY('Volunteer Survey'!L337)"),"Dosage Sensitivity")</f>
        <v>Dosage Sensitivity</v>
      </c>
      <c r="AL338" s="175" t="str">
        <f ca="1">IFERROR(__xludf.DUMMYFUNCTION("QUERY('Volunteer Survey'!M337)"),"Somatic Cancer")</f>
        <v>Somatic Cancer</v>
      </c>
      <c r="AM338" s="175" t="str">
        <f ca="1">IFERROR(__xludf.DUMMYFUNCTION("QUERY('Volunteer Survey'!N337)"),"I work on natural hx studies for MMA/cobalamin disorders and PA where we have evaluated &gt;200 affected individuals and am involved in reviewing and interpreting molecular genetic test results. Also recently completed fellowship in Clinical Molecular Geneti"&amp;"cs at NIH and took board exam in 8/2019.")</f>
        <v>I work on natural hx studies for MMA/cobalamin disorders and PA where we have evaluated &gt;200 affected individuals and am involved in reviewing and interpreting molecular genetic test results. Also recently completed fellowship in Clinical Molecular Genetics at NIH and took board exam in 8/2019.</v>
      </c>
      <c r="AN338" s="175" t="str">
        <f ca="1">IFERROR(__xludf.DUMMYFUNCTION("QUERY('Volunteer Survey'!O337)"),"Possibly")</f>
        <v>Possibly</v>
      </c>
      <c r="AO338" s="175" t="str">
        <f ca="1">IFERROR(__xludf.DUMMYFUNCTION("QUERY('Volunteer Survey'!P337)"),"OTC")</f>
        <v>OTC</v>
      </c>
    </row>
    <row r="339" spans="1:41" ht="14">
      <c r="A339" s="44">
        <f ca="1">IFERROR(__xludf.DUMMYFUNCTION("QUERY('Volunteer Survey'!A348)"),43773.5855635532)</f>
        <v>43773.585563553199</v>
      </c>
      <c r="B339" s="42" t="s">
        <v>322</v>
      </c>
      <c r="C339" s="47"/>
      <c r="D339" s="49"/>
      <c r="E339" s="49"/>
      <c r="F339" s="42" t="s">
        <v>130</v>
      </c>
      <c r="G339" s="42" t="s">
        <v>313</v>
      </c>
      <c r="H339" s="47"/>
      <c r="I339" s="47"/>
      <c r="J339" s="49"/>
      <c r="K339" s="49"/>
      <c r="L339" s="49" t="str">
        <f ca="1">IFERROR(__xludf.DUMMYFUNCTION("QUERY('Volunteer Survey'!B348)"),"JELENA BREZO")</f>
        <v>JELENA BREZO</v>
      </c>
      <c r="M339" s="49" t="str">
        <f ca="1">IFERROR(__xludf.DUMMYFUNCTION("QUERY('Volunteer Survey'!E348)"),"dnalphabet@gmail.com")</f>
        <v>dnalphabet@gmail.com</v>
      </c>
      <c r="N339" s="49" t="str">
        <f ca="1">IFERROR(__xludf.DUMMYFUNCTION("QUERY('Volunteer Survey'!F348)"),"Clinical laboratory geneticist")</f>
        <v>Clinical laboratory geneticist</v>
      </c>
      <c r="O339" s="42" t="str">
        <f ca="1">IFERROR(__xludf.DUMMYFUNCTION("QUERY('Volunteer Survey'!H348)"),"Baseline")</f>
        <v>Baseline</v>
      </c>
      <c r="P339" s="49" t="str">
        <f ca="1">IFERROR(__xludf.DUMMYFUNCTION("QUERY('Volunteer Survey'!I348)"),"Clinical Actionability")</f>
        <v>Clinical Actionability</v>
      </c>
      <c r="Q339" s="54" t="str">
        <f ca="1">IFERROR(__xludf.DUMMYFUNCTION("QUERY('Volunteer Survey'!J348)"),"Gene-Disease Validity")</f>
        <v>Gene-Disease Validity</v>
      </c>
      <c r="R339" s="49" t="str">
        <f ca="1">IFERROR(__xludf.DUMMYFUNCTION("QUERY('Volunteer Survey'!K348)"),"Variant Pathogenicity")</f>
        <v>Variant Pathogenicity</v>
      </c>
      <c r="S339" s="49" t="str">
        <f ca="1">IFERROR(__xludf.DUMMYFUNCTION("QUERY('Volunteer Survey'!L348)"),"Somatic Cancer")</f>
        <v>Somatic Cancer</v>
      </c>
      <c r="T339" s="49" t="str">
        <f ca="1">IFERROR(__xludf.DUMMYFUNCTION("QUERY('Volunteer Survey'!M348)"),"Dosage Sensitivity")</f>
        <v>Dosage Sensitivity</v>
      </c>
      <c r="U339" s="58" t="str">
        <f ca="1">IFERROR(__xludf.DUMMYFUNCTION("QUERY('Volunteer Survey'!N348)"),"As a lab director, I reviewed interpretations for  a number of phenotypes")</f>
        <v>As a lab director, I reviewed interpretations for  a number of phenotypes</v>
      </c>
      <c r="V339" s="49" t="str">
        <f ca="1">IFERROR(__xludf.DUMMYFUNCTION("QUERY('Volunteer Survey'!O348)"),"Possibly")</f>
        <v>Possibly</v>
      </c>
      <c r="W339" s="60" t="str">
        <f ca="1">IFERROR(__xludf.DUMMYFUNCTION("QUERY('Volunteer Survey'!P348)"),"No specific interest")</f>
        <v>No specific interest</v>
      </c>
      <c r="X339" s="58" t="str">
        <f ca="1">IFERROR(__xludf.DUMMYFUNCTION("QUERY('Volunteer Survey'!R348)"),"Maybe -- please contact me with other options, and I will decide based on what is available")</f>
        <v>Maybe -- please contact me with other options, and I will decide based on what is available</v>
      </c>
      <c r="Y339" s="47"/>
      <c r="Z339" s="174">
        <f ca="1">IFERROR(__xludf.DUMMYFUNCTION("QUERY('Volunteer Survey'!A338)"),43761.4006915509)</f>
        <v>43761.400691550902</v>
      </c>
      <c r="AA339" s="175" t="str">
        <f ca="1">IFERROR(__xludf.DUMMYFUNCTION("QUERY('Volunteer Survey'!B338)"),"Vasiliki Rahimzadeh")</f>
        <v>Vasiliki Rahimzadeh</v>
      </c>
      <c r="AB339" s="175" t="str">
        <f ca="1">IFERROR(__xludf.DUMMYFUNCTION("QUERY('Volunteer Survey'!C338)"),"Stanford University ")</f>
        <v xml:space="preserve">Stanford University </v>
      </c>
      <c r="AC339" s="175" t="str">
        <f ca="1">IFERROR(__xludf.DUMMYFUNCTION("QUERY('Volunteer Survey'!D338)"),"1215 Welch rd modular A, Stanford CA 95305")</f>
        <v>1215 Welch rd modular A, Stanford CA 95305</v>
      </c>
      <c r="AD339" s="175" t="str">
        <f ca="1">IFERROR(__xludf.DUMMYFUNCTION("QUERY('Volunteer Survey'!E338)"),"vrahim@stanford.edu")</f>
        <v>vrahim@stanford.edu</v>
      </c>
      <c r="AE339" s="175" t="str">
        <f ca="1">IFERROR(__xludf.DUMMYFUNCTION("QUERY('Volunteer Survey'!F338)"),"Postdoctoral fellow ")</f>
        <v xml:space="preserve">Postdoctoral fellow </v>
      </c>
      <c r="AF339" s="175" t="str">
        <f ca="1">IFERROR(__xludf.DUMMYFUNCTION("QUERY('Volunteer Survey'!G338)"),"ClinGen conference advertisements (i.e. booth, workshop, presentation)")</f>
        <v>ClinGen conference advertisements (i.e. booth, workshop, presentation)</v>
      </c>
      <c r="AG339" s="175" t="str">
        <f ca="1">IFERROR(__xludf.DUMMYFUNCTION("QUERY('Volunteer Survey'!H338)"),"Comprehensive")</f>
        <v>Comprehensive</v>
      </c>
      <c r="AH339" s="175" t="str">
        <f ca="1">IFERROR(__xludf.DUMMYFUNCTION("QUERY('Volunteer Survey'!I338)"),"Gene-Disease Validity")</f>
        <v>Gene-Disease Validity</v>
      </c>
      <c r="AI339" s="175" t="str">
        <f ca="1">IFERROR(__xludf.DUMMYFUNCTION("QUERY('Volunteer Survey'!J338)"),"Variant Pathogenicity")</f>
        <v>Variant Pathogenicity</v>
      </c>
      <c r="AJ339" s="175" t="str">
        <f ca="1">IFERROR(__xludf.DUMMYFUNCTION("QUERY('Volunteer Survey'!K338)"),"Somatic Cancer")</f>
        <v>Somatic Cancer</v>
      </c>
      <c r="AK339" s="175" t="str">
        <f ca="1">IFERROR(__xludf.DUMMYFUNCTION("QUERY('Volunteer Survey'!L338)"),"")</f>
        <v/>
      </c>
      <c r="AL339" s="175" t="str">
        <f ca="1">IFERROR(__xludf.DUMMYFUNCTION("QUERY('Volunteer Survey'!M338)"),"")</f>
        <v/>
      </c>
      <c r="AM339" s="175" t="str">
        <f ca="1">IFERROR(__xludf.DUMMYFUNCTION("QUERY('Volunteer Survey'!N338)"),"No, but have a basic theoretical background of genomic/genetic science ")</f>
        <v xml:space="preserve">No, but have a basic theoretical background of genomic/genetic science </v>
      </c>
      <c r="AN339" s="175" t="str">
        <f ca="1">IFERROR(__xludf.DUMMYFUNCTION("QUERY('Volunteer Survey'!O338)"),"Possibly")</f>
        <v>Possibly</v>
      </c>
      <c r="AO339" s="175" t="str">
        <f ca="1">IFERROR(__xludf.DUMMYFUNCTION("QUERY('Volunteer Survey'!P338)"),"Yes, pediatric cancer or rare genetic disease ")</f>
        <v xml:space="preserve">Yes, pediatric cancer or rare genetic disease </v>
      </c>
    </row>
    <row r="340" spans="1:41" ht="14">
      <c r="A340" s="44">
        <f ca="1">IFERROR(__xludf.DUMMYFUNCTION("QUERY('Volunteer Survey'!A349)"),43773.5962210532)</f>
        <v>43773.596221053202</v>
      </c>
      <c r="B340" s="42" t="s">
        <v>322</v>
      </c>
      <c r="C340" s="47"/>
      <c r="D340" s="49"/>
      <c r="E340" s="49"/>
      <c r="F340" s="42" t="s">
        <v>130</v>
      </c>
      <c r="G340" s="42" t="s">
        <v>136</v>
      </c>
      <c r="H340" s="47"/>
      <c r="I340" s="47"/>
      <c r="J340" s="49"/>
      <c r="K340" s="49"/>
      <c r="L340" s="49" t="str">
        <f ca="1">IFERROR(__xludf.DUMMYFUNCTION("QUERY('Volunteer Survey'!B349)"),"Qing Zhang")</f>
        <v>Qing Zhang</v>
      </c>
      <c r="M340" s="49" t="str">
        <f ca="1">IFERROR(__xludf.DUMMYFUNCTION("QUERY('Volunteer Survey'!E349)"),"qz1seattle@yahoo.com")</f>
        <v>qz1seattle@yahoo.com</v>
      </c>
      <c r="N340" s="49" t="str">
        <f ca="1">IFERROR(__xludf.DUMMYFUNCTION("QUERY('Volunteer Survey'!F349)"),"Scientific Researcher")</f>
        <v>Scientific Researcher</v>
      </c>
      <c r="O340" s="42" t="str">
        <f ca="1">IFERROR(__xludf.DUMMYFUNCTION("QUERY('Volunteer Survey'!H349)"),"Comprehensive")</f>
        <v>Comprehensive</v>
      </c>
      <c r="P340" s="49" t="str">
        <f ca="1">IFERROR(__xludf.DUMMYFUNCTION("QUERY('Volunteer Survey'!I349)"),"Somatic Cancer")</f>
        <v>Somatic Cancer</v>
      </c>
      <c r="Q340" s="54" t="str">
        <f ca="1">IFERROR(__xludf.DUMMYFUNCTION("QUERY('Volunteer Survey'!J349)"),"Variant Pathogenicity")</f>
        <v>Variant Pathogenicity</v>
      </c>
      <c r="R340" s="49" t="str">
        <f ca="1">IFERROR(__xludf.DUMMYFUNCTION("QUERY('Volunteer Survey'!K349)"),"Clinical Actionability")</f>
        <v>Clinical Actionability</v>
      </c>
      <c r="S340" s="49" t="str">
        <f ca="1">IFERROR(__xludf.DUMMYFUNCTION("QUERY('Volunteer Survey'!L349)"),"")</f>
        <v/>
      </c>
      <c r="T340" s="49" t="str">
        <f ca="1">IFERROR(__xludf.DUMMYFUNCTION("QUERY('Volunteer Survey'!M349)"),"")</f>
        <v/>
      </c>
      <c r="U340" s="58" t="str">
        <f ca="1">IFERROR(__xludf.DUMMYFUNCTION("QUERY('Volunteer Survey'!N349)"),"")</f>
        <v/>
      </c>
      <c r="V340" s="49" t="str">
        <f ca="1">IFERROR(__xludf.DUMMYFUNCTION("QUERY('Volunteer Survey'!O349)"),"Possibly")</f>
        <v>Possibly</v>
      </c>
      <c r="W340" s="60" t="str">
        <f ca="1">IFERROR(__xludf.DUMMYFUNCTION("QUERY('Volunteer Survey'!P349)"),"Somatic Cancer Working Group")</f>
        <v>Somatic Cancer Working Group</v>
      </c>
      <c r="X340" s="58" t="str">
        <f ca="1">IFERROR(__xludf.DUMMYFUNCTION("QUERY('Volunteer Survey'!R349)"),"Maybe -- please contact me with other options, and I will decide based on what is available")</f>
        <v>Maybe -- please contact me with other options, and I will decide based on what is available</v>
      </c>
      <c r="Y340" s="47"/>
      <c r="Z340" s="174">
        <f ca="1">IFERROR(__xludf.DUMMYFUNCTION("QUERY('Volunteer Survey'!A339)"),43761.5122648958)</f>
        <v>43761.512264895799</v>
      </c>
      <c r="AA340" s="175" t="str">
        <f ca="1">IFERROR(__xludf.DUMMYFUNCTION("QUERY('Volunteer Survey'!B339)"),"Guadalupe Carvajal")</f>
        <v>Guadalupe Carvajal</v>
      </c>
      <c r="AB340" s="175" t="str">
        <f ca="1">IFERROR(__xludf.DUMMYFUNCTION("QUERY('Volunteer Survey'!C339)"),"KGI")</f>
        <v>KGI</v>
      </c>
      <c r="AC340" s="175" t="str">
        <f ca="1">IFERROR(__xludf.DUMMYFUNCTION("QUERY('Volunteer Survey'!D339)"),"716 Valencia Avenue")</f>
        <v>716 Valencia Avenue</v>
      </c>
      <c r="AD340" s="175" t="str">
        <f ca="1">IFERROR(__xludf.DUMMYFUNCTION("QUERY('Volunteer Survey'!E339)"),"gcarvajal18@students.kgi.edu")</f>
        <v>gcarvajal18@students.kgi.edu</v>
      </c>
      <c r="AE340" s="175" t="str">
        <f ca="1">IFERROR(__xludf.DUMMYFUNCTION("QUERY('Volunteer Survey'!F339)"),"Genetic counselor")</f>
        <v>Genetic counselor</v>
      </c>
      <c r="AF340" s="175" t="str">
        <f ca="1">IFERROR(__xludf.DUMMYFUNCTION("QUERY('Volunteer Survey'!G339)"),"Educational coursework")</f>
        <v>Educational coursework</v>
      </c>
      <c r="AG340" s="175" t="str">
        <f ca="1">IFERROR(__xludf.DUMMYFUNCTION("QUERY('Volunteer Survey'!H339)"),"Comprehensive")</f>
        <v>Comprehensive</v>
      </c>
      <c r="AH340" s="175" t="str">
        <f ca="1">IFERROR(__xludf.DUMMYFUNCTION("QUERY('Volunteer Survey'!I339)"),"Variant Pathogenicity")</f>
        <v>Variant Pathogenicity</v>
      </c>
      <c r="AI340" s="175" t="str">
        <f ca="1">IFERROR(__xludf.DUMMYFUNCTION("QUERY('Volunteer Survey'!J339)"),"Clinical Actionability")</f>
        <v>Clinical Actionability</v>
      </c>
      <c r="AJ340" s="175" t="str">
        <f ca="1">IFERROR(__xludf.DUMMYFUNCTION("QUERY('Volunteer Survey'!K339)"),"Somatic Cancer")</f>
        <v>Somatic Cancer</v>
      </c>
      <c r="AK340" s="175" t="str">
        <f ca="1">IFERROR(__xludf.DUMMYFUNCTION("QUERY('Volunteer Survey'!L339)"),"Dosage Sensitivity")</f>
        <v>Dosage Sensitivity</v>
      </c>
      <c r="AL340" s="175" t="str">
        <f ca="1">IFERROR(__xludf.DUMMYFUNCTION("QUERY('Volunteer Survey'!M339)"),"Gene-Disease Validity")</f>
        <v>Gene-Disease Validity</v>
      </c>
      <c r="AM340" s="175" t="str">
        <f ca="1">IFERROR(__xludf.DUMMYFUNCTION("QUERY('Volunteer Survey'!N339)"),"Very basic work done in class")</f>
        <v>Very basic work done in class</v>
      </c>
      <c r="AN340" s="175" t="str">
        <f ca="1">IFERROR(__xludf.DUMMYFUNCTION("QUERY('Volunteer Survey'!O339)"),"Yes")</f>
        <v>Yes</v>
      </c>
      <c r="AO340" s="175" t="str">
        <f ca="1">IFERROR(__xludf.DUMMYFUNCTION("QUERY('Volunteer Survey'!P339)"),"")</f>
        <v/>
      </c>
    </row>
    <row r="341" spans="1:41" ht="14">
      <c r="A341" s="44">
        <f ca="1">IFERROR(__xludf.DUMMYFUNCTION("QUERY('Volunteer Survey'!A350)"),43775.9284314236)</f>
        <v>43775.928431423599</v>
      </c>
      <c r="B341" s="42" t="s">
        <v>322</v>
      </c>
      <c r="C341" s="47"/>
      <c r="D341" s="49"/>
      <c r="E341" s="49"/>
      <c r="F341" s="42" t="s">
        <v>130</v>
      </c>
      <c r="G341" s="42" t="s">
        <v>313</v>
      </c>
      <c r="H341" s="47"/>
      <c r="I341" s="47"/>
      <c r="J341" s="49"/>
      <c r="K341" s="49"/>
      <c r="L341" s="49" t="str">
        <f ca="1">IFERROR(__xludf.DUMMYFUNCTION("QUERY('Volunteer Survey'!B350)"),"Cassandra Barrett")</f>
        <v>Cassandra Barrett</v>
      </c>
      <c r="M341" s="49" t="str">
        <f ca="1">IFERROR(__xludf.DUMMYFUNCTION("QUERY('Volunteer Survey'!E350)"),"cas9bar@gmail.com")</f>
        <v>cas9bar@gmail.com</v>
      </c>
      <c r="N341" s="49" t="str">
        <f ca="1">IFERROR(__xludf.DUMMYFUNCTION("QUERY('Volunteer Survey'!F350)"),"PhD in genetic engineering; currently in a genetic counseling graduate program")</f>
        <v>PhD in genetic engineering; currently in a genetic counseling graduate program</v>
      </c>
      <c r="O341" s="42" t="str">
        <f ca="1">IFERROR(__xludf.DUMMYFUNCTION("QUERY('Volunteer Survey'!H350)"),"Comprehensive")</f>
        <v>Comprehensive</v>
      </c>
      <c r="P341" s="49" t="str">
        <f ca="1">IFERROR(__xludf.DUMMYFUNCTION("QUERY('Volunteer Survey'!I350)"),"Dosage Sensitivity")</f>
        <v>Dosage Sensitivity</v>
      </c>
      <c r="Q341" s="54" t="str">
        <f ca="1">IFERROR(__xludf.DUMMYFUNCTION("QUERY('Volunteer Survey'!J350)"),"Clinical Actionability")</f>
        <v>Clinical Actionability</v>
      </c>
      <c r="R341" s="49" t="str">
        <f ca="1">IFERROR(__xludf.DUMMYFUNCTION("QUERY('Volunteer Survey'!K350)"),"Gene-Disease Validity")</f>
        <v>Gene-Disease Validity</v>
      </c>
      <c r="S341" s="49" t="str">
        <f ca="1">IFERROR(__xludf.DUMMYFUNCTION("QUERY('Volunteer Survey'!L350)"),"Variant Pathogenicity")</f>
        <v>Variant Pathogenicity</v>
      </c>
      <c r="T341" s="49" t="str">
        <f ca="1">IFERROR(__xludf.DUMMYFUNCTION("QUERY('Volunteer Survey'!M350)"),"Somatic Cancer")</f>
        <v>Somatic Cancer</v>
      </c>
      <c r="U341" s="58" t="str">
        <f ca="1">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V341" s="49" t="str">
        <f ca="1">IFERROR(__xludf.DUMMYFUNCTION("QUERY('Volunteer Survey'!O350)"),"Possibly")</f>
        <v>Possibly</v>
      </c>
      <c r="W341" s="60" t="str">
        <f ca="1">IFERROR(__xludf.DUMMYFUNCTION("QUERY('Volunteer Survey'!P350)"),"")</f>
        <v/>
      </c>
      <c r="X341" s="58" t="str">
        <f ca="1">IFERROR(__xludf.DUMMYFUNCTION("QUERY('Volunteer Survey'!R350)"),"")</f>
        <v/>
      </c>
      <c r="Y341" s="47"/>
      <c r="Z341" s="174">
        <f ca="1">IFERROR(__xludf.DUMMYFUNCTION("QUERY('Volunteer Survey'!A340)"),43762.7162558333)</f>
        <v>43762.7162558333</v>
      </c>
      <c r="AA341" s="175" t="str">
        <f ca="1">IFERROR(__xludf.DUMMYFUNCTION("QUERY('Volunteer Survey'!B340)"),"Liang Guo")</f>
        <v>Liang Guo</v>
      </c>
      <c r="AB341" s="175" t="str">
        <f ca="1">IFERROR(__xludf.DUMMYFUNCTION("QUERY('Volunteer Survey'!C340)"),"CVPath Institute")</f>
        <v>CVPath Institute</v>
      </c>
      <c r="AC341" s="175" t="str">
        <f ca="1">IFERROR(__xludf.DUMMYFUNCTION("QUERY('Volunteer Survey'!D340)"),"19 Firstfield Road, Gaithersburg, MD 20878")</f>
        <v>19 Firstfield Road, Gaithersburg, MD 20878</v>
      </c>
      <c r="AD341" s="175" t="str">
        <f ca="1">IFERROR(__xludf.DUMMYFUNCTION("QUERY('Volunteer Survey'!E340)"),"lguo@cvpath.org")</f>
        <v>lguo@cvpath.org</v>
      </c>
      <c r="AE341" s="175" t="str">
        <f ca="1">IFERROR(__xludf.DUMMYFUNCTION("QUERY('Volunteer Survey'!F340)"),"Scientific Researcher")</f>
        <v>Scientific Researcher</v>
      </c>
      <c r="AF341" s="175" t="str">
        <f ca="1">IFERROR(__xludf.DUMMYFUNCTION("QUERY('Volunteer Survey'!G340)"),"Colleagues")</f>
        <v>Colleagues</v>
      </c>
      <c r="AG341" s="175" t="str">
        <f ca="1">IFERROR(__xludf.DUMMYFUNCTION("QUERY('Volunteer Survey'!H340)"),"Comprehensive")</f>
        <v>Comprehensive</v>
      </c>
      <c r="AH341" s="175" t="str">
        <f ca="1">IFERROR(__xludf.DUMMYFUNCTION("QUERY('Volunteer Survey'!I340)"),"Variant Pathogenicity")</f>
        <v>Variant Pathogenicity</v>
      </c>
      <c r="AI341" s="175" t="str">
        <f ca="1">IFERROR(__xludf.DUMMYFUNCTION("QUERY('Volunteer Survey'!J340)"),"Gene-Disease Validity")</f>
        <v>Gene-Disease Validity</v>
      </c>
      <c r="AJ341" s="175" t="str">
        <f ca="1">IFERROR(__xludf.DUMMYFUNCTION("QUERY('Volunteer Survey'!K340)"),"Clinical Actionability")</f>
        <v>Clinical Actionability</v>
      </c>
      <c r="AK341" s="175" t="str">
        <f ca="1">IFERROR(__xludf.DUMMYFUNCTION("QUERY('Volunteer Survey'!L340)"),"Dosage Sensitivity")</f>
        <v>Dosage Sensitivity</v>
      </c>
      <c r="AL341" s="175" t="str">
        <f ca="1">IFERROR(__xludf.DUMMYFUNCTION("QUERY('Volunteer Survey'!M340)"),"Somatic Cancer")</f>
        <v>Somatic Cancer</v>
      </c>
      <c r="AM341" s="175" t="str">
        <f ca="1">IFERROR(__xludf.DUMMYFUNCTION("QUERY('Volunteer Survey'!N340)"),"Yes, curation of hypertrophic cardiomyopathy")</f>
        <v>Yes, curation of hypertrophic cardiomyopathy</v>
      </c>
      <c r="AN341" s="175" t="str">
        <f ca="1">IFERROR(__xludf.DUMMYFUNCTION("QUERY('Volunteer Survey'!O340)"),"Yes")</f>
        <v>Yes</v>
      </c>
      <c r="AO341" s="175" t="str">
        <f ca="1">IFERROR(__xludf.DUMMYFUNCTION("QUERY('Volunteer Survey'!P340)"),"Cardiovascular working group")</f>
        <v>Cardiovascular working group</v>
      </c>
    </row>
    <row r="342" spans="1:41" ht="14">
      <c r="A342" s="44">
        <f ca="1">IFERROR(__xludf.DUMMYFUNCTION("QUERY('Volunteer Survey'!A351)"),43776.037574699)</f>
        <v>43776.037574699003</v>
      </c>
      <c r="B342" s="42" t="s">
        <v>322</v>
      </c>
      <c r="C342" s="47"/>
      <c r="D342" s="49"/>
      <c r="E342" s="49"/>
      <c r="F342" s="42" t="s">
        <v>130</v>
      </c>
      <c r="G342" s="42" t="s">
        <v>313</v>
      </c>
      <c r="H342" s="47"/>
      <c r="I342" s="47"/>
      <c r="J342" s="49"/>
      <c r="K342" s="49"/>
      <c r="L342" s="49" t="str">
        <f ca="1">IFERROR(__xludf.DUMMYFUNCTION("QUERY('Volunteer Survey'!B351)"),"Punithavathi Sundaramurthy")</f>
        <v>Punithavathi Sundaramurthy</v>
      </c>
      <c r="M342" s="49" t="str">
        <f ca="1">IFERROR(__xludf.DUMMYFUNCTION("QUERY('Volunteer Survey'!E351)"),"PunitSundar95@gmail.com")</f>
        <v>PunitSundar95@gmail.com</v>
      </c>
      <c r="N342" s="49" t="str">
        <f ca="1">IFERROR(__xludf.DUMMYFUNCTION("QUERY('Volunteer Survey'!F351)"),"Graduate Student")</f>
        <v>Graduate Student</v>
      </c>
      <c r="O342" s="42" t="str">
        <f ca="1">IFERROR(__xludf.DUMMYFUNCTION("QUERY('Volunteer Survey'!H351)"),"Baseline")</f>
        <v>Baseline</v>
      </c>
      <c r="P342" s="49" t="str">
        <f ca="1">IFERROR(__xludf.DUMMYFUNCTION("QUERY('Volunteer Survey'!I351)"),"")</f>
        <v/>
      </c>
      <c r="Q342" s="54" t="str">
        <f ca="1">IFERROR(__xludf.DUMMYFUNCTION("QUERY('Volunteer Survey'!J351)"),"")</f>
        <v/>
      </c>
      <c r="R342" s="49" t="str">
        <f ca="1">IFERROR(__xludf.DUMMYFUNCTION("QUERY('Volunteer Survey'!K351)"),"")</f>
        <v/>
      </c>
      <c r="S342" s="49" t="str">
        <f ca="1">IFERROR(__xludf.DUMMYFUNCTION("QUERY('Volunteer Survey'!L351)"),"")</f>
        <v/>
      </c>
      <c r="T342" s="49" t="str">
        <f ca="1">IFERROR(__xludf.DUMMYFUNCTION("QUERY('Volunteer Survey'!M351)"),"")</f>
        <v/>
      </c>
      <c r="U342" s="58" t="str">
        <f ca="1">IFERROR(__xludf.DUMMYFUNCTION("QUERY('Volunteer Survey'!N351)"),"")</f>
        <v/>
      </c>
      <c r="V342" s="49" t="str">
        <f ca="1">IFERROR(__xludf.DUMMYFUNCTION("QUERY('Volunteer Survey'!O351)"),"Yes")</f>
        <v>Yes</v>
      </c>
      <c r="W342" s="60" t="str">
        <f ca="1">IFERROR(__xludf.DUMMYFUNCTION("QUERY('Volunteer Survey'!P351)"),"")</f>
        <v/>
      </c>
      <c r="X342" s="58" t="str">
        <f ca="1">IFERROR(__xludf.DUMMYFUNCTION("QUERY('Volunteer Survey'!R351)"),"Yes- I am willing to volunteer with any available ClinGen group")</f>
        <v>Yes- I am willing to volunteer with any available ClinGen group</v>
      </c>
      <c r="Y342" s="47"/>
      <c r="Z342" s="174">
        <f ca="1">IFERROR(__xludf.DUMMYFUNCTION("QUERY('Volunteer Survey'!A341)"),43765.7261636226)</f>
        <v>43765.726163622603</v>
      </c>
      <c r="AA342" s="175" t="str">
        <f ca="1">IFERROR(__xludf.DUMMYFUNCTION("QUERY('Volunteer Survey'!B341)"),"Sha Tang")</f>
        <v>Sha Tang</v>
      </c>
      <c r="AB342" s="175" t="str">
        <f ca="1">IFERROR(__xludf.DUMMYFUNCTION("QUERY('Volunteer Survey'!C341)"),"Wuxi NextCode")</f>
        <v>Wuxi NextCode</v>
      </c>
      <c r="AC342" s="175" t="str">
        <f ca="1">IFERROR(__xludf.DUMMYFUNCTION("QUERY('Volunteer Survey'!D341)"),"")</f>
        <v/>
      </c>
      <c r="AD342" s="175" t="str">
        <f ca="1">IFERROR(__xludf.DUMMYFUNCTION("QUERY('Volunteer Survey'!E341)"),"stang@wuxinextcode.cm")</f>
        <v>stang@wuxinextcode.cm</v>
      </c>
      <c r="AE342" s="175" t="str">
        <f ca="1">IFERROR(__xludf.DUMMYFUNCTION("QUERY('Volunteer Survey'!F341)"),"Clinical laboratory geneticist")</f>
        <v>Clinical laboratory geneticist</v>
      </c>
      <c r="AF342" s="175" t="str">
        <f ca="1">IFERROR(__xludf.DUMMYFUNCTION("QUERY('Volunteer Survey'!G341)"),"Networking, Colleagues")</f>
        <v>Networking, Colleagues</v>
      </c>
      <c r="AG342" s="175" t="str">
        <f ca="1">IFERROR(__xludf.DUMMYFUNCTION("QUERY('Volunteer Survey'!H341)"),"Comprehensive")</f>
        <v>Comprehensive</v>
      </c>
      <c r="AH342" s="175" t="str">
        <f ca="1">IFERROR(__xludf.DUMMYFUNCTION("QUERY('Volunteer Survey'!I341)"),"Gene-Disease Validity")</f>
        <v>Gene-Disease Validity</v>
      </c>
      <c r="AI342" s="175" t="str">
        <f ca="1">IFERROR(__xludf.DUMMYFUNCTION("QUERY('Volunteer Survey'!J341)"),"Variant Pathogenicity")</f>
        <v>Variant Pathogenicity</v>
      </c>
      <c r="AJ342" s="175" t="str">
        <f ca="1">IFERROR(__xludf.DUMMYFUNCTION("QUERY('Volunteer Survey'!K341)"),"Dosage Sensitivity")</f>
        <v>Dosage Sensitivity</v>
      </c>
      <c r="AK342" s="175" t="str">
        <f ca="1">IFERROR(__xludf.DUMMYFUNCTION("QUERY('Volunteer Survey'!L341)"),"Clinical Actionability")</f>
        <v>Clinical Actionability</v>
      </c>
      <c r="AL342" s="175" t="str">
        <f ca="1">IFERROR(__xludf.DUMMYFUNCTION("QUERY('Volunteer Survey'!M341)"),"Somatic Cancer")</f>
        <v>Somatic Cancer</v>
      </c>
      <c r="AM342" s="175" t="str">
        <f ca="1">IFERROR(__xludf.DUMMYFUNCTION("QUERY('Volunteer Survey'!N341)"),"Yes, my previous work at Ambry Genetics involved development clinical validity scheme and I am experienced in variant classifications.")</f>
        <v>Yes, my previous work at Ambry Genetics involved development clinical validity scheme and I am experienced in variant classifications.</v>
      </c>
      <c r="AN342" s="175" t="str">
        <f ca="1">IFERROR(__xludf.DUMMYFUNCTION("QUERY('Volunteer Survey'!O341)"),"Yes")</f>
        <v>Yes</v>
      </c>
      <c r="AO342" s="175" t="str">
        <f ca="1">IFERROR(__xludf.DUMMYFUNCTION("QUERY('Volunteer Survey'!P341)"),"Intellectual Disability and Autism, Mitochondrial Diseases")</f>
        <v>Intellectual Disability and Autism, Mitochondrial Diseases</v>
      </c>
    </row>
    <row r="343" spans="1:41" ht="14">
      <c r="A343" s="44">
        <f ca="1">IFERROR(__xludf.DUMMYFUNCTION("QUERY('Volunteer Survey'!A352)"),43776.5550876736)</f>
        <v>43776.555087673602</v>
      </c>
      <c r="B343" s="42" t="s">
        <v>322</v>
      </c>
      <c r="C343" s="47"/>
      <c r="D343" s="49"/>
      <c r="E343" s="49"/>
      <c r="F343" s="42" t="s">
        <v>130</v>
      </c>
      <c r="G343" s="42" t="s">
        <v>313</v>
      </c>
      <c r="H343" s="47"/>
      <c r="I343" s="47"/>
      <c r="J343" s="49"/>
      <c r="K343" s="49"/>
      <c r="L343" s="49" t="str">
        <f ca="1">IFERROR(__xludf.DUMMYFUNCTION("QUERY('Volunteer Survey'!B352)"),"Madhulatha Pantrangi")</f>
        <v>Madhulatha Pantrangi</v>
      </c>
      <c r="M343" s="49" t="str">
        <f ca="1">IFERROR(__xludf.DUMMYFUNCTION("QUERY('Volunteer Survey'!E352)"),"madhu.pantrangi@preventiongenetics.com")</f>
        <v>madhu.pantrangi@preventiongenetics.com</v>
      </c>
      <c r="N343" s="49" t="str">
        <f ca="1">IFERROR(__xludf.DUMMYFUNCTION("QUERY('Volunteer Survey'!F352)"),"Clinical laboratory geneticist")</f>
        <v>Clinical laboratory geneticist</v>
      </c>
      <c r="O343" s="42" t="str">
        <f ca="1">IFERROR(__xludf.DUMMYFUNCTION("QUERY('Volunteer Survey'!H352)"),"Baseline")</f>
        <v>Baseline</v>
      </c>
      <c r="P343" s="49" t="str">
        <f ca="1">IFERROR(__xludf.DUMMYFUNCTION("QUERY('Volunteer Survey'!I352)"),"")</f>
        <v/>
      </c>
      <c r="Q343" s="54" t="str">
        <f ca="1">IFERROR(__xludf.DUMMYFUNCTION("QUERY('Volunteer Survey'!J352)"),"")</f>
        <v/>
      </c>
      <c r="R343" s="49" t="str">
        <f ca="1">IFERROR(__xludf.DUMMYFUNCTION("QUERY('Volunteer Survey'!K352)"),"")</f>
        <v/>
      </c>
      <c r="S343" s="49" t="str">
        <f ca="1">IFERROR(__xludf.DUMMYFUNCTION("QUERY('Volunteer Survey'!L352)"),"")</f>
        <v/>
      </c>
      <c r="T343" s="49" t="str">
        <f ca="1">IFERROR(__xludf.DUMMYFUNCTION("QUERY('Volunteer Survey'!M352)"),"")</f>
        <v/>
      </c>
      <c r="U343" s="58" t="str">
        <f ca="1">IFERROR(__xludf.DUMMYFUNCTION("QUERY('Volunteer Survey'!N352)"),"")</f>
        <v/>
      </c>
      <c r="V343" s="49" t="str">
        <f ca="1">IFERROR(__xludf.DUMMYFUNCTION("QUERY('Volunteer Survey'!O352)"),"Possibly")</f>
        <v>Possibly</v>
      </c>
      <c r="W343" s="60" t="str">
        <f ca="1">IFERROR(__xludf.DUMMYFUNCTION("QUERY('Volunteer Survey'!P352)"),"Peroxisomal Disorders ")</f>
        <v xml:space="preserve">Peroxisomal Disorders </v>
      </c>
      <c r="X343" s="58" t="str">
        <f ca="1">IFERROR(__xludf.DUMMYFUNCTION("QUERY('Volunteer Survey'!R352)"),"Maybe -- please contact me with other options, and I will decide based on what is available")</f>
        <v>Maybe -- please contact me with other options, and I will decide based on what is available</v>
      </c>
      <c r="Y343" s="47"/>
      <c r="Z343" s="174">
        <f ca="1">IFERROR(__xludf.DUMMYFUNCTION("QUERY('Volunteer Survey'!A342)"),43766.531923831)</f>
        <v>43766.531923830997</v>
      </c>
      <c r="AA343" s="175" t="str">
        <f ca="1">IFERROR(__xludf.DUMMYFUNCTION("QUERY('Volunteer Survey'!B342)"),"Patrick Forny")</f>
        <v>Patrick Forny</v>
      </c>
      <c r="AB343" s="175" t="str">
        <f ca="1">IFERROR(__xludf.DUMMYFUNCTION("QUERY('Volunteer Survey'!C342)"),"University Children's Hospital Zurich")</f>
        <v>University Children's Hospital Zurich</v>
      </c>
      <c r="AC343" s="175" t="str">
        <f ca="1">IFERROR(__xludf.DUMMYFUNCTION("QUERY('Volunteer Survey'!D342)"),"")</f>
        <v/>
      </c>
      <c r="AD343" s="175" t="str">
        <f ca="1">IFERROR(__xludf.DUMMYFUNCTION("QUERY('Volunteer Survey'!E342)"),"patrick.forny@kispi.uzh.ch")</f>
        <v>patrick.forny@kispi.uzh.ch</v>
      </c>
      <c r="AE343" s="175" t="str">
        <f ca="1">IFERROR(__xludf.DUMMYFUNCTION("QUERY('Volunteer Survey'!F342)"),"Post Doc/Resident/Fellow (MD and/or PhD)")</f>
        <v>Post Doc/Resident/Fellow (MD and/or PhD)</v>
      </c>
      <c r="AF343" s="175" t="str">
        <f ca="1">IFERROR(__xludf.DUMMYFUNCTION("QUERY('Volunteer Survey'!G342)"),"Networking")</f>
        <v>Networking</v>
      </c>
      <c r="AG343" s="175" t="str">
        <f ca="1">IFERROR(__xludf.DUMMYFUNCTION("QUERY('Volunteer Survey'!H342)"),"Baseline")</f>
        <v>Baseline</v>
      </c>
      <c r="AH343" s="175" t="str">
        <f ca="1">IFERROR(__xludf.DUMMYFUNCTION("QUERY('Volunteer Survey'!I342)"),"Gene-Disease Validity, Variant Pathogenicity")</f>
        <v>Gene-Disease Validity, Variant Pathogenicity</v>
      </c>
      <c r="AI343" s="175" t="str">
        <f ca="1">IFERROR(__xludf.DUMMYFUNCTION("QUERY('Volunteer Survey'!J342)"),"Clinical Actionability")</f>
        <v>Clinical Actionability</v>
      </c>
      <c r="AJ343" s="175" t="str">
        <f ca="1">IFERROR(__xludf.DUMMYFUNCTION("QUERY('Volunteer Survey'!K342)"),"Dosage Sensitivity")</f>
        <v>Dosage Sensitivity</v>
      </c>
      <c r="AK343" s="175" t="str">
        <f ca="1">IFERROR(__xludf.DUMMYFUNCTION("QUERY('Volunteer Survey'!L342)"),"Somatic Cancer")</f>
        <v>Somatic Cancer</v>
      </c>
      <c r="AL343" s="175" t="str">
        <f ca="1">IFERROR(__xludf.DUMMYFUNCTION("QUERY('Volunteer Survey'!M342)"),"")</f>
        <v/>
      </c>
      <c r="AM343" s="175" t="str">
        <f ca="1">IFERROR(__xludf.DUMMYFUNCTION("QUERY('Volunteer Survey'!N342)"),"")</f>
        <v/>
      </c>
      <c r="AN343" s="175" t="str">
        <f ca="1">IFERROR(__xludf.DUMMYFUNCTION("QUERY('Volunteer Survey'!O342)"),"No")</f>
        <v>No</v>
      </c>
      <c r="AO343" s="175" t="str">
        <f ca="1">IFERROR(__xludf.DUMMYFUNCTION("QUERY('Volunteer Survey'!P342)"),"")</f>
        <v/>
      </c>
    </row>
    <row r="344" spans="1:41" ht="14">
      <c r="A344" s="44">
        <f ca="1">IFERROR(__xludf.DUMMYFUNCTION("QUERY('Volunteer Survey'!A353)"),43777.2171097801)</f>
        <v>43777.217109780097</v>
      </c>
      <c r="B344" s="42" t="s">
        <v>108</v>
      </c>
      <c r="C344" s="73">
        <v>43819</v>
      </c>
      <c r="D344" s="49"/>
      <c r="E344" s="49"/>
      <c r="F344" s="42" t="s">
        <v>130</v>
      </c>
      <c r="G344" s="42" t="s">
        <v>251</v>
      </c>
      <c r="H344" s="47"/>
      <c r="I344" s="47"/>
      <c r="J344" s="49"/>
      <c r="K344" s="49"/>
      <c r="L344" s="49" t="str">
        <f ca="1">IFERROR(__xludf.DUMMYFUNCTION("QUERY('Volunteer Survey'!B353)"),"Celeste Bento")</f>
        <v>Celeste Bento</v>
      </c>
      <c r="M344" s="49" t="str">
        <f ca="1">IFERROR(__xludf.DUMMYFUNCTION("QUERY('Volunteer Survey'!E353)"),"celeste.bento@chuc.min-saude.pt")</f>
        <v>celeste.bento@chuc.min-saude.pt</v>
      </c>
      <c r="N344" s="49" t="str">
        <f ca="1">IFERROR(__xludf.DUMMYFUNCTION("QUERY('Volunteer Survey'!F353)"),"Clinical laboratory geneticist")</f>
        <v>Clinical laboratory geneticist</v>
      </c>
      <c r="O344" s="42" t="str">
        <f ca="1">IFERROR(__xludf.DUMMYFUNCTION("QUERY('Volunteer Survey'!H353)"),"Comprehensive")</f>
        <v>Comprehensive</v>
      </c>
      <c r="P344" s="49" t="str">
        <f ca="1">IFERROR(__xludf.DUMMYFUNCTION("QUERY('Volunteer Survey'!I353)"),"Variant Pathogenicity")</f>
        <v>Variant Pathogenicity</v>
      </c>
      <c r="Q344" s="54" t="str">
        <f ca="1">IFERROR(__xludf.DUMMYFUNCTION("QUERY('Volunteer Survey'!J353)"),"Gene-Disease Validity")</f>
        <v>Gene-Disease Validity</v>
      </c>
      <c r="R344" s="49" t="str">
        <f ca="1">IFERROR(__xludf.DUMMYFUNCTION("QUERY('Volunteer Survey'!K353)"),"Clinical Actionability")</f>
        <v>Clinical Actionability</v>
      </c>
      <c r="S344" s="49" t="str">
        <f ca="1">IFERROR(__xludf.DUMMYFUNCTION("QUERY('Volunteer Survey'!L353)"),"Dosage Sensitivity")</f>
        <v>Dosage Sensitivity</v>
      </c>
      <c r="T344" s="49" t="str">
        <f ca="1">IFERROR(__xludf.DUMMYFUNCTION("QUERY('Volunteer Survey'!M353)"),"Somatic Cancer")</f>
        <v>Somatic Cancer</v>
      </c>
      <c r="U344" s="58" t="str">
        <f ca="1">IFERROR(__xludf.DUMMYFUNCTION("QUERY('Volunteer Survey'!N353)"),"I need to apply the ACMG rules in my everyday work ")</f>
        <v xml:space="preserve">I need to apply the ACMG rules in my everyday work </v>
      </c>
      <c r="V344" s="49" t="str">
        <f ca="1">IFERROR(__xludf.DUMMYFUNCTION("QUERY('Volunteer Survey'!O353)"),"Possibly")</f>
        <v>Possibly</v>
      </c>
      <c r="W344" s="60" t="str">
        <f ca="1">IFERROR(__xludf.DUMMYFUNCTION("QUERY('Volunteer Survey'!P353)"),"I'm in the Core Task Team of ClinGen Haemoglobinopathy EP")</f>
        <v>I'm in the Core Task Team of ClinGen Haemoglobinopathy EP</v>
      </c>
      <c r="X344" s="58" t="str">
        <f ca="1">IFERROR(__xludf.DUMMYFUNCTION("QUERY('Volunteer Survey'!R353)"),"No - I am only interested in the group(s) I previously indicated")</f>
        <v>No - I am only interested in the group(s) I previously indicated</v>
      </c>
      <c r="Y344" s="47"/>
      <c r="Z344" s="174">
        <f ca="1">IFERROR(__xludf.DUMMYFUNCTION("QUERY('Volunteer Survey'!A343)"),43767.2022327662)</f>
        <v>43767.202232766198</v>
      </c>
      <c r="AA344" s="175" t="str">
        <f ca="1">IFERROR(__xludf.DUMMYFUNCTION("QUERY('Volunteer Survey'!B343)"),"Ximena Bonilla")</f>
        <v>Ximena Bonilla</v>
      </c>
      <c r="AB344" s="175" t="str">
        <f ca="1">IFERROR(__xludf.DUMMYFUNCTION("QUERY('Volunteer Survey'!C343)"),"ETHZ")</f>
        <v>ETHZ</v>
      </c>
      <c r="AC344" s="175" t="str">
        <f ca="1">IFERROR(__xludf.DUMMYFUNCTION("QUERY('Volunteer Survey'!D343)"),"Biomedical informatics, department of computer sciences.CAB building F52.2
Universitätstrasse, 6
8006 Zurich, Switzerland")</f>
        <v>Biomedical informatics, department of computer sciences.CAB building F52.2
Universitätstrasse, 6
8006 Zurich, Switzerland</v>
      </c>
      <c r="AD344" s="175" t="str">
        <f ca="1">IFERROR(__xludf.DUMMYFUNCTION("QUERY('Volunteer Survey'!E343)"),"ximena.bonilla@inf.ethz.ch")</f>
        <v>ximena.bonilla@inf.ethz.ch</v>
      </c>
      <c r="AE344" s="175" t="str">
        <f ca="1">IFERROR(__xludf.DUMMYFUNCTION("QUERY('Volunteer Survey'!F343)"),"Post Doc/Resident/Fellow (MD and/or PhD)")</f>
        <v>Post Doc/Resident/Fellow (MD and/or PhD)</v>
      </c>
      <c r="AF344" s="175" t="str">
        <f ca="1">IFERROR(__xludf.DUMMYFUNCTION("QUERY('Volunteer Survey'!G343)"),"Suggestion from mentor")</f>
        <v>Suggestion from mentor</v>
      </c>
      <c r="AG344" s="175" t="str">
        <f ca="1">IFERROR(__xludf.DUMMYFUNCTION("QUERY('Volunteer Survey'!H343)"),"Baseline")</f>
        <v>Baseline</v>
      </c>
      <c r="AH344" s="175" t="str">
        <f ca="1">IFERROR(__xludf.DUMMYFUNCTION("QUERY('Volunteer Survey'!I343)"),"Variant Pathogenicity")</f>
        <v>Variant Pathogenicity</v>
      </c>
      <c r="AI344" s="175" t="str">
        <f ca="1">IFERROR(__xludf.DUMMYFUNCTION("QUERY('Volunteer Survey'!J343)"),"Dosage Sensitivity")</f>
        <v>Dosage Sensitivity</v>
      </c>
      <c r="AJ344" s="175" t="str">
        <f ca="1">IFERROR(__xludf.DUMMYFUNCTION("QUERY('Volunteer Survey'!K343)"),"Gene-Disease Validity")</f>
        <v>Gene-Disease Validity</v>
      </c>
      <c r="AK344" s="175" t="str">
        <f ca="1">IFERROR(__xludf.DUMMYFUNCTION("QUERY('Volunteer Survey'!L343)"),"")</f>
        <v/>
      </c>
      <c r="AL344" s="175" t="str">
        <f ca="1">IFERROR(__xludf.DUMMYFUNCTION("QUERY('Volunteer Survey'!M343)"),"")</f>
        <v/>
      </c>
      <c r="AM344" s="175" t="str">
        <f ca="1">IFERROR(__xludf.DUMMYFUNCTION("QUERY('Volunteer Survey'!N343)"),"Regarding ""Variant pathogenicity"", I carried out variant pathogenicity assessments for Mendelian disease routinely during my PhD, and have worked as a variant interpretation specialist at a medical genetics department (Universidad Autónoma de Nuevo León"&amp;", Mexico). Regarding ""dosage sensitivity"", I am currently working on the effect of mitochondria mutation burden in metabolic disorders (non-mitochondrial disorders). Regarding ""gene-disease validity"", I have medical training and although I am not a cl"&amp;"inical geneticist I have ample experience in genotype/phenotype associations and dissection of complex phenotypes and their link to genetics.")</f>
        <v>Regarding "Variant pathogenicity", I carried out variant pathogenicity assessments for Mendelian disease routinely during my PhD, and have worked as a variant interpretation specialist at a medical genetics department (Universidad Autónoma de Nuevo León, Mexico). Regarding "dosage sensitivity", I am currently working on the effect of mitochondria mutation burden in metabolic disorders (non-mitochondrial disorders). Regarding "gene-disease validity", I have medical training and although I am not a clinical geneticist I have ample experience in genotype/phenotype associations and dissection of complex phenotypes and their link to genetics.</v>
      </c>
      <c r="AN344" s="175" t="str">
        <f ca="1">IFERROR(__xludf.DUMMYFUNCTION("QUERY('Volunteer Survey'!O343)"),"Possibly")</f>
        <v>Possibly</v>
      </c>
      <c r="AO344" s="175" t="str">
        <f ca="1">IFERROR(__xludf.DUMMYFUNCTION("QUERY('Volunteer Survey'!P343)"),"")</f>
        <v/>
      </c>
    </row>
    <row r="345" spans="1:41" ht="14">
      <c r="A345" s="44">
        <f ca="1">IFERROR(__xludf.DUMMYFUNCTION("QUERY('Volunteer Survey'!A354)"),43777.5378215509)</f>
        <v>43777.537821550897</v>
      </c>
      <c r="B345" s="42" t="s">
        <v>322</v>
      </c>
      <c r="C345" s="47"/>
      <c r="D345" s="49"/>
      <c r="E345" s="49"/>
      <c r="F345" s="42" t="s">
        <v>130</v>
      </c>
      <c r="G345" s="42" t="s">
        <v>136</v>
      </c>
      <c r="H345" s="47"/>
      <c r="I345" s="47"/>
      <c r="J345" s="49"/>
      <c r="K345" s="49"/>
      <c r="L345" s="49" t="str">
        <f ca="1">IFERROR(__xludf.DUMMYFUNCTION("QUERY('Volunteer Survey'!B354)"),"Gokce Toruner")</f>
        <v>Gokce Toruner</v>
      </c>
      <c r="M345" s="49" t="str">
        <f ca="1">IFERROR(__xludf.DUMMYFUNCTION("QUERY('Volunteer Survey'!E354)"),"gatoruner@mdanderson.org")</f>
        <v>gatoruner@mdanderson.org</v>
      </c>
      <c r="N345" s="49" t="str">
        <f ca="1">IFERROR(__xludf.DUMMYFUNCTION("QUERY('Volunteer Survey'!F354)"),"Clinical laboratory geneticist")</f>
        <v>Clinical laboratory geneticist</v>
      </c>
      <c r="O345" s="42" t="str">
        <f ca="1">IFERROR(__xludf.DUMMYFUNCTION("QUERY('Volunteer Survey'!H354)"),"Comprehensive")</f>
        <v>Comprehensive</v>
      </c>
      <c r="P345" s="49" t="str">
        <f ca="1">IFERROR(__xludf.DUMMYFUNCTION("QUERY('Volunteer Survey'!I354)"),"Somatic Cancer")</f>
        <v>Somatic Cancer</v>
      </c>
      <c r="Q345" s="54" t="str">
        <f ca="1">IFERROR(__xludf.DUMMYFUNCTION("QUERY('Volunteer Survey'!J354)"),"")</f>
        <v/>
      </c>
      <c r="R345" s="49" t="str">
        <f ca="1">IFERROR(__xludf.DUMMYFUNCTION("QUERY('Volunteer Survey'!K354)"),"")</f>
        <v/>
      </c>
      <c r="S345" s="49" t="str">
        <f ca="1">IFERROR(__xludf.DUMMYFUNCTION("QUERY('Volunteer Survey'!L354)"),"")</f>
        <v/>
      </c>
      <c r="T345" s="49" t="str">
        <f ca="1">IFERROR(__xludf.DUMMYFUNCTION("QUERY('Volunteer Survey'!M354)"),"")</f>
        <v/>
      </c>
      <c r="U345" s="58" t="str">
        <f ca="1">IFERROR(__xludf.DUMMYFUNCTION("QUERY('Volunteer Survey'!N354)"),"")</f>
        <v/>
      </c>
      <c r="V345" s="49" t="str">
        <f ca="1">IFERROR(__xludf.DUMMYFUNCTION("QUERY('Volunteer Survey'!O354)"),"No")</f>
        <v>No</v>
      </c>
      <c r="W345" s="60" t="str">
        <f ca="1">IFERROR(__xludf.DUMMYFUNCTION("QUERY('Volunteer Survey'!P354)"),"Somatic Cancer")</f>
        <v>Somatic Cancer</v>
      </c>
      <c r="X345" s="58" t="str">
        <f ca="1">IFERROR(__xludf.DUMMYFUNCTION("QUERY('Volunteer Survey'!R354)"),"Maybe -- please contact me with other options, and I will decide based on what is available")</f>
        <v>Maybe -- please contact me with other options, and I will decide based on what is available</v>
      </c>
      <c r="Y345" s="47"/>
      <c r="Z345" s="174">
        <f ca="1">IFERROR(__xludf.DUMMYFUNCTION("QUERY('Volunteer Survey'!A344)"),43767.6245374074)</f>
        <v>43767.624537407399</v>
      </c>
      <c r="AA345" s="175" t="str">
        <f ca="1">IFERROR(__xludf.DUMMYFUNCTION("QUERY('Volunteer Survey'!B344)"),"Steve Waring")</f>
        <v>Steve Waring</v>
      </c>
      <c r="AB345" s="175" t="str">
        <f ca="1">IFERROR(__xludf.DUMMYFUNCTION("QUERY('Volunteer Survey'!C344)"),"Essentia Institute of Rural Health")</f>
        <v>Essentia Institute of Rural Health</v>
      </c>
      <c r="AC345" s="175" t="str">
        <f ca="1">IFERROR(__xludf.DUMMYFUNCTION("QUERY('Volunteer Survey'!D344)"),"502 E 2nd St, 6AV-2, Duluth MN 55805")</f>
        <v>502 E 2nd St, 6AV-2, Duluth MN 55805</v>
      </c>
      <c r="AD345" s="175" t="str">
        <f ca="1">IFERROR(__xludf.DUMMYFUNCTION("QUERY('Volunteer Survey'!E344)"),"stephen.waring@essentiahealth.org")</f>
        <v>stephen.waring@essentiahealth.org</v>
      </c>
      <c r="AE345" s="175" t="str">
        <f ca="1">IFERROR(__xludf.DUMMYFUNCTION("QUERY('Volunteer Survey'!F344)"),"Scientific Researcher")</f>
        <v>Scientific Researcher</v>
      </c>
      <c r="AF345" s="175" t="str">
        <f ca="1">IFERROR(__xludf.DUMMYFUNCTION("QUERY('Volunteer Survey'!G344)"),"Colleagues, ClinGen affiliated emails and/or newsletters, The clinicalgenome.org website")</f>
        <v>Colleagues, ClinGen affiliated emails and/or newsletters, The clinicalgenome.org website</v>
      </c>
      <c r="AG345" s="175" t="str">
        <f ca="1">IFERROR(__xludf.DUMMYFUNCTION("QUERY('Volunteer Survey'!H344)"),"Comprehensive")</f>
        <v>Comprehensive</v>
      </c>
      <c r="AH345" s="175" t="str">
        <f ca="1">IFERROR(__xludf.DUMMYFUNCTION("QUERY('Volunteer Survey'!I344)"),"Gene-Disease Validity")</f>
        <v>Gene-Disease Validity</v>
      </c>
      <c r="AI345" s="175" t="str">
        <f ca="1">IFERROR(__xludf.DUMMYFUNCTION("QUERY('Volunteer Survey'!J344)"),"Clinical Actionability")</f>
        <v>Clinical Actionability</v>
      </c>
      <c r="AJ345" s="175" t="str">
        <f ca="1">IFERROR(__xludf.DUMMYFUNCTION("QUERY('Volunteer Survey'!K344)"),"")</f>
        <v/>
      </c>
      <c r="AK345" s="175" t="str">
        <f ca="1">IFERROR(__xludf.DUMMYFUNCTION("QUERY('Volunteer Survey'!L344)"),"")</f>
        <v/>
      </c>
      <c r="AL345" s="175" t="str">
        <f ca="1">IFERROR(__xludf.DUMMYFUNCTION("QUERY('Volunteer Survey'!M344)"),"")</f>
        <v/>
      </c>
      <c r="AM345" s="175" t="str">
        <f ca="1">IFERROR(__xludf.DUMMYFUNCTION("QUERY('Volunteer Survey'!N344)"),"Genetic epidemiology research involving gene-gene and gene-env interactions; PGx")</f>
        <v>Genetic epidemiology research involving gene-gene and gene-env interactions; PGx</v>
      </c>
      <c r="AN345" s="175" t="str">
        <f ca="1">IFERROR(__xludf.DUMMYFUNCTION("QUERY('Volunteer Survey'!O344)"),"No")</f>
        <v>No</v>
      </c>
      <c r="AO345" s="175" t="str">
        <f ca="1">IFERROR(__xludf.DUMMYFUNCTION("QUERY('Volunteer Survey'!P344)"),"Open to assignment based on greatest need")</f>
        <v>Open to assignment based on greatest need</v>
      </c>
    </row>
    <row r="346" spans="1:41" ht="14">
      <c r="A346" s="44">
        <f ca="1">IFERROR(__xludf.DUMMYFUNCTION("QUERY('Volunteer Survey'!A355)"),43777.9474189467)</f>
        <v>43777.9474189467</v>
      </c>
      <c r="B346" s="42" t="s">
        <v>322</v>
      </c>
      <c r="C346" s="47"/>
      <c r="D346" s="49"/>
      <c r="E346" s="49"/>
      <c r="F346" s="42" t="s">
        <v>130</v>
      </c>
      <c r="G346" s="42" t="s">
        <v>313</v>
      </c>
      <c r="H346" s="47"/>
      <c r="I346" s="47"/>
      <c r="J346" s="49"/>
      <c r="K346" s="49"/>
      <c r="L346" s="49" t="str">
        <f ca="1">IFERROR(__xludf.DUMMYFUNCTION("QUERY('Volunteer Survey'!B355)"),"rekha aaron")</f>
        <v>rekha aaron</v>
      </c>
      <c r="M346" s="49" t="str">
        <f ca="1">IFERROR(__xludf.DUMMYFUNCTION("QUERY('Volunteer Survey'!E355)"),"rekha.a@cmcvellore.ac.in")</f>
        <v>rekha.a@cmcvellore.ac.in</v>
      </c>
      <c r="N346" s="49" t="str">
        <f ca="1">IFERROR(__xludf.DUMMYFUNCTION("QUERY('Volunteer Survey'!F355)"),"Clinical laboratory geneticist")</f>
        <v>Clinical laboratory geneticist</v>
      </c>
      <c r="O346" s="42" t="str">
        <f ca="1">IFERROR(__xludf.DUMMYFUNCTION("QUERY('Volunteer Survey'!H355)"),"Baseline")</f>
        <v>Baseline</v>
      </c>
      <c r="P346" s="49" t="str">
        <f ca="1">IFERROR(__xludf.DUMMYFUNCTION("QUERY('Volunteer Survey'!I355)"),"Variant Pathogenicity")</f>
        <v>Variant Pathogenicity</v>
      </c>
      <c r="Q346" s="54" t="str">
        <f ca="1">IFERROR(__xludf.DUMMYFUNCTION("QUERY('Volunteer Survey'!J355)"),"Gene-Disease Validity")</f>
        <v>Gene-Disease Validity</v>
      </c>
      <c r="R346" s="49" t="str">
        <f ca="1">IFERROR(__xludf.DUMMYFUNCTION("QUERY('Volunteer Survey'!K355)"),"Dosage Sensitivity")</f>
        <v>Dosage Sensitivity</v>
      </c>
      <c r="S346" s="49" t="str">
        <f ca="1">IFERROR(__xludf.DUMMYFUNCTION("QUERY('Volunteer Survey'!L355)"),"Clinical Actionability")</f>
        <v>Clinical Actionability</v>
      </c>
      <c r="T346" s="49" t="str">
        <f ca="1">IFERROR(__xludf.DUMMYFUNCTION("QUERY('Volunteer Survey'!M355)"),"Somatic Cancer")</f>
        <v>Somatic Cancer</v>
      </c>
      <c r="U346" s="58" t="str">
        <f ca="1">IFERROR(__xludf.DUMMYFUNCTION("QUERY('Volunteer Survey'!N355)"),"My work regularly involved in variant analysis, interpretation &amp; reporting ")</f>
        <v xml:space="preserve">My work regularly involved in variant analysis, interpretation &amp; reporting </v>
      </c>
      <c r="V346" s="49" t="str">
        <f ca="1">IFERROR(__xludf.DUMMYFUNCTION("QUERY('Volunteer Survey'!O355)"),"Possibly")</f>
        <v>Possibly</v>
      </c>
      <c r="W346" s="60" t="str">
        <f ca="1">IFERROR(__xludf.DUMMYFUNCTION("QUERY('Volunteer Survey'!P355)"),"mitochondrial ,neurodevelopmental disorders,myopathies")</f>
        <v>mitochondrial ,neurodevelopmental disorders,myopathies</v>
      </c>
      <c r="X346" s="58" t="str">
        <f ca="1">IFERROR(__xludf.DUMMYFUNCTION("QUERY('Volunteer Survey'!R355)"),"Maybe -- please contact me with other options, and I will decide based on what is available")</f>
        <v>Maybe -- please contact me with other options, and I will decide based on what is available</v>
      </c>
      <c r="Y346" s="47"/>
      <c r="Z346" s="174">
        <f ca="1">IFERROR(__xludf.DUMMYFUNCTION("QUERY('Volunteer Survey'!A345)"),43769.5390624537)</f>
        <v>43769.539062453703</v>
      </c>
      <c r="AA346" s="175" t="str">
        <f ca="1">IFERROR(__xludf.DUMMYFUNCTION("QUERY('Volunteer Survey'!B345)"),"Abul Kalam Azad")</f>
        <v>Abul Kalam Azad</v>
      </c>
      <c r="AB346" s="175" t="str">
        <f ca="1">IFERROR(__xludf.DUMMYFUNCTION("QUERY('Volunteer Survey'!C345)"),"Montefiore Medical Center")</f>
        <v>Montefiore Medical Center</v>
      </c>
      <c r="AC346" s="175" t="str">
        <f ca="1">IFERROR(__xludf.DUMMYFUNCTION("QUERY('Volunteer Survey'!D345)"),"1641 Metropolitan Ave Apt 3A")</f>
        <v>1641 Metropolitan Ave Apt 3A</v>
      </c>
      <c r="AD346" s="175" t="str">
        <f ca="1">IFERROR(__xludf.DUMMYFUNCTION("QUERY('Volunteer Survey'!E345)"),"azadak@gmail.com")</f>
        <v>azadak@gmail.com</v>
      </c>
      <c r="AE346" s="175" t="str">
        <f ca="1">IFERROR(__xludf.DUMMYFUNCTION("QUERY('Volunteer Survey'!F345)"),"Post Doc/Resident/Fellow (MD and/or PhD)")</f>
        <v>Post Doc/Resident/Fellow (MD and/or PhD)</v>
      </c>
      <c r="AF346" s="175" t="str">
        <f ca="1">IFERROR(__xludf.DUMMYFUNCTION("QUERY('Volunteer Survey'!G345)"),"ACMG Conference 2019")</f>
        <v>ACMG Conference 2019</v>
      </c>
      <c r="AG346" s="175" t="str">
        <f ca="1">IFERROR(__xludf.DUMMYFUNCTION("QUERY('Volunteer Survey'!H345)"),"Comprehensive")</f>
        <v>Comprehensive</v>
      </c>
      <c r="AH346" s="175" t="str">
        <f ca="1">IFERROR(__xludf.DUMMYFUNCTION("QUERY('Volunteer Survey'!I345)"),"Variant Pathogenicity")</f>
        <v>Variant Pathogenicity</v>
      </c>
      <c r="AI346" s="175" t="str">
        <f ca="1">IFERROR(__xludf.DUMMYFUNCTION("QUERY('Volunteer Survey'!J345)"),"")</f>
        <v/>
      </c>
      <c r="AJ346" s="175" t="str">
        <f ca="1">IFERROR(__xludf.DUMMYFUNCTION("QUERY('Volunteer Survey'!K345)"),"")</f>
        <v/>
      </c>
      <c r="AK346" s="175" t="str">
        <f ca="1">IFERROR(__xludf.DUMMYFUNCTION("QUERY('Volunteer Survey'!L345)"),"")</f>
        <v/>
      </c>
      <c r="AL346" s="175" t="str">
        <f ca="1">IFERROR(__xludf.DUMMYFUNCTION("QUERY('Volunteer Survey'!M345)"),"")</f>
        <v/>
      </c>
      <c r="AM346" s="175" t="str">
        <f ca="1">IFERROR(__xludf.DUMMYFUNCTION("QUERY('Volunteer Survey'!N345)"),"")</f>
        <v/>
      </c>
      <c r="AN346" s="175" t="str">
        <f ca="1">IFERROR(__xludf.DUMMYFUNCTION("QUERY('Volunteer Survey'!O345)"),"Yes")</f>
        <v>Yes</v>
      </c>
      <c r="AO346" s="175" t="str">
        <f ca="1">IFERROR(__xludf.DUMMYFUNCTION("QUERY('Volunteer Survey'!P345)"),"")</f>
        <v/>
      </c>
    </row>
    <row r="347" spans="1:41" ht="14">
      <c r="A347" s="44">
        <f ca="1">IFERROR(__xludf.DUMMYFUNCTION("QUERY('Volunteer Survey'!A356)"),43778.8432091898)</f>
        <v>43778.843209189799</v>
      </c>
      <c r="B347" s="42" t="s">
        <v>160</v>
      </c>
      <c r="C347" s="84">
        <v>44160</v>
      </c>
      <c r="D347" s="59">
        <v>43859</v>
      </c>
      <c r="E347" s="42" t="s">
        <v>117</v>
      </c>
      <c r="F347" s="42" t="s">
        <v>130</v>
      </c>
      <c r="G347" s="42" t="s">
        <v>19</v>
      </c>
      <c r="H347" s="47"/>
      <c r="I347" s="47"/>
      <c r="J347" s="49"/>
      <c r="K347" s="49"/>
      <c r="L347" s="49" t="str">
        <f ca="1">IFERROR(__xludf.DUMMYFUNCTION("QUERY('Volunteer Survey'!B356)"),"Larissa Waldman")</f>
        <v>Larissa Waldman</v>
      </c>
      <c r="M347" s="49" t="str">
        <f ca="1">IFERROR(__xludf.DUMMYFUNCTION("QUERY('Volunteer Survey'!E356)"),"larissa.waldman@gmail.com")</f>
        <v>larissa.waldman@gmail.com</v>
      </c>
      <c r="N347" s="49" t="str">
        <f ca="1">IFERROR(__xludf.DUMMYFUNCTION("QUERY('Volunteer Survey'!F356)"),"Genetic counselor")</f>
        <v>Genetic counselor</v>
      </c>
      <c r="O347" s="42" t="str">
        <f ca="1">IFERROR(__xludf.DUMMYFUNCTION("QUERY('Volunteer Survey'!H356)"),"Comprehensive")</f>
        <v>Comprehensive</v>
      </c>
      <c r="P347" s="49" t="str">
        <f ca="1">IFERROR(__xludf.DUMMYFUNCTION("QUERY('Volunteer Survey'!I356)"),"Clinical Actionability")</f>
        <v>Clinical Actionability</v>
      </c>
      <c r="Q347" s="54" t="str">
        <f ca="1">IFERROR(__xludf.DUMMYFUNCTION("QUERY('Volunteer Survey'!J356)"),"Gene-Disease Validity")</f>
        <v>Gene-Disease Validity</v>
      </c>
      <c r="R347" s="49" t="str">
        <f ca="1">IFERROR(__xludf.DUMMYFUNCTION("QUERY('Volunteer Survey'!K356)"),"Somatic Cancer")</f>
        <v>Somatic Cancer</v>
      </c>
      <c r="S347" s="49" t="str">
        <f ca="1">IFERROR(__xludf.DUMMYFUNCTION("QUERY('Volunteer Survey'!L356)"),"Variant Pathogenicity")</f>
        <v>Variant Pathogenicity</v>
      </c>
      <c r="T347" s="49" t="str">
        <f ca="1">IFERROR(__xludf.DUMMYFUNCTION("QUERY('Volunteer Survey'!M356)"),"Dosage Sensitivity")</f>
        <v>Dosage Sensitivity</v>
      </c>
      <c r="U347" s="58" t="str">
        <f ca="1">IFERROR(__xludf.DUMMYFUNCTION("QUERY('Volunteer Survey'!N356)"),"")</f>
        <v/>
      </c>
      <c r="V347" s="49" t="str">
        <f ca="1">IFERROR(__xludf.DUMMYFUNCTION("QUERY('Volunteer Survey'!O356)"),"No")</f>
        <v>No</v>
      </c>
      <c r="W347" s="60" t="str">
        <f ca="1">IFERROR(__xludf.DUMMYFUNCTION("QUERY('Volunteer Survey'!P356)"),"Hereditary cancer, myeloid malignancy, pediatric somatic")</f>
        <v>Hereditary cancer, myeloid malignancy, pediatric somatic</v>
      </c>
      <c r="X347" s="58" t="str">
        <f ca="1">IFERROR(__xludf.DUMMYFUNCTION("QUERY('Volunteer Survey'!R356)"),"Maybe -- please contact me with other options, and I will decide based on what is available")</f>
        <v>Maybe -- please contact me with other options, and I will decide based on what is available</v>
      </c>
      <c r="Y347" s="47"/>
      <c r="Z347" s="174">
        <f ca="1">IFERROR(__xludf.DUMMYFUNCTION("QUERY('Volunteer Survey'!A346)"),43769.8890638773)</f>
        <v>43769.889063877301</v>
      </c>
      <c r="AA347" s="175" t="str">
        <f ca="1">IFERROR(__xludf.DUMMYFUNCTION("QUERY('Volunteer Survey'!B346)"),"Lise Graversen")</f>
        <v>Lise Graversen</v>
      </c>
      <c r="AB347" s="175" t="str">
        <f ca="1">IFERROR(__xludf.DUMMYFUNCTION("QUERY('Volunteer Survey'!C346)"),"The Royal Melbourne Hospital ")</f>
        <v xml:space="preserve">The Royal Melbourne Hospital </v>
      </c>
      <c r="AC347" s="175" t="str">
        <f ca="1">IFERROR(__xludf.DUMMYFUNCTION("QUERY('Volunteer Survey'!D346)"),"")</f>
        <v/>
      </c>
      <c r="AD347" s="175" t="str">
        <f ca="1">IFERROR(__xludf.DUMMYFUNCTION("QUERY('Volunteer Survey'!E346)"),"lisega@rm.dk")</f>
        <v>lisega@rm.dk</v>
      </c>
      <c r="AE347" s="175" t="str">
        <f ca="1">IFERROR(__xludf.DUMMYFUNCTION("QUERY('Volunteer Survey'!F346)"),"Clinical Medical Geneticist")</f>
        <v>Clinical Medical Geneticist</v>
      </c>
      <c r="AF347" s="175" t="str">
        <f ca="1">IFERROR(__xludf.DUMMYFUNCTION("QUERY('Volunteer Survey'!G346)"),"Colleagues")</f>
        <v>Colleagues</v>
      </c>
      <c r="AG347" s="175" t="str">
        <f ca="1">IFERROR(__xludf.DUMMYFUNCTION("QUERY('Volunteer Survey'!H346)"),"Baseline")</f>
        <v>Baseline</v>
      </c>
      <c r="AH347" s="175" t="str">
        <f ca="1">IFERROR(__xludf.DUMMYFUNCTION("QUERY('Volunteer Survey'!I346)"),"")</f>
        <v/>
      </c>
      <c r="AI347" s="175" t="str">
        <f ca="1">IFERROR(__xludf.DUMMYFUNCTION("QUERY('Volunteer Survey'!J346)"),"")</f>
        <v/>
      </c>
      <c r="AJ347" s="175" t="str">
        <f ca="1">IFERROR(__xludf.DUMMYFUNCTION("QUERY('Volunteer Survey'!K346)"),"")</f>
        <v/>
      </c>
      <c r="AK347" s="175" t="str">
        <f ca="1">IFERROR(__xludf.DUMMYFUNCTION("QUERY('Volunteer Survey'!L346)"),"")</f>
        <v/>
      </c>
      <c r="AL347" s="175" t="str">
        <f ca="1">IFERROR(__xludf.DUMMYFUNCTION("QUERY('Volunteer Survey'!M346)"),"")</f>
        <v/>
      </c>
      <c r="AM347" s="175" t="str">
        <f ca="1">IFERROR(__xludf.DUMMYFUNCTION("QUERY('Volunteer Survey'!N346)"),"")</f>
        <v/>
      </c>
      <c r="AN347" s="175" t="str">
        <f ca="1">IFERROR(__xludf.DUMMYFUNCTION("QUERY('Volunteer Survey'!O346)"),"No")</f>
        <v>No</v>
      </c>
      <c r="AO347" s="175" t="str">
        <f ca="1">IFERROR(__xludf.DUMMYFUNCTION("QUERY('Volunteer Survey'!P346)"),"Insight mismatch repair")</f>
        <v>Insight mismatch repair</v>
      </c>
    </row>
    <row r="348" spans="1:41" ht="14">
      <c r="A348" s="44">
        <f ca="1">IFERROR(__xludf.DUMMYFUNCTION("QUERY('Volunteer Survey'!A357)"),43779.014280324)</f>
        <v>43779.014280324001</v>
      </c>
      <c r="B348" s="42" t="s">
        <v>108</v>
      </c>
      <c r="C348" s="73">
        <v>43819</v>
      </c>
      <c r="D348" s="49"/>
      <c r="E348" s="49"/>
      <c r="F348" s="42" t="s">
        <v>130</v>
      </c>
      <c r="G348" s="42" t="s">
        <v>251</v>
      </c>
      <c r="H348" s="47"/>
      <c r="I348" s="47"/>
      <c r="J348" s="49"/>
      <c r="K348" s="49"/>
      <c r="L348" s="49" t="str">
        <f ca="1">IFERROR(__xludf.DUMMYFUNCTION("QUERY('Volunteer Survey'!B357)"),"Prasad Rao Kopparapu")</f>
        <v>Prasad Rao Kopparapu</v>
      </c>
      <c r="M348" s="49" t="str">
        <f ca="1">IFERROR(__xludf.DUMMYFUNCTION("QUERY('Volunteer Survey'!E357)"),"prasaad82@gmail.com")</f>
        <v>prasaad82@gmail.com</v>
      </c>
      <c r="N348" s="49" t="str">
        <f ca="1">IFERROR(__xludf.DUMMYFUNCTION("QUERY('Volunteer Survey'!F357)"),"Post Doc/Resident/Fellow (MD and/or PhD)")</f>
        <v>Post Doc/Resident/Fellow (MD and/or PhD)</v>
      </c>
      <c r="O348" s="42" t="str">
        <f ca="1">IFERROR(__xludf.DUMMYFUNCTION("QUERY('Volunteer Survey'!H357)"),"Comprehensive")</f>
        <v>Comprehensive</v>
      </c>
      <c r="P348" s="49" t="str">
        <f ca="1">IFERROR(__xludf.DUMMYFUNCTION("QUERY('Volunteer Survey'!I357)"),"Variant Pathogenicity")</f>
        <v>Variant Pathogenicity</v>
      </c>
      <c r="Q348" s="54" t="str">
        <f ca="1">IFERROR(__xludf.DUMMYFUNCTION("QUERY('Volunteer Survey'!J357)"),"Gene-Disease Validity")</f>
        <v>Gene-Disease Validity</v>
      </c>
      <c r="R348" s="49" t="str">
        <f ca="1">IFERROR(__xludf.DUMMYFUNCTION("QUERY('Volunteer Survey'!K357)"),"Somatic Cancer")</f>
        <v>Somatic Cancer</v>
      </c>
      <c r="S348" s="49" t="str">
        <f ca="1">IFERROR(__xludf.DUMMYFUNCTION("QUERY('Volunteer Survey'!L357)"),"Dosage Sensitivity")</f>
        <v>Dosage Sensitivity</v>
      </c>
      <c r="T348" s="49" t="str">
        <f ca="1">IFERROR(__xludf.DUMMYFUNCTION("QUERY('Volunteer Survey'!M357)"),"Clinical Actionability")</f>
        <v>Clinical Actionability</v>
      </c>
      <c r="U348" s="58" t="str">
        <f ca="1">IFERROR(__xludf.DUMMYFUNCTION("QUERY('Volunteer Survey'!N357)"),"")</f>
        <v/>
      </c>
      <c r="V348" s="49" t="str">
        <f ca="1">IFERROR(__xludf.DUMMYFUNCTION("QUERY('Volunteer Survey'!O357)"),"Possibly")</f>
        <v>Possibly</v>
      </c>
      <c r="W348" s="60" t="str">
        <f ca="1">IFERROR(__xludf.DUMMYFUNCTION("QUERY('Volunteer Survey'!P357)"),"Variant Curation Expert Panels-TP53*, Somatic Cancer Working Group-Pediatric,")</f>
        <v>Variant Curation Expert Panels-TP53*, Somatic Cancer Working Group-Pediatric,</v>
      </c>
      <c r="X348" s="58" t="str">
        <f ca="1">IFERROR(__xludf.DUMMYFUNCTION("QUERY('Volunteer Survey'!R357)"),"Yes- I am willing to volunteer with any available ClinGen group")</f>
        <v>Yes- I am willing to volunteer with any available ClinGen group</v>
      </c>
      <c r="Y348" s="47"/>
      <c r="Z348" s="174">
        <f ca="1">IFERROR(__xludf.DUMMYFUNCTION("QUERY('Volunteer Survey'!A347)"),43772.9457219097)</f>
        <v>43772.945721909702</v>
      </c>
      <c r="AA348" s="175" t="str">
        <f ca="1">IFERROR(__xludf.DUMMYFUNCTION("QUERY('Volunteer Survey'!B347)"),"Ke Yu")</f>
        <v>Ke Yu</v>
      </c>
      <c r="AB348" s="175" t="str">
        <f ca="1">IFERROR(__xludf.DUMMYFUNCTION("QUERY('Volunteer Survey'!C347)"),"zhejiang Biosan Biochemical Technologies Co.,Ltd")</f>
        <v>zhejiang Biosan Biochemical Technologies Co.,Ltd</v>
      </c>
      <c r="AC348" s="175" t="str">
        <f ca="1">IFERROR(__xludf.DUMMYFUNCTION("QUERY('Volunteer Survey'!D347)"),"")</f>
        <v/>
      </c>
      <c r="AD348" s="175" t="str">
        <f ca="1">IFERROR(__xludf.DUMMYFUNCTION("QUERY('Volunteer Survey'!E347)"),"yukefg@163.com")</f>
        <v>yukefg@163.com</v>
      </c>
      <c r="AE348" s="175" t="str">
        <f ca="1">IFERROR(__xludf.DUMMYFUNCTION("QUERY('Volunteer Survey'!F347)"),"Clinical laboratory geneticist")</f>
        <v>Clinical laboratory geneticist</v>
      </c>
      <c r="AF348" s="175" t="str">
        <f ca="1">IFERROR(__xludf.DUMMYFUNCTION("QUERY('Volunteer Survey'!G347)"),"Networking")</f>
        <v>Networking</v>
      </c>
      <c r="AG348" s="175" t="str">
        <f ca="1">IFERROR(__xludf.DUMMYFUNCTION("QUERY('Volunteer Survey'!H347)"),"Baseline")</f>
        <v>Baseline</v>
      </c>
      <c r="AH348" s="175" t="str">
        <f ca="1">IFERROR(__xludf.DUMMYFUNCTION("QUERY('Volunteer Survey'!I347)"),"Variant Pathogenicity")</f>
        <v>Variant Pathogenicity</v>
      </c>
      <c r="AI348" s="175" t="str">
        <f ca="1">IFERROR(__xludf.DUMMYFUNCTION("QUERY('Volunteer Survey'!J347)"),"Gene-Disease Validity")</f>
        <v>Gene-Disease Validity</v>
      </c>
      <c r="AJ348" s="175" t="str">
        <f ca="1">IFERROR(__xludf.DUMMYFUNCTION("QUERY('Volunteer Survey'!K347)"),"Somatic Cancer")</f>
        <v>Somatic Cancer</v>
      </c>
      <c r="AK348" s="175" t="str">
        <f ca="1">IFERROR(__xludf.DUMMYFUNCTION("QUERY('Volunteer Survey'!L347)"),"Dosage Sensitivity")</f>
        <v>Dosage Sensitivity</v>
      </c>
      <c r="AL348" s="175" t="str">
        <f ca="1">IFERROR(__xludf.DUMMYFUNCTION("QUERY('Volunteer Survey'!M347)"),"Clinical Actionability")</f>
        <v>Clinical Actionability</v>
      </c>
      <c r="AM348" s="175" t="str">
        <f ca="1">IFERROR(__xludf.DUMMYFUNCTION("QUERY('Volunteer Survey'!N347)"),"")</f>
        <v/>
      </c>
      <c r="AN348" s="175" t="str">
        <f ca="1">IFERROR(__xludf.DUMMYFUNCTION("QUERY('Volunteer Survey'!O347)"),"Yes")</f>
        <v>Yes</v>
      </c>
      <c r="AO348" s="175" t="str">
        <f ca="1">IFERROR(__xludf.DUMMYFUNCTION("QUERY('Volunteer Survey'!P347)"),"")</f>
        <v/>
      </c>
    </row>
    <row r="349" spans="1:41" ht="14">
      <c r="A349" s="44">
        <f ca="1">IFERROR(__xludf.DUMMYFUNCTION("QUERY('Volunteer Survey'!A358)"),43780.1970004629)</f>
        <v>43780.197000462897</v>
      </c>
      <c r="B349" s="42" t="s">
        <v>108</v>
      </c>
      <c r="C349" s="73">
        <v>43819</v>
      </c>
      <c r="D349" s="49"/>
      <c r="E349" s="49"/>
      <c r="F349" s="42" t="s">
        <v>130</v>
      </c>
      <c r="G349" s="42" t="s">
        <v>122</v>
      </c>
      <c r="H349" s="47"/>
      <c r="I349" s="47"/>
      <c r="J349" s="49"/>
      <c r="K349" s="49"/>
      <c r="L349" s="49" t="str">
        <f ca="1">IFERROR(__xludf.DUMMYFUNCTION("QUERY('Volunteer Survey'!B358)"),"Mansour Zamanpoor")</f>
        <v>Mansour Zamanpoor</v>
      </c>
      <c r="M349" s="49" t="str">
        <f ca="1">IFERROR(__xludf.DUMMYFUNCTION("QUERY('Volunteer Survey'!E358)"),"mansour.zamanpoor@ccdhb.org.nz")</f>
        <v>mansour.zamanpoor@ccdhb.org.nz</v>
      </c>
      <c r="N349" s="49" t="str">
        <f ca="1">IFERROR(__xludf.DUMMYFUNCTION("QUERY('Volunteer Survey'!F358)"),"Clinical laboratory geneticist")</f>
        <v>Clinical laboratory geneticist</v>
      </c>
      <c r="O349" s="42" t="str">
        <f ca="1">IFERROR(__xludf.DUMMYFUNCTION("QUERY('Volunteer Survey'!H358)"),"Comprehensive")</f>
        <v>Comprehensive</v>
      </c>
      <c r="P349" s="49" t="str">
        <f ca="1">IFERROR(__xludf.DUMMYFUNCTION("QUERY('Volunteer Survey'!I358)"),"Gene-Disease Validity")</f>
        <v>Gene-Disease Validity</v>
      </c>
      <c r="Q349" s="54" t="str">
        <f ca="1">IFERROR(__xludf.DUMMYFUNCTION("QUERY('Volunteer Survey'!J358)"),"Variant Pathogenicity")</f>
        <v>Variant Pathogenicity</v>
      </c>
      <c r="R349" s="49" t="str">
        <f ca="1">IFERROR(__xludf.DUMMYFUNCTION("QUERY('Volunteer Survey'!K358)"),"Somatic Cancer")</f>
        <v>Somatic Cancer</v>
      </c>
      <c r="S349" s="49" t="str">
        <f ca="1">IFERROR(__xludf.DUMMYFUNCTION("QUERY('Volunteer Survey'!L358)"),"Clinical Actionability")</f>
        <v>Clinical Actionability</v>
      </c>
      <c r="T349" s="49" t="str">
        <f ca="1">IFERROR(__xludf.DUMMYFUNCTION("QUERY('Volunteer Survey'!M358)"),"Dosage Sensitivity")</f>
        <v>Dosage Sensitivity</v>
      </c>
      <c r="U349" s="58" t="str">
        <f ca="1">IFERROR(__xludf.DUMMYFUNCTION("QUERY('Volunteer Survey'!N358)"),"I am actively involved in variant curation in a diagnostic genomic laboratory ")</f>
        <v xml:space="preserve">I am actively involved in variant curation in a diagnostic genomic laboratory </v>
      </c>
      <c r="V349" s="49" t="str">
        <f ca="1">IFERROR(__xludf.DUMMYFUNCTION("QUERY('Volunteer Survey'!O358)"),"Yes")</f>
        <v>Yes</v>
      </c>
      <c r="W349" s="60" t="str">
        <f ca="1">IFERROR(__xludf.DUMMYFUNCTION("QUERY('Volunteer Survey'!P358)"),"")</f>
        <v/>
      </c>
      <c r="X349" s="58" t="str">
        <f ca="1">IFERROR(__xludf.DUMMYFUNCTION("QUERY('Volunteer Survey'!R358)"),"Maybe -- please contact me with other options, and I will decide based on what is available")</f>
        <v>Maybe -- please contact me with other options, and I will decide based on what is available</v>
      </c>
      <c r="Y349" s="47"/>
      <c r="Z349" s="174">
        <f ca="1">IFERROR(__xludf.DUMMYFUNCTION("QUERY('Volunteer Survey'!A348)"),43773.5855635532)</f>
        <v>43773.585563553199</v>
      </c>
      <c r="AA349" s="175" t="str">
        <f ca="1">IFERROR(__xludf.DUMMYFUNCTION("QUERY('Volunteer Survey'!B348)"),"JELENA BREZO")</f>
        <v>JELENA BREZO</v>
      </c>
      <c r="AB349" s="175" t="str">
        <f ca="1">IFERROR(__xludf.DUMMYFUNCTION("QUERY('Volunteer Survey'!C348)"),"N/A")</f>
        <v>N/A</v>
      </c>
      <c r="AC349" s="175" t="str">
        <f ca="1">IFERROR(__xludf.DUMMYFUNCTION("QUERY('Volunteer Survey'!D348)"),"1447 E KRISTIANNA CIR, SALT LAKE CITY, UT")</f>
        <v>1447 E KRISTIANNA CIR, SALT LAKE CITY, UT</v>
      </c>
      <c r="AD349" s="175" t="str">
        <f ca="1">IFERROR(__xludf.DUMMYFUNCTION("QUERY('Volunteer Survey'!E348)"),"dnalphabet@gmail.com")</f>
        <v>dnalphabet@gmail.com</v>
      </c>
      <c r="AE349" s="175" t="str">
        <f ca="1">IFERROR(__xludf.DUMMYFUNCTION("QUERY('Volunteer Survey'!F348)"),"Clinical laboratory geneticist")</f>
        <v>Clinical laboratory geneticist</v>
      </c>
      <c r="AF349" s="175" t="str">
        <f ca="1">IFERROR(__xludf.DUMMYFUNCTION("QUERY('Volunteer Survey'!G348)"),"Networking")</f>
        <v>Networking</v>
      </c>
      <c r="AG349" s="175" t="str">
        <f ca="1">IFERROR(__xludf.DUMMYFUNCTION("QUERY('Volunteer Survey'!H348)"),"Baseline")</f>
        <v>Baseline</v>
      </c>
      <c r="AH349" s="175" t="str">
        <f ca="1">IFERROR(__xludf.DUMMYFUNCTION("QUERY('Volunteer Survey'!I348)"),"Clinical Actionability")</f>
        <v>Clinical Actionability</v>
      </c>
      <c r="AI349" s="175" t="str">
        <f ca="1">IFERROR(__xludf.DUMMYFUNCTION("QUERY('Volunteer Survey'!J348)"),"Gene-Disease Validity")</f>
        <v>Gene-Disease Validity</v>
      </c>
      <c r="AJ349" s="175" t="str">
        <f ca="1">IFERROR(__xludf.DUMMYFUNCTION("QUERY('Volunteer Survey'!K348)"),"Variant Pathogenicity")</f>
        <v>Variant Pathogenicity</v>
      </c>
      <c r="AK349" s="175" t="str">
        <f ca="1">IFERROR(__xludf.DUMMYFUNCTION("QUERY('Volunteer Survey'!L348)"),"Somatic Cancer")</f>
        <v>Somatic Cancer</v>
      </c>
      <c r="AL349" s="175" t="str">
        <f ca="1">IFERROR(__xludf.DUMMYFUNCTION("QUERY('Volunteer Survey'!M348)"),"Dosage Sensitivity")</f>
        <v>Dosage Sensitivity</v>
      </c>
      <c r="AM349" s="175" t="str">
        <f ca="1">IFERROR(__xludf.DUMMYFUNCTION("QUERY('Volunteer Survey'!N348)"),"As a lab director, I reviewed interpretations for  a number of phenotypes")</f>
        <v>As a lab director, I reviewed interpretations for  a number of phenotypes</v>
      </c>
      <c r="AN349" s="175" t="str">
        <f ca="1">IFERROR(__xludf.DUMMYFUNCTION("QUERY('Volunteer Survey'!O348)"),"Possibly")</f>
        <v>Possibly</v>
      </c>
      <c r="AO349" s="175" t="str">
        <f ca="1">IFERROR(__xludf.DUMMYFUNCTION("QUERY('Volunteer Survey'!P348)"),"No specific interest")</f>
        <v>No specific interest</v>
      </c>
    </row>
    <row r="350" spans="1:41" ht="14">
      <c r="A350" s="44">
        <f ca="1">IFERROR(__xludf.DUMMYFUNCTION("QUERY('Volunteer Survey'!A359)"),43780.3746738888)</f>
        <v>43780.3746738888</v>
      </c>
      <c r="B350" s="42" t="s">
        <v>160</v>
      </c>
      <c r="C350" s="84">
        <v>43808</v>
      </c>
      <c r="D350" s="59">
        <v>43859</v>
      </c>
      <c r="E350" s="42" t="s">
        <v>117</v>
      </c>
      <c r="F350" s="42" t="s">
        <v>130</v>
      </c>
      <c r="G350" s="42" t="s">
        <v>19</v>
      </c>
      <c r="H350" s="47"/>
      <c r="I350" s="47"/>
      <c r="J350" s="49"/>
      <c r="K350" s="49"/>
      <c r="L350" s="49" t="str">
        <f ca="1">IFERROR(__xludf.DUMMYFUNCTION("QUERY('Volunteer Survey'!B359)"),"Mark Shlapobersky")</f>
        <v>Mark Shlapobersky</v>
      </c>
      <c r="M350" s="49" t="str">
        <f ca="1">IFERROR(__xludf.DUMMYFUNCTION("QUERY('Volunteer Survey'!E359)"),"marks@bmc.gov.il")</f>
        <v>marks@bmc.gov.il</v>
      </c>
      <c r="N350" s="49" t="str">
        <f ca="1">IFERROR(__xludf.DUMMYFUNCTION("QUERY('Volunteer Survey'!F359)"),"Director of Pathology lab")</f>
        <v>Director of Pathology lab</v>
      </c>
      <c r="O350" s="42" t="str">
        <f ca="1">IFERROR(__xludf.DUMMYFUNCTION("QUERY('Volunteer Survey'!H359)"),"Comprehensive")</f>
        <v>Comprehensive</v>
      </c>
      <c r="P350" s="49" t="str">
        <f ca="1">IFERROR(__xludf.DUMMYFUNCTION("QUERY('Volunteer Survey'!I359)"),"Clinical Actionability")</f>
        <v>Clinical Actionability</v>
      </c>
      <c r="Q350" s="54" t="str">
        <f ca="1">IFERROR(__xludf.DUMMYFUNCTION("QUERY('Volunteer Survey'!J359)"),"Variant Pathogenicity")</f>
        <v>Variant Pathogenicity</v>
      </c>
      <c r="R350" s="49" t="str">
        <f ca="1">IFERROR(__xludf.DUMMYFUNCTION("QUERY('Volunteer Survey'!K359)"),"Somatic Cancer")</f>
        <v>Somatic Cancer</v>
      </c>
      <c r="S350" s="49" t="str">
        <f ca="1">IFERROR(__xludf.DUMMYFUNCTION("QUERY('Volunteer Survey'!L359)"),"Gene-Disease Validity")</f>
        <v>Gene-Disease Validity</v>
      </c>
      <c r="T350" s="49" t="str">
        <f ca="1">IFERROR(__xludf.DUMMYFUNCTION("QUERY('Volunteer Survey'!M359)"),"Dosage Sensitivity")</f>
        <v>Dosage Sensitivity</v>
      </c>
      <c r="U350" s="58" t="str">
        <f ca="1">IFERROR(__xludf.DUMMYFUNCTION("QUERY('Volunteer Survey'!N359)"),"I was a curator for Pathway Genomics and Human Longevity")</f>
        <v>I was a curator for Pathway Genomics and Human Longevity</v>
      </c>
      <c r="V350" s="49" t="str">
        <f ca="1">IFERROR(__xludf.DUMMYFUNCTION("QUERY('Volunteer Survey'!O359)"),"Yes")</f>
        <v>Yes</v>
      </c>
      <c r="W350" s="60" t="str">
        <f ca="1">IFERROR(__xludf.DUMMYFUNCTION("QUERY('Volunteer Survey'!P359)"),"")</f>
        <v/>
      </c>
      <c r="X350" s="58" t="str">
        <f ca="1">IFERROR(__xludf.DUMMYFUNCTION("QUERY('Volunteer Survey'!R359)"),"Yes- I am willing to volunteer with any available ClinGen group")</f>
        <v>Yes- I am willing to volunteer with any available ClinGen group</v>
      </c>
      <c r="Y350" s="47"/>
      <c r="Z350" s="174">
        <f ca="1">IFERROR(__xludf.DUMMYFUNCTION("QUERY('Volunteer Survey'!A349)"),43773.5962210532)</f>
        <v>43773.596221053202</v>
      </c>
      <c r="AA350" s="175" t="str">
        <f ca="1">IFERROR(__xludf.DUMMYFUNCTION("QUERY('Volunteer Survey'!B349)"),"Qing Zhang")</f>
        <v>Qing Zhang</v>
      </c>
      <c r="AB350" s="175" t="str">
        <f ca="1">IFERROR(__xludf.DUMMYFUNCTION("QUERY('Volunteer Survey'!C349)"),"Fred Hutchinson Cancer Research Center")</f>
        <v>Fred Hutchinson Cancer Research Center</v>
      </c>
      <c r="AC350" s="175" t="str">
        <f ca="1">IFERROR(__xludf.DUMMYFUNCTION("QUERY('Volunteer Survey'!D349)"),"")</f>
        <v/>
      </c>
      <c r="AD350" s="175" t="str">
        <f ca="1">IFERROR(__xludf.DUMMYFUNCTION("QUERY('Volunteer Survey'!E349)"),"qz1seattle@yahoo.com")</f>
        <v>qz1seattle@yahoo.com</v>
      </c>
      <c r="AE350" s="175" t="str">
        <f ca="1">IFERROR(__xludf.DUMMYFUNCTION("QUERY('Volunteer Survey'!F349)"),"Scientific Researcher")</f>
        <v>Scientific Researcher</v>
      </c>
      <c r="AF350" s="175" t="str">
        <f ca="1">IFERROR(__xludf.DUMMYFUNCTION("QUERY('Volunteer Survey'!G349)"),"Networking")</f>
        <v>Networking</v>
      </c>
      <c r="AG350" s="175" t="str">
        <f ca="1">IFERROR(__xludf.DUMMYFUNCTION("QUERY('Volunteer Survey'!H349)"),"Comprehensive")</f>
        <v>Comprehensive</v>
      </c>
      <c r="AH350" s="175" t="str">
        <f ca="1">IFERROR(__xludf.DUMMYFUNCTION("QUERY('Volunteer Survey'!I349)"),"Somatic Cancer")</f>
        <v>Somatic Cancer</v>
      </c>
      <c r="AI350" s="175" t="str">
        <f ca="1">IFERROR(__xludf.DUMMYFUNCTION("QUERY('Volunteer Survey'!J349)"),"Variant Pathogenicity")</f>
        <v>Variant Pathogenicity</v>
      </c>
      <c r="AJ350" s="175" t="str">
        <f ca="1">IFERROR(__xludf.DUMMYFUNCTION("QUERY('Volunteer Survey'!K349)"),"Clinical Actionability")</f>
        <v>Clinical Actionability</v>
      </c>
      <c r="AK350" s="175" t="str">
        <f ca="1">IFERROR(__xludf.DUMMYFUNCTION("QUERY('Volunteer Survey'!L349)"),"")</f>
        <v/>
      </c>
      <c r="AL350" s="175" t="str">
        <f ca="1">IFERROR(__xludf.DUMMYFUNCTION("QUERY('Volunteer Survey'!M349)"),"")</f>
        <v/>
      </c>
      <c r="AM350" s="175" t="str">
        <f ca="1">IFERROR(__xludf.DUMMYFUNCTION("QUERY('Volunteer Survey'!N349)"),"")</f>
        <v/>
      </c>
      <c r="AN350" s="175" t="str">
        <f ca="1">IFERROR(__xludf.DUMMYFUNCTION("QUERY('Volunteer Survey'!O349)"),"Possibly")</f>
        <v>Possibly</v>
      </c>
      <c r="AO350" s="175" t="str">
        <f ca="1">IFERROR(__xludf.DUMMYFUNCTION("QUERY('Volunteer Survey'!P349)"),"Somatic Cancer Working Group")</f>
        <v>Somatic Cancer Working Group</v>
      </c>
    </row>
    <row r="351" spans="1:41" ht="14">
      <c r="A351" s="44">
        <f ca="1">IFERROR(__xludf.DUMMYFUNCTION("QUERY('Volunteer Survey'!A360)"),43782.5691342129)</f>
        <v>43782.569134212899</v>
      </c>
      <c r="B351" s="42" t="s">
        <v>108</v>
      </c>
      <c r="C351" s="73">
        <v>43819</v>
      </c>
      <c r="D351" s="67">
        <v>43846</v>
      </c>
      <c r="E351" s="42" t="s">
        <v>117</v>
      </c>
      <c r="F351" s="42" t="s">
        <v>117</v>
      </c>
      <c r="G351" s="42" t="s">
        <v>122</v>
      </c>
      <c r="H351" s="47"/>
      <c r="I351" s="47"/>
      <c r="J351" s="49"/>
      <c r="K351" s="49"/>
      <c r="L351" s="49" t="str">
        <f ca="1">IFERROR(__xludf.DUMMYFUNCTION("QUERY('Volunteer Survey'!B360)"),"Marie-Luise Brennan")</f>
        <v>Marie-Luise Brennan</v>
      </c>
      <c r="M351" s="49" t="str">
        <f ca="1">IFERROR(__xludf.DUMMYFUNCTION("QUERY('Volunteer Survey'!E360)"),"mbrennan@acmg.net")</f>
        <v>mbrennan@acmg.net</v>
      </c>
      <c r="N351" s="49" t="str">
        <f ca="1">IFERROR(__xludf.DUMMYFUNCTION("QUERY('Volunteer Survey'!F360)"),"Clinical Medical Geneticist")</f>
        <v>Clinical Medical Geneticist</v>
      </c>
      <c r="O351" s="42" t="str">
        <f ca="1">IFERROR(__xludf.DUMMYFUNCTION("QUERY('Volunteer Survey'!H360)"),"Comprehensive")</f>
        <v>Comprehensive</v>
      </c>
      <c r="P351" s="49" t="str">
        <f ca="1">IFERROR(__xludf.DUMMYFUNCTION("QUERY('Volunteer Survey'!I360)"),"Gene-Disease Validity")</f>
        <v>Gene-Disease Validity</v>
      </c>
      <c r="Q351" s="54" t="str">
        <f ca="1">IFERROR(__xludf.DUMMYFUNCTION("QUERY('Volunteer Survey'!J360)"),"Variant Pathogenicity")</f>
        <v>Variant Pathogenicity</v>
      </c>
      <c r="R351" s="49" t="str">
        <f ca="1">IFERROR(__xludf.DUMMYFUNCTION("QUERY('Volunteer Survey'!K360)"),"Dosage Sensitivity")</f>
        <v>Dosage Sensitivity</v>
      </c>
      <c r="S351" s="49" t="str">
        <f ca="1">IFERROR(__xludf.DUMMYFUNCTION("QUERY('Volunteer Survey'!L360)"),"Clinical Actionability")</f>
        <v>Clinical Actionability</v>
      </c>
      <c r="T351" s="49" t="str">
        <f ca="1">IFERROR(__xludf.DUMMYFUNCTION("QUERY('Volunteer Survey'!M360)"),"Somatic Cancer")</f>
        <v>Somatic Cancer</v>
      </c>
      <c r="U351" s="58" t="str">
        <f ca="1">IFERROR(__xludf.DUMMYFUNCTION("QUERY('Volunteer Survey'!N360)"),"No prior experience with curation. ")</f>
        <v xml:space="preserve">No prior experience with curation. </v>
      </c>
      <c r="V351" s="49" t="str">
        <f ca="1">IFERROR(__xludf.DUMMYFUNCTION("QUERY('Volunteer Survey'!O360)"),"Yes")</f>
        <v>Yes</v>
      </c>
      <c r="W351" s="60" t="str">
        <f ca="1">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c r="X351" s="58" t="str">
        <f ca="1">IFERROR(__xludf.DUMMYFUNCTION("QUERY('Volunteer Survey'!R360)"),"Yes- I am willing to volunteer with any available ClinGen group")</f>
        <v>Yes- I am willing to volunteer with any available ClinGen group</v>
      </c>
      <c r="Y351" s="47"/>
      <c r="Z351" s="174">
        <f ca="1">IFERROR(__xludf.DUMMYFUNCTION("QUERY('Volunteer Survey'!A350)"),43775.9284314236)</f>
        <v>43775.928431423599</v>
      </c>
      <c r="AA351" s="175" t="str">
        <f ca="1">IFERROR(__xludf.DUMMYFUNCTION("QUERY('Volunteer Survey'!B350)"),"Cassandra Barrett")</f>
        <v>Cassandra Barrett</v>
      </c>
      <c r="AB351" s="175" t="str">
        <f ca="1">IFERROR(__xludf.DUMMYFUNCTION("QUERY('Volunteer Survey'!C350)"),"University of Utah")</f>
        <v>University of Utah</v>
      </c>
      <c r="AC351" s="175" t="str">
        <f ca="1">IFERROR(__xludf.DUMMYFUNCTION("QUERY('Volunteer Survey'!D350)"),"564 Hollywood Ave, Salt Lake City UT 84105")</f>
        <v>564 Hollywood Ave, Salt Lake City UT 84105</v>
      </c>
      <c r="AD351" s="175" t="str">
        <f ca="1">IFERROR(__xludf.DUMMYFUNCTION("QUERY('Volunteer Survey'!E350)"),"cas9bar@gmail.com")</f>
        <v>cas9bar@gmail.com</v>
      </c>
      <c r="AE351" s="175" t="str">
        <f ca="1">IFERROR(__xludf.DUMMYFUNCTION("QUERY('Volunteer Survey'!F350)"),"PhD in genetic engineering; currently in a genetic counseling graduate program")</f>
        <v>PhD in genetic engineering; currently in a genetic counseling graduate program</v>
      </c>
      <c r="AF351" s="175" t="str">
        <f ca="1">IFERROR(__xludf.DUMMYFUNCTION("QUERY('Volunteer Survey'!G350)"),"NSGC Conference 2019")</f>
        <v>NSGC Conference 2019</v>
      </c>
      <c r="AG351" s="175" t="str">
        <f ca="1">IFERROR(__xludf.DUMMYFUNCTION("QUERY('Volunteer Survey'!H350)"),"Comprehensive")</f>
        <v>Comprehensive</v>
      </c>
      <c r="AH351" s="175" t="str">
        <f ca="1">IFERROR(__xludf.DUMMYFUNCTION("QUERY('Volunteer Survey'!I350)"),"Dosage Sensitivity")</f>
        <v>Dosage Sensitivity</v>
      </c>
      <c r="AI351" s="175" t="str">
        <f ca="1">IFERROR(__xludf.DUMMYFUNCTION("QUERY('Volunteer Survey'!J350)"),"Clinical Actionability")</f>
        <v>Clinical Actionability</v>
      </c>
      <c r="AJ351" s="175" t="str">
        <f ca="1">IFERROR(__xludf.DUMMYFUNCTION("QUERY('Volunteer Survey'!K350)"),"Gene-Disease Validity")</f>
        <v>Gene-Disease Validity</v>
      </c>
      <c r="AK351" s="175" t="str">
        <f ca="1">IFERROR(__xludf.DUMMYFUNCTION("QUERY('Volunteer Survey'!L350)"),"Variant Pathogenicity")</f>
        <v>Variant Pathogenicity</v>
      </c>
      <c r="AL351" s="175" t="str">
        <f ca="1">IFERROR(__xludf.DUMMYFUNCTION("QUERY('Volunteer Survey'!M350)"),"Somatic Cancer")</f>
        <v>Somatic Cancer</v>
      </c>
      <c r="AM351" s="175" t="str">
        <f ca="1">IFERROR(__xludf.DUMMYFUNCTION("QUERY('Volunteer Survey'!N350)"),"I've done literature research before related to the effects of specific epigenetic modifiers on phenotype, but that's about it.")</f>
        <v>I've done literature research before related to the effects of specific epigenetic modifiers on phenotype, but that's about it.</v>
      </c>
      <c r="AN351" s="175" t="str">
        <f ca="1">IFERROR(__xludf.DUMMYFUNCTION("QUERY('Volunteer Survey'!O350)"),"Possibly")</f>
        <v>Possibly</v>
      </c>
      <c r="AO351" s="175" t="str">
        <f ca="1">IFERROR(__xludf.DUMMYFUNCTION("QUERY('Volunteer Survey'!P350)"),"")</f>
        <v/>
      </c>
    </row>
    <row r="352" spans="1:41" ht="14">
      <c r="A352" s="44">
        <f ca="1">IFERROR(__xludf.DUMMYFUNCTION("QUERY('Volunteer Survey'!A361)"),43789.3792843055)</f>
        <v>43789.379284305498</v>
      </c>
      <c r="B352" s="42" t="s">
        <v>108</v>
      </c>
      <c r="C352" s="73">
        <v>43819</v>
      </c>
      <c r="D352" s="49"/>
      <c r="E352" s="49"/>
      <c r="F352" s="42" t="s">
        <v>130</v>
      </c>
      <c r="G352" s="42" t="s">
        <v>251</v>
      </c>
      <c r="H352" s="47"/>
      <c r="I352" s="47"/>
      <c r="J352" s="49"/>
      <c r="K352" s="49"/>
      <c r="L352" s="49" t="str">
        <f ca="1">IFERROR(__xludf.DUMMYFUNCTION("QUERY('Volunteer Survey'!B361)"),"Shawn Gessay")</f>
        <v>Shawn Gessay</v>
      </c>
      <c r="M352" s="49" t="str">
        <f ca="1">IFERROR(__xludf.DUMMYFUNCTION("QUERY('Volunteer Survey'!E361)"),"gessays75@gmail.com")</f>
        <v>gessays75@gmail.com</v>
      </c>
      <c r="N352" s="49" t="str">
        <f ca="1">IFERROR(__xludf.DUMMYFUNCTION("QUERY('Volunteer Survey'!F361)"),"Genetic counselor")</f>
        <v>Genetic counselor</v>
      </c>
      <c r="O352" s="42" t="str">
        <f ca="1">IFERROR(__xludf.DUMMYFUNCTION("QUERY('Volunteer Survey'!H361)"),"Comprehensive")</f>
        <v>Comprehensive</v>
      </c>
      <c r="P352" s="49" t="str">
        <f ca="1">IFERROR(__xludf.DUMMYFUNCTION("QUERY('Volunteer Survey'!I361)"),"Variant Pathogenicity")</f>
        <v>Variant Pathogenicity</v>
      </c>
      <c r="Q352" s="54" t="str">
        <f ca="1">IFERROR(__xludf.DUMMYFUNCTION("QUERY('Volunteer Survey'!J361)"),"Clinical Actionability")</f>
        <v>Clinical Actionability</v>
      </c>
      <c r="R352" s="49" t="str">
        <f ca="1">IFERROR(__xludf.DUMMYFUNCTION("QUERY('Volunteer Survey'!K361)"),"Gene-Disease Validity")</f>
        <v>Gene-Disease Validity</v>
      </c>
      <c r="S352" s="49" t="str">
        <f ca="1">IFERROR(__xludf.DUMMYFUNCTION("QUERY('Volunteer Survey'!L361)"),"Dosage Sensitivity")</f>
        <v>Dosage Sensitivity</v>
      </c>
      <c r="T352" s="49" t="str">
        <f ca="1">IFERROR(__xludf.DUMMYFUNCTION("QUERY('Volunteer Survey'!M361)"),"Somatic Cancer")</f>
        <v>Somatic Cancer</v>
      </c>
      <c r="U352" s="58" t="str">
        <f ca="1">IFERROR(__xludf.DUMMYFUNCTION("QUERY('Volunteer Survey'!N361)"),"No ")</f>
        <v xml:space="preserve">No </v>
      </c>
      <c r="V352" s="49" t="str">
        <f ca="1">IFERROR(__xludf.DUMMYFUNCTION("QUERY('Volunteer Survey'!O361)"),"Yes")</f>
        <v>Yes</v>
      </c>
      <c r="W352" s="60" t="str">
        <f ca="1">IFERROR(__xludf.DUMMYFUNCTION("QUERY('Volunteer Survey'!P361)"),"RASopathy")</f>
        <v>RASopathy</v>
      </c>
      <c r="X352" s="58" t="str">
        <f ca="1">IFERROR(__xludf.DUMMYFUNCTION("QUERY('Volunteer Survey'!R361)"),"Yes- I am willing to volunteer with any available ClinGen group")</f>
        <v>Yes- I am willing to volunteer with any available ClinGen group</v>
      </c>
      <c r="Y352" s="47"/>
      <c r="Z352" s="174">
        <f ca="1">IFERROR(__xludf.DUMMYFUNCTION("QUERY('Volunteer Survey'!A351)"),43776.037574699)</f>
        <v>43776.037574699003</v>
      </c>
      <c r="AA352" s="175" t="str">
        <f ca="1">IFERROR(__xludf.DUMMYFUNCTION("QUERY('Volunteer Survey'!B351)"),"Punithavathi Sundaramurthy")</f>
        <v>Punithavathi Sundaramurthy</v>
      </c>
      <c r="AB352" s="175" t="str">
        <f ca="1">IFERROR(__xludf.DUMMYFUNCTION("QUERY('Volunteer Survey'!C351)"),"San Jose State University")</f>
        <v>San Jose State University</v>
      </c>
      <c r="AC352" s="175" t="str">
        <f ca="1">IFERROR(__xludf.DUMMYFUNCTION("QUERY('Volunteer Survey'!D351)"),"")</f>
        <v/>
      </c>
      <c r="AD352" s="175" t="str">
        <f ca="1">IFERROR(__xludf.DUMMYFUNCTION("QUERY('Volunteer Survey'!E351)"),"PunitSundar95@gmail.com")</f>
        <v>PunitSundar95@gmail.com</v>
      </c>
      <c r="AE352" s="175" t="str">
        <f ca="1">IFERROR(__xludf.DUMMYFUNCTION("QUERY('Volunteer Survey'!F351)"),"Graduate Student")</f>
        <v>Graduate Student</v>
      </c>
      <c r="AF352" s="175" t="str">
        <f ca="1">IFERROR(__xludf.DUMMYFUNCTION("QUERY('Volunteer Survey'!G351)"),"I read an article which mentioned ClinGen")</f>
        <v>I read an article which mentioned ClinGen</v>
      </c>
      <c r="AG352" s="175" t="str">
        <f ca="1">IFERROR(__xludf.DUMMYFUNCTION("QUERY('Volunteer Survey'!H351)"),"Baseline")</f>
        <v>Baseline</v>
      </c>
      <c r="AH352" s="175" t="str">
        <f ca="1">IFERROR(__xludf.DUMMYFUNCTION("QUERY('Volunteer Survey'!I351)"),"")</f>
        <v/>
      </c>
      <c r="AI352" s="175" t="str">
        <f ca="1">IFERROR(__xludf.DUMMYFUNCTION("QUERY('Volunteer Survey'!J351)"),"")</f>
        <v/>
      </c>
      <c r="AJ352" s="175" t="str">
        <f ca="1">IFERROR(__xludf.DUMMYFUNCTION("QUERY('Volunteer Survey'!K351)"),"")</f>
        <v/>
      </c>
      <c r="AK352" s="175" t="str">
        <f ca="1">IFERROR(__xludf.DUMMYFUNCTION("QUERY('Volunteer Survey'!L351)"),"")</f>
        <v/>
      </c>
      <c r="AL352" s="175" t="str">
        <f ca="1">IFERROR(__xludf.DUMMYFUNCTION("QUERY('Volunteer Survey'!M351)"),"")</f>
        <v/>
      </c>
      <c r="AM352" s="175" t="str">
        <f ca="1">IFERROR(__xludf.DUMMYFUNCTION("QUERY('Volunteer Survey'!N351)"),"")</f>
        <v/>
      </c>
      <c r="AN352" s="175" t="str">
        <f ca="1">IFERROR(__xludf.DUMMYFUNCTION("QUERY('Volunteer Survey'!O351)"),"Yes")</f>
        <v>Yes</v>
      </c>
      <c r="AO352" s="175" t="str">
        <f ca="1">IFERROR(__xludf.DUMMYFUNCTION("QUERY('Volunteer Survey'!P351)"),"")</f>
        <v/>
      </c>
    </row>
    <row r="353" spans="1:41" ht="14">
      <c r="A353" s="44">
        <f ca="1">IFERROR(__xludf.DUMMYFUNCTION("QUERY('Volunteer Survey'!A362)"),43789.5611372337)</f>
        <v>43789.561137233701</v>
      </c>
      <c r="B353" s="42" t="s">
        <v>108</v>
      </c>
      <c r="C353" s="73">
        <v>43819</v>
      </c>
      <c r="D353" s="49"/>
      <c r="E353" s="49"/>
      <c r="F353" s="42" t="s">
        <v>130</v>
      </c>
      <c r="G353" s="42" t="s">
        <v>251</v>
      </c>
      <c r="H353" s="47"/>
      <c r="I353" s="47"/>
      <c r="J353" s="49"/>
      <c r="K353" s="49"/>
      <c r="L353" s="49" t="str">
        <f ca="1">IFERROR(__xludf.DUMMYFUNCTION("QUERY('Volunteer Survey'!B362)"),"Angela Hoang")</f>
        <v>Angela Hoang</v>
      </c>
      <c r="M353" s="49" t="str">
        <f ca="1">IFERROR(__xludf.DUMMYFUNCTION("QUERY('Volunteer Survey'!E362)"),"ahoang18@students.kgi.edu")</f>
        <v>ahoang18@students.kgi.edu</v>
      </c>
      <c r="N353" s="49" t="str">
        <f ca="1">IFERROR(__xludf.DUMMYFUNCTION("QUERY('Volunteer Survey'!F362)"),"Graduate Student")</f>
        <v>Graduate Student</v>
      </c>
      <c r="O353" s="42" t="str">
        <f ca="1">IFERROR(__xludf.DUMMYFUNCTION("QUERY('Volunteer Survey'!H362)"),"Comprehensive")</f>
        <v>Comprehensive</v>
      </c>
      <c r="P353" s="49" t="str">
        <f ca="1">IFERROR(__xludf.DUMMYFUNCTION("QUERY('Volunteer Survey'!I362)"),"Variant Pathogenicity")</f>
        <v>Variant Pathogenicity</v>
      </c>
      <c r="Q353" s="54" t="str">
        <f ca="1">IFERROR(__xludf.DUMMYFUNCTION("QUERY('Volunteer Survey'!J362)"),"Gene-Disease Validity")</f>
        <v>Gene-Disease Validity</v>
      </c>
      <c r="R353" s="49" t="str">
        <f ca="1">IFERROR(__xludf.DUMMYFUNCTION("QUERY('Volunteer Survey'!K362)"),"Clinical Actionability")</f>
        <v>Clinical Actionability</v>
      </c>
      <c r="S353" s="49" t="str">
        <f ca="1">IFERROR(__xludf.DUMMYFUNCTION("QUERY('Volunteer Survey'!L362)"),"")</f>
        <v/>
      </c>
      <c r="T353" s="49" t="str">
        <f ca="1">IFERROR(__xludf.DUMMYFUNCTION("QUERY('Volunteer Survey'!M362)"),"")</f>
        <v/>
      </c>
      <c r="U353" s="58" t="str">
        <f ca="1">IFERROR(__xludf.DUMMYFUNCTION("QUERY('Volunteer Survey'!N362)"),"Yes, I have educational experience with variant classification and gene-disease association. ")</f>
        <v xml:space="preserve">Yes, I have educational experience with variant classification and gene-disease association. </v>
      </c>
      <c r="V353" s="49" t="str">
        <f ca="1">IFERROR(__xludf.DUMMYFUNCTION("QUERY('Volunteer Survey'!O362)"),"Possibly")</f>
        <v>Possibly</v>
      </c>
      <c r="W353" s="60" t="str">
        <f ca="1">IFERROR(__xludf.DUMMYFUNCTION("QUERY('Volunteer Survey'!P362)"),"N/A")</f>
        <v>N/A</v>
      </c>
      <c r="X353" s="58" t="str">
        <f ca="1">IFERROR(__xludf.DUMMYFUNCTION("QUERY('Volunteer Survey'!R362)"),"Yes- I am willing to volunteer with any available ClinGen group")</f>
        <v>Yes- I am willing to volunteer with any available ClinGen group</v>
      </c>
      <c r="Y353" s="47"/>
      <c r="Z353" s="174">
        <f ca="1">IFERROR(__xludf.DUMMYFUNCTION("QUERY('Volunteer Survey'!A352)"),43776.5550876736)</f>
        <v>43776.555087673602</v>
      </c>
      <c r="AA353" s="175" t="str">
        <f ca="1">IFERROR(__xludf.DUMMYFUNCTION("QUERY('Volunteer Survey'!B352)"),"Madhulatha Pantrangi")</f>
        <v>Madhulatha Pantrangi</v>
      </c>
      <c r="AB353" s="175" t="str">
        <f ca="1">IFERROR(__xludf.DUMMYFUNCTION("QUERY('Volunteer Survey'!C352)"),"PrevntionGenetics")</f>
        <v>PrevntionGenetics</v>
      </c>
      <c r="AC353" s="175" t="str">
        <f ca="1">IFERROR(__xludf.DUMMYFUNCTION("QUERY('Volunteer Survey'!D352)"),"3800 S. Business Park Avenue")</f>
        <v>3800 S. Business Park Avenue</v>
      </c>
      <c r="AD353" s="175" t="str">
        <f ca="1">IFERROR(__xludf.DUMMYFUNCTION("QUERY('Volunteer Survey'!E352)"),"madhu.pantrangi@preventiongenetics.com")</f>
        <v>madhu.pantrangi@preventiongenetics.com</v>
      </c>
      <c r="AE353" s="175" t="str">
        <f ca="1">IFERROR(__xludf.DUMMYFUNCTION("QUERY('Volunteer Survey'!F352)"),"Clinical laboratory geneticist")</f>
        <v>Clinical laboratory geneticist</v>
      </c>
      <c r="AF353" s="175" t="str">
        <f ca="1">IFERROR(__xludf.DUMMYFUNCTION("QUERY('Volunteer Survey'!G352)"),"ASHG Conference 2019, ACMG Conference 2019, ClinGen conference advertisements (i.e. booth, workshop, presentation), Networking, Colleagues, The clinicalgenome.org website")</f>
        <v>ASHG Conference 2019, ACMG Conference 2019, ClinGen conference advertisements (i.e. booth, workshop, presentation), Networking, Colleagues, The clinicalgenome.org website</v>
      </c>
      <c r="AG353" s="175" t="str">
        <f ca="1">IFERROR(__xludf.DUMMYFUNCTION("QUERY('Volunteer Survey'!H352)"),"Baseline")</f>
        <v>Baseline</v>
      </c>
      <c r="AH353" s="175" t="str">
        <f ca="1">IFERROR(__xludf.DUMMYFUNCTION("QUERY('Volunteer Survey'!I352)"),"")</f>
        <v/>
      </c>
      <c r="AI353" s="175" t="str">
        <f ca="1">IFERROR(__xludf.DUMMYFUNCTION("QUERY('Volunteer Survey'!J352)"),"")</f>
        <v/>
      </c>
      <c r="AJ353" s="175" t="str">
        <f ca="1">IFERROR(__xludf.DUMMYFUNCTION("QUERY('Volunteer Survey'!K352)"),"")</f>
        <v/>
      </c>
      <c r="AK353" s="175" t="str">
        <f ca="1">IFERROR(__xludf.DUMMYFUNCTION("QUERY('Volunteer Survey'!L352)"),"")</f>
        <v/>
      </c>
      <c r="AL353" s="175" t="str">
        <f ca="1">IFERROR(__xludf.DUMMYFUNCTION("QUERY('Volunteer Survey'!M352)"),"")</f>
        <v/>
      </c>
      <c r="AM353" s="175" t="str">
        <f ca="1">IFERROR(__xludf.DUMMYFUNCTION("QUERY('Volunteer Survey'!N352)"),"")</f>
        <v/>
      </c>
      <c r="AN353" s="175" t="str">
        <f ca="1">IFERROR(__xludf.DUMMYFUNCTION("QUERY('Volunteer Survey'!O352)"),"Possibly")</f>
        <v>Possibly</v>
      </c>
      <c r="AO353" s="175" t="str">
        <f ca="1">IFERROR(__xludf.DUMMYFUNCTION("QUERY('Volunteer Survey'!P352)"),"Peroxisomal Disorders ")</f>
        <v xml:space="preserve">Peroxisomal Disorders </v>
      </c>
    </row>
    <row r="354" spans="1:41" ht="14">
      <c r="A354" s="44">
        <f ca="1">IFERROR(__xludf.DUMMYFUNCTION("QUERY('Volunteer Survey'!A363)"),43790.7100888078)</f>
        <v>43790.710088807798</v>
      </c>
      <c r="B354" s="42" t="s">
        <v>108</v>
      </c>
      <c r="C354" s="73">
        <v>43819</v>
      </c>
      <c r="D354" s="49"/>
      <c r="E354" s="49"/>
      <c r="F354" s="42" t="s">
        <v>130</v>
      </c>
      <c r="G354" s="42" t="s">
        <v>251</v>
      </c>
      <c r="H354" s="47"/>
      <c r="I354" s="47"/>
      <c r="J354" s="49"/>
      <c r="K354" s="49"/>
      <c r="L354" s="49" t="str">
        <f ca="1">IFERROR(__xludf.DUMMYFUNCTION("QUERY('Volunteer Survey'!B363)"),"Poornima Vijayan")</f>
        <v>Poornima Vijayan</v>
      </c>
      <c r="M354" s="49" t="str">
        <f ca="1">IFERROR(__xludf.DUMMYFUNCTION("QUERY('Volunteer Survey'!E363)"),"poornima2785@gmail.com")</f>
        <v>poornima2785@gmail.com</v>
      </c>
      <c r="N354" s="49" t="str">
        <f ca="1">IFERROR(__xludf.DUMMYFUNCTION("QUERY('Volunteer Survey'!F363)"),"Graduate Student")</f>
        <v>Graduate Student</v>
      </c>
      <c r="O354" s="42" t="str">
        <f ca="1">IFERROR(__xludf.DUMMYFUNCTION("QUERY('Volunteer Survey'!H363)"),"Comprehensive")</f>
        <v>Comprehensive</v>
      </c>
      <c r="P354" s="49" t="str">
        <f ca="1">IFERROR(__xludf.DUMMYFUNCTION("QUERY('Volunteer Survey'!I363)"),"Variant Pathogenicity")</f>
        <v>Variant Pathogenicity</v>
      </c>
      <c r="Q354" s="54" t="str">
        <f ca="1">IFERROR(__xludf.DUMMYFUNCTION("QUERY('Volunteer Survey'!J363)"),"Clinical Actionability")</f>
        <v>Clinical Actionability</v>
      </c>
      <c r="R354" s="49" t="str">
        <f ca="1">IFERROR(__xludf.DUMMYFUNCTION("QUERY('Volunteer Survey'!K363)"),"Gene-Disease Validity")</f>
        <v>Gene-Disease Validity</v>
      </c>
      <c r="S354" s="49" t="str">
        <f ca="1">IFERROR(__xludf.DUMMYFUNCTION("QUERY('Volunteer Survey'!L363)"),"Somatic Cancer")</f>
        <v>Somatic Cancer</v>
      </c>
      <c r="T354" s="49" t="str">
        <f ca="1">IFERROR(__xludf.DUMMYFUNCTION("QUERY('Volunteer Survey'!M363)"),"Dosage Sensitivity")</f>
        <v>Dosage Sensitivity</v>
      </c>
      <c r="U354" s="58" t="str">
        <f ca="1">IFERROR(__xludf.DUMMYFUNCTION("QUERY('Volunteer Survey'!N363)"),"I am a student of medical genomics")</f>
        <v>I am a student of medical genomics</v>
      </c>
      <c r="V354" s="49" t="str">
        <f ca="1">IFERROR(__xludf.DUMMYFUNCTION("QUERY('Volunteer Survey'!O363)"),"Yes")</f>
        <v>Yes</v>
      </c>
      <c r="W354" s="60" t="str">
        <f ca="1">IFERROR(__xludf.DUMMYFUNCTION("QUERY('Volunteer Survey'!P363)"),"")</f>
        <v/>
      </c>
      <c r="X354" s="58" t="str">
        <f ca="1">IFERROR(__xludf.DUMMYFUNCTION("QUERY('Volunteer Survey'!R363)"),"Yes- I am willing to volunteer with any available ClinGen group")</f>
        <v>Yes- I am willing to volunteer with any available ClinGen group</v>
      </c>
      <c r="Y354" s="47"/>
      <c r="Z354" s="174">
        <f ca="1">IFERROR(__xludf.DUMMYFUNCTION("QUERY('Volunteer Survey'!A353)"),43777.2171097801)</f>
        <v>43777.217109780097</v>
      </c>
      <c r="AA354" s="175" t="str">
        <f ca="1">IFERROR(__xludf.DUMMYFUNCTION("QUERY('Volunteer Survey'!B353)"),"Celeste Bento")</f>
        <v>Celeste Bento</v>
      </c>
      <c r="AB354" s="175" t="str">
        <f ca="1">IFERROR(__xludf.DUMMYFUNCTION("QUERY('Volunteer Survey'!C353)"),"Centro Hospitalar e Universitário de Coimbra, Portugal")</f>
        <v>Centro Hospitalar e Universitário de Coimbra, Portugal</v>
      </c>
      <c r="AC354" s="175" t="str">
        <f ca="1">IFERROR(__xludf.DUMMYFUNCTION("QUERY('Volunteer Survey'!D353)"),"Hospital Pediátrico")</f>
        <v>Hospital Pediátrico</v>
      </c>
      <c r="AD354" s="175" t="str">
        <f ca="1">IFERROR(__xludf.DUMMYFUNCTION("QUERY('Volunteer Survey'!E353)"),"celeste.bento@chuc.min-saude.pt")</f>
        <v>celeste.bento@chuc.min-saude.pt</v>
      </c>
      <c r="AE354" s="175" t="str">
        <f ca="1">IFERROR(__xludf.DUMMYFUNCTION("QUERY('Volunteer Survey'!F353)"),"Clinical laboratory geneticist")</f>
        <v>Clinical laboratory geneticist</v>
      </c>
      <c r="AF354" s="175" t="str">
        <f ca="1">IFERROR(__xludf.DUMMYFUNCTION("QUERY('Volunteer Survey'!G353)"),"Networking")</f>
        <v>Networking</v>
      </c>
      <c r="AG354" s="175" t="str">
        <f ca="1">IFERROR(__xludf.DUMMYFUNCTION("QUERY('Volunteer Survey'!H353)"),"Comprehensive")</f>
        <v>Comprehensive</v>
      </c>
      <c r="AH354" s="175" t="str">
        <f ca="1">IFERROR(__xludf.DUMMYFUNCTION("QUERY('Volunteer Survey'!I353)"),"Variant Pathogenicity")</f>
        <v>Variant Pathogenicity</v>
      </c>
      <c r="AI354" s="175" t="str">
        <f ca="1">IFERROR(__xludf.DUMMYFUNCTION("QUERY('Volunteer Survey'!J353)"),"Gene-Disease Validity")</f>
        <v>Gene-Disease Validity</v>
      </c>
      <c r="AJ354" s="175" t="str">
        <f ca="1">IFERROR(__xludf.DUMMYFUNCTION("QUERY('Volunteer Survey'!K353)"),"Clinical Actionability")</f>
        <v>Clinical Actionability</v>
      </c>
      <c r="AK354" s="175" t="str">
        <f ca="1">IFERROR(__xludf.DUMMYFUNCTION("QUERY('Volunteer Survey'!L353)"),"Dosage Sensitivity")</f>
        <v>Dosage Sensitivity</v>
      </c>
      <c r="AL354" s="175" t="str">
        <f ca="1">IFERROR(__xludf.DUMMYFUNCTION("QUERY('Volunteer Survey'!M353)"),"Somatic Cancer")</f>
        <v>Somatic Cancer</v>
      </c>
      <c r="AM354" s="175" t="str">
        <f ca="1">IFERROR(__xludf.DUMMYFUNCTION("QUERY('Volunteer Survey'!N353)"),"I need to apply the ACMG rules in my everyday work ")</f>
        <v xml:space="preserve">I need to apply the ACMG rules in my everyday work </v>
      </c>
      <c r="AN354" s="175" t="str">
        <f ca="1">IFERROR(__xludf.DUMMYFUNCTION("QUERY('Volunteer Survey'!O353)"),"Possibly")</f>
        <v>Possibly</v>
      </c>
      <c r="AO354" s="175" t="str">
        <f ca="1">IFERROR(__xludf.DUMMYFUNCTION("QUERY('Volunteer Survey'!P353)"),"I'm in the Core Task Team of ClinGen Haemoglobinopathy EP")</f>
        <v>I'm in the Core Task Team of ClinGen Haemoglobinopathy EP</v>
      </c>
    </row>
    <row r="355" spans="1:41" ht="14">
      <c r="A355" s="44">
        <f ca="1">IFERROR(__xludf.DUMMYFUNCTION("QUERY('Volunteer Survey'!A364)"),43794.3135085185)</f>
        <v>43794.313508518499</v>
      </c>
      <c r="B355" s="42" t="s">
        <v>108</v>
      </c>
      <c r="C355" s="73">
        <v>43819</v>
      </c>
      <c r="D355" s="67">
        <v>43846</v>
      </c>
      <c r="E355" s="42" t="s">
        <v>117</v>
      </c>
      <c r="F355" s="42" t="s">
        <v>130</v>
      </c>
      <c r="G355" s="42" t="s">
        <v>122</v>
      </c>
      <c r="H355" s="47"/>
      <c r="I355" s="45" t="s">
        <v>299</v>
      </c>
      <c r="J355" s="49"/>
      <c r="K355" s="49"/>
      <c r="L355" s="49" t="str">
        <f ca="1">IFERROR(__xludf.DUMMYFUNCTION("QUERY('Volunteer Survey'!B364)"),"Adriana Bastos Carvalho")</f>
        <v>Adriana Bastos Carvalho</v>
      </c>
      <c r="M355" s="49" t="str">
        <f ca="1">IFERROR(__xludf.DUMMYFUNCTION("QUERY('Volunteer Survey'!E364)"),"carvalhoab@biof.ufrj.br")</f>
        <v>carvalhoab@biof.ufrj.br</v>
      </c>
      <c r="N355" s="49" t="str">
        <f ca="1">IFERROR(__xludf.DUMMYFUNCTION("QUERY('Volunteer Survey'!F364)"),"Scientific Researcher")</f>
        <v>Scientific Researcher</v>
      </c>
      <c r="O355" s="42" t="str">
        <f ca="1">IFERROR(__xludf.DUMMYFUNCTION("QUERY('Volunteer Survey'!H364)"),"Comprehensive")</f>
        <v>Comprehensive</v>
      </c>
      <c r="P355" s="49" t="str">
        <f ca="1">IFERROR(__xludf.DUMMYFUNCTION("QUERY('Volunteer Survey'!I364)"),"Gene-Disease Validity")</f>
        <v>Gene-Disease Validity</v>
      </c>
      <c r="Q355" s="54" t="str">
        <f ca="1">IFERROR(__xludf.DUMMYFUNCTION("QUERY('Volunteer Survey'!J364)"),"Variant Pathogenicity")</f>
        <v>Variant Pathogenicity</v>
      </c>
      <c r="R355" s="49" t="str">
        <f ca="1">IFERROR(__xludf.DUMMYFUNCTION("QUERY('Volunteer Survey'!K364)"),"Clinical Actionability")</f>
        <v>Clinical Actionability</v>
      </c>
      <c r="S355" s="49" t="str">
        <f ca="1">IFERROR(__xludf.DUMMYFUNCTION("QUERY('Volunteer Survey'!L364)"),"Dosage Sensitivity")</f>
        <v>Dosage Sensitivity</v>
      </c>
      <c r="T355" s="49" t="str">
        <f ca="1">IFERROR(__xludf.DUMMYFUNCTION("QUERY('Volunteer Survey'!M364)"),"Somatic Cancer")</f>
        <v>Somatic Cancer</v>
      </c>
      <c r="U355" s="58" t="str">
        <f ca="1">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V355" s="49" t="str">
        <f ca="1">IFERROR(__xludf.DUMMYFUNCTION("QUERY('Volunteer Survey'!O364)"),"Yes")</f>
        <v>Yes</v>
      </c>
      <c r="W355" s="60" t="str">
        <f ca="1">IFERROR(__xludf.DUMMYFUNCTION("QUERY('Volunteer Survey'!P364)"),"Cardiomyopathy Variant Curation Expert Panel")</f>
        <v>Cardiomyopathy Variant Curation Expert Panel</v>
      </c>
      <c r="X355" s="58" t="str">
        <f ca="1">IFERROR(__xludf.DUMMYFUNCTION("QUERY('Volunteer Survey'!R364)"),"Yes- I am willing to volunteer with any available ClinGen group")</f>
        <v>Yes- I am willing to volunteer with any available ClinGen group</v>
      </c>
      <c r="Y355" s="47"/>
      <c r="Z355" s="174">
        <f ca="1">IFERROR(__xludf.DUMMYFUNCTION("QUERY('Volunteer Survey'!A354)"),43777.5378215509)</f>
        <v>43777.537821550897</v>
      </c>
      <c r="AA355" s="175" t="str">
        <f ca="1">IFERROR(__xludf.DUMMYFUNCTION("QUERY('Volunteer Survey'!B354)"),"Gokce Toruner")</f>
        <v>Gokce Toruner</v>
      </c>
      <c r="AB355" s="175" t="str">
        <f ca="1">IFERROR(__xludf.DUMMYFUNCTION("QUERY('Volunteer Survey'!C354)"),"UT MD Anderson Cancer Center")</f>
        <v>UT MD Anderson Cancer Center</v>
      </c>
      <c r="AC355" s="175" t="str">
        <f ca="1">IFERROR(__xludf.DUMMYFUNCTION("QUERY('Volunteer Survey'!D354)"),"1515 Holcombe Avenue
Unit 350")</f>
        <v>1515 Holcombe Avenue
Unit 350</v>
      </c>
      <c r="AD355" s="175" t="str">
        <f ca="1">IFERROR(__xludf.DUMMYFUNCTION("QUERY('Volunteer Survey'!E354)"),"gatoruner@mdanderson.org")</f>
        <v>gatoruner@mdanderson.org</v>
      </c>
      <c r="AE355" s="175" t="str">
        <f ca="1">IFERROR(__xludf.DUMMYFUNCTION("QUERY('Volunteer Survey'!F354)"),"Clinical laboratory geneticist")</f>
        <v>Clinical laboratory geneticist</v>
      </c>
      <c r="AF355" s="175" t="str">
        <f ca="1">IFERROR(__xludf.DUMMYFUNCTION("QUERY('Volunteer Survey'!G354)"),"ASHG Conference 2019")</f>
        <v>ASHG Conference 2019</v>
      </c>
      <c r="AG355" s="175" t="str">
        <f ca="1">IFERROR(__xludf.DUMMYFUNCTION("QUERY('Volunteer Survey'!H354)"),"Comprehensive")</f>
        <v>Comprehensive</v>
      </c>
      <c r="AH355" s="175" t="str">
        <f ca="1">IFERROR(__xludf.DUMMYFUNCTION("QUERY('Volunteer Survey'!I354)"),"Somatic Cancer")</f>
        <v>Somatic Cancer</v>
      </c>
      <c r="AI355" s="175" t="str">
        <f ca="1">IFERROR(__xludf.DUMMYFUNCTION("QUERY('Volunteer Survey'!J354)"),"")</f>
        <v/>
      </c>
      <c r="AJ355" s="175" t="str">
        <f ca="1">IFERROR(__xludf.DUMMYFUNCTION("QUERY('Volunteer Survey'!K354)"),"")</f>
        <v/>
      </c>
      <c r="AK355" s="175" t="str">
        <f ca="1">IFERROR(__xludf.DUMMYFUNCTION("QUERY('Volunteer Survey'!L354)"),"")</f>
        <v/>
      </c>
      <c r="AL355" s="175" t="str">
        <f ca="1">IFERROR(__xludf.DUMMYFUNCTION("QUERY('Volunteer Survey'!M354)"),"")</f>
        <v/>
      </c>
      <c r="AM355" s="175" t="str">
        <f ca="1">IFERROR(__xludf.DUMMYFUNCTION("QUERY('Volunteer Survey'!N354)"),"")</f>
        <v/>
      </c>
      <c r="AN355" s="175" t="str">
        <f ca="1">IFERROR(__xludf.DUMMYFUNCTION("QUERY('Volunteer Survey'!O354)"),"No")</f>
        <v>No</v>
      </c>
      <c r="AO355" s="175" t="str">
        <f ca="1">IFERROR(__xludf.DUMMYFUNCTION("QUERY('Volunteer Survey'!P354)"),"Somatic Cancer")</f>
        <v>Somatic Cancer</v>
      </c>
    </row>
    <row r="356" spans="1:41" ht="14">
      <c r="A356" s="44">
        <f ca="1">IFERROR(__xludf.DUMMYFUNCTION("QUERY('Volunteer Survey'!A365)"),43795.4660768055)</f>
        <v>43795.466076805496</v>
      </c>
      <c r="B356" s="42" t="s">
        <v>108</v>
      </c>
      <c r="C356" s="73">
        <v>43819</v>
      </c>
      <c r="D356" s="49"/>
      <c r="E356" s="49"/>
      <c r="F356" s="42" t="s">
        <v>130</v>
      </c>
      <c r="G356" s="42" t="s">
        <v>122</v>
      </c>
      <c r="H356" s="47"/>
      <c r="I356" s="47"/>
      <c r="J356" s="49"/>
      <c r="K356" s="49"/>
      <c r="L356" s="49" t="str">
        <f ca="1">IFERROR(__xludf.DUMMYFUNCTION("QUERY('Volunteer Survey'!B365)"),"Megan Puckelwartz")</f>
        <v>Megan Puckelwartz</v>
      </c>
      <c r="M356" s="49" t="str">
        <f ca="1">IFERROR(__xludf.DUMMYFUNCTION("QUERY('Volunteer Survey'!E365)"),"m.puckelwartz@northwestern.edu")</f>
        <v>m.puckelwartz@northwestern.edu</v>
      </c>
      <c r="N356" s="49" t="str">
        <f ca="1">IFERROR(__xludf.DUMMYFUNCTION("QUERY('Volunteer Survey'!F365)"),"Scientific Researcher")</f>
        <v>Scientific Researcher</v>
      </c>
      <c r="O356" s="42" t="str">
        <f ca="1">IFERROR(__xludf.DUMMYFUNCTION("QUERY('Volunteer Survey'!H365)"),"Comprehensive")</f>
        <v>Comprehensive</v>
      </c>
      <c r="P356" s="49" t="str">
        <f ca="1">IFERROR(__xludf.DUMMYFUNCTION("QUERY('Volunteer Survey'!I365)"),"Gene-Disease Validity")</f>
        <v>Gene-Disease Validity</v>
      </c>
      <c r="Q356" s="54" t="str">
        <f ca="1">IFERROR(__xludf.DUMMYFUNCTION("QUERY('Volunteer Survey'!J365)"),"Variant Pathogenicity")</f>
        <v>Variant Pathogenicity</v>
      </c>
      <c r="R356" s="49" t="str">
        <f ca="1">IFERROR(__xludf.DUMMYFUNCTION("QUERY('Volunteer Survey'!K365)"),"Clinical Actionability")</f>
        <v>Clinical Actionability</v>
      </c>
      <c r="S356" s="49" t="str">
        <f ca="1">IFERROR(__xludf.DUMMYFUNCTION("QUERY('Volunteer Survey'!L365)"),"Dosage Sensitivity")</f>
        <v>Dosage Sensitivity</v>
      </c>
      <c r="T356" s="49" t="str">
        <f ca="1">IFERROR(__xludf.DUMMYFUNCTION("QUERY('Volunteer Survey'!M365)"),"")</f>
        <v/>
      </c>
      <c r="U356" s="58" t="str">
        <f ca="1">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V356" s="49" t="str">
        <f ca="1">IFERROR(__xludf.DUMMYFUNCTION("QUERY('Volunteer Survey'!O365)"),"Yes")</f>
        <v>Yes</v>
      </c>
      <c r="W356" s="60" t="str">
        <f ca="1">IFERROR(__xludf.DUMMYFUNCTION("QUERY('Volunteer Survey'!P365)"),"cardiomyopathy")</f>
        <v>cardiomyopathy</v>
      </c>
      <c r="X356" s="58" t="str">
        <f ca="1">IFERROR(__xludf.DUMMYFUNCTION("QUERY('Volunteer Survey'!R365)"),"Maybe -- please contact me with other options, and I will decide based on what is available")</f>
        <v>Maybe -- please contact me with other options, and I will decide based on what is available</v>
      </c>
      <c r="Y356" s="47"/>
      <c r="Z356" s="174">
        <f ca="1">IFERROR(__xludf.DUMMYFUNCTION("QUERY('Volunteer Survey'!A355)"),43777.9474189467)</f>
        <v>43777.9474189467</v>
      </c>
      <c r="AA356" s="175" t="str">
        <f ca="1">IFERROR(__xludf.DUMMYFUNCTION("QUERY('Volunteer Survey'!B355)"),"rekha aaron")</f>
        <v>rekha aaron</v>
      </c>
      <c r="AB356" s="175" t="str">
        <f ca="1">IFERROR(__xludf.DUMMYFUNCTION("QUERY('Volunteer Survey'!C355)"),"christian medical college")</f>
        <v>christian medical college</v>
      </c>
      <c r="AC356" s="175" t="str">
        <f ca="1">IFERROR(__xludf.DUMMYFUNCTION("QUERY('Volunteer Survey'!D355)"),"ot block, 5 th floor,cmc velllore")</f>
        <v>ot block, 5 th floor,cmc velllore</v>
      </c>
      <c r="AD356" s="175" t="str">
        <f ca="1">IFERROR(__xludf.DUMMYFUNCTION("QUERY('Volunteer Survey'!E355)"),"rekha.a@cmcvellore.ac.in")</f>
        <v>rekha.a@cmcvellore.ac.in</v>
      </c>
      <c r="AE356" s="175" t="str">
        <f ca="1">IFERROR(__xludf.DUMMYFUNCTION("QUERY('Volunteer Survey'!F355)"),"Clinical laboratory geneticist")</f>
        <v>Clinical laboratory geneticist</v>
      </c>
      <c r="AF356" s="175" t="str">
        <f ca="1">IFERROR(__xludf.DUMMYFUNCTION("QUERY('Volunteer Survey'!G355)"),"Youtube")</f>
        <v>Youtube</v>
      </c>
      <c r="AG356" s="175" t="str">
        <f ca="1">IFERROR(__xludf.DUMMYFUNCTION("QUERY('Volunteer Survey'!H355)"),"Baseline")</f>
        <v>Baseline</v>
      </c>
      <c r="AH356" s="175" t="str">
        <f ca="1">IFERROR(__xludf.DUMMYFUNCTION("QUERY('Volunteer Survey'!I355)"),"Variant Pathogenicity")</f>
        <v>Variant Pathogenicity</v>
      </c>
      <c r="AI356" s="175" t="str">
        <f ca="1">IFERROR(__xludf.DUMMYFUNCTION("QUERY('Volunteer Survey'!J355)"),"Gene-Disease Validity")</f>
        <v>Gene-Disease Validity</v>
      </c>
      <c r="AJ356" s="175" t="str">
        <f ca="1">IFERROR(__xludf.DUMMYFUNCTION("QUERY('Volunteer Survey'!K355)"),"Dosage Sensitivity")</f>
        <v>Dosage Sensitivity</v>
      </c>
      <c r="AK356" s="175" t="str">
        <f ca="1">IFERROR(__xludf.DUMMYFUNCTION("QUERY('Volunteer Survey'!L355)"),"Clinical Actionability")</f>
        <v>Clinical Actionability</v>
      </c>
      <c r="AL356" s="175" t="str">
        <f ca="1">IFERROR(__xludf.DUMMYFUNCTION("QUERY('Volunteer Survey'!M355)"),"Somatic Cancer")</f>
        <v>Somatic Cancer</v>
      </c>
      <c r="AM356" s="175" t="str">
        <f ca="1">IFERROR(__xludf.DUMMYFUNCTION("QUERY('Volunteer Survey'!N355)"),"My work regularly involved in variant analysis, interpretation &amp; reporting ")</f>
        <v xml:space="preserve">My work regularly involved in variant analysis, interpretation &amp; reporting </v>
      </c>
      <c r="AN356" s="175" t="str">
        <f ca="1">IFERROR(__xludf.DUMMYFUNCTION("QUERY('Volunteer Survey'!O355)"),"Possibly")</f>
        <v>Possibly</v>
      </c>
      <c r="AO356" s="175" t="str">
        <f ca="1">IFERROR(__xludf.DUMMYFUNCTION("QUERY('Volunteer Survey'!P355)"),"mitochondrial ,neurodevelopmental disorders,myopathies")</f>
        <v>mitochondrial ,neurodevelopmental disorders,myopathies</v>
      </c>
    </row>
    <row r="357" spans="1:41" ht="14">
      <c r="A357" s="44">
        <f ca="1">IFERROR(__xludf.DUMMYFUNCTION("QUERY('Volunteer Survey'!A366)"),43796.3159703356)</f>
        <v>43796.3159703356</v>
      </c>
      <c r="B357" s="42" t="s">
        <v>322</v>
      </c>
      <c r="C357" s="47"/>
      <c r="D357" s="49"/>
      <c r="E357" s="49"/>
      <c r="F357" s="42" t="s">
        <v>130</v>
      </c>
      <c r="G357" s="42" t="s">
        <v>136</v>
      </c>
      <c r="H357" s="47"/>
      <c r="I357" s="47"/>
      <c r="J357" s="49"/>
      <c r="K357" s="49"/>
      <c r="L357" s="49" t="str">
        <f ca="1">IFERROR(__xludf.DUMMYFUNCTION("QUERY('Volunteer Survey'!B366)"),"Nicole Hinceman")</f>
        <v>Nicole Hinceman</v>
      </c>
      <c r="M357" s="49" t="str">
        <f ca="1">IFERROR(__xludf.DUMMYFUNCTION("QUERY('Volunteer Survey'!E366)"),"nhinceman@genedx.com")</f>
        <v>nhinceman@genedx.com</v>
      </c>
      <c r="N357" s="49" t="str">
        <f ca="1">IFERROR(__xludf.DUMMYFUNCTION("QUERY('Volunteer Survey'!F366)"),"Prospective Genetic Counseling Student &amp; Variant Analyst (currently a Genetic Counseling Assistant)")</f>
        <v>Prospective Genetic Counseling Student &amp; Variant Analyst (currently a Genetic Counseling Assistant)</v>
      </c>
      <c r="O357" s="42" t="str">
        <f ca="1">IFERROR(__xludf.DUMMYFUNCTION("QUERY('Volunteer Survey'!H366)"),"Comprehensive")</f>
        <v>Comprehensive</v>
      </c>
      <c r="P357" s="49" t="str">
        <f ca="1">IFERROR(__xludf.DUMMYFUNCTION("QUERY('Volunteer Survey'!I366)"),"Somatic Cancer")</f>
        <v>Somatic Cancer</v>
      </c>
      <c r="Q357" s="54" t="str">
        <f ca="1">IFERROR(__xludf.DUMMYFUNCTION("QUERY('Volunteer Survey'!J366)"),"Gene-Disease Validity")</f>
        <v>Gene-Disease Validity</v>
      </c>
      <c r="R357" s="49" t="str">
        <f ca="1">IFERROR(__xludf.DUMMYFUNCTION("QUERY('Volunteer Survey'!K366)"),"Clinical Actionability")</f>
        <v>Clinical Actionability</v>
      </c>
      <c r="S357" s="49" t="str">
        <f ca="1">IFERROR(__xludf.DUMMYFUNCTION("QUERY('Volunteer Survey'!L366)"),"Variant Pathogenicity")</f>
        <v>Variant Pathogenicity</v>
      </c>
      <c r="T357" s="49" t="str">
        <f ca="1">IFERROR(__xludf.DUMMYFUNCTION("QUERY('Volunteer Survey'!M366)"),"Dosage Sensitivity")</f>
        <v>Dosage Sensitivity</v>
      </c>
      <c r="U357" s="58" t="str">
        <f ca="1">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V357" s="49" t="str">
        <f ca="1">IFERROR(__xludf.DUMMYFUNCTION("QUERY('Volunteer Survey'!O366)"),"Possibly")</f>
        <v>Possibly</v>
      </c>
      <c r="W357" s="60" t="str">
        <f ca="1">IFERROR(__xludf.DUMMYFUNCTION("QUERY('Volunteer Survey'!P366)"),"Pediatric Somatic Cancer Working Group")</f>
        <v>Pediatric Somatic Cancer Working Group</v>
      </c>
      <c r="X357" s="58" t="str">
        <f ca="1">IFERROR(__xludf.DUMMYFUNCTION("QUERY('Volunteer Survey'!R366)"),"Yes- I am willing to volunteer with any available ClinGen group")</f>
        <v>Yes- I am willing to volunteer with any available ClinGen group</v>
      </c>
      <c r="Y357" s="47"/>
      <c r="Z357" s="174">
        <f ca="1">IFERROR(__xludf.DUMMYFUNCTION("QUERY('Volunteer Survey'!A356)"),43778.8432091898)</f>
        <v>43778.843209189799</v>
      </c>
      <c r="AA357" s="175" t="str">
        <f ca="1">IFERROR(__xludf.DUMMYFUNCTION("QUERY('Volunteer Survey'!B356)"),"Larissa Waldman")</f>
        <v>Larissa Waldman</v>
      </c>
      <c r="AB357" s="175" t="str">
        <f ca="1">IFERROR(__xludf.DUMMYFUNCTION("QUERY('Volunteer Survey'!C356)"),"The Hospital for Sick Children")</f>
        <v>The Hospital for Sick Children</v>
      </c>
      <c r="AC357" s="175" t="str">
        <f ca="1">IFERROR(__xludf.DUMMYFUNCTION("QUERY('Volunteer Survey'!D356)"),"1504-386 Yonge St. ")</f>
        <v xml:space="preserve">1504-386 Yonge St. </v>
      </c>
      <c r="AD357" s="175" t="str">
        <f ca="1">IFERROR(__xludf.DUMMYFUNCTION("QUERY('Volunteer Survey'!E356)"),"larissa.waldman@gmail.com")</f>
        <v>larissa.waldman@gmail.com</v>
      </c>
      <c r="AE357" s="175" t="str">
        <f ca="1">IFERROR(__xludf.DUMMYFUNCTION("QUERY('Volunteer Survey'!F356)"),"Genetic counselor")</f>
        <v>Genetic counselor</v>
      </c>
      <c r="AF357" s="175" t="str">
        <f ca="1">IFERROR(__xludf.DUMMYFUNCTION("QUERY('Volunteer Survey'!G356)"),"NSGC Conference 2019")</f>
        <v>NSGC Conference 2019</v>
      </c>
      <c r="AG357" s="175" t="str">
        <f ca="1">IFERROR(__xludf.DUMMYFUNCTION("QUERY('Volunteer Survey'!H356)"),"Comprehensive")</f>
        <v>Comprehensive</v>
      </c>
      <c r="AH357" s="175" t="str">
        <f ca="1">IFERROR(__xludf.DUMMYFUNCTION("QUERY('Volunteer Survey'!I356)"),"Clinical Actionability")</f>
        <v>Clinical Actionability</v>
      </c>
      <c r="AI357" s="175" t="str">
        <f ca="1">IFERROR(__xludf.DUMMYFUNCTION("QUERY('Volunteer Survey'!J356)"),"Gene-Disease Validity")</f>
        <v>Gene-Disease Validity</v>
      </c>
      <c r="AJ357" s="175" t="str">
        <f ca="1">IFERROR(__xludf.DUMMYFUNCTION("QUERY('Volunteer Survey'!K356)"),"Somatic Cancer")</f>
        <v>Somatic Cancer</v>
      </c>
      <c r="AK357" s="175" t="str">
        <f ca="1">IFERROR(__xludf.DUMMYFUNCTION("QUERY('Volunteer Survey'!L356)"),"Variant Pathogenicity")</f>
        <v>Variant Pathogenicity</v>
      </c>
      <c r="AL357" s="175" t="str">
        <f ca="1">IFERROR(__xludf.DUMMYFUNCTION("QUERY('Volunteer Survey'!M356)"),"Dosage Sensitivity")</f>
        <v>Dosage Sensitivity</v>
      </c>
      <c r="AM357" s="175" t="str">
        <f ca="1">IFERROR(__xludf.DUMMYFUNCTION("QUERY('Volunteer Survey'!N356)"),"")</f>
        <v/>
      </c>
      <c r="AN357" s="175" t="str">
        <f ca="1">IFERROR(__xludf.DUMMYFUNCTION("QUERY('Volunteer Survey'!O356)"),"No")</f>
        <v>No</v>
      </c>
      <c r="AO357" s="175" t="str">
        <f ca="1">IFERROR(__xludf.DUMMYFUNCTION("QUERY('Volunteer Survey'!P356)"),"Hereditary cancer, myeloid malignancy, pediatric somatic")</f>
        <v>Hereditary cancer, myeloid malignancy, pediatric somatic</v>
      </c>
    </row>
    <row r="358" spans="1:41" ht="14">
      <c r="A358" s="44">
        <f ca="1">IFERROR(__xludf.DUMMYFUNCTION("QUERY('Volunteer Survey'!A367)"),43796.4486307986)</f>
        <v>43796.448630798601</v>
      </c>
      <c r="B358" s="42" t="s">
        <v>322</v>
      </c>
      <c r="C358" s="47"/>
      <c r="D358" s="49"/>
      <c r="E358" s="49"/>
      <c r="F358" s="42" t="s">
        <v>130</v>
      </c>
      <c r="G358" s="42" t="s">
        <v>313</v>
      </c>
      <c r="H358" s="47"/>
      <c r="I358" s="47"/>
      <c r="J358" s="49"/>
      <c r="K358" s="49"/>
      <c r="L358" s="49" t="str">
        <f ca="1">IFERROR(__xludf.DUMMYFUNCTION("QUERY('Volunteer Survey'!B367)"),"Ekaterini Iordanou")</f>
        <v>Ekaterini Iordanou</v>
      </c>
      <c r="M358" s="49" t="str">
        <f ca="1">IFERROR(__xludf.DUMMYFUNCTION("QUERY('Volunteer Survey'!E367)"),"iordanoue@childrensdayton.org")</f>
        <v>iordanoue@childrensdayton.org</v>
      </c>
      <c r="N358" s="49" t="str">
        <f ca="1">IFERROR(__xludf.DUMMYFUNCTION("QUERY('Volunteer Survey'!F367)"),"Clinical laboratory geneticist")</f>
        <v>Clinical laboratory geneticist</v>
      </c>
      <c r="O358" s="42" t="str">
        <f ca="1">IFERROR(__xludf.DUMMYFUNCTION("QUERY('Volunteer Survey'!H367)"),"Comprehensive")</f>
        <v>Comprehensive</v>
      </c>
      <c r="P358" s="49" t="str">
        <f ca="1">IFERROR(__xludf.DUMMYFUNCTION("QUERY('Volunteer Survey'!I367)"),"Dosage Sensitivity")</f>
        <v>Dosage Sensitivity</v>
      </c>
      <c r="Q358" s="54" t="str">
        <f ca="1">IFERROR(__xludf.DUMMYFUNCTION("QUERY('Volunteer Survey'!J367)"),"Variant Pathogenicity")</f>
        <v>Variant Pathogenicity</v>
      </c>
      <c r="R358" s="49" t="str">
        <f ca="1">IFERROR(__xludf.DUMMYFUNCTION("QUERY('Volunteer Survey'!K367)"),"")</f>
        <v/>
      </c>
      <c r="S358" s="49" t="str">
        <f ca="1">IFERROR(__xludf.DUMMYFUNCTION("QUERY('Volunteer Survey'!L367)"),"")</f>
        <v/>
      </c>
      <c r="T358" s="49" t="str">
        <f ca="1">IFERROR(__xludf.DUMMYFUNCTION("QUERY('Volunteer Survey'!M367)"),"")</f>
        <v/>
      </c>
      <c r="U358" s="58" t="str">
        <f ca="1">IFERROR(__xludf.DUMMYFUNCTION("QUERY('Volunteer Survey'!N367)"),"")</f>
        <v/>
      </c>
      <c r="V358" s="49" t="str">
        <f ca="1">IFERROR(__xludf.DUMMYFUNCTION("QUERY('Volunteer Survey'!O367)"),"Possibly")</f>
        <v>Possibly</v>
      </c>
      <c r="W358" s="60" t="str">
        <f ca="1">IFERROR(__xludf.DUMMYFUNCTION("QUERY('Volunteer Survey'!P367)"),"")</f>
        <v/>
      </c>
      <c r="X358" s="58" t="str">
        <f ca="1">IFERROR(__xludf.DUMMYFUNCTION("QUERY('Volunteer Survey'!R367)"),"Maybe -- please contact me with other options, and I will decide based on what is available")</f>
        <v>Maybe -- please contact me with other options, and I will decide based on what is available</v>
      </c>
      <c r="Y358" s="47"/>
      <c r="Z358" s="174">
        <f ca="1">IFERROR(__xludf.DUMMYFUNCTION("QUERY('Volunteer Survey'!A357)"),43779.014280324)</f>
        <v>43779.014280324001</v>
      </c>
      <c r="AA358" s="175" t="str">
        <f ca="1">IFERROR(__xludf.DUMMYFUNCTION("QUERY('Volunteer Survey'!B357)"),"Prasad Rao Kopparapu")</f>
        <v>Prasad Rao Kopparapu</v>
      </c>
      <c r="AB358" s="175" t="str">
        <f ca="1">IFERROR(__xludf.DUMMYFUNCTION("QUERY('Volunteer Survey'!C357)"),"Vanderbilt University Medical Center")</f>
        <v>Vanderbilt University Medical Center</v>
      </c>
      <c r="AC358" s="175" t="str">
        <f ca="1">IFERROR(__xludf.DUMMYFUNCTION("QUERY('Volunteer Survey'!D357)"),"2140 Acklen Ave Apt 16")</f>
        <v>2140 Acklen Ave Apt 16</v>
      </c>
      <c r="AD358" s="175" t="str">
        <f ca="1">IFERROR(__xludf.DUMMYFUNCTION("QUERY('Volunteer Survey'!E357)"),"prasaad82@gmail.com")</f>
        <v>prasaad82@gmail.com</v>
      </c>
      <c r="AE358" s="175" t="str">
        <f ca="1">IFERROR(__xludf.DUMMYFUNCTION("QUERY('Volunteer Survey'!F357)"),"Post Doc/Resident/Fellow (MD and/or PhD)")</f>
        <v>Post Doc/Resident/Fellow (MD and/or PhD)</v>
      </c>
      <c r="AF358" s="175" t="str">
        <f ca="1">IFERROR(__xludf.DUMMYFUNCTION("QUERY('Volunteer Survey'!G357)"),"Networking, Colleagues")</f>
        <v>Networking, Colleagues</v>
      </c>
      <c r="AG358" s="175" t="str">
        <f ca="1">IFERROR(__xludf.DUMMYFUNCTION("QUERY('Volunteer Survey'!H357)"),"Comprehensive")</f>
        <v>Comprehensive</v>
      </c>
      <c r="AH358" s="175" t="str">
        <f ca="1">IFERROR(__xludf.DUMMYFUNCTION("QUERY('Volunteer Survey'!I357)"),"Variant Pathogenicity")</f>
        <v>Variant Pathogenicity</v>
      </c>
      <c r="AI358" s="175" t="str">
        <f ca="1">IFERROR(__xludf.DUMMYFUNCTION("QUERY('Volunteer Survey'!J357)"),"Gene-Disease Validity")</f>
        <v>Gene-Disease Validity</v>
      </c>
      <c r="AJ358" s="175" t="str">
        <f ca="1">IFERROR(__xludf.DUMMYFUNCTION("QUERY('Volunteer Survey'!K357)"),"Somatic Cancer")</f>
        <v>Somatic Cancer</v>
      </c>
      <c r="AK358" s="175" t="str">
        <f ca="1">IFERROR(__xludf.DUMMYFUNCTION("QUERY('Volunteer Survey'!L357)"),"Dosage Sensitivity")</f>
        <v>Dosage Sensitivity</v>
      </c>
      <c r="AL358" s="175" t="str">
        <f ca="1">IFERROR(__xludf.DUMMYFUNCTION("QUERY('Volunteer Survey'!M357)"),"Clinical Actionability")</f>
        <v>Clinical Actionability</v>
      </c>
      <c r="AM358" s="175" t="str">
        <f ca="1">IFERROR(__xludf.DUMMYFUNCTION("QUERY('Volunteer Survey'!N357)"),"")</f>
        <v/>
      </c>
      <c r="AN358" s="175" t="str">
        <f ca="1">IFERROR(__xludf.DUMMYFUNCTION("QUERY('Volunteer Survey'!O357)"),"Possibly")</f>
        <v>Possibly</v>
      </c>
      <c r="AO358" s="175" t="str">
        <f ca="1">IFERROR(__xludf.DUMMYFUNCTION("QUERY('Volunteer Survey'!P357)"),"Variant Curation Expert Panels-TP53*, Somatic Cancer Working Group-Pediatric,")</f>
        <v>Variant Curation Expert Panels-TP53*, Somatic Cancer Working Group-Pediatric,</v>
      </c>
    </row>
    <row r="359" spans="1:41" ht="14">
      <c r="A359" s="44">
        <f ca="1">IFERROR(__xludf.DUMMYFUNCTION("QUERY('Volunteer Survey'!A368)"),43803.3785675578)</f>
        <v>43803.378567557796</v>
      </c>
      <c r="B359" s="42" t="s">
        <v>108</v>
      </c>
      <c r="C359" s="47"/>
      <c r="D359" s="49"/>
      <c r="E359" s="49"/>
      <c r="F359" s="42" t="s">
        <v>130</v>
      </c>
      <c r="G359" s="42" t="s">
        <v>19</v>
      </c>
      <c r="H359" s="47"/>
      <c r="I359" s="47"/>
      <c r="J359" s="49"/>
      <c r="K359" s="49"/>
      <c r="L359" s="49" t="str">
        <f ca="1">IFERROR(__xludf.DUMMYFUNCTION("QUERY('Volunteer Survey'!B368)"),"Laurie Connors")</f>
        <v>Laurie Connors</v>
      </c>
      <c r="M359" s="49" t="str">
        <f ca="1">IFERROR(__xludf.DUMMYFUNCTION("QUERY('Volunteer Survey'!E368)"),"laurie.m.connors@vanderbilt.edu")</f>
        <v>laurie.m.connors@vanderbilt.edu</v>
      </c>
      <c r="N359" s="49" t="str">
        <f ca="1">IFERROR(__xludf.DUMMYFUNCTION("QUERY('Volunteer Survey'!F368)"),"Clinical geneticist, Genetic Nurse Practitioner")</f>
        <v>Clinical geneticist, Genetic Nurse Practitioner</v>
      </c>
      <c r="O359" s="42" t="str">
        <f ca="1">IFERROR(__xludf.DUMMYFUNCTION("QUERY('Volunteer Survey'!H368)"),"Comprehensive")</f>
        <v>Comprehensive</v>
      </c>
      <c r="P359" s="49" t="str">
        <f ca="1">IFERROR(__xludf.DUMMYFUNCTION("QUERY('Volunteer Survey'!I368)"),"Clinical Actionability")</f>
        <v>Clinical Actionability</v>
      </c>
      <c r="Q359" s="54" t="str">
        <f ca="1">IFERROR(__xludf.DUMMYFUNCTION("QUERY('Volunteer Survey'!J368)"),"Variant Pathogenicity")</f>
        <v>Variant Pathogenicity</v>
      </c>
      <c r="R359" s="49" t="str">
        <f ca="1">IFERROR(__xludf.DUMMYFUNCTION("QUERY('Volunteer Survey'!K368)"),"Gene-Disease Validity")</f>
        <v>Gene-Disease Validity</v>
      </c>
      <c r="S359" s="49" t="str">
        <f ca="1">IFERROR(__xludf.DUMMYFUNCTION("QUERY('Volunteer Survey'!L368)"),"Somatic Cancer")</f>
        <v>Somatic Cancer</v>
      </c>
      <c r="T359" s="49" t="str">
        <f ca="1">IFERROR(__xludf.DUMMYFUNCTION("QUERY('Volunteer Survey'!M368)"),"Dosage Sensitivity")</f>
        <v>Dosage Sensitivity</v>
      </c>
      <c r="U359" s="58" t="str">
        <f ca="1">IFERROR(__xludf.DUMMYFUNCTION("QUERY('Volunteer Survey'!N368)"),"No")</f>
        <v>No</v>
      </c>
      <c r="V359" s="49" t="str">
        <f ca="1">IFERROR(__xludf.DUMMYFUNCTION("QUERY('Volunteer Survey'!O368)"),"Yes")</f>
        <v>Yes</v>
      </c>
      <c r="W359" s="60" t="str">
        <f ca="1">IFERROR(__xludf.DUMMYFUNCTION("QUERY('Volunteer Survey'!P368)"),"Hereditary Cancer, PTEN, VHL")</f>
        <v>Hereditary Cancer, PTEN, VHL</v>
      </c>
      <c r="X359" s="58" t="str">
        <f ca="1">IFERROR(__xludf.DUMMYFUNCTION("QUERY('Volunteer Survey'!R368)"),"Maybe -- please contact me with other options, and I will decide based on what is available")</f>
        <v>Maybe -- please contact me with other options, and I will decide based on what is available</v>
      </c>
      <c r="Y359" s="47"/>
      <c r="Z359" s="174">
        <f ca="1">IFERROR(__xludf.DUMMYFUNCTION("QUERY('Volunteer Survey'!A358)"),43780.1970004629)</f>
        <v>43780.197000462897</v>
      </c>
      <c r="AA359" s="175" t="str">
        <f ca="1">IFERROR(__xludf.DUMMYFUNCTION("QUERY('Volunteer Survey'!B358)"),"Mansour Zamanpoor")</f>
        <v>Mansour Zamanpoor</v>
      </c>
      <c r="AB359" s="175" t="str">
        <f ca="1">IFERROR(__xludf.DUMMYFUNCTION("QUERY('Volunteer Survey'!C358)"),"Wellington Regional Genetics Laboratory")</f>
        <v>Wellington Regional Genetics Laboratory</v>
      </c>
      <c r="AC359" s="175" t="str">
        <f ca="1">IFERROR(__xludf.DUMMYFUNCTION("QUERY('Volunteer Survey'!D358)"),"Wellington Hospital")</f>
        <v>Wellington Hospital</v>
      </c>
      <c r="AD359" s="175" t="str">
        <f ca="1">IFERROR(__xludf.DUMMYFUNCTION("QUERY('Volunteer Survey'!E358)"),"mansour.zamanpoor@ccdhb.org.nz")</f>
        <v>mansour.zamanpoor@ccdhb.org.nz</v>
      </c>
      <c r="AE359" s="175" t="str">
        <f ca="1">IFERROR(__xludf.DUMMYFUNCTION("QUERY('Volunteer Survey'!F358)"),"Clinical laboratory geneticist")</f>
        <v>Clinical laboratory geneticist</v>
      </c>
      <c r="AF359" s="175" t="str">
        <f ca="1">IFERROR(__xludf.DUMMYFUNCTION("QUERY('Volunteer Survey'!G358)"),"ClinGen affiliated emails and/or newsletters, The clinicalgenome.org website")</f>
        <v>ClinGen affiliated emails and/or newsletters, The clinicalgenome.org website</v>
      </c>
      <c r="AG359" s="175" t="str">
        <f ca="1">IFERROR(__xludf.DUMMYFUNCTION("QUERY('Volunteer Survey'!H358)"),"Comprehensive")</f>
        <v>Comprehensive</v>
      </c>
      <c r="AH359" s="175" t="str">
        <f ca="1">IFERROR(__xludf.DUMMYFUNCTION("QUERY('Volunteer Survey'!I358)"),"Gene-Disease Validity")</f>
        <v>Gene-Disease Validity</v>
      </c>
      <c r="AI359" s="175" t="str">
        <f ca="1">IFERROR(__xludf.DUMMYFUNCTION("QUERY('Volunteer Survey'!J358)"),"Variant Pathogenicity")</f>
        <v>Variant Pathogenicity</v>
      </c>
      <c r="AJ359" s="175" t="str">
        <f ca="1">IFERROR(__xludf.DUMMYFUNCTION("QUERY('Volunteer Survey'!K358)"),"Somatic Cancer")</f>
        <v>Somatic Cancer</v>
      </c>
      <c r="AK359" s="175" t="str">
        <f ca="1">IFERROR(__xludf.DUMMYFUNCTION("QUERY('Volunteer Survey'!L358)"),"Clinical Actionability")</f>
        <v>Clinical Actionability</v>
      </c>
      <c r="AL359" s="175" t="str">
        <f ca="1">IFERROR(__xludf.DUMMYFUNCTION("QUERY('Volunteer Survey'!M358)"),"Dosage Sensitivity")</f>
        <v>Dosage Sensitivity</v>
      </c>
      <c r="AM359" s="175" t="str">
        <f ca="1">IFERROR(__xludf.DUMMYFUNCTION("QUERY('Volunteer Survey'!N358)"),"I am actively involved in variant curation in a diagnostic genomic laboratory ")</f>
        <v xml:space="preserve">I am actively involved in variant curation in a diagnostic genomic laboratory </v>
      </c>
      <c r="AN359" s="175" t="str">
        <f ca="1">IFERROR(__xludf.DUMMYFUNCTION("QUERY('Volunteer Survey'!O358)"),"Yes")</f>
        <v>Yes</v>
      </c>
      <c r="AO359" s="175" t="str">
        <f ca="1">IFERROR(__xludf.DUMMYFUNCTION("QUERY('Volunteer Survey'!P358)"),"")</f>
        <v/>
      </c>
    </row>
    <row r="360" spans="1:41" ht="14">
      <c r="A360" s="44">
        <f ca="1">IFERROR(__xludf.DUMMYFUNCTION("QUERY('Volunteer Survey'!A369)"),43809.8067020717)</f>
        <v>43809.806702071699</v>
      </c>
      <c r="B360" s="42" t="s">
        <v>322</v>
      </c>
      <c r="C360" s="47"/>
      <c r="D360" s="49"/>
      <c r="E360" s="49"/>
      <c r="F360" s="42" t="s">
        <v>130</v>
      </c>
      <c r="G360" s="42" t="s">
        <v>313</v>
      </c>
      <c r="H360" s="47"/>
      <c r="I360" s="47"/>
      <c r="J360" s="49"/>
      <c r="K360" s="49"/>
      <c r="L360" s="49" t="str">
        <f ca="1">IFERROR(__xludf.DUMMYFUNCTION("QUERY('Volunteer Survey'!B369)"),"Jian Zhao")</f>
        <v>Jian Zhao</v>
      </c>
      <c r="M360" s="49" t="str">
        <f ca="1">IFERROR(__xludf.DUMMYFUNCTION("QUERY('Volunteer Survey'!E369)"),"jian.zhao@aruplab.com")</f>
        <v>jian.zhao@aruplab.com</v>
      </c>
      <c r="N360" s="49" t="str">
        <f ca="1">IFERROR(__xludf.DUMMYFUNCTION("QUERY('Volunteer Survey'!F369)"),"Post Doc/Resident/Fellow (MD and/or PhD)")</f>
        <v>Post Doc/Resident/Fellow (MD and/or PhD)</v>
      </c>
      <c r="O360" s="42" t="str">
        <f ca="1">IFERROR(__xludf.DUMMYFUNCTION("QUERY('Volunteer Survey'!H369)"),"Baseline")</f>
        <v>Baseline</v>
      </c>
      <c r="P360" s="49" t="str">
        <f ca="1">IFERROR(__xludf.DUMMYFUNCTION("QUERY('Volunteer Survey'!I369)"),"Dosage Sensitivity")</f>
        <v>Dosage Sensitivity</v>
      </c>
      <c r="Q360" s="54" t="str">
        <f ca="1">IFERROR(__xludf.DUMMYFUNCTION("QUERY('Volunteer Survey'!J369)"),"")</f>
        <v/>
      </c>
      <c r="R360" s="49" t="str">
        <f ca="1">IFERROR(__xludf.DUMMYFUNCTION("QUERY('Volunteer Survey'!K369)"),"")</f>
        <v/>
      </c>
      <c r="S360" s="49" t="str">
        <f ca="1">IFERROR(__xludf.DUMMYFUNCTION("QUERY('Volunteer Survey'!L369)"),"")</f>
        <v/>
      </c>
      <c r="T360" s="49" t="str">
        <f ca="1">IFERROR(__xludf.DUMMYFUNCTION("QUERY('Volunteer Survey'!M369)"),"")</f>
        <v/>
      </c>
      <c r="U360" s="58" t="str">
        <f ca="1">IFERROR(__xludf.DUMMYFUNCTION("QUERY('Volunteer Survey'!N369)"),"I was a variant analyst at EGL Genetics before joining ARUP for LGG fellowship")</f>
        <v>I was a variant analyst at EGL Genetics before joining ARUP for LGG fellowship</v>
      </c>
      <c r="V360" s="49" t="str">
        <f ca="1">IFERROR(__xludf.DUMMYFUNCTION("QUERY('Volunteer Survey'!O369)"),"Possibly")</f>
        <v>Possibly</v>
      </c>
      <c r="W360" s="60" t="str">
        <f ca="1">IFERROR(__xludf.DUMMYFUNCTION("QUERY('Volunteer Survey'!P369)"),"")</f>
        <v/>
      </c>
      <c r="X360" s="58" t="str">
        <f ca="1">IFERROR(__xludf.DUMMYFUNCTION("QUERY('Volunteer Survey'!R369)"),"Maybe -- please contact me with other options, and I will decide based on what is available")</f>
        <v>Maybe -- please contact me with other options, and I will decide based on what is available</v>
      </c>
      <c r="Y360" s="47"/>
      <c r="Z360" s="174">
        <f ca="1">IFERROR(__xludf.DUMMYFUNCTION("QUERY('Volunteer Survey'!A359)"),43780.3746738888)</f>
        <v>43780.3746738888</v>
      </c>
      <c r="AA360" s="175" t="str">
        <f ca="1">IFERROR(__xludf.DUMMYFUNCTION("QUERY('Volunteer Survey'!B359)"),"Mark Shlapobersky")</f>
        <v>Mark Shlapobersky</v>
      </c>
      <c r="AB360" s="175" t="str">
        <f ca="1">IFERROR(__xludf.DUMMYFUNCTION("QUERY('Volunteer Survey'!C359)"),"Barzilai Medical Center")</f>
        <v>Barzilai Medical Center</v>
      </c>
      <c r="AC360" s="175" t="str">
        <f ca="1">IFERROR(__xludf.DUMMYFUNCTION("QUERY('Volunteer Survey'!D359)"),"")</f>
        <v/>
      </c>
      <c r="AD360" s="175" t="str">
        <f ca="1">IFERROR(__xludf.DUMMYFUNCTION("QUERY('Volunteer Survey'!E359)"),"marks@bmc.gov.il")</f>
        <v>marks@bmc.gov.il</v>
      </c>
      <c r="AE360" s="175" t="str">
        <f ca="1">IFERROR(__xludf.DUMMYFUNCTION("QUERY('Volunteer Survey'!F359)"),"Director of Pathology lab")</f>
        <v>Director of Pathology lab</v>
      </c>
      <c r="AF360" s="175" t="str">
        <f ca="1">IFERROR(__xludf.DUMMYFUNCTION("QUERY('Volunteer Survey'!G359)"),"AMP Conference 2019")</f>
        <v>AMP Conference 2019</v>
      </c>
      <c r="AG360" s="175" t="str">
        <f ca="1">IFERROR(__xludf.DUMMYFUNCTION("QUERY('Volunteer Survey'!H359)"),"Comprehensive")</f>
        <v>Comprehensive</v>
      </c>
      <c r="AH360" s="175" t="str">
        <f ca="1">IFERROR(__xludf.DUMMYFUNCTION("QUERY('Volunteer Survey'!I359)"),"Clinical Actionability")</f>
        <v>Clinical Actionability</v>
      </c>
      <c r="AI360" s="175" t="str">
        <f ca="1">IFERROR(__xludf.DUMMYFUNCTION("QUERY('Volunteer Survey'!J359)"),"Variant Pathogenicity")</f>
        <v>Variant Pathogenicity</v>
      </c>
      <c r="AJ360" s="175" t="str">
        <f ca="1">IFERROR(__xludf.DUMMYFUNCTION("QUERY('Volunteer Survey'!K359)"),"Somatic Cancer")</f>
        <v>Somatic Cancer</v>
      </c>
      <c r="AK360" s="175" t="str">
        <f ca="1">IFERROR(__xludf.DUMMYFUNCTION("QUERY('Volunteer Survey'!L359)"),"Gene-Disease Validity")</f>
        <v>Gene-Disease Validity</v>
      </c>
      <c r="AL360" s="175" t="str">
        <f ca="1">IFERROR(__xludf.DUMMYFUNCTION("QUERY('Volunteer Survey'!M359)"),"Dosage Sensitivity")</f>
        <v>Dosage Sensitivity</v>
      </c>
      <c r="AM360" s="175" t="str">
        <f ca="1">IFERROR(__xludf.DUMMYFUNCTION("QUERY('Volunteer Survey'!N359)"),"I was a curator for Pathway Genomics and Human Longevity")</f>
        <v>I was a curator for Pathway Genomics and Human Longevity</v>
      </c>
      <c r="AN360" s="175" t="str">
        <f ca="1">IFERROR(__xludf.DUMMYFUNCTION("QUERY('Volunteer Survey'!O359)"),"Yes")</f>
        <v>Yes</v>
      </c>
      <c r="AO360" s="175" t="str">
        <f ca="1">IFERROR(__xludf.DUMMYFUNCTION("QUERY('Volunteer Survey'!P359)"),"")</f>
        <v/>
      </c>
    </row>
    <row r="361" spans="1:41" ht="14">
      <c r="A361" s="44">
        <f ca="1">IFERROR(__xludf.DUMMYFUNCTION("QUERY('Volunteer Survey'!A370)"),43810.6278993865)</f>
        <v>43810.627899386498</v>
      </c>
      <c r="B361" s="42" t="s">
        <v>108</v>
      </c>
      <c r="C361" s="73">
        <v>43819</v>
      </c>
      <c r="D361" s="67">
        <v>43846</v>
      </c>
      <c r="E361" s="42" t="s">
        <v>117</v>
      </c>
      <c r="F361" s="42" t="s">
        <v>130</v>
      </c>
      <c r="G361" s="42" t="s">
        <v>122</v>
      </c>
      <c r="H361" s="47"/>
      <c r="I361" s="47"/>
      <c r="J361" s="49"/>
      <c r="K361" s="49"/>
      <c r="L361" s="49" t="str">
        <f ca="1">IFERROR(__xludf.DUMMYFUNCTION("QUERY('Volunteer Survey'!B370)"),"Tess Levy")</f>
        <v>Tess Levy</v>
      </c>
      <c r="M361" s="49" t="str">
        <f ca="1">IFERROR(__xludf.DUMMYFUNCTION("QUERY('Volunteer Survey'!E370)"),"tess.levy@mssm.edu")</f>
        <v>tess.levy@mssm.edu</v>
      </c>
      <c r="N361" s="49" t="str">
        <f ca="1">IFERROR(__xludf.DUMMYFUNCTION("QUERY('Volunteer Survey'!F370)"),"Genetic counselor")</f>
        <v>Genetic counselor</v>
      </c>
      <c r="O361" s="42" t="str">
        <f ca="1">IFERROR(__xludf.DUMMYFUNCTION("QUERY('Volunteer Survey'!H370)"),"Comprehensive")</f>
        <v>Comprehensive</v>
      </c>
      <c r="P361" s="49" t="str">
        <f ca="1">IFERROR(__xludf.DUMMYFUNCTION("QUERY('Volunteer Survey'!I370)"),"Gene-Disease Validity")</f>
        <v>Gene-Disease Validity</v>
      </c>
      <c r="Q361" s="54" t="str">
        <f ca="1">IFERROR(__xludf.DUMMYFUNCTION("QUERY('Volunteer Survey'!J370)"),"")</f>
        <v/>
      </c>
      <c r="R361" s="49" t="str">
        <f ca="1">IFERROR(__xludf.DUMMYFUNCTION("QUERY('Volunteer Survey'!K370)"),"")</f>
        <v/>
      </c>
      <c r="S361" s="49" t="str">
        <f ca="1">IFERROR(__xludf.DUMMYFUNCTION("QUERY('Volunteer Survey'!L370)"),"")</f>
        <v/>
      </c>
      <c r="T361" s="49" t="str">
        <f ca="1">IFERROR(__xludf.DUMMYFUNCTION("QUERY('Volunteer Survey'!M370)"),"")</f>
        <v/>
      </c>
      <c r="U361" s="58" t="str">
        <f ca="1">IFERROR(__xludf.DUMMYFUNCTION("QUERY('Volunteer Survey'!N370)"),"Interpretation of whole genome sequences for individuals with undiagnosed neurodevelopment disorders ")</f>
        <v xml:space="preserve">Interpretation of whole genome sequences for individuals with undiagnosed neurodevelopment disorders </v>
      </c>
      <c r="V361" s="49" t="str">
        <f ca="1">IFERROR(__xludf.DUMMYFUNCTION("QUERY('Volunteer Survey'!O370)"),"Possibly")</f>
        <v>Possibly</v>
      </c>
      <c r="W361" s="60" t="str">
        <f ca="1">IFERROR(__xludf.DUMMYFUNCTION("QUERY('Volunteer Survey'!P370)"),"ASD/ID")</f>
        <v>ASD/ID</v>
      </c>
      <c r="X361" s="58" t="str">
        <f ca="1">IFERROR(__xludf.DUMMYFUNCTION("QUERY('Volunteer Survey'!R370)"),"Maybe -- please contact me with other options, and I will decide based on what is available")</f>
        <v>Maybe -- please contact me with other options, and I will decide based on what is available</v>
      </c>
      <c r="Y361" s="47"/>
      <c r="Z361" s="174">
        <f ca="1">IFERROR(__xludf.DUMMYFUNCTION("QUERY('Volunteer Survey'!A360)"),43782.5691342129)</f>
        <v>43782.569134212899</v>
      </c>
      <c r="AA361" s="175" t="str">
        <f ca="1">IFERROR(__xludf.DUMMYFUNCTION("QUERY('Volunteer Survey'!B360)"),"Marie-Luise Brennan")</f>
        <v>Marie-Luise Brennan</v>
      </c>
      <c r="AB361" s="175" t="str">
        <f ca="1">IFERROR(__xludf.DUMMYFUNCTION("QUERY('Volunteer Survey'!C360)"),"ACMG / NHGRI")</f>
        <v>ACMG / NHGRI</v>
      </c>
      <c r="AC361" s="175" t="str">
        <f ca="1">IFERROR(__xludf.DUMMYFUNCTION("QUERY('Volunteer Survey'!D360)"),"7101 Wisconsin Ave, #1101, Bethesda, MD 20814")</f>
        <v>7101 Wisconsin Ave, #1101, Bethesda, MD 20814</v>
      </c>
      <c r="AD361" s="175" t="str">
        <f ca="1">IFERROR(__xludf.DUMMYFUNCTION("QUERY('Volunteer Survey'!E360)"),"mbrennan@acmg.net")</f>
        <v>mbrennan@acmg.net</v>
      </c>
      <c r="AE361" s="175" t="str">
        <f ca="1">IFERROR(__xludf.DUMMYFUNCTION("QUERY('Volunteer Survey'!F360)"),"Clinical Medical Geneticist")</f>
        <v>Clinical Medical Geneticist</v>
      </c>
      <c r="AF361" s="175" t="str">
        <f ca="1">IFERROR(__xludf.DUMMYFUNCTION("QUERY('Volunteer Survey'!G360)"),"Colleagues, Educational coursework")</f>
        <v>Colleagues, Educational coursework</v>
      </c>
      <c r="AG361" s="175" t="str">
        <f ca="1">IFERROR(__xludf.DUMMYFUNCTION("QUERY('Volunteer Survey'!H360)"),"Comprehensive")</f>
        <v>Comprehensive</v>
      </c>
      <c r="AH361" s="175" t="str">
        <f ca="1">IFERROR(__xludf.DUMMYFUNCTION("QUERY('Volunteer Survey'!I360)"),"Gene-Disease Validity")</f>
        <v>Gene-Disease Validity</v>
      </c>
      <c r="AI361" s="175" t="str">
        <f ca="1">IFERROR(__xludf.DUMMYFUNCTION("QUERY('Volunteer Survey'!J360)"),"Variant Pathogenicity")</f>
        <v>Variant Pathogenicity</v>
      </c>
      <c r="AJ361" s="175" t="str">
        <f ca="1">IFERROR(__xludf.DUMMYFUNCTION("QUERY('Volunteer Survey'!K360)"),"Dosage Sensitivity")</f>
        <v>Dosage Sensitivity</v>
      </c>
      <c r="AK361" s="175" t="str">
        <f ca="1">IFERROR(__xludf.DUMMYFUNCTION("QUERY('Volunteer Survey'!L360)"),"Clinical Actionability")</f>
        <v>Clinical Actionability</v>
      </c>
      <c r="AL361" s="175" t="str">
        <f ca="1">IFERROR(__xludf.DUMMYFUNCTION("QUERY('Volunteer Survey'!M360)"),"Somatic Cancer")</f>
        <v>Somatic Cancer</v>
      </c>
      <c r="AM361" s="175" t="str">
        <f ca="1">IFERROR(__xludf.DUMMYFUNCTION("QUERY('Volunteer Survey'!N360)"),"No prior experience with curation. ")</f>
        <v xml:space="preserve">No prior experience with curation. </v>
      </c>
      <c r="AN361" s="175" t="str">
        <f ca="1">IFERROR(__xludf.DUMMYFUNCTION("QUERY('Volunteer Survey'!O360)"),"Yes")</f>
        <v>Yes</v>
      </c>
      <c r="AO361" s="175" t="str">
        <f ca="1">IFERROR(__xludf.DUMMYFUNCTION("QUERY('Volunteer Survey'!P360)"),"Low penetrance/risk alleles; gene curation (monogenic diabetes; any); dosage sens (neurodev or recurrent regions). Preferences listed, happy to join where needed.")</f>
        <v>Low penetrance/risk alleles; gene curation (monogenic diabetes; any); dosage sens (neurodev or recurrent regions). Preferences listed, happy to join where needed.</v>
      </c>
    </row>
    <row r="362" spans="1:41" ht="14">
      <c r="A362" s="44">
        <f ca="1">IFERROR(__xludf.DUMMYFUNCTION("QUERY('Volunteer Survey'!A371)"),43811.1499500925)</f>
        <v>43811.149950092498</v>
      </c>
      <c r="B362" s="42" t="s">
        <v>108</v>
      </c>
      <c r="C362" s="73">
        <v>43819</v>
      </c>
      <c r="D362" s="67">
        <v>43846</v>
      </c>
      <c r="E362" s="42" t="s">
        <v>117</v>
      </c>
      <c r="F362" s="42" t="s">
        <v>117</v>
      </c>
      <c r="G362" s="42" t="s">
        <v>122</v>
      </c>
      <c r="H362" s="47"/>
      <c r="I362" s="47"/>
      <c r="J362" s="49"/>
      <c r="K362" s="49"/>
      <c r="L362" s="49" t="str">
        <f ca="1">IFERROR(__xludf.DUMMYFUNCTION("QUERY('Volunteer Survey'!B371)"),"Xiaoyan Guo ")</f>
        <v xml:space="preserve">Xiaoyan Guo </v>
      </c>
      <c r="M362" s="49" t="str">
        <f ca="1">IFERROR(__xludf.DUMMYFUNCTION("QUERY('Volunteer Survey'!E371)"),"540842557@qq.com")</f>
        <v>540842557@qq.com</v>
      </c>
      <c r="N362" s="49" t="str">
        <f ca="1">IFERROR(__xludf.DUMMYFUNCTION("QUERY('Volunteer Survey'!F371)"),"Post Doc/Resident/Fellow (MD and/or PhD)")</f>
        <v>Post Doc/Resident/Fellow (MD and/or PhD)</v>
      </c>
      <c r="O362" s="42" t="str">
        <f ca="1">IFERROR(__xludf.DUMMYFUNCTION("QUERY('Volunteer Survey'!H371)"),"Comprehensive")</f>
        <v>Comprehensive</v>
      </c>
      <c r="P362" s="49" t="str">
        <f ca="1">IFERROR(__xludf.DUMMYFUNCTION("QUERY('Volunteer Survey'!I371)"),"Gene-Disease Validity")</f>
        <v>Gene-Disease Validity</v>
      </c>
      <c r="Q362" s="54" t="str">
        <f ca="1">IFERROR(__xludf.DUMMYFUNCTION("QUERY('Volunteer Survey'!J371)"),"Variant Pathogenicity")</f>
        <v>Variant Pathogenicity</v>
      </c>
      <c r="R362" s="49" t="str">
        <f ca="1">IFERROR(__xludf.DUMMYFUNCTION("QUERY('Volunteer Survey'!K371)"),"Dosage Sensitivity")</f>
        <v>Dosage Sensitivity</v>
      </c>
      <c r="S362" s="49" t="str">
        <f ca="1">IFERROR(__xludf.DUMMYFUNCTION("QUERY('Volunteer Survey'!L371)"),"Somatic Cancer")</f>
        <v>Somatic Cancer</v>
      </c>
      <c r="T362" s="49" t="str">
        <f ca="1">IFERROR(__xludf.DUMMYFUNCTION("QUERY('Volunteer Survey'!M371)"),"Clinical Actionability")</f>
        <v>Clinical Actionability</v>
      </c>
      <c r="U362" s="58" t="str">
        <f ca="1">IFERROR(__xludf.DUMMYFUNCTION("QUERY('Volunteer Survey'!N371)"),"")</f>
        <v/>
      </c>
      <c r="V362" s="49" t="str">
        <f ca="1">IFERROR(__xludf.DUMMYFUNCTION("QUERY('Volunteer Survey'!O371)"),"Possibly")</f>
        <v>Possibly</v>
      </c>
      <c r="W362" s="60" t="str">
        <f ca="1">IFERROR(__xludf.DUMMYFUNCTION("QUERY('Volunteer Survey'!P371)"),"")</f>
        <v/>
      </c>
      <c r="X362" s="58" t="str">
        <f ca="1">IFERROR(__xludf.DUMMYFUNCTION("QUERY('Volunteer Survey'!R371)"),"Yes- I am willing to volunteer with any available ClinGen group")</f>
        <v>Yes- I am willing to volunteer with any available ClinGen group</v>
      </c>
      <c r="Y362" s="47"/>
      <c r="Z362" s="174">
        <f ca="1">IFERROR(__xludf.DUMMYFUNCTION("QUERY('Volunteer Survey'!A361)"),43789.3792843055)</f>
        <v>43789.379284305498</v>
      </c>
      <c r="AA362" s="175" t="str">
        <f ca="1">IFERROR(__xludf.DUMMYFUNCTION("QUERY('Volunteer Survey'!B361)"),"Shawn Gessay")</f>
        <v>Shawn Gessay</v>
      </c>
      <c r="AB362" s="175" t="str">
        <f ca="1">IFERROR(__xludf.DUMMYFUNCTION("QUERY('Volunteer Survey'!C361)"),"UT Health San Antonio ")</f>
        <v xml:space="preserve">UT Health San Antonio </v>
      </c>
      <c r="AC362" s="175" t="str">
        <f ca="1">IFERROR(__xludf.DUMMYFUNCTION("QUERY('Volunteer Survey'!D361)"),"326 Madison St Apt 8 San Antonio TX 78204")</f>
        <v>326 Madison St Apt 8 San Antonio TX 78204</v>
      </c>
      <c r="AD362" s="175" t="str">
        <f ca="1">IFERROR(__xludf.DUMMYFUNCTION("QUERY('Volunteer Survey'!E361)"),"gessays75@gmail.com")</f>
        <v>gessays75@gmail.com</v>
      </c>
      <c r="AE362" s="175" t="str">
        <f ca="1">IFERROR(__xludf.DUMMYFUNCTION("QUERY('Volunteer Survey'!F361)"),"Genetic counselor")</f>
        <v>Genetic counselor</v>
      </c>
      <c r="AF362" s="175" t="str">
        <f ca="1">IFERROR(__xludf.DUMMYFUNCTION("QUERY('Volunteer Survey'!G361)"),"NSGC Conference 2019")</f>
        <v>NSGC Conference 2019</v>
      </c>
      <c r="AG362" s="175" t="str">
        <f ca="1">IFERROR(__xludf.DUMMYFUNCTION("QUERY('Volunteer Survey'!H361)"),"Comprehensive")</f>
        <v>Comprehensive</v>
      </c>
      <c r="AH362" s="175" t="str">
        <f ca="1">IFERROR(__xludf.DUMMYFUNCTION("QUERY('Volunteer Survey'!I361)"),"Variant Pathogenicity")</f>
        <v>Variant Pathogenicity</v>
      </c>
      <c r="AI362" s="175" t="str">
        <f ca="1">IFERROR(__xludf.DUMMYFUNCTION("QUERY('Volunteer Survey'!J361)"),"Clinical Actionability")</f>
        <v>Clinical Actionability</v>
      </c>
      <c r="AJ362" s="175" t="str">
        <f ca="1">IFERROR(__xludf.DUMMYFUNCTION("QUERY('Volunteer Survey'!K361)"),"Gene-Disease Validity")</f>
        <v>Gene-Disease Validity</v>
      </c>
      <c r="AK362" s="175" t="str">
        <f ca="1">IFERROR(__xludf.DUMMYFUNCTION("QUERY('Volunteer Survey'!L361)"),"Dosage Sensitivity")</f>
        <v>Dosage Sensitivity</v>
      </c>
      <c r="AL362" s="175" t="str">
        <f ca="1">IFERROR(__xludf.DUMMYFUNCTION("QUERY('Volunteer Survey'!M361)"),"Somatic Cancer")</f>
        <v>Somatic Cancer</v>
      </c>
      <c r="AM362" s="175" t="str">
        <f ca="1">IFERROR(__xludf.DUMMYFUNCTION("QUERY('Volunteer Survey'!N361)"),"No ")</f>
        <v xml:space="preserve">No </v>
      </c>
      <c r="AN362" s="175" t="str">
        <f ca="1">IFERROR(__xludf.DUMMYFUNCTION("QUERY('Volunteer Survey'!O361)"),"Yes")</f>
        <v>Yes</v>
      </c>
      <c r="AO362" s="175" t="str">
        <f ca="1">IFERROR(__xludf.DUMMYFUNCTION("QUERY('Volunteer Survey'!P361)"),"RASopathy")</f>
        <v>RASopathy</v>
      </c>
    </row>
    <row r="363" spans="1:41" ht="14">
      <c r="A363" s="44">
        <f ca="1">IFERROR(__xludf.DUMMYFUNCTION("QUERY('Volunteer Survey'!A372)"),43811.7965180555)</f>
        <v>43811.796518055497</v>
      </c>
      <c r="B363" s="42" t="s">
        <v>322</v>
      </c>
      <c r="C363" s="47"/>
      <c r="D363" s="49"/>
      <c r="E363" s="49"/>
      <c r="F363" s="42" t="s">
        <v>130</v>
      </c>
      <c r="G363" s="42" t="s">
        <v>313</v>
      </c>
      <c r="H363" s="47"/>
      <c r="I363" s="47"/>
      <c r="J363" s="49"/>
      <c r="K363" s="49"/>
      <c r="L363" s="49" t="str">
        <f ca="1">IFERROR(__xludf.DUMMYFUNCTION("QUERY('Volunteer Survey'!B372)"),"Benjamin Clyde")</f>
        <v>Benjamin Clyde</v>
      </c>
      <c r="M363" s="49" t="str">
        <f ca="1">IFERROR(__xludf.DUMMYFUNCTION("QUERY('Volunteer Survey'!E372)"),"benjamin.clyde@aruplab.com")</f>
        <v>benjamin.clyde@aruplab.com</v>
      </c>
      <c r="N363" s="49" t="str">
        <f ca="1">IFERROR(__xludf.DUMMYFUNCTION("QUERY('Volunteer Survey'!F372)"),"Variant Analyst/Scientist - Industry")</f>
        <v>Variant Analyst/Scientist - Industry</v>
      </c>
      <c r="O363" s="42" t="str">
        <f ca="1">IFERROR(__xludf.DUMMYFUNCTION("QUERY('Volunteer Survey'!H372)"),"Comprehensive")</f>
        <v>Comprehensive</v>
      </c>
      <c r="P363" s="49" t="str">
        <f ca="1">IFERROR(__xludf.DUMMYFUNCTION("QUERY('Volunteer Survey'!I372)"),"Dosage Sensitivity")</f>
        <v>Dosage Sensitivity</v>
      </c>
      <c r="Q363" s="54" t="str">
        <f ca="1">IFERROR(__xludf.DUMMYFUNCTION("QUERY('Volunteer Survey'!J372)"),"Somatic Cancer")</f>
        <v>Somatic Cancer</v>
      </c>
      <c r="R363" s="49" t="str">
        <f ca="1">IFERROR(__xludf.DUMMYFUNCTION("QUERY('Volunteer Survey'!K372)"),"")</f>
        <v/>
      </c>
      <c r="S363" s="49" t="str">
        <f ca="1">IFERROR(__xludf.DUMMYFUNCTION("QUERY('Volunteer Survey'!L372)"),"")</f>
        <v/>
      </c>
      <c r="T363" s="49" t="str">
        <f ca="1">IFERROR(__xludf.DUMMYFUNCTION("QUERY('Volunteer Survey'!M372)"),"")</f>
        <v/>
      </c>
      <c r="U363" s="58" t="str">
        <f ca="1">IFERROR(__xludf.DUMMYFUNCTION("QUERY('Volunteer Survey'!N372)"),"")</f>
        <v/>
      </c>
      <c r="V363" s="49" t="str">
        <f ca="1">IFERROR(__xludf.DUMMYFUNCTION("QUERY('Volunteer Survey'!O372)"),"")</f>
        <v/>
      </c>
      <c r="W363" s="60" t="str">
        <f ca="1">IFERROR(__xludf.DUMMYFUNCTION("QUERY('Volunteer Survey'!P372)"),"Hereditary Cancer Dosage Sensitivity Subgroup")</f>
        <v>Hereditary Cancer Dosage Sensitivity Subgroup</v>
      </c>
      <c r="X363" s="58" t="str">
        <f ca="1">IFERROR(__xludf.DUMMYFUNCTION("QUERY('Volunteer Survey'!R372)"),"Maybe -- please contact me with other options, and I will decide based on what is available")</f>
        <v>Maybe -- please contact me with other options, and I will decide based on what is available</v>
      </c>
      <c r="Y363" s="47"/>
      <c r="Z363" s="174">
        <f ca="1">IFERROR(__xludf.DUMMYFUNCTION("QUERY('Volunteer Survey'!A362)"),43789.5611372337)</f>
        <v>43789.561137233701</v>
      </c>
      <c r="AA363" s="175" t="str">
        <f ca="1">IFERROR(__xludf.DUMMYFUNCTION("QUERY('Volunteer Survey'!B362)"),"Angela Hoang")</f>
        <v>Angela Hoang</v>
      </c>
      <c r="AB363" s="175" t="str">
        <f ca="1">IFERROR(__xludf.DUMMYFUNCTION("QUERY('Volunteer Survey'!C362)"),"Keck Graduate Institute")</f>
        <v>Keck Graduate Institute</v>
      </c>
      <c r="AC363" s="175" t="str">
        <f ca="1">IFERROR(__xludf.DUMMYFUNCTION("QUERY('Volunteer Survey'!D362)"),"")</f>
        <v/>
      </c>
      <c r="AD363" s="175" t="str">
        <f ca="1">IFERROR(__xludf.DUMMYFUNCTION("QUERY('Volunteer Survey'!E362)"),"ahoang18@students.kgi.edu")</f>
        <v>ahoang18@students.kgi.edu</v>
      </c>
      <c r="AE363" s="175" t="str">
        <f ca="1">IFERROR(__xludf.DUMMYFUNCTION("QUERY('Volunteer Survey'!F362)"),"Graduate Student")</f>
        <v>Graduate Student</v>
      </c>
      <c r="AF363" s="175" t="str">
        <f ca="1">IFERROR(__xludf.DUMMYFUNCTION("QUERY('Volunteer Survey'!G362)"),"Networking, Suggestion from mentor, Educational coursework")</f>
        <v>Networking, Suggestion from mentor, Educational coursework</v>
      </c>
      <c r="AG363" s="175" t="str">
        <f ca="1">IFERROR(__xludf.DUMMYFUNCTION("QUERY('Volunteer Survey'!H362)"),"Comprehensive")</f>
        <v>Comprehensive</v>
      </c>
      <c r="AH363" s="175" t="str">
        <f ca="1">IFERROR(__xludf.DUMMYFUNCTION("QUERY('Volunteer Survey'!I362)"),"Variant Pathogenicity")</f>
        <v>Variant Pathogenicity</v>
      </c>
      <c r="AI363" s="175" t="str">
        <f ca="1">IFERROR(__xludf.DUMMYFUNCTION("QUERY('Volunteer Survey'!J362)"),"Gene-Disease Validity")</f>
        <v>Gene-Disease Validity</v>
      </c>
      <c r="AJ363" s="175" t="str">
        <f ca="1">IFERROR(__xludf.DUMMYFUNCTION("QUERY('Volunteer Survey'!K362)"),"Clinical Actionability")</f>
        <v>Clinical Actionability</v>
      </c>
      <c r="AK363" s="175" t="str">
        <f ca="1">IFERROR(__xludf.DUMMYFUNCTION("QUERY('Volunteer Survey'!L362)"),"")</f>
        <v/>
      </c>
      <c r="AL363" s="175" t="str">
        <f ca="1">IFERROR(__xludf.DUMMYFUNCTION("QUERY('Volunteer Survey'!M362)"),"")</f>
        <v/>
      </c>
      <c r="AM363" s="175" t="str">
        <f ca="1">IFERROR(__xludf.DUMMYFUNCTION("QUERY('Volunteer Survey'!N362)"),"Yes, I have educational experience with variant classification and gene-disease association. ")</f>
        <v xml:space="preserve">Yes, I have educational experience with variant classification and gene-disease association. </v>
      </c>
      <c r="AN363" s="175" t="str">
        <f ca="1">IFERROR(__xludf.DUMMYFUNCTION("QUERY('Volunteer Survey'!O362)"),"Possibly")</f>
        <v>Possibly</v>
      </c>
      <c r="AO363" s="175" t="str">
        <f ca="1">IFERROR(__xludf.DUMMYFUNCTION("QUERY('Volunteer Survey'!P362)"),"N/A")</f>
        <v>N/A</v>
      </c>
    </row>
    <row r="364" spans="1:41" ht="14">
      <c r="A364" s="44">
        <f ca="1">IFERROR(__xludf.DUMMYFUNCTION("QUERY('Volunteer Survey'!A373)"),43815.7970407407)</f>
        <v>43815.797040740697</v>
      </c>
      <c r="B364" s="42" t="s">
        <v>322</v>
      </c>
      <c r="C364" s="47"/>
      <c r="D364" s="49"/>
      <c r="E364" s="49"/>
      <c r="F364" s="42" t="s">
        <v>130</v>
      </c>
      <c r="G364" s="42" t="s">
        <v>136</v>
      </c>
      <c r="H364" s="47"/>
      <c r="I364" s="47"/>
      <c r="J364" s="49"/>
      <c r="K364" s="49"/>
      <c r="L364" s="49" t="str">
        <f ca="1">IFERROR(__xludf.DUMMYFUNCTION("QUERY('Volunteer Survey'!B373)"),"cynthia chow")</f>
        <v>cynthia chow</v>
      </c>
      <c r="M364" s="49" t="str">
        <f ca="1">IFERROR(__xludf.DUMMYFUNCTION("QUERY('Volunteer Survey'!E373)"),"cchow3@bccancer.bc.ca")</f>
        <v>cchow3@bccancer.bc.ca</v>
      </c>
      <c r="N364" s="49" t="str">
        <f ca="1">IFERROR(__xludf.DUMMYFUNCTION("QUERY('Volunteer Survey'!F373)"),"Variant Analyst for an In-house Oncopanel and Myeloid Panels")</f>
        <v>Variant Analyst for an In-house Oncopanel and Myeloid Panels</v>
      </c>
      <c r="O364" s="42" t="str">
        <f ca="1">IFERROR(__xludf.DUMMYFUNCTION("QUERY('Volunteer Survey'!H373)"),"Comprehensive")</f>
        <v>Comprehensive</v>
      </c>
      <c r="P364" s="49" t="str">
        <f ca="1">IFERROR(__xludf.DUMMYFUNCTION("QUERY('Volunteer Survey'!I373)"),"Somatic Cancer")</f>
        <v>Somatic Cancer</v>
      </c>
      <c r="Q364" s="54" t="str">
        <f ca="1">IFERROR(__xludf.DUMMYFUNCTION("QUERY('Volunteer Survey'!J373)"),"Clinical Actionability")</f>
        <v>Clinical Actionability</v>
      </c>
      <c r="R364" s="49" t="str">
        <f ca="1">IFERROR(__xludf.DUMMYFUNCTION("QUERY('Volunteer Survey'!K373)"),"Variant Pathogenicity")</f>
        <v>Variant Pathogenicity</v>
      </c>
      <c r="S364" s="49" t="str">
        <f ca="1">IFERROR(__xludf.DUMMYFUNCTION("QUERY('Volunteer Survey'!L373)"),"Gene-Disease Validity")</f>
        <v>Gene-Disease Validity</v>
      </c>
      <c r="T364" s="49" t="str">
        <f ca="1">IFERROR(__xludf.DUMMYFUNCTION("QUERY('Volunteer Survey'!M373)"),"Dosage Sensitivity")</f>
        <v>Dosage Sensitivity</v>
      </c>
      <c r="U364" s="58" t="str">
        <f ca="1">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V364" s="49" t="str">
        <f ca="1">IFERROR(__xludf.DUMMYFUNCTION("QUERY('Volunteer Survey'!O373)"),"Yes")</f>
        <v>Yes</v>
      </c>
      <c r="W364" s="60" t="str">
        <f ca="1">IFERROR(__xludf.DUMMYFUNCTION("QUERY('Volunteer Survey'!P373)"),"")</f>
        <v/>
      </c>
      <c r="X364" s="58" t="str">
        <f ca="1">IFERROR(__xludf.DUMMYFUNCTION("QUERY('Volunteer Survey'!R373)"),"Maybe -- please contact me with other options, and I will decide based on what is available")</f>
        <v>Maybe -- please contact me with other options, and I will decide based on what is available</v>
      </c>
      <c r="Y364" s="47"/>
      <c r="Z364" s="174">
        <f ca="1">IFERROR(__xludf.DUMMYFUNCTION("QUERY('Volunteer Survey'!A363)"),43790.7100888078)</f>
        <v>43790.710088807798</v>
      </c>
      <c r="AA364" s="175" t="str">
        <f ca="1">IFERROR(__xludf.DUMMYFUNCTION("QUERY('Volunteer Survey'!B363)"),"Poornima Vijayan")</f>
        <v>Poornima Vijayan</v>
      </c>
      <c r="AB364" s="175" t="str">
        <f ca="1">IFERROR(__xludf.DUMMYFUNCTION("QUERY('Volunteer Survey'!C363)"),"University of Toronto ")</f>
        <v xml:space="preserve">University of Toronto </v>
      </c>
      <c r="AC364" s="175" t="str">
        <f ca="1">IFERROR(__xludf.DUMMYFUNCTION("QUERY('Volunteer Survey'!D363)"),"38 Grenville Street,  Toronto , Ontario ")</f>
        <v xml:space="preserve">38 Grenville Street,  Toronto , Ontario </v>
      </c>
      <c r="AD364" s="175" t="str">
        <f ca="1">IFERROR(__xludf.DUMMYFUNCTION("QUERY('Volunteer Survey'!E363)"),"poornima2785@gmail.com")</f>
        <v>poornima2785@gmail.com</v>
      </c>
      <c r="AE364" s="175" t="str">
        <f ca="1">IFERROR(__xludf.DUMMYFUNCTION("QUERY('Volunteer Survey'!F363)"),"Graduate Student")</f>
        <v>Graduate Student</v>
      </c>
      <c r="AF364" s="175" t="str">
        <f ca="1">IFERROR(__xludf.DUMMYFUNCTION("QUERY('Volunteer Survey'!G363)"),"The clinicalgenome.org website")</f>
        <v>The clinicalgenome.org website</v>
      </c>
      <c r="AG364" s="175" t="str">
        <f ca="1">IFERROR(__xludf.DUMMYFUNCTION("QUERY('Volunteer Survey'!H363)"),"Comprehensive")</f>
        <v>Comprehensive</v>
      </c>
      <c r="AH364" s="175" t="str">
        <f ca="1">IFERROR(__xludf.DUMMYFUNCTION("QUERY('Volunteer Survey'!I363)"),"Variant Pathogenicity")</f>
        <v>Variant Pathogenicity</v>
      </c>
      <c r="AI364" s="175" t="str">
        <f ca="1">IFERROR(__xludf.DUMMYFUNCTION("QUERY('Volunteer Survey'!J363)"),"Clinical Actionability")</f>
        <v>Clinical Actionability</v>
      </c>
      <c r="AJ364" s="175" t="str">
        <f ca="1">IFERROR(__xludf.DUMMYFUNCTION("QUERY('Volunteer Survey'!K363)"),"Gene-Disease Validity")</f>
        <v>Gene-Disease Validity</v>
      </c>
      <c r="AK364" s="175" t="str">
        <f ca="1">IFERROR(__xludf.DUMMYFUNCTION("QUERY('Volunteer Survey'!L363)"),"Somatic Cancer")</f>
        <v>Somatic Cancer</v>
      </c>
      <c r="AL364" s="175" t="str">
        <f ca="1">IFERROR(__xludf.DUMMYFUNCTION("QUERY('Volunteer Survey'!M363)"),"Dosage Sensitivity")</f>
        <v>Dosage Sensitivity</v>
      </c>
      <c r="AM364" s="175" t="str">
        <f ca="1">IFERROR(__xludf.DUMMYFUNCTION("QUERY('Volunteer Survey'!N363)"),"I am a student of medical genomics")</f>
        <v>I am a student of medical genomics</v>
      </c>
      <c r="AN364" s="175" t="str">
        <f ca="1">IFERROR(__xludf.DUMMYFUNCTION("QUERY('Volunteer Survey'!O363)"),"Yes")</f>
        <v>Yes</v>
      </c>
      <c r="AO364" s="175" t="str">
        <f ca="1">IFERROR(__xludf.DUMMYFUNCTION("QUERY('Volunteer Survey'!P363)"),"")</f>
        <v/>
      </c>
    </row>
    <row r="365" spans="1:41" ht="14">
      <c r="A365" s="44">
        <f ca="1">IFERROR(__xludf.DUMMYFUNCTION("QUERY('Volunteer Survey'!A374)"),43817.6204590393)</f>
        <v>43817.620459039303</v>
      </c>
      <c r="B365" s="42" t="s">
        <v>108</v>
      </c>
      <c r="C365" s="73">
        <v>43819</v>
      </c>
      <c r="D365" s="49"/>
      <c r="E365" s="49"/>
      <c r="F365" s="42" t="s">
        <v>130</v>
      </c>
      <c r="G365" s="42" t="s">
        <v>122</v>
      </c>
      <c r="H365" s="47"/>
      <c r="I365" s="47"/>
      <c r="J365" s="49"/>
      <c r="K365" s="49"/>
      <c r="L365" s="49" t="str">
        <f ca="1">IFERROR(__xludf.DUMMYFUNCTION("QUERY('Volunteer Survey'!B374)"),"Marco Leung")</f>
        <v>Marco Leung</v>
      </c>
      <c r="M365" s="49" t="str">
        <f ca="1">IFERROR(__xludf.DUMMYFUNCTION("QUERY('Volunteer Survey'!E374)"),"marcoleung@me.com")</f>
        <v>marcoleung@me.com</v>
      </c>
      <c r="N365" s="49" t="str">
        <f ca="1">IFERROR(__xludf.DUMMYFUNCTION("QUERY('Volunteer Survey'!F374)"),"Clinical laboratory geneticist")</f>
        <v>Clinical laboratory geneticist</v>
      </c>
      <c r="O365" s="42" t="str">
        <f ca="1">IFERROR(__xludf.DUMMYFUNCTION("QUERY('Volunteer Survey'!H374)"),"Comprehensive")</f>
        <v>Comprehensive</v>
      </c>
      <c r="P365" s="49" t="str">
        <f ca="1">IFERROR(__xludf.DUMMYFUNCTION("QUERY('Volunteer Survey'!I374)"),"Gene-Disease Validity")</f>
        <v>Gene-Disease Validity</v>
      </c>
      <c r="Q365" s="54" t="str">
        <f ca="1">IFERROR(__xludf.DUMMYFUNCTION("QUERY('Volunteer Survey'!J374)"),"Variant Pathogenicity")</f>
        <v>Variant Pathogenicity</v>
      </c>
      <c r="R365" s="49" t="str">
        <f ca="1">IFERROR(__xludf.DUMMYFUNCTION("QUERY('Volunteer Survey'!K374)"),"Clinical Actionability")</f>
        <v>Clinical Actionability</v>
      </c>
      <c r="S365" s="49" t="str">
        <f ca="1">IFERROR(__xludf.DUMMYFUNCTION("QUERY('Volunteer Survey'!L374)"),"Dosage Sensitivity")</f>
        <v>Dosage Sensitivity</v>
      </c>
      <c r="T365" s="49" t="str">
        <f ca="1">IFERROR(__xludf.DUMMYFUNCTION("QUERY('Volunteer Survey'!M374)"),"Somatic Cancer")</f>
        <v>Somatic Cancer</v>
      </c>
      <c r="U365" s="58" t="str">
        <f ca="1">IFERROR(__xludf.DUMMYFUNCTION("QUERY('Volunteer Survey'!N374)"),"Determining gene-disease validity and variant pathogenicity is my everyday job")</f>
        <v>Determining gene-disease validity and variant pathogenicity is my everyday job</v>
      </c>
      <c r="V365" s="49" t="str">
        <f ca="1">IFERROR(__xludf.DUMMYFUNCTION("QUERY('Volunteer Survey'!O374)"),"Yes")</f>
        <v>Yes</v>
      </c>
      <c r="W365" s="60" t="str">
        <f ca="1">IFERROR(__xludf.DUMMYFUNCTION("QUERY('Volunteer Survey'!P374)"),"")</f>
        <v/>
      </c>
      <c r="X365" s="58" t="str">
        <f ca="1">IFERROR(__xludf.DUMMYFUNCTION("QUERY('Volunteer Survey'!R374)"),"Yes- I am willing to volunteer with any available ClinGen group")</f>
        <v>Yes- I am willing to volunteer with any available ClinGen group</v>
      </c>
      <c r="Y365" s="47"/>
      <c r="Z365" s="174">
        <f ca="1">IFERROR(__xludf.DUMMYFUNCTION("QUERY('Volunteer Survey'!A364)"),43794.3135085185)</f>
        <v>43794.313508518499</v>
      </c>
      <c r="AA365" s="175" t="str">
        <f ca="1">IFERROR(__xludf.DUMMYFUNCTION("QUERY('Volunteer Survey'!B364)"),"Adriana Bastos Carvalho")</f>
        <v>Adriana Bastos Carvalho</v>
      </c>
      <c r="AB365" s="175" t="str">
        <f ca="1">IFERROR(__xludf.DUMMYFUNCTION("QUERY('Volunteer Survey'!C364)"),"Federal University of Rio de Janeiro")</f>
        <v>Federal University of Rio de Janeiro</v>
      </c>
      <c r="AC365" s="175" t="str">
        <f ca="1">IFERROR(__xludf.DUMMYFUNCTION("QUERY('Volunteer Survey'!D364)"),"Av Carlos Chagas Filho 373
Bloco G, Sala G2-053, Rio de Janeiro, RJ, Brazil, 21941-902")</f>
        <v>Av Carlos Chagas Filho 373
Bloco G, Sala G2-053, Rio de Janeiro, RJ, Brazil, 21941-902</v>
      </c>
      <c r="AD365" s="175" t="str">
        <f ca="1">IFERROR(__xludf.DUMMYFUNCTION("QUERY('Volunteer Survey'!E364)"),"carvalhoab@biof.ufrj.br")</f>
        <v>carvalhoab@biof.ufrj.br</v>
      </c>
      <c r="AE365" s="175" t="str">
        <f ca="1">IFERROR(__xludf.DUMMYFUNCTION("QUERY('Volunteer Survey'!F364)"),"Scientific Researcher")</f>
        <v>Scientific Researcher</v>
      </c>
      <c r="AF365" s="175" t="str">
        <f ca="1">IFERROR(__xludf.DUMMYFUNCTION("QUERY('Volunteer Survey'!G364)"),"The clinicalgenome.org website")</f>
        <v>The clinicalgenome.org website</v>
      </c>
      <c r="AG365" s="175" t="str">
        <f ca="1">IFERROR(__xludf.DUMMYFUNCTION("QUERY('Volunteer Survey'!H364)"),"Comprehensive")</f>
        <v>Comprehensive</v>
      </c>
      <c r="AH365" s="175" t="str">
        <f ca="1">IFERROR(__xludf.DUMMYFUNCTION("QUERY('Volunteer Survey'!I364)"),"Gene-Disease Validity")</f>
        <v>Gene-Disease Validity</v>
      </c>
      <c r="AI365" s="175" t="str">
        <f ca="1">IFERROR(__xludf.DUMMYFUNCTION("QUERY('Volunteer Survey'!J364)"),"Variant Pathogenicity")</f>
        <v>Variant Pathogenicity</v>
      </c>
      <c r="AJ365" s="175" t="str">
        <f ca="1">IFERROR(__xludf.DUMMYFUNCTION("QUERY('Volunteer Survey'!K364)"),"Clinical Actionability")</f>
        <v>Clinical Actionability</v>
      </c>
      <c r="AK365" s="175" t="str">
        <f ca="1">IFERROR(__xludf.DUMMYFUNCTION("QUERY('Volunteer Survey'!L364)"),"Dosage Sensitivity")</f>
        <v>Dosage Sensitivity</v>
      </c>
      <c r="AL365" s="175" t="str">
        <f ca="1">IFERROR(__xludf.DUMMYFUNCTION("QUERY('Volunteer Survey'!M364)"),"Somatic Cancer")</f>
        <v>Somatic Cancer</v>
      </c>
      <c r="AM365" s="175" t="str">
        <f ca="1">IFERROR(__xludf.DUMMYFUNCTION("QUERY('Volunteer Survey'!N364)"),"No. Although I have never worked in curation activities, I work with in vitro models to investigate variant pathogenicity.")</f>
        <v>No. Although I have never worked in curation activities, I work with in vitro models to investigate variant pathogenicity.</v>
      </c>
      <c r="AN365" s="175" t="str">
        <f ca="1">IFERROR(__xludf.DUMMYFUNCTION("QUERY('Volunteer Survey'!O364)"),"Yes")</f>
        <v>Yes</v>
      </c>
      <c r="AO365" s="175" t="str">
        <f ca="1">IFERROR(__xludf.DUMMYFUNCTION("QUERY('Volunteer Survey'!P364)"),"Cardiomyopathy Variant Curation Expert Panel")</f>
        <v>Cardiomyopathy Variant Curation Expert Panel</v>
      </c>
    </row>
    <row r="366" spans="1:41" ht="14">
      <c r="A366" s="44">
        <f ca="1">IFERROR(__xludf.DUMMYFUNCTION("QUERY('Volunteer Survey'!A375)"),43817.6338315509)</f>
        <v>43817.633831550898</v>
      </c>
      <c r="B366" s="42" t="s">
        <v>322</v>
      </c>
      <c r="C366" s="47"/>
      <c r="D366" s="49"/>
      <c r="E366" s="49"/>
      <c r="F366" s="42" t="s">
        <v>130</v>
      </c>
      <c r="G366" s="42" t="s">
        <v>313</v>
      </c>
      <c r="H366" s="47"/>
      <c r="I366" s="47"/>
      <c r="J366" s="49"/>
      <c r="K366" s="49"/>
      <c r="L366" s="49" t="str">
        <f ca="1">IFERROR(__xludf.DUMMYFUNCTION("QUERY('Volunteer Survey'!B375)"),"Alaa Koleilat")</f>
        <v>Alaa Koleilat</v>
      </c>
      <c r="M366" s="49" t="str">
        <f ca="1">IFERROR(__xludf.DUMMYFUNCTION("QUERY('Volunteer Survey'!E375)"),"koleilat.alaa@mayo.edu")</f>
        <v>koleilat.alaa@mayo.edu</v>
      </c>
      <c r="N366" s="49" t="str">
        <f ca="1">IFERROR(__xludf.DUMMYFUNCTION("QUERY('Volunteer Survey'!F375)"),"Graduate Student")</f>
        <v>Graduate Student</v>
      </c>
      <c r="O366" s="42" t="str">
        <f ca="1">IFERROR(__xludf.DUMMYFUNCTION("QUERY('Volunteer Survey'!H375)"),"Baseline")</f>
        <v>Baseline</v>
      </c>
      <c r="P366" s="49" t="str">
        <f ca="1">IFERROR(__xludf.DUMMYFUNCTION("QUERY('Volunteer Survey'!I375)"),"Variant Pathogenicity")</f>
        <v>Variant Pathogenicity</v>
      </c>
      <c r="Q366" s="54" t="str">
        <f ca="1">IFERROR(__xludf.DUMMYFUNCTION("QUERY('Volunteer Survey'!J375)"),"Gene-Disease Validity")</f>
        <v>Gene-Disease Validity</v>
      </c>
      <c r="R366" s="49" t="str">
        <f ca="1">IFERROR(__xludf.DUMMYFUNCTION("QUERY('Volunteer Survey'!K375)"),"Somatic Cancer")</f>
        <v>Somatic Cancer</v>
      </c>
      <c r="S366" s="49" t="str">
        <f ca="1">IFERROR(__xludf.DUMMYFUNCTION("QUERY('Volunteer Survey'!L375)"),"Clinical Actionability")</f>
        <v>Clinical Actionability</v>
      </c>
      <c r="T366" s="49" t="str">
        <f ca="1">IFERROR(__xludf.DUMMYFUNCTION("QUERY('Volunteer Survey'!M375)"),"Dosage Sensitivity")</f>
        <v>Dosage Sensitivity</v>
      </c>
      <c r="U366" s="58" t="str">
        <f ca="1">IFERROR(__xludf.DUMMYFUNCTION("QUERY('Volunteer Survey'!N375)"),"")</f>
        <v/>
      </c>
      <c r="V366" s="49" t="str">
        <f ca="1">IFERROR(__xludf.DUMMYFUNCTION("QUERY('Volunteer Survey'!O375)"),"Yes")</f>
        <v>Yes</v>
      </c>
      <c r="W366" s="60" t="str">
        <f ca="1">IFERROR(__xludf.DUMMYFUNCTION("QUERY('Volunteer Survey'!P375)"),"mitochondrial disease, pediatric somatic cancer")</f>
        <v>mitochondrial disease, pediatric somatic cancer</v>
      </c>
      <c r="X366" s="58" t="str">
        <f ca="1">IFERROR(__xludf.DUMMYFUNCTION("QUERY('Volunteer Survey'!R375)"),"Yes- I am willing to volunteer with any available ClinGen group")</f>
        <v>Yes- I am willing to volunteer with any available ClinGen group</v>
      </c>
      <c r="Y366" s="47"/>
      <c r="Z366" s="174">
        <f ca="1">IFERROR(__xludf.DUMMYFUNCTION("QUERY('Volunteer Survey'!A365)"),43795.4660768055)</f>
        <v>43795.466076805496</v>
      </c>
      <c r="AA366" s="175" t="str">
        <f ca="1">IFERROR(__xludf.DUMMYFUNCTION("QUERY('Volunteer Survey'!B365)"),"Megan Puckelwartz")</f>
        <v>Megan Puckelwartz</v>
      </c>
      <c r="AB366" s="175" t="str">
        <f ca="1">IFERROR(__xludf.DUMMYFUNCTION("QUERY('Volunteer Survey'!C365)"),"Northwestern University")</f>
        <v>Northwestern University</v>
      </c>
      <c r="AC366" s="175" t="str">
        <f ca="1">IFERROR(__xludf.DUMMYFUNCTION("QUERY('Volunteer Survey'!D365)"),"303 E. Superior SQ 5-511 Chicago, Il 60611")</f>
        <v>303 E. Superior SQ 5-511 Chicago, Il 60611</v>
      </c>
      <c r="AD366" s="175" t="str">
        <f ca="1">IFERROR(__xludf.DUMMYFUNCTION("QUERY('Volunteer Survey'!E365)"),"m.puckelwartz@northwestern.edu")</f>
        <v>m.puckelwartz@northwestern.edu</v>
      </c>
      <c r="AE366" s="175" t="str">
        <f ca="1">IFERROR(__xludf.DUMMYFUNCTION("QUERY('Volunteer Survey'!F365)"),"Scientific Researcher")</f>
        <v>Scientific Researcher</v>
      </c>
      <c r="AF366" s="175" t="str">
        <f ca="1">IFERROR(__xludf.DUMMYFUNCTION("QUERY('Volunteer Survey'!G365)"),"Colleagues")</f>
        <v>Colleagues</v>
      </c>
      <c r="AG366" s="175" t="str">
        <f ca="1">IFERROR(__xludf.DUMMYFUNCTION("QUERY('Volunteer Survey'!H365)"),"Comprehensive")</f>
        <v>Comprehensive</v>
      </c>
      <c r="AH366" s="175" t="str">
        <f ca="1">IFERROR(__xludf.DUMMYFUNCTION("QUERY('Volunteer Survey'!I365)"),"Gene-Disease Validity")</f>
        <v>Gene-Disease Validity</v>
      </c>
      <c r="AI366" s="175" t="str">
        <f ca="1">IFERROR(__xludf.DUMMYFUNCTION("QUERY('Volunteer Survey'!J365)"),"Variant Pathogenicity")</f>
        <v>Variant Pathogenicity</v>
      </c>
      <c r="AJ366" s="175" t="str">
        <f ca="1">IFERROR(__xludf.DUMMYFUNCTION("QUERY('Volunteer Survey'!K365)"),"Clinical Actionability")</f>
        <v>Clinical Actionability</v>
      </c>
      <c r="AK366" s="175" t="str">
        <f ca="1">IFERROR(__xludf.DUMMYFUNCTION("QUERY('Volunteer Survey'!L365)"),"Dosage Sensitivity")</f>
        <v>Dosage Sensitivity</v>
      </c>
      <c r="AL366" s="175" t="str">
        <f ca="1">IFERROR(__xludf.DUMMYFUNCTION("QUERY('Volunteer Survey'!M365)"),"")</f>
        <v/>
      </c>
      <c r="AM366" s="175" t="str">
        <f ca="1">IFERROR(__xludf.DUMMYFUNCTION("QUERY('Volunteer Survey'!N365)"),"I perform molecular autopsy using whole genome sequencing on sudden death subjects.  I also curate variants for cardiomyopathy subjects for research purposes.")</f>
        <v>I perform molecular autopsy using whole genome sequencing on sudden death subjects.  I also curate variants for cardiomyopathy subjects for research purposes.</v>
      </c>
      <c r="AN366" s="175" t="str">
        <f ca="1">IFERROR(__xludf.DUMMYFUNCTION("QUERY('Volunteer Survey'!O365)"),"Yes")</f>
        <v>Yes</v>
      </c>
      <c r="AO366" s="175" t="str">
        <f ca="1">IFERROR(__xludf.DUMMYFUNCTION("QUERY('Volunteer Survey'!P365)"),"cardiomyopathy")</f>
        <v>cardiomyopathy</v>
      </c>
    </row>
    <row r="367" spans="1:41" ht="14">
      <c r="A367" s="44">
        <f ca="1">IFERROR(__xludf.DUMMYFUNCTION("QUERY('Volunteer Survey'!A376)"),43818.5194019097)</f>
        <v>43818.519401909703</v>
      </c>
      <c r="B367" s="42" t="s">
        <v>108</v>
      </c>
      <c r="C367" s="73">
        <v>43819</v>
      </c>
      <c r="D367" s="67">
        <v>43846</v>
      </c>
      <c r="E367" s="42" t="s">
        <v>117</v>
      </c>
      <c r="F367" s="42" t="s">
        <v>117</v>
      </c>
      <c r="G367" s="42" t="s">
        <v>122</v>
      </c>
      <c r="H367" s="47"/>
      <c r="I367" s="47"/>
      <c r="J367" s="49"/>
      <c r="K367" s="49"/>
      <c r="L367" s="49" t="str">
        <f ca="1">IFERROR(__xludf.DUMMYFUNCTION("QUERY('Volunteer Survey'!B376)"),"Thanuja Selvanayagam")</f>
        <v>Thanuja Selvanayagam</v>
      </c>
      <c r="M367" s="49" t="str">
        <f ca="1">IFERROR(__xludf.DUMMYFUNCTION("QUERY('Volunteer Survey'!E376)"),"tselvanayagam@cheo.on.ca")</f>
        <v>tselvanayagam@cheo.on.ca</v>
      </c>
      <c r="N367" s="49" t="str">
        <f ca="1">IFERROR(__xludf.DUMMYFUNCTION("QUERY('Volunteer Survey'!F376)"),"Genetic counselor")</f>
        <v>Genetic counselor</v>
      </c>
      <c r="O367" s="42" t="str">
        <f ca="1">IFERROR(__xludf.DUMMYFUNCTION("QUERY('Volunteer Survey'!H376)"),"Comprehensive")</f>
        <v>Comprehensive</v>
      </c>
      <c r="P367" s="49" t="str">
        <f ca="1">IFERROR(__xludf.DUMMYFUNCTION("QUERY('Volunteer Survey'!I376)"),"Gene-Disease Validity")</f>
        <v>Gene-Disease Validity</v>
      </c>
      <c r="Q367" s="54" t="str">
        <f ca="1">IFERROR(__xludf.DUMMYFUNCTION("QUERY('Volunteer Survey'!J376)"),"Variant Pathogenicity")</f>
        <v>Variant Pathogenicity</v>
      </c>
      <c r="R367" s="49" t="str">
        <f ca="1">IFERROR(__xludf.DUMMYFUNCTION("QUERY('Volunteer Survey'!K376)"),"Clinical Actionability")</f>
        <v>Clinical Actionability</v>
      </c>
      <c r="S367" s="49" t="str">
        <f ca="1">IFERROR(__xludf.DUMMYFUNCTION("QUERY('Volunteer Survey'!L376)"),"Dosage Sensitivity")</f>
        <v>Dosage Sensitivity</v>
      </c>
      <c r="T367" s="49" t="str">
        <f ca="1">IFERROR(__xludf.DUMMYFUNCTION("QUERY('Volunteer Survey'!M376)"),"Somatic Cancer")</f>
        <v>Somatic Cancer</v>
      </c>
      <c r="U367" s="58" t="str">
        <f ca="1">IFERROR(__xludf.DUMMYFUNCTION("QUERY('Volunteer Survey'!N376)"),"NO")</f>
        <v>NO</v>
      </c>
      <c r="V367" s="49" t="str">
        <f ca="1">IFERROR(__xludf.DUMMYFUNCTION("QUERY('Volunteer Survey'!O376)"),"Possibly")</f>
        <v>Possibly</v>
      </c>
      <c r="W367" s="60" t="str">
        <f ca="1">IFERROR(__xludf.DUMMYFUNCTION("QUERY('Volunteer Survey'!P376)"),"Cardiomyopathy ")</f>
        <v xml:space="preserve">Cardiomyopathy </v>
      </c>
      <c r="X367" s="58" t="str">
        <f ca="1">IFERROR(__xludf.DUMMYFUNCTION("QUERY('Volunteer Survey'!R376)"),"Maybe -- please contact me with other options, and I will decide based on what is available")</f>
        <v>Maybe -- please contact me with other options, and I will decide based on what is available</v>
      </c>
      <c r="Y367" s="47"/>
      <c r="Z367" s="174">
        <f ca="1">IFERROR(__xludf.DUMMYFUNCTION("QUERY('Volunteer Survey'!A366)"),43796.3159703356)</f>
        <v>43796.3159703356</v>
      </c>
      <c r="AA367" s="175" t="str">
        <f ca="1">IFERROR(__xludf.DUMMYFUNCTION("QUERY('Volunteer Survey'!B366)"),"Nicole Hinceman")</f>
        <v>Nicole Hinceman</v>
      </c>
      <c r="AB367" s="175" t="str">
        <f ca="1">IFERROR(__xludf.DUMMYFUNCTION("QUERY('Volunteer Survey'!C366)"),"GeneDx")</f>
        <v>GeneDx</v>
      </c>
      <c r="AC367" s="175" t="str">
        <f ca="1">IFERROR(__xludf.DUMMYFUNCTION("QUERY('Volunteer Survey'!D366)"),"207 Perry Parkway, Gaithersburg, MD 20877")</f>
        <v>207 Perry Parkway, Gaithersburg, MD 20877</v>
      </c>
      <c r="AD367" s="175" t="str">
        <f ca="1">IFERROR(__xludf.DUMMYFUNCTION("QUERY('Volunteer Survey'!E366)"),"nhinceman@genedx.com")</f>
        <v>nhinceman@genedx.com</v>
      </c>
      <c r="AE367" s="175" t="str">
        <f ca="1">IFERROR(__xludf.DUMMYFUNCTION("QUERY('Volunteer Survey'!F366)"),"Prospective Genetic Counseling Student &amp; Variant Analyst (currently a Genetic Counseling Assistant)")</f>
        <v>Prospective Genetic Counseling Student &amp; Variant Analyst (currently a Genetic Counseling Assistant)</v>
      </c>
      <c r="AF367" s="175" t="str">
        <f ca="1">IFERROR(__xludf.DUMMYFUNCTION("QUERY('Volunteer Survey'!G366)"),"CCG 2019")</f>
        <v>CCG 2019</v>
      </c>
      <c r="AG367" s="175" t="str">
        <f ca="1">IFERROR(__xludf.DUMMYFUNCTION("QUERY('Volunteer Survey'!H366)"),"Comprehensive")</f>
        <v>Comprehensive</v>
      </c>
      <c r="AH367" s="175" t="str">
        <f ca="1">IFERROR(__xludf.DUMMYFUNCTION("QUERY('Volunteer Survey'!I366)"),"Somatic Cancer")</f>
        <v>Somatic Cancer</v>
      </c>
      <c r="AI367" s="175" t="str">
        <f ca="1">IFERROR(__xludf.DUMMYFUNCTION("QUERY('Volunteer Survey'!J366)"),"Gene-Disease Validity")</f>
        <v>Gene-Disease Validity</v>
      </c>
      <c r="AJ367" s="175" t="str">
        <f ca="1">IFERROR(__xludf.DUMMYFUNCTION("QUERY('Volunteer Survey'!K366)"),"Clinical Actionability")</f>
        <v>Clinical Actionability</v>
      </c>
      <c r="AK367" s="175" t="str">
        <f ca="1">IFERROR(__xludf.DUMMYFUNCTION("QUERY('Volunteer Survey'!L366)"),"Variant Pathogenicity")</f>
        <v>Variant Pathogenicity</v>
      </c>
      <c r="AL367" s="175" t="str">
        <f ca="1">IFERROR(__xludf.DUMMYFUNCTION("QUERY('Volunteer Survey'!M366)"),"Dosage Sensitivity")</f>
        <v>Dosage Sensitivity</v>
      </c>
      <c r="AM367" s="175" t="str">
        <f ca="1">IFERROR(__xludf.DUMMYFUNCTION("QUERY('Volunteer Survey'!N366)"),"PhD in Molecular Biology, specifically developing mouse models of cancer, working in cancer clinical trials at the Institute of Cancer Research in London, UK")</f>
        <v>PhD in Molecular Biology, specifically developing mouse models of cancer, working in cancer clinical trials at the Institute of Cancer Research in London, UK</v>
      </c>
      <c r="AN367" s="175" t="str">
        <f ca="1">IFERROR(__xludf.DUMMYFUNCTION("QUERY('Volunteer Survey'!O366)"),"Possibly")</f>
        <v>Possibly</v>
      </c>
      <c r="AO367" s="175" t="str">
        <f ca="1">IFERROR(__xludf.DUMMYFUNCTION("QUERY('Volunteer Survey'!P366)"),"Pediatric Somatic Cancer Working Group")</f>
        <v>Pediatric Somatic Cancer Working Group</v>
      </c>
    </row>
    <row r="368" spans="1:41" ht="14">
      <c r="A368" s="44">
        <f ca="1">IFERROR(__xludf.DUMMYFUNCTION("QUERY('Volunteer Survey'!A377)"),43822.7809561111)</f>
        <v>43822.780956111099</v>
      </c>
      <c r="B368" s="42" t="s">
        <v>160</v>
      </c>
      <c r="C368" s="84">
        <v>43860</v>
      </c>
      <c r="D368" s="49"/>
      <c r="E368" s="49"/>
      <c r="F368" s="42" t="s">
        <v>130</v>
      </c>
      <c r="G368" s="42" t="s">
        <v>19</v>
      </c>
      <c r="H368" s="47"/>
      <c r="I368" s="47"/>
      <c r="J368" s="49"/>
      <c r="K368" s="49"/>
      <c r="L368" s="49" t="str">
        <f ca="1">IFERROR(__xludf.DUMMYFUNCTION("QUERY('Volunteer Survey'!B377)"),"Shrutika Jadhav")</f>
        <v>Shrutika Jadhav</v>
      </c>
      <c r="M368" s="49" t="str">
        <f ca="1">IFERROR(__xludf.DUMMYFUNCTION("QUERY('Volunteer Survey'!E377)"),"shrutikajadhav18@gmail.com")</f>
        <v>shrutikajadhav18@gmail.com</v>
      </c>
      <c r="N368" s="49" t="str">
        <f ca="1">IFERROR(__xludf.DUMMYFUNCTION("QUERY('Volunteer Survey'!F377)"),"Graduate Student")</f>
        <v>Graduate Student</v>
      </c>
      <c r="O368" s="42" t="str">
        <f ca="1">IFERROR(__xludf.DUMMYFUNCTION("QUERY('Volunteer Survey'!H377)"),"Comprehensive")</f>
        <v>Comprehensive</v>
      </c>
      <c r="P368" s="49" t="str">
        <f ca="1">IFERROR(__xludf.DUMMYFUNCTION("QUERY('Volunteer Survey'!I377)"),"Clinical Actionability")</f>
        <v>Clinical Actionability</v>
      </c>
      <c r="Q368" s="54" t="str">
        <f ca="1">IFERROR(__xludf.DUMMYFUNCTION("QUERY('Volunteer Survey'!J377)"),"Gene-Disease Validity")</f>
        <v>Gene-Disease Validity</v>
      </c>
      <c r="R368" s="49" t="str">
        <f ca="1">IFERROR(__xludf.DUMMYFUNCTION("QUERY('Volunteer Survey'!K377)"),"Variant Pathogenicity")</f>
        <v>Variant Pathogenicity</v>
      </c>
      <c r="S368" s="49" t="str">
        <f ca="1">IFERROR(__xludf.DUMMYFUNCTION("QUERY('Volunteer Survey'!L377)"),"Dosage Sensitivity")</f>
        <v>Dosage Sensitivity</v>
      </c>
      <c r="T368" s="49" t="str">
        <f ca="1">IFERROR(__xludf.DUMMYFUNCTION("QUERY('Volunteer Survey'!M377)"),"Somatic Cancer")</f>
        <v>Somatic Cancer</v>
      </c>
      <c r="U368" s="58" t="str">
        <f ca="1">IFERROR(__xludf.DUMMYFUNCTION("QUERY('Volunteer Survey'!N377)"),"No")</f>
        <v>No</v>
      </c>
      <c r="V368" s="49" t="str">
        <f ca="1">IFERROR(__xludf.DUMMYFUNCTION("QUERY('Volunteer Survey'!O377)"),"Yes")</f>
        <v>Yes</v>
      </c>
      <c r="W368" s="60" t="str">
        <f ca="1">IFERROR(__xludf.DUMMYFUNCTION("QUERY('Volunteer Survey'!P377)"),"Brain Malformations, Intellectual Disability and Autism, Pediatric ")</f>
        <v xml:space="preserve">Brain Malformations, Intellectual Disability and Autism, Pediatric </v>
      </c>
      <c r="X368" s="58" t="str">
        <f ca="1">IFERROR(__xludf.DUMMYFUNCTION("QUERY('Volunteer Survey'!R377)"),"Yes- I am willing to volunteer with any available ClinGen group")</f>
        <v>Yes- I am willing to volunteer with any available ClinGen group</v>
      </c>
      <c r="Y368" s="47"/>
      <c r="Z368" s="174">
        <f ca="1">IFERROR(__xludf.DUMMYFUNCTION("QUERY('Volunteer Survey'!A367)"),43796.4486307986)</f>
        <v>43796.448630798601</v>
      </c>
      <c r="AA368" s="175" t="str">
        <f ca="1">IFERROR(__xludf.DUMMYFUNCTION("QUERY('Volunteer Survey'!B367)"),"Ekaterini Iordanou")</f>
        <v>Ekaterini Iordanou</v>
      </c>
      <c r="AB368" s="175" t="str">
        <f ca="1">IFERROR(__xludf.DUMMYFUNCTION("QUERY('Volunteer Survey'!C367)"),"Dayton Children's Hospital")</f>
        <v>Dayton Children's Hospital</v>
      </c>
      <c r="AC368" s="175" t="str">
        <f ca="1">IFERROR(__xludf.DUMMYFUNCTION("QUERY('Volunteer Survey'!D367)"),"")</f>
        <v/>
      </c>
      <c r="AD368" s="175" t="str">
        <f ca="1">IFERROR(__xludf.DUMMYFUNCTION("QUERY('Volunteer Survey'!E367)"),"iordanoue@childrensdayton.org")</f>
        <v>iordanoue@childrensdayton.org</v>
      </c>
      <c r="AE368" s="175" t="str">
        <f ca="1">IFERROR(__xludf.DUMMYFUNCTION("QUERY('Volunteer Survey'!F367)"),"Clinical laboratory geneticist")</f>
        <v>Clinical laboratory geneticist</v>
      </c>
      <c r="AF368" s="175" t="str">
        <f ca="1">IFERROR(__xludf.DUMMYFUNCTION("QUERY('Volunteer Survey'!G367)"),"The clinicalgenome.org website")</f>
        <v>The clinicalgenome.org website</v>
      </c>
      <c r="AG368" s="175" t="str">
        <f ca="1">IFERROR(__xludf.DUMMYFUNCTION("QUERY('Volunteer Survey'!H367)"),"Comprehensive")</f>
        <v>Comprehensive</v>
      </c>
      <c r="AH368" s="175" t="str">
        <f ca="1">IFERROR(__xludf.DUMMYFUNCTION("QUERY('Volunteer Survey'!I367)"),"Dosage Sensitivity")</f>
        <v>Dosage Sensitivity</v>
      </c>
      <c r="AI368" s="175" t="str">
        <f ca="1">IFERROR(__xludf.DUMMYFUNCTION("QUERY('Volunteer Survey'!J367)"),"Variant Pathogenicity")</f>
        <v>Variant Pathogenicity</v>
      </c>
      <c r="AJ368" s="175" t="str">
        <f ca="1">IFERROR(__xludf.DUMMYFUNCTION("QUERY('Volunteer Survey'!K367)"),"")</f>
        <v/>
      </c>
      <c r="AK368" s="175" t="str">
        <f ca="1">IFERROR(__xludf.DUMMYFUNCTION("QUERY('Volunteer Survey'!L367)"),"")</f>
        <v/>
      </c>
      <c r="AL368" s="175" t="str">
        <f ca="1">IFERROR(__xludf.DUMMYFUNCTION("QUERY('Volunteer Survey'!M367)"),"")</f>
        <v/>
      </c>
      <c r="AM368" s="175" t="str">
        <f ca="1">IFERROR(__xludf.DUMMYFUNCTION("QUERY('Volunteer Survey'!N367)"),"")</f>
        <v/>
      </c>
      <c r="AN368" s="175" t="str">
        <f ca="1">IFERROR(__xludf.DUMMYFUNCTION("QUERY('Volunteer Survey'!O367)"),"Possibly")</f>
        <v>Possibly</v>
      </c>
      <c r="AO368" s="175" t="str">
        <f ca="1">IFERROR(__xludf.DUMMYFUNCTION("QUERY('Volunteer Survey'!P367)"),"")</f>
        <v/>
      </c>
    </row>
    <row r="369" spans="1:41" ht="14">
      <c r="A369" s="44">
        <f ca="1">IFERROR(__xludf.DUMMYFUNCTION("QUERY('Volunteer Survey'!A378)"),43833.4417677662)</f>
        <v>43833.441767766199</v>
      </c>
      <c r="B369" s="42" t="s">
        <v>108</v>
      </c>
      <c r="C369" s="73">
        <v>43838</v>
      </c>
      <c r="D369" s="49"/>
      <c r="E369" s="49"/>
      <c r="F369" s="42" t="s">
        <v>130</v>
      </c>
      <c r="G369" s="42" t="s">
        <v>122</v>
      </c>
      <c r="H369" s="47"/>
      <c r="I369" s="47"/>
      <c r="J369" s="49"/>
      <c r="K369" s="49"/>
      <c r="L369" s="49" t="str">
        <f ca="1">IFERROR(__xludf.DUMMYFUNCTION("QUERY('Volunteer Survey'!B378)"),"JACQUELINE BATANIAN")</f>
        <v>JACQUELINE BATANIAN</v>
      </c>
      <c r="M369" s="49" t="str">
        <f ca="1">IFERROR(__xludf.DUMMYFUNCTION("QUERY('Volunteer Survey'!E378)"),"JACQUELINE.BATANIAN@HEALTH.SLU.EDU")</f>
        <v>JACQUELINE.BATANIAN@HEALTH.SLU.EDU</v>
      </c>
      <c r="N369" s="49" t="str">
        <f ca="1">IFERROR(__xludf.DUMMYFUNCTION("QUERY('Volunteer Survey'!F378)"),"Clinical laboratory geneticist")</f>
        <v>Clinical laboratory geneticist</v>
      </c>
      <c r="O369" s="42" t="str">
        <f ca="1">IFERROR(__xludf.DUMMYFUNCTION("QUERY('Volunteer Survey'!H378)"),"Comprehensive")</f>
        <v>Comprehensive</v>
      </c>
      <c r="P369" s="49" t="str">
        <f ca="1">IFERROR(__xludf.DUMMYFUNCTION("QUERY('Volunteer Survey'!I378)"),"Gene-Disease Validity")</f>
        <v>Gene-Disease Validity</v>
      </c>
      <c r="Q369" s="54" t="str">
        <f ca="1">IFERROR(__xludf.DUMMYFUNCTION("QUERY('Volunteer Survey'!J378)"),"Somatic Cancer")</f>
        <v>Somatic Cancer</v>
      </c>
      <c r="R369" s="49" t="str">
        <f ca="1">IFERROR(__xludf.DUMMYFUNCTION("QUERY('Volunteer Survey'!K378)"),"Variant Pathogenicity")</f>
        <v>Variant Pathogenicity</v>
      </c>
      <c r="S369" s="49" t="str">
        <f ca="1">IFERROR(__xludf.DUMMYFUNCTION("QUERY('Volunteer Survey'!L378)"),"Dosage Sensitivity")</f>
        <v>Dosage Sensitivity</v>
      </c>
      <c r="T369" s="49" t="str">
        <f ca="1">IFERROR(__xludf.DUMMYFUNCTION("QUERY('Volunteer Survey'!M378)"),"Clinical Actionability")</f>
        <v>Clinical Actionability</v>
      </c>
      <c r="U369" s="58" t="str">
        <f ca="1">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V369" s="49" t="str">
        <f ca="1">IFERROR(__xludf.DUMMYFUNCTION("QUERY('Volunteer Survey'!O378)"),"Yes")</f>
        <v>Yes</v>
      </c>
      <c r="W369" s="60" t="str">
        <f ca="1">IFERROR(__xludf.DUMMYFUNCTION("QUERY('Volunteer Survey'!P378)"),"Cardiovascular diseases and Pediatric cancer")</f>
        <v>Cardiovascular diseases and Pediatric cancer</v>
      </c>
      <c r="X369" s="58" t="str">
        <f ca="1">IFERROR(__xludf.DUMMYFUNCTION("QUERY('Volunteer Survey'!R378)"),"Yes- I am willing to volunteer with any available ClinGen group")</f>
        <v>Yes- I am willing to volunteer with any available ClinGen group</v>
      </c>
      <c r="Y369" s="47"/>
      <c r="Z369" s="174">
        <f ca="1">IFERROR(__xludf.DUMMYFUNCTION("QUERY('Volunteer Survey'!A368)"),43803.3785675578)</f>
        <v>43803.378567557796</v>
      </c>
      <c r="AA369" s="175" t="str">
        <f ca="1">IFERROR(__xludf.DUMMYFUNCTION("QUERY('Volunteer Survey'!B368)"),"Laurie Connors")</f>
        <v>Laurie Connors</v>
      </c>
      <c r="AB369" s="175" t="str">
        <f ca="1">IFERROR(__xludf.DUMMYFUNCTION("QUERY('Volunteer Survey'!C368)"),"Vanderbilt University")</f>
        <v>Vanderbilt University</v>
      </c>
      <c r="AC369" s="175" t="str">
        <f ca="1">IFERROR(__xludf.DUMMYFUNCTION("QUERY('Volunteer Survey'!D368)"),"Nashville, TN")</f>
        <v>Nashville, TN</v>
      </c>
      <c r="AD369" s="175" t="str">
        <f ca="1">IFERROR(__xludf.DUMMYFUNCTION("QUERY('Volunteer Survey'!E368)"),"laurie.m.connors@vanderbilt.edu")</f>
        <v>laurie.m.connors@vanderbilt.edu</v>
      </c>
      <c r="AE369" s="175" t="str">
        <f ca="1">IFERROR(__xludf.DUMMYFUNCTION("QUERY('Volunteer Survey'!F368)"),"Clinical geneticist, Genetic Nurse Practitioner")</f>
        <v>Clinical geneticist, Genetic Nurse Practitioner</v>
      </c>
      <c r="AF369" s="175" t="str">
        <f ca="1">IFERROR(__xludf.DUMMYFUNCTION("QUERY('Volunteer Survey'!G368)"),"Networking, Colleagues")</f>
        <v>Networking, Colleagues</v>
      </c>
      <c r="AG369" s="175" t="str">
        <f ca="1">IFERROR(__xludf.DUMMYFUNCTION("QUERY('Volunteer Survey'!H368)"),"Comprehensive")</f>
        <v>Comprehensive</v>
      </c>
      <c r="AH369" s="175" t="str">
        <f ca="1">IFERROR(__xludf.DUMMYFUNCTION("QUERY('Volunteer Survey'!I368)"),"Clinical Actionability")</f>
        <v>Clinical Actionability</v>
      </c>
      <c r="AI369" s="175" t="str">
        <f ca="1">IFERROR(__xludf.DUMMYFUNCTION("QUERY('Volunteer Survey'!J368)"),"Variant Pathogenicity")</f>
        <v>Variant Pathogenicity</v>
      </c>
      <c r="AJ369" s="175" t="str">
        <f ca="1">IFERROR(__xludf.DUMMYFUNCTION("QUERY('Volunteer Survey'!K368)"),"Gene-Disease Validity")</f>
        <v>Gene-Disease Validity</v>
      </c>
      <c r="AK369" s="175" t="str">
        <f ca="1">IFERROR(__xludf.DUMMYFUNCTION("QUERY('Volunteer Survey'!L368)"),"Somatic Cancer")</f>
        <v>Somatic Cancer</v>
      </c>
      <c r="AL369" s="175" t="str">
        <f ca="1">IFERROR(__xludf.DUMMYFUNCTION("QUERY('Volunteer Survey'!M368)"),"Dosage Sensitivity")</f>
        <v>Dosage Sensitivity</v>
      </c>
      <c r="AM369" s="175" t="str">
        <f ca="1">IFERROR(__xludf.DUMMYFUNCTION("QUERY('Volunteer Survey'!N368)"),"No")</f>
        <v>No</v>
      </c>
      <c r="AN369" s="175" t="str">
        <f ca="1">IFERROR(__xludf.DUMMYFUNCTION("QUERY('Volunteer Survey'!O368)"),"Yes")</f>
        <v>Yes</v>
      </c>
      <c r="AO369" s="175" t="str">
        <f ca="1">IFERROR(__xludf.DUMMYFUNCTION("QUERY('Volunteer Survey'!P368)"),"Hereditary Cancer, PTEN, VHL")</f>
        <v>Hereditary Cancer, PTEN, VHL</v>
      </c>
    </row>
    <row r="370" spans="1:41" ht="14">
      <c r="A370" s="44">
        <f ca="1">IFERROR(__xludf.DUMMYFUNCTION("QUERY('Volunteer Survey'!A379)"),43833.7118985648)</f>
        <v>43833.711898564798</v>
      </c>
      <c r="B370" s="42" t="s">
        <v>322</v>
      </c>
      <c r="C370" s="47"/>
      <c r="D370" s="49"/>
      <c r="E370" s="49"/>
      <c r="F370" s="42" t="s">
        <v>130</v>
      </c>
      <c r="G370" s="42" t="s">
        <v>313</v>
      </c>
      <c r="H370" s="47"/>
      <c r="I370" s="47"/>
      <c r="J370" s="49"/>
      <c r="K370" s="49"/>
      <c r="L370" s="49" t="str">
        <f ca="1">IFERROR(__xludf.DUMMYFUNCTION("QUERY('Volunteer Survey'!B379)"),"Nan Jiang")</f>
        <v>Nan Jiang</v>
      </c>
      <c r="M370" s="49" t="str">
        <f ca="1">IFERROR(__xludf.DUMMYFUNCTION("QUERY('Volunteer Survey'!E379)"),"nj2421@cumc.columbia.edu")</f>
        <v>nj2421@cumc.columbia.edu</v>
      </c>
      <c r="N370" s="49" t="str">
        <f ca="1">IFERROR(__xludf.DUMMYFUNCTION("QUERY('Volunteer Survey'!F379)"),"Post Doc/Resident/Fellow (MD and/or PhD)")</f>
        <v>Post Doc/Resident/Fellow (MD and/or PhD)</v>
      </c>
      <c r="O370" s="42" t="str">
        <f ca="1">IFERROR(__xludf.DUMMYFUNCTION("QUERY('Volunteer Survey'!H379)"),"Comprehensive")</f>
        <v>Comprehensive</v>
      </c>
      <c r="P370" s="49" t="str">
        <f ca="1">IFERROR(__xludf.DUMMYFUNCTION("QUERY('Volunteer Survey'!I379)"),"Somatic Cancer")</f>
        <v>Somatic Cancer</v>
      </c>
      <c r="Q370" s="54" t="str">
        <f ca="1">IFERROR(__xludf.DUMMYFUNCTION("QUERY('Volunteer Survey'!J379)"),"Gene-Disease Validity")</f>
        <v>Gene-Disease Validity</v>
      </c>
      <c r="R370" s="49" t="str">
        <f ca="1">IFERROR(__xludf.DUMMYFUNCTION("QUERY('Volunteer Survey'!K379)"),"Clinical Actionability")</f>
        <v>Clinical Actionability</v>
      </c>
      <c r="S370" s="49" t="str">
        <f ca="1">IFERROR(__xludf.DUMMYFUNCTION("QUERY('Volunteer Survey'!L379)"),"Variant Pathogenicity")</f>
        <v>Variant Pathogenicity</v>
      </c>
      <c r="T370" s="49" t="str">
        <f ca="1">IFERROR(__xludf.DUMMYFUNCTION("QUERY('Volunteer Survey'!M379)"),"Dosage Sensitivity")</f>
        <v>Dosage Sensitivity</v>
      </c>
      <c r="U370" s="58" t="str">
        <f ca="1">IFERROR(__xludf.DUMMYFUNCTION("QUERY('Volunteer Survey'!N379)"),"Yes. I am currently a LGG fellow at Columbia. I do SOMA analysis, WES variant curation on daily bases. ")</f>
        <v xml:space="preserve">Yes. I am currently a LGG fellow at Columbia. I do SOMA analysis, WES variant curation on daily bases. </v>
      </c>
      <c r="V370" s="49" t="str">
        <f ca="1">IFERROR(__xludf.DUMMYFUNCTION("QUERY('Volunteer Survey'!O379)"),"Yes")</f>
        <v>Yes</v>
      </c>
      <c r="W370" s="60" t="str">
        <f ca="1">IFERROR(__xludf.DUMMYFUNCTION("QUERY('Volunteer Survey'!P379)"),"Hereditary Cancer, Brain Malformations , Somatic Cancer Pediatric")</f>
        <v>Hereditary Cancer, Brain Malformations , Somatic Cancer Pediatric</v>
      </c>
      <c r="X370" s="58" t="str">
        <f ca="1">IFERROR(__xludf.DUMMYFUNCTION("QUERY('Volunteer Survey'!R379)"),"Yes- I am willing to volunteer with any available ClinGen group")</f>
        <v>Yes- I am willing to volunteer with any available ClinGen group</v>
      </c>
      <c r="Y370" s="47"/>
      <c r="Z370" s="174">
        <f ca="1">IFERROR(__xludf.DUMMYFUNCTION("QUERY('Volunteer Survey'!A369)"),43809.8067020717)</f>
        <v>43809.806702071699</v>
      </c>
      <c r="AA370" s="175" t="str">
        <f ca="1">IFERROR(__xludf.DUMMYFUNCTION("QUERY('Volunteer Survey'!B369)"),"Jian Zhao")</f>
        <v>Jian Zhao</v>
      </c>
      <c r="AB370" s="175" t="str">
        <f ca="1">IFERROR(__xludf.DUMMYFUNCTION("QUERY('Volunteer Survey'!C369)"),"ARUP Laboratories")</f>
        <v>ARUP Laboratories</v>
      </c>
      <c r="AC370" s="175" t="str">
        <f ca="1">IFERROR(__xludf.DUMMYFUNCTION("QUERY('Volunteer Survey'!D369)"),"")</f>
        <v/>
      </c>
      <c r="AD370" s="175" t="str">
        <f ca="1">IFERROR(__xludf.DUMMYFUNCTION("QUERY('Volunteer Survey'!E369)"),"jian.zhao@aruplab.com")</f>
        <v>jian.zhao@aruplab.com</v>
      </c>
      <c r="AE370" s="175" t="str">
        <f ca="1">IFERROR(__xludf.DUMMYFUNCTION("QUERY('Volunteer Survey'!F369)"),"Post Doc/Resident/Fellow (MD and/or PhD)")</f>
        <v>Post Doc/Resident/Fellow (MD and/or PhD)</v>
      </c>
      <c r="AF370" s="175" t="str">
        <f ca="1">IFERROR(__xludf.DUMMYFUNCTION("QUERY('Volunteer Survey'!G369)"),"Suggestion from mentor")</f>
        <v>Suggestion from mentor</v>
      </c>
      <c r="AG370" s="175" t="str">
        <f ca="1">IFERROR(__xludf.DUMMYFUNCTION("QUERY('Volunteer Survey'!H369)"),"Baseline")</f>
        <v>Baseline</v>
      </c>
      <c r="AH370" s="175" t="str">
        <f ca="1">IFERROR(__xludf.DUMMYFUNCTION("QUERY('Volunteer Survey'!I369)"),"Dosage Sensitivity")</f>
        <v>Dosage Sensitivity</v>
      </c>
      <c r="AI370" s="175" t="str">
        <f ca="1">IFERROR(__xludf.DUMMYFUNCTION("QUERY('Volunteer Survey'!J369)"),"")</f>
        <v/>
      </c>
      <c r="AJ370" s="175" t="str">
        <f ca="1">IFERROR(__xludf.DUMMYFUNCTION("QUERY('Volunteer Survey'!K369)"),"")</f>
        <v/>
      </c>
      <c r="AK370" s="175" t="str">
        <f ca="1">IFERROR(__xludf.DUMMYFUNCTION("QUERY('Volunteer Survey'!L369)"),"")</f>
        <v/>
      </c>
      <c r="AL370" s="175" t="str">
        <f ca="1">IFERROR(__xludf.DUMMYFUNCTION("QUERY('Volunteer Survey'!M369)"),"")</f>
        <v/>
      </c>
      <c r="AM370" s="175" t="str">
        <f ca="1">IFERROR(__xludf.DUMMYFUNCTION("QUERY('Volunteer Survey'!N369)"),"I was a variant analyst at EGL Genetics before joining ARUP for LGG fellowship")</f>
        <v>I was a variant analyst at EGL Genetics before joining ARUP for LGG fellowship</v>
      </c>
      <c r="AN370" s="175" t="str">
        <f ca="1">IFERROR(__xludf.DUMMYFUNCTION("QUERY('Volunteer Survey'!O369)"),"Possibly")</f>
        <v>Possibly</v>
      </c>
      <c r="AO370" s="175" t="str">
        <f ca="1">IFERROR(__xludf.DUMMYFUNCTION("QUERY('Volunteer Survey'!P369)"),"")</f>
        <v/>
      </c>
    </row>
    <row r="371" spans="1:41" ht="14">
      <c r="A371" s="44">
        <f ca="1">IFERROR(__xludf.DUMMYFUNCTION("QUERY('Volunteer Survey'!A380)"),43836.6499405555)</f>
        <v>43836.649940555501</v>
      </c>
      <c r="B371" s="42" t="s">
        <v>322</v>
      </c>
      <c r="C371" s="47"/>
      <c r="D371" s="49"/>
      <c r="E371" s="49"/>
      <c r="F371" s="42" t="s">
        <v>130</v>
      </c>
      <c r="G371" s="42" t="s">
        <v>313</v>
      </c>
      <c r="H371" s="47"/>
      <c r="I371" s="47"/>
      <c r="J371" s="49"/>
      <c r="K371" s="49"/>
      <c r="L371" s="49" t="str">
        <f ca="1">IFERROR(__xludf.DUMMYFUNCTION("QUERY('Volunteer Survey'!B380)"),"Jaime Nagy")</f>
        <v>Jaime Nagy</v>
      </c>
      <c r="M371" s="49" t="str">
        <f ca="1">IFERROR(__xludf.DUMMYFUNCTION("QUERY('Volunteer Survey'!E380)"),"jaime-nagy@uiowa.edu")</f>
        <v>jaime-nagy@uiowa.edu</v>
      </c>
      <c r="N371" s="49" t="str">
        <f ca="1">IFERROR(__xludf.DUMMYFUNCTION("QUERY('Volunteer Survey'!F380)"),"Clinical laboratory geneticist")</f>
        <v>Clinical laboratory geneticist</v>
      </c>
      <c r="O371" s="42" t="str">
        <f ca="1">IFERROR(__xludf.DUMMYFUNCTION("QUERY('Volunteer Survey'!H380)"),"Comprehensive")</f>
        <v>Comprehensive</v>
      </c>
      <c r="P371" s="49" t="str">
        <f ca="1">IFERROR(__xludf.DUMMYFUNCTION("QUERY('Volunteer Survey'!I380)"),"Dosage Sensitivity")</f>
        <v>Dosage Sensitivity</v>
      </c>
      <c r="Q371" s="54" t="str">
        <f ca="1">IFERROR(__xludf.DUMMYFUNCTION("QUERY('Volunteer Survey'!J380)"),"")</f>
        <v/>
      </c>
      <c r="R371" s="49" t="str">
        <f ca="1">IFERROR(__xludf.DUMMYFUNCTION("QUERY('Volunteer Survey'!K380)"),"")</f>
        <v/>
      </c>
      <c r="S371" s="49" t="str">
        <f ca="1">IFERROR(__xludf.DUMMYFUNCTION("QUERY('Volunteer Survey'!L380)"),"")</f>
        <v/>
      </c>
      <c r="T371" s="49" t="str">
        <f ca="1">IFERROR(__xludf.DUMMYFUNCTION("QUERY('Volunteer Survey'!M380)"),"")</f>
        <v/>
      </c>
      <c r="U371" s="58" t="str">
        <f ca="1">IFERROR(__xludf.DUMMYFUNCTION("QUERY('Volunteer Survey'!N380)"),"Review and interpretation of clinical CMA cases")</f>
        <v>Review and interpretation of clinical CMA cases</v>
      </c>
      <c r="V371" s="49" t="str">
        <f ca="1">IFERROR(__xludf.DUMMYFUNCTION("QUERY('Volunteer Survey'!O380)"),"No")</f>
        <v>No</v>
      </c>
      <c r="W371" s="60" t="str">
        <f ca="1">IFERROR(__xludf.DUMMYFUNCTION("QUERY('Volunteer Survey'!P380)"),"Dosage Sensitivity working group")</f>
        <v>Dosage Sensitivity working group</v>
      </c>
      <c r="X371" s="58" t="str">
        <f ca="1">IFERROR(__xludf.DUMMYFUNCTION("QUERY('Volunteer Survey'!R380)"),"Maybe -- please contact me with other options, and I will decide based on what is available")</f>
        <v>Maybe -- please contact me with other options, and I will decide based on what is available</v>
      </c>
      <c r="Y371" s="47"/>
      <c r="Z371" s="174">
        <f ca="1">IFERROR(__xludf.DUMMYFUNCTION("QUERY('Volunteer Survey'!A370)"),43810.6278993865)</f>
        <v>43810.627899386498</v>
      </c>
      <c r="AA371" s="175" t="str">
        <f ca="1">IFERROR(__xludf.DUMMYFUNCTION("QUERY('Volunteer Survey'!B370)"),"Tess Levy")</f>
        <v>Tess Levy</v>
      </c>
      <c r="AB371" s="175" t="str">
        <f ca="1">IFERROR(__xludf.DUMMYFUNCTION("QUERY('Volunteer Survey'!C370)"),"Mount Sinai - Seaver Autism Center")</f>
        <v>Mount Sinai - Seaver Autism Center</v>
      </c>
      <c r="AC371" s="175" t="str">
        <f ca="1">IFERROR(__xludf.DUMMYFUNCTION("QUERY('Volunteer Survey'!D370)"),"1300 Hudson St. Hoboken NJ ")</f>
        <v xml:space="preserve">1300 Hudson St. Hoboken NJ </v>
      </c>
      <c r="AD371" s="175" t="str">
        <f ca="1">IFERROR(__xludf.DUMMYFUNCTION("QUERY('Volunteer Survey'!E370)"),"tess.levy@mssm.edu")</f>
        <v>tess.levy@mssm.edu</v>
      </c>
      <c r="AE371" s="175" t="str">
        <f ca="1">IFERROR(__xludf.DUMMYFUNCTION("QUERY('Volunteer Survey'!F370)"),"Genetic counselor")</f>
        <v>Genetic counselor</v>
      </c>
      <c r="AF371" s="175" t="str">
        <f ca="1">IFERROR(__xludf.DUMMYFUNCTION("QUERY('Volunteer Survey'!G370)"),"Networking")</f>
        <v>Networking</v>
      </c>
      <c r="AG371" s="175" t="str">
        <f ca="1">IFERROR(__xludf.DUMMYFUNCTION("QUERY('Volunteer Survey'!H370)"),"Comprehensive")</f>
        <v>Comprehensive</v>
      </c>
      <c r="AH371" s="175" t="str">
        <f ca="1">IFERROR(__xludf.DUMMYFUNCTION("QUERY('Volunteer Survey'!I370)"),"Gene-Disease Validity")</f>
        <v>Gene-Disease Validity</v>
      </c>
      <c r="AI371" s="175" t="str">
        <f ca="1">IFERROR(__xludf.DUMMYFUNCTION("QUERY('Volunteer Survey'!J370)"),"")</f>
        <v/>
      </c>
      <c r="AJ371" s="175" t="str">
        <f ca="1">IFERROR(__xludf.DUMMYFUNCTION("QUERY('Volunteer Survey'!K370)"),"")</f>
        <v/>
      </c>
      <c r="AK371" s="175" t="str">
        <f ca="1">IFERROR(__xludf.DUMMYFUNCTION("QUERY('Volunteer Survey'!L370)"),"")</f>
        <v/>
      </c>
      <c r="AL371" s="175" t="str">
        <f ca="1">IFERROR(__xludf.DUMMYFUNCTION("QUERY('Volunteer Survey'!M370)"),"")</f>
        <v/>
      </c>
      <c r="AM371" s="175" t="str">
        <f ca="1">IFERROR(__xludf.DUMMYFUNCTION("QUERY('Volunteer Survey'!N370)"),"Interpretation of whole genome sequences for individuals with undiagnosed neurodevelopment disorders ")</f>
        <v xml:space="preserve">Interpretation of whole genome sequences for individuals with undiagnosed neurodevelopment disorders </v>
      </c>
      <c r="AN371" s="175" t="str">
        <f ca="1">IFERROR(__xludf.DUMMYFUNCTION("QUERY('Volunteer Survey'!O370)"),"Possibly")</f>
        <v>Possibly</v>
      </c>
      <c r="AO371" s="175" t="str">
        <f ca="1">IFERROR(__xludf.DUMMYFUNCTION("QUERY('Volunteer Survey'!P370)"),"ASD/ID")</f>
        <v>ASD/ID</v>
      </c>
    </row>
    <row r="372" spans="1:41" ht="14">
      <c r="A372" s="44">
        <f ca="1">IFERROR(__xludf.DUMMYFUNCTION("QUERY('Volunteer Survey'!A381)"),43838.049425787)</f>
        <v>43838.049425787001</v>
      </c>
      <c r="B372" s="42" t="s">
        <v>322</v>
      </c>
      <c r="C372" s="47"/>
      <c r="D372" s="49"/>
      <c r="E372" s="49"/>
      <c r="F372" s="42" t="s">
        <v>130</v>
      </c>
      <c r="G372" s="42" t="s">
        <v>313</v>
      </c>
      <c r="H372" s="47"/>
      <c r="I372" s="47"/>
      <c r="J372" s="49"/>
      <c r="K372" s="49"/>
      <c r="L372" s="49" t="str">
        <f ca="1">IFERROR(__xludf.DUMMYFUNCTION("QUERY('Volunteer Survey'!B381)"),"Indu Raja")</f>
        <v>Indu Raja</v>
      </c>
      <c r="M372" s="49" t="str">
        <f ca="1">IFERROR(__xludf.DUMMYFUNCTION("QUERY('Volunteer Survey'!E381)"),"indudraja@gmail.com")</f>
        <v>indudraja@gmail.com</v>
      </c>
      <c r="N372" s="49" t="str">
        <f ca="1">IFERROR(__xludf.DUMMYFUNCTION("QUERY('Volunteer Survey'!F381)"),"Laboratory Technologist")</f>
        <v>Laboratory Technologist</v>
      </c>
      <c r="O372" s="42" t="str">
        <f ca="1">IFERROR(__xludf.DUMMYFUNCTION("QUERY('Volunteer Survey'!H381)"),"Comprehensive")</f>
        <v>Comprehensive</v>
      </c>
      <c r="P372" s="49" t="str">
        <f ca="1">IFERROR(__xludf.DUMMYFUNCTION("QUERY('Volunteer Survey'!I381)"),"Gene-Disease Validity")</f>
        <v>Gene-Disease Validity</v>
      </c>
      <c r="Q372" s="54" t="str">
        <f ca="1">IFERROR(__xludf.DUMMYFUNCTION("QUERY('Volunteer Survey'!J381)"),"Clinical Actionability")</f>
        <v>Clinical Actionability</v>
      </c>
      <c r="R372" s="49" t="str">
        <f ca="1">IFERROR(__xludf.DUMMYFUNCTION("QUERY('Volunteer Survey'!K381)"),"Variant Pathogenicity")</f>
        <v>Variant Pathogenicity</v>
      </c>
      <c r="S372" s="49" t="str">
        <f ca="1">IFERROR(__xludf.DUMMYFUNCTION("QUERY('Volunteer Survey'!L381)"),"Dosage Sensitivity")</f>
        <v>Dosage Sensitivity</v>
      </c>
      <c r="T372" s="49" t="str">
        <f ca="1">IFERROR(__xludf.DUMMYFUNCTION("QUERY('Volunteer Survey'!M381)"),"")</f>
        <v/>
      </c>
      <c r="U372" s="58" t="str">
        <f ca="1">IFERROR(__xludf.DUMMYFUNCTION("QUERY('Volunteer Survey'!N381)"),"No")</f>
        <v>No</v>
      </c>
      <c r="V372" s="49" t="str">
        <f ca="1">IFERROR(__xludf.DUMMYFUNCTION("QUERY('Volunteer Survey'!O381)"),"Possibly")</f>
        <v>Possibly</v>
      </c>
      <c r="W372" s="60" t="str">
        <f ca="1">IFERROR(__xludf.DUMMYFUNCTION("QUERY('Volunteer Survey'!P381)"),"Gene curation (Intellectual disability &amp; Autism), Dosage Sensitivity &amp; Clinical Actionability")</f>
        <v>Gene curation (Intellectual disability &amp; Autism), Dosage Sensitivity &amp; Clinical Actionability</v>
      </c>
      <c r="X372" s="58" t="str">
        <f ca="1">IFERROR(__xludf.DUMMYFUNCTION("QUERY('Volunteer Survey'!R381)"),"Yes- I am willing to volunteer with any available ClinGen group")</f>
        <v>Yes- I am willing to volunteer with any available ClinGen group</v>
      </c>
      <c r="Y372" s="47"/>
      <c r="Z372" s="174">
        <f ca="1">IFERROR(__xludf.DUMMYFUNCTION("QUERY('Volunteer Survey'!A371)"),43811.1499500925)</f>
        <v>43811.149950092498</v>
      </c>
      <c r="AA372" s="175" t="str">
        <f ca="1">IFERROR(__xludf.DUMMYFUNCTION("QUERY('Volunteer Survey'!B371)"),"Xiaoyan Guo ")</f>
        <v xml:space="preserve">Xiaoyan Guo </v>
      </c>
      <c r="AB372" s="175" t="str">
        <f ca="1">IFERROR(__xludf.DUMMYFUNCTION("QUERY('Volunteer Survey'!C371)"),"Department of Reproductive Endocrinology, Zhejiang Provincial People’s Hospital, People’s Hospital of Hangzhou Medical College")</f>
        <v>Department of Reproductive Endocrinology, Zhejiang Provincial People’s Hospital, People’s Hospital of Hangzhou Medical College</v>
      </c>
      <c r="AC372" s="175" t="str">
        <f ca="1">IFERROR(__xludf.DUMMYFUNCTION("QUERY('Volunteer Survey'!D371)"),"")</f>
        <v/>
      </c>
      <c r="AD372" s="175" t="str">
        <f ca="1">IFERROR(__xludf.DUMMYFUNCTION("QUERY('Volunteer Survey'!E371)"),"540842557@qq.com")</f>
        <v>540842557@qq.com</v>
      </c>
      <c r="AE372" s="175" t="str">
        <f ca="1">IFERROR(__xludf.DUMMYFUNCTION("QUERY('Volunteer Survey'!F371)"),"Post Doc/Resident/Fellow (MD and/or PhD)")</f>
        <v>Post Doc/Resident/Fellow (MD and/or PhD)</v>
      </c>
      <c r="AF372" s="175" t="str">
        <f ca="1">IFERROR(__xludf.DUMMYFUNCTION("QUERY('Volunteer Survey'!G371)"),"The clinicalgenome.org website")</f>
        <v>The clinicalgenome.org website</v>
      </c>
      <c r="AG372" s="175" t="str">
        <f ca="1">IFERROR(__xludf.DUMMYFUNCTION("QUERY('Volunteer Survey'!H371)"),"Comprehensive")</f>
        <v>Comprehensive</v>
      </c>
      <c r="AH372" s="175" t="str">
        <f ca="1">IFERROR(__xludf.DUMMYFUNCTION("QUERY('Volunteer Survey'!I371)"),"Gene-Disease Validity")</f>
        <v>Gene-Disease Validity</v>
      </c>
      <c r="AI372" s="175" t="str">
        <f ca="1">IFERROR(__xludf.DUMMYFUNCTION("QUERY('Volunteer Survey'!J371)"),"Variant Pathogenicity")</f>
        <v>Variant Pathogenicity</v>
      </c>
      <c r="AJ372" s="175" t="str">
        <f ca="1">IFERROR(__xludf.DUMMYFUNCTION("QUERY('Volunteer Survey'!K371)"),"Dosage Sensitivity")</f>
        <v>Dosage Sensitivity</v>
      </c>
      <c r="AK372" s="175" t="str">
        <f ca="1">IFERROR(__xludf.DUMMYFUNCTION("QUERY('Volunteer Survey'!L371)"),"Somatic Cancer")</f>
        <v>Somatic Cancer</v>
      </c>
      <c r="AL372" s="175" t="str">
        <f ca="1">IFERROR(__xludf.DUMMYFUNCTION("QUERY('Volunteer Survey'!M371)"),"Clinical Actionability")</f>
        <v>Clinical Actionability</v>
      </c>
      <c r="AM372" s="175" t="str">
        <f ca="1">IFERROR(__xludf.DUMMYFUNCTION("QUERY('Volunteer Survey'!N371)"),"")</f>
        <v/>
      </c>
      <c r="AN372" s="175" t="str">
        <f ca="1">IFERROR(__xludf.DUMMYFUNCTION("QUERY('Volunteer Survey'!O371)"),"Possibly")</f>
        <v>Possibly</v>
      </c>
      <c r="AO372" s="175" t="str">
        <f ca="1">IFERROR(__xludf.DUMMYFUNCTION("QUERY('Volunteer Survey'!P371)"),"")</f>
        <v/>
      </c>
    </row>
    <row r="373" spans="1:41" ht="14">
      <c r="A373" s="44">
        <f ca="1">IFERROR(__xludf.DUMMYFUNCTION("QUERY('Volunteer Survey'!A382)"),43838.5919259259)</f>
        <v>43838.591925925903</v>
      </c>
      <c r="B373" s="42" t="s">
        <v>108</v>
      </c>
      <c r="C373" s="81">
        <v>43847</v>
      </c>
      <c r="D373" s="49"/>
      <c r="E373" s="49"/>
      <c r="F373" s="42" t="s">
        <v>130</v>
      </c>
      <c r="G373" s="42" t="s">
        <v>251</v>
      </c>
      <c r="H373" s="47"/>
      <c r="I373" s="47"/>
      <c r="J373" s="49"/>
      <c r="K373" s="49"/>
      <c r="L373" s="49" t="str">
        <f ca="1">IFERROR(__xludf.DUMMYFUNCTION("QUERY('Volunteer Survey'!B382)"),"Kendrah Kidd")</f>
        <v>Kendrah Kidd</v>
      </c>
      <c r="M373" s="49" t="str">
        <f ca="1">IFERROR(__xludf.DUMMYFUNCTION("QUERY('Volunteer Survey'!E382)"),"kkidd@wakehealth.edu")</f>
        <v>kkidd@wakehealth.edu</v>
      </c>
      <c r="N373" s="49" t="str">
        <f ca="1">IFERROR(__xludf.DUMMYFUNCTION("QUERY('Volunteer Survey'!F382)"),"Scientific Researcher")</f>
        <v>Scientific Researcher</v>
      </c>
      <c r="O373" s="42" t="str">
        <f ca="1">IFERROR(__xludf.DUMMYFUNCTION("QUERY('Volunteer Survey'!H382)"),"Comprehensive")</f>
        <v>Comprehensive</v>
      </c>
      <c r="P373" s="49" t="str">
        <f ca="1">IFERROR(__xludf.DUMMYFUNCTION("QUERY('Volunteer Survey'!I382)"),"Variant Pathogenicity")</f>
        <v>Variant Pathogenicity</v>
      </c>
      <c r="Q373" s="54" t="str">
        <f ca="1">IFERROR(__xludf.DUMMYFUNCTION("QUERY('Volunteer Survey'!J382)"),"Gene-Disease Validity")</f>
        <v>Gene-Disease Validity</v>
      </c>
      <c r="R373" s="49" t="str">
        <f ca="1">IFERROR(__xludf.DUMMYFUNCTION("QUERY('Volunteer Survey'!K382)"),"")</f>
        <v/>
      </c>
      <c r="S373" s="49" t="str">
        <f ca="1">IFERROR(__xludf.DUMMYFUNCTION("QUERY('Volunteer Survey'!L382)"),"")</f>
        <v/>
      </c>
      <c r="T373" s="49" t="str">
        <f ca="1">IFERROR(__xludf.DUMMYFUNCTION("QUERY('Volunteer Survey'!M382)"),"")</f>
        <v/>
      </c>
      <c r="U373" s="58" t="str">
        <f ca="1">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c r="V373" s="49" t="str">
        <f ca="1">IFERROR(__xludf.DUMMYFUNCTION("QUERY('Volunteer Survey'!O382)"),"Possibly")</f>
        <v>Possibly</v>
      </c>
      <c r="W373" s="60" t="str">
        <f ca="1">IFERROR(__xludf.DUMMYFUNCTION("QUERY('Volunteer Survey'!P382)"),"I would be interested in forming one for inherited kidney diseases ")</f>
        <v xml:space="preserve">I would be interested in forming one for inherited kidney diseases </v>
      </c>
      <c r="X373" s="58" t="str">
        <f ca="1">IFERROR(__xludf.DUMMYFUNCTION("QUERY('Volunteer Survey'!R382)"),"Maybe -- please contact me with other options, and I will decide based on what is available")</f>
        <v>Maybe -- please contact me with other options, and I will decide based on what is available</v>
      </c>
      <c r="Y373" s="47"/>
      <c r="Z373" s="174">
        <f ca="1">IFERROR(__xludf.DUMMYFUNCTION("QUERY('Volunteer Survey'!A372)"),43811.7965180555)</f>
        <v>43811.796518055497</v>
      </c>
      <c r="AA373" s="175" t="str">
        <f ca="1">IFERROR(__xludf.DUMMYFUNCTION("QUERY('Volunteer Survey'!B372)"),"Benjamin Clyde")</f>
        <v>Benjamin Clyde</v>
      </c>
      <c r="AB373" s="175" t="str">
        <f ca="1">IFERROR(__xludf.DUMMYFUNCTION("QUERY('Volunteer Survey'!C372)"),"ARUP Laboratories")</f>
        <v>ARUP Laboratories</v>
      </c>
      <c r="AC373" s="175" t="str">
        <f ca="1">IFERROR(__xludf.DUMMYFUNCTION("QUERY('Volunteer Survey'!D372)"),"500 Chipeta Way")</f>
        <v>500 Chipeta Way</v>
      </c>
      <c r="AD373" s="175" t="str">
        <f ca="1">IFERROR(__xludf.DUMMYFUNCTION("QUERY('Volunteer Survey'!E372)"),"benjamin.clyde@aruplab.com")</f>
        <v>benjamin.clyde@aruplab.com</v>
      </c>
      <c r="AE373" s="175" t="str">
        <f ca="1">IFERROR(__xludf.DUMMYFUNCTION("QUERY('Volunteer Survey'!F372)"),"Variant Analyst/Scientist - Industry")</f>
        <v>Variant Analyst/Scientist - Industry</v>
      </c>
      <c r="AF373" s="175" t="str">
        <f ca="1">IFERROR(__xludf.DUMMYFUNCTION("QUERY('Volunteer Survey'!G372)"),"Colleagues, Suggestion from mentor")</f>
        <v>Colleagues, Suggestion from mentor</v>
      </c>
      <c r="AG373" s="175" t="str">
        <f ca="1">IFERROR(__xludf.DUMMYFUNCTION("QUERY('Volunteer Survey'!H372)"),"Comprehensive")</f>
        <v>Comprehensive</v>
      </c>
      <c r="AH373" s="175" t="str">
        <f ca="1">IFERROR(__xludf.DUMMYFUNCTION("QUERY('Volunteer Survey'!I372)"),"Dosage Sensitivity")</f>
        <v>Dosage Sensitivity</v>
      </c>
      <c r="AI373" s="175" t="str">
        <f ca="1">IFERROR(__xludf.DUMMYFUNCTION("QUERY('Volunteer Survey'!J372)"),"Somatic Cancer")</f>
        <v>Somatic Cancer</v>
      </c>
      <c r="AJ373" s="175" t="str">
        <f ca="1">IFERROR(__xludf.DUMMYFUNCTION("QUERY('Volunteer Survey'!K372)"),"")</f>
        <v/>
      </c>
      <c r="AK373" s="175" t="str">
        <f ca="1">IFERROR(__xludf.DUMMYFUNCTION("QUERY('Volunteer Survey'!L372)"),"")</f>
        <v/>
      </c>
      <c r="AL373" s="175" t="str">
        <f ca="1">IFERROR(__xludf.DUMMYFUNCTION("QUERY('Volunteer Survey'!M372)"),"")</f>
        <v/>
      </c>
      <c r="AM373" s="175" t="str">
        <f ca="1">IFERROR(__xludf.DUMMYFUNCTION("QUERY('Volunteer Survey'!N372)"),"")</f>
        <v/>
      </c>
      <c r="AN373" s="175" t="str">
        <f ca="1">IFERROR(__xludf.DUMMYFUNCTION("QUERY('Volunteer Survey'!O372)"),"")</f>
        <v/>
      </c>
      <c r="AO373" s="175" t="str">
        <f ca="1">IFERROR(__xludf.DUMMYFUNCTION("QUERY('Volunteer Survey'!P372)"),"Hereditary Cancer Dosage Sensitivity Subgroup")</f>
        <v>Hereditary Cancer Dosage Sensitivity Subgroup</v>
      </c>
    </row>
    <row r="374" spans="1:41" ht="14">
      <c r="A374" s="44">
        <f ca="1">IFERROR(__xludf.DUMMYFUNCTION("QUERY('Volunteer Survey'!A383)"),43840.3567429513)</f>
        <v>43840.356742951299</v>
      </c>
      <c r="B374" s="42" t="s">
        <v>322</v>
      </c>
      <c r="C374" s="47"/>
      <c r="D374" s="49"/>
      <c r="E374" s="49"/>
      <c r="F374" s="42" t="s">
        <v>130</v>
      </c>
      <c r="G374" s="42" t="s">
        <v>313</v>
      </c>
      <c r="H374" s="47"/>
      <c r="I374" s="47"/>
      <c r="J374" s="49"/>
      <c r="K374" s="49"/>
      <c r="L374" s="49" t="str">
        <f ca="1">IFERROR(__xludf.DUMMYFUNCTION("QUERY('Volunteer Survey'!B383)"),"Joanne Adelberg")</f>
        <v>Joanne Adelberg</v>
      </c>
      <c r="M374" s="49" t="str">
        <f ca="1">IFERROR(__xludf.DUMMYFUNCTION("QUERY('Volunteer Survey'!E383)"),"joanneadelberg@gmail.com")</f>
        <v>joanneadelberg@gmail.com</v>
      </c>
      <c r="N374" s="49" t="str">
        <f ca="1">IFERROR(__xludf.DUMMYFUNCTION("QUERY('Volunteer Survey'!F383)"),"Scientific Researcher")</f>
        <v>Scientific Researcher</v>
      </c>
      <c r="O374" s="42" t="str">
        <f ca="1">IFERROR(__xludf.DUMMYFUNCTION("QUERY('Volunteer Survey'!H383)"),"Comprehensive")</f>
        <v>Comprehensive</v>
      </c>
      <c r="P374" s="49" t="str">
        <f ca="1">IFERROR(__xludf.DUMMYFUNCTION("QUERY('Volunteer Survey'!I383)"),"Gene-Disease Validity")</f>
        <v>Gene-Disease Validity</v>
      </c>
      <c r="Q374" s="54" t="str">
        <f ca="1">IFERROR(__xludf.DUMMYFUNCTION("QUERY('Volunteer Survey'!J383)"),"Clinical Actionability")</f>
        <v>Clinical Actionability</v>
      </c>
      <c r="R374" s="49" t="str">
        <f ca="1">IFERROR(__xludf.DUMMYFUNCTION("QUERY('Volunteer Survey'!K383)"),"Variant Pathogenicity")</f>
        <v>Variant Pathogenicity</v>
      </c>
      <c r="S374" s="49" t="str">
        <f ca="1">IFERROR(__xludf.DUMMYFUNCTION("QUERY('Volunteer Survey'!L383)"),"Dosage Sensitivity")</f>
        <v>Dosage Sensitivity</v>
      </c>
      <c r="T374" s="49" t="str">
        <f ca="1">IFERROR(__xludf.DUMMYFUNCTION("QUERY('Volunteer Survey'!M383)"),"Somatic Cancer")</f>
        <v>Somatic Cancer</v>
      </c>
      <c r="U374" s="58" t="str">
        <f ca="1">IFERROR(__xludf.DUMMYFUNCTION("QUERY('Volunteer Survey'!N383)"),"")</f>
        <v/>
      </c>
      <c r="V374" s="49" t="str">
        <f ca="1">IFERROR(__xludf.DUMMYFUNCTION("QUERY('Volunteer Survey'!O383)"),"Possibly")</f>
        <v>Possibly</v>
      </c>
      <c r="W374" s="60" t="str">
        <f ca="1">IFERROR(__xludf.DUMMYFUNCTION("QUERY('Volunteer Survey'!P383)"),"Will work on groups with the most need-excited for the learning opportunity")</f>
        <v>Will work on groups with the most need-excited for the learning opportunity</v>
      </c>
      <c r="X374" s="58" t="str">
        <f ca="1">IFERROR(__xludf.DUMMYFUNCTION("QUERY('Volunteer Survey'!R383)"),"Yes- I am willing to volunteer with any available ClinGen group")</f>
        <v>Yes- I am willing to volunteer with any available ClinGen group</v>
      </c>
      <c r="Y374" s="47"/>
      <c r="Z374" s="174">
        <f ca="1">IFERROR(__xludf.DUMMYFUNCTION("QUERY('Volunteer Survey'!A373)"),43815.7970407407)</f>
        <v>43815.797040740697</v>
      </c>
      <c r="AA374" s="175" t="str">
        <f ca="1">IFERROR(__xludf.DUMMYFUNCTION("QUERY('Volunteer Survey'!B373)"),"cynthia chow")</f>
        <v>cynthia chow</v>
      </c>
      <c r="AB374" s="175" t="str">
        <f ca="1">IFERROR(__xludf.DUMMYFUNCTION("QUERY('Volunteer Survey'!C373)"),"BC Cancer Agency")</f>
        <v>BC Cancer Agency</v>
      </c>
      <c r="AC374" s="175" t="str">
        <f ca="1">IFERROR(__xludf.DUMMYFUNCTION("QUERY('Volunteer Survey'!D373)"),"600 west 10th ave")</f>
        <v>600 west 10th ave</v>
      </c>
      <c r="AD374" s="175" t="str">
        <f ca="1">IFERROR(__xludf.DUMMYFUNCTION("QUERY('Volunteer Survey'!E373)"),"cchow3@bccancer.bc.ca")</f>
        <v>cchow3@bccancer.bc.ca</v>
      </c>
      <c r="AE374" s="175" t="str">
        <f ca="1">IFERROR(__xludf.DUMMYFUNCTION("QUERY('Volunteer Survey'!F373)"),"Variant Analyst for an In-house Oncopanel and Myeloid Panels")</f>
        <v>Variant Analyst for an In-house Oncopanel and Myeloid Panels</v>
      </c>
      <c r="AF374" s="175" t="str">
        <f ca="1">IFERROR(__xludf.DUMMYFUNCTION("QUERY('Volunteer Survey'!G373)"),"Networking")</f>
        <v>Networking</v>
      </c>
      <c r="AG374" s="175" t="str">
        <f ca="1">IFERROR(__xludf.DUMMYFUNCTION("QUERY('Volunteer Survey'!H373)"),"Comprehensive")</f>
        <v>Comprehensive</v>
      </c>
      <c r="AH374" s="175" t="str">
        <f ca="1">IFERROR(__xludf.DUMMYFUNCTION("QUERY('Volunteer Survey'!I373)"),"Somatic Cancer")</f>
        <v>Somatic Cancer</v>
      </c>
      <c r="AI374" s="175" t="str">
        <f ca="1">IFERROR(__xludf.DUMMYFUNCTION("QUERY('Volunteer Survey'!J373)"),"Clinical Actionability")</f>
        <v>Clinical Actionability</v>
      </c>
      <c r="AJ374" s="175" t="str">
        <f ca="1">IFERROR(__xludf.DUMMYFUNCTION("QUERY('Volunteer Survey'!K373)"),"Variant Pathogenicity")</f>
        <v>Variant Pathogenicity</v>
      </c>
      <c r="AK374" s="175" t="str">
        <f ca="1">IFERROR(__xludf.DUMMYFUNCTION("QUERY('Volunteer Survey'!L373)"),"Gene-Disease Validity")</f>
        <v>Gene-Disease Validity</v>
      </c>
      <c r="AL374" s="175" t="str">
        <f ca="1">IFERROR(__xludf.DUMMYFUNCTION("QUERY('Volunteer Survey'!M373)"),"Dosage Sensitivity")</f>
        <v>Dosage Sensitivity</v>
      </c>
      <c r="AM374" s="175" t="str">
        <f ca="1">IFERROR(__xludf.DUMMYFUNCTION("QUERY('Volunteer Survey'!N373)"),"I have 3 years experience in variant assesment/interpretation for myeloid and oncopanels.  I currently prepare and interpret for the medical staff to use to correlate with other clinical findings.")</f>
        <v>I have 3 years experience in variant assesment/interpretation for myeloid and oncopanels.  I currently prepare and interpret for the medical staff to use to correlate with other clinical findings.</v>
      </c>
      <c r="AN374" s="175" t="str">
        <f ca="1">IFERROR(__xludf.DUMMYFUNCTION("QUERY('Volunteer Survey'!O373)"),"Yes")</f>
        <v>Yes</v>
      </c>
      <c r="AO374" s="175" t="str">
        <f ca="1">IFERROR(__xludf.DUMMYFUNCTION("QUERY('Volunteer Survey'!P373)"),"")</f>
        <v/>
      </c>
    </row>
    <row r="375" spans="1:41" ht="14">
      <c r="A375" s="44">
        <f ca="1">IFERROR(__xludf.DUMMYFUNCTION("QUERY('Volunteer Survey'!A384)"),43842.7025740046)</f>
        <v>43842.702574004601</v>
      </c>
      <c r="B375" s="42" t="s">
        <v>322</v>
      </c>
      <c r="C375" s="47"/>
      <c r="D375" s="49"/>
      <c r="E375" s="49"/>
      <c r="F375" s="42" t="s">
        <v>130</v>
      </c>
      <c r="G375" s="42" t="s">
        <v>313</v>
      </c>
      <c r="H375" s="47"/>
      <c r="I375" s="47"/>
      <c r="J375" s="49"/>
      <c r="K375" s="49"/>
      <c r="L375" s="49" t="str">
        <f ca="1">IFERROR(__xludf.DUMMYFUNCTION("QUERY('Volunteer Survey'!B384)"),"Erika Meaddough")</f>
        <v>Erika Meaddough</v>
      </c>
      <c r="M375" s="49" t="str">
        <f ca="1">IFERROR(__xludf.DUMMYFUNCTION("QUERY('Volunteer Survey'!E384)"),"meaddough@yahoo.com")</f>
        <v>meaddough@yahoo.com</v>
      </c>
      <c r="N375" s="49" t="str">
        <f ca="1">IFERROR(__xludf.DUMMYFUNCTION("QUERY('Volunteer Survey'!F384)"),"Graduate Student")</f>
        <v>Graduate Student</v>
      </c>
      <c r="O375" s="42" t="str">
        <f ca="1">IFERROR(__xludf.DUMMYFUNCTION("QUERY('Volunteer Survey'!H384)"),"Baseline")</f>
        <v>Baseline</v>
      </c>
      <c r="P375" s="49" t="str">
        <f ca="1">IFERROR(__xludf.DUMMYFUNCTION("QUERY('Volunteer Survey'!I384)"),"")</f>
        <v/>
      </c>
      <c r="Q375" s="54" t="str">
        <f ca="1">IFERROR(__xludf.DUMMYFUNCTION("QUERY('Volunteer Survey'!J384)"),"")</f>
        <v/>
      </c>
      <c r="R375" s="49" t="str">
        <f ca="1">IFERROR(__xludf.DUMMYFUNCTION("QUERY('Volunteer Survey'!K384)"),"")</f>
        <v/>
      </c>
      <c r="S375" s="49" t="str">
        <f ca="1">IFERROR(__xludf.DUMMYFUNCTION("QUERY('Volunteer Survey'!L384)"),"")</f>
        <v/>
      </c>
      <c r="T375" s="49" t="str">
        <f ca="1">IFERROR(__xludf.DUMMYFUNCTION("QUERY('Volunteer Survey'!M384)"),"")</f>
        <v/>
      </c>
      <c r="U375" s="58" t="str">
        <f ca="1">IFERROR(__xludf.DUMMYFUNCTION("QUERY('Volunteer Survey'!N384)"),"")</f>
        <v/>
      </c>
      <c r="V375" s="49" t="str">
        <f ca="1">IFERROR(__xludf.DUMMYFUNCTION("QUERY('Volunteer Survey'!O384)"),"Possibly")</f>
        <v>Possibly</v>
      </c>
      <c r="W375" s="60" t="str">
        <f ca="1">IFERROR(__xludf.DUMMYFUNCTION("QUERY('Volunteer Survey'!P384)"),"Dosage Sensitivity Working Group")</f>
        <v>Dosage Sensitivity Working Group</v>
      </c>
      <c r="X375" s="58" t="str">
        <f ca="1">IFERROR(__xludf.DUMMYFUNCTION("QUERY('Volunteer Survey'!R384)"),"Yes- I am willing to volunteer with any available ClinGen group")</f>
        <v>Yes- I am willing to volunteer with any available ClinGen group</v>
      </c>
      <c r="Y375" s="47"/>
      <c r="Z375" s="174">
        <f ca="1">IFERROR(__xludf.DUMMYFUNCTION("QUERY('Volunteer Survey'!A374)"),43817.6204590393)</f>
        <v>43817.620459039303</v>
      </c>
      <c r="AA375" s="175" t="str">
        <f ca="1">IFERROR(__xludf.DUMMYFUNCTION("QUERY('Volunteer Survey'!B374)"),"Marco Leung")</f>
        <v>Marco Leung</v>
      </c>
      <c r="AB375" s="175" t="str">
        <f ca="1">IFERROR(__xludf.DUMMYFUNCTION("QUERY('Volunteer Survey'!C374)"),"Children's Hospital of Philadelphia")</f>
        <v>Children's Hospital of Philadelphia</v>
      </c>
      <c r="AC375" s="175" t="str">
        <f ca="1">IFERROR(__xludf.DUMMYFUNCTION("QUERY('Volunteer Survey'!D374)"),"2542 Webb St, Philadelphia, PA 19125")</f>
        <v>2542 Webb St, Philadelphia, PA 19125</v>
      </c>
      <c r="AD375" s="175" t="str">
        <f ca="1">IFERROR(__xludf.DUMMYFUNCTION("QUERY('Volunteer Survey'!E374)"),"marcoleung@me.com")</f>
        <v>marcoleung@me.com</v>
      </c>
      <c r="AE375" s="175" t="str">
        <f ca="1">IFERROR(__xludf.DUMMYFUNCTION("QUERY('Volunteer Survey'!F374)"),"Clinical laboratory geneticist")</f>
        <v>Clinical laboratory geneticist</v>
      </c>
      <c r="AF375" s="175" t="str">
        <f ca="1">IFERROR(__xludf.DUMMYFUNCTION("QUERY('Volunteer Survey'!G374)"),"ACMG Conference 2019")</f>
        <v>ACMG Conference 2019</v>
      </c>
      <c r="AG375" s="175" t="str">
        <f ca="1">IFERROR(__xludf.DUMMYFUNCTION("QUERY('Volunteer Survey'!H374)"),"Comprehensive")</f>
        <v>Comprehensive</v>
      </c>
      <c r="AH375" s="175" t="str">
        <f ca="1">IFERROR(__xludf.DUMMYFUNCTION("QUERY('Volunteer Survey'!I374)"),"Gene-Disease Validity")</f>
        <v>Gene-Disease Validity</v>
      </c>
      <c r="AI375" s="175" t="str">
        <f ca="1">IFERROR(__xludf.DUMMYFUNCTION("QUERY('Volunteer Survey'!J374)"),"Variant Pathogenicity")</f>
        <v>Variant Pathogenicity</v>
      </c>
      <c r="AJ375" s="175" t="str">
        <f ca="1">IFERROR(__xludf.DUMMYFUNCTION("QUERY('Volunteer Survey'!K374)"),"Clinical Actionability")</f>
        <v>Clinical Actionability</v>
      </c>
      <c r="AK375" s="175" t="str">
        <f ca="1">IFERROR(__xludf.DUMMYFUNCTION("QUERY('Volunteer Survey'!L374)"),"Dosage Sensitivity")</f>
        <v>Dosage Sensitivity</v>
      </c>
      <c r="AL375" s="175" t="str">
        <f ca="1">IFERROR(__xludf.DUMMYFUNCTION("QUERY('Volunteer Survey'!M374)"),"Somatic Cancer")</f>
        <v>Somatic Cancer</v>
      </c>
      <c r="AM375" s="175" t="str">
        <f ca="1">IFERROR(__xludf.DUMMYFUNCTION("QUERY('Volunteer Survey'!N374)"),"Determining gene-disease validity and variant pathogenicity is my everyday job")</f>
        <v>Determining gene-disease validity and variant pathogenicity is my everyday job</v>
      </c>
      <c r="AN375" s="175" t="str">
        <f ca="1">IFERROR(__xludf.DUMMYFUNCTION("QUERY('Volunteer Survey'!O374)"),"Yes")</f>
        <v>Yes</v>
      </c>
      <c r="AO375" s="175" t="str">
        <f ca="1">IFERROR(__xludf.DUMMYFUNCTION("QUERY('Volunteer Survey'!P374)"),"")</f>
        <v/>
      </c>
    </row>
    <row r="376" spans="1:41" ht="14">
      <c r="A376" s="44">
        <f ca="1">IFERROR(__xludf.DUMMYFUNCTION("QUERY('Volunteer Survey'!A385)"),43846.6386489004)</f>
        <v>43846.6386489004</v>
      </c>
      <c r="B376" s="42" t="s">
        <v>322</v>
      </c>
      <c r="C376" s="47"/>
      <c r="D376" s="49"/>
      <c r="E376" s="49"/>
      <c r="F376" s="42" t="s">
        <v>130</v>
      </c>
      <c r="G376" s="42" t="s">
        <v>313</v>
      </c>
      <c r="H376" s="47"/>
      <c r="I376" s="47"/>
      <c r="J376" s="49"/>
      <c r="K376" s="49"/>
      <c r="L376" s="49" t="str">
        <f ca="1">IFERROR(__xludf.DUMMYFUNCTION("QUERY('Volunteer Survey'!B385)"),"Vijay Ganesh")</f>
        <v>Vijay Ganesh</v>
      </c>
      <c r="M376" s="49" t="str">
        <f ca="1">IFERROR(__xludf.DUMMYFUNCTION("QUERY('Volunteer Survey'!E385)"),"vganesh@bwh.harvard.edu")</f>
        <v>vganesh@bwh.harvard.edu</v>
      </c>
      <c r="N376" s="49" t="str">
        <f ca="1">IFERROR(__xludf.DUMMYFUNCTION("QUERY('Volunteer Survey'!F385)"),"Post Doc/Resident/Fellow (MD and/or PhD)")</f>
        <v>Post Doc/Resident/Fellow (MD and/or PhD)</v>
      </c>
      <c r="O376" s="42" t="str">
        <f ca="1">IFERROR(__xludf.DUMMYFUNCTION("QUERY('Volunteer Survey'!H385)"),"Baseline")</f>
        <v>Baseline</v>
      </c>
      <c r="P376" s="49" t="str">
        <f ca="1">IFERROR(__xludf.DUMMYFUNCTION("QUERY('Volunteer Survey'!I385)"),"Gene-Disease Validity")</f>
        <v>Gene-Disease Validity</v>
      </c>
      <c r="Q376" s="54" t="str">
        <f ca="1">IFERROR(__xludf.DUMMYFUNCTION("QUERY('Volunteer Survey'!J385)"),"Variant Pathogenicity")</f>
        <v>Variant Pathogenicity</v>
      </c>
      <c r="R376" s="49" t="str">
        <f ca="1">IFERROR(__xludf.DUMMYFUNCTION("QUERY('Volunteer Survey'!K385)"),"Clinical Actionability")</f>
        <v>Clinical Actionability</v>
      </c>
      <c r="S376" s="49" t="str">
        <f ca="1">IFERROR(__xludf.DUMMYFUNCTION("QUERY('Volunteer Survey'!L385)"),"Dosage Sensitivity")</f>
        <v>Dosage Sensitivity</v>
      </c>
      <c r="T376" s="49" t="str">
        <f ca="1">IFERROR(__xludf.DUMMYFUNCTION("QUERY('Volunteer Survey'!M385)"),"Somatic Cancer")</f>
        <v>Somatic Cancer</v>
      </c>
      <c r="U376" s="58" t="str">
        <f ca="1">IFERROR(__xludf.DUMMYFUNCTION("QUERY('Volunteer Survey'!N385)"),"None")</f>
        <v>None</v>
      </c>
      <c r="V376" s="49" t="str">
        <f ca="1">IFERROR(__xludf.DUMMYFUNCTION("QUERY('Volunteer Survey'!O385)"),"Yes")</f>
        <v>Yes</v>
      </c>
      <c r="W376" s="60" t="str">
        <f ca="1">IFERROR(__xludf.DUMMYFUNCTION("QUERY('Volunteer Survey'!P385)"),"Limb Girdle Muscular Dystrophy; Congenital Myopathies; Charcot-Marie Tooth")</f>
        <v>Limb Girdle Muscular Dystrophy; Congenital Myopathies; Charcot-Marie Tooth</v>
      </c>
      <c r="X376" s="58" t="str">
        <f ca="1">IFERROR(__xludf.DUMMYFUNCTION("QUERY('Volunteer Survey'!R385)"),"No - I am only interested in the group(s) I previously indicated")</f>
        <v>No - I am only interested in the group(s) I previously indicated</v>
      </c>
      <c r="Y376" s="47"/>
      <c r="Z376" s="174">
        <f ca="1">IFERROR(__xludf.DUMMYFUNCTION("QUERY('Volunteer Survey'!A375)"),43817.6338315509)</f>
        <v>43817.633831550898</v>
      </c>
      <c r="AA376" s="175" t="str">
        <f ca="1">IFERROR(__xludf.DUMMYFUNCTION("QUERY('Volunteer Survey'!B375)"),"Alaa Koleilat")</f>
        <v>Alaa Koleilat</v>
      </c>
      <c r="AB376" s="175" t="str">
        <f ca="1">IFERROR(__xludf.DUMMYFUNCTION("QUERY('Volunteer Survey'!C375)"),"Mayo Clinic")</f>
        <v>Mayo Clinic</v>
      </c>
      <c r="AC376" s="175" t="str">
        <f ca="1">IFERROR(__xludf.DUMMYFUNCTION("QUERY('Volunteer Survey'!D375)"),"200 1st St. SW Rochester, MN 55905")</f>
        <v>200 1st St. SW Rochester, MN 55905</v>
      </c>
      <c r="AD376" s="175" t="str">
        <f ca="1">IFERROR(__xludf.DUMMYFUNCTION("QUERY('Volunteer Survey'!E375)"),"koleilat.alaa@mayo.edu")</f>
        <v>koleilat.alaa@mayo.edu</v>
      </c>
      <c r="AE376" s="175" t="str">
        <f ca="1">IFERROR(__xludf.DUMMYFUNCTION("QUERY('Volunteer Survey'!F375)"),"Graduate Student")</f>
        <v>Graduate Student</v>
      </c>
      <c r="AF376" s="175" t="str">
        <f ca="1">IFERROR(__xludf.DUMMYFUNCTION("QUERY('Volunteer Survey'!G375)"),"Suggestion from mentor, ClinGen affiliated emails and/or newsletters")</f>
        <v>Suggestion from mentor, ClinGen affiliated emails and/or newsletters</v>
      </c>
      <c r="AG376" s="175" t="str">
        <f ca="1">IFERROR(__xludf.DUMMYFUNCTION("QUERY('Volunteer Survey'!H375)"),"Baseline")</f>
        <v>Baseline</v>
      </c>
      <c r="AH376" s="175" t="str">
        <f ca="1">IFERROR(__xludf.DUMMYFUNCTION("QUERY('Volunteer Survey'!I375)"),"Variant Pathogenicity")</f>
        <v>Variant Pathogenicity</v>
      </c>
      <c r="AI376" s="175" t="str">
        <f ca="1">IFERROR(__xludf.DUMMYFUNCTION("QUERY('Volunteer Survey'!J375)"),"Gene-Disease Validity")</f>
        <v>Gene-Disease Validity</v>
      </c>
      <c r="AJ376" s="175" t="str">
        <f ca="1">IFERROR(__xludf.DUMMYFUNCTION("QUERY('Volunteer Survey'!K375)"),"Somatic Cancer")</f>
        <v>Somatic Cancer</v>
      </c>
      <c r="AK376" s="175" t="str">
        <f ca="1">IFERROR(__xludf.DUMMYFUNCTION("QUERY('Volunteer Survey'!L375)"),"Clinical Actionability")</f>
        <v>Clinical Actionability</v>
      </c>
      <c r="AL376" s="175" t="str">
        <f ca="1">IFERROR(__xludf.DUMMYFUNCTION("QUERY('Volunteer Survey'!M375)"),"Dosage Sensitivity")</f>
        <v>Dosage Sensitivity</v>
      </c>
      <c r="AM376" s="175" t="str">
        <f ca="1">IFERROR(__xludf.DUMMYFUNCTION("QUERY('Volunteer Survey'!N375)"),"")</f>
        <v/>
      </c>
      <c r="AN376" s="175" t="str">
        <f ca="1">IFERROR(__xludf.DUMMYFUNCTION("QUERY('Volunteer Survey'!O375)"),"Yes")</f>
        <v>Yes</v>
      </c>
      <c r="AO376" s="175" t="str">
        <f ca="1">IFERROR(__xludf.DUMMYFUNCTION("QUERY('Volunteer Survey'!P375)"),"mitochondrial disease, pediatric somatic cancer")</f>
        <v>mitochondrial disease, pediatric somatic cancer</v>
      </c>
    </row>
    <row r="377" spans="1:41" ht="14">
      <c r="A377" s="44">
        <f ca="1">IFERROR(__xludf.DUMMYFUNCTION("QUERY('Volunteer Survey'!A386)"),43846.6398908564)</f>
        <v>43846.639890856401</v>
      </c>
      <c r="B377" s="42" t="s">
        <v>108</v>
      </c>
      <c r="C377" s="47"/>
      <c r="D377" s="67">
        <v>43846</v>
      </c>
      <c r="E377" s="42" t="s">
        <v>117</v>
      </c>
      <c r="F377" s="42" t="s">
        <v>117</v>
      </c>
      <c r="G377" s="42" t="s">
        <v>122</v>
      </c>
      <c r="H377" s="47"/>
      <c r="I377" s="47"/>
      <c r="J377" s="49"/>
      <c r="K377" s="49"/>
      <c r="L377" s="49" t="str">
        <f ca="1">IFERROR(__xludf.DUMMYFUNCTION("QUERY('Volunteer Survey'!B386)"),"Julie Hathaway")</f>
        <v>Julie Hathaway</v>
      </c>
      <c r="M377" s="49" t="str">
        <f ca="1">IFERROR(__xludf.DUMMYFUNCTION("QUERY('Volunteer Survey'!E386)"),"julie.hathaway@blueprintgenetics.com")</f>
        <v>julie.hathaway@blueprintgenetics.com</v>
      </c>
      <c r="N377" s="49" t="str">
        <f ca="1">IFERROR(__xludf.DUMMYFUNCTION("QUERY('Volunteer Survey'!F386)"),"Genetic counselor")</f>
        <v>Genetic counselor</v>
      </c>
      <c r="O377" s="42" t="str">
        <f ca="1">IFERROR(__xludf.DUMMYFUNCTION("QUERY('Volunteer Survey'!H386)"),"Comprehensive")</f>
        <v>Comprehensive</v>
      </c>
      <c r="P377" s="49" t="str">
        <f ca="1">IFERROR(__xludf.DUMMYFUNCTION("QUERY('Volunteer Survey'!I386)"),"Gene-Disease Validity")</f>
        <v>Gene-Disease Validity</v>
      </c>
      <c r="Q377" s="54" t="str">
        <f ca="1">IFERROR(__xludf.DUMMYFUNCTION("QUERY('Volunteer Survey'!J386)"),"Variant Pathogenicity")</f>
        <v>Variant Pathogenicity</v>
      </c>
      <c r="R377" s="49" t="str">
        <f ca="1">IFERROR(__xludf.DUMMYFUNCTION("QUERY('Volunteer Survey'!K386)"),"Clinical Actionability")</f>
        <v>Clinical Actionability</v>
      </c>
      <c r="S377" s="49" t="str">
        <f ca="1">IFERROR(__xludf.DUMMYFUNCTION("QUERY('Volunteer Survey'!L386)"),"Dosage Sensitivity")</f>
        <v>Dosage Sensitivity</v>
      </c>
      <c r="T377" s="49" t="str">
        <f ca="1">IFERROR(__xludf.DUMMYFUNCTION("QUERY('Volunteer Survey'!M386)"),"Somatic Cancer")</f>
        <v>Somatic Cancer</v>
      </c>
      <c r="U377" s="58" t="str">
        <f ca="1">IFERROR(__xludf.DUMMYFUNCTION("QUERY('Volunteer Survey'!N386)"),"")</f>
        <v/>
      </c>
      <c r="V377" s="49" t="str">
        <f ca="1">IFERROR(__xludf.DUMMYFUNCTION("QUERY('Volunteer Survey'!O386)"),"No")</f>
        <v>No</v>
      </c>
      <c r="W377" s="60" t="str">
        <f ca="1">IFERROR(__xludf.DUMMYFUNCTION("QUERY('Volunteer Survey'!P386)"),"Cardiomyopathy")</f>
        <v>Cardiomyopathy</v>
      </c>
      <c r="X377" s="58" t="str">
        <f ca="1">IFERROR(__xludf.DUMMYFUNCTION("QUERY('Volunteer Survey'!R386)"),"Maybe -- please contact me with other options, and I will decide based on what is available")</f>
        <v>Maybe -- please contact me with other options, and I will decide based on what is available</v>
      </c>
      <c r="Y377" s="47"/>
      <c r="Z377" s="174">
        <f ca="1">IFERROR(__xludf.DUMMYFUNCTION("QUERY('Volunteer Survey'!A376)"),43818.5194019097)</f>
        <v>43818.519401909703</v>
      </c>
      <c r="AA377" s="175" t="str">
        <f ca="1">IFERROR(__xludf.DUMMYFUNCTION("QUERY('Volunteer Survey'!B376)"),"Thanuja Selvanayagam")</f>
        <v>Thanuja Selvanayagam</v>
      </c>
      <c r="AB377" s="175" t="str">
        <f ca="1">IFERROR(__xludf.DUMMYFUNCTION("QUERY('Volunteer Survey'!C376)"),"Children's Hospital of Eastern Ontario ")</f>
        <v xml:space="preserve">Children's Hospital of Eastern Ontario </v>
      </c>
      <c r="AC377" s="175" t="str">
        <f ca="1">IFERROR(__xludf.DUMMYFUNCTION("QUERY('Volunteer Survey'!D376)"),"401 Smyth Rd, Ottawa, ON K1H 8L1")</f>
        <v>401 Smyth Rd, Ottawa, ON K1H 8L1</v>
      </c>
      <c r="AD377" s="175" t="str">
        <f ca="1">IFERROR(__xludf.DUMMYFUNCTION("QUERY('Volunteer Survey'!E376)"),"tselvanayagam@cheo.on.ca")</f>
        <v>tselvanayagam@cheo.on.ca</v>
      </c>
      <c r="AE377" s="175" t="str">
        <f ca="1">IFERROR(__xludf.DUMMYFUNCTION("QUERY('Volunteer Survey'!F376)"),"Genetic counselor")</f>
        <v>Genetic counselor</v>
      </c>
      <c r="AF377" s="175" t="str">
        <f ca="1">IFERROR(__xludf.DUMMYFUNCTION("QUERY('Volunteer Survey'!G376)"),"Colleagues")</f>
        <v>Colleagues</v>
      </c>
      <c r="AG377" s="175" t="str">
        <f ca="1">IFERROR(__xludf.DUMMYFUNCTION("QUERY('Volunteer Survey'!H376)"),"Comprehensive")</f>
        <v>Comprehensive</v>
      </c>
      <c r="AH377" s="175" t="str">
        <f ca="1">IFERROR(__xludf.DUMMYFUNCTION("QUERY('Volunteer Survey'!I376)"),"Gene-Disease Validity")</f>
        <v>Gene-Disease Validity</v>
      </c>
      <c r="AI377" s="175" t="str">
        <f ca="1">IFERROR(__xludf.DUMMYFUNCTION("QUERY('Volunteer Survey'!J376)"),"Variant Pathogenicity")</f>
        <v>Variant Pathogenicity</v>
      </c>
      <c r="AJ377" s="175" t="str">
        <f ca="1">IFERROR(__xludf.DUMMYFUNCTION("QUERY('Volunteer Survey'!K376)"),"Clinical Actionability")</f>
        <v>Clinical Actionability</v>
      </c>
      <c r="AK377" s="175" t="str">
        <f ca="1">IFERROR(__xludf.DUMMYFUNCTION("QUERY('Volunteer Survey'!L376)"),"Dosage Sensitivity")</f>
        <v>Dosage Sensitivity</v>
      </c>
      <c r="AL377" s="175" t="str">
        <f ca="1">IFERROR(__xludf.DUMMYFUNCTION("QUERY('Volunteer Survey'!M376)"),"Somatic Cancer")</f>
        <v>Somatic Cancer</v>
      </c>
      <c r="AM377" s="175" t="str">
        <f ca="1">IFERROR(__xludf.DUMMYFUNCTION("QUERY('Volunteer Survey'!N376)"),"NO")</f>
        <v>NO</v>
      </c>
      <c r="AN377" s="175" t="str">
        <f ca="1">IFERROR(__xludf.DUMMYFUNCTION("QUERY('Volunteer Survey'!O376)"),"Possibly")</f>
        <v>Possibly</v>
      </c>
      <c r="AO377" s="175" t="str">
        <f ca="1">IFERROR(__xludf.DUMMYFUNCTION("QUERY('Volunteer Survey'!P376)"),"Cardiomyopathy ")</f>
        <v xml:space="preserve">Cardiomyopathy </v>
      </c>
    </row>
    <row r="378" spans="1:41" ht="14">
      <c r="A378" s="44">
        <f ca="1">IFERROR(__xludf.DUMMYFUNCTION("QUERY('Volunteer Survey'!A387)"),43846.6503298032)</f>
        <v>43846.650329803197</v>
      </c>
      <c r="B378" s="42" t="s">
        <v>108</v>
      </c>
      <c r="C378" s="47"/>
      <c r="D378" s="67">
        <v>43846</v>
      </c>
      <c r="E378" s="42" t="s">
        <v>117</v>
      </c>
      <c r="F378" s="42" t="s">
        <v>130</v>
      </c>
      <c r="G378" s="42" t="s">
        <v>122</v>
      </c>
      <c r="H378" s="47"/>
      <c r="I378" s="47"/>
      <c r="J378" s="49"/>
      <c r="K378" s="49"/>
      <c r="L378" s="49" t="str">
        <f ca="1">IFERROR(__xludf.DUMMYFUNCTION("QUERY('Volunteer Survey'!B387)"),"Devon Thrush")</f>
        <v>Devon Thrush</v>
      </c>
      <c r="M378" s="49" t="str">
        <f ca="1">IFERROR(__xludf.DUMMYFUNCTION("QUERY('Volunteer Survey'!E387)"),"dthrush@ambrygen.com")</f>
        <v>dthrush@ambrygen.com</v>
      </c>
      <c r="N378" s="49" t="str">
        <f ca="1">IFERROR(__xludf.DUMMYFUNCTION("QUERY('Volunteer Survey'!F387)"),"Genetic counselor")</f>
        <v>Genetic counselor</v>
      </c>
      <c r="O378" s="42" t="str">
        <f ca="1">IFERROR(__xludf.DUMMYFUNCTION("QUERY('Volunteer Survey'!H387)"),"Comprehensive")</f>
        <v>Comprehensive</v>
      </c>
      <c r="P378" s="49" t="str">
        <f ca="1">IFERROR(__xludf.DUMMYFUNCTION("QUERY('Volunteer Survey'!I387)"),"Gene-Disease Validity")</f>
        <v>Gene-Disease Validity</v>
      </c>
      <c r="Q378" s="54" t="str">
        <f ca="1">IFERROR(__xludf.DUMMYFUNCTION("QUERY('Volunteer Survey'!J387)"),"Variant Pathogenicity")</f>
        <v>Variant Pathogenicity</v>
      </c>
      <c r="R378" s="49" t="str">
        <f ca="1">IFERROR(__xludf.DUMMYFUNCTION("QUERY('Volunteer Survey'!K387)"),"Somatic Cancer")</f>
        <v>Somatic Cancer</v>
      </c>
      <c r="S378" s="49" t="str">
        <f ca="1">IFERROR(__xludf.DUMMYFUNCTION("QUERY('Volunteer Survey'!L387)"),"Clinical Actionability")</f>
        <v>Clinical Actionability</v>
      </c>
      <c r="T378" s="49" t="str">
        <f ca="1">IFERROR(__xludf.DUMMYFUNCTION("QUERY('Volunteer Survey'!M387)"),"Dosage Sensitivity")</f>
        <v>Dosage Sensitivity</v>
      </c>
      <c r="U378" s="58" t="str">
        <f ca="1">IFERROR(__xludf.DUMMYFUNCTION("QUERY('Volunteer Survey'!N387)"),"I currently perform this type of work in my job. ")</f>
        <v xml:space="preserve">I currently perform this type of work in my job. </v>
      </c>
      <c r="V378" s="49" t="str">
        <f ca="1">IFERROR(__xludf.DUMMYFUNCTION("QUERY('Volunteer Survey'!O387)"),"No")</f>
        <v>No</v>
      </c>
      <c r="W378" s="60" t="str">
        <f ca="1">IFERROR(__xludf.DUMMYFUNCTION("QUERY('Volunteer Survey'!P387)"),"")</f>
        <v/>
      </c>
      <c r="X378" s="58" t="str">
        <f ca="1">IFERROR(__xludf.DUMMYFUNCTION("QUERY('Volunteer Survey'!R387)"),"Yes- I am willing to volunteer with any available ClinGen group")</f>
        <v>Yes- I am willing to volunteer with any available ClinGen group</v>
      </c>
      <c r="Y378" s="47"/>
      <c r="Z378" s="174">
        <f ca="1">IFERROR(__xludf.DUMMYFUNCTION("QUERY('Volunteer Survey'!A377)"),43822.7809561111)</f>
        <v>43822.780956111099</v>
      </c>
      <c r="AA378" s="175" t="str">
        <f ca="1">IFERROR(__xludf.DUMMYFUNCTION("QUERY('Volunteer Survey'!B377)"),"Shrutika Jadhav")</f>
        <v>Shrutika Jadhav</v>
      </c>
      <c r="AB378" s="175" t="str">
        <f ca="1">IFERROR(__xludf.DUMMYFUNCTION("QUERY('Volunteer Survey'!C377)"),"University of Pittsburgh")</f>
        <v>University of Pittsburgh</v>
      </c>
      <c r="AC378" s="175" t="str">
        <f ca="1">IFERROR(__xludf.DUMMYFUNCTION("QUERY('Volunteer Survey'!D377)"),"525 Penn Avenue, Pittsburgh, Pennsylvania")</f>
        <v>525 Penn Avenue, Pittsburgh, Pennsylvania</v>
      </c>
      <c r="AD378" s="175" t="str">
        <f ca="1">IFERROR(__xludf.DUMMYFUNCTION("QUERY('Volunteer Survey'!E377)"),"shrutikajadhav18@gmail.com")</f>
        <v>shrutikajadhav18@gmail.com</v>
      </c>
      <c r="AE378" s="175" t="str">
        <f ca="1">IFERROR(__xludf.DUMMYFUNCTION("QUERY('Volunteer Survey'!F377)"),"Graduate Student")</f>
        <v>Graduate Student</v>
      </c>
      <c r="AF378" s="175" t="str">
        <f ca="1">IFERROR(__xludf.DUMMYFUNCTION("QUERY('Volunteer Survey'!G377)"),"Colleagues")</f>
        <v>Colleagues</v>
      </c>
      <c r="AG378" s="175" t="str">
        <f ca="1">IFERROR(__xludf.DUMMYFUNCTION("QUERY('Volunteer Survey'!H377)"),"Comprehensive")</f>
        <v>Comprehensive</v>
      </c>
      <c r="AH378" s="175" t="str">
        <f ca="1">IFERROR(__xludf.DUMMYFUNCTION("QUERY('Volunteer Survey'!I377)"),"Clinical Actionability")</f>
        <v>Clinical Actionability</v>
      </c>
      <c r="AI378" s="175" t="str">
        <f ca="1">IFERROR(__xludf.DUMMYFUNCTION("QUERY('Volunteer Survey'!J377)"),"Gene-Disease Validity")</f>
        <v>Gene-Disease Validity</v>
      </c>
      <c r="AJ378" s="175" t="str">
        <f ca="1">IFERROR(__xludf.DUMMYFUNCTION("QUERY('Volunteer Survey'!K377)"),"Variant Pathogenicity")</f>
        <v>Variant Pathogenicity</v>
      </c>
      <c r="AK378" s="175" t="str">
        <f ca="1">IFERROR(__xludf.DUMMYFUNCTION("QUERY('Volunteer Survey'!L377)"),"Dosage Sensitivity")</f>
        <v>Dosage Sensitivity</v>
      </c>
      <c r="AL378" s="175" t="str">
        <f ca="1">IFERROR(__xludf.DUMMYFUNCTION("QUERY('Volunteer Survey'!M377)"),"Somatic Cancer")</f>
        <v>Somatic Cancer</v>
      </c>
      <c r="AM378" s="175" t="str">
        <f ca="1">IFERROR(__xludf.DUMMYFUNCTION("QUERY('Volunteer Survey'!N377)"),"No")</f>
        <v>No</v>
      </c>
      <c r="AN378" s="175" t="str">
        <f ca="1">IFERROR(__xludf.DUMMYFUNCTION("QUERY('Volunteer Survey'!O377)"),"Yes")</f>
        <v>Yes</v>
      </c>
      <c r="AO378" s="175" t="str">
        <f ca="1">IFERROR(__xludf.DUMMYFUNCTION("QUERY('Volunteer Survey'!P377)"),"Brain Malformations, Intellectual Disability and Autism, Pediatric ")</f>
        <v xml:space="preserve">Brain Malformations, Intellectual Disability and Autism, Pediatric </v>
      </c>
    </row>
    <row r="379" spans="1:41" ht="14">
      <c r="A379" s="44">
        <f ca="1">IFERROR(__xludf.DUMMYFUNCTION("QUERY('Volunteer Survey'!A388)"),43847.4378778125)</f>
        <v>43847.437877812503</v>
      </c>
      <c r="B379" s="42" t="s">
        <v>108</v>
      </c>
      <c r="C379" s="81">
        <v>43482</v>
      </c>
      <c r="D379" s="67">
        <v>43846</v>
      </c>
      <c r="E379" s="42" t="s">
        <v>117</v>
      </c>
      <c r="F379" s="42" t="s">
        <v>117</v>
      </c>
      <c r="G379" s="42" t="s">
        <v>251</v>
      </c>
      <c r="H379" s="47"/>
      <c r="I379" s="45" t="s">
        <v>356</v>
      </c>
      <c r="J379" s="49"/>
      <c r="K379" s="49"/>
      <c r="L379" s="49" t="str">
        <f ca="1">IFERROR(__xludf.DUMMYFUNCTION("QUERY('Volunteer Survey'!B388)"),"Adriana Bastos Carvalho")</f>
        <v>Adriana Bastos Carvalho</v>
      </c>
      <c r="M379" s="49" t="str">
        <f ca="1">IFERROR(__xludf.DUMMYFUNCTION("QUERY('Volunteer Survey'!E388)"),"carvalhoab@biof.ufrj.br")</f>
        <v>carvalhoab@biof.ufrj.br</v>
      </c>
      <c r="N379" s="49" t="str">
        <f ca="1">IFERROR(__xludf.DUMMYFUNCTION("QUERY('Volunteer Survey'!F388)"),"Scientific Researcher")</f>
        <v>Scientific Researcher</v>
      </c>
      <c r="O379" s="42" t="str">
        <f ca="1">IFERROR(__xludf.DUMMYFUNCTION("QUERY('Volunteer Survey'!H388)"),"Comprehensive")</f>
        <v>Comprehensive</v>
      </c>
      <c r="P379" s="49" t="str">
        <f ca="1">IFERROR(__xludf.DUMMYFUNCTION("QUERY('Volunteer Survey'!I388)"),"Variant Pathogenicity")</f>
        <v>Variant Pathogenicity</v>
      </c>
      <c r="Q379" s="54" t="str">
        <f ca="1">IFERROR(__xludf.DUMMYFUNCTION("QUERY('Volunteer Survey'!J388)"),"")</f>
        <v/>
      </c>
      <c r="R379" s="49" t="str">
        <f ca="1">IFERROR(__xludf.DUMMYFUNCTION("QUERY('Volunteer Survey'!K388)"),"")</f>
        <v/>
      </c>
      <c r="S379" s="49" t="str">
        <f ca="1">IFERROR(__xludf.DUMMYFUNCTION("QUERY('Volunteer Survey'!L388)"),"")</f>
        <v/>
      </c>
      <c r="T379" s="49" t="str">
        <f ca="1">IFERROR(__xludf.DUMMYFUNCTION("QUERY('Volunteer Survey'!M388)"),"")</f>
        <v/>
      </c>
      <c r="U379" s="58" t="str">
        <f ca="1">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V379" s="49" t="str">
        <f ca="1">IFERROR(__xludf.DUMMYFUNCTION("QUERY('Volunteer Survey'!O388)"),"Yes")</f>
        <v>Yes</v>
      </c>
      <c r="W379" s="60" t="str">
        <f ca="1">IFERROR(__xludf.DUMMYFUNCTION("QUERY('Volunteer Survey'!P388)"),"Cardiomyopathy Variant Curation Expert Panel")</f>
        <v>Cardiomyopathy Variant Curation Expert Panel</v>
      </c>
      <c r="X379" s="58" t="str">
        <f ca="1">IFERROR(__xludf.DUMMYFUNCTION("QUERY('Volunteer Survey'!R388)"),"Yes- I am willing to volunteer with any available ClinGen group")</f>
        <v>Yes- I am willing to volunteer with any available ClinGen group</v>
      </c>
      <c r="Y379" s="47"/>
      <c r="Z379" s="174">
        <f ca="1">IFERROR(__xludf.DUMMYFUNCTION("QUERY('Volunteer Survey'!A378)"),43833.4417677662)</f>
        <v>43833.441767766199</v>
      </c>
      <c r="AA379" s="175" t="str">
        <f ca="1">IFERROR(__xludf.DUMMYFUNCTION("QUERY('Volunteer Survey'!B378)"),"JACQUELINE BATANIAN")</f>
        <v>JACQUELINE BATANIAN</v>
      </c>
      <c r="AB379" s="175" t="str">
        <f ca="1">IFERROR(__xludf.DUMMYFUNCTION("QUERY('Volunteer Survey'!C378)"),"SAINT LOUIS UNIVERSITY")</f>
        <v>SAINT LOUIS UNIVERSITY</v>
      </c>
      <c r="AC379" s="175" t="str">
        <f ca="1">IFERROR(__xludf.DUMMYFUNCTION("QUERY('Volunteer Survey'!D378)"),"1465 SOUTH GRAND BLVD")</f>
        <v>1465 SOUTH GRAND BLVD</v>
      </c>
      <c r="AD379" s="175" t="str">
        <f ca="1">IFERROR(__xludf.DUMMYFUNCTION("QUERY('Volunteer Survey'!E378)"),"JACQUELINE.BATANIAN@HEALTH.SLU.EDU")</f>
        <v>JACQUELINE.BATANIAN@HEALTH.SLU.EDU</v>
      </c>
      <c r="AE379" s="175" t="str">
        <f ca="1">IFERROR(__xludf.DUMMYFUNCTION("QUERY('Volunteer Survey'!F378)"),"Clinical laboratory geneticist")</f>
        <v>Clinical laboratory geneticist</v>
      </c>
      <c r="AF379" s="175" t="str">
        <f ca="1">IFERROR(__xludf.DUMMYFUNCTION("QUERY('Volunteer Survey'!G378)"),"ClinGen affiliated emails and/or newsletters, The clinicalgenome.org website")</f>
        <v>ClinGen affiliated emails and/or newsletters, The clinicalgenome.org website</v>
      </c>
      <c r="AG379" s="175" t="str">
        <f ca="1">IFERROR(__xludf.DUMMYFUNCTION("QUERY('Volunteer Survey'!H378)"),"Comprehensive")</f>
        <v>Comprehensive</v>
      </c>
      <c r="AH379" s="175" t="str">
        <f ca="1">IFERROR(__xludf.DUMMYFUNCTION("QUERY('Volunteer Survey'!I378)"),"Gene-Disease Validity")</f>
        <v>Gene-Disease Validity</v>
      </c>
      <c r="AI379" s="175" t="str">
        <f ca="1">IFERROR(__xludf.DUMMYFUNCTION("QUERY('Volunteer Survey'!J378)"),"Somatic Cancer")</f>
        <v>Somatic Cancer</v>
      </c>
      <c r="AJ379" s="175" t="str">
        <f ca="1">IFERROR(__xludf.DUMMYFUNCTION("QUERY('Volunteer Survey'!K378)"),"Variant Pathogenicity")</f>
        <v>Variant Pathogenicity</v>
      </c>
      <c r="AK379" s="175" t="str">
        <f ca="1">IFERROR(__xludf.DUMMYFUNCTION("QUERY('Volunteer Survey'!L378)"),"Dosage Sensitivity")</f>
        <v>Dosage Sensitivity</v>
      </c>
      <c r="AL379" s="175" t="str">
        <f ca="1">IFERROR(__xludf.DUMMYFUNCTION("QUERY('Volunteer Survey'!M378)"),"Clinical Actionability")</f>
        <v>Clinical Actionability</v>
      </c>
      <c r="AM379" s="175" t="str">
        <f ca="1">IFERROR(__xludf.DUMMYFUNCTION("QUERY('Volunteer Survey'!N378)"),"I used to navigate literature to determine the nature of copy number variants identified by Oligo/SNP Agilent microarray.")</f>
        <v>I used to navigate literature to determine the nature of copy number variants identified by Oligo/SNP Agilent microarray.</v>
      </c>
      <c r="AN379" s="175" t="str">
        <f ca="1">IFERROR(__xludf.DUMMYFUNCTION("QUERY('Volunteer Survey'!O378)"),"Yes")</f>
        <v>Yes</v>
      </c>
      <c r="AO379" s="175" t="str">
        <f ca="1">IFERROR(__xludf.DUMMYFUNCTION("QUERY('Volunteer Survey'!P378)"),"Cardiovascular diseases and Pediatric cancer")</f>
        <v>Cardiovascular diseases and Pediatric cancer</v>
      </c>
    </row>
    <row r="380" spans="1:41" ht="14">
      <c r="A380" s="44">
        <f ca="1">IFERROR(__xludf.DUMMYFUNCTION("QUERY('Volunteer Survey'!A389)"),43847.6695517476)</f>
        <v>43847.669551747596</v>
      </c>
      <c r="B380" s="42" t="s">
        <v>108</v>
      </c>
      <c r="C380" s="47"/>
      <c r="D380" s="67">
        <v>43846</v>
      </c>
      <c r="E380" s="42" t="s">
        <v>117</v>
      </c>
      <c r="F380" s="42" t="s">
        <v>117</v>
      </c>
      <c r="G380" s="42" t="s">
        <v>122</v>
      </c>
      <c r="H380" s="47"/>
      <c r="I380" s="47"/>
      <c r="J380" s="49"/>
      <c r="K380" s="49"/>
      <c r="L380" s="49" t="str">
        <f ca="1">IFERROR(__xludf.DUMMYFUNCTION("QUERY('Volunteer Survey'!B389)"),"Shiloh Martin")</f>
        <v>Shiloh Martin</v>
      </c>
      <c r="M380" s="49" t="str">
        <f ca="1">IFERROR(__xludf.DUMMYFUNCTION("QUERY('Volunteer Survey'!E389)"),"shiloh.martin@invitae.com")</f>
        <v>shiloh.martin@invitae.com</v>
      </c>
      <c r="N380" s="49" t="str">
        <f ca="1">IFERROR(__xludf.DUMMYFUNCTION("QUERY('Volunteer Survey'!F389)"),"Variant Analyst/Scientist - Industry")</f>
        <v>Variant Analyst/Scientist - Industry</v>
      </c>
      <c r="O380" s="42" t="str">
        <f ca="1">IFERROR(__xludf.DUMMYFUNCTION("QUERY('Volunteer Survey'!H389)"),"Comprehensive")</f>
        <v>Comprehensive</v>
      </c>
      <c r="P380" s="49" t="str">
        <f ca="1">IFERROR(__xludf.DUMMYFUNCTION("QUERY('Volunteer Survey'!I389)"),"Gene-Disease Validity")</f>
        <v>Gene-Disease Validity</v>
      </c>
      <c r="Q380" s="54" t="str">
        <f ca="1">IFERROR(__xludf.DUMMYFUNCTION("QUERY('Volunteer Survey'!J389)"),"Variant Pathogenicity")</f>
        <v>Variant Pathogenicity</v>
      </c>
      <c r="R380" s="49" t="str">
        <f ca="1">IFERROR(__xludf.DUMMYFUNCTION("QUERY('Volunteer Survey'!K389)"),"")</f>
        <v/>
      </c>
      <c r="S380" s="49" t="str">
        <f ca="1">IFERROR(__xludf.DUMMYFUNCTION("QUERY('Volunteer Survey'!L389)"),"")</f>
        <v/>
      </c>
      <c r="T380" s="49" t="str">
        <f ca="1">IFERROR(__xludf.DUMMYFUNCTION("QUERY('Volunteer Survey'!M389)"),"")</f>
        <v/>
      </c>
      <c r="U380" s="58" t="str">
        <f ca="1">IFERROR(__xludf.DUMMYFUNCTION("QUERY('Volunteer Survey'!N389)"),"I currently do gene-disease curations and variant interpretation at Invitae")</f>
        <v>I currently do gene-disease curations and variant interpretation at Invitae</v>
      </c>
      <c r="V380" s="49" t="str">
        <f ca="1">IFERROR(__xludf.DUMMYFUNCTION("QUERY('Volunteer Survey'!O389)"),"No")</f>
        <v>No</v>
      </c>
      <c r="W380" s="60" t="str">
        <f ca="1">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c r="X380" s="58" t="str">
        <f ca="1">IFERROR(__xludf.DUMMYFUNCTION("QUERY('Volunteer Survey'!R389)"),"Maybe -- please contact me with other options, and I will decide based on what is available")</f>
        <v>Maybe -- please contact me with other options, and I will decide based on what is available</v>
      </c>
      <c r="Y380" s="47"/>
      <c r="Z380" s="174">
        <f ca="1">IFERROR(__xludf.DUMMYFUNCTION("QUERY('Volunteer Survey'!A379)"),43833.7118985648)</f>
        <v>43833.711898564798</v>
      </c>
      <c r="AA380" s="175" t="str">
        <f ca="1">IFERROR(__xludf.DUMMYFUNCTION("QUERY('Volunteer Survey'!B379)"),"Nan Jiang")</f>
        <v>Nan Jiang</v>
      </c>
      <c r="AB380" s="175" t="str">
        <f ca="1">IFERROR(__xludf.DUMMYFUNCTION("QUERY('Volunteer Survey'!C379)"),"Columbia University Medical Center")</f>
        <v>Columbia University Medical Center</v>
      </c>
      <c r="AC380" s="175" t="str">
        <f ca="1">IFERROR(__xludf.DUMMYFUNCTION("QUERY('Volunteer Survey'!D379)"),"Columbia University Medical Center")</f>
        <v>Columbia University Medical Center</v>
      </c>
      <c r="AD380" s="175" t="str">
        <f ca="1">IFERROR(__xludf.DUMMYFUNCTION("QUERY('Volunteer Survey'!E379)"),"nj2421@cumc.columbia.edu")</f>
        <v>nj2421@cumc.columbia.edu</v>
      </c>
      <c r="AE380" s="175" t="str">
        <f ca="1">IFERROR(__xludf.DUMMYFUNCTION("QUERY('Volunteer Survey'!F379)"),"Post Doc/Resident/Fellow (MD and/or PhD)")</f>
        <v>Post Doc/Resident/Fellow (MD and/or PhD)</v>
      </c>
      <c r="AF380" s="175" t="str">
        <f ca="1">IFERROR(__xludf.DUMMYFUNCTION("QUERY('Volunteer Survey'!G379)"),"Colleagues")</f>
        <v>Colleagues</v>
      </c>
      <c r="AG380" s="175" t="str">
        <f ca="1">IFERROR(__xludf.DUMMYFUNCTION("QUERY('Volunteer Survey'!H379)"),"Comprehensive")</f>
        <v>Comprehensive</v>
      </c>
      <c r="AH380" s="175" t="str">
        <f ca="1">IFERROR(__xludf.DUMMYFUNCTION("QUERY('Volunteer Survey'!I379)"),"Somatic Cancer")</f>
        <v>Somatic Cancer</v>
      </c>
      <c r="AI380" s="175" t="str">
        <f ca="1">IFERROR(__xludf.DUMMYFUNCTION("QUERY('Volunteer Survey'!J379)"),"Gene-Disease Validity")</f>
        <v>Gene-Disease Validity</v>
      </c>
      <c r="AJ380" s="175" t="str">
        <f ca="1">IFERROR(__xludf.DUMMYFUNCTION("QUERY('Volunteer Survey'!K379)"),"Clinical Actionability")</f>
        <v>Clinical Actionability</v>
      </c>
      <c r="AK380" s="175" t="str">
        <f ca="1">IFERROR(__xludf.DUMMYFUNCTION("QUERY('Volunteer Survey'!L379)"),"Variant Pathogenicity")</f>
        <v>Variant Pathogenicity</v>
      </c>
      <c r="AL380" s="175" t="str">
        <f ca="1">IFERROR(__xludf.DUMMYFUNCTION("QUERY('Volunteer Survey'!M379)"),"Dosage Sensitivity")</f>
        <v>Dosage Sensitivity</v>
      </c>
      <c r="AM380" s="175" t="str">
        <f ca="1">IFERROR(__xludf.DUMMYFUNCTION("QUERY('Volunteer Survey'!N379)"),"Yes. I am currently a LGG fellow at Columbia. I do SOMA analysis, WES variant curation on daily bases. ")</f>
        <v xml:space="preserve">Yes. I am currently a LGG fellow at Columbia. I do SOMA analysis, WES variant curation on daily bases. </v>
      </c>
      <c r="AN380" s="175" t="str">
        <f ca="1">IFERROR(__xludf.DUMMYFUNCTION("QUERY('Volunteer Survey'!O379)"),"Yes")</f>
        <v>Yes</v>
      </c>
      <c r="AO380" s="175" t="str">
        <f ca="1">IFERROR(__xludf.DUMMYFUNCTION("QUERY('Volunteer Survey'!P379)"),"Hereditary Cancer, Brain Malformations , Somatic Cancer Pediatric")</f>
        <v>Hereditary Cancer, Brain Malformations , Somatic Cancer Pediatric</v>
      </c>
    </row>
    <row r="381" spans="1:41" ht="14">
      <c r="A381" s="44">
        <f ca="1">IFERROR(__xludf.DUMMYFUNCTION("QUERY('Volunteer Survey'!A390)"),43847.8215832638)</f>
        <v>43847.821583263802</v>
      </c>
      <c r="B381" s="42" t="s">
        <v>322</v>
      </c>
      <c r="C381" s="47"/>
      <c r="D381" s="49"/>
      <c r="E381" s="49"/>
      <c r="F381" s="42" t="s">
        <v>130</v>
      </c>
      <c r="G381" s="42" t="s">
        <v>313</v>
      </c>
      <c r="H381" s="47"/>
      <c r="I381" s="47"/>
      <c r="J381" s="49"/>
      <c r="K381" s="49"/>
      <c r="L381" s="49" t="str">
        <f ca="1">IFERROR(__xludf.DUMMYFUNCTION("QUERY('Volunteer Survey'!B390)"),"Jennifer Holle")</f>
        <v>Jennifer Holle</v>
      </c>
      <c r="M381" s="49" t="str">
        <f ca="1">IFERROR(__xludf.DUMMYFUNCTION("QUERY('Volunteer Survey'!E390)"),"jennifer.holle@invitae.com")</f>
        <v>jennifer.holle@invitae.com</v>
      </c>
      <c r="N381" s="49" t="str">
        <f ca="1">IFERROR(__xludf.DUMMYFUNCTION("QUERY('Volunteer Survey'!F390)"),"Variant Analyst/Scientist - Industry")</f>
        <v>Variant Analyst/Scientist - Industry</v>
      </c>
      <c r="O381" s="42" t="str">
        <f ca="1">IFERROR(__xludf.DUMMYFUNCTION("QUERY('Volunteer Survey'!H390)"),"Comprehensive")</f>
        <v>Comprehensive</v>
      </c>
      <c r="P381" s="49" t="str">
        <f ca="1">IFERROR(__xludf.DUMMYFUNCTION("QUERY('Volunteer Survey'!I390)"),"Gene-Disease Validity")</f>
        <v>Gene-Disease Validity</v>
      </c>
      <c r="Q381" s="54" t="str">
        <f ca="1">IFERROR(__xludf.DUMMYFUNCTION("QUERY('Volunteer Survey'!J390)"),"Variant Pathogenicity")</f>
        <v>Variant Pathogenicity</v>
      </c>
      <c r="R381" s="49" t="str">
        <f ca="1">IFERROR(__xludf.DUMMYFUNCTION("QUERY('Volunteer Survey'!K390)"),"")</f>
        <v/>
      </c>
      <c r="S381" s="49" t="str">
        <f ca="1">IFERROR(__xludf.DUMMYFUNCTION("QUERY('Volunteer Survey'!L390)"),"")</f>
        <v/>
      </c>
      <c r="T381" s="49" t="str">
        <f ca="1">IFERROR(__xludf.DUMMYFUNCTION("QUERY('Volunteer Survey'!M390)"),"")</f>
        <v/>
      </c>
      <c r="U381" s="58" t="str">
        <f ca="1">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V381" s="49" t="str">
        <f ca="1">IFERROR(__xludf.DUMMYFUNCTION("QUERY('Volunteer Survey'!O390)"),"Possibly")</f>
        <v>Possibly</v>
      </c>
      <c r="W381" s="60" t="str">
        <f ca="1">IFERROR(__xludf.DUMMYFUNCTION("QUERY('Volunteer Survey'!P390)"),"The primary immunodeficiency group - didn't see it on the list, but I know it's upcoming")</f>
        <v>The primary immunodeficiency group - didn't see it on the list, but I know it's upcoming</v>
      </c>
      <c r="X381" s="58" t="str">
        <f ca="1">IFERROR(__xludf.DUMMYFUNCTION("QUERY('Volunteer Survey'!R390)"),"Maybe -- please contact me with other options, and I will decide based on what is available")</f>
        <v>Maybe -- please contact me with other options, and I will decide based on what is available</v>
      </c>
      <c r="Y381" s="47"/>
      <c r="Z381" s="174">
        <f ca="1">IFERROR(__xludf.DUMMYFUNCTION("QUERY('Volunteer Survey'!A380)"),43836.6499405555)</f>
        <v>43836.649940555501</v>
      </c>
      <c r="AA381" s="175" t="str">
        <f ca="1">IFERROR(__xludf.DUMMYFUNCTION("QUERY('Volunteer Survey'!B380)"),"Jaime Nagy")</f>
        <v>Jaime Nagy</v>
      </c>
      <c r="AB381" s="175" t="str">
        <f ca="1">IFERROR(__xludf.DUMMYFUNCTION("QUERY('Volunteer Survey'!C380)"),"University of Iowa")</f>
        <v>University of Iowa</v>
      </c>
      <c r="AC381" s="175" t="str">
        <f ca="1">IFERROR(__xludf.DUMMYFUNCTION("QUERY('Volunteer Survey'!D380)"),"200 Hawkins Dr, Iowa City, IA, 52242")</f>
        <v>200 Hawkins Dr, Iowa City, IA, 52242</v>
      </c>
      <c r="AD381" s="175" t="str">
        <f ca="1">IFERROR(__xludf.DUMMYFUNCTION("QUERY('Volunteer Survey'!E380)"),"jaime-nagy@uiowa.edu")</f>
        <v>jaime-nagy@uiowa.edu</v>
      </c>
      <c r="AE381" s="175" t="str">
        <f ca="1">IFERROR(__xludf.DUMMYFUNCTION("QUERY('Volunteer Survey'!F380)"),"Clinical laboratory geneticist")</f>
        <v>Clinical laboratory geneticist</v>
      </c>
      <c r="AF381" s="175" t="str">
        <f ca="1">IFERROR(__xludf.DUMMYFUNCTION("QUERY('Volunteer Survey'!G380)"),"The clinicalgenome.org website")</f>
        <v>The clinicalgenome.org website</v>
      </c>
      <c r="AG381" s="175" t="str">
        <f ca="1">IFERROR(__xludf.DUMMYFUNCTION("QUERY('Volunteer Survey'!H380)"),"Comprehensive")</f>
        <v>Comprehensive</v>
      </c>
      <c r="AH381" s="175" t="str">
        <f ca="1">IFERROR(__xludf.DUMMYFUNCTION("QUERY('Volunteer Survey'!I380)"),"Dosage Sensitivity")</f>
        <v>Dosage Sensitivity</v>
      </c>
      <c r="AI381" s="175" t="str">
        <f ca="1">IFERROR(__xludf.DUMMYFUNCTION("QUERY('Volunteer Survey'!J380)"),"")</f>
        <v/>
      </c>
      <c r="AJ381" s="175" t="str">
        <f ca="1">IFERROR(__xludf.DUMMYFUNCTION("QUERY('Volunteer Survey'!K380)"),"")</f>
        <v/>
      </c>
      <c r="AK381" s="175" t="str">
        <f ca="1">IFERROR(__xludf.DUMMYFUNCTION("QUERY('Volunteer Survey'!L380)"),"")</f>
        <v/>
      </c>
      <c r="AL381" s="175" t="str">
        <f ca="1">IFERROR(__xludf.DUMMYFUNCTION("QUERY('Volunteer Survey'!M380)"),"")</f>
        <v/>
      </c>
      <c r="AM381" s="175" t="str">
        <f ca="1">IFERROR(__xludf.DUMMYFUNCTION("QUERY('Volunteer Survey'!N380)"),"Review and interpretation of clinical CMA cases")</f>
        <v>Review and interpretation of clinical CMA cases</v>
      </c>
      <c r="AN381" s="175" t="str">
        <f ca="1">IFERROR(__xludf.DUMMYFUNCTION("QUERY('Volunteer Survey'!O380)"),"No")</f>
        <v>No</v>
      </c>
      <c r="AO381" s="175" t="str">
        <f ca="1">IFERROR(__xludf.DUMMYFUNCTION("QUERY('Volunteer Survey'!P380)"),"Dosage Sensitivity working group")</f>
        <v>Dosage Sensitivity working group</v>
      </c>
    </row>
    <row r="382" spans="1:41" ht="14">
      <c r="A382" s="44">
        <f ca="1">IFERROR(__xludf.DUMMYFUNCTION("QUERY('Volunteer Survey'!A391)"),43851.4003759837)</f>
        <v>43851.4003759837</v>
      </c>
      <c r="B382" s="42" t="s">
        <v>160</v>
      </c>
      <c r="C382" s="84">
        <v>43860</v>
      </c>
      <c r="D382" s="49"/>
      <c r="E382" s="49"/>
      <c r="F382" s="42" t="s">
        <v>130</v>
      </c>
      <c r="G382" s="42" t="s">
        <v>313</v>
      </c>
      <c r="H382" s="47"/>
      <c r="I382" s="47"/>
      <c r="J382" s="49"/>
      <c r="K382" s="49"/>
      <c r="L382" s="49" t="str">
        <f ca="1">IFERROR(__xludf.DUMMYFUNCTION("QUERY('Volunteer Survey'!B391)"),"George Jour")</f>
        <v>George Jour</v>
      </c>
      <c r="M382" s="49" t="str">
        <f ca="1">IFERROR(__xludf.DUMMYFUNCTION("QUERY('Volunteer Survey'!E391)"),"george.jour@nyulangone.org")</f>
        <v>george.jour@nyulangone.org</v>
      </c>
      <c r="N382" s="49" t="str">
        <f ca="1">IFERROR(__xludf.DUMMYFUNCTION("QUERY('Volunteer Survey'!F391)"),"Physician (Non-geneticist)")</f>
        <v>Physician (Non-geneticist)</v>
      </c>
      <c r="O382" s="42" t="str">
        <f ca="1">IFERROR(__xludf.DUMMYFUNCTION("QUERY('Volunteer Survey'!H391)"),"Baseline")</f>
        <v>Baseline</v>
      </c>
      <c r="P382" s="49" t="str">
        <f ca="1">IFERROR(__xludf.DUMMYFUNCTION("QUERY('Volunteer Survey'!I391)"),"Clinical Actionability")</f>
        <v>Clinical Actionability</v>
      </c>
      <c r="Q382" s="54" t="str">
        <f ca="1">IFERROR(__xludf.DUMMYFUNCTION("QUERY('Volunteer Survey'!J391)"),"Somatic Cancer")</f>
        <v>Somatic Cancer</v>
      </c>
      <c r="R382" s="49" t="str">
        <f ca="1">IFERROR(__xludf.DUMMYFUNCTION("QUERY('Volunteer Survey'!K391)"),"Gene-Disease Validity")</f>
        <v>Gene-Disease Validity</v>
      </c>
      <c r="S382" s="49" t="str">
        <f ca="1">IFERROR(__xludf.DUMMYFUNCTION("QUERY('Volunteer Survey'!L391)"),"Variant Pathogenicity")</f>
        <v>Variant Pathogenicity</v>
      </c>
      <c r="T382" s="49" t="str">
        <f ca="1">IFERROR(__xludf.DUMMYFUNCTION("QUERY('Volunteer Survey'!M391)"),"")</f>
        <v/>
      </c>
      <c r="U382" s="58" t="str">
        <f ca="1">IFERROR(__xludf.DUMMYFUNCTION("QUERY('Volunteer Survey'!N391)"),"I did help curate an internal database during my fellowship for an inherited cancer NGS panel")</f>
        <v>I did help curate an internal database during my fellowship for an inherited cancer NGS panel</v>
      </c>
      <c r="V382" s="49" t="str">
        <f ca="1">IFERROR(__xludf.DUMMYFUNCTION("QUERY('Volunteer Survey'!O391)"),"Yes")</f>
        <v>Yes</v>
      </c>
      <c r="W382" s="60" t="str">
        <f ca="1">IFERROR(__xludf.DUMMYFUNCTION("QUERY('Volunteer Survey'!P391)"),"Rasopathies; hearing Loss; inherited cancers")</f>
        <v>Rasopathies; hearing Loss; inherited cancers</v>
      </c>
      <c r="X382" s="58" t="str">
        <f ca="1">IFERROR(__xludf.DUMMYFUNCTION("QUERY('Volunteer Survey'!R391)"),"Maybe -- please contact me with other options, and I will decide based on what is available")</f>
        <v>Maybe -- please contact me with other options, and I will decide based on what is available</v>
      </c>
      <c r="Y382" s="47"/>
      <c r="Z382" s="174">
        <f ca="1">IFERROR(__xludf.DUMMYFUNCTION("QUERY('Volunteer Survey'!A381)"),43838.049425787)</f>
        <v>43838.049425787001</v>
      </c>
      <c r="AA382" s="175" t="str">
        <f ca="1">IFERROR(__xludf.DUMMYFUNCTION("QUERY('Volunteer Survey'!B381)"),"Indu Raja")</f>
        <v>Indu Raja</v>
      </c>
      <c r="AB382" s="175" t="str">
        <f ca="1">IFERROR(__xludf.DUMMYFUNCTION("QUERY('Volunteer Survey'!C381)"),"Sidra Medicine")</f>
        <v>Sidra Medicine</v>
      </c>
      <c r="AC382" s="175" t="str">
        <f ca="1">IFERROR(__xludf.DUMMYFUNCTION("QUERY('Volunteer Survey'!D381)"),"")</f>
        <v/>
      </c>
      <c r="AD382" s="175" t="str">
        <f ca="1">IFERROR(__xludf.DUMMYFUNCTION("QUERY('Volunteer Survey'!E381)"),"indudraja@gmail.com")</f>
        <v>indudraja@gmail.com</v>
      </c>
      <c r="AE382" s="175" t="str">
        <f ca="1">IFERROR(__xludf.DUMMYFUNCTION("QUERY('Volunteer Survey'!F381)"),"Laboratory Technologist")</f>
        <v>Laboratory Technologist</v>
      </c>
      <c r="AF382" s="175" t="str">
        <f ca="1">IFERROR(__xludf.DUMMYFUNCTION("QUERY('Volunteer Survey'!G381)"),"The clinicalgenome.org website")</f>
        <v>The clinicalgenome.org website</v>
      </c>
      <c r="AG382" s="175" t="str">
        <f ca="1">IFERROR(__xludf.DUMMYFUNCTION("QUERY('Volunteer Survey'!H381)"),"Comprehensive")</f>
        <v>Comprehensive</v>
      </c>
      <c r="AH382" s="175" t="str">
        <f ca="1">IFERROR(__xludf.DUMMYFUNCTION("QUERY('Volunteer Survey'!I381)"),"Gene-Disease Validity")</f>
        <v>Gene-Disease Validity</v>
      </c>
      <c r="AI382" s="175" t="str">
        <f ca="1">IFERROR(__xludf.DUMMYFUNCTION("QUERY('Volunteer Survey'!J381)"),"Clinical Actionability")</f>
        <v>Clinical Actionability</v>
      </c>
      <c r="AJ382" s="175" t="str">
        <f ca="1">IFERROR(__xludf.DUMMYFUNCTION("QUERY('Volunteer Survey'!K381)"),"Variant Pathogenicity")</f>
        <v>Variant Pathogenicity</v>
      </c>
      <c r="AK382" s="175" t="str">
        <f ca="1">IFERROR(__xludf.DUMMYFUNCTION("QUERY('Volunteer Survey'!L381)"),"Dosage Sensitivity")</f>
        <v>Dosage Sensitivity</v>
      </c>
      <c r="AL382" s="175" t="str">
        <f ca="1">IFERROR(__xludf.DUMMYFUNCTION("QUERY('Volunteer Survey'!M381)"),"")</f>
        <v/>
      </c>
      <c r="AM382" s="175" t="str">
        <f ca="1">IFERROR(__xludf.DUMMYFUNCTION("QUERY('Volunteer Survey'!N381)"),"No")</f>
        <v>No</v>
      </c>
      <c r="AN382" s="175" t="str">
        <f ca="1">IFERROR(__xludf.DUMMYFUNCTION("QUERY('Volunteer Survey'!O381)"),"Possibly")</f>
        <v>Possibly</v>
      </c>
      <c r="AO382" s="175" t="str">
        <f ca="1">IFERROR(__xludf.DUMMYFUNCTION("QUERY('Volunteer Survey'!P381)"),"Gene curation (Intellectual disability &amp; Autism), Dosage Sensitivity &amp; Clinical Actionability")</f>
        <v>Gene curation (Intellectual disability &amp; Autism), Dosage Sensitivity &amp; Clinical Actionability</v>
      </c>
    </row>
    <row r="383" spans="1:41" ht="28">
      <c r="A383" s="44">
        <f ca="1">IFERROR(__xludf.DUMMYFUNCTION("QUERY('Volunteer Survey'!A392)"),43851.4155711226)</f>
        <v>43851.415571122598</v>
      </c>
      <c r="B383" s="42" t="s">
        <v>322</v>
      </c>
      <c r="C383" s="45" t="s">
        <v>3144</v>
      </c>
      <c r="D383" s="49"/>
      <c r="E383" s="49"/>
      <c r="F383" s="42" t="s">
        <v>130</v>
      </c>
      <c r="G383" s="42" t="s">
        <v>313</v>
      </c>
      <c r="H383" s="47"/>
      <c r="I383" s="47"/>
      <c r="J383" s="49"/>
      <c r="K383" s="49"/>
      <c r="L383" s="49" t="str">
        <f ca="1">IFERROR(__xludf.DUMMYFUNCTION("QUERY('Volunteer Survey'!B392)"),"George Jour")</f>
        <v>George Jour</v>
      </c>
      <c r="M383" s="49" t="str">
        <f ca="1">IFERROR(__xludf.DUMMYFUNCTION("QUERY('Volunteer Survey'!E392)"),"george.jour@nyulangone.org")</f>
        <v>george.jour@nyulangone.org</v>
      </c>
      <c r="N383" s="49" t="str">
        <f ca="1">IFERROR(__xludf.DUMMYFUNCTION("QUERY('Volunteer Survey'!F392)"),"Physician (Non-geneticist)")</f>
        <v>Physician (Non-geneticist)</v>
      </c>
      <c r="O383" s="42" t="str">
        <f ca="1">IFERROR(__xludf.DUMMYFUNCTION("QUERY('Volunteer Survey'!H392)"),"Baseline")</f>
        <v>Baseline</v>
      </c>
      <c r="P383" s="49" t="str">
        <f ca="1">IFERROR(__xludf.DUMMYFUNCTION("QUERY('Volunteer Survey'!I392)"),"Clinical Actionability")</f>
        <v>Clinical Actionability</v>
      </c>
      <c r="Q383" s="54" t="str">
        <f ca="1">IFERROR(__xludf.DUMMYFUNCTION("QUERY('Volunteer Survey'!J392)"),"Somatic Cancer")</f>
        <v>Somatic Cancer</v>
      </c>
      <c r="R383" s="49" t="str">
        <f ca="1">IFERROR(__xludf.DUMMYFUNCTION("QUERY('Volunteer Survey'!K392)"),"Gene-Disease Validity")</f>
        <v>Gene-Disease Validity</v>
      </c>
      <c r="S383" s="49" t="str">
        <f ca="1">IFERROR(__xludf.DUMMYFUNCTION("QUERY('Volunteer Survey'!L392)"),"Variant Pathogenicity")</f>
        <v>Variant Pathogenicity</v>
      </c>
      <c r="T383" s="49" t="str">
        <f ca="1">IFERROR(__xludf.DUMMYFUNCTION("QUERY('Volunteer Survey'!M392)"),"")</f>
        <v/>
      </c>
      <c r="U383" s="58" t="str">
        <f ca="1">IFERROR(__xludf.DUMMYFUNCTION("QUERY('Volunteer Survey'!N392)"),"I did help curate an internal database during my fellowship for an inherited cancer NGS panel")</f>
        <v>I did help curate an internal database during my fellowship for an inherited cancer NGS panel</v>
      </c>
      <c r="V383" s="49" t="str">
        <f ca="1">IFERROR(__xludf.DUMMYFUNCTION("QUERY('Volunteer Survey'!O392)"),"Yes")</f>
        <v>Yes</v>
      </c>
      <c r="W383" s="60" t="str">
        <f ca="1">IFERROR(__xludf.DUMMYFUNCTION("QUERY('Volunteer Survey'!P392)"),"Rasopathies; hearing Loss; inherited cancers")</f>
        <v>Rasopathies; hearing Loss; inherited cancers</v>
      </c>
      <c r="X383" s="58" t="str">
        <f ca="1">IFERROR(__xludf.DUMMYFUNCTION("QUERY('Volunteer Survey'!R392)"),"Maybe -- please contact me with other options, and I will decide based on what is available")</f>
        <v>Maybe -- please contact me with other options, and I will decide based on what is available</v>
      </c>
      <c r="Y383" s="47"/>
      <c r="Z383" s="174">
        <f ca="1">IFERROR(__xludf.DUMMYFUNCTION("QUERY('Volunteer Survey'!A382)"),43838.5919259259)</f>
        <v>43838.591925925903</v>
      </c>
      <c r="AA383" s="175" t="str">
        <f ca="1">IFERROR(__xludf.DUMMYFUNCTION("QUERY('Volunteer Survey'!B382)"),"Kendrah Kidd")</f>
        <v>Kendrah Kidd</v>
      </c>
      <c r="AB383" s="175" t="str">
        <f ca="1">IFERROR(__xludf.DUMMYFUNCTION("QUERY('Volunteer Survey'!C382)"),"Wake Forest School of Medicine")</f>
        <v>Wake Forest School of Medicine</v>
      </c>
      <c r="AC383" s="175" t="str">
        <f ca="1">IFERROR(__xludf.DUMMYFUNCTION("QUERY('Volunteer Survey'!D382)"),"Internal Medicine - Section on Nephrology
Gray G120 Nephrology Research
Medical Center Blvd
Winston-Salem, NC 27157")</f>
        <v>Internal Medicine - Section on Nephrology
Gray G120 Nephrology Research
Medical Center Blvd
Winston-Salem, NC 27157</v>
      </c>
      <c r="AD383" s="175" t="str">
        <f ca="1">IFERROR(__xludf.DUMMYFUNCTION("QUERY('Volunteer Survey'!E382)"),"kkidd@wakehealth.edu")</f>
        <v>kkidd@wakehealth.edu</v>
      </c>
      <c r="AE383" s="175" t="str">
        <f ca="1">IFERROR(__xludf.DUMMYFUNCTION("QUERY('Volunteer Survey'!F382)"),"Scientific Researcher")</f>
        <v>Scientific Researcher</v>
      </c>
      <c r="AF383" s="175" t="str">
        <f ca="1">IFERROR(__xludf.DUMMYFUNCTION("QUERY('Volunteer Survey'!G382)"),"McKusick Genetics Course, Jackson Laboratory 2019")</f>
        <v>McKusick Genetics Course, Jackson Laboratory 2019</v>
      </c>
      <c r="AG383" s="175" t="str">
        <f ca="1">IFERROR(__xludf.DUMMYFUNCTION("QUERY('Volunteer Survey'!H382)"),"Comprehensive")</f>
        <v>Comprehensive</v>
      </c>
      <c r="AH383" s="175" t="str">
        <f ca="1">IFERROR(__xludf.DUMMYFUNCTION("QUERY('Volunteer Survey'!I382)"),"Variant Pathogenicity")</f>
        <v>Variant Pathogenicity</v>
      </c>
      <c r="AI383" s="175" t="str">
        <f ca="1">IFERROR(__xludf.DUMMYFUNCTION("QUERY('Volunteer Survey'!J382)"),"Gene-Disease Validity")</f>
        <v>Gene-Disease Validity</v>
      </c>
      <c r="AJ383" s="175" t="str">
        <f ca="1">IFERROR(__xludf.DUMMYFUNCTION("QUERY('Volunteer Survey'!K382)"),"")</f>
        <v/>
      </c>
      <c r="AK383" s="175" t="str">
        <f ca="1">IFERROR(__xludf.DUMMYFUNCTION("QUERY('Volunteer Survey'!L382)"),"")</f>
        <v/>
      </c>
      <c r="AL383" s="175" t="str">
        <f ca="1">IFERROR(__xludf.DUMMYFUNCTION("QUERY('Volunteer Survey'!M382)"),"")</f>
        <v/>
      </c>
      <c r="AM383" s="175" t="str">
        <f ca="1">IFERROR(__xludf.DUMMYFUNCTION("QUERY('Volunteer Survey'!N382)"),"Yes, I manage our Autosomal Dominant Tubulointerstitial Kidney Disease  pathogenic variant registry and have a database of variants found in families that have segregation and clinical data, as well as any literature associated with the variant.  ")</f>
        <v xml:space="preserve">Yes, I manage our Autosomal Dominant Tubulointerstitial Kidney Disease  pathogenic variant registry and have a database of variants found in families that have segregation and clinical data, as well as any literature associated with the variant.  </v>
      </c>
      <c r="AN383" s="175" t="str">
        <f ca="1">IFERROR(__xludf.DUMMYFUNCTION("QUERY('Volunteer Survey'!O382)"),"Possibly")</f>
        <v>Possibly</v>
      </c>
      <c r="AO383" s="175" t="str">
        <f ca="1">IFERROR(__xludf.DUMMYFUNCTION("QUERY('Volunteer Survey'!P382)"),"I would be interested in forming one for inherited kidney diseases ")</f>
        <v xml:space="preserve">I would be interested in forming one for inherited kidney diseases </v>
      </c>
    </row>
    <row r="384" spans="1:41" ht="14">
      <c r="A384" s="44">
        <f ca="1">IFERROR(__xludf.DUMMYFUNCTION("QUERY('Volunteer Survey'!A393)"),43851.8164046064)</f>
        <v>43851.816404606398</v>
      </c>
      <c r="B384" s="42" t="s">
        <v>322</v>
      </c>
      <c r="C384" s="47"/>
      <c r="D384" s="49"/>
      <c r="E384" s="49"/>
      <c r="F384" s="42" t="s">
        <v>130</v>
      </c>
      <c r="G384" s="42" t="s">
        <v>313</v>
      </c>
      <c r="H384" s="47"/>
      <c r="I384" s="47"/>
      <c r="J384" s="49"/>
      <c r="K384" s="49"/>
      <c r="L384" s="49" t="str">
        <f ca="1">IFERROR(__xludf.DUMMYFUNCTION("QUERY('Volunteer Survey'!B393)"),"Emily Hansen-Kiss")</f>
        <v>Emily Hansen-Kiss</v>
      </c>
      <c r="M384" s="49" t="str">
        <f ca="1">IFERROR(__xludf.DUMMYFUNCTION("QUERY('Volunteer Survey'!E393)"),"Emily.HansenKiss@uth.tmc.edu")</f>
        <v>Emily.HansenKiss@uth.tmc.edu</v>
      </c>
      <c r="N384" s="49" t="str">
        <f ca="1">IFERROR(__xludf.DUMMYFUNCTION("QUERY('Volunteer Survey'!F393)"),"Genetic counselor")</f>
        <v>Genetic counselor</v>
      </c>
      <c r="O384" s="42" t="str">
        <f ca="1">IFERROR(__xludf.DUMMYFUNCTION("QUERY('Volunteer Survey'!H393)"),"Comprehensive")</f>
        <v>Comprehensive</v>
      </c>
      <c r="P384" s="49" t="str">
        <f ca="1">IFERROR(__xludf.DUMMYFUNCTION("QUERY('Volunteer Survey'!I393)"),"Variant Pathogenicity")</f>
        <v>Variant Pathogenicity</v>
      </c>
      <c r="Q384" s="54" t="str">
        <f ca="1">IFERROR(__xludf.DUMMYFUNCTION("QUERY('Volunteer Survey'!J393)"),"Clinical Actionability")</f>
        <v>Clinical Actionability</v>
      </c>
      <c r="R384" s="49" t="str">
        <f ca="1">IFERROR(__xludf.DUMMYFUNCTION("QUERY('Volunteer Survey'!K393)"),"Gene-Disease Validity")</f>
        <v>Gene-Disease Validity</v>
      </c>
      <c r="S384" s="49" t="str">
        <f ca="1">IFERROR(__xludf.DUMMYFUNCTION("QUERY('Volunteer Survey'!L393)"),"Dosage Sensitivity")</f>
        <v>Dosage Sensitivity</v>
      </c>
      <c r="T384" s="49" t="str">
        <f ca="1">IFERROR(__xludf.DUMMYFUNCTION("QUERY('Volunteer Survey'!M393)"),"")</f>
        <v/>
      </c>
      <c r="U384" s="58" t="str">
        <f ca="1">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V384" s="49" t="str">
        <f ca="1">IFERROR(__xludf.DUMMYFUNCTION("QUERY('Volunteer Survey'!O393)"),"Possibly")</f>
        <v>Possibly</v>
      </c>
      <c r="W384" s="60" t="str">
        <f ca="1">IFERROR(__xludf.DUMMYFUNCTION("QUERY('Volunteer Survey'!P393)"),"PTEN")</f>
        <v>PTEN</v>
      </c>
      <c r="X384" s="58" t="str">
        <f ca="1">IFERROR(__xludf.DUMMYFUNCTION("QUERY('Volunteer Survey'!R393)"),"No - I am only interested in the group(s) I previously indicated")</f>
        <v>No - I am only interested in the group(s) I previously indicated</v>
      </c>
      <c r="Y384" s="47"/>
      <c r="Z384" s="174">
        <f ca="1">IFERROR(__xludf.DUMMYFUNCTION("QUERY('Volunteer Survey'!A383)"),43840.3567429513)</f>
        <v>43840.356742951299</v>
      </c>
      <c r="AA384" s="175" t="str">
        <f ca="1">IFERROR(__xludf.DUMMYFUNCTION("QUERY('Volunteer Survey'!B383)"),"Joanne Adelberg")</f>
        <v>Joanne Adelberg</v>
      </c>
      <c r="AB384" s="175" t="str">
        <f ca="1">IFERROR(__xludf.DUMMYFUNCTION("QUERY('Volunteer Survey'!C383)"),"NIH/CC")</f>
        <v>NIH/CC</v>
      </c>
      <c r="AC384" s="175" t="str">
        <f ca="1">IFERROR(__xludf.DUMMYFUNCTION("QUERY('Volunteer Survey'!D383)"),"1805 Midlothian Court")</f>
        <v>1805 Midlothian Court</v>
      </c>
      <c r="AD384" s="175" t="str">
        <f ca="1">IFERROR(__xludf.DUMMYFUNCTION("QUERY('Volunteer Survey'!E383)"),"joanneadelberg@gmail.com")</f>
        <v>joanneadelberg@gmail.com</v>
      </c>
      <c r="AE384" s="175" t="str">
        <f ca="1">IFERROR(__xludf.DUMMYFUNCTION("QUERY('Volunteer Survey'!F383)"),"Scientific Researcher")</f>
        <v>Scientific Researcher</v>
      </c>
      <c r="AF384" s="175" t="str">
        <f ca="1">IFERROR(__xludf.DUMMYFUNCTION("QUERY('Volunteer Survey'!G383)"),"Colleagues")</f>
        <v>Colleagues</v>
      </c>
      <c r="AG384" s="175" t="str">
        <f ca="1">IFERROR(__xludf.DUMMYFUNCTION("QUERY('Volunteer Survey'!H383)"),"Comprehensive")</f>
        <v>Comprehensive</v>
      </c>
      <c r="AH384" s="175" t="str">
        <f ca="1">IFERROR(__xludf.DUMMYFUNCTION("QUERY('Volunteer Survey'!I383)"),"Gene-Disease Validity")</f>
        <v>Gene-Disease Validity</v>
      </c>
      <c r="AI384" s="175" t="str">
        <f ca="1">IFERROR(__xludf.DUMMYFUNCTION("QUERY('Volunteer Survey'!J383)"),"Clinical Actionability")</f>
        <v>Clinical Actionability</v>
      </c>
      <c r="AJ384" s="175" t="str">
        <f ca="1">IFERROR(__xludf.DUMMYFUNCTION("QUERY('Volunteer Survey'!K383)"),"Variant Pathogenicity")</f>
        <v>Variant Pathogenicity</v>
      </c>
      <c r="AK384" s="175" t="str">
        <f ca="1">IFERROR(__xludf.DUMMYFUNCTION("QUERY('Volunteer Survey'!L383)"),"Dosage Sensitivity")</f>
        <v>Dosage Sensitivity</v>
      </c>
      <c r="AL384" s="175" t="str">
        <f ca="1">IFERROR(__xludf.DUMMYFUNCTION("QUERY('Volunteer Survey'!M383)"),"Somatic Cancer")</f>
        <v>Somatic Cancer</v>
      </c>
      <c r="AM384" s="175" t="str">
        <f ca="1">IFERROR(__xludf.DUMMYFUNCTION("QUERY('Volunteer Survey'!N383)"),"")</f>
        <v/>
      </c>
      <c r="AN384" s="175" t="str">
        <f ca="1">IFERROR(__xludf.DUMMYFUNCTION("QUERY('Volunteer Survey'!O383)"),"Possibly")</f>
        <v>Possibly</v>
      </c>
      <c r="AO384" s="175" t="str">
        <f ca="1">IFERROR(__xludf.DUMMYFUNCTION("QUERY('Volunteer Survey'!P383)"),"Will work on groups with the most need-excited for the learning opportunity")</f>
        <v>Will work on groups with the most need-excited for the learning opportunity</v>
      </c>
    </row>
    <row r="385" spans="1:41" ht="14">
      <c r="A385" s="44">
        <f ca="1">IFERROR(__xludf.DUMMYFUNCTION("QUERY('Volunteer Survey'!A394)"),43852.4315767592)</f>
        <v>43852.431576759198</v>
      </c>
      <c r="B385" s="42" t="s">
        <v>322</v>
      </c>
      <c r="C385" s="47"/>
      <c r="D385" s="49"/>
      <c r="E385" s="49"/>
      <c r="F385" s="42" t="s">
        <v>130</v>
      </c>
      <c r="G385" s="42" t="s">
        <v>313</v>
      </c>
      <c r="H385" s="47"/>
      <c r="I385" s="47"/>
      <c r="J385" s="49"/>
      <c r="K385" s="49"/>
      <c r="L385" s="49" t="str">
        <f ca="1">IFERROR(__xludf.DUMMYFUNCTION("QUERY('Volunteer Survey'!B394)"),"Chitra Chandrasekaran")</f>
        <v>Chitra Chandrasekaran</v>
      </c>
      <c r="M385" s="49" t="str">
        <f ca="1">IFERROR(__xludf.DUMMYFUNCTION("QUERY('Volunteer Survey'!E394)"),"cchandrasekaran@txwes.edu")</f>
        <v>cchandrasekaran@txwes.edu</v>
      </c>
      <c r="N385" s="49" t="str">
        <f ca="1">IFERROR(__xludf.DUMMYFUNCTION("QUERY('Volunteer Survey'!F394)"),"Biology Professor")</f>
        <v>Biology Professor</v>
      </c>
      <c r="O385" s="42" t="str">
        <f ca="1">IFERROR(__xludf.DUMMYFUNCTION("QUERY('Volunteer Survey'!H394)"),"Comprehensive")</f>
        <v>Comprehensive</v>
      </c>
      <c r="P385" s="49" t="str">
        <f ca="1">IFERROR(__xludf.DUMMYFUNCTION("QUERY('Volunteer Survey'!I394)"),"Gene-Disease Validity")</f>
        <v>Gene-Disease Validity</v>
      </c>
      <c r="Q385" s="54" t="str">
        <f ca="1">IFERROR(__xludf.DUMMYFUNCTION("QUERY('Volunteer Survey'!J394)"),"Variant Pathogenicity")</f>
        <v>Variant Pathogenicity</v>
      </c>
      <c r="R385" s="49" t="str">
        <f ca="1">IFERROR(__xludf.DUMMYFUNCTION("QUERY('Volunteer Survey'!K394)"),"Somatic Cancer")</f>
        <v>Somatic Cancer</v>
      </c>
      <c r="S385" s="49" t="str">
        <f ca="1">IFERROR(__xludf.DUMMYFUNCTION("QUERY('Volunteer Survey'!L394)"),"Dosage Sensitivity")</f>
        <v>Dosage Sensitivity</v>
      </c>
      <c r="T385" s="49" t="str">
        <f ca="1">IFERROR(__xludf.DUMMYFUNCTION("QUERY('Volunteer Survey'!M394)"),"Clinical Actionability")</f>
        <v>Clinical Actionability</v>
      </c>
      <c r="U385" s="58" t="str">
        <f ca="1">IFERROR(__xludf.DUMMYFUNCTION("QUERY('Volunteer Survey'!N394)"),"I do not have any previous experience with the activities mentioned above.")</f>
        <v>I do not have any previous experience with the activities mentioned above.</v>
      </c>
      <c r="V385" s="49" t="str">
        <f ca="1">IFERROR(__xludf.DUMMYFUNCTION("QUERY('Volunteer Survey'!O394)"),"Possibly")</f>
        <v>Possibly</v>
      </c>
      <c r="W385" s="60" t="str">
        <f ca="1">IFERROR(__xludf.DUMMYFUNCTION("QUERY('Volunteer Survey'!P394)"),"")</f>
        <v/>
      </c>
      <c r="X385" s="58" t="str">
        <f ca="1">IFERROR(__xludf.DUMMYFUNCTION("QUERY('Volunteer Survey'!R394)"),"")</f>
        <v/>
      </c>
      <c r="Y385" s="47"/>
      <c r="Z385" s="174">
        <f ca="1">IFERROR(__xludf.DUMMYFUNCTION("QUERY('Volunteer Survey'!A384)"),43842.7025740046)</f>
        <v>43842.702574004601</v>
      </c>
      <c r="AA385" s="175" t="str">
        <f ca="1">IFERROR(__xludf.DUMMYFUNCTION("QUERY('Volunteer Survey'!B384)"),"Erika Meaddough")</f>
        <v>Erika Meaddough</v>
      </c>
      <c r="AB385" s="175" t="str">
        <f ca="1">IFERROR(__xludf.DUMMYFUNCTION("QUERY('Volunteer Survey'!C384)"),"Clemson University")</f>
        <v>Clemson University</v>
      </c>
      <c r="AC385" s="175" t="str">
        <f ca="1">IFERROR(__xludf.DUMMYFUNCTION("QUERY('Volunteer Survey'!D384)"),"")</f>
        <v/>
      </c>
      <c r="AD385" s="175" t="str">
        <f ca="1">IFERROR(__xludf.DUMMYFUNCTION("QUERY('Volunteer Survey'!E384)"),"meaddough@yahoo.com")</f>
        <v>meaddough@yahoo.com</v>
      </c>
      <c r="AE385" s="175" t="str">
        <f ca="1">IFERROR(__xludf.DUMMYFUNCTION("QUERY('Volunteer Survey'!F384)"),"Graduate Student")</f>
        <v>Graduate Student</v>
      </c>
      <c r="AF385" s="175" t="str">
        <f ca="1">IFERROR(__xludf.DUMMYFUNCTION("QUERY('Volunteer Survey'!G384)"),"Youtube")</f>
        <v>Youtube</v>
      </c>
      <c r="AG385" s="175" t="str">
        <f ca="1">IFERROR(__xludf.DUMMYFUNCTION("QUERY('Volunteer Survey'!H384)"),"Baseline")</f>
        <v>Baseline</v>
      </c>
      <c r="AH385" s="175" t="str">
        <f ca="1">IFERROR(__xludf.DUMMYFUNCTION("QUERY('Volunteer Survey'!I384)"),"")</f>
        <v/>
      </c>
      <c r="AI385" s="175" t="str">
        <f ca="1">IFERROR(__xludf.DUMMYFUNCTION("QUERY('Volunteer Survey'!J384)"),"")</f>
        <v/>
      </c>
      <c r="AJ385" s="175" t="str">
        <f ca="1">IFERROR(__xludf.DUMMYFUNCTION("QUERY('Volunteer Survey'!K384)"),"")</f>
        <v/>
      </c>
      <c r="AK385" s="175" t="str">
        <f ca="1">IFERROR(__xludf.DUMMYFUNCTION("QUERY('Volunteer Survey'!L384)"),"")</f>
        <v/>
      </c>
      <c r="AL385" s="175" t="str">
        <f ca="1">IFERROR(__xludf.DUMMYFUNCTION("QUERY('Volunteer Survey'!M384)"),"")</f>
        <v/>
      </c>
      <c r="AM385" s="175" t="str">
        <f ca="1">IFERROR(__xludf.DUMMYFUNCTION("QUERY('Volunteer Survey'!N384)"),"")</f>
        <v/>
      </c>
      <c r="AN385" s="175" t="str">
        <f ca="1">IFERROR(__xludf.DUMMYFUNCTION("QUERY('Volunteer Survey'!O384)"),"Possibly")</f>
        <v>Possibly</v>
      </c>
      <c r="AO385" s="175" t="str">
        <f ca="1">IFERROR(__xludf.DUMMYFUNCTION("QUERY('Volunteer Survey'!P384)"),"Dosage Sensitivity Working Group")</f>
        <v>Dosage Sensitivity Working Group</v>
      </c>
    </row>
    <row r="386" spans="1:41" ht="14">
      <c r="A386" s="44">
        <f ca="1">IFERROR(__xludf.DUMMYFUNCTION("QUERY('Volunteer Survey'!A395)"),43852.752405405)</f>
        <v>43852.752405405001</v>
      </c>
      <c r="B386" s="42" t="s">
        <v>322</v>
      </c>
      <c r="C386" s="47"/>
      <c r="D386" s="49"/>
      <c r="E386" s="49"/>
      <c r="F386" s="42" t="s">
        <v>130</v>
      </c>
      <c r="G386" s="42" t="s">
        <v>313</v>
      </c>
      <c r="H386" s="47"/>
      <c r="I386" s="47"/>
      <c r="J386" s="49"/>
      <c r="K386" s="49"/>
      <c r="L386" s="49" t="str">
        <f ca="1">IFERROR(__xludf.DUMMYFUNCTION("QUERY('Volunteer Survey'!B395)"),"Silke Waap")</f>
        <v>Silke Waap</v>
      </c>
      <c r="M386" s="49" t="str">
        <f ca="1">IFERROR(__xludf.DUMMYFUNCTION("QUERY('Volunteer Survey'!E395)"),"silkewaap@gmail.com")</f>
        <v>silkewaap@gmail.com</v>
      </c>
      <c r="N386" s="49" t="str">
        <f ca="1">IFERROR(__xludf.DUMMYFUNCTION("QUERY('Volunteer Survey'!F395)"),"Scientific Researcher")</f>
        <v>Scientific Researcher</v>
      </c>
      <c r="O386" s="42" t="str">
        <f ca="1">IFERROR(__xludf.DUMMYFUNCTION("QUERY('Volunteer Survey'!H395)"),"Comprehensive")</f>
        <v>Comprehensive</v>
      </c>
      <c r="P386" s="49" t="str">
        <f ca="1">IFERROR(__xludf.DUMMYFUNCTION("QUERY('Volunteer Survey'!I395)"),"Gene-Disease Validity")</f>
        <v>Gene-Disease Validity</v>
      </c>
      <c r="Q386" s="54" t="str">
        <f ca="1">IFERROR(__xludf.DUMMYFUNCTION("QUERY('Volunteer Survey'!J395)"),"Variant Pathogenicity")</f>
        <v>Variant Pathogenicity</v>
      </c>
      <c r="R386" s="49" t="str">
        <f ca="1">IFERROR(__xludf.DUMMYFUNCTION("QUERY('Volunteer Survey'!K395)"),"")</f>
        <v/>
      </c>
      <c r="S386" s="49" t="str">
        <f ca="1">IFERROR(__xludf.DUMMYFUNCTION("QUERY('Volunteer Survey'!L395)"),"")</f>
        <v/>
      </c>
      <c r="T386" s="49" t="str">
        <f ca="1">IFERROR(__xludf.DUMMYFUNCTION("QUERY('Volunteer Survey'!M395)"),"")</f>
        <v/>
      </c>
      <c r="U386" s="58" t="str">
        <f ca="1">IFERROR(__xludf.DUMMYFUNCTION("QUERY('Volunteer Survey'!N395)"),"My scientific research expertise has been on evolutionary processes, involving gene variation (SNPs) and laboratory next generation sequencing techniques and bioinformatic analyses of genetic barcodes. ")</f>
        <v xml:space="preserve">My scientific research expertise has been on evolutionary processes, involving gene variation (SNPs) and laboratory next generation sequencing techniques and bioinformatic analyses of genetic barcodes. </v>
      </c>
      <c r="V386" s="49" t="str">
        <f ca="1">IFERROR(__xludf.DUMMYFUNCTION("QUERY('Volunteer Survey'!O395)"),"Yes")</f>
        <v>Yes</v>
      </c>
      <c r="W386" s="60" t="str">
        <f ca="1">IFERROR(__xludf.DUMMYFUNCTION("QUERY('Volunteer Survey'!P395)"),"")</f>
        <v/>
      </c>
      <c r="X386" s="58" t="str">
        <f ca="1">IFERROR(__xludf.DUMMYFUNCTION("QUERY('Volunteer Survey'!R395)"),"Yes- I am willing to volunteer with any available ClinGen group")</f>
        <v>Yes- I am willing to volunteer with any available ClinGen group</v>
      </c>
      <c r="Y386" s="47"/>
      <c r="Z386" s="174">
        <f ca="1">IFERROR(__xludf.DUMMYFUNCTION("QUERY('Volunteer Survey'!A385)"),43846.6386489004)</f>
        <v>43846.6386489004</v>
      </c>
      <c r="AA386" s="175" t="str">
        <f ca="1">IFERROR(__xludf.DUMMYFUNCTION("QUERY('Volunteer Survey'!B385)"),"Vijay Ganesh")</f>
        <v>Vijay Ganesh</v>
      </c>
      <c r="AB386" s="175" t="str">
        <f ca="1">IFERROR(__xludf.DUMMYFUNCTION("QUERY('Volunteer Survey'!C385)"),"Broad Institute; Brigham and Women's Hospital")</f>
        <v>Broad Institute; Brigham and Women's Hospital</v>
      </c>
      <c r="AC386" s="175" t="str">
        <f ca="1">IFERROR(__xludf.DUMMYFUNCTION("QUERY('Volunteer Survey'!D385)"),"60 Fenwood Road, Boston, MA 02115")</f>
        <v>60 Fenwood Road, Boston, MA 02115</v>
      </c>
      <c r="AD386" s="175" t="str">
        <f ca="1">IFERROR(__xludf.DUMMYFUNCTION("QUERY('Volunteer Survey'!E385)"),"vganesh@bwh.harvard.edu")</f>
        <v>vganesh@bwh.harvard.edu</v>
      </c>
      <c r="AE386" s="175" t="str">
        <f ca="1">IFERROR(__xludf.DUMMYFUNCTION("QUERY('Volunteer Survey'!F385)"),"Post Doc/Resident/Fellow (MD and/or PhD)")</f>
        <v>Post Doc/Resident/Fellow (MD and/or PhD)</v>
      </c>
      <c r="AF386" s="175" t="str">
        <f ca="1">IFERROR(__xludf.DUMMYFUNCTION("QUERY('Volunteer Survey'!G385)"),"Colleagues, Suggestion from mentor")</f>
        <v>Colleagues, Suggestion from mentor</v>
      </c>
      <c r="AG386" s="175" t="str">
        <f ca="1">IFERROR(__xludf.DUMMYFUNCTION("QUERY('Volunteer Survey'!H385)"),"Baseline")</f>
        <v>Baseline</v>
      </c>
      <c r="AH386" s="175" t="str">
        <f ca="1">IFERROR(__xludf.DUMMYFUNCTION("QUERY('Volunteer Survey'!I385)"),"Gene-Disease Validity")</f>
        <v>Gene-Disease Validity</v>
      </c>
      <c r="AI386" s="175" t="str">
        <f ca="1">IFERROR(__xludf.DUMMYFUNCTION("QUERY('Volunteer Survey'!J385)"),"Variant Pathogenicity")</f>
        <v>Variant Pathogenicity</v>
      </c>
      <c r="AJ386" s="175" t="str">
        <f ca="1">IFERROR(__xludf.DUMMYFUNCTION("QUERY('Volunteer Survey'!K385)"),"Clinical Actionability")</f>
        <v>Clinical Actionability</v>
      </c>
      <c r="AK386" s="175" t="str">
        <f ca="1">IFERROR(__xludf.DUMMYFUNCTION("QUERY('Volunteer Survey'!L385)"),"Dosage Sensitivity")</f>
        <v>Dosage Sensitivity</v>
      </c>
      <c r="AL386" s="175" t="str">
        <f ca="1">IFERROR(__xludf.DUMMYFUNCTION("QUERY('Volunteer Survey'!M385)"),"Somatic Cancer")</f>
        <v>Somatic Cancer</v>
      </c>
      <c r="AM386" s="175" t="str">
        <f ca="1">IFERROR(__xludf.DUMMYFUNCTION("QUERY('Volunteer Survey'!N385)"),"None")</f>
        <v>None</v>
      </c>
      <c r="AN386" s="175" t="str">
        <f ca="1">IFERROR(__xludf.DUMMYFUNCTION("QUERY('Volunteer Survey'!O385)"),"Yes")</f>
        <v>Yes</v>
      </c>
      <c r="AO386" s="175" t="str">
        <f ca="1">IFERROR(__xludf.DUMMYFUNCTION("QUERY('Volunteer Survey'!P385)"),"Limb Girdle Muscular Dystrophy; Congenital Myopathies; Charcot-Marie Tooth")</f>
        <v>Limb Girdle Muscular Dystrophy; Congenital Myopathies; Charcot-Marie Tooth</v>
      </c>
    </row>
    <row r="387" spans="1:41" ht="14">
      <c r="A387" s="49" t="str">
        <f ca="1">IFERROR(__xludf.DUMMYFUNCTION("QUERY('Volunteer Survey'!A405)"),"")</f>
        <v/>
      </c>
      <c r="B387" s="42" t="s">
        <v>322</v>
      </c>
      <c r="C387" s="47"/>
      <c r="D387" s="49"/>
      <c r="E387" s="49"/>
      <c r="F387" s="49" t="b">
        <v>0</v>
      </c>
      <c r="G387" s="42" t="s">
        <v>313</v>
      </c>
      <c r="H387" s="47"/>
      <c r="I387" s="47"/>
      <c r="J387" s="49"/>
      <c r="K387" s="49"/>
      <c r="L387" s="49" t="str">
        <f ca="1">IFERROR(__xludf.DUMMYFUNCTION("QUERY('Volunteer Survey'!B405)"),"")</f>
        <v/>
      </c>
      <c r="M387" s="49" t="str">
        <f ca="1">IFERROR(__xludf.DUMMYFUNCTION("QUERY('Volunteer Survey'!E405)"),"")</f>
        <v/>
      </c>
      <c r="N387" s="49" t="str">
        <f ca="1">IFERROR(__xludf.DUMMYFUNCTION("QUERY('Volunteer Survey'!F405)"),"")</f>
        <v/>
      </c>
      <c r="O387" s="42" t="str">
        <f ca="1">IFERROR(__xludf.DUMMYFUNCTION("QUERY('Volunteer Survey'!H405)"),"")</f>
        <v/>
      </c>
      <c r="P387" s="49" t="str">
        <f ca="1">IFERROR(__xludf.DUMMYFUNCTION("QUERY('Volunteer Survey'!I413)"),"")</f>
        <v/>
      </c>
      <c r="Q387" s="54" t="str">
        <f ca="1">IFERROR(__xludf.DUMMYFUNCTION("QUERY('Volunteer Survey'!J405)"),"")</f>
        <v/>
      </c>
      <c r="R387" s="49" t="str">
        <f ca="1">IFERROR(__xludf.DUMMYFUNCTION("QUERY('Volunteer Survey'!K405)"),"")</f>
        <v/>
      </c>
      <c r="S387" s="49" t="str">
        <f ca="1">IFERROR(__xludf.DUMMYFUNCTION("QUERY('Volunteer Survey'!L405)"),"")</f>
        <v/>
      </c>
      <c r="T387" s="49" t="str">
        <f ca="1">IFERROR(__xludf.DUMMYFUNCTION("QUERY('Volunteer Survey'!M405)"),"")</f>
        <v/>
      </c>
      <c r="U387" s="58" t="str">
        <f ca="1">IFERROR(__xludf.DUMMYFUNCTION("QUERY('Volunteer Survey'!N405)"),"")</f>
        <v/>
      </c>
      <c r="V387" s="49" t="str">
        <f ca="1">IFERROR(__xludf.DUMMYFUNCTION("QUERY('Volunteer Survey'!O405)"),"")</f>
        <v/>
      </c>
      <c r="W387" s="60" t="str">
        <f ca="1">IFERROR(__xludf.DUMMYFUNCTION("QUERY('Volunteer Survey'!P405)"),"")</f>
        <v/>
      </c>
      <c r="X387" s="58" t="str">
        <f ca="1">IFERROR(__xludf.DUMMYFUNCTION("QUERY('Volunteer Survey'!R405)"),"")</f>
        <v/>
      </c>
      <c r="Y387" s="47"/>
      <c r="Z387" s="174">
        <f ca="1">IFERROR(__xludf.DUMMYFUNCTION("QUERY('Volunteer Survey'!A386)"),43846.6398908564)</f>
        <v>43846.639890856401</v>
      </c>
      <c r="AA387" s="175" t="str">
        <f ca="1">IFERROR(__xludf.DUMMYFUNCTION("QUERY('Volunteer Survey'!B386)"),"Julie Hathaway")</f>
        <v>Julie Hathaway</v>
      </c>
      <c r="AB387" s="175" t="str">
        <f ca="1">IFERROR(__xludf.DUMMYFUNCTION("QUERY('Volunteer Survey'!C386)"),"Blueprint Genetics ")</f>
        <v xml:space="preserve">Blueprint Genetics </v>
      </c>
      <c r="AC387" s="175" t="str">
        <f ca="1">IFERROR(__xludf.DUMMYFUNCTION("QUERY('Volunteer Survey'!D386)"),"2505 3rd Ave, Suite 204
Seattle WA 98121
")</f>
        <v xml:space="preserve">2505 3rd Ave, Suite 204
Seattle WA 98121
</v>
      </c>
      <c r="AD387" s="175" t="str">
        <f ca="1">IFERROR(__xludf.DUMMYFUNCTION("QUERY('Volunteer Survey'!E386)"),"julie.hathaway@blueprintgenetics.com")</f>
        <v>julie.hathaway@blueprintgenetics.com</v>
      </c>
      <c r="AE387" s="175" t="str">
        <f ca="1">IFERROR(__xludf.DUMMYFUNCTION("QUERY('Volunteer Survey'!F386)"),"Genetic counselor")</f>
        <v>Genetic counselor</v>
      </c>
      <c r="AF387" s="175" t="str">
        <f ca="1">IFERROR(__xludf.DUMMYFUNCTION("QUERY('Volunteer Survey'!G386)"),"ACMG Conference 2019")</f>
        <v>ACMG Conference 2019</v>
      </c>
      <c r="AG387" s="175" t="str">
        <f ca="1">IFERROR(__xludf.DUMMYFUNCTION("QUERY('Volunteer Survey'!H386)"),"Comprehensive")</f>
        <v>Comprehensive</v>
      </c>
      <c r="AH387" s="175" t="str">
        <f ca="1">IFERROR(__xludf.DUMMYFUNCTION("QUERY('Volunteer Survey'!I386)"),"Gene-Disease Validity")</f>
        <v>Gene-Disease Validity</v>
      </c>
      <c r="AI387" s="175" t="str">
        <f ca="1">IFERROR(__xludf.DUMMYFUNCTION("QUERY('Volunteer Survey'!J386)"),"Variant Pathogenicity")</f>
        <v>Variant Pathogenicity</v>
      </c>
      <c r="AJ387" s="175" t="str">
        <f ca="1">IFERROR(__xludf.DUMMYFUNCTION("QUERY('Volunteer Survey'!K386)"),"Clinical Actionability")</f>
        <v>Clinical Actionability</v>
      </c>
      <c r="AK387" s="175" t="str">
        <f ca="1">IFERROR(__xludf.DUMMYFUNCTION("QUERY('Volunteer Survey'!L386)"),"Dosage Sensitivity")</f>
        <v>Dosage Sensitivity</v>
      </c>
      <c r="AL387" s="175" t="str">
        <f ca="1">IFERROR(__xludf.DUMMYFUNCTION("QUERY('Volunteer Survey'!M386)"),"Somatic Cancer")</f>
        <v>Somatic Cancer</v>
      </c>
      <c r="AM387" s="175" t="str">
        <f ca="1">IFERROR(__xludf.DUMMYFUNCTION("QUERY('Volunteer Survey'!N386)"),"")</f>
        <v/>
      </c>
      <c r="AN387" s="175" t="str">
        <f ca="1">IFERROR(__xludf.DUMMYFUNCTION("QUERY('Volunteer Survey'!O386)"),"No")</f>
        <v>No</v>
      </c>
      <c r="AO387" s="175" t="str">
        <f ca="1">IFERROR(__xludf.DUMMYFUNCTION("QUERY('Volunteer Survey'!P386)"),"Cardiomyopathy")</f>
        <v>Cardiomyopathy</v>
      </c>
    </row>
    <row r="388" spans="1:41" ht="14">
      <c r="A388" s="49" t="str">
        <f ca="1">IFERROR(__xludf.DUMMYFUNCTION("QUERY('Volunteer Survey'!A406)"),"")</f>
        <v/>
      </c>
      <c r="B388" s="42" t="s">
        <v>322</v>
      </c>
      <c r="C388" s="47"/>
      <c r="D388" s="49"/>
      <c r="E388" s="49"/>
      <c r="F388" s="49" t="b">
        <v>0</v>
      </c>
      <c r="G388" s="42" t="s">
        <v>313</v>
      </c>
      <c r="H388" s="47"/>
      <c r="I388" s="47"/>
      <c r="J388" s="49"/>
      <c r="K388" s="49"/>
      <c r="L388" s="49" t="str">
        <f ca="1">IFERROR(__xludf.DUMMYFUNCTION("QUERY('Volunteer Survey'!B414)"),"")</f>
        <v/>
      </c>
      <c r="M388" s="49" t="str">
        <f ca="1">IFERROR(__xludf.DUMMYFUNCTION("QUERY('Volunteer Survey'!E414)"),"")</f>
        <v/>
      </c>
      <c r="N388" s="49" t="str">
        <f ca="1">IFERROR(__xludf.DUMMYFUNCTION("QUERY('Volunteer Survey'!F406)"),"")</f>
        <v/>
      </c>
      <c r="O388" s="42" t="str">
        <f ca="1">IFERROR(__xludf.DUMMYFUNCTION("QUERY('Volunteer Survey'!H406)"),"")</f>
        <v/>
      </c>
      <c r="P388" s="49" t="str">
        <f ca="1">IFERROR(__xludf.DUMMYFUNCTION("QUERY('Volunteer Survey'!I414)"),"")</f>
        <v/>
      </c>
      <c r="Q388" s="54" t="str">
        <f ca="1">IFERROR(__xludf.DUMMYFUNCTION("QUERY('Volunteer Survey'!J414)"),"")</f>
        <v/>
      </c>
      <c r="R388" s="49" t="str">
        <f ca="1">IFERROR(__xludf.DUMMYFUNCTION("QUERY('Volunteer Survey'!K406)"),"")</f>
        <v/>
      </c>
      <c r="S388" s="49" t="str">
        <f ca="1">IFERROR(__xludf.DUMMYFUNCTION("QUERY('Volunteer Survey'!L406)"),"")</f>
        <v/>
      </c>
      <c r="T388" s="49" t="str">
        <f ca="1">IFERROR(__xludf.DUMMYFUNCTION("QUERY('Volunteer Survey'!M406)"),"")</f>
        <v/>
      </c>
      <c r="U388" s="58" t="str">
        <f ca="1">IFERROR(__xludf.DUMMYFUNCTION("QUERY('Volunteer Survey'!N406)"),"")</f>
        <v/>
      </c>
      <c r="V388" s="49" t="str">
        <f ca="1">IFERROR(__xludf.DUMMYFUNCTION("QUERY('Volunteer Survey'!O406)"),"")</f>
        <v/>
      </c>
      <c r="W388" s="60" t="str">
        <f ca="1">IFERROR(__xludf.DUMMYFUNCTION("QUERY('Volunteer Survey'!P406)"),"")</f>
        <v/>
      </c>
      <c r="X388" s="58" t="str">
        <f ca="1">IFERROR(__xludf.DUMMYFUNCTION("QUERY('Volunteer Survey'!R414)"),"")</f>
        <v/>
      </c>
      <c r="Y388" s="47"/>
      <c r="Z388" s="174">
        <f ca="1">IFERROR(__xludf.DUMMYFUNCTION("QUERY('Volunteer Survey'!A387)"),43846.6503298032)</f>
        <v>43846.650329803197</v>
      </c>
      <c r="AA388" s="175" t="str">
        <f ca="1">IFERROR(__xludf.DUMMYFUNCTION("QUERY('Volunteer Survey'!B387)"),"Devon Thrush")</f>
        <v>Devon Thrush</v>
      </c>
      <c r="AB388" s="175" t="str">
        <f ca="1">IFERROR(__xludf.DUMMYFUNCTION("QUERY('Volunteer Survey'!C387)"),"Ambry")</f>
        <v>Ambry</v>
      </c>
      <c r="AC388" s="175" t="str">
        <f ca="1">IFERROR(__xludf.DUMMYFUNCTION("QUERY('Volunteer Survey'!D387)"),"1416 Florence Ave")</f>
        <v>1416 Florence Ave</v>
      </c>
      <c r="AD388" s="175" t="str">
        <f ca="1">IFERROR(__xludf.DUMMYFUNCTION("QUERY('Volunteer Survey'!E387)"),"dthrush@ambrygen.com")</f>
        <v>dthrush@ambrygen.com</v>
      </c>
      <c r="AE388" s="175" t="str">
        <f ca="1">IFERROR(__xludf.DUMMYFUNCTION("QUERY('Volunteer Survey'!F387)"),"Genetic counselor")</f>
        <v>Genetic counselor</v>
      </c>
      <c r="AF388" s="175" t="str">
        <f ca="1">IFERROR(__xludf.DUMMYFUNCTION("QUERY('Volunteer Survey'!G387)"),"Colleagues, ClinGen affiliated emails and/or newsletters, The clinicalgenome.org website")</f>
        <v>Colleagues, ClinGen affiliated emails and/or newsletters, The clinicalgenome.org website</v>
      </c>
      <c r="AG388" s="175" t="str">
        <f ca="1">IFERROR(__xludf.DUMMYFUNCTION("QUERY('Volunteer Survey'!H387)"),"Comprehensive")</f>
        <v>Comprehensive</v>
      </c>
      <c r="AH388" s="175" t="str">
        <f ca="1">IFERROR(__xludf.DUMMYFUNCTION("QUERY('Volunteer Survey'!I387)"),"Gene-Disease Validity")</f>
        <v>Gene-Disease Validity</v>
      </c>
      <c r="AI388" s="175" t="str">
        <f ca="1">IFERROR(__xludf.DUMMYFUNCTION("QUERY('Volunteer Survey'!J387)"),"Variant Pathogenicity")</f>
        <v>Variant Pathogenicity</v>
      </c>
      <c r="AJ388" s="175" t="str">
        <f ca="1">IFERROR(__xludf.DUMMYFUNCTION("QUERY('Volunteer Survey'!K387)"),"Somatic Cancer")</f>
        <v>Somatic Cancer</v>
      </c>
      <c r="AK388" s="175" t="str">
        <f ca="1">IFERROR(__xludf.DUMMYFUNCTION("QUERY('Volunteer Survey'!L387)"),"Clinical Actionability")</f>
        <v>Clinical Actionability</v>
      </c>
      <c r="AL388" s="175" t="str">
        <f ca="1">IFERROR(__xludf.DUMMYFUNCTION("QUERY('Volunteer Survey'!M387)"),"Dosage Sensitivity")</f>
        <v>Dosage Sensitivity</v>
      </c>
      <c r="AM388" s="175" t="str">
        <f ca="1">IFERROR(__xludf.DUMMYFUNCTION("QUERY('Volunteer Survey'!N387)"),"I currently perform this type of work in my job. ")</f>
        <v xml:space="preserve">I currently perform this type of work in my job. </v>
      </c>
      <c r="AN388" s="175" t="str">
        <f ca="1">IFERROR(__xludf.DUMMYFUNCTION("QUERY('Volunteer Survey'!O387)"),"No")</f>
        <v>No</v>
      </c>
      <c r="AO388" s="175" t="str">
        <f ca="1">IFERROR(__xludf.DUMMYFUNCTION("QUERY('Volunteer Survey'!P387)"),"")</f>
        <v/>
      </c>
    </row>
    <row r="389" spans="1:41" ht="14">
      <c r="A389" s="49" t="str">
        <f ca="1">IFERROR(__xludf.DUMMYFUNCTION("QUERY('Volunteer Survey'!A407)"),"")</f>
        <v/>
      </c>
      <c r="B389" s="42" t="s">
        <v>322</v>
      </c>
      <c r="C389" s="47"/>
      <c r="D389" s="49"/>
      <c r="E389" s="49"/>
      <c r="F389" s="49" t="b">
        <v>0</v>
      </c>
      <c r="G389" s="42" t="s">
        <v>313</v>
      </c>
      <c r="H389" s="47"/>
      <c r="I389" s="47"/>
      <c r="J389" s="49"/>
      <c r="K389" s="49"/>
      <c r="L389" s="49" t="str">
        <f ca="1">IFERROR(__xludf.DUMMYFUNCTION("QUERY('Volunteer Survey'!B415)"),"")</f>
        <v/>
      </c>
      <c r="M389" s="49" t="str">
        <f ca="1">IFERROR(__xludf.DUMMYFUNCTION("QUERY('Volunteer Survey'!E415)"),"")</f>
        <v/>
      </c>
      <c r="N389" s="49" t="str">
        <f ca="1">IFERROR(__xludf.DUMMYFUNCTION("QUERY('Volunteer Survey'!F415)"),"")</f>
        <v/>
      </c>
      <c r="O389" s="42" t="str">
        <f ca="1">IFERROR(__xludf.DUMMYFUNCTION("QUERY('Volunteer Survey'!H407)"),"")</f>
        <v/>
      </c>
      <c r="P389" s="49" t="str">
        <f ca="1">IFERROR(__xludf.DUMMYFUNCTION("QUERY('Volunteer Survey'!I415)"),"")</f>
        <v/>
      </c>
      <c r="Q389" s="54" t="str">
        <f ca="1">IFERROR(__xludf.DUMMYFUNCTION("QUERY('Volunteer Survey'!J415)"),"")</f>
        <v/>
      </c>
      <c r="R389" s="49" t="str">
        <f ca="1">IFERROR(__xludf.DUMMYFUNCTION("QUERY('Volunteer Survey'!K415)"),"")</f>
        <v/>
      </c>
      <c r="S389" s="49" t="str">
        <f ca="1">IFERROR(__xludf.DUMMYFUNCTION("QUERY('Volunteer Survey'!L407)"),"")</f>
        <v/>
      </c>
      <c r="T389" s="49" t="str">
        <f ca="1">IFERROR(__xludf.DUMMYFUNCTION("QUERY('Volunteer Survey'!M407)"),"")</f>
        <v/>
      </c>
      <c r="U389" s="58" t="str">
        <f ca="1">IFERROR(__xludf.DUMMYFUNCTION("QUERY('Volunteer Survey'!N407)"),"")</f>
        <v/>
      </c>
      <c r="V389" s="49" t="str">
        <f ca="1">IFERROR(__xludf.DUMMYFUNCTION("QUERY('Volunteer Survey'!O415)"),"")</f>
        <v/>
      </c>
      <c r="W389" s="60" t="str">
        <f ca="1">IFERROR(__xludf.DUMMYFUNCTION("QUERY('Volunteer Survey'!P415)"),"")</f>
        <v/>
      </c>
      <c r="X389" s="58" t="str">
        <f ca="1">IFERROR(__xludf.DUMMYFUNCTION("QUERY('Volunteer Survey'!R415)"),"")</f>
        <v/>
      </c>
      <c r="Y389" s="47"/>
      <c r="Z389" s="174">
        <f ca="1">IFERROR(__xludf.DUMMYFUNCTION("QUERY('Volunteer Survey'!A388)"),43847.4378778125)</f>
        <v>43847.437877812503</v>
      </c>
      <c r="AA389" s="175" t="str">
        <f ca="1">IFERROR(__xludf.DUMMYFUNCTION("QUERY('Volunteer Survey'!B388)"),"Adriana Bastos Carvalho")</f>
        <v>Adriana Bastos Carvalho</v>
      </c>
      <c r="AB389" s="175" t="str">
        <f ca="1">IFERROR(__xludf.DUMMYFUNCTION("QUERY('Volunteer Survey'!C388)"),"Federal University of Rio de Janeiro")</f>
        <v>Federal University of Rio de Janeiro</v>
      </c>
      <c r="AC389" s="175" t="str">
        <f ca="1">IFERROR(__xludf.DUMMYFUNCTION("QUERY('Volunteer Survey'!D388)"),"Av Carlos Chagas Filho 373
Bloco G, Sala G2-053, Rio de Janeiro, RJ, Brazil, 21941-902")</f>
        <v>Av Carlos Chagas Filho 373
Bloco G, Sala G2-053, Rio de Janeiro, RJ, Brazil, 21941-902</v>
      </c>
      <c r="AD389" s="175" t="str">
        <f ca="1">IFERROR(__xludf.DUMMYFUNCTION("QUERY('Volunteer Survey'!E388)"),"carvalhoab@biof.ufrj.br")</f>
        <v>carvalhoab@biof.ufrj.br</v>
      </c>
      <c r="AE389" s="175" t="str">
        <f ca="1">IFERROR(__xludf.DUMMYFUNCTION("QUERY('Volunteer Survey'!F388)"),"Scientific Researcher")</f>
        <v>Scientific Researcher</v>
      </c>
      <c r="AF389" s="175" t="str">
        <f ca="1">IFERROR(__xludf.DUMMYFUNCTION("QUERY('Volunteer Survey'!G388)"),"The clinicalgenome.org website")</f>
        <v>The clinicalgenome.org website</v>
      </c>
      <c r="AG389" s="175" t="str">
        <f ca="1">IFERROR(__xludf.DUMMYFUNCTION("QUERY('Volunteer Survey'!H388)"),"Comprehensive")</f>
        <v>Comprehensive</v>
      </c>
      <c r="AH389" s="175" t="str">
        <f ca="1">IFERROR(__xludf.DUMMYFUNCTION("QUERY('Volunteer Survey'!I388)"),"Variant Pathogenicity")</f>
        <v>Variant Pathogenicity</v>
      </c>
      <c r="AI389" s="175" t="str">
        <f ca="1">IFERROR(__xludf.DUMMYFUNCTION("QUERY('Volunteer Survey'!J388)"),"")</f>
        <v/>
      </c>
      <c r="AJ389" s="175" t="str">
        <f ca="1">IFERROR(__xludf.DUMMYFUNCTION("QUERY('Volunteer Survey'!K388)"),"")</f>
        <v/>
      </c>
      <c r="AK389" s="175" t="str">
        <f ca="1">IFERROR(__xludf.DUMMYFUNCTION("QUERY('Volunteer Survey'!L388)"),"")</f>
        <v/>
      </c>
      <c r="AL389" s="175" t="str">
        <f ca="1">IFERROR(__xludf.DUMMYFUNCTION("QUERY('Volunteer Survey'!M388)"),"")</f>
        <v/>
      </c>
      <c r="AM389" s="175" t="str">
        <f ca="1">IFERROR(__xludf.DUMMYFUNCTION("QUERY('Volunteer Survey'!N388)"),"No. Although I have never worked in curation activities, I work with in vitro models to investigate variant pathogenicity.")</f>
        <v>No. Although I have never worked in curation activities, I work with in vitro models to investigate variant pathogenicity.</v>
      </c>
      <c r="AN389" s="175" t="str">
        <f ca="1">IFERROR(__xludf.DUMMYFUNCTION("QUERY('Volunteer Survey'!O388)"),"Yes")</f>
        <v>Yes</v>
      </c>
      <c r="AO389" s="175" t="str">
        <f ca="1">IFERROR(__xludf.DUMMYFUNCTION("QUERY('Volunteer Survey'!P388)"),"Cardiomyopathy Variant Curation Expert Panel")</f>
        <v>Cardiomyopathy Variant Curation Expert Panel</v>
      </c>
    </row>
    <row r="390" spans="1:41" ht="14">
      <c r="A390" s="49" t="str">
        <f ca="1">IFERROR(__xludf.DUMMYFUNCTION("QUERY('Volunteer Survey'!A408)"),"")</f>
        <v/>
      </c>
      <c r="B390" s="42" t="s">
        <v>322</v>
      </c>
      <c r="C390" s="47"/>
      <c r="D390" s="49"/>
      <c r="E390" s="49"/>
      <c r="F390" s="49" t="b">
        <v>0</v>
      </c>
      <c r="G390" s="42" t="s">
        <v>313</v>
      </c>
      <c r="H390" s="47"/>
      <c r="I390" s="47"/>
      <c r="J390" s="49"/>
      <c r="K390" s="49"/>
      <c r="L390" s="49" t="str">
        <f ca="1">IFERROR(__xludf.DUMMYFUNCTION("QUERY('Volunteer Survey'!B416)"),"")</f>
        <v/>
      </c>
      <c r="M390" s="49" t="str">
        <f ca="1">IFERROR(__xludf.DUMMYFUNCTION("QUERY('Volunteer Survey'!E416)"),"")</f>
        <v/>
      </c>
      <c r="N390" s="49" t="str">
        <f ca="1">IFERROR(__xludf.DUMMYFUNCTION("QUERY('Volunteer Survey'!F416)"),"")</f>
        <v/>
      </c>
      <c r="O390" s="42" t="str">
        <f ca="1">IFERROR(__xludf.DUMMYFUNCTION("QUERY('Volunteer Survey'!H416)"),"")</f>
        <v/>
      </c>
      <c r="P390" s="49" t="str">
        <f ca="1">IFERROR(__xludf.DUMMYFUNCTION("QUERY('Volunteer Survey'!I416)"),"")</f>
        <v/>
      </c>
      <c r="Q390" s="54" t="str">
        <f ca="1">IFERROR(__xludf.DUMMYFUNCTION("QUERY('Volunteer Survey'!J416)"),"")</f>
        <v/>
      </c>
      <c r="R390" s="49" t="str">
        <f ca="1">IFERROR(__xludf.DUMMYFUNCTION("QUERY('Volunteer Survey'!K416)"),"")</f>
        <v/>
      </c>
      <c r="S390" s="49" t="str">
        <f ca="1">IFERROR(__xludf.DUMMYFUNCTION("QUERY('Volunteer Survey'!L416)"),"")</f>
        <v/>
      </c>
      <c r="T390" s="49" t="str">
        <f ca="1">IFERROR(__xludf.DUMMYFUNCTION("QUERY('Volunteer Survey'!M416)"),"")</f>
        <v/>
      </c>
      <c r="U390" s="58" t="str">
        <f ca="1">IFERROR(__xludf.DUMMYFUNCTION("QUERY('Volunteer Survey'!N416)"),"")</f>
        <v/>
      </c>
      <c r="V390" s="49" t="str">
        <f ca="1">IFERROR(__xludf.DUMMYFUNCTION("QUERY('Volunteer Survey'!O416)"),"")</f>
        <v/>
      </c>
      <c r="W390" s="60" t="str">
        <f ca="1">IFERROR(__xludf.DUMMYFUNCTION("QUERY('Volunteer Survey'!P416)"),"")</f>
        <v/>
      </c>
      <c r="X390" s="58" t="str">
        <f ca="1">IFERROR(__xludf.DUMMYFUNCTION("QUERY('Volunteer Survey'!R416)"),"")</f>
        <v/>
      </c>
      <c r="Y390" s="47"/>
      <c r="Z390" s="174">
        <f ca="1">IFERROR(__xludf.DUMMYFUNCTION("QUERY('Volunteer Survey'!A389)"),43847.6695517476)</f>
        <v>43847.669551747596</v>
      </c>
      <c r="AA390" s="175" t="str">
        <f ca="1">IFERROR(__xludf.DUMMYFUNCTION("QUERY('Volunteer Survey'!B389)"),"Shiloh Martin")</f>
        <v>Shiloh Martin</v>
      </c>
      <c r="AB390" s="175" t="str">
        <f ca="1">IFERROR(__xludf.DUMMYFUNCTION("QUERY('Volunteer Survey'!C389)"),"Invitae")</f>
        <v>Invitae</v>
      </c>
      <c r="AC390" s="175" t="str">
        <f ca="1">IFERROR(__xludf.DUMMYFUNCTION("QUERY('Volunteer Survey'!D389)"),"1400 16th Street")</f>
        <v>1400 16th Street</v>
      </c>
      <c r="AD390" s="175" t="str">
        <f ca="1">IFERROR(__xludf.DUMMYFUNCTION("QUERY('Volunteer Survey'!E389)"),"shiloh.martin@invitae.com")</f>
        <v>shiloh.martin@invitae.com</v>
      </c>
      <c r="AE390" s="175" t="str">
        <f ca="1">IFERROR(__xludf.DUMMYFUNCTION("QUERY('Volunteer Survey'!F389)"),"Variant Analyst/Scientist - Industry")</f>
        <v>Variant Analyst/Scientist - Industry</v>
      </c>
      <c r="AF390" s="175" t="str">
        <f ca="1">IFERROR(__xludf.DUMMYFUNCTION("QUERY('Volunteer Survey'!G389)"),"Colleagues")</f>
        <v>Colleagues</v>
      </c>
      <c r="AG390" s="175" t="str">
        <f ca="1">IFERROR(__xludf.DUMMYFUNCTION("QUERY('Volunteer Survey'!H389)"),"Comprehensive")</f>
        <v>Comprehensive</v>
      </c>
      <c r="AH390" s="175" t="str">
        <f ca="1">IFERROR(__xludf.DUMMYFUNCTION("QUERY('Volunteer Survey'!I389)"),"Gene-Disease Validity")</f>
        <v>Gene-Disease Validity</v>
      </c>
      <c r="AI390" s="175" t="str">
        <f ca="1">IFERROR(__xludf.DUMMYFUNCTION("QUERY('Volunteer Survey'!J389)"),"Variant Pathogenicity")</f>
        <v>Variant Pathogenicity</v>
      </c>
      <c r="AJ390" s="175" t="str">
        <f ca="1">IFERROR(__xludf.DUMMYFUNCTION("QUERY('Volunteer Survey'!K389)"),"")</f>
        <v/>
      </c>
      <c r="AK390" s="175" t="str">
        <f ca="1">IFERROR(__xludf.DUMMYFUNCTION("QUERY('Volunteer Survey'!L389)"),"")</f>
        <v/>
      </c>
      <c r="AL390" s="175" t="str">
        <f ca="1">IFERROR(__xludf.DUMMYFUNCTION("QUERY('Volunteer Survey'!M389)"),"")</f>
        <v/>
      </c>
      <c r="AM390" s="175" t="str">
        <f ca="1">IFERROR(__xludf.DUMMYFUNCTION("QUERY('Volunteer Survey'!N389)"),"I currently do gene-disease curations and variant interpretation at Invitae")</f>
        <v>I currently do gene-disease curations and variant interpretation at Invitae</v>
      </c>
      <c r="AN390" s="175" t="str">
        <f ca="1">IFERROR(__xludf.DUMMYFUNCTION("QUERY('Volunteer Survey'!O389)"),"No")</f>
        <v>No</v>
      </c>
      <c r="AO390" s="175" t="str">
        <f ca="1">IFERROR(__xludf.DUMMYFUNCTION("QUERY('Volunteer Survey'!P389)"),"I am interested in working with an Immunology GCEP.  I don't think such a GCEP exists at this time, but I have been told that one is possibly forming, so I would be interested in joining that group once formed.")</f>
        <v>I am interested in working with an Immunology GCEP.  I don't think such a GCEP exists at this time, but I have been told that one is possibly forming, so I would be interested in joining that group once formed.</v>
      </c>
    </row>
    <row r="391" spans="1:41" ht="14">
      <c r="A391" s="49" t="str">
        <f ca="1">IFERROR(__xludf.DUMMYFUNCTION("QUERY('Volunteer Survey'!A409)"),"")</f>
        <v/>
      </c>
      <c r="B391" s="42" t="s">
        <v>322</v>
      </c>
      <c r="C391" s="47"/>
      <c r="D391" s="49"/>
      <c r="E391" s="49"/>
      <c r="F391" s="49" t="b">
        <v>0</v>
      </c>
      <c r="G391" s="42" t="s">
        <v>313</v>
      </c>
      <c r="H391" s="47"/>
      <c r="I391" s="47"/>
      <c r="J391" s="49"/>
      <c r="K391" s="49"/>
      <c r="L391" s="49" t="str">
        <f ca="1">IFERROR(__xludf.DUMMYFUNCTION("QUERY('Volunteer Survey'!B417)"),"")</f>
        <v/>
      </c>
      <c r="M391" s="49" t="str">
        <f ca="1">IFERROR(__xludf.DUMMYFUNCTION("QUERY('Volunteer Survey'!E417)"),"")</f>
        <v/>
      </c>
      <c r="N391" s="49" t="str">
        <f ca="1">IFERROR(__xludf.DUMMYFUNCTION("QUERY('Volunteer Survey'!F417)"),"")</f>
        <v/>
      </c>
      <c r="O391" s="42" t="str">
        <f ca="1">IFERROR(__xludf.DUMMYFUNCTION("QUERY('Volunteer Survey'!H417)"),"")</f>
        <v/>
      </c>
      <c r="P391" s="49" t="str">
        <f ca="1">IFERROR(__xludf.DUMMYFUNCTION("QUERY('Volunteer Survey'!I417)"),"")</f>
        <v/>
      </c>
      <c r="Q391" s="54" t="str">
        <f ca="1">IFERROR(__xludf.DUMMYFUNCTION("QUERY('Volunteer Survey'!J417)"),"")</f>
        <v/>
      </c>
      <c r="R391" s="49" t="str">
        <f ca="1">IFERROR(__xludf.DUMMYFUNCTION("QUERY('Volunteer Survey'!K417)"),"")</f>
        <v/>
      </c>
      <c r="S391" s="49" t="str">
        <f ca="1">IFERROR(__xludf.DUMMYFUNCTION("QUERY('Volunteer Survey'!L417)"),"")</f>
        <v/>
      </c>
      <c r="T391" s="49" t="str">
        <f ca="1">IFERROR(__xludf.DUMMYFUNCTION("QUERY('Volunteer Survey'!M417)"),"")</f>
        <v/>
      </c>
      <c r="U391" s="58" t="str">
        <f ca="1">IFERROR(__xludf.DUMMYFUNCTION("QUERY('Volunteer Survey'!N417)"),"")</f>
        <v/>
      </c>
      <c r="V391" s="49" t="str">
        <f ca="1">IFERROR(__xludf.DUMMYFUNCTION("QUERY('Volunteer Survey'!O417)"),"")</f>
        <v/>
      </c>
      <c r="W391" s="60" t="str">
        <f ca="1">IFERROR(__xludf.DUMMYFUNCTION("QUERY('Volunteer Survey'!P417)"),"")</f>
        <v/>
      </c>
      <c r="X391" s="58" t="str">
        <f ca="1">IFERROR(__xludf.DUMMYFUNCTION("QUERY('Volunteer Survey'!R417)"),"")</f>
        <v/>
      </c>
      <c r="Y391" s="47"/>
      <c r="Z391" s="174">
        <f ca="1">IFERROR(__xludf.DUMMYFUNCTION("QUERY('Volunteer Survey'!A390)"),43847.8215832638)</f>
        <v>43847.821583263802</v>
      </c>
      <c r="AA391" s="175" t="str">
        <f ca="1">IFERROR(__xludf.DUMMYFUNCTION("QUERY('Volunteer Survey'!B390)"),"Jennifer Holle")</f>
        <v>Jennifer Holle</v>
      </c>
      <c r="AB391" s="175" t="str">
        <f ca="1">IFERROR(__xludf.DUMMYFUNCTION("QUERY('Volunteer Survey'!C390)"),"Invitae")</f>
        <v>Invitae</v>
      </c>
      <c r="AC391" s="175" t="str">
        <f ca="1">IFERROR(__xludf.DUMMYFUNCTION("QUERY('Volunteer Survey'!D390)"),"")</f>
        <v/>
      </c>
      <c r="AD391" s="175" t="str">
        <f ca="1">IFERROR(__xludf.DUMMYFUNCTION("QUERY('Volunteer Survey'!E390)"),"jennifer.holle@invitae.com")</f>
        <v>jennifer.holle@invitae.com</v>
      </c>
      <c r="AE391" s="175" t="str">
        <f ca="1">IFERROR(__xludf.DUMMYFUNCTION("QUERY('Volunteer Survey'!F390)"),"Variant Analyst/Scientist - Industry")</f>
        <v>Variant Analyst/Scientist - Industry</v>
      </c>
      <c r="AF391" s="175" t="str">
        <f ca="1">IFERROR(__xludf.DUMMYFUNCTION("QUERY('Volunteer Survey'!G390)"),"Networking")</f>
        <v>Networking</v>
      </c>
      <c r="AG391" s="175" t="str">
        <f ca="1">IFERROR(__xludf.DUMMYFUNCTION("QUERY('Volunteer Survey'!H390)"),"Comprehensive")</f>
        <v>Comprehensive</v>
      </c>
      <c r="AH391" s="175" t="str">
        <f ca="1">IFERROR(__xludf.DUMMYFUNCTION("QUERY('Volunteer Survey'!I390)"),"Gene-Disease Validity")</f>
        <v>Gene-Disease Validity</v>
      </c>
      <c r="AI391" s="175" t="str">
        <f ca="1">IFERROR(__xludf.DUMMYFUNCTION("QUERY('Volunteer Survey'!J390)"),"Variant Pathogenicity")</f>
        <v>Variant Pathogenicity</v>
      </c>
      <c r="AJ391" s="175" t="str">
        <f ca="1">IFERROR(__xludf.DUMMYFUNCTION("QUERY('Volunteer Survey'!K390)"),"")</f>
        <v/>
      </c>
      <c r="AK391" s="175" t="str">
        <f ca="1">IFERROR(__xludf.DUMMYFUNCTION("QUERY('Volunteer Survey'!L390)"),"")</f>
        <v/>
      </c>
      <c r="AL391" s="175" t="str">
        <f ca="1">IFERROR(__xludf.DUMMYFUNCTION("QUERY('Volunteer Survey'!M390)"),"")</f>
        <v/>
      </c>
      <c r="AM391" s="175" t="str">
        <f ca="1">IFERROR(__xludf.DUMMYFUNCTION("QUERY('Volunteer Survey'!N390)"),"Yes, I do variant pathogenicity curation in my job, as well as gene-disease validity curation (though I do less of this).")</f>
        <v>Yes, I do variant pathogenicity curation in my job, as well as gene-disease validity curation (though I do less of this).</v>
      </c>
      <c r="AN391" s="175" t="str">
        <f ca="1">IFERROR(__xludf.DUMMYFUNCTION("QUERY('Volunteer Survey'!O390)"),"Possibly")</f>
        <v>Possibly</v>
      </c>
      <c r="AO391" s="175" t="str">
        <f ca="1">IFERROR(__xludf.DUMMYFUNCTION("QUERY('Volunteer Survey'!P390)"),"The primary immunodeficiency group - didn't see it on the list, but I know it's upcoming")</f>
        <v>The primary immunodeficiency group - didn't see it on the list, but I know it's upcoming</v>
      </c>
    </row>
    <row r="392" spans="1:41" ht="14">
      <c r="A392" s="49" t="str">
        <f ca="1">IFERROR(__xludf.DUMMYFUNCTION("QUERY('Volunteer Survey'!A786)"),"")</f>
        <v/>
      </c>
      <c r="B392" s="42" t="s">
        <v>322</v>
      </c>
      <c r="C392" s="47"/>
      <c r="D392" s="49"/>
      <c r="E392" s="49"/>
      <c r="F392" s="49" t="b">
        <v>0</v>
      </c>
      <c r="G392" s="42" t="s">
        <v>313</v>
      </c>
      <c r="H392" s="47"/>
      <c r="I392" s="47"/>
      <c r="J392" s="49"/>
      <c r="K392" s="49"/>
      <c r="L392" s="49" t="str">
        <f ca="1">IFERROR(__xludf.DUMMYFUNCTION("QUERY('Volunteer Survey'!B418)"),"")</f>
        <v/>
      </c>
      <c r="M392" s="49" t="str">
        <f ca="1">IFERROR(__xludf.DUMMYFUNCTION("QUERY('Volunteer Survey'!E418)"),"")</f>
        <v/>
      </c>
      <c r="N392" s="49" t="str">
        <f ca="1">IFERROR(__xludf.DUMMYFUNCTION("QUERY('Volunteer Survey'!F418)"),"")</f>
        <v/>
      </c>
      <c r="O392" s="42" t="str">
        <f ca="1">IFERROR(__xludf.DUMMYFUNCTION("QUERY('Volunteer Survey'!H418)"),"")</f>
        <v/>
      </c>
      <c r="P392" s="49" t="str">
        <f ca="1">IFERROR(__xludf.DUMMYFUNCTION("QUERY('Volunteer Survey'!I418)"),"")</f>
        <v/>
      </c>
      <c r="Q392" s="54" t="str">
        <f ca="1">IFERROR(__xludf.DUMMYFUNCTION("QUERY('Volunteer Survey'!J418)"),"")</f>
        <v/>
      </c>
      <c r="R392" s="49" t="str">
        <f ca="1">IFERROR(__xludf.DUMMYFUNCTION("QUERY('Volunteer Survey'!K418)"),"")</f>
        <v/>
      </c>
      <c r="S392" s="49" t="str">
        <f ca="1">IFERROR(__xludf.DUMMYFUNCTION("QUERY('Volunteer Survey'!L418)"),"")</f>
        <v/>
      </c>
      <c r="T392" s="49" t="str">
        <f ca="1">IFERROR(__xludf.DUMMYFUNCTION("QUERY('Volunteer Survey'!M418)"),"")</f>
        <v/>
      </c>
      <c r="U392" s="58" t="str">
        <f ca="1">IFERROR(__xludf.DUMMYFUNCTION("QUERY('Volunteer Survey'!N418)"),"")</f>
        <v/>
      </c>
      <c r="V392" s="49" t="str">
        <f ca="1">IFERROR(__xludf.DUMMYFUNCTION("QUERY('Volunteer Survey'!O418)"),"")</f>
        <v/>
      </c>
      <c r="W392" s="60" t="str">
        <f ca="1">IFERROR(__xludf.DUMMYFUNCTION("QUERY('Volunteer Survey'!P418)"),"")</f>
        <v/>
      </c>
      <c r="X392" s="58" t="str">
        <f ca="1">IFERROR(__xludf.DUMMYFUNCTION("QUERY('Volunteer Survey'!R418)"),"")</f>
        <v/>
      </c>
      <c r="Y392" s="47"/>
      <c r="Z392" s="174">
        <f ca="1">IFERROR(__xludf.DUMMYFUNCTION("QUERY('Volunteer Survey'!A391)"),43851.4003759837)</f>
        <v>43851.4003759837</v>
      </c>
      <c r="AA392" s="175" t="str">
        <f ca="1">IFERROR(__xludf.DUMMYFUNCTION("QUERY('Volunteer Survey'!B391)"),"George Jour")</f>
        <v>George Jour</v>
      </c>
      <c r="AB392" s="175" t="str">
        <f ca="1">IFERROR(__xludf.DUMMYFUNCTION("QUERY('Volunteer Survey'!C391)"),"NYU Langone Health")</f>
        <v>NYU Langone Health</v>
      </c>
      <c r="AC392" s="175" t="str">
        <f ca="1">IFERROR(__xludf.DUMMYFUNCTION("QUERY('Volunteer Survey'!D391)"),"240 east 38th street 22nd floor")</f>
        <v>240 east 38th street 22nd floor</v>
      </c>
      <c r="AD392" s="175" t="str">
        <f ca="1">IFERROR(__xludf.DUMMYFUNCTION("QUERY('Volunteer Survey'!E391)"),"george.jour@nyulangone.org")</f>
        <v>george.jour@nyulangone.org</v>
      </c>
      <c r="AE392" s="175" t="str">
        <f ca="1">IFERROR(__xludf.DUMMYFUNCTION("QUERY('Volunteer Survey'!F391)"),"Physician (Non-geneticist)")</f>
        <v>Physician (Non-geneticist)</v>
      </c>
      <c r="AF392" s="175" t="str">
        <f ca="1">IFERROR(__xludf.DUMMYFUNCTION("QUERY('Volunteer Survey'!G391)"),"Colleagues")</f>
        <v>Colleagues</v>
      </c>
      <c r="AG392" s="175" t="str">
        <f ca="1">IFERROR(__xludf.DUMMYFUNCTION("QUERY('Volunteer Survey'!H391)"),"Baseline")</f>
        <v>Baseline</v>
      </c>
      <c r="AH392" s="175" t="str">
        <f ca="1">IFERROR(__xludf.DUMMYFUNCTION("QUERY('Volunteer Survey'!I391)"),"Clinical Actionability")</f>
        <v>Clinical Actionability</v>
      </c>
      <c r="AI392" s="175" t="str">
        <f ca="1">IFERROR(__xludf.DUMMYFUNCTION("QUERY('Volunteer Survey'!J391)"),"Somatic Cancer")</f>
        <v>Somatic Cancer</v>
      </c>
      <c r="AJ392" s="175" t="str">
        <f ca="1">IFERROR(__xludf.DUMMYFUNCTION("QUERY('Volunteer Survey'!K391)"),"Gene-Disease Validity")</f>
        <v>Gene-Disease Validity</v>
      </c>
      <c r="AK392" s="175" t="str">
        <f ca="1">IFERROR(__xludf.DUMMYFUNCTION("QUERY('Volunteer Survey'!L391)"),"Variant Pathogenicity")</f>
        <v>Variant Pathogenicity</v>
      </c>
      <c r="AL392" s="175" t="str">
        <f ca="1">IFERROR(__xludf.DUMMYFUNCTION("QUERY('Volunteer Survey'!M391)"),"")</f>
        <v/>
      </c>
      <c r="AM392" s="175" t="str">
        <f ca="1">IFERROR(__xludf.DUMMYFUNCTION("QUERY('Volunteer Survey'!N391)"),"I did help curate an internal database during my fellowship for an inherited cancer NGS panel")</f>
        <v>I did help curate an internal database during my fellowship for an inherited cancer NGS panel</v>
      </c>
      <c r="AN392" s="175" t="str">
        <f ca="1">IFERROR(__xludf.DUMMYFUNCTION("QUERY('Volunteer Survey'!O391)"),"Yes")</f>
        <v>Yes</v>
      </c>
      <c r="AO392" s="175" t="str">
        <f ca="1">IFERROR(__xludf.DUMMYFUNCTION("QUERY('Volunteer Survey'!P391)"),"Rasopathies; hearing Loss; inherited cancers")</f>
        <v>Rasopathies; hearing Loss; inherited cancers</v>
      </c>
    </row>
    <row r="393" spans="1:41" ht="14">
      <c r="A393" s="49" t="str">
        <f ca="1">IFERROR(__xludf.DUMMYFUNCTION("QUERY('Volunteer Survey'!A787)"),"")</f>
        <v/>
      </c>
      <c r="B393" s="42" t="s">
        <v>322</v>
      </c>
      <c r="C393" s="47"/>
      <c r="D393" s="49"/>
      <c r="E393" s="49"/>
      <c r="F393" s="49" t="b">
        <v>0</v>
      </c>
      <c r="G393" s="42" t="s">
        <v>313</v>
      </c>
      <c r="H393" s="47"/>
      <c r="I393" s="47"/>
      <c r="J393" s="49"/>
      <c r="K393" s="49"/>
      <c r="L393" s="49" t="str">
        <f ca="1">IFERROR(__xludf.DUMMYFUNCTION("QUERY('Volunteer Survey'!B419)"),"")</f>
        <v/>
      </c>
      <c r="M393" s="49" t="str">
        <f ca="1">IFERROR(__xludf.DUMMYFUNCTION("QUERY('Volunteer Survey'!E419)"),"")</f>
        <v/>
      </c>
      <c r="N393" s="49" t="str">
        <f ca="1">IFERROR(__xludf.DUMMYFUNCTION("QUERY('Volunteer Survey'!F419)"),"")</f>
        <v/>
      </c>
      <c r="O393" s="42" t="str">
        <f ca="1">IFERROR(__xludf.DUMMYFUNCTION("QUERY('Volunteer Survey'!H419)"),"")</f>
        <v/>
      </c>
      <c r="P393" s="49" t="str">
        <f ca="1">IFERROR(__xludf.DUMMYFUNCTION("QUERY('Volunteer Survey'!I419)"),"")</f>
        <v/>
      </c>
      <c r="Q393" s="54" t="str">
        <f ca="1">IFERROR(__xludf.DUMMYFUNCTION("QUERY('Volunteer Survey'!J419)"),"")</f>
        <v/>
      </c>
      <c r="R393" s="49" t="str">
        <f ca="1">IFERROR(__xludf.DUMMYFUNCTION("QUERY('Volunteer Survey'!K419)"),"")</f>
        <v/>
      </c>
      <c r="S393" s="49" t="str">
        <f ca="1">IFERROR(__xludf.DUMMYFUNCTION("QUERY('Volunteer Survey'!L419)"),"")</f>
        <v/>
      </c>
      <c r="T393" s="49" t="str">
        <f ca="1">IFERROR(__xludf.DUMMYFUNCTION("QUERY('Volunteer Survey'!M419)"),"")</f>
        <v/>
      </c>
      <c r="U393" s="58" t="str">
        <f ca="1">IFERROR(__xludf.DUMMYFUNCTION("QUERY('Volunteer Survey'!N419)"),"")</f>
        <v/>
      </c>
      <c r="V393" s="49" t="str">
        <f ca="1">IFERROR(__xludf.DUMMYFUNCTION("QUERY('Volunteer Survey'!O419)"),"")</f>
        <v/>
      </c>
      <c r="W393" s="60" t="str">
        <f ca="1">IFERROR(__xludf.DUMMYFUNCTION("QUERY('Volunteer Survey'!P419)"),"")</f>
        <v/>
      </c>
      <c r="X393" s="58" t="str">
        <f ca="1">IFERROR(__xludf.DUMMYFUNCTION("QUERY('Volunteer Survey'!R419)"),"")</f>
        <v/>
      </c>
      <c r="Y393" s="47"/>
      <c r="Z393" s="174">
        <f ca="1">IFERROR(__xludf.DUMMYFUNCTION("QUERY('Volunteer Survey'!A392)"),43851.4155711226)</f>
        <v>43851.415571122598</v>
      </c>
      <c r="AA393" s="175" t="str">
        <f ca="1">IFERROR(__xludf.DUMMYFUNCTION("QUERY('Volunteer Survey'!B392)"),"George Jour")</f>
        <v>George Jour</v>
      </c>
      <c r="AB393" s="175" t="str">
        <f ca="1">IFERROR(__xludf.DUMMYFUNCTION("QUERY('Volunteer Survey'!C392)"),"NYU Langone Health")</f>
        <v>NYU Langone Health</v>
      </c>
      <c r="AC393" s="175" t="str">
        <f ca="1">IFERROR(__xludf.DUMMYFUNCTION("QUERY('Volunteer Survey'!D392)"),"240 east 38th street 22nd floor")</f>
        <v>240 east 38th street 22nd floor</v>
      </c>
      <c r="AD393" s="175" t="str">
        <f ca="1">IFERROR(__xludf.DUMMYFUNCTION("QUERY('Volunteer Survey'!E392)"),"george.jour@nyulangone.org")</f>
        <v>george.jour@nyulangone.org</v>
      </c>
      <c r="AE393" s="175" t="str">
        <f ca="1">IFERROR(__xludf.DUMMYFUNCTION("QUERY('Volunteer Survey'!F392)"),"Physician (Non-geneticist)")</f>
        <v>Physician (Non-geneticist)</v>
      </c>
      <c r="AF393" s="175" t="str">
        <f ca="1">IFERROR(__xludf.DUMMYFUNCTION("QUERY('Volunteer Survey'!G392)"),"Colleagues")</f>
        <v>Colleagues</v>
      </c>
      <c r="AG393" s="175" t="str">
        <f ca="1">IFERROR(__xludf.DUMMYFUNCTION("QUERY('Volunteer Survey'!H392)"),"Baseline")</f>
        <v>Baseline</v>
      </c>
      <c r="AH393" s="175" t="str">
        <f ca="1">IFERROR(__xludf.DUMMYFUNCTION("QUERY('Volunteer Survey'!I392)"),"Clinical Actionability")</f>
        <v>Clinical Actionability</v>
      </c>
      <c r="AI393" s="175" t="str">
        <f ca="1">IFERROR(__xludf.DUMMYFUNCTION("QUERY('Volunteer Survey'!J392)"),"Somatic Cancer")</f>
        <v>Somatic Cancer</v>
      </c>
      <c r="AJ393" s="175" t="str">
        <f ca="1">IFERROR(__xludf.DUMMYFUNCTION("QUERY('Volunteer Survey'!K392)"),"Gene-Disease Validity")</f>
        <v>Gene-Disease Validity</v>
      </c>
      <c r="AK393" s="175" t="str">
        <f ca="1">IFERROR(__xludf.DUMMYFUNCTION("QUERY('Volunteer Survey'!L392)"),"Variant Pathogenicity")</f>
        <v>Variant Pathogenicity</v>
      </c>
      <c r="AL393" s="175" t="str">
        <f ca="1">IFERROR(__xludf.DUMMYFUNCTION("QUERY('Volunteer Survey'!M392)"),"")</f>
        <v/>
      </c>
      <c r="AM393" s="175" t="str">
        <f ca="1">IFERROR(__xludf.DUMMYFUNCTION("QUERY('Volunteer Survey'!N392)"),"I did help curate an internal database during my fellowship for an inherited cancer NGS panel")</f>
        <v>I did help curate an internal database during my fellowship for an inherited cancer NGS panel</v>
      </c>
      <c r="AN393" s="175" t="str">
        <f ca="1">IFERROR(__xludf.DUMMYFUNCTION("QUERY('Volunteer Survey'!O392)"),"Yes")</f>
        <v>Yes</v>
      </c>
      <c r="AO393" s="175" t="str">
        <f ca="1">IFERROR(__xludf.DUMMYFUNCTION("QUERY('Volunteer Survey'!P392)"),"Rasopathies; hearing Loss; inherited cancers")</f>
        <v>Rasopathies; hearing Loss; inherited cancers</v>
      </c>
    </row>
    <row r="394" spans="1:41" ht="14">
      <c r="A394" s="49" t="str">
        <f ca="1">IFERROR(__xludf.DUMMYFUNCTION("QUERY('Volunteer Survey'!A788)"),"")</f>
        <v/>
      </c>
      <c r="B394" s="42" t="s">
        <v>322</v>
      </c>
      <c r="C394" s="47"/>
      <c r="D394" s="49"/>
      <c r="E394" s="49"/>
      <c r="F394" s="49" t="b">
        <v>0</v>
      </c>
      <c r="G394" s="42" t="s">
        <v>313</v>
      </c>
      <c r="H394" s="47"/>
      <c r="I394" s="47"/>
      <c r="J394" s="49"/>
      <c r="K394" s="49"/>
      <c r="L394" s="49" t="str">
        <f ca="1">IFERROR(__xludf.DUMMYFUNCTION("QUERY('Volunteer Survey'!B420)"),"")</f>
        <v/>
      </c>
      <c r="M394" s="49" t="str">
        <f ca="1">IFERROR(__xludf.DUMMYFUNCTION("QUERY('Volunteer Survey'!E420)"),"")</f>
        <v/>
      </c>
      <c r="N394" s="49" t="str">
        <f ca="1">IFERROR(__xludf.DUMMYFUNCTION("QUERY('Volunteer Survey'!F420)"),"")</f>
        <v/>
      </c>
      <c r="O394" s="42" t="str">
        <f ca="1">IFERROR(__xludf.DUMMYFUNCTION("QUERY('Volunteer Survey'!H420)"),"")</f>
        <v/>
      </c>
      <c r="P394" s="49" t="str">
        <f ca="1">IFERROR(__xludf.DUMMYFUNCTION("QUERY('Volunteer Survey'!I420)"),"")</f>
        <v/>
      </c>
      <c r="Q394" s="54" t="str">
        <f ca="1">IFERROR(__xludf.DUMMYFUNCTION("QUERY('Volunteer Survey'!J420)"),"")</f>
        <v/>
      </c>
      <c r="R394" s="49" t="str">
        <f ca="1">IFERROR(__xludf.DUMMYFUNCTION("QUERY('Volunteer Survey'!K420)"),"")</f>
        <v/>
      </c>
      <c r="S394" s="49" t="str">
        <f ca="1">IFERROR(__xludf.DUMMYFUNCTION("QUERY('Volunteer Survey'!L420)"),"")</f>
        <v/>
      </c>
      <c r="T394" s="49" t="str">
        <f ca="1">IFERROR(__xludf.DUMMYFUNCTION("QUERY('Volunteer Survey'!M420)"),"")</f>
        <v/>
      </c>
      <c r="U394" s="58" t="str">
        <f ca="1">IFERROR(__xludf.DUMMYFUNCTION("QUERY('Volunteer Survey'!N420)"),"")</f>
        <v/>
      </c>
      <c r="V394" s="49" t="str">
        <f ca="1">IFERROR(__xludf.DUMMYFUNCTION("QUERY('Volunteer Survey'!O420)"),"")</f>
        <v/>
      </c>
      <c r="W394" s="60" t="str">
        <f ca="1">IFERROR(__xludf.DUMMYFUNCTION("QUERY('Volunteer Survey'!P420)"),"")</f>
        <v/>
      </c>
      <c r="X394" s="58" t="str">
        <f ca="1">IFERROR(__xludf.DUMMYFUNCTION("QUERY('Volunteer Survey'!R420)"),"")</f>
        <v/>
      </c>
      <c r="Y394" s="47"/>
      <c r="Z394" s="174">
        <f ca="1">IFERROR(__xludf.DUMMYFUNCTION("QUERY('Volunteer Survey'!A393)"),43851.8164046064)</f>
        <v>43851.816404606398</v>
      </c>
      <c r="AA394" s="175" t="str">
        <f ca="1">IFERROR(__xludf.DUMMYFUNCTION("QUERY('Volunteer Survey'!B393)"),"Emily Hansen-Kiss")</f>
        <v>Emily Hansen-Kiss</v>
      </c>
      <c r="AB394" s="175" t="str">
        <f ca="1">IFERROR(__xludf.DUMMYFUNCTION("QUERY('Volunteer Survey'!C393)"),"University of Texas Health Science Center at Houston, School of Dentistry")</f>
        <v>University of Texas Health Science Center at Houston, School of Dentistry</v>
      </c>
      <c r="AC394" s="175" t="str">
        <f ca="1">IFERROR(__xludf.DUMMYFUNCTION("QUERY('Volunteer Survey'!D393)"),"7500 Cambridge St., Suite 4410, Houston, TX 77054")</f>
        <v>7500 Cambridge St., Suite 4410, Houston, TX 77054</v>
      </c>
      <c r="AD394" s="175" t="str">
        <f ca="1">IFERROR(__xludf.DUMMYFUNCTION("QUERY('Volunteer Survey'!E393)"),"Emily.HansenKiss@uth.tmc.edu")</f>
        <v>Emily.HansenKiss@uth.tmc.edu</v>
      </c>
      <c r="AE394" s="175" t="str">
        <f ca="1">IFERROR(__xludf.DUMMYFUNCTION("QUERY('Volunteer Survey'!F393)"),"Genetic counselor")</f>
        <v>Genetic counselor</v>
      </c>
      <c r="AF394" s="175" t="str">
        <f ca="1">IFERROR(__xludf.DUMMYFUNCTION("QUERY('Volunteer Survey'!G393)"),"Colleagues")</f>
        <v>Colleagues</v>
      </c>
      <c r="AG394" s="175" t="str">
        <f ca="1">IFERROR(__xludf.DUMMYFUNCTION("QUERY('Volunteer Survey'!H393)"),"Comprehensive")</f>
        <v>Comprehensive</v>
      </c>
      <c r="AH394" s="175" t="str">
        <f ca="1">IFERROR(__xludf.DUMMYFUNCTION("QUERY('Volunteer Survey'!I393)"),"Variant Pathogenicity")</f>
        <v>Variant Pathogenicity</v>
      </c>
      <c r="AI394" s="175" t="str">
        <f ca="1">IFERROR(__xludf.DUMMYFUNCTION("QUERY('Volunteer Survey'!J393)"),"Clinical Actionability")</f>
        <v>Clinical Actionability</v>
      </c>
      <c r="AJ394" s="175" t="str">
        <f ca="1">IFERROR(__xludf.DUMMYFUNCTION("QUERY('Volunteer Survey'!K393)"),"Gene-Disease Validity")</f>
        <v>Gene-Disease Validity</v>
      </c>
      <c r="AK394" s="175" t="str">
        <f ca="1">IFERROR(__xludf.DUMMYFUNCTION("QUERY('Volunteer Survey'!L393)"),"Dosage Sensitivity")</f>
        <v>Dosage Sensitivity</v>
      </c>
      <c r="AL394" s="175" t="str">
        <f ca="1">IFERROR(__xludf.DUMMYFUNCTION("QUERY('Volunteer Survey'!M393)"),"")</f>
        <v/>
      </c>
      <c r="AM394" s="175" t="str">
        <f ca="1">IFERROR(__xludf.DUMMYFUNCTION("QUERY('Volunteer Survey'!N393)"),"No official training or experience, but clinical experience working with patients with mutations within the PTEN gene and identifying when phenotype is a good match for genotype.")</f>
        <v>No official training or experience, but clinical experience working with patients with mutations within the PTEN gene and identifying when phenotype is a good match for genotype.</v>
      </c>
      <c r="AN394" s="175" t="str">
        <f ca="1">IFERROR(__xludf.DUMMYFUNCTION("QUERY('Volunteer Survey'!O393)"),"Possibly")</f>
        <v>Possibly</v>
      </c>
      <c r="AO394" s="175" t="str">
        <f ca="1">IFERROR(__xludf.DUMMYFUNCTION("QUERY('Volunteer Survey'!P393)"),"PTEN")</f>
        <v>PTEN</v>
      </c>
    </row>
    <row r="395" spans="1:41" ht="14">
      <c r="A395" s="49" t="str">
        <f ca="1">IFERROR(__xludf.DUMMYFUNCTION("QUERY('Volunteer Survey'!A789)"),"")</f>
        <v/>
      </c>
      <c r="B395" s="42" t="s">
        <v>322</v>
      </c>
      <c r="C395" s="47"/>
      <c r="D395" s="49"/>
      <c r="E395" s="49"/>
      <c r="F395" s="49" t="b">
        <v>0</v>
      </c>
      <c r="G395" s="42" t="s">
        <v>313</v>
      </c>
      <c r="H395" s="47"/>
      <c r="I395" s="47"/>
      <c r="J395" s="49"/>
      <c r="K395" s="49"/>
      <c r="L395" s="49" t="str">
        <f ca="1">IFERROR(__xludf.DUMMYFUNCTION("QUERY('Volunteer Survey'!B421)"),"")</f>
        <v/>
      </c>
      <c r="M395" s="49" t="str">
        <f ca="1">IFERROR(__xludf.DUMMYFUNCTION("QUERY('Volunteer Survey'!E421)"),"")</f>
        <v/>
      </c>
      <c r="N395" s="49" t="str">
        <f ca="1">IFERROR(__xludf.DUMMYFUNCTION("QUERY('Volunteer Survey'!F421)"),"")</f>
        <v/>
      </c>
      <c r="O395" s="42" t="str">
        <f ca="1">IFERROR(__xludf.DUMMYFUNCTION("QUERY('Volunteer Survey'!H421)"),"")</f>
        <v/>
      </c>
      <c r="P395" s="49" t="str">
        <f ca="1">IFERROR(__xludf.DUMMYFUNCTION("QUERY('Volunteer Survey'!I421)"),"")</f>
        <v/>
      </c>
      <c r="Q395" s="54" t="str">
        <f ca="1">IFERROR(__xludf.DUMMYFUNCTION("QUERY('Volunteer Survey'!J421)"),"")</f>
        <v/>
      </c>
      <c r="R395" s="49" t="str">
        <f ca="1">IFERROR(__xludf.DUMMYFUNCTION("QUERY('Volunteer Survey'!K421)"),"")</f>
        <v/>
      </c>
      <c r="S395" s="49" t="str">
        <f ca="1">IFERROR(__xludf.DUMMYFUNCTION("QUERY('Volunteer Survey'!L421)"),"")</f>
        <v/>
      </c>
      <c r="T395" s="49" t="str">
        <f ca="1">IFERROR(__xludf.DUMMYFUNCTION("QUERY('Volunteer Survey'!M421)"),"")</f>
        <v/>
      </c>
      <c r="U395" s="58" t="str">
        <f ca="1">IFERROR(__xludf.DUMMYFUNCTION("QUERY('Volunteer Survey'!N421)"),"")</f>
        <v/>
      </c>
      <c r="V395" s="49" t="str">
        <f ca="1">IFERROR(__xludf.DUMMYFUNCTION("QUERY('Volunteer Survey'!O421)"),"")</f>
        <v/>
      </c>
      <c r="W395" s="60" t="str">
        <f ca="1">IFERROR(__xludf.DUMMYFUNCTION("QUERY('Volunteer Survey'!P421)"),"")</f>
        <v/>
      </c>
      <c r="X395" s="58" t="str">
        <f ca="1">IFERROR(__xludf.DUMMYFUNCTION("QUERY('Volunteer Survey'!R421)"),"")</f>
        <v/>
      </c>
      <c r="Y395" s="47"/>
      <c r="Z395" s="174">
        <f ca="1">IFERROR(__xludf.DUMMYFUNCTION("QUERY('Volunteer Survey'!A394)"),43852.4315767592)</f>
        <v>43852.431576759198</v>
      </c>
      <c r="AA395" s="175" t="str">
        <f ca="1">IFERROR(__xludf.DUMMYFUNCTION("QUERY('Volunteer Survey'!B394)"),"Chitra Chandrasekaran")</f>
        <v>Chitra Chandrasekaran</v>
      </c>
      <c r="AB395" s="175" t="str">
        <f ca="1">IFERROR(__xludf.DUMMYFUNCTION("QUERY('Volunteer Survey'!C394)"),"Texas Wesleyan University")</f>
        <v>Texas Wesleyan University</v>
      </c>
      <c r="AC395" s="175" t="str">
        <f ca="1">IFERROR(__xludf.DUMMYFUNCTION("QUERY('Volunteer Survey'!D394)"),"1201 Wesleyan, Fort Worth Texas 76105")</f>
        <v>1201 Wesleyan, Fort Worth Texas 76105</v>
      </c>
      <c r="AD395" s="175" t="str">
        <f ca="1">IFERROR(__xludf.DUMMYFUNCTION("QUERY('Volunteer Survey'!E394)"),"cchandrasekaran@txwes.edu")</f>
        <v>cchandrasekaran@txwes.edu</v>
      </c>
      <c r="AE395" s="175" t="str">
        <f ca="1">IFERROR(__xludf.DUMMYFUNCTION("QUERY('Volunteer Survey'!F394)"),"Biology Professor")</f>
        <v>Biology Professor</v>
      </c>
      <c r="AF395" s="175" t="str">
        <f ca="1">IFERROR(__xludf.DUMMYFUNCTION("QUERY('Volunteer Survey'!G394)"),"Web search")</f>
        <v>Web search</v>
      </c>
      <c r="AG395" s="175" t="str">
        <f ca="1">IFERROR(__xludf.DUMMYFUNCTION("QUERY('Volunteer Survey'!H394)"),"Comprehensive")</f>
        <v>Comprehensive</v>
      </c>
      <c r="AH395" s="175" t="str">
        <f ca="1">IFERROR(__xludf.DUMMYFUNCTION("QUERY('Volunteer Survey'!I394)"),"Gene-Disease Validity")</f>
        <v>Gene-Disease Validity</v>
      </c>
      <c r="AI395" s="175" t="str">
        <f ca="1">IFERROR(__xludf.DUMMYFUNCTION("QUERY('Volunteer Survey'!J394)"),"Variant Pathogenicity")</f>
        <v>Variant Pathogenicity</v>
      </c>
      <c r="AJ395" s="175" t="str">
        <f ca="1">IFERROR(__xludf.DUMMYFUNCTION("QUERY('Volunteer Survey'!K394)"),"Somatic Cancer")</f>
        <v>Somatic Cancer</v>
      </c>
      <c r="AK395" s="175" t="str">
        <f ca="1">IFERROR(__xludf.DUMMYFUNCTION("QUERY('Volunteer Survey'!L394)"),"Dosage Sensitivity")</f>
        <v>Dosage Sensitivity</v>
      </c>
      <c r="AL395" s="175" t="str">
        <f ca="1">IFERROR(__xludf.DUMMYFUNCTION("QUERY('Volunteer Survey'!M394)"),"Clinical Actionability")</f>
        <v>Clinical Actionability</v>
      </c>
      <c r="AM395" s="175" t="str">
        <f ca="1">IFERROR(__xludf.DUMMYFUNCTION("QUERY('Volunteer Survey'!N394)"),"I do not have any previous experience with the activities mentioned above.")</f>
        <v>I do not have any previous experience with the activities mentioned above.</v>
      </c>
      <c r="AN395" s="175" t="str">
        <f ca="1">IFERROR(__xludf.DUMMYFUNCTION("QUERY('Volunteer Survey'!O394)"),"Possibly")</f>
        <v>Possibly</v>
      </c>
      <c r="AO395" s="175" t="str">
        <f ca="1">IFERROR(__xludf.DUMMYFUNCTION("QUERY('Volunteer Survey'!P394)"),"")</f>
        <v/>
      </c>
    </row>
    <row r="396" spans="1:41" ht="14">
      <c r="A396" s="49" t="str">
        <f ca="1">IFERROR(__xludf.DUMMYFUNCTION("QUERY('Volunteer Survey'!A790)"),"")</f>
        <v/>
      </c>
      <c r="B396" s="42" t="s">
        <v>322</v>
      </c>
      <c r="C396" s="47"/>
      <c r="D396" s="49"/>
      <c r="E396" s="49"/>
      <c r="F396" s="49" t="b">
        <v>0</v>
      </c>
      <c r="G396" s="42" t="s">
        <v>313</v>
      </c>
      <c r="H396" s="47"/>
      <c r="I396" s="47"/>
      <c r="J396" s="49"/>
      <c r="K396" s="49"/>
      <c r="L396" s="49" t="str">
        <f ca="1">IFERROR(__xludf.DUMMYFUNCTION("QUERY('Volunteer Survey'!B422)"),"")</f>
        <v/>
      </c>
      <c r="M396" s="49" t="str">
        <f ca="1">IFERROR(__xludf.DUMMYFUNCTION("QUERY('Volunteer Survey'!E422)"),"")</f>
        <v/>
      </c>
      <c r="N396" s="49" t="str">
        <f ca="1">IFERROR(__xludf.DUMMYFUNCTION("QUERY('Volunteer Survey'!F422)"),"")</f>
        <v/>
      </c>
      <c r="O396" s="42" t="str">
        <f ca="1">IFERROR(__xludf.DUMMYFUNCTION("QUERY('Volunteer Survey'!H422)"),"")</f>
        <v/>
      </c>
      <c r="P396" s="49" t="str">
        <f ca="1">IFERROR(__xludf.DUMMYFUNCTION("QUERY('Volunteer Survey'!I422)"),"")</f>
        <v/>
      </c>
      <c r="Q396" s="54" t="str">
        <f ca="1">IFERROR(__xludf.DUMMYFUNCTION("QUERY('Volunteer Survey'!J422)"),"")</f>
        <v/>
      </c>
      <c r="R396" s="49" t="str">
        <f ca="1">IFERROR(__xludf.DUMMYFUNCTION("QUERY('Volunteer Survey'!K422)"),"")</f>
        <v/>
      </c>
      <c r="S396" s="49" t="str">
        <f ca="1">IFERROR(__xludf.DUMMYFUNCTION("QUERY('Volunteer Survey'!L422)"),"")</f>
        <v/>
      </c>
      <c r="T396" s="49" t="str">
        <f ca="1">IFERROR(__xludf.DUMMYFUNCTION("QUERY('Volunteer Survey'!M422)"),"")</f>
        <v/>
      </c>
      <c r="U396" s="58" t="str">
        <f ca="1">IFERROR(__xludf.DUMMYFUNCTION("QUERY('Volunteer Survey'!N422)"),"")</f>
        <v/>
      </c>
      <c r="V396" s="49" t="str">
        <f ca="1">IFERROR(__xludf.DUMMYFUNCTION("QUERY('Volunteer Survey'!O422)"),"")</f>
        <v/>
      </c>
      <c r="W396" s="60" t="str">
        <f ca="1">IFERROR(__xludf.DUMMYFUNCTION("QUERY('Volunteer Survey'!P422)"),"")</f>
        <v/>
      </c>
      <c r="X396" s="58" t="str">
        <f ca="1">IFERROR(__xludf.DUMMYFUNCTION("QUERY('Volunteer Survey'!R422)"),"")</f>
        <v/>
      </c>
      <c r="Y396" s="47"/>
      <c r="Z396" s="174">
        <f ca="1">IFERROR(__xludf.DUMMYFUNCTION("QUERY('Volunteer Survey'!A395)"),43852.752405405)</f>
        <v>43852.752405405001</v>
      </c>
      <c r="AA396" s="175" t="str">
        <f ca="1">IFERROR(__xludf.DUMMYFUNCTION("QUERY('Volunteer Survey'!B395)"),"Silke Waap")</f>
        <v>Silke Waap</v>
      </c>
      <c r="AB396" s="175" t="str">
        <f ca="1">IFERROR(__xludf.DUMMYFUNCTION("QUERY('Volunteer Survey'!C395)"),"Cardiff School of Biosciences, UK")</f>
        <v>Cardiff School of Biosciences, UK</v>
      </c>
      <c r="AC396" s="175" t="str">
        <f ca="1">IFERROR(__xludf.DUMMYFUNCTION("QUERY('Volunteer Survey'!D395)"),"")</f>
        <v/>
      </c>
      <c r="AD396" s="175" t="str">
        <f ca="1">IFERROR(__xludf.DUMMYFUNCTION("QUERY('Volunteer Survey'!E395)"),"silkewaap@gmail.com")</f>
        <v>silkewaap@gmail.com</v>
      </c>
      <c r="AE396" s="175" t="str">
        <f ca="1">IFERROR(__xludf.DUMMYFUNCTION("QUERY('Volunteer Survey'!F395)"),"Scientific Researcher")</f>
        <v>Scientific Researcher</v>
      </c>
      <c r="AF396" s="175" t="str">
        <f ca="1">IFERROR(__xludf.DUMMYFUNCTION("QUERY('Volunteer Survey'!G395)"),"The clinicalgenome.org website")</f>
        <v>The clinicalgenome.org website</v>
      </c>
      <c r="AG396" s="175" t="str">
        <f ca="1">IFERROR(__xludf.DUMMYFUNCTION("QUERY('Volunteer Survey'!H395)"),"Comprehensive")</f>
        <v>Comprehensive</v>
      </c>
      <c r="AH396" s="175" t="str">
        <f ca="1">IFERROR(__xludf.DUMMYFUNCTION("QUERY('Volunteer Survey'!I395)"),"Gene-Disease Validity")</f>
        <v>Gene-Disease Validity</v>
      </c>
      <c r="AI396" s="175" t="str">
        <f ca="1">IFERROR(__xludf.DUMMYFUNCTION("QUERY('Volunteer Survey'!J395)"),"Variant Pathogenicity")</f>
        <v>Variant Pathogenicity</v>
      </c>
      <c r="AJ396" s="175" t="str">
        <f ca="1">IFERROR(__xludf.DUMMYFUNCTION("QUERY('Volunteer Survey'!K395)"),"")</f>
        <v/>
      </c>
      <c r="AK396" s="175" t="str">
        <f ca="1">IFERROR(__xludf.DUMMYFUNCTION("QUERY('Volunteer Survey'!L395)"),"")</f>
        <v/>
      </c>
      <c r="AL396" s="175" t="str">
        <f ca="1">IFERROR(__xludf.DUMMYFUNCTION("QUERY('Volunteer Survey'!M395)"),"")</f>
        <v/>
      </c>
      <c r="AM396" s="175" t="str">
        <f ca="1">IFERROR(__xludf.DUMMYFUNCTION("QUERY('Volunteer Survey'!N395)"),"My scientific research expertise has been on evolutionary processes, involving gene variation (SNPs) and laboratory next generation sequencing techniques and bioinformatic analyses of genetic barcodes. ")</f>
        <v xml:space="preserve">My scientific research expertise has been on evolutionary processes, involving gene variation (SNPs) and laboratory next generation sequencing techniques and bioinformatic analyses of genetic barcodes. </v>
      </c>
      <c r="AN396" s="175" t="str">
        <f ca="1">IFERROR(__xludf.DUMMYFUNCTION("QUERY('Volunteer Survey'!O395)"),"Yes")</f>
        <v>Yes</v>
      </c>
      <c r="AO396" s="175" t="str">
        <f ca="1">IFERROR(__xludf.DUMMYFUNCTION("QUERY('Volunteer Survey'!P395)"),"")</f>
        <v/>
      </c>
    </row>
    <row r="397" spans="1:41" ht="14">
      <c r="A397" s="49" t="str">
        <f ca="1">IFERROR(__xludf.DUMMYFUNCTION("QUERY('Volunteer Survey'!A791)"),"")</f>
        <v/>
      </c>
      <c r="B397" s="42" t="s">
        <v>322</v>
      </c>
      <c r="C397" s="47"/>
      <c r="D397" s="49"/>
      <c r="E397" s="49"/>
      <c r="F397" s="49" t="b">
        <v>0</v>
      </c>
      <c r="G397" s="49"/>
      <c r="H397" s="47"/>
      <c r="I397" s="47"/>
      <c r="J397" s="49"/>
      <c r="K397" s="49"/>
      <c r="L397" s="49" t="str">
        <f ca="1">IFERROR(__xludf.DUMMYFUNCTION("QUERY('Volunteer Survey'!B791)"),"")</f>
        <v/>
      </c>
      <c r="M397" s="49" t="str">
        <f ca="1">IFERROR(__xludf.DUMMYFUNCTION("QUERY('Volunteer Survey'!E791)"),"")</f>
        <v/>
      </c>
      <c r="N397" s="49" t="str">
        <f ca="1">IFERROR(__xludf.DUMMYFUNCTION("QUERY('Volunteer Survey'!F791)"),"")</f>
        <v/>
      </c>
      <c r="O397" s="42" t="str">
        <f ca="1">IFERROR(__xludf.DUMMYFUNCTION("QUERY('Volunteer Survey'!H791)"),"")</f>
        <v/>
      </c>
      <c r="P397" s="49" t="str">
        <f ca="1">IFERROR(__xludf.DUMMYFUNCTION("QUERY('Volunteer Survey'!I791)"),"")</f>
        <v/>
      </c>
      <c r="Q397" s="54" t="str">
        <f ca="1">IFERROR(__xludf.DUMMYFUNCTION("QUERY('Volunteer Survey'!J791)"),"")</f>
        <v/>
      </c>
      <c r="R397" s="49" t="str">
        <f ca="1">IFERROR(__xludf.DUMMYFUNCTION("QUERY('Volunteer Survey'!K791)"),"")</f>
        <v/>
      </c>
      <c r="S397" s="49" t="str">
        <f ca="1">IFERROR(__xludf.DUMMYFUNCTION("QUERY('Volunteer Survey'!L791)"),"")</f>
        <v/>
      </c>
      <c r="T397" s="49" t="str">
        <f ca="1">IFERROR(__xludf.DUMMYFUNCTION("QUERY('Volunteer Survey'!M791)"),"")</f>
        <v/>
      </c>
      <c r="U397" s="58" t="str">
        <f ca="1">IFERROR(__xludf.DUMMYFUNCTION("QUERY('Volunteer Survey'!N791)"),"")</f>
        <v/>
      </c>
      <c r="V397" s="49" t="str">
        <f ca="1">IFERROR(__xludf.DUMMYFUNCTION("QUERY('Volunteer Survey'!O791)"),"")</f>
        <v/>
      </c>
      <c r="W397" s="60" t="str">
        <f ca="1">IFERROR(__xludf.DUMMYFUNCTION("QUERY('Volunteer Survey'!P791)"),"")</f>
        <v/>
      </c>
      <c r="X397" s="58" t="str">
        <f ca="1">IFERROR(__xludf.DUMMYFUNCTION("QUERY('Volunteer Survey'!R791)"),"")</f>
        <v/>
      </c>
      <c r="Y397" s="47"/>
      <c r="Z397" s="174">
        <f ca="1">IFERROR(__xludf.DUMMYFUNCTION("QUERY('Volunteer Survey'!A396)"),43853.6735846064)</f>
        <v>43853.673584606397</v>
      </c>
      <c r="AA397" s="175" t="str">
        <f ca="1">IFERROR(__xludf.DUMMYFUNCTION("QUERY('Volunteer Survey'!B396)"),"Emilie Hulse")</f>
        <v>Emilie Hulse</v>
      </c>
      <c r="AB397" s="175" t="str">
        <f ca="1">IFERROR(__xludf.DUMMYFUNCTION("QUERY('Volunteer Survey'!C396)"),"n/a")</f>
        <v>n/a</v>
      </c>
      <c r="AC397" s="175" t="str">
        <f ca="1">IFERROR(__xludf.DUMMYFUNCTION("QUERY('Volunteer Survey'!D396)"),"Germantown, MD")</f>
        <v>Germantown, MD</v>
      </c>
      <c r="AD397" s="175" t="str">
        <f ca="1">IFERROR(__xludf.DUMMYFUNCTION("QUERY('Volunteer Survey'!E396)"),"ehulse@genedx.com")</f>
        <v>ehulse@genedx.com</v>
      </c>
      <c r="AE397" s="175" t="str">
        <f ca="1">IFERROR(__xludf.DUMMYFUNCTION("QUERY('Volunteer Survey'!F396)"),"Genetic Counseling Assistant")</f>
        <v>Genetic Counseling Assistant</v>
      </c>
      <c r="AF397" s="175" t="str">
        <f ca="1">IFERROR(__xludf.DUMMYFUNCTION("QUERY('Volunteer Survey'!G396)"),"Colleagues")</f>
        <v>Colleagues</v>
      </c>
      <c r="AG397" s="175" t="str">
        <f ca="1">IFERROR(__xludf.DUMMYFUNCTION("QUERY('Volunteer Survey'!H396)"),"I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397" s="175" t="str">
        <f ca="1">IFERROR(__xludf.DUMMYFUNCTION("QUERY('Volunteer Survey'!I396)"),"Gene-Disease Validity")</f>
        <v>Gene-Disease Validity</v>
      </c>
      <c r="AI397" s="175" t="str">
        <f ca="1">IFERROR(__xludf.DUMMYFUNCTION("QUERY('Volunteer Survey'!J396)"),"Clinical Actionability")</f>
        <v>Clinical Actionability</v>
      </c>
      <c r="AJ397" s="175" t="str">
        <f ca="1">IFERROR(__xludf.DUMMYFUNCTION("QUERY('Volunteer Survey'!K396)"),"Variant Pathogenicity")</f>
        <v>Variant Pathogenicity</v>
      </c>
      <c r="AK397" s="175" t="str">
        <f ca="1">IFERROR(__xludf.DUMMYFUNCTION("QUERY('Volunteer Survey'!L396)"),"Somatic Cancer")</f>
        <v>Somatic Cancer</v>
      </c>
      <c r="AL397" s="175" t="str">
        <f ca="1">IFERROR(__xludf.DUMMYFUNCTION("QUERY('Volunteer Survey'!M396)"),"Dosage Sensitivity")</f>
        <v>Dosage Sensitivity</v>
      </c>
      <c r="AM397" s="175" t="str">
        <f ca="1">IFERROR(__xludf.DUMMYFUNCTION("QUERY('Volunteer Survey'!N396)"),"No")</f>
        <v>No</v>
      </c>
      <c r="AN397" s="175" t="str">
        <f ca="1">IFERROR(__xludf.DUMMYFUNCTION("QUERY('Volunteer Survey'!O396)"),"Possibly")</f>
        <v>Possibly</v>
      </c>
      <c r="AO397" s="175" t="str">
        <f ca="1">IFERROR(__xludf.DUMMYFUNCTION("QUERY('Volunteer Survey'!P396)"),"no preference")</f>
        <v>no preference</v>
      </c>
    </row>
    <row r="398" spans="1:41" ht="14">
      <c r="A398" s="49" t="str">
        <f ca="1">IFERROR(__xludf.DUMMYFUNCTION("QUERY('Volunteer Survey'!A792)"),"")</f>
        <v/>
      </c>
      <c r="B398" s="42" t="s">
        <v>322</v>
      </c>
      <c r="C398" s="47"/>
      <c r="D398" s="49"/>
      <c r="E398" s="49"/>
      <c r="F398" s="49" t="b">
        <v>0</v>
      </c>
      <c r="G398" s="49"/>
      <c r="H398" s="47"/>
      <c r="I398" s="47"/>
      <c r="J398" s="49"/>
      <c r="K398" s="49"/>
      <c r="L398" s="49" t="str">
        <f ca="1">IFERROR(__xludf.DUMMYFUNCTION("QUERY('Volunteer Survey'!B792)"),"")</f>
        <v/>
      </c>
      <c r="M398" s="49" t="str">
        <f ca="1">IFERROR(__xludf.DUMMYFUNCTION("QUERY('Volunteer Survey'!E792)"),"")</f>
        <v/>
      </c>
      <c r="N398" s="49" t="str">
        <f ca="1">IFERROR(__xludf.DUMMYFUNCTION("QUERY('Volunteer Survey'!F792)"),"")</f>
        <v/>
      </c>
      <c r="O398" s="42" t="str">
        <f ca="1">IFERROR(__xludf.DUMMYFUNCTION("QUERY('Volunteer Survey'!H792)"),"")</f>
        <v/>
      </c>
      <c r="P398" s="49" t="str">
        <f ca="1">IFERROR(__xludf.DUMMYFUNCTION("QUERY('Volunteer Survey'!I792)"),"")</f>
        <v/>
      </c>
      <c r="Q398" s="54" t="str">
        <f ca="1">IFERROR(__xludf.DUMMYFUNCTION("QUERY('Volunteer Survey'!J792)"),"")</f>
        <v/>
      </c>
      <c r="R398" s="49" t="str">
        <f ca="1">IFERROR(__xludf.DUMMYFUNCTION("QUERY('Volunteer Survey'!K792)"),"")</f>
        <v/>
      </c>
      <c r="S398" s="49" t="str">
        <f ca="1">IFERROR(__xludf.DUMMYFUNCTION("QUERY('Volunteer Survey'!L792)"),"")</f>
        <v/>
      </c>
      <c r="T398" s="49" t="str">
        <f ca="1">IFERROR(__xludf.DUMMYFUNCTION("QUERY('Volunteer Survey'!M792)"),"")</f>
        <v/>
      </c>
      <c r="U398" s="58" t="str">
        <f ca="1">IFERROR(__xludf.DUMMYFUNCTION("QUERY('Volunteer Survey'!N792)"),"")</f>
        <v/>
      </c>
      <c r="V398" s="49" t="str">
        <f ca="1">IFERROR(__xludf.DUMMYFUNCTION("QUERY('Volunteer Survey'!O792)"),"")</f>
        <v/>
      </c>
      <c r="W398" s="60" t="str">
        <f ca="1">IFERROR(__xludf.DUMMYFUNCTION("QUERY('Volunteer Survey'!P792)"),"")</f>
        <v/>
      </c>
      <c r="X398" s="58" t="str">
        <f ca="1">IFERROR(__xludf.DUMMYFUNCTION("QUERY('Volunteer Survey'!R792)"),"")</f>
        <v/>
      </c>
      <c r="Y398" s="47"/>
      <c r="Z398" s="174">
        <f ca="1">IFERROR(__xludf.DUMMYFUNCTION("QUERY('Volunteer Survey'!A397)"),43855.6707994907)</f>
        <v>43855.670799490697</v>
      </c>
      <c r="AA398" s="175" t="str">
        <f ca="1">IFERROR(__xludf.DUMMYFUNCTION("QUERY('Volunteer Survey'!B397)"),"Stephen Wicks ")</f>
        <v xml:space="preserve">Stephen Wicks </v>
      </c>
      <c r="AB398" s="175" t="str">
        <f ca="1">IFERROR(__xludf.DUMMYFUNCTION("QUERY('Volunteer Survey'!C397)"),"University of Colorado")</f>
        <v>University of Colorado</v>
      </c>
      <c r="AC398" s="175" t="str">
        <f ca="1">IFERROR(__xludf.DUMMYFUNCTION("QUERY('Volunteer Survey'!D397)"),"13001 E. 17th Place, MS F563 Building 500, Aurora, CO. 80045")</f>
        <v>13001 E. 17th Place, MS F563 Building 500, Aurora, CO. 80045</v>
      </c>
      <c r="AD398" s="175" t="str">
        <f ca="1">IFERROR(__xludf.DUMMYFUNCTION("QUERY('Volunteer Survey'!E397)"),"stephenwicks1@gmail.com")</f>
        <v>stephenwicks1@gmail.com</v>
      </c>
      <c r="AE398" s="175" t="str">
        <f ca="1">IFERROR(__xludf.DUMMYFUNCTION("QUERY('Volunteer Survey'!F397)"),"Post Doc/Resident/Fellow (MD and/or PhD)")</f>
        <v>Post Doc/Resident/Fellow (MD and/or PhD)</v>
      </c>
      <c r="AF398" s="175" t="str">
        <f ca="1">IFERROR(__xludf.DUMMYFUNCTION("QUERY('Volunteer Survey'!G397)"),"Colleagues")</f>
        <v>Colleagues</v>
      </c>
      <c r="AG398" s="175" t="str">
        <f ca="1">IFERROR(__xludf.DUMMYFUNCTION("QUERY('Volunteer Survey'!H397)"),"I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398" s="175" t="str">
        <f ca="1">IFERROR(__xludf.DUMMYFUNCTION("QUERY('Volunteer Survey'!I397)"),"Somatic Cancer")</f>
        <v>Somatic Cancer</v>
      </c>
      <c r="AI398" s="175" t="str">
        <f ca="1">IFERROR(__xludf.DUMMYFUNCTION("QUERY('Volunteer Survey'!J397)"),"Variant Pathogenicity")</f>
        <v>Variant Pathogenicity</v>
      </c>
      <c r="AJ398" s="175" t="str">
        <f ca="1">IFERROR(__xludf.DUMMYFUNCTION("QUERY('Volunteer Survey'!K397)"),"Dosage Sensitivity")</f>
        <v>Dosage Sensitivity</v>
      </c>
      <c r="AK398" s="175" t="str">
        <f ca="1">IFERROR(__xludf.DUMMYFUNCTION("QUERY('Volunteer Survey'!L397)"),"Clinical Actionability")</f>
        <v>Clinical Actionability</v>
      </c>
      <c r="AL398" s="175" t="str">
        <f ca="1">IFERROR(__xludf.DUMMYFUNCTION("QUERY('Volunteer Survey'!M397)"),"Gene-Disease Validity")</f>
        <v>Gene-Disease Validity</v>
      </c>
      <c r="AM398" s="175" t="str">
        <f ca="1">IFERROR(__xludf.DUMMYFUNCTION("QUERY('Volunteer Survey'!N397)"),"Have been signing out both hematological and solid tumor cancer clinical cases from adult and pediatric populations.")</f>
        <v>Have been signing out both hematological and solid tumor cancer clinical cases from adult and pediatric populations.</v>
      </c>
      <c r="AN398" s="175" t="str">
        <f ca="1">IFERROR(__xludf.DUMMYFUNCTION("QUERY('Volunteer Survey'!O397)"),"Yes")</f>
        <v>Yes</v>
      </c>
      <c r="AO398" s="175" t="str">
        <f ca="1">IFERROR(__xludf.DUMMYFUNCTION("QUERY('Volunteer Survey'!P397)"),"Somatic Cancer WG / Hereditary Cancer Panel")</f>
        <v>Somatic Cancer WG / Hereditary Cancer Panel</v>
      </c>
    </row>
    <row r="399" spans="1:41" ht="14">
      <c r="A399" s="49" t="str">
        <f ca="1">IFERROR(__xludf.DUMMYFUNCTION("QUERY('Volunteer Survey'!A793)"),"")</f>
        <v/>
      </c>
      <c r="B399" s="42" t="s">
        <v>322</v>
      </c>
      <c r="C399" s="47"/>
      <c r="D399" s="49"/>
      <c r="E399" s="49"/>
      <c r="F399" s="49" t="b">
        <v>0</v>
      </c>
      <c r="G399" s="49"/>
      <c r="H399" s="47"/>
      <c r="I399" s="47"/>
      <c r="J399" s="49"/>
      <c r="K399" s="49"/>
      <c r="L399" s="49" t="str">
        <f ca="1">IFERROR(__xludf.DUMMYFUNCTION("QUERY('Volunteer Survey'!B793)"),"")</f>
        <v/>
      </c>
      <c r="M399" s="49" t="str">
        <f ca="1">IFERROR(__xludf.DUMMYFUNCTION("QUERY('Volunteer Survey'!E793)"),"")</f>
        <v/>
      </c>
      <c r="N399" s="49" t="str">
        <f ca="1">IFERROR(__xludf.DUMMYFUNCTION("QUERY('Volunteer Survey'!F793)"),"")</f>
        <v/>
      </c>
      <c r="O399" s="42" t="str">
        <f ca="1">IFERROR(__xludf.DUMMYFUNCTION("QUERY('Volunteer Survey'!H793)"),"")</f>
        <v/>
      </c>
      <c r="P399" s="49" t="str">
        <f ca="1">IFERROR(__xludf.DUMMYFUNCTION("QUERY('Volunteer Survey'!I793)"),"")</f>
        <v/>
      </c>
      <c r="Q399" s="54" t="str">
        <f ca="1">IFERROR(__xludf.DUMMYFUNCTION("QUERY('Volunteer Survey'!J793)"),"")</f>
        <v/>
      </c>
      <c r="R399" s="49" t="str">
        <f ca="1">IFERROR(__xludf.DUMMYFUNCTION("QUERY('Volunteer Survey'!K793)"),"")</f>
        <v/>
      </c>
      <c r="S399" s="49" t="str">
        <f ca="1">IFERROR(__xludf.DUMMYFUNCTION("QUERY('Volunteer Survey'!L793)"),"")</f>
        <v/>
      </c>
      <c r="T399" s="49" t="str">
        <f ca="1">IFERROR(__xludf.DUMMYFUNCTION("QUERY('Volunteer Survey'!M793)"),"")</f>
        <v/>
      </c>
      <c r="U399" s="58" t="str">
        <f ca="1">IFERROR(__xludf.DUMMYFUNCTION("QUERY('Volunteer Survey'!N793)"),"")</f>
        <v/>
      </c>
      <c r="V399" s="49" t="str">
        <f ca="1">IFERROR(__xludf.DUMMYFUNCTION("QUERY('Volunteer Survey'!O793)"),"")</f>
        <v/>
      </c>
      <c r="W399" s="60" t="str">
        <f ca="1">IFERROR(__xludf.DUMMYFUNCTION("QUERY('Volunteer Survey'!P793)"),"")</f>
        <v/>
      </c>
      <c r="X399" s="58" t="str">
        <f ca="1">IFERROR(__xludf.DUMMYFUNCTION("QUERY('Volunteer Survey'!R793)"),"")</f>
        <v/>
      </c>
      <c r="Y399" s="47"/>
      <c r="Z399" s="174">
        <f ca="1">IFERROR(__xludf.DUMMYFUNCTION("QUERY('Volunteer Survey'!A398)"),43855.814223993)</f>
        <v>43855.814223993002</v>
      </c>
      <c r="AA399" s="175" t="str">
        <f ca="1">IFERROR(__xludf.DUMMYFUNCTION("QUERY('Volunteer Survey'!B398)"),"Saurav Guha")</f>
        <v>Saurav Guha</v>
      </c>
      <c r="AB399" s="175" t="str">
        <f ca="1">IFERROR(__xludf.DUMMYFUNCTION("QUERY('Volunteer Survey'!C398)"),"New York Genome Center")</f>
        <v>New York Genome Center</v>
      </c>
      <c r="AC399" s="175" t="str">
        <f ca="1">IFERROR(__xludf.DUMMYFUNCTION("QUERY('Volunteer Survey'!D398)"),"101 6th Ave, New York, NY 10013")</f>
        <v>101 6th Ave, New York, NY 10013</v>
      </c>
      <c r="AD399" s="175" t="str">
        <f ca="1">IFERROR(__xludf.DUMMYFUNCTION("QUERY('Volunteer Survey'!E398)"),"sauravguha@gmail.com")</f>
        <v>sauravguha@gmail.com</v>
      </c>
      <c r="AE399" s="175" t="str">
        <f ca="1">IFERROR(__xludf.DUMMYFUNCTION("QUERY('Volunteer Survey'!F398)"),"Clinical laboratory geneticist")</f>
        <v>Clinical laboratory geneticist</v>
      </c>
      <c r="AF399" s="175" t="str">
        <f ca="1">IFERROR(__xludf.DUMMYFUNCTION("QUERY('Volunteer Survey'!G398)"),"ACMG Conference 2019, ClinGen conference advertisements (i.e. booth, workshop, presentation), Networking, Colleagues, ClinGen affiliated emails and/or newsletters, The clinicalgenome.org website, The Community Curation Committee webpage")</f>
        <v>ACMG Conference 2019, ClinGen conference advertisements (i.e. booth, workshop, presentation), Networking, Colleagues, ClinGen affiliated emails and/or newsletters, The clinicalgenome.org website, The Community Curation Committee webpage</v>
      </c>
      <c r="AG399" s="175" t="str">
        <f ca="1">IFERROR(__xludf.DUMMYFUNCTION("QUERY('Volunteer Survey'!H398)"),"I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399" s="175" t="str">
        <f ca="1">IFERROR(__xludf.DUMMYFUNCTION("QUERY('Volunteer Survey'!I398)"),"Variant Pathogenicity")</f>
        <v>Variant Pathogenicity</v>
      </c>
      <c r="AI399" s="175" t="str">
        <f ca="1">IFERROR(__xludf.DUMMYFUNCTION("QUERY('Volunteer Survey'!J398)"),"Gene-Disease Validity")</f>
        <v>Gene-Disease Validity</v>
      </c>
      <c r="AJ399" s="175" t="str">
        <f ca="1">IFERROR(__xludf.DUMMYFUNCTION("QUERY('Volunteer Survey'!K398)"),"Clinical Actionability")</f>
        <v>Clinical Actionability</v>
      </c>
      <c r="AK399" s="175" t="str">
        <f ca="1">IFERROR(__xludf.DUMMYFUNCTION("QUERY('Volunteer Survey'!L398)"),"Dosage Sensitivity")</f>
        <v>Dosage Sensitivity</v>
      </c>
      <c r="AL399" s="175" t="str">
        <f ca="1">IFERROR(__xludf.DUMMYFUNCTION("QUERY('Volunteer Survey'!M398)"),"")</f>
        <v/>
      </c>
      <c r="AM399" s="175" t="str">
        <f ca="1">IFERROR(__xludf.DUMMYFUNCTION("QUERY('Volunteer Survey'!N398)"),"Yes, I do regularly classify and report genetic variants. ")</f>
        <v xml:space="preserve">Yes, I do regularly classify and report genetic variants. </v>
      </c>
      <c r="AN399" s="175" t="str">
        <f ca="1">IFERROR(__xludf.DUMMYFUNCTION("QUERY('Volunteer Survey'!O398)"),"Yes")</f>
        <v>Yes</v>
      </c>
      <c r="AO399" s="175" t="str">
        <f ca="1">IFERROR(__xludf.DUMMYFUNCTION("QUERY('Volunteer Survey'!P398)"),"Neurodevelopmental Disorders CDWG")</f>
        <v>Neurodevelopmental Disorders CDWG</v>
      </c>
    </row>
    <row r="400" spans="1:41" ht="14">
      <c r="A400" s="49" t="str">
        <f ca="1">IFERROR(__xludf.DUMMYFUNCTION("QUERY('Volunteer Survey'!A794)"),"")</f>
        <v/>
      </c>
      <c r="B400" s="42" t="s">
        <v>322</v>
      </c>
      <c r="C400" s="47"/>
      <c r="D400" s="49"/>
      <c r="E400" s="49"/>
      <c r="F400" s="49" t="b">
        <v>0</v>
      </c>
      <c r="G400" s="49"/>
      <c r="H400" s="47"/>
      <c r="I400" s="47"/>
      <c r="J400" s="49"/>
      <c r="K400" s="49"/>
      <c r="L400" s="49" t="str">
        <f ca="1">IFERROR(__xludf.DUMMYFUNCTION("QUERY('Volunteer Survey'!B794)"),"")</f>
        <v/>
      </c>
      <c r="M400" s="49" t="str">
        <f ca="1">IFERROR(__xludf.DUMMYFUNCTION("QUERY('Volunteer Survey'!E794)"),"")</f>
        <v/>
      </c>
      <c r="N400" s="49" t="str">
        <f ca="1">IFERROR(__xludf.DUMMYFUNCTION("QUERY('Volunteer Survey'!F794)"),"")</f>
        <v/>
      </c>
      <c r="O400" s="42" t="str">
        <f ca="1">IFERROR(__xludf.DUMMYFUNCTION("QUERY('Volunteer Survey'!H794)"),"")</f>
        <v/>
      </c>
      <c r="P400" s="49" t="str">
        <f ca="1">IFERROR(__xludf.DUMMYFUNCTION("QUERY('Volunteer Survey'!I794)"),"")</f>
        <v/>
      </c>
      <c r="Q400" s="54" t="str">
        <f ca="1">IFERROR(__xludf.DUMMYFUNCTION("QUERY('Volunteer Survey'!J794)"),"")</f>
        <v/>
      </c>
      <c r="R400" s="49" t="str">
        <f ca="1">IFERROR(__xludf.DUMMYFUNCTION("QUERY('Volunteer Survey'!K794)"),"")</f>
        <v/>
      </c>
      <c r="S400" s="49" t="str">
        <f ca="1">IFERROR(__xludf.DUMMYFUNCTION("QUERY('Volunteer Survey'!L794)"),"")</f>
        <v/>
      </c>
      <c r="T400" s="49" t="str">
        <f ca="1">IFERROR(__xludf.DUMMYFUNCTION("QUERY('Volunteer Survey'!M794)"),"")</f>
        <v/>
      </c>
      <c r="U400" s="58" t="str">
        <f ca="1">IFERROR(__xludf.DUMMYFUNCTION("QUERY('Volunteer Survey'!N794)"),"")</f>
        <v/>
      </c>
      <c r="V400" s="49" t="str">
        <f ca="1">IFERROR(__xludf.DUMMYFUNCTION("QUERY('Volunteer Survey'!O794)"),"")</f>
        <v/>
      </c>
      <c r="W400" s="60" t="str">
        <f ca="1">IFERROR(__xludf.DUMMYFUNCTION("QUERY('Volunteer Survey'!P794)"),"")</f>
        <v/>
      </c>
      <c r="X400" s="58" t="str">
        <f ca="1">IFERROR(__xludf.DUMMYFUNCTION("QUERY('Volunteer Survey'!R794)"),"")</f>
        <v/>
      </c>
      <c r="Y400" s="47"/>
      <c r="Z400" s="174">
        <f ca="1">IFERROR(__xludf.DUMMYFUNCTION("QUERY('Volunteer Survey'!A399)"),43856.7675132754)</f>
        <v>43856.767513275401</v>
      </c>
      <c r="AA400" s="175" t="str">
        <f ca="1">IFERROR(__xludf.DUMMYFUNCTION("QUERY('Volunteer Survey'!B399)"),"Hannah Lilligren")</f>
        <v>Hannah Lilligren</v>
      </c>
      <c r="AB400" s="175" t="str">
        <f ca="1">IFERROR(__xludf.DUMMYFUNCTION("QUERY('Volunteer Survey'!C399)"),"Keck Graduate Institute")</f>
        <v>Keck Graduate Institute</v>
      </c>
      <c r="AC400" s="175" t="str">
        <f ca="1">IFERROR(__xludf.DUMMYFUNCTION("QUERY('Volunteer Survey'!D399)"),"305 Pueblo Road, Corona, CA 92882")</f>
        <v>305 Pueblo Road, Corona, CA 92882</v>
      </c>
      <c r="AD400" s="175" t="str">
        <f ca="1">IFERROR(__xludf.DUMMYFUNCTION("QUERY('Volunteer Survey'!E399)"),"hannah.lilligren@gmail.com")</f>
        <v>hannah.lilligren@gmail.com</v>
      </c>
      <c r="AE400" s="175" t="str">
        <f ca="1">IFERROR(__xludf.DUMMYFUNCTION("QUERY('Volunteer Survey'!F399)"),"Graduate Student")</f>
        <v>Graduate Student</v>
      </c>
      <c r="AF400" s="175" t="str">
        <f ca="1">IFERROR(__xludf.DUMMYFUNCTION("QUERY('Volunteer Survey'!G399)"),"Suggestion from mentor")</f>
        <v>Suggestion from mentor</v>
      </c>
      <c r="AG400" s="175" t="str">
        <f ca="1">IFERROR(__xludf.DUMMYFUNCTION("QUERY('Volunteer Survey'!H399)"),"I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400" s="175" t="str">
        <f ca="1">IFERROR(__xludf.DUMMYFUNCTION("QUERY('Volunteer Survey'!I399)"),"Variant Pathogenicity")</f>
        <v>Variant Pathogenicity</v>
      </c>
      <c r="AI400" s="175" t="str">
        <f ca="1">IFERROR(__xludf.DUMMYFUNCTION("QUERY('Volunteer Survey'!J399)"),"Clinical Actionability")</f>
        <v>Clinical Actionability</v>
      </c>
      <c r="AJ400" s="175" t="str">
        <f ca="1">IFERROR(__xludf.DUMMYFUNCTION("QUERY('Volunteer Survey'!K399)"),"Gene-Disease Validity")</f>
        <v>Gene-Disease Validity</v>
      </c>
      <c r="AK400" s="175" t="str">
        <f ca="1">IFERROR(__xludf.DUMMYFUNCTION("QUERY('Volunteer Survey'!L399)"),"Dosage Sensitivity")</f>
        <v>Dosage Sensitivity</v>
      </c>
      <c r="AL400" s="175" t="str">
        <f ca="1">IFERROR(__xludf.DUMMYFUNCTION("QUERY('Volunteer Survey'!M399)"),"Somatic Cancer")</f>
        <v>Somatic Cancer</v>
      </c>
      <c r="AM400" s="175" t="str">
        <f ca="1">IFERROR(__xludf.DUMMYFUNCTION("QUERY('Volunteer Survey'!N399)"),"")</f>
        <v/>
      </c>
      <c r="AN400" s="175" t="str">
        <f ca="1">IFERROR(__xludf.DUMMYFUNCTION("QUERY('Volunteer Survey'!O399)"),"Possibly")</f>
        <v>Possibly</v>
      </c>
      <c r="AO400" s="175" t="str">
        <f ca="1">IFERROR(__xludf.DUMMYFUNCTION("QUERY('Volunteer Survey'!P399)"),"")</f>
        <v/>
      </c>
    </row>
    <row r="401" spans="1:41" ht="14">
      <c r="A401" s="49" t="str">
        <f ca="1">IFERROR(__xludf.DUMMYFUNCTION("QUERY('Volunteer Survey'!A795)"),"")</f>
        <v/>
      </c>
      <c r="B401" s="42" t="s">
        <v>322</v>
      </c>
      <c r="C401" s="47"/>
      <c r="D401" s="49"/>
      <c r="E401" s="49"/>
      <c r="F401" s="49" t="b">
        <v>0</v>
      </c>
      <c r="G401" s="49"/>
      <c r="H401" s="47"/>
      <c r="I401" s="47"/>
      <c r="J401" s="49"/>
      <c r="K401" s="49"/>
      <c r="L401" s="49" t="str">
        <f ca="1">IFERROR(__xludf.DUMMYFUNCTION("QUERY('Volunteer Survey'!B795)"),"")</f>
        <v/>
      </c>
      <c r="M401" s="49" t="str">
        <f ca="1">IFERROR(__xludf.DUMMYFUNCTION("QUERY('Volunteer Survey'!E795)"),"")</f>
        <v/>
      </c>
      <c r="N401" s="49" t="str">
        <f ca="1">IFERROR(__xludf.DUMMYFUNCTION("QUERY('Volunteer Survey'!F795)"),"")</f>
        <v/>
      </c>
      <c r="O401" s="42" t="str">
        <f ca="1">IFERROR(__xludf.DUMMYFUNCTION("QUERY('Volunteer Survey'!H795)"),"")</f>
        <v/>
      </c>
      <c r="P401" s="49" t="str">
        <f ca="1">IFERROR(__xludf.DUMMYFUNCTION("QUERY('Volunteer Survey'!I795)"),"")</f>
        <v/>
      </c>
      <c r="Q401" s="54" t="str">
        <f ca="1">IFERROR(__xludf.DUMMYFUNCTION("QUERY('Volunteer Survey'!J795)"),"")</f>
        <v/>
      </c>
      <c r="R401" s="49" t="str">
        <f ca="1">IFERROR(__xludf.DUMMYFUNCTION("QUERY('Volunteer Survey'!K795)"),"")</f>
        <v/>
      </c>
      <c r="S401" s="49" t="str">
        <f ca="1">IFERROR(__xludf.DUMMYFUNCTION("QUERY('Volunteer Survey'!L795)"),"")</f>
        <v/>
      </c>
      <c r="T401" s="49" t="str">
        <f ca="1">IFERROR(__xludf.DUMMYFUNCTION("QUERY('Volunteer Survey'!M795)"),"")</f>
        <v/>
      </c>
      <c r="U401" s="58" t="str">
        <f ca="1">IFERROR(__xludf.DUMMYFUNCTION("QUERY('Volunteer Survey'!N795)"),"")</f>
        <v/>
      </c>
      <c r="V401" s="49" t="str">
        <f ca="1">IFERROR(__xludf.DUMMYFUNCTION("QUERY('Volunteer Survey'!O795)"),"")</f>
        <v/>
      </c>
      <c r="W401" s="60" t="str">
        <f ca="1">IFERROR(__xludf.DUMMYFUNCTION("QUERY('Volunteer Survey'!P795)"),"")</f>
        <v/>
      </c>
      <c r="X401" s="58" t="str">
        <f ca="1">IFERROR(__xludf.DUMMYFUNCTION("QUERY('Volunteer Survey'!R795)"),"")</f>
        <v/>
      </c>
      <c r="Y401" s="47"/>
      <c r="Z401" s="174">
        <f ca="1">IFERROR(__xludf.DUMMYFUNCTION("QUERY('Volunteer Survey'!A400)"),43859.264838287)</f>
        <v>43859.264838287003</v>
      </c>
      <c r="AA401" s="175" t="str">
        <f ca="1">IFERROR(__xludf.DUMMYFUNCTION("QUERY('Volunteer Survey'!B400)"),"Saja El Yaacoub")</f>
        <v>Saja El Yaacoub</v>
      </c>
      <c r="AB401" s="175" t="str">
        <f ca="1">IFERROR(__xludf.DUMMYFUNCTION("QUERY('Volunteer Survey'!C400)"),"Arizona State University")</f>
        <v>Arizona State University</v>
      </c>
      <c r="AC401" s="175" t="str">
        <f ca="1">IFERROR(__xludf.DUMMYFUNCTION("QUERY('Volunteer Survey'!D400)"),"")</f>
        <v/>
      </c>
      <c r="AD401" s="175" t="str">
        <f ca="1">IFERROR(__xludf.DUMMYFUNCTION("QUERY('Volunteer Survey'!E400)"),"saja.alyaacoub@live.com")</f>
        <v>saja.alyaacoub@live.com</v>
      </c>
      <c r="AE401" s="175" t="str">
        <f ca="1">IFERROR(__xludf.DUMMYFUNCTION("QUERY('Volunteer Survey'!F400)"),"Graduate Student")</f>
        <v>Graduate Student</v>
      </c>
      <c r="AF401" s="175" t="str">
        <f ca="1">IFERROR(__xludf.DUMMYFUNCTION("QUERY('Volunteer Survey'!G400)"),"The clinicalgenome.org website")</f>
        <v>The clinicalgenome.org website</v>
      </c>
      <c r="AG401" s="175" t="str">
        <f ca="1">IFERROR(__xludf.DUMMYFUNCTION("QUERY('Volunteer Survey'!H400)"),"I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1" s="175" t="str">
        <f ca="1">IFERROR(__xludf.DUMMYFUNCTION("QUERY('Volunteer Survey'!I400)"),"Gene-Disease Validity")</f>
        <v>Gene-Disease Validity</v>
      </c>
      <c r="AI401" s="175" t="str">
        <f ca="1">IFERROR(__xludf.DUMMYFUNCTION("QUERY('Volunteer Survey'!J400)"),"Variant Pathogenicity")</f>
        <v>Variant Pathogenicity</v>
      </c>
      <c r="AJ401" s="175" t="str">
        <f ca="1">IFERROR(__xludf.DUMMYFUNCTION("QUERY('Volunteer Survey'!K400)"),"Somatic Cancer")</f>
        <v>Somatic Cancer</v>
      </c>
      <c r="AK401" s="175" t="str">
        <f ca="1">IFERROR(__xludf.DUMMYFUNCTION("QUERY('Volunteer Survey'!L400)"),"Dosage Sensitivity")</f>
        <v>Dosage Sensitivity</v>
      </c>
      <c r="AL401" s="175" t="str">
        <f ca="1">IFERROR(__xludf.DUMMYFUNCTION("QUERY('Volunteer Survey'!M400)"),"Clinical Actionability")</f>
        <v>Clinical Actionability</v>
      </c>
      <c r="AM401" s="175" t="str">
        <f ca="1">IFERROR(__xludf.DUMMYFUNCTION("QUERY('Volunteer Survey'!N400)"),"")</f>
        <v/>
      </c>
      <c r="AN401" s="175" t="str">
        <f ca="1">IFERROR(__xludf.DUMMYFUNCTION("QUERY('Volunteer Survey'!O400)"),"Possibly")</f>
        <v>Possibly</v>
      </c>
      <c r="AO401" s="175" t="str">
        <f ca="1">IFERROR(__xludf.DUMMYFUNCTION("QUERY('Volunteer Survey'!P400)"),"DICER1, Colorectal Cancer, or inhereted retinal diseases")</f>
        <v>DICER1, Colorectal Cancer, or inhereted retinal diseases</v>
      </c>
    </row>
    <row r="402" spans="1:41" ht="14">
      <c r="A402" s="49" t="str">
        <f ca="1">IFERROR(__xludf.DUMMYFUNCTION("QUERY('Volunteer Survey'!A796)"),"")</f>
        <v/>
      </c>
      <c r="B402" s="42" t="s">
        <v>322</v>
      </c>
      <c r="C402" s="47"/>
      <c r="D402" s="49"/>
      <c r="E402" s="49"/>
      <c r="F402" s="49" t="b">
        <v>0</v>
      </c>
      <c r="G402" s="49"/>
      <c r="H402" s="47"/>
      <c r="I402" s="47"/>
      <c r="J402" s="49"/>
      <c r="K402" s="49"/>
      <c r="L402" s="49" t="str">
        <f ca="1">IFERROR(__xludf.DUMMYFUNCTION("QUERY('Volunteer Survey'!B796)"),"")</f>
        <v/>
      </c>
      <c r="M402" s="49" t="str">
        <f ca="1">IFERROR(__xludf.DUMMYFUNCTION("QUERY('Volunteer Survey'!E796)"),"")</f>
        <v/>
      </c>
      <c r="N402" s="49" t="str">
        <f ca="1">IFERROR(__xludf.DUMMYFUNCTION("QUERY('Volunteer Survey'!F796)"),"")</f>
        <v/>
      </c>
      <c r="O402" s="42" t="str">
        <f ca="1">IFERROR(__xludf.DUMMYFUNCTION("QUERY('Volunteer Survey'!H796)"),"")</f>
        <v/>
      </c>
      <c r="P402" s="49" t="str">
        <f ca="1">IFERROR(__xludf.DUMMYFUNCTION("QUERY('Volunteer Survey'!I796)"),"")</f>
        <v/>
      </c>
      <c r="Q402" s="54" t="str">
        <f ca="1">IFERROR(__xludf.DUMMYFUNCTION("QUERY('Volunteer Survey'!J796)"),"")</f>
        <v/>
      </c>
      <c r="R402" s="49" t="str">
        <f ca="1">IFERROR(__xludf.DUMMYFUNCTION("QUERY('Volunteer Survey'!K796)"),"")</f>
        <v/>
      </c>
      <c r="S402" s="49" t="str">
        <f ca="1">IFERROR(__xludf.DUMMYFUNCTION("QUERY('Volunteer Survey'!L796)"),"")</f>
        <v/>
      </c>
      <c r="T402" s="49" t="str">
        <f ca="1">IFERROR(__xludf.DUMMYFUNCTION("QUERY('Volunteer Survey'!M796)"),"")</f>
        <v/>
      </c>
      <c r="U402" s="58" t="str">
        <f ca="1">IFERROR(__xludf.DUMMYFUNCTION("QUERY('Volunteer Survey'!N796)"),"")</f>
        <v/>
      </c>
      <c r="V402" s="49" t="str">
        <f ca="1">IFERROR(__xludf.DUMMYFUNCTION("QUERY('Volunteer Survey'!O796)"),"")</f>
        <v/>
      </c>
      <c r="W402" s="60" t="str">
        <f ca="1">IFERROR(__xludf.DUMMYFUNCTION("QUERY('Volunteer Survey'!P796)"),"")</f>
        <v/>
      </c>
      <c r="X402" s="58" t="str">
        <f ca="1">IFERROR(__xludf.DUMMYFUNCTION("QUERY('Volunteer Survey'!R796)"),"")</f>
        <v/>
      </c>
      <c r="Y402" s="47"/>
      <c r="Z402" s="174">
        <f ca="1">IFERROR(__xludf.DUMMYFUNCTION("QUERY('Volunteer Survey'!A401)"),43860.4519245023)</f>
        <v>43860.451924502297</v>
      </c>
      <c r="AA402" s="175" t="str">
        <f ca="1">IFERROR(__xludf.DUMMYFUNCTION("QUERY('Volunteer Survey'!B401)"),"Raiana Barbosa")</f>
        <v>Raiana Barbosa</v>
      </c>
      <c r="AB402" s="175" t="str">
        <f ca="1">IFERROR(__xludf.DUMMYFUNCTION("QUERY('Volunteer Survey'!C401)"),"Federal University of Rio de Janeiro")</f>
        <v>Federal University of Rio de Janeiro</v>
      </c>
      <c r="AC402" s="175" t="str">
        <f ca="1">IFERROR(__xludf.DUMMYFUNCTION("QUERY('Volunteer Survey'!D401)"),"Av. Carlos Chagas Filho 373 Bloco G - Sala G2-053")</f>
        <v>Av. Carlos Chagas Filho 373 Bloco G - Sala G2-053</v>
      </c>
      <c r="AD402" s="175" t="str">
        <f ca="1">IFERROR(__xludf.DUMMYFUNCTION("QUERY('Volunteer Survey'!E401)"),"rapa_andrade@hotmail.com")</f>
        <v>rapa_andrade@hotmail.com</v>
      </c>
      <c r="AE402" s="175" t="str">
        <f ca="1">IFERROR(__xludf.DUMMYFUNCTION("QUERY('Volunteer Survey'!F401)"),"Post Doc/Resident/Fellow (MD and/or PhD)")</f>
        <v>Post Doc/Resident/Fellow (MD and/or PhD)</v>
      </c>
      <c r="AF402" s="175" t="str">
        <f ca="1">IFERROR(__xludf.DUMMYFUNCTION("QUERY('Volunteer Survey'!G401)"),"Colleagues")</f>
        <v>Colleagues</v>
      </c>
      <c r="AG402" s="175" t="str">
        <f ca="1">IFERROR(__xludf.DUMMYFUNCTION("QUERY('Volunteer Survey'!H401)"),"I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2" s="175" t="str">
        <f ca="1">IFERROR(__xludf.DUMMYFUNCTION("QUERY('Volunteer Survey'!I401)"),"Variant Pathogenicity")</f>
        <v>Variant Pathogenicity</v>
      </c>
      <c r="AI402" s="175" t="str">
        <f ca="1">IFERROR(__xludf.DUMMYFUNCTION("QUERY('Volunteer Survey'!J401)"),"Gene-Disease Validity")</f>
        <v>Gene-Disease Validity</v>
      </c>
      <c r="AJ402" s="175" t="str">
        <f ca="1">IFERROR(__xludf.DUMMYFUNCTION("QUERY('Volunteer Survey'!K401)"),"Clinical Actionability")</f>
        <v>Clinical Actionability</v>
      </c>
      <c r="AK402" s="175" t="str">
        <f ca="1">IFERROR(__xludf.DUMMYFUNCTION("QUERY('Volunteer Survey'!L401)"),"")</f>
        <v/>
      </c>
      <c r="AL402" s="175" t="str">
        <f ca="1">IFERROR(__xludf.DUMMYFUNCTION("QUERY('Volunteer Survey'!M401)"),"")</f>
        <v/>
      </c>
      <c r="AM402" s="175" t="str">
        <f ca="1">IFERROR(__xludf.DUMMYFUNCTION("QUERY('Volunteer Survey'!N401)"),"No, I don't.")</f>
        <v>No, I don't.</v>
      </c>
      <c r="AN402" s="175" t="str">
        <f ca="1">IFERROR(__xludf.DUMMYFUNCTION("QUERY('Volunteer Survey'!O401)"),"Possibly")</f>
        <v>Possibly</v>
      </c>
      <c r="AO402" s="175" t="str">
        <f ca="1">IFERROR(__xludf.DUMMYFUNCTION("QUERY('Volunteer Survey'!P401)"),"Yes, I am interested in Familial Hypercholesterolemia and FBN1 panels.")</f>
        <v>Yes, I am interested in Familial Hypercholesterolemia and FBN1 panels.</v>
      </c>
    </row>
    <row r="403" spans="1:41" ht="14">
      <c r="A403" s="49" t="str">
        <f ca="1">IFERROR(__xludf.DUMMYFUNCTION("QUERY('Volunteer Survey'!A797)"),"")</f>
        <v/>
      </c>
      <c r="B403" s="42" t="s">
        <v>322</v>
      </c>
      <c r="C403" s="47"/>
      <c r="D403" s="49"/>
      <c r="E403" s="49"/>
      <c r="F403" s="49" t="b">
        <v>0</v>
      </c>
      <c r="G403" s="49"/>
      <c r="H403" s="47"/>
      <c r="I403" s="47"/>
      <c r="J403" s="49"/>
      <c r="K403" s="49"/>
      <c r="L403" s="49" t="str">
        <f ca="1">IFERROR(__xludf.DUMMYFUNCTION("QUERY('Volunteer Survey'!B797)"),"")</f>
        <v/>
      </c>
      <c r="M403" s="49" t="str">
        <f ca="1">IFERROR(__xludf.DUMMYFUNCTION("QUERY('Volunteer Survey'!E797)"),"")</f>
        <v/>
      </c>
      <c r="N403" s="49" t="str">
        <f ca="1">IFERROR(__xludf.DUMMYFUNCTION("QUERY('Volunteer Survey'!F797)"),"")</f>
        <v/>
      </c>
      <c r="O403" s="42" t="str">
        <f ca="1">IFERROR(__xludf.DUMMYFUNCTION("QUERY('Volunteer Survey'!H797)"),"")</f>
        <v/>
      </c>
      <c r="P403" s="49" t="str">
        <f ca="1">IFERROR(__xludf.DUMMYFUNCTION("QUERY('Volunteer Survey'!I797)"),"")</f>
        <v/>
      </c>
      <c r="Q403" s="54" t="str">
        <f ca="1">IFERROR(__xludf.DUMMYFUNCTION("QUERY('Volunteer Survey'!J797)"),"")</f>
        <v/>
      </c>
      <c r="R403" s="49" t="str">
        <f ca="1">IFERROR(__xludf.DUMMYFUNCTION("QUERY('Volunteer Survey'!K797)"),"")</f>
        <v/>
      </c>
      <c r="S403" s="49" t="str">
        <f ca="1">IFERROR(__xludf.DUMMYFUNCTION("QUERY('Volunteer Survey'!L797)"),"")</f>
        <v/>
      </c>
      <c r="T403" s="49" t="str">
        <f ca="1">IFERROR(__xludf.DUMMYFUNCTION("QUERY('Volunteer Survey'!M797)"),"")</f>
        <v/>
      </c>
      <c r="U403" s="58" t="str">
        <f ca="1">IFERROR(__xludf.DUMMYFUNCTION("QUERY('Volunteer Survey'!N797)"),"")</f>
        <v/>
      </c>
      <c r="V403" s="49" t="str">
        <f ca="1">IFERROR(__xludf.DUMMYFUNCTION("QUERY('Volunteer Survey'!O797)"),"")</f>
        <v/>
      </c>
      <c r="W403" s="60" t="str">
        <f ca="1">IFERROR(__xludf.DUMMYFUNCTION("QUERY('Volunteer Survey'!P797)"),"")</f>
        <v/>
      </c>
      <c r="X403" s="58" t="str">
        <f ca="1">IFERROR(__xludf.DUMMYFUNCTION("QUERY('Volunteer Survey'!R797)"),"")</f>
        <v/>
      </c>
      <c r="Y403" s="47"/>
      <c r="Z403" s="174">
        <f ca="1">IFERROR(__xludf.DUMMYFUNCTION("QUERY('Volunteer Survey'!A402)"),43861.4670301157)</f>
        <v>43861.467030115702</v>
      </c>
      <c r="AA403" s="175" t="str">
        <f ca="1">IFERROR(__xludf.DUMMYFUNCTION("QUERY('Volunteer Survey'!B402)"),"Sarada Gandhi Kolli")</f>
        <v>Sarada Gandhi Kolli</v>
      </c>
      <c r="AB403" s="175" t="str">
        <f ca="1">IFERROR(__xludf.DUMMYFUNCTION("QUERY('Volunteer Survey'!C402)"),"Mater Misericordiae University Hospital")</f>
        <v>Mater Misericordiae University Hospital</v>
      </c>
      <c r="AC403" s="175" t="str">
        <f ca="1">IFERROR(__xludf.DUMMYFUNCTION("QUERY('Volunteer Survey'!D402)"),"Next generation Sequencing Lab, Mater Misericordiae University Hospital, Mater Misericordiae Wing Level 0, Mortuary entrance, North Circular Road, Dublin 7, D07 R2WY")</f>
        <v>Next generation Sequencing Lab, Mater Misericordiae University Hospital, Mater Misericordiae Wing Level 0, Mortuary entrance, North Circular Road, Dublin 7, D07 R2WY</v>
      </c>
      <c r="AD403" s="175" t="str">
        <f ca="1">IFERROR(__xludf.DUMMYFUNCTION("QUERY('Volunteer Survey'!E402)"),"saradagandhikolli@mater.ie")</f>
        <v>saradagandhikolli@mater.ie</v>
      </c>
      <c r="AE403" s="175" t="str">
        <f ca="1">IFERROR(__xludf.DUMMYFUNCTION("QUERY('Volunteer Survey'!F402)"),"Variant Analyst/Scientist - Academic")</f>
        <v>Variant Analyst/Scientist - Academic</v>
      </c>
      <c r="AF403" s="175" t="str">
        <f ca="1">IFERROR(__xludf.DUMMYFUNCTION("QUERY('Volunteer Survey'!G402)"),"Suggestion from mentor")</f>
        <v>Suggestion from mentor</v>
      </c>
      <c r="AG403" s="175" t="str">
        <f ca="1">IFERROR(__xludf.DUMMYFUNCTION("QUERY('Volunteer Survey'!H402)"),"I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3" s="175" t="str">
        <f ca="1">IFERROR(__xludf.DUMMYFUNCTION("QUERY('Volunteer Survey'!I402)"),"Variant Pathogenicity")</f>
        <v>Variant Pathogenicity</v>
      </c>
      <c r="AI403" s="175" t="str">
        <f ca="1">IFERROR(__xludf.DUMMYFUNCTION("QUERY('Volunteer Survey'!J402)"),"Gene-Disease Validity")</f>
        <v>Gene-Disease Validity</v>
      </c>
      <c r="AJ403" s="175" t="str">
        <f ca="1">IFERROR(__xludf.DUMMYFUNCTION("QUERY('Volunteer Survey'!K402)"),"")</f>
        <v/>
      </c>
      <c r="AK403" s="175" t="str">
        <f ca="1">IFERROR(__xludf.DUMMYFUNCTION("QUERY('Volunteer Survey'!L402)"),"")</f>
        <v/>
      </c>
      <c r="AL403" s="175" t="str">
        <f ca="1">IFERROR(__xludf.DUMMYFUNCTION("QUERY('Volunteer Survey'!M402)"),"")</f>
        <v/>
      </c>
      <c r="AM403" s="175" t="str">
        <f ca="1">IFERROR(__xludf.DUMMYFUNCTION("QUERY('Volunteer Survey'!N402)"),"Our lab is currently working on classification of pathogenic variants. We are focusing on cardiac variants for now but plan on expanding the departments in the future.")</f>
        <v>Our lab is currently working on classification of pathogenic variants. We are focusing on cardiac variants for now but plan on expanding the departments in the future.</v>
      </c>
      <c r="AN403" s="175" t="str">
        <f ca="1">IFERROR(__xludf.DUMMYFUNCTION("QUERY('Volunteer Survey'!O402)"),"No")</f>
        <v>No</v>
      </c>
      <c r="AO403" s="175" t="str">
        <f ca="1">IFERROR(__xludf.DUMMYFUNCTION("QUERY('Volunteer Survey'!P402)"),"")</f>
        <v/>
      </c>
    </row>
    <row r="404" spans="1:41" ht="14">
      <c r="A404" s="49" t="str">
        <f ca="1">IFERROR(__xludf.DUMMYFUNCTION("QUERY('Volunteer Survey'!A798)"),"")</f>
        <v/>
      </c>
      <c r="B404" s="42" t="s">
        <v>322</v>
      </c>
      <c r="C404" s="47"/>
      <c r="D404" s="49"/>
      <c r="E404" s="49"/>
      <c r="F404" s="49" t="b">
        <v>0</v>
      </c>
      <c r="G404" s="49"/>
      <c r="H404" s="47"/>
      <c r="I404" s="47"/>
      <c r="J404" s="49"/>
      <c r="K404" s="49"/>
      <c r="L404" s="49" t="str">
        <f ca="1">IFERROR(__xludf.DUMMYFUNCTION("QUERY('Volunteer Survey'!B798)"),"")</f>
        <v/>
      </c>
      <c r="M404" s="49" t="str">
        <f ca="1">IFERROR(__xludf.DUMMYFUNCTION("QUERY('Volunteer Survey'!E798)"),"")</f>
        <v/>
      </c>
      <c r="N404" s="49" t="str">
        <f ca="1">IFERROR(__xludf.DUMMYFUNCTION("QUERY('Volunteer Survey'!F798)"),"")</f>
        <v/>
      </c>
      <c r="O404" s="42" t="str">
        <f ca="1">IFERROR(__xludf.DUMMYFUNCTION("QUERY('Volunteer Survey'!H798)"),"")</f>
        <v/>
      </c>
      <c r="P404" s="49" t="str">
        <f ca="1">IFERROR(__xludf.DUMMYFUNCTION("QUERY('Volunteer Survey'!I798)"),"")</f>
        <v/>
      </c>
      <c r="Q404" s="54" t="str">
        <f ca="1">IFERROR(__xludf.DUMMYFUNCTION("QUERY('Volunteer Survey'!J798)"),"")</f>
        <v/>
      </c>
      <c r="R404" s="49" t="str">
        <f ca="1">IFERROR(__xludf.DUMMYFUNCTION("QUERY('Volunteer Survey'!K798)"),"")</f>
        <v/>
      </c>
      <c r="S404" s="49" t="str">
        <f ca="1">IFERROR(__xludf.DUMMYFUNCTION("QUERY('Volunteer Survey'!L798)"),"")</f>
        <v/>
      </c>
      <c r="T404" s="49" t="str">
        <f ca="1">IFERROR(__xludf.DUMMYFUNCTION("QUERY('Volunteer Survey'!M798)"),"")</f>
        <v/>
      </c>
      <c r="U404" s="58" t="str">
        <f ca="1">IFERROR(__xludf.DUMMYFUNCTION("QUERY('Volunteer Survey'!N798)"),"")</f>
        <v/>
      </c>
      <c r="V404" s="49" t="str">
        <f ca="1">IFERROR(__xludf.DUMMYFUNCTION("QUERY('Volunteer Survey'!O798)"),"")</f>
        <v/>
      </c>
      <c r="W404" s="60" t="str">
        <f ca="1">IFERROR(__xludf.DUMMYFUNCTION("QUERY('Volunteer Survey'!P798)"),"")</f>
        <v/>
      </c>
      <c r="X404" s="58" t="str">
        <f ca="1">IFERROR(__xludf.DUMMYFUNCTION("QUERY('Volunteer Survey'!R798)"),"")</f>
        <v/>
      </c>
      <c r="Y404" s="47"/>
      <c r="Z404" s="174">
        <f ca="1">IFERROR(__xludf.DUMMYFUNCTION("QUERY('Volunteer Survey'!A403)"),43861.7268540162)</f>
        <v>43861.726854016197</v>
      </c>
      <c r="AA404" s="175" t="str">
        <f ca="1">IFERROR(__xludf.DUMMYFUNCTION("QUERY('Volunteer Survey'!B403)"),"Eah Keomanee")</f>
        <v>Eah Keomanee</v>
      </c>
      <c r="AB404" s="175" t="str">
        <f ca="1">IFERROR(__xludf.DUMMYFUNCTION("QUERY('Volunteer Survey'!C403)"),"Keck Graduate Institute")</f>
        <v>Keck Graduate Institute</v>
      </c>
      <c r="AC404" s="175" t="str">
        <f ca="1">IFERROR(__xludf.DUMMYFUNCTION("QUERY('Volunteer Survey'!D403)"),"101 Bucknell Ave #228-1")</f>
        <v>101 Bucknell Ave #228-1</v>
      </c>
      <c r="AD404" s="175" t="str">
        <f ca="1">IFERROR(__xludf.DUMMYFUNCTION("QUERY('Volunteer Survey'!E403)"),"ekeomanee19@students.kgi.edu")</f>
        <v>ekeomanee19@students.kgi.edu</v>
      </c>
      <c r="AE404" s="175" t="str">
        <f ca="1">IFERROR(__xludf.DUMMYFUNCTION("QUERY('Volunteer Survey'!F403)"),"Graduate Student")</f>
        <v>Graduate Student</v>
      </c>
      <c r="AF404" s="175" t="str">
        <f ca="1">IFERROR(__xludf.DUMMYFUNCTION("QUERY('Volunteer Survey'!G403)"),"The clinicalgenome.org website")</f>
        <v>The clinicalgenome.org website</v>
      </c>
      <c r="AG404" s="175" t="str">
        <f ca="1">IFERROR(__xludf.DUMMYFUNCTION("QUERY('Volunteer Survey'!H403)"),"I am more interested in becoming an active member of a curation group. I am willing to attend conference calls, as well as spend time outside of calls performing curation and entering information into ClinGen interfaces (estimated 8-10 hours of participat"&amp;"ion per month)")</f>
        <v>I am more interested in becoming an active member of a curation group. I am willing to attend conference calls, as well as spend time outside of calls performing curation and entering information into ClinGen interfaces (estimated 8-10 hours of participation per month)</v>
      </c>
      <c r="AH404" s="175" t="str">
        <f ca="1">IFERROR(__xludf.DUMMYFUNCTION("QUERY('Volunteer Survey'!I403)"),"Gene-Disease Validity")</f>
        <v>Gene-Disease Validity</v>
      </c>
      <c r="AI404" s="175" t="str">
        <f ca="1">IFERROR(__xludf.DUMMYFUNCTION("QUERY('Volunteer Survey'!J403)"),"Variant Pathogenicity")</f>
        <v>Variant Pathogenicity</v>
      </c>
      <c r="AJ404" s="175" t="str">
        <f ca="1">IFERROR(__xludf.DUMMYFUNCTION("QUERY('Volunteer Survey'!K403)"),"Somatic Cancer")</f>
        <v>Somatic Cancer</v>
      </c>
      <c r="AK404" s="175" t="str">
        <f ca="1">IFERROR(__xludf.DUMMYFUNCTION("QUERY('Volunteer Survey'!L403)"),"Dosage Sensitivity")</f>
        <v>Dosage Sensitivity</v>
      </c>
      <c r="AL404" s="175" t="str">
        <f ca="1">IFERROR(__xludf.DUMMYFUNCTION("QUERY('Volunteer Survey'!M403)"),"Clinical Actionability")</f>
        <v>Clinical Actionability</v>
      </c>
      <c r="AM404" s="175" t="str">
        <f ca="1">IFERROR(__xludf.DUMMYFUNCTION("QUERY('Volunteer Survey'!N403)"),"")</f>
        <v/>
      </c>
      <c r="AN404" s="175" t="str">
        <f ca="1">IFERROR(__xludf.DUMMYFUNCTION("QUERY('Volunteer Survey'!O403)"),"Yes")</f>
        <v>Yes</v>
      </c>
      <c r="AO404" s="175" t="str">
        <f ca="1">IFERROR(__xludf.DUMMYFUNCTION("QUERY('Volunteer Survey'!P403)"),"")</f>
        <v/>
      </c>
    </row>
    <row r="405" spans="1:41" ht="14">
      <c r="A405" s="49" t="str">
        <f ca="1">IFERROR(__xludf.DUMMYFUNCTION("QUERY('Volunteer Survey'!A799)"),"")</f>
        <v/>
      </c>
      <c r="B405" s="42" t="s">
        <v>322</v>
      </c>
      <c r="C405" s="47"/>
      <c r="D405" s="49"/>
      <c r="E405" s="49"/>
      <c r="F405" s="49" t="b">
        <v>0</v>
      </c>
      <c r="G405" s="49"/>
      <c r="H405" s="47"/>
      <c r="I405" s="47"/>
      <c r="J405" s="49"/>
      <c r="K405" s="49"/>
      <c r="L405" s="49" t="str">
        <f ca="1">IFERROR(__xludf.DUMMYFUNCTION("QUERY('Volunteer Survey'!B799)"),"")</f>
        <v/>
      </c>
      <c r="M405" s="49" t="str">
        <f ca="1">IFERROR(__xludf.DUMMYFUNCTION("QUERY('Volunteer Survey'!E799)"),"")</f>
        <v/>
      </c>
      <c r="N405" s="49" t="str">
        <f ca="1">IFERROR(__xludf.DUMMYFUNCTION("QUERY('Volunteer Survey'!F799)"),"")</f>
        <v/>
      </c>
      <c r="O405" s="42" t="str">
        <f ca="1">IFERROR(__xludf.DUMMYFUNCTION("QUERY('Volunteer Survey'!H799)"),"")</f>
        <v/>
      </c>
      <c r="P405" s="49" t="str">
        <f ca="1">IFERROR(__xludf.DUMMYFUNCTION("QUERY('Volunteer Survey'!I799)"),"")</f>
        <v/>
      </c>
      <c r="Q405" s="54" t="str">
        <f ca="1">IFERROR(__xludf.DUMMYFUNCTION("QUERY('Volunteer Survey'!J799)"),"")</f>
        <v/>
      </c>
      <c r="R405" s="49" t="str">
        <f ca="1">IFERROR(__xludf.DUMMYFUNCTION("QUERY('Volunteer Survey'!K799)"),"")</f>
        <v/>
      </c>
      <c r="S405" s="49" t="str">
        <f ca="1">IFERROR(__xludf.DUMMYFUNCTION("QUERY('Volunteer Survey'!L799)"),"")</f>
        <v/>
      </c>
      <c r="T405" s="49" t="str">
        <f ca="1">IFERROR(__xludf.DUMMYFUNCTION("QUERY('Volunteer Survey'!M799)"),"")</f>
        <v/>
      </c>
      <c r="U405" s="58" t="str">
        <f ca="1">IFERROR(__xludf.DUMMYFUNCTION("QUERY('Volunteer Survey'!N799)"),"")</f>
        <v/>
      </c>
      <c r="V405" s="49" t="str">
        <f ca="1">IFERROR(__xludf.DUMMYFUNCTION("QUERY('Volunteer Survey'!O799)"),"")</f>
        <v/>
      </c>
      <c r="W405" s="60" t="str">
        <f ca="1">IFERROR(__xludf.DUMMYFUNCTION("QUERY('Volunteer Survey'!P799)"),"")</f>
        <v/>
      </c>
      <c r="X405" s="58" t="str">
        <f ca="1">IFERROR(__xludf.DUMMYFUNCTION("QUERY('Volunteer Survey'!R799)"),"")</f>
        <v/>
      </c>
      <c r="Y405" s="47"/>
      <c r="Z405" s="174">
        <f ca="1">IFERROR(__xludf.DUMMYFUNCTION("QUERY('Volunteer Survey'!A404)"),43864.2629840162)</f>
        <v>43864.262984016197</v>
      </c>
      <c r="AA405" s="175" t="str">
        <f ca="1">IFERROR(__xludf.DUMMYFUNCTION("QUERY('Volunteer Survey'!B404)"),"Tiago Fernando Chaves")</f>
        <v>Tiago Fernando Chaves</v>
      </c>
      <c r="AB405" s="175" t="str">
        <f ca="1">IFERROR(__xludf.DUMMYFUNCTION("QUERY('Volunteer Survey'!C404)"),"Universidade Federal de Santa Catarina")</f>
        <v>Universidade Federal de Santa Catarina</v>
      </c>
      <c r="AC405" s="175" t="str">
        <f ca="1">IFERROR(__xludf.DUMMYFUNCTION("QUERY('Volunteer Survey'!D404)"),"")</f>
        <v/>
      </c>
      <c r="AD405" s="175" t="str">
        <f ca="1">IFERROR(__xludf.DUMMYFUNCTION("QUERY('Volunteer Survey'!E404)"),"tiagochavo@msn.com")</f>
        <v>tiagochavo@msn.com</v>
      </c>
      <c r="AE405" s="175" t="str">
        <f ca="1">IFERROR(__xludf.DUMMYFUNCTION("QUERY('Volunteer Survey'!F404)"),"Scientific Researcher")</f>
        <v>Scientific Researcher</v>
      </c>
      <c r="AF405" s="175" t="str">
        <f ca="1">IFERROR(__xludf.DUMMYFUNCTION("QUERY('Volunteer Survey'!G404)"),"The clinicalgenome.org website")</f>
        <v>The clinicalgenome.org website</v>
      </c>
      <c r="AG405" s="175" t="str">
        <f ca="1">IFERROR(__xludf.DUMMYFUNCTION("QUERY('Volunteer Survey'!H404)"),"I am more interested in participating as time allows. I am willing to read scientific articles and identify evidence that may be useful for ClinGen curation activities at my own pace")</f>
        <v>I am more interested in participating as time allows. I am willing to read scientific articles and identify evidence that may be useful for ClinGen curation activities at my own pace</v>
      </c>
      <c r="AH405" s="175" t="str">
        <f ca="1">IFERROR(__xludf.DUMMYFUNCTION("QUERY('Volunteer Survey'!I404)"),"Variant Pathogenicity")</f>
        <v>Variant Pathogenicity</v>
      </c>
      <c r="AI405" s="175" t="str">
        <f ca="1">IFERROR(__xludf.DUMMYFUNCTION("QUERY('Volunteer Survey'!J404)"),"Dosage Sensitivity")</f>
        <v>Dosage Sensitivity</v>
      </c>
      <c r="AJ405" s="175" t="str">
        <f ca="1">IFERROR(__xludf.DUMMYFUNCTION("QUERY('Volunteer Survey'!K404)"),"Gene-Disease Validity")</f>
        <v>Gene-Disease Validity</v>
      </c>
      <c r="AK405" s="175" t="str">
        <f ca="1">IFERROR(__xludf.DUMMYFUNCTION("QUERY('Volunteer Survey'!L404)"),"")</f>
        <v/>
      </c>
      <c r="AL405" s="175" t="str">
        <f ca="1">IFERROR(__xludf.DUMMYFUNCTION("QUERY('Volunteer Survey'!M404)"),"")</f>
        <v/>
      </c>
      <c r="AM405" s="175" t="str">
        <f ca="1">IFERROR(__xludf.DUMMYFUNCTION("QUERY('Volunteer Survey'!N404)"),"No curatorial experience")</f>
        <v>No curatorial experience</v>
      </c>
      <c r="AN405" s="175" t="str">
        <f ca="1">IFERROR(__xludf.DUMMYFUNCTION("QUERY('Volunteer Survey'!O404)"),"Yes")</f>
        <v>Yes</v>
      </c>
      <c r="AO405" s="175" t="str">
        <f ca="1">IFERROR(__xludf.DUMMYFUNCTION("QUERY('Volunteer Survey'!P404)"),"Dosage-Recurrent Regions and Dosage- Neurodevelopmental")</f>
        <v>Dosage-Recurrent Regions and Dosage- Neurodevelopmental</v>
      </c>
    </row>
    <row r="406" spans="1:41" ht="14">
      <c r="A406" s="49" t="str">
        <f ca="1">IFERROR(__xludf.DUMMYFUNCTION("QUERY('Volunteer Survey'!A800)"),"")</f>
        <v/>
      </c>
      <c r="B406" s="42" t="s">
        <v>322</v>
      </c>
      <c r="C406" s="47"/>
      <c r="D406" s="49"/>
      <c r="E406" s="49"/>
      <c r="F406" s="49" t="b">
        <v>0</v>
      </c>
      <c r="G406" s="49"/>
      <c r="H406" s="47"/>
      <c r="I406" s="47"/>
      <c r="J406" s="49"/>
      <c r="K406" s="49"/>
      <c r="L406" s="49" t="str">
        <f ca="1">IFERROR(__xludf.DUMMYFUNCTION("QUERY('Volunteer Survey'!B800)"),"")</f>
        <v/>
      </c>
      <c r="M406" s="49" t="str">
        <f ca="1">IFERROR(__xludf.DUMMYFUNCTION("QUERY('Volunteer Survey'!E800)"),"")</f>
        <v/>
      </c>
      <c r="N406" s="49" t="str">
        <f ca="1">IFERROR(__xludf.DUMMYFUNCTION("QUERY('Volunteer Survey'!F800)"),"")</f>
        <v/>
      </c>
      <c r="O406" s="42" t="str">
        <f ca="1">IFERROR(__xludf.DUMMYFUNCTION("QUERY('Volunteer Survey'!H800)"),"")</f>
        <v/>
      </c>
      <c r="P406" s="49" t="str">
        <f ca="1">IFERROR(__xludf.DUMMYFUNCTION("QUERY('Volunteer Survey'!I800)"),"")</f>
        <v/>
      </c>
      <c r="Q406" s="54" t="str">
        <f ca="1">IFERROR(__xludf.DUMMYFUNCTION("QUERY('Volunteer Survey'!J800)"),"")</f>
        <v/>
      </c>
      <c r="R406" s="49" t="str">
        <f ca="1">IFERROR(__xludf.DUMMYFUNCTION("QUERY('Volunteer Survey'!K800)"),"")</f>
        <v/>
      </c>
      <c r="S406" s="49" t="str">
        <f ca="1">IFERROR(__xludf.DUMMYFUNCTION("QUERY('Volunteer Survey'!L800)"),"")</f>
        <v/>
      </c>
      <c r="T406" s="49" t="str">
        <f ca="1">IFERROR(__xludf.DUMMYFUNCTION("QUERY('Volunteer Survey'!M800)"),"")</f>
        <v/>
      </c>
      <c r="U406" s="58" t="str">
        <f ca="1">IFERROR(__xludf.DUMMYFUNCTION("QUERY('Volunteer Survey'!N800)"),"")</f>
        <v/>
      </c>
      <c r="V406" s="49" t="str">
        <f ca="1">IFERROR(__xludf.DUMMYFUNCTION("QUERY('Volunteer Survey'!O800)"),"")</f>
        <v/>
      </c>
      <c r="W406" s="60" t="str">
        <f ca="1">IFERROR(__xludf.DUMMYFUNCTION("QUERY('Volunteer Survey'!P800)"),"")</f>
        <v/>
      </c>
      <c r="X406" s="58" t="str">
        <f ca="1">IFERROR(__xludf.DUMMYFUNCTION("QUERY('Volunteer Survey'!R800)"),"")</f>
        <v/>
      </c>
      <c r="Y406" s="47"/>
      <c r="Z406" s="175" t="str">
        <f ca="1">IFERROR(__xludf.DUMMYFUNCTION("QUERY('Volunteer Survey'!A405)"),"")</f>
        <v/>
      </c>
      <c r="AA406" s="175" t="str">
        <f ca="1">IFERROR(__xludf.DUMMYFUNCTION("QUERY('Volunteer Survey'!B405)"),"")</f>
        <v/>
      </c>
      <c r="AB406" s="175" t="str">
        <f ca="1">IFERROR(__xludf.DUMMYFUNCTION("QUERY('Volunteer Survey'!C405)"),"")</f>
        <v/>
      </c>
      <c r="AC406" s="175" t="str">
        <f ca="1">IFERROR(__xludf.DUMMYFUNCTION("QUERY('Volunteer Survey'!D405)"),"")</f>
        <v/>
      </c>
      <c r="AD406" s="175" t="str">
        <f ca="1">IFERROR(__xludf.DUMMYFUNCTION("QUERY('Volunteer Survey'!E405)"),"")</f>
        <v/>
      </c>
      <c r="AE406" s="175" t="str">
        <f ca="1">IFERROR(__xludf.DUMMYFUNCTION("QUERY('Volunteer Survey'!F405)"),"")</f>
        <v/>
      </c>
      <c r="AF406" s="175" t="str">
        <f ca="1">IFERROR(__xludf.DUMMYFUNCTION("QUERY('Volunteer Survey'!G405)"),"")</f>
        <v/>
      </c>
      <c r="AG406" s="175" t="str">
        <f ca="1">IFERROR(__xludf.DUMMYFUNCTION("QUERY('Volunteer Survey'!H405)"),"")</f>
        <v/>
      </c>
      <c r="AH406" s="175" t="str">
        <f ca="1">IFERROR(__xludf.DUMMYFUNCTION("QUERY('Volunteer Survey'!I405)"),"")</f>
        <v/>
      </c>
      <c r="AI406" s="175" t="str">
        <f ca="1">IFERROR(__xludf.DUMMYFUNCTION("QUERY('Volunteer Survey'!J405)"),"")</f>
        <v/>
      </c>
      <c r="AJ406" s="175" t="str">
        <f ca="1">IFERROR(__xludf.DUMMYFUNCTION("QUERY('Volunteer Survey'!K405)"),"")</f>
        <v/>
      </c>
      <c r="AK406" s="175" t="str">
        <f ca="1">IFERROR(__xludf.DUMMYFUNCTION("QUERY('Volunteer Survey'!L405)"),"")</f>
        <v/>
      </c>
      <c r="AL406" s="175" t="str">
        <f ca="1">IFERROR(__xludf.DUMMYFUNCTION("QUERY('Volunteer Survey'!M405)"),"")</f>
        <v/>
      </c>
      <c r="AM406" s="175" t="str">
        <f ca="1">IFERROR(__xludf.DUMMYFUNCTION("QUERY('Volunteer Survey'!N405)"),"")</f>
        <v/>
      </c>
      <c r="AN406" s="175" t="str">
        <f ca="1">IFERROR(__xludf.DUMMYFUNCTION("QUERY('Volunteer Survey'!O405)"),"")</f>
        <v/>
      </c>
      <c r="AO406" s="175" t="str">
        <f ca="1">IFERROR(__xludf.DUMMYFUNCTION("QUERY('Volunteer Survey'!P405)"),"")</f>
        <v/>
      </c>
    </row>
    <row r="407" spans="1:41" ht="14">
      <c r="A407" s="49" t="str">
        <f ca="1">IFERROR(__xludf.DUMMYFUNCTION("QUERY('Volunteer Survey'!A801)"),"")</f>
        <v/>
      </c>
      <c r="B407" s="42" t="s">
        <v>322</v>
      </c>
      <c r="C407" s="47"/>
      <c r="D407" s="49"/>
      <c r="E407" s="49"/>
      <c r="F407" s="49" t="b">
        <v>0</v>
      </c>
      <c r="G407" s="49"/>
      <c r="H407" s="47"/>
      <c r="I407" s="47"/>
      <c r="J407" s="49"/>
      <c r="K407" s="49"/>
      <c r="L407" s="49" t="str">
        <f ca="1">IFERROR(__xludf.DUMMYFUNCTION("QUERY('Volunteer Survey'!B801)"),"")</f>
        <v/>
      </c>
      <c r="M407" s="49" t="str">
        <f ca="1">IFERROR(__xludf.DUMMYFUNCTION("QUERY('Volunteer Survey'!E801)"),"")</f>
        <v/>
      </c>
      <c r="N407" s="49" t="str">
        <f ca="1">IFERROR(__xludf.DUMMYFUNCTION("QUERY('Volunteer Survey'!F801)"),"")</f>
        <v/>
      </c>
      <c r="O407" s="42" t="str">
        <f ca="1">IFERROR(__xludf.DUMMYFUNCTION("QUERY('Volunteer Survey'!H801)"),"")</f>
        <v/>
      </c>
      <c r="P407" s="49" t="str">
        <f ca="1">IFERROR(__xludf.DUMMYFUNCTION("QUERY('Volunteer Survey'!I801)"),"")</f>
        <v/>
      </c>
      <c r="Q407" s="54" t="str">
        <f ca="1">IFERROR(__xludf.DUMMYFUNCTION("QUERY('Volunteer Survey'!J801)"),"")</f>
        <v/>
      </c>
      <c r="R407" s="49" t="str">
        <f ca="1">IFERROR(__xludf.DUMMYFUNCTION("QUERY('Volunteer Survey'!K801)"),"")</f>
        <v/>
      </c>
      <c r="S407" s="49" t="str">
        <f ca="1">IFERROR(__xludf.DUMMYFUNCTION("QUERY('Volunteer Survey'!L801)"),"")</f>
        <v/>
      </c>
      <c r="T407" s="49" t="str">
        <f ca="1">IFERROR(__xludf.DUMMYFUNCTION("QUERY('Volunteer Survey'!M801)"),"")</f>
        <v/>
      </c>
      <c r="U407" s="58" t="str">
        <f ca="1">IFERROR(__xludf.DUMMYFUNCTION("QUERY('Volunteer Survey'!N801)"),"")</f>
        <v/>
      </c>
      <c r="V407" s="49" t="str">
        <f ca="1">IFERROR(__xludf.DUMMYFUNCTION("QUERY('Volunteer Survey'!O801)"),"")</f>
        <v/>
      </c>
      <c r="W407" s="60" t="str">
        <f ca="1">IFERROR(__xludf.DUMMYFUNCTION("QUERY('Volunteer Survey'!P801)"),"")</f>
        <v/>
      </c>
      <c r="X407" s="58" t="str">
        <f ca="1">IFERROR(__xludf.DUMMYFUNCTION("QUERY('Volunteer Survey'!R801)"),"")</f>
        <v/>
      </c>
      <c r="Y407" s="47"/>
      <c r="Z407" s="175" t="str">
        <f ca="1">IFERROR(__xludf.DUMMYFUNCTION("QUERY('Volunteer Survey'!A406)"),"")</f>
        <v/>
      </c>
      <c r="AA407" s="175" t="str">
        <f ca="1">IFERROR(__xludf.DUMMYFUNCTION("QUERY('Volunteer Survey'!B406)"),"")</f>
        <v/>
      </c>
      <c r="AB407" s="175" t="str">
        <f ca="1">IFERROR(__xludf.DUMMYFUNCTION("QUERY('Volunteer Survey'!C406)"),"")</f>
        <v/>
      </c>
      <c r="AC407" s="175" t="str">
        <f ca="1">IFERROR(__xludf.DUMMYFUNCTION("QUERY('Volunteer Survey'!D406)"),"")</f>
        <v/>
      </c>
      <c r="AD407" s="175" t="str">
        <f ca="1">IFERROR(__xludf.DUMMYFUNCTION("QUERY('Volunteer Survey'!E406)"),"")</f>
        <v/>
      </c>
      <c r="AE407" s="175" t="str">
        <f ca="1">IFERROR(__xludf.DUMMYFUNCTION("QUERY('Volunteer Survey'!F406)"),"")</f>
        <v/>
      </c>
      <c r="AF407" s="175" t="str">
        <f ca="1">IFERROR(__xludf.DUMMYFUNCTION("QUERY('Volunteer Survey'!G406)"),"")</f>
        <v/>
      </c>
      <c r="AG407" s="175" t="str">
        <f ca="1">IFERROR(__xludf.DUMMYFUNCTION("QUERY('Volunteer Survey'!H406)"),"")</f>
        <v/>
      </c>
      <c r="AH407" s="175" t="str">
        <f ca="1">IFERROR(__xludf.DUMMYFUNCTION("QUERY('Volunteer Survey'!I406)"),"")</f>
        <v/>
      </c>
      <c r="AI407" s="175" t="str">
        <f ca="1">IFERROR(__xludf.DUMMYFUNCTION("QUERY('Volunteer Survey'!J406)"),"")</f>
        <v/>
      </c>
      <c r="AJ407" s="175" t="str">
        <f ca="1">IFERROR(__xludf.DUMMYFUNCTION("QUERY('Volunteer Survey'!K406)"),"")</f>
        <v/>
      </c>
      <c r="AK407" s="175" t="str">
        <f ca="1">IFERROR(__xludf.DUMMYFUNCTION("QUERY('Volunteer Survey'!L406)"),"")</f>
        <v/>
      </c>
      <c r="AL407" s="175" t="str">
        <f ca="1">IFERROR(__xludf.DUMMYFUNCTION("QUERY('Volunteer Survey'!M406)"),"")</f>
        <v/>
      </c>
      <c r="AM407" s="175" t="str">
        <f ca="1">IFERROR(__xludf.DUMMYFUNCTION("QUERY('Volunteer Survey'!N406)"),"")</f>
        <v/>
      </c>
      <c r="AN407" s="175" t="str">
        <f ca="1">IFERROR(__xludf.DUMMYFUNCTION("QUERY('Volunteer Survey'!O406)"),"")</f>
        <v/>
      </c>
      <c r="AO407" s="175" t="str">
        <f ca="1">IFERROR(__xludf.DUMMYFUNCTION("QUERY('Volunteer Survey'!P406)"),"")</f>
        <v/>
      </c>
    </row>
    <row r="408" spans="1:41" ht="14">
      <c r="A408" s="49" t="str">
        <f ca="1">IFERROR(__xludf.DUMMYFUNCTION("QUERY('Volunteer Survey'!A802)"),"")</f>
        <v/>
      </c>
      <c r="B408" s="42" t="s">
        <v>322</v>
      </c>
      <c r="C408" s="47"/>
      <c r="D408" s="49"/>
      <c r="E408" s="49"/>
      <c r="F408" s="49" t="b">
        <v>0</v>
      </c>
      <c r="G408" s="49"/>
      <c r="H408" s="47"/>
      <c r="I408" s="47"/>
      <c r="J408" s="49"/>
      <c r="K408" s="49"/>
      <c r="L408" s="49" t="str">
        <f ca="1">IFERROR(__xludf.DUMMYFUNCTION("QUERY('Volunteer Survey'!B802)"),"")</f>
        <v/>
      </c>
      <c r="M408" s="49" t="str">
        <f ca="1">IFERROR(__xludf.DUMMYFUNCTION("QUERY('Volunteer Survey'!E802)"),"")</f>
        <v/>
      </c>
      <c r="N408" s="49" t="str">
        <f ca="1">IFERROR(__xludf.DUMMYFUNCTION("QUERY('Volunteer Survey'!F802)"),"")</f>
        <v/>
      </c>
      <c r="O408" s="42" t="str">
        <f ca="1">IFERROR(__xludf.DUMMYFUNCTION("QUERY('Volunteer Survey'!H802)"),"")</f>
        <v/>
      </c>
      <c r="P408" s="49" t="str">
        <f ca="1">IFERROR(__xludf.DUMMYFUNCTION("QUERY('Volunteer Survey'!I802)"),"")</f>
        <v/>
      </c>
      <c r="Q408" s="54" t="str">
        <f ca="1">IFERROR(__xludf.DUMMYFUNCTION("QUERY('Volunteer Survey'!J802)"),"")</f>
        <v/>
      </c>
      <c r="R408" s="49" t="str">
        <f ca="1">IFERROR(__xludf.DUMMYFUNCTION("QUERY('Volunteer Survey'!K802)"),"")</f>
        <v/>
      </c>
      <c r="S408" s="49" t="str">
        <f ca="1">IFERROR(__xludf.DUMMYFUNCTION("QUERY('Volunteer Survey'!L802)"),"")</f>
        <v/>
      </c>
      <c r="T408" s="49" t="str">
        <f ca="1">IFERROR(__xludf.DUMMYFUNCTION("QUERY('Volunteer Survey'!M802)"),"")</f>
        <v/>
      </c>
      <c r="U408" s="58" t="str">
        <f ca="1">IFERROR(__xludf.DUMMYFUNCTION("QUERY('Volunteer Survey'!N802)"),"")</f>
        <v/>
      </c>
      <c r="V408" s="49" t="str">
        <f ca="1">IFERROR(__xludf.DUMMYFUNCTION("QUERY('Volunteer Survey'!O802)"),"")</f>
        <v/>
      </c>
      <c r="W408" s="60" t="str">
        <f ca="1">IFERROR(__xludf.DUMMYFUNCTION("QUERY('Volunteer Survey'!P802)"),"")</f>
        <v/>
      </c>
      <c r="X408" s="58" t="str">
        <f ca="1">IFERROR(__xludf.DUMMYFUNCTION("QUERY('Volunteer Survey'!R802)"),"")</f>
        <v/>
      </c>
      <c r="Y408" s="47"/>
      <c r="Z408" s="175" t="str">
        <f ca="1">IFERROR(__xludf.DUMMYFUNCTION("QUERY('Volunteer Survey'!A407)"),"")</f>
        <v/>
      </c>
      <c r="AA408" s="175" t="str">
        <f ca="1">IFERROR(__xludf.DUMMYFUNCTION("QUERY('Volunteer Survey'!B407)"),"")</f>
        <v/>
      </c>
      <c r="AB408" s="175" t="str">
        <f ca="1">IFERROR(__xludf.DUMMYFUNCTION("QUERY('Volunteer Survey'!C407)"),"")</f>
        <v/>
      </c>
      <c r="AC408" s="175" t="str">
        <f ca="1">IFERROR(__xludf.DUMMYFUNCTION("QUERY('Volunteer Survey'!D407)"),"")</f>
        <v/>
      </c>
      <c r="AD408" s="175" t="str">
        <f ca="1">IFERROR(__xludf.DUMMYFUNCTION("QUERY('Volunteer Survey'!E407)"),"")</f>
        <v/>
      </c>
      <c r="AE408" s="175" t="str">
        <f ca="1">IFERROR(__xludf.DUMMYFUNCTION("QUERY('Volunteer Survey'!F407)"),"")</f>
        <v/>
      </c>
      <c r="AF408" s="175" t="str">
        <f ca="1">IFERROR(__xludf.DUMMYFUNCTION("QUERY('Volunteer Survey'!G407)"),"")</f>
        <v/>
      </c>
      <c r="AG408" s="175" t="str">
        <f ca="1">IFERROR(__xludf.DUMMYFUNCTION("QUERY('Volunteer Survey'!H407)"),"")</f>
        <v/>
      </c>
      <c r="AH408" s="175" t="str">
        <f ca="1">IFERROR(__xludf.DUMMYFUNCTION("QUERY('Volunteer Survey'!I407)"),"")</f>
        <v/>
      </c>
      <c r="AI408" s="175" t="str">
        <f ca="1">IFERROR(__xludf.DUMMYFUNCTION("QUERY('Volunteer Survey'!J407)"),"")</f>
        <v/>
      </c>
      <c r="AJ408" s="175" t="str">
        <f ca="1">IFERROR(__xludf.DUMMYFUNCTION("QUERY('Volunteer Survey'!K407)"),"")</f>
        <v/>
      </c>
      <c r="AK408" s="175" t="str">
        <f ca="1">IFERROR(__xludf.DUMMYFUNCTION("QUERY('Volunteer Survey'!L407)"),"")</f>
        <v/>
      </c>
      <c r="AL408" s="175" t="str">
        <f ca="1">IFERROR(__xludf.DUMMYFUNCTION("QUERY('Volunteer Survey'!M407)"),"")</f>
        <v/>
      </c>
      <c r="AM408" s="175" t="str">
        <f ca="1">IFERROR(__xludf.DUMMYFUNCTION("QUERY('Volunteer Survey'!N407)"),"")</f>
        <v/>
      </c>
      <c r="AN408" s="175" t="str">
        <f ca="1">IFERROR(__xludf.DUMMYFUNCTION("QUERY('Volunteer Survey'!O407)"),"")</f>
        <v/>
      </c>
      <c r="AO408" s="175" t="str">
        <f ca="1">IFERROR(__xludf.DUMMYFUNCTION("QUERY('Volunteer Survey'!P407)"),"")</f>
        <v/>
      </c>
    </row>
    <row r="409" spans="1:41" ht="14">
      <c r="A409" s="49" t="str">
        <f ca="1">IFERROR(__xludf.DUMMYFUNCTION("QUERY('Volunteer Survey'!A803)"),"")</f>
        <v/>
      </c>
      <c r="B409" s="42" t="s">
        <v>322</v>
      </c>
      <c r="C409" s="47"/>
      <c r="D409" s="49"/>
      <c r="E409" s="49"/>
      <c r="F409" s="49" t="b">
        <v>0</v>
      </c>
      <c r="G409" s="49"/>
      <c r="H409" s="47"/>
      <c r="I409" s="47"/>
      <c r="J409" s="49"/>
      <c r="K409" s="49"/>
      <c r="L409" s="49" t="str">
        <f ca="1">IFERROR(__xludf.DUMMYFUNCTION("QUERY('Volunteer Survey'!B803)"),"")</f>
        <v/>
      </c>
      <c r="M409" s="49" t="str">
        <f ca="1">IFERROR(__xludf.DUMMYFUNCTION("QUERY('Volunteer Survey'!E803)"),"")</f>
        <v/>
      </c>
      <c r="N409" s="49" t="str">
        <f ca="1">IFERROR(__xludf.DUMMYFUNCTION("QUERY('Volunteer Survey'!F803)"),"")</f>
        <v/>
      </c>
      <c r="O409" s="42" t="str">
        <f ca="1">IFERROR(__xludf.DUMMYFUNCTION("QUERY('Volunteer Survey'!H803)"),"")</f>
        <v/>
      </c>
      <c r="P409" s="49" t="str">
        <f ca="1">IFERROR(__xludf.DUMMYFUNCTION("QUERY('Volunteer Survey'!I803)"),"")</f>
        <v/>
      </c>
      <c r="Q409" s="54" t="str">
        <f ca="1">IFERROR(__xludf.DUMMYFUNCTION("QUERY('Volunteer Survey'!J803)"),"")</f>
        <v/>
      </c>
      <c r="R409" s="49" t="str">
        <f ca="1">IFERROR(__xludf.DUMMYFUNCTION("QUERY('Volunteer Survey'!K803)"),"")</f>
        <v/>
      </c>
      <c r="S409" s="49" t="str">
        <f ca="1">IFERROR(__xludf.DUMMYFUNCTION("QUERY('Volunteer Survey'!L803)"),"")</f>
        <v/>
      </c>
      <c r="T409" s="49" t="str">
        <f ca="1">IFERROR(__xludf.DUMMYFUNCTION("QUERY('Volunteer Survey'!M803)"),"")</f>
        <v/>
      </c>
      <c r="U409" s="58" t="str">
        <f ca="1">IFERROR(__xludf.DUMMYFUNCTION("QUERY('Volunteer Survey'!N803)"),"")</f>
        <v/>
      </c>
      <c r="V409" s="49" t="str">
        <f ca="1">IFERROR(__xludf.DUMMYFUNCTION("QUERY('Volunteer Survey'!O803)"),"")</f>
        <v/>
      </c>
      <c r="W409" s="60" t="str">
        <f ca="1">IFERROR(__xludf.DUMMYFUNCTION("QUERY('Volunteer Survey'!P803)"),"")</f>
        <v/>
      </c>
      <c r="X409" s="58" t="str">
        <f ca="1">IFERROR(__xludf.DUMMYFUNCTION("QUERY('Volunteer Survey'!R803)"),"")</f>
        <v/>
      </c>
      <c r="Y409" s="47"/>
      <c r="Z409" s="175" t="str">
        <f ca="1">IFERROR(__xludf.DUMMYFUNCTION("QUERY('Volunteer Survey'!A408)"),"")</f>
        <v/>
      </c>
      <c r="AA409" s="175" t="str">
        <f ca="1">IFERROR(__xludf.DUMMYFUNCTION("QUERY('Volunteer Survey'!B408)"),"")</f>
        <v/>
      </c>
      <c r="AB409" s="175" t="str">
        <f ca="1">IFERROR(__xludf.DUMMYFUNCTION("QUERY('Volunteer Survey'!C408)"),"")</f>
        <v/>
      </c>
      <c r="AC409" s="175" t="str">
        <f ca="1">IFERROR(__xludf.DUMMYFUNCTION("QUERY('Volunteer Survey'!D408)"),"")</f>
        <v/>
      </c>
      <c r="AD409" s="175" t="str">
        <f ca="1">IFERROR(__xludf.DUMMYFUNCTION("QUERY('Volunteer Survey'!E408)"),"")</f>
        <v/>
      </c>
      <c r="AE409" s="175" t="str">
        <f ca="1">IFERROR(__xludf.DUMMYFUNCTION("QUERY('Volunteer Survey'!F408)"),"")</f>
        <v/>
      </c>
      <c r="AF409" s="175" t="str">
        <f ca="1">IFERROR(__xludf.DUMMYFUNCTION("QUERY('Volunteer Survey'!G408)"),"")</f>
        <v/>
      </c>
      <c r="AG409" s="175" t="str">
        <f ca="1">IFERROR(__xludf.DUMMYFUNCTION("QUERY('Volunteer Survey'!H408)"),"")</f>
        <v/>
      </c>
      <c r="AH409" s="175" t="str">
        <f ca="1">IFERROR(__xludf.DUMMYFUNCTION("QUERY('Volunteer Survey'!I408)"),"")</f>
        <v/>
      </c>
      <c r="AI409" s="175" t="str">
        <f ca="1">IFERROR(__xludf.DUMMYFUNCTION("QUERY('Volunteer Survey'!J408)"),"")</f>
        <v/>
      </c>
      <c r="AJ409" s="175" t="str">
        <f ca="1">IFERROR(__xludf.DUMMYFUNCTION("QUERY('Volunteer Survey'!K408)"),"")</f>
        <v/>
      </c>
      <c r="AK409" s="175" t="str">
        <f ca="1">IFERROR(__xludf.DUMMYFUNCTION("QUERY('Volunteer Survey'!L408)"),"")</f>
        <v/>
      </c>
      <c r="AL409" s="175" t="str">
        <f ca="1">IFERROR(__xludf.DUMMYFUNCTION("QUERY('Volunteer Survey'!M408)"),"")</f>
        <v/>
      </c>
      <c r="AM409" s="175" t="str">
        <f ca="1">IFERROR(__xludf.DUMMYFUNCTION("QUERY('Volunteer Survey'!N408)"),"")</f>
        <v/>
      </c>
      <c r="AN409" s="175" t="str">
        <f ca="1">IFERROR(__xludf.DUMMYFUNCTION("QUERY('Volunteer Survey'!O408)"),"")</f>
        <v/>
      </c>
      <c r="AO409" s="175" t="str">
        <f ca="1">IFERROR(__xludf.DUMMYFUNCTION("QUERY('Volunteer Survey'!P408)"),"")</f>
        <v/>
      </c>
    </row>
    <row r="410" spans="1:41" ht="14">
      <c r="A410" s="49" t="str">
        <f ca="1">IFERROR(__xludf.DUMMYFUNCTION("QUERY('Volunteer Survey'!A804)"),"")</f>
        <v/>
      </c>
      <c r="B410" s="42" t="s">
        <v>322</v>
      </c>
      <c r="C410" s="47"/>
      <c r="D410" s="49"/>
      <c r="E410" s="49"/>
      <c r="F410" s="49" t="b">
        <v>0</v>
      </c>
      <c r="G410" s="49"/>
      <c r="H410" s="47"/>
      <c r="I410" s="47"/>
      <c r="J410" s="49"/>
      <c r="K410" s="49"/>
      <c r="L410" s="49" t="str">
        <f ca="1">IFERROR(__xludf.DUMMYFUNCTION("QUERY('Volunteer Survey'!B804)"),"")</f>
        <v/>
      </c>
      <c r="M410" s="49" t="str">
        <f ca="1">IFERROR(__xludf.DUMMYFUNCTION("QUERY('Volunteer Survey'!E804)"),"")</f>
        <v/>
      </c>
      <c r="N410" s="49" t="str">
        <f ca="1">IFERROR(__xludf.DUMMYFUNCTION("QUERY('Volunteer Survey'!F804)"),"")</f>
        <v/>
      </c>
      <c r="O410" s="42" t="str">
        <f ca="1">IFERROR(__xludf.DUMMYFUNCTION("QUERY('Volunteer Survey'!H804)"),"")</f>
        <v/>
      </c>
      <c r="P410" s="49" t="str">
        <f ca="1">IFERROR(__xludf.DUMMYFUNCTION("QUERY('Volunteer Survey'!I804)"),"")</f>
        <v/>
      </c>
      <c r="Q410" s="54" t="str">
        <f ca="1">IFERROR(__xludf.DUMMYFUNCTION("QUERY('Volunteer Survey'!J804)"),"")</f>
        <v/>
      </c>
      <c r="R410" s="49" t="str">
        <f ca="1">IFERROR(__xludf.DUMMYFUNCTION("QUERY('Volunteer Survey'!K804)"),"")</f>
        <v/>
      </c>
      <c r="S410" s="49" t="str">
        <f ca="1">IFERROR(__xludf.DUMMYFUNCTION("QUERY('Volunteer Survey'!L804)"),"")</f>
        <v/>
      </c>
      <c r="T410" s="49" t="str">
        <f ca="1">IFERROR(__xludf.DUMMYFUNCTION("QUERY('Volunteer Survey'!M804)"),"")</f>
        <v/>
      </c>
      <c r="U410" s="58" t="str">
        <f ca="1">IFERROR(__xludf.DUMMYFUNCTION("QUERY('Volunteer Survey'!N804)"),"")</f>
        <v/>
      </c>
      <c r="V410" s="49" t="str">
        <f ca="1">IFERROR(__xludf.DUMMYFUNCTION("QUERY('Volunteer Survey'!O804)"),"")</f>
        <v/>
      </c>
      <c r="W410" s="60" t="str">
        <f ca="1">IFERROR(__xludf.DUMMYFUNCTION("QUERY('Volunteer Survey'!P804)"),"")</f>
        <v/>
      </c>
      <c r="X410" s="58" t="str">
        <f ca="1">IFERROR(__xludf.DUMMYFUNCTION("QUERY('Volunteer Survey'!R804)"),"")</f>
        <v/>
      </c>
      <c r="Y410" s="47"/>
      <c r="Z410" s="175" t="str">
        <f ca="1">IFERROR(__xludf.DUMMYFUNCTION("QUERY('Volunteer Survey'!A409)"),"")</f>
        <v/>
      </c>
      <c r="AA410" s="175" t="str">
        <f ca="1">IFERROR(__xludf.DUMMYFUNCTION("QUERY('Volunteer Survey'!B409)"),"")</f>
        <v/>
      </c>
      <c r="AB410" s="175" t="str">
        <f ca="1">IFERROR(__xludf.DUMMYFUNCTION("QUERY('Volunteer Survey'!C409)"),"")</f>
        <v/>
      </c>
      <c r="AC410" s="175" t="str">
        <f ca="1">IFERROR(__xludf.DUMMYFUNCTION("QUERY('Volunteer Survey'!D409)"),"")</f>
        <v/>
      </c>
      <c r="AD410" s="175" t="str">
        <f ca="1">IFERROR(__xludf.DUMMYFUNCTION("QUERY('Volunteer Survey'!E409)"),"")</f>
        <v/>
      </c>
      <c r="AE410" s="175" t="str">
        <f ca="1">IFERROR(__xludf.DUMMYFUNCTION("QUERY('Volunteer Survey'!F409)"),"")</f>
        <v/>
      </c>
      <c r="AF410" s="175" t="str">
        <f ca="1">IFERROR(__xludf.DUMMYFUNCTION("QUERY('Volunteer Survey'!G409)"),"")</f>
        <v/>
      </c>
      <c r="AG410" s="175" t="str">
        <f ca="1">IFERROR(__xludf.DUMMYFUNCTION("QUERY('Volunteer Survey'!H409)"),"")</f>
        <v/>
      </c>
      <c r="AH410" s="175" t="str">
        <f ca="1">IFERROR(__xludf.DUMMYFUNCTION("QUERY('Volunteer Survey'!I409)"),"")</f>
        <v/>
      </c>
      <c r="AI410" s="175" t="str">
        <f ca="1">IFERROR(__xludf.DUMMYFUNCTION("QUERY('Volunteer Survey'!J409)"),"")</f>
        <v/>
      </c>
      <c r="AJ410" s="175" t="str">
        <f ca="1">IFERROR(__xludf.DUMMYFUNCTION("QUERY('Volunteer Survey'!K409)"),"")</f>
        <v/>
      </c>
      <c r="AK410" s="175" t="str">
        <f ca="1">IFERROR(__xludf.DUMMYFUNCTION("QUERY('Volunteer Survey'!L409)"),"")</f>
        <v/>
      </c>
      <c r="AL410" s="175" t="str">
        <f ca="1">IFERROR(__xludf.DUMMYFUNCTION("QUERY('Volunteer Survey'!M409)"),"")</f>
        <v/>
      </c>
      <c r="AM410" s="175" t="str">
        <f ca="1">IFERROR(__xludf.DUMMYFUNCTION("QUERY('Volunteer Survey'!N409)"),"")</f>
        <v/>
      </c>
      <c r="AN410" s="175" t="str">
        <f ca="1">IFERROR(__xludf.DUMMYFUNCTION("QUERY('Volunteer Survey'!O409)"),"")</f>
        <v/>
      </c>
      <c r="AO410" s="175" t="str">
        <f ca="1">IFERROR(__xludf.DUMMYFUNCTION("QUERY('Volunteer Survey'!P409)"),"")</f>
        <v/>
      </c>
    </row>
    <row r="411" spans="1:41" ht="14">
      <c r="A411" s="49" t="str">
        <f ca="1">IFERROR(__xludf.DUMMYFUNCTION("QUERY('Volunteer Survey'!A805)"),"")</f>
        <v/>
      </c>
      <c r="B411" s="42" t="s">
        <v>322</v>
      </c>
      <c r="C411" s="47"/>
      <c r="D411" s="49"/>
      <c r="E411" s="49"/>
      <c r="F411" s="49" t="b">
        <v>0</v>
      </c>
      <c r="G411" s="49"/>
      <c r="H411" s="47"/>
      <c r="I411" s="47"/>
      <c r="J411" s="49"/>
      <c r="K411" s="49"/>
      <c r="L411" s="49" t="str">
        <f ca="1">IFERROR(__xludf.DUMMYFUNCTION("QUERY('Volunteer Survey'!B805)"),"")</f>
        <v/>
      </c>
      <c r="M411" s="49" t="str">
        <f ca="1">IFERROR(__xludf.DUMMYFUNCTION("QUERY('Volunteer Survey'!E805)"),"")</f>
        <v/>
      </c>
      <c r="N411" s="49" t="str">
        <f ca="1">IFERROR(__xludf.DUMMYFUNCTION("QUERY('Volunteer Survey'!F805)"),"")</f>
        <v/>
      </c>
      <c r="O411" s="42" t="str">
        <f ca="1">IFERROR(__xludf.DUMMYFUNCTION("QUERY('Volunteer Survey'!H805)"),"")</f>
        <v/>
      </c>
      <c r="P411" s="49" t="str">
        <f ca="1">IFERROR(__xludf.DUMMYFUNCTION("QUERY('Volunteer Survey'!I805)"),"")</f>
        <v/>
      </c>
      <c r="Q411" s="54" t="str">
        <f ca="1">IFERROR(__xludf.DUMMYFUNCTION("QUERY('Volunteer Survey'!J805)"),"")</f>
        <v/>
      </c>
      <c r="R411" s="49" t="str">
        <f ca="1">IFERROR(__xludf.DUMMYFUNCTION("QUERY('Volunteer Survey'!K805)"),"")</f>
        <v/>
      </c>
      <c r="S411" s="49" t="str">
        <f ca="1">IFERROR(__xludf.DUMMYFUNCTION("QUERY('Volunteer Survey'!L805)"),"")</f>
        <v/>
      </c>
      <c r="T411" s="49" t="str">
        <f ca="1">IFERROR(__xludf.DUMMYFUNCTION("QUERY('Volunteer Survey'!M805)"),"")</f>
        <v/>
      </c>
      <c r="U411" s="58" t="str">
        <f ca="1">IFERROR(__xludf.DUMMYFUNCTION("QUERY('Volunteer Survey'!N805)"),"")</f>
        <v/>
      </c>
      <c r="V411" s="49" t="str">
        <f ca="1">IFERROR(__xludf.DUMMYFUNCTION("QUERY('Volunteer Survey'!O805)"),"")</f>
        <v/>
      </c>
      <c r="W411" s="60" t="str">
        <f ca="1">IFERROR(__xludf.DUMMYFUNCTION("QUERY('Volunteer Survey'!P805)"),"")</f>
        <v/>
      </c>
      <c r="X411" s="58" t="str">
        <f ca="1">IFERROR(__xludf.DUMMYFUNCTION("QUERY('Volunteer Survey'!R805)"),"")</f>
        <v/>
      </c>
      <c r="Y411" s="47"/>
      <c r="Z411" s="175" t="str">
        <f ca="1">IFERROR(__xludf.DUMMYFUNCTION("QUERY('Volunteer Survey'!A410)"),"")</f>
        <v/>
      </c>
      <c r="AA411" s="175" t="str">
        <f ca="1">IFERROR(__xludf.DUMMYFUNCTION("QUERY('Volunteer Survey'!B410)"),"")</f>
        <v/>
      </c>
      <c r="AB411" s="175" t="str">
        <f ca="1">IFERROR(__xludf.DUMMYFUNCTION("QUERY('Volunteer Survey'!C410)"),"")</f>
        <v/>
      </c>
      <c r="AC411" s="175" t="str">
        <f ca="1">IFERROR(__xludf.DUMMYFUNCTION("QUERY('Volunteer Survey'!D410)"),"")</f>
        <v/>
      </c>
      <c r="AD411" s="175" t="str">
        <f ca="1">IFERROR(__xludf.DUMMYFUNCTION("QUERY('Volunteer Survey'!E410)"),"")</f>
        <v/>
      </c>
      <c r="AE411" s="175" t="str">
        <f ca="1">IFERROR(__xludf.DUMMYFUNCTION("QUERY('Volunteer Survey'!F410)"),"")</f>
        <v/>
      </c>
      <c r="AF411" s="175" t="str">
        <f ca="1">IFERROR(__xludf.DUMMYFUNCTION("QUERY('Volunteer Survey'!G410)"),"")</f>
        <v/>
      </c>
      <c r="AG411" s="175" t="str">
        <f ca="1">IFERROR(__xludf.DUMMYFUNCTION("QUERY('Volunteer Survey'!H410)"),"")</f>
        <v/>
      </c>
      <c r="AH411" s="175" t="str">
        <f ca="1">IFERROR(__xludf.DUMMYFUNCTION("QUERY('Volunteer Survey'!I410)"),"")</f>
        <v/>
      </c>
      <c r="AI411" s="175" t="str">
        <f ca="1">IFERROR(__xludf.DUMMYFUNCTION("QUERY('Volunteer Survey'!J410)"),"")</f>
        <v/>
      </c>
      <c r="AJ411" s="175" t="str">
        <f ca="1">IFERROR(__xludf.DUMMYFUNCTION("QUERY('Volunteer Survey'!K410)"),"")</f>
        <v/>
      </c>
      <c r="AK411" s="175" t="str">
        <f ca="1">IFERROR(__xludf.DUMMYFUNCTION("QUERY('Volunteer Survey'!L410)"),"")</f>
        <v/>
      </c>
      <c r="AL411" s="175" t="str">
        <f ca="1">IFERROR(__xludf.DUMMYFUNCTION("QUERY('Volunteer Survey'!M410)"),"")</f>
        <v/>
      </c>
      <c r="AM411" s="175" t="str">
        <f ca="1">IFERROR(__xludf.DUMMYFUNCTION("QUERY('Volunteer Survey'!N410)"),"")</f>
        <v/>
      </c>
      <c r="AN411" s="175" t="str">
        <f ca="1">IFERROR(__xludf.DUMMYFUNCTION("QUERY('Volunteer Survey'!O410)"),"")</f>
        <v/>
      </c>
      <c r="AO411" s="175" t="str">
        <f ca="1">IFERROR(__xludf.DUMMYFUNCTION("QUERY('Volunteer Survey'!P410)"),"")</f>
        <v/>
      </c>
    </row>
    <row r="412" spans="1:41" ht="14">
      <c r="A412" s="49" t="str">
        <f ca="1">IFERROR(__xludf.DUMMYFUNCTION("QUERY('Volunteer Survey'!A806)"),"")</f>
        <v/>
      </c>
      <c r="B412" s="42" t="s">
        <v>322</v>
      </c>
      <c r="C412" s="47"/>
      <c r="D412" s="49"/>
      <c r="E412" s="49"/>
      <c r="F412" s="49" t="b">
        <v>0</v>
      </c>
      <c r="G412" s="49"/>
      <c r="H412" s="47"/>
      <c r="I412" s="47"/>
      <c r="J412" s="49"/>
      <c r="K412" s="49"/>
      <c r="L412" s="49" t="str">
        <f ca="1">IFERROR(__xludf.DUMMYFUNCTION("QUERY('Volunteer Survey'!B806)"),"")</f>
        <v/>
      </c>
      <c r="M412" s="49" t="str">
        <f ca="1">IFERROR(__xludf.DUMMYFUNCTION("QUERY('Volunteer Survey'!E806)"),"")</f>
        <v/>
      </c>
      <c r="N412" s="49" t="str">
        <f ca="1">IFERROR(__xludf.DUMMYFUNCTION("QUERY('Volunteer Survey'!F806)"),"")</f>
        <v/>
      </c>
      <c r="O412" s="42" t="str">
        <f ca="1">IFERROR(__xludf.DUMMYFUNCTION("QUERY('Volunteer Survey'!H806)"),"")</f>
        <v/>
      </c>
      <c r="P412" s="49" t="str">
        <f ca="1">IFERROR(__xludf.DUMMYFUNCTION("QUERY('Volunteer Survey'!I806)"),"")</f>
        <v/>
      </c>
      <c r="Q412" s="54" t="str">
        <f ca="1">IFERROR(__xludf.DUMMYFUNCTION("QUERY('Volunteer Survey'!J806)"),"")</f>
        <v/>
      </c>
      <c r="R412" s="49" t="str">
        <f ca="1">IFERROR(__xludf.DUMMYFUNCTION("QUERY('Volunteer Survey'!K806)"),"")</f>
        <v/>
      </c>
      <c r="S412" s="49" t="str">
        <f ca="1">IFERROR(__xludf.DUMMYFUNCTION("QUERY('Volunteer Survey'!L806)"),"")</f>
        <v/>
      </c>
      <c r="T412" s="49" t="str">
        <f ca="1">IFERROR(__xludf.DUMMYFUNCTION("QUERY('Volunteer Survey'!M806)"),"")</f>
        <v/>
      </c>
      <c r="U412" s="58" t="str">
        <f ca="1">IFERROR(__xludf.DUMMYFUNCTION("QUERY('Volunteer Survey'!N806)"),"")</f>
        <v/>
      </c>
      <c r="V412" s="49" t="str">
        <f ca="1">IFERROR(__xludf.DUMMYFUNCTION("QUERY('Volunteer Survey'!O806)"),"")</f>
        <v/>
      </c>
      <c r="W412" s="60" t="str">
        <f ca="1">IFERROR(__xludf.DUMMYFUNCTION("QUERY('Volunteer Survey'!P806)"),"")</f>
        <v/>
      </c>
      <c r="X412" s="58" t="str">
        <f ca="1">IFERROR(__xludf.DUMMYFUNCTION("QUERY('Volunteer Survey'!R806)"),"")</f>
        <v/>
      </c>
      <c r="Y412" s="47"/>
      <c r="Z412" s="175" t="str">
        <f ca="1">IFERROR(__xludf.DUMMYFUNCTION("QUERY('Volunteer Survey'!A411)"),"")</f>
        <v/>
      </c>
      <c r="AA412" s="175" t="str">
        <f ca="1">IFERROR(__xludf.DUMMYFUNCTION("QUERY('Volunteer Survey'!B411)"),"")</f>
        <v/>
      </c>
      <c r="AB412" s="175" t="str">
        <f ca="1">IFERROR(__xludf.DUMMYFUNCTION("QUERY('Volunteer Survey'!C411)"),"")</f>
        <v/>
      </c>
      <c r="AC412" s="175" t="str">
        <f ca="1">IFERROR(__xludf.DUMMYFUNCTION("QUERY('Volunteer Survey'!D411)"),"")</f>
        <v/>
      </c>
      <c r="AD412" s="175" t="str">
        <f ca="1">IFERROR(__xludf.DUMMYFUNCTION("QUERY('Volunteer Survey'!E411)"),"")</f>
        <v/>
      </c>
      <c r="AE412" s="175" t="str">
        <f ca="1">IFERROR(__xludf.DUMMYFUNCTION("QUERY('Volunteer Survey'!F411)"),"")</f>
        <v/>
      </c>
      <c r="AF412" s="175" t="str">
        <f ca="1">IFERROR(__xludf.DUMMYFUNCTION("QUERY('Volunteer Survey'!G411)"),"")</f>
        <v/>
      </c>
      <c r="AG412" s="175" t="str">
        <f ca="1">IFERROR(__xludf.DUMMYFUNCTION("QUERY('Volunteer Survey'!H411)"),"")</f>
        <v/>
      </c>
      <c r="AH412" s="175" t="str">
        <f ca="1">IFERROR(__xludf.DUMMYFUNCTION("QUERY('Volunteer Survey'!I411)"),"")</f>
        <v/>
      </c>
      <c r="AI412" s="175" t="str">
        <f ca="1">IFERROR(__xludf.DUMMYFUNCTION("QUERY('Volunteer Survey'!J411)"),"")</f>
        <v/>
      </c>
      <c r="AJ412" s="175" t="str">
        <f ca="1">IFERROR(__xludf.DUMMYFUNCTION("QUERY('Volunteer Survey'!K411)"),"")</f>
        <v/>
      </c>
      <c r="AK412" s="175" t="str">
        <f ca="1">IFERROR(__xludf.DUMMYFUNCTION("QUERY('Volunteer Survey'!L411)"),"")</f>
        <v/>
      </c>
      <c r="AL412" s="175" t="str">
        <f ca="1">IFERROR(__xludf.DUMMYFUNCTION("QUERY('Volunteer Survey'!M411)"),"")</f>
        <v/>
      </c>
      <c r="AM412" s="175" t="str">
        <f ca="1">IFERROR(__xludf.DUMMYFUNCTION("QUERY('Volunteer Survey'!N411)"),"")</f>
        <v/>
      </c>
      <c r="AN412" s="175" t="str">
        <f ca="1">IFERROR(__xludf.DUMMYFUNCTION("QUERY('Volunteer Survey'!O411)"),"")</f>
        <v/>
      </c>
      <c r="AO412" s="175" t="str">
        <f ca="1">IFERROR(__xludf.DUMMYFUNCTION("QUERY('Volunteer Survey'!P411)"),"")</f>
        <v/>
      </c>
    </row>
    <row r="413" spans="1:41" ht="14">
      <c r="A413" s="49" t="str">
        <f ca="1">IFERROR(__xludf.DUMMYFUNCTION("QUERY('Volunteer Survey'!A807)"),"")</f>
        <v/>
      </c>
      <c r="B413" s="42" t="s">
        <v>322</v>
      </c>
      <c r="C413" s="47"/>
      <c r="D413" s="49"/>
      <c r="E413" s="49"/>
      <c r="F413" s="49" t="b">
        <v>0</v>
      </c>
      <c r="G413" s="49"/>
      <c r="H413" s="47"/>
      <c r="I413" s="47"/>
      <c r="J413" s="49"/>
      <c r="K413" s="49"/>
      <c r="L413" s="49" t="str">
        <f ca="1">IFERROR(__xludf.DUMMYFUNCTION("QUERY('Volunteer Survey'!B807)"),"")</f>
        <v/>
      </c>
      <c r="M413" s="49" t="str">
        <f ca="1">IFERROR(__xludf.DUMMYFUNCTION("QUERY('Volunteer Survey'!E807)"),"")</f>
        <v/>
      </c>
      <c r="N413" s="49" t="str">
        <f ca="1">IFERROR(__xludf.DUMMYFUNCTION("QUERY('Volunteer Survey'!F807)"),"")</f>
        <v/>
      </c>
      <c r="O413" s="42" t="str">
        <f ca="1">IFERROR(__xludf.DUMMYFUNCTION("QUERY('Volunteer Survey'!H807)"),"")</f>
        <v/>
      </c>
      <c r="P413" s="49" t="str">
        <f ca="1">IFERROR(__xludf.DUMMYFUNCTION("QUERY('Volunteer Survey'!I807)"),"")</f>
        <v/>
      </c>
      <c r="Q413" s="54" t="str">
        <f ca="1">IFERROR(__xludf.DUMMYFUNCTION("QUERY('Volunteer Survey'!J807)"),"")</f>
        <v/>
      </c>
      <c r="R413" s="49" t="str">
        <f ca="1">IFERROR(__xludf.DUMMYFUNCTION("QUERY('Volunteer Survey'!K807)"),"")</f>
        <v/>
      </c>
      <c r="S413" s="49" t="str">
        <f ca="1">IFERROR(__xludf.DUMMYFUNCTION("QUERY('Volunteer Survey'!L807)"),"")</f>
        <v/>
      </c>
      <c r="T413" s="49" t="str">
        <f ca="1">IFERROR(__xludf.DUMMYFUNCTION("QUERY('Volunteer Survey'!M807)"),"")</f>
        <v/>
      </c>
      <c r="U413" s="58" t="str">
        <f ca="1">IFERROR(__xludf.DUMMYFUNCTION("QUERY('Volunteer Survey'!N807)"),"")</f>
        <v/>
      </c>
      <c r="V413" s="49" t="str">
        <f ca="1">IFERROR(__xludf.DUMMYFUNCTION("QUERY('Volunteer Survey'!O807)"),"")</f>
        <v/>
      </c>
      <c r="W413" s="60" t="str">
        <f ca="1">IFERROR(__xludf.DUMMYFUNCTION("QUERY('Volunteer Survey'!P807)"),"")</f>
        <v/>
      </c>
      <c r="X413" s="58" t="str">
        <f ca="1">IFERROR(__xludf.DUMMYFUNCTION("QUERY('Volunteer Survey'!R807)"),"")</f>
        <v/>
      </c>
      <c r="Y413" s="47"/>
      <c r="Z413" s="175" t="str">
        <f ca="1">IFERROR(__xludf.DUMMYFUNCTION("QUERY('Volunteer Survey'!A412)"),"")</f>
        <v/>
      </c>
      <c r="AA413" s="175" t="str">
        <f ca="1">IFERROR(__xludf.DUMMYFUNCTION("QUERY('Volunteer Survey'!B412)"),"")</f>
        <v/>
      </c>
      <c r="AB413" s="175" t="str">
        <f ca="1">IFERROR(__xludf.DUMMYFUNCTION("QUERY('Volunteer Survey'!C412)"),"")</f>
        <v/>
      </c>
      <c r="AC413" s="175" t="str">
        <f ca="1">IFERROR(__xludf.DUMMYFUNCTION("QUERY('Volunteer Survey'!D412)"),"")</f>
        <v/>
      </c>
      <c r="AD413" s="175" t="str">
        <f ca="1">IFERROR(__xludf.DUMMYFUNCTION("QUERY('Volunteer Survey'!E412)"),"")</f>
        <v/>
      </c>
      <c r="AE413" s="175" t="str">
        <f ca="1">IFERROR(__xludf.DUMMYFUNCTION("QUERY('Volunteer Survey'!F412)"),"")</f>
        <v/>
      </c>
      <c r="AF413" s="175" t="str">
        <f ca="1">IFERROR(__xludf.DUMMYFUNCTION("QUERY('Volunteer Survey'!G412)"),"")</f>
        <v/>
      </c>
      <c r="AG413" s="175" t="str">
        <f ca="1">IFERROR(__xludf.DUMMYFUNCTION("QUERY('Volunteer Survey'!H412)"),"")</f>
        <v/>
      </c>
      <c r="AH413" s="175" t="str">
        <f ca="1">IFERROR(__xludf.DUMMYFUNCTION("QUERY('Volunteer Survey'!I412)"),"")</f>
        <v/>
      </c>
      <c r="AI413" s="175" t="str">
        <f ca="1">IFERROR(__xludf.DUMMYFUNCTION("QUERY('Volunteer Survey'!J412)"),"")</f>
        <v/>
      </c>
      <c r="AJ413" s="175" t="str">
        <f ca="1">IFERROR(__xludf.DUMMYFUNCTION("QUERY('Volunteer Survey'!K412)"),"")</f>
        <v/>
      </c>
      <c r="AK413" s="175" t="str">
        <f ca="1">IFERROR(__xludf.DUMMYFUNCTION("QUERY('Volunteer Survey'!L412)"),"")</f>
        <v/>
      </c>
      <c r="AL413" s="175" t="str">
        <f ca="1">IFERROR(__xludf.DUMMYFUNCTION("QUERY('Volunteer Survey'!M412)"),"")</f>
        <v/>
      </c>
      <c r="AM413" s="175" t="str">
        <f ca="1">IFERROR(__xludf.DUMMYFUNCTION("QUERY('Volunteer Survey'!N412)"),"")</f>
        <v/>
      </c>
      <c r="AN413" s="175" t="str">
        <f ca="1">IFERROR(__xludf.DUMMYFUNCTION("QUERY('Volunteer Survey'!O412)"),"")</f>
        <v/>
      </c>
      <c r="AO413" s="175" t="str">
        <f ca="1">IFERROR(__xludf.DUMMYFUNCTION("QUERY('Volunteer Survey'!P412)"),"")</f>
        <v/>
      </c>
    </row>
    <row r="414" spans="1:41" ht="14">
      <c r="A414" s="49" t="str">
        <f ca="1">IFERROR(__xludf.DUMMYFUNCTION("QUERY('Volunteer Survey'!A808)"),"")</f>
        <v/>
      </c>
      <c r="B414" s="42" t="s">
        <v>322</v>
      </c>
      <c r="C414" s="47"/>
      <c r="D414" s="49"/>
      <c r="E414" s="49"/>
      <c r="F414" s="49" t="b">
        <v>0</v>
      </c>
      <c r="G414" s="49"/>
      <c r="H414" s="47"/>
      <c r="I414" s="47"/>
      <c r="J414" s="49"/>
      <c r="K414" s="49"/>
      <c r="L414" s="49" t="str">
        <f ca="1">IFERROR(__xludf.DUMMYFUNCTION("QUERY('Volunteer Survey'!B808)"),"")</f>
        <v/>
      </c>
      <c r="M414" s="49" t="str">
        <f ca="1">IFERROR(__xludf.DUMMYFUNCTION("QUERY('Volunteer Survey'!E808)"),"")</f>
        <v/>
      </c>
      <c r="N414" s="49" t="str">
        <f ca="1">IFERROR(__xludf.DUMMYFUNCTION("QUERY('Volunteer Survey'!F808)"),"")</f>
        <v/>
      </c>
      <c r="O414" s="42" t="str">
        <f ca="1">IFERROR(__xludf.DUMMYFUNCTION("QUERY('Volunteer Survey'!H808)"),"")</f>
        <v/>
      </c>
      <c r="P414" s="49" t="str">
        <f ca="1">IFERROR(__xludf.DUMMYFUNCTION("QUERY('Volunteer Survey'!I808)"),"")</f>
        <v/>
      </c>
      <c r="Q414" s="54" t="str">
        <f ca="1">IFERROR(__xludf.DUMMYFUNCTION("QUERY('Volunteer Survey'!J808)"),"")</f>
        <v/>
      </c>
      <c r="R414" s="49" t="str">
        <f ca="1">IFERROR(__xludf.DUMMYFUNCTION("QUERY('Volunteer Survey'!K808)"),"")</f>
        <v/>
      </c>
      <c r="S414" s="49" t="str">
        <f ca="1">IFERROR(__xludf.DUMMYFUNCTION("QUERY('Volunteer Survey'!L808)"),"")</f>
        <v/>
      </c>
      <c r="T414" s="49" t="str">
        <f ca="1">IFERROR(__xludf.DUMMYFUNCTION("QUERY('Volunteer Survey'!M808)"),"")</f>
        <v/>
      </c>
      <c r="U414" s="58" t="str">
        <f ca="1">IFERROR(__xludf.DUMMYFUNCTION("QUERY('Volunteer Survey'!N808)"),"")</f>
        <v/>
      </c>
      <c r="V414" s="49" t="str">
        <f ca="1">IFERROR(__xludf.DUMMYFUNCTION("QUERY('Volunteer Survey'!O808)"),"")</f>
        <v/>
      </c>
      <c r="W414" s="60" t="str">
        <f ca="1">IFERROR(__xludf.DUMMYFUNCTION("QUERY('Volunteer Survey'!P808)"),"")</f>
        <v/>
      </c>
      <c r="X414" s="58" t="str">
        <f ca="1">IFERROR(__xludf.DUMMYFUNCTION("QUERY('Volunteer Survey'!R808)"),"")</f>
        <v/>
      </c>
      <c r="Y414" s="47"/>
      <c r="Z414" s="175" t="str">
        <f ca="1">IFERROR(__xludf.DUMMYFUNCTION("QUERY('Volunteer Survey'!A413)"),"")</f>
        <v/>
      </c>
      <c r="AA414" s="175" t="str">
        <f ca="1">IFERROR(__xludf.DUMMYFUNCTION("QUERY('Volunteer Survey'!B413)"),"")</f>
        <v/>
      </c>
      <c r="AB414" s="175" t="str">
        <f ca="1">IFERROR(__xludf.DUMMYFUNCTION("QUERY('Volunteer Survey'!C413)"),"")</f>
        <v/>
      </c>
      <c r="AC414" s="175" t="str">
        <f ca="1">IFERROR(__xludf.DUMMYFUNCTION("QUERY('Volunteer Survey'!D413)"),"")</f>
        <v/>
      </c>
      <c r="AD414" s="175" t="str">
        <f ca="1">IFERROR(__xludf.DUMMYFUNCTION("QUERY('Volunteer Survey'!E413)"),"")</f>
        <v/>
      </c>
      <c r="AE414" s="175" t="str">
        <f ca="1">IFERROR(__xludf.DUMMYFUNCTION("QUERY('Volunteer Survey'!F413)"),"")</f>
        <v/>
      </c>
      <c r="AF414" s="175" t="str">
        <f ca="1">IFERROR(__xludf.DUMMYFUNCTION("QUERY('Volunteer Survey'!G413)"),"")</f>
        <v/>
      </c>
      <c r="AG414" s="175" t="str">
        <f ca="1">IFERROR(__xludf.DUMMYFUNCTION("QUERY('Volunteer Survey'!H413)"),"")</f>
        <v/>
      </c>
      <c r="AH414" s="175" t="str">
        <f ca="1">IFERROR(__xludf.DUMMYFUNCTION("QUERY('Volunteer Survey'!I413)"),"")</f>
        <v/>
      </c>
      <c r="AI414" s="175" t="str">
        <f ca="1">IFERROR(__xludf.DUMMYFUNCTION("QUERY('Volunteer Survey'!J413)"),"")</f>
        <v/>
      </c>
      <c r="AJ414" s="175" t="str">
        <f ca="1">IFERROR(__xludf.DUMMYFUNCTION("QUERY('Volunteer Survey'!K413)"),"")</f>
        <v/>
      </c>
      <c r="AK414" s="175" t="str">
        <f ca="1">IFERROR(__xludf.DUMMYFUNCTION("QUERY('Volunteer Survey'!L413)"),"")</f>
        <v/>
      </c>
      <c r="AL414" s="175" t="str">
        <f ca="1">IFERROR(__xludf.DUMMYFUNCTION("QUERY('Volunteer Survey'!M413)"),"")</f>
        <v/>
      </c>
      <c r="AM414" s="175" t="str">
        <f ca="1">IFERROR(__xludf.DUMMYFUNCTION("QUERY('Volunteer Survey'!N413)"),"")</f>
        <v/>
      </c>
      <c r="AN414" s="175" t="str">
        <f ca="1">IFERROR(__xludf.DUMMYFUNCTION("QUERY('Volunteer Survey'!O413)"),"")</f>
        <v/>
      </c>
      <c r="AO414" s="175" t="str">
        <f ca="1">IFERROR(__xludf.DUMMYFUNCTION("QUERY('Volunteer Survey'!P413)"),"")</f>
        <v/>
      </c>
    </row>
    <row r="415" spans="1:41" ht="14">
      <c r="A415" s="49" t="str">
        <f ca="1">IFERROR(__xludf.DUMMYFUNCTION("QUERY('Volunteer Survey'!A809)"),"")</f>
        <v/>
      </c>
      <c r="B415" s="42" t="s">
        <v>322</v>
      </c>
      <c r="C415" s="47"/>
      <c r="D415" s="49"/>
      <c r="E415" s="49"/>
      <c r="F415" s="49" t="b">
        <v>0</v>
      </c>
      <c r="G415" s="49"/>
      <c r="H415" s="47"/>
      <c r="I415" s="47"/>
      <c r="J415" s="49"/>
      <c r="K415" s="49"/>
      <c r="L415" s="49" t="str">
        <f ca="1">IFERROR(__xludf.DUMMYFUNCTION("QUERY('Volunteer Survey'!B809)"),"")</f>
        <v/>
      </c>
      <c r="M415" s="49" t="str">
        <f ca="1">IFERROR(__xludf.DUMMYFUNCTION("QUERY('Volunteer Survey'!E809)"),"")</f>
        <v/>
      </c>
      <c r="N415" s="49" t="str">
        <f ca="1">IFERROR(__xludf.DUMMYFUNCTION("QUERY('Volunteer Survey'!F809)"),"")</f>
        <v/>
      </c>
      <c r="O415" s="42" t="str">
        <f ca="1">IFERROR(__xludf.DUMMYFUNCTION("QUERY('Volunteer Survey'!H809)"),"")</f>
        <v/>
      </c>
      <c r="P415" s="49" t="str">
        <f ca="1">IFERROR(__xludf.DUMMYFUNCTION("QUERY('Volunteer Survey'!I809)"),"")</f>
        <v/>
      </c>
      <c r="Q415" s="54" t="str">
        <f ca="1">IFERROR(__xludf.DUMMYFUNCTION("QUERY('Volunteer Survey'!J809)"),"")</f>
        <v/>
      </c>
      <c r="R415" s="49" t="str">
        <f ca="1">IFERROR(__xludf.DUMMYFUNCTION("QUERY('Volunteer Survey'!K809)"),"")</f>
        <v/>
      </c>
      <c r="S415" s="49" t="str">
        <f ca="1">IFERROR(__xludf.DUMMYFUNCTION("QUERY('Volunteer Survey'!L809)"),"")</f>
        <v/>
      </c>
      <c r="T415" s="49" t="str">
        <f ca="1">IFERROR(__xludf.DUMMYFUNCTION("QUERY('Volunteer Survey'!M809)"),"")</f>
        <v/>
      </c>
      <c r="U415" s="58" t="str">
        <f ca="1">IFERROR(__xludf.DUMMYFUNCTION("QUERY('Volunteer Survey'!N809)"),"")</f>
        <v/>
      </c>
      <c r="V415" s="49" t="str">
        <f ca="1">IFERROR(__xludf.DUMMYFUNCTION("QUERY('Volunteer Survey'!O809)"),"")</f>
        <v/>
      </c>
      <c r="W415" s="60" t="str">
        <f ca="1">IFERROR(__xludf.DUMMYFUNCTION("QUERY('Volunteer Survey'!P809)"),"")</f>
        <v/>
      </c>
      <c r="X415" s="58" t="str">
        <f ca="1">IFERROR(__xludf.DUMMYFUNCTION("QUERY('Volunteer Survey'!R809)"),"")</f>
        <v/>
      </c>
      <c r="Y415" s="47"/>
      <c r="Z415" s="175" t="str">
        <f ca="1">IFERROR(__xludf.DUMMYFUNCTION("QUERY('Volunteer Survey'!A414)"),"")</f>
        <v/>
      </c>
      <c r="AA415" s="175" t="str">
        <f ca="1">IFERROR(__xludf.DUMMYFUNCTION("QUERY('Volunteer Survey'!B414)"),"")</f>
        <v/>
      </c>
      <c r="AB415" s="175" t="str">
        <f ca="1">IFERROR(__xludf.DUMMYFUNCTION("QUERY('Volunteer Survey'!C414)"),"")</f>
        <v/>
      </c>
      <c r="AC415" s="175" t="str">
        <f ca="1">IFERROR(__xludf.DUMMYFUNCTION("QUERY('Volunteer Survey'!D414)"),"")</f>
        <v/>
      </c>
      <c r="AD415" s="175" t="str">
        <f ca="1">IFERROR(__xludf.DUMMYFUNCTION("QUERY('Volunteer Survey'!E414)"),"")</f>
        <v/>
      </c>
      <c r="AE415" s="175" t="str">
        <f ca="1">IFERROR(__xludf.DUMMYFUNCTION("QUERY('Volunteer Survey'!F414)"),"")</f>
        <v/>
      </c>
      <c r="AF415" s="175" t="str">
        <f ca="1">IFERROR(__xludf.DUMMYFUNCTION("QUERY('Volunteer Survey'!G414)"),"")</f>
        <v/>
      </c>
      <c r="AG415" s="175" t="str">
        <f ca="1">IFERROR(__xludf.DUMMYFUNCTION("QUERY('Volunteer Survey'!H414)"),"")</f>
        <v/>
      </c>
      <c r="AH415" s="175" t="str">
        <f ca="1">IFERROR(__xludf.DUMMYFUNCTION("QUERY('Volunteer Survey'!I414)"),"")</f>
        <v/>
      </c>
      <c r="AI415" s="175" t="str">
        <f ca="1">IFERROR(__xludf.DUMMYFUNCTION("QUERY('Volunteer Survey'!J414)"),"")</f>
        <v/>
      </c>
      <c r="AJ415" s="175" t="str">
        <f ca="1">IFERROR(__xludf.DUMMYFUNCTION("QUERY('Volunteer Survey'!K414)"),"")</f>
        <v/>
      </c>
      <c r="AK415" s="175" t="str">
        <f ca="1">IFERROR(__xludf.DUMMYFUNCTION("QUERY('Volunteer Survey'!L414)"),"")</f>
        <v/>
      </c>
      <c r="AL415" s="175" t="str">
        <f ca="1">IFERROR(__xludf.DUMMYFUNCTION("QUERY('Volunteer Survey'!M414)"),"")</f>
        <v/>
      </c>
      <c r="AM415" s="175" t="str">
        <f ca="1">IFERROR(__xludf.DUMMYFUNCTION("QUERY('Volunteer Survey'!N414)"),"")</f>
        <v/>
      </c>
      <c r="AN415" s="175" t="str">
        <f ca="1">IFERROR(__xludf.DUMMYFUNCTION("QUERY('Volunteer Survey'!O414)"),"")</f>
        <v/>
      </c>
      <c r="AO415" s="175" t="str">
        <f ca="1">IFERROR(__xludf.DUMMYFUNCTION("QUERY('Volunteer Survey'!P414)"),"")</f>
        <v/>
      </c>
    </row>
    <row r="416" spans="1:41" ht="14">
      <c r="A416" s="49" t="str">
        <f ca="1">IFERROR(__xludf.DUMMYFUNCTION("QUERY('Volunteer Survey'!A810)"),"")</f>
        <v/>
      </c>
      <c r="B416" s="42" t="s">
        <v>322</v>
      </c>
      <c r="C416" s="47"/>
      <c r="D416" s="49"/>
      <c r="E416" s="49"/>
      <c r="F416" s="49" t="b">
        <v>0</v>
      </c>
      <c r="G416" s="49"/>
      <c r="H416" s="47"/>
      <c r="I416" s="47"/>
      <c r="J416" s="49"/>
      <c r="K416" s="49"/>
      <c r="L416" s="49" t="str">
        <f ca="1">IFERROR(__xludf.DUMMYFUNCTION("QUERY('Volunteer Survey'!B810)"),"")</f>
        <v/>
      </c>
      <c r="M416" s="49" t="str">
        <f ca="1">IFERROR(__xludf.DUMMYFUNCTION("QUERY('Volunteer Survey'!E810)"),"")</f>
        <v/>
      </c>
      <c r="N416" s="49" t="str">
        <f ca="1">IFERROR(__xludf.DUMMYFUNCTION("QUERY('Volunteer Survey'!F810)"),"")</f>
        <v/>
      </c>
      <c r="O416" s="42" t="str">
        <f ca="1">IFERROR(__xludf.DUMMYFUNCTION("QUERY('Volunteer Survey'!H810)"),"")</f>
        <v/>
      </c>
      <c r="P416" s="49" t="str">
        <f ca="1">IFERROR(__xludf.DUMMYFUNCTION("QUERY('Volunteer Survey'!I810)"),"")</f>
        <v/>
      </c>
      <c r="Q416" s="54" t="str">
        <f ca="1">IFERROR(__xludf.DUMMYFUNCTION("QUERY('Volunteer Survey'!J810)"),"")</f>
        <v/>
      </c>
      <c r="R416" s="49" t="str">
        <f ca="1">IFERROR(__xludf.DUMMYFUNCTION("QUERY('Volunteer Survey'!K810)"),"")</f>
        <v/>
      </c>
      <c r="S416" s="49" t="str">
        <f ca="1">IFERROR(__xludf.DUMMYFUNCTION("QUERY('Volunteer Survey'!L810)"),"")</f>
        <v/>
      </c>
      <c r="T416" s="49" t="str">
        <f ca="1">IFERROR(__xludf.DUMMYFUNCTION("QUERY('Volunteer Survey'!M810)"),"")</f>
        <v/>
      </c>
      <c r="U416" s="58" t="str">
        <f ca="1">IFERROR(__xludf.DUMMYFUNCTION("QUERY('Volunteer Survey'!N810)"),"")</f>
        <v/>
      </c>
      <c r="V416" s="49" t="str">
        <f ca="1">IFERROR(__xludf.DUMMYFUNCTION("QUERY('Volunteer Survey'!O810)"),"")</f>
        <v/>
      </c>
      <c r="W416" s="60" t="str">
        <f ca="1">IFERROR(__xludf.DUMMYFUNCTION("QUERY('Volunteer Survey'!P810)"),"")</f>
        <v/>
      </c>
      <c r="X416" s="58" t="str">
        <f ca="1">IFERROR(__xludf.DUMMYFUNCTION("QUERY('Volunteer Survey'!R810)"),"")</f>
        <v/>
      </c>
      <c r="Y416" s="47"/>
      <c r="Z416" s="175" t="str">
        <f ca="1">IFERROR(__xludf.DUMMYFUNCTION("QUERY('Volunteer Survey'!A415)"),"")</f>
        <v/>
      </c>
      <c r="AA416" s="175" t="str">
        <f ca="1">IFERROR(__xludf.DUMMYFUNCTION("QUERY('Volunteer Survey'!B415)"),"")</f>
        <v/>
      </c>
      <c r="AB416" s="175" t="str">
        <f ca="1">IFERROR(__xludf.DUMMYFUNCTION("QUERY('Volunteer Survey'!C415)"),"")</f>
        <v/>
      </c>
      <c r="AC416" s="175" t="str">
        <f ca="1">IFERROR(__xludf.DUMMYFUNCTION("QUERY('Volunteer Survey'!D415)"),"")</f>
        <v/>
      </c>
      <c r="AD416" s="175" t="str">
        <f ca="1">IFERROR(__xludf.DUMMYFUNCTION("QUERY('Volunteer Survey'!E415)"),"")</f>
        <v/>
      </c>
      <c r="AE416" s="175" t="str">
        <f ca="1">IFERROR(__xludf.DUMMYFUNCTION("QUERY('Volunteer Survey'!F415)"),"")</f>
        <v/>
      </c>
      <c r="AF416" s="175" t="str">
        <f ca="1">IFERROR(__xludf.DUMMYFUNCTION("QUERY('Volunteer Survey'!G415)"),"")</f>
        <v/>
      </c>
      <c r="AG416" s="175" t="str">
        <f ca="1">IFERROR(__xludf.DUMMYFUNCTION("QUERY('Volunteer Survey'!H415)"),"")</f>
        <v/>
      </c>
      <c r="AH416" s="175" t="str">
        <f ca="1">IFERROR(__xludf.DUMMYFUNCTION("QUERY('Volunteer Survey'!I415)"),"")</f>
        <v/>
      </c>
      <c r="AI416" s="175" t="str">
        <f ca="1">IFERROR(__xludf.DUMMYFUNCTION("QUERY('Volunteer Survey'!J415)"),"")</f>
        <v/>
      </c>
      <c r="AJ416" s="175" t="str">
        <f ca="1">IFERROR(__xludf.DUMMYFUNCTION("QUERY('Volunteer Survey'!K415)"),"")</f>
        <v/>
      </c>
      <c r="AK416" s="175" t="str">
        <f ca="1">IFERROR(__xludf.DUMMYFUNCTION("QUERY('Volunteer Survey'!L415)"),"")</f>
        <v/>
      </c>
      <c r="AL416" s="175" t="str">
        <f ca="1">IFERROR(__xludf.DUMMYFUNCTION("QUERY('Volunteer Survey'!M415)"),"")</f>
        <v/>
      </c>
      <c r="AM416" s="175" t="str">
        <f ca="1">IFERROR(__xludf.DUMMYFUNCTION("QUERY('Volunteer Survey'!N415)"),"")</f>
        <v/>
      </c>
      <c r="AN416" s="175" t="str">
        <f ca="1">IFERROR(__xludf.DUMMYFUNCTION("QUERY('Volunteer Survey'!O415)"),"")</f>
        <v/>
      </c>
      <c r="AO416" s="175" t="str">
        <f ca="1">IFERROR(__xludf.DUMMYFUNCTION("QUERY('Volunteer Survey'!P415)"),"")</f>
        <v/>
      </c>
    </row>
    <row r="417" spans="1:41" ht="14">
      <c r="A417" s="49" t="str">
        <f ca="1">IFERROR(__xludf.DUMMYFUNCTION("QUERY('Volunteer Survey'!A811)"),"")</f>
        <v/>
      </c>
      <c r="B417" s="42" t="s">
        <v>322</v>
      </c>
      <c r="C417" s="47"/>
      <c r="D417" s="49"/>
      <c r="E417" s="49"/>
      <c r="F417" s="49" t="b">
        <v>0</v>
      </c>
      <c r="G417" s="49"/>
      <c r="H417" s="47"/>
      <c r="I417" s="47"/>
      <c r="J417" s="49"/>
      <c r="K417" s="49"/>
      <c r="L417" s="49" t="str">
        <f ca="1">IFERROR(__xludf.DUMMYFUNCTION("QUERY('Volunteer Survey'!B811)"),"")</f>
        <v/>
      </c>
      <c r="M417" s="49" t="str">
        <f ca="1">IFERROR(__xludf.DUMMYFUNCTION("QUERY('Volunteer Survey'!E811)"),"")</f>
        <v/>
      </c>
      <c r="N417" s="49" t="str">
        <f ca="1">IFERROR(__xludf.DUMMYFUNCTION("QUERY('Volunteer Survey'!F811)"),"")</f>
        <v/>
      </c>
      <c r="O417" s="42" t="str">
        <f ca="1">IFERROR(__xludf.DUMMYFUNCTION("QUERY('Volunteer Survey'!H811)"),"")</f>
        <v/>
      </c>
      <c r="P417" s="49" t="str">
        <f ca="1">IFERROR(__xludf.DUMMYFUNCTION("QUERY('Volunteer Survey'!I811)"),"")</f>
        <v/>
      </c>
      <c r="Q417" s="54" t="str">
        <f ca="1">IFERROR(__xludf.DUMMYFUNCTION("QUERY('Volunteer Survey'!J811)"),"")</f>
        <v/>
      </c>
      <c r="R417" s="49" t="str">
        <f ca="1">IFERROR(__xludf.DUMMYFUNCTION("QUERY('Volunteer Survey'!K811)"),"")</f>
        <v/>
      </c>
      <c r="S417" s="49" t="str">
        <f ca="1">IFERROR(__xludf.DUMMYFUNCTION("QUERY('Volunteer Survey'!L811)"),"")</f>
        <v/>
      </c>
      <c r="T417" s="49" t="str">
        <f ca="1">IFERROR(__xludf.DUMMYFUNCTION("QUERY('Volunteer Survey'!M811)"),"")</f>
        <v/>
      </c>
      <c r="U417" s="58" t="str">
        <f ca="1">IFERROR(__xludf.DUMMYFUNCTION("QUERY('Volunteer Survey'!N811)"),"")</f>
        <v/>
      </c>
      <c r="V417" s="49" t="str">
        <f ca="1">IFERROR(__xludf.DUMMYFUNCTION("QUERY('Volunteer Survey'!O811)"),"")</f>
        <v/>
      </c>
      <c r="W417" s="60" t="str">
        <f ca="1">IFERROR(__xludf.DUMMYFUNCTION("QUERY('Volunteer Survey'!P811)"),"")</f>
        <v/>
      </c>
      <c r="X417" s="58" t="str">
        <f ca="1">IFERROR(__xludf.DUMMYFUNCTION("QUERY('Volunteer Survey'!R811)"),"")</f>
        <v/>
      </c>
      <c r="Y417" s="47"/>
      <c r="Z417" s="175" t="str">
        <f ca="1">IFERROR(__xludf.DUMMYFUNCTION("QUERY('Volunteer Survey'!A416)"),"")</f>
        <v/>
      </c>
      <c r="AA417" s="175" t="str">
        <f ca="1">IFERROR(__xludf.DUMMYFUNCTION("QUERY('Volunteer Survey'!B416)"),"")</f>
        <v/>
      </c>
      <c r="AB417" s="175" t="str">
        <f ca="1">IFERROR(__xludf.DUMMYFUNCTION("QUERY('Volunteer Survey'!C416)"),"")</f>
        <v/>
      </c>
      <c r="AC417" s="175" t="str">
        <f ca="1">IFERROR(__xludf.DUMMYFUNCTION("QUERY('Volunteer Survey'!D416)"),"")</f>
        <v/>
      </c>
      <c r="AD417" s="175" t="str">
        <f ca="1">IFERROR(__xludf.DUMMYFUNCTION("QUERY('Volunteer Survey'!E416)"),"")</f>
        <v/>
      </c>
      <c r="AE417" s="175" t="str">
        <f ca="1">IFERROR(__xludf.DUMMYFUNCTION("QUERY('Volunteer Survey'!F416)"),"")</f>
        <v/>
      </c>
      <c r="AF417" s="175" t="str">
        <f ca="1">IFERROR(__xludf.DUMMYFUNCTION("QUERY('Volunteer Survey'!G416)"),"")</f>
        <v/>
      </c>
      <c r="AG417" s="175" t="str">
        <f ca="1">IFERROR(__xludf.DUMMYFUNCTION("QUERY('Volunteer Survey'!H416)"),"")</f>
        <v/>
      </c>
      <c r="AH417" s="175" t="str">
        <f ca="1">IFERROR(__xludf.DUMMYFUNCTION("QUERY('Volunteer Survey'!I416)"),"")</f>
        <v/>
      </c>
      <c r="AI417" s="175" t="str">
        <f ca="1">IFERROR(__xludf.DUMMYFUNCTION("QUERY('Volunteer Survey'!J416)"),"")</f>
        <v/>
      </c>
      <c r="AJ417" s="175" t="str">
        <f ca="1">IFERROR(__xludf.DUMMYFUNCTION("QUERY('Volunteer Survey'!K416)"),"")</f>
        <v/>
      </c>
      <c r="AK417" s="175" t="str">
        <f ca="1">IFERROR(__xludf.DUMMYFUNCTION("QUERY('Volunteer Survey'!L416)"),"")</f>
        <v/>
      </c>
      <c r="AL417" s="175" t="str">
        <f ca="1">IFERROR(__xludf.DUMMYFUNCTION("QUERY('Volunteer Survey'!M416)"),"")</f>
        <v/>
      </c>
      <c r="AM417" s="175" t="str">
        <f ca="1">IFERROR(__xludf.DUMMYFUNCTION("QUERY('Volunteer Survey'!N416)"),"")</f>
        <v/>
      </c>
      <c r="AN417" s="175" t="str">
        <f ca="1">IFERROR(__xludf.DUMMYFUNCTION("QUERY('Volunteer Survey'!O416)"),"")</f>
        <v/>
      </c>
      <c r="AO417" s="175" t="str">
        <f ca="1">IFERROR(__xludf.DUMMYFUNCTION("QUERY('Volunteer Survey'!P416)"),"")</f>
        <v/>
      </c>
    </row>
    <row r="418" spans="1:41" ht="14">
      <c r="A418" s="49" t="str">
        <f ca="1">IFERROR(__xludf.DUMMYFUNCTION("QUERY('Volunteer Survey'!A812)"),"")</f>
        <v/>
      </c>
      <c r="B418" s="42" t="s">
        <v>322</v>
      </c>
      <c r="C418" s="47"/>
      <c r="D418" s="49"/>
      <c r="E418" s="49"/>
      <c r="F418" s="49" t="b">
        <v>0</v>
      </c>
      <c r="G418" s="49"/>
      <c r="H418" s="47"/>
      <c r="I418" s="47"/>
      <c r="J418" s="49"/>
      <c r="K418" s="49"/>
      <c r="L418" s="49" t="str">
        <f ca="1">IFERROR(__xludf.DUMMYFUNCTION("QUERY('Volunteer Survey'!B812)"),"")</f>
        <v/>
      </c>
      <c r="M418" s="49" t="str">
        <f ca="1">IFERROR(__xludf.DUMMYFUNCTION("QUERY('Volunteer Survey'!E812)"),"")</f>
        <v/>
      </c>
      <c r="N418" s="49" t="str">
        <f ca="1">IFERROR(__xludf.DUMMYFUNCTION("QUERY('Volunteer Survey'!F812)"),"")</f>
        <v/>
      </c>
      <c r="O418" s="42" t="str">
        <f ca="1">IFERROR(__xludf.DUMMYFUNCTION("QUERY('Volunteer Survey'!H812)"),"")</f>
        <v/>
      </c>
      <c r="P418" s="49" t="str">
        <f ca="1">IFERROR(__xludf.DUMMYFUNCTION("QUERY('Volunteer Survey'!I812)"),"")</f>
        <v/>
      </c>
      <c r="Q418" s="54" t="str">
        <f ca="1">IFERROR(__xludf.DUMMYFUNCTION("QUERY('Volunteer Survey'!J812)"),"")</f>
        <v/>
      </c>
      <c r="R418" s="49" t="str">
        <f ca="1">IFERROR(__xludf.DUMMYFUNCTION("QUERY('Volunteer Survey'!K812)"),"")</f>
        <v/>
      </c>
      <c r="S418" s="49" t="str">
        <f ca="1">IFERROR(__xludf.DUMMYFUNCTION("QUERY('Volunteer Survey'!L812)"),"")</f>
        <v/>
      </c>
      <c r="T418" s="49" t="str">
        <f ca="1">IFERROR(__xludf.DUMMYFUNCTION("QUERY('Volunteer Survey'!M812)"),"")</f>
        <v/>
      </c>
      <c r="U418" s="58" t="str">
        <f ca="1">IFERROR(__xludf.DUMMYFUNCTION("QUERY('Volunteer Survey'!N812)"),"")</f>
        <v/>
      </c>
      <c r="V418" s="49" t="str">
        <f ca="1">IFERROR(__xludf.DUMMYFUNCTION("QUERY('Volunteer Survey'!O812)"),"")</f>
        <v/>
      </c>
      <c r="W418" s="60" t="str">
        <f ca="1">IFERROR(__xludf.DUMMYFUNCTION("QUERY('Volunteer Survey'!P812)"),"")</f>
        <v/>
      </c>
      <c r="X418" s="58" t="str">
        <f ca="1">IFERROR(__xludf.DUMMYFUNCTION("QUERY('Volunteer Survey'!R812)"),"")</f>
        <v/>
      </c>
      <c r="Y418" s="47"/>
      <c r="Z418" s="175" t="str">
        <f ca="1">IFERROR(__xludf.DUMMYFUNCTION("QUERY('Volunteer Survey'!A417)"),"")</f>
        <v/>
      </c>
      <c r="AA418" s="175" t="str">
        <f ca="1">IFERROR(__xludf.DUMMYFUNCTION("QUERY('Volunteer Survey'!B417)"),"")</f>
        <v/>
      </c>
      <c r="AB418" s="175" t="str">
        <f ca="1">IFERROR(__xludf.DUMMYFUNCTION("QUERY('Volunteer Survey'!C417)"),"")</f>
        <v/>
      </c>
      <c r="AC418" s="175" t="str">
        <f ca="1">IFERROR(__xludf.DUMMYFUNCTION("QUERY('Volunteer Survey'!D417)"),"")</f>
        <v/>
      </c>
      <c r="AD418" s="175" t="str">
        <f ca="1">IFERROR(__xludf.DUMMYFUNCTION("QUERY('Volunteer Survey'!E417)"),"")</f>
        <v/>
      </c>
      <c r="AE418" s="175" t="str">
        <f ca="1">IFERROR(__xludf.DUMMYFUNCTION("QUERY('Volunteer Survey'!F417)"),"")</f>
        <v/>
      </c>
      <c r="AF418" s="175" t="str">
        <f ca="1">IFERROR(__xludf.DUMMYFUNCTION("QUERY('Volunteer Survey'!G417)"),"")</f>
        <v/>
      </c>
      <c r="AG418" s="175" t="str">
        <f ca="1">IFERROR(__xludf.DUMMYFUNCTION("QUERY('Volunteer Survey'!H417)"),"")</f>
        <v/>
      </c>
      <c r="AH418" s="175" t="str">
        <f ca="1">IFERROR(__xludf.DUMMYFUNCTION("QUERY('Volunteer Survey'!I417)"),"")</f>
        <v/>
      </c>
      <c r="AI418" s="175" t="str">
        <f ca="1">IFERROR(__xludf.DUMMYFUNCTION("QUERY('Volunteer Survey'!J417)"),"")</f>
        <v/>
      </c>
      <c r="AJ418" s="175" t="str">
        <f ca="1">IFERROR(__xludf.DUMMYFUNCTION("QUERY('Volunteer Survey'!K417)"),"")</f>
        <v/>
      </c>
      <c r="AK418" s="175" t="str">
        <f ca="1">IFERROR(__xludf.DUMMYFUNCTION("QUERY('Volunteer Survey'!L417)"),"")</f>
        <v/>
      </c>
      <c r="AL418" s="175" t="str">
        <f ca="1">IFERROR(__xludf.DUMMYFUNCTION("QUERY('Volunteer Survey'!M417)"),"")</f>
        <v/>
      </c>
      <c r="AM418" s="175" t="str">
        <f ca="1">IFERROR(__xludf.DUMMYFUNCTION("QUERY('Volunteer Survey'!N417)"),"")</f>
        <v/>
      </c>
      <c r="AN418" s="175" t="str">
        <f ca="1">IFERROR(__xludf.DUMMYFUNCTION("QUERY('Volunteer Survey'!O417)"),"")</f>
        <v/>
      </c>
      <c r="AO418" s="175" t="str">
        <f ca="1">IFERROR(__xludf.DUMMYFUNCTION("QUERY('Volunteer Survey'!P417)"),"")</f>
        <v/>
      </c>
    </row>
    <row r="419" spans="1:41" ht="14">
      <c r="A419" s="49" t="str">
        <f ca="1">IFERROR(__xludf.DUMMYFUNCTION("QUERY('Volunteer Survey'!A813)"),"")</f>
        <v/>
      </c>
      <c r="B419" s="42" t="s">
        <v>322</v>
      </c>
      <c r="C419" s="47"/>
      <c r="D419" s="49"/>
      <c r="E419" s="49"/>
      <c r="F419" s="49" t="b">
        <v>0</v>
      </c>
      <c r="G419" s="49"/>
      <c r="H419" s="47"/>
      <c r="I419" s="47"/>
      <c r="J419" s="49"/>
      <c r="K419" s="49"/>
      <c r="L419" s="49" t="str">
        <f ca="1">IFERROR(__xludf.DUMMYFUNCTION("QUERY('Volunteer Survey'!B813)"),"")</f>
        <v/>
      </c>
      <c r="M419" s="49" t="str">
        <f ca="1">IFERROR(__xludf.DUMMYFUNCTION("QUERY('Volunteer Survey'!E813)"),"")</f>
        <v/>
      </c>
      <c r="N419" s="49" t="str">
        <f ca="1">IFERROR(__xludf.DUMMYFUNCTION("QUERY('Volunteer Survey'!F813)"),"")</f>
        <v/>
      </c>
      <c r="O419" s="42" t="str">
        <f ca="1">IFERROR(__xludf.DUMMYFUNCTION("QUERY('Volunteer Survey'!H813)"),"")</f>
        <v/>
      </c>
      <c r="P419" s="49" t="str">
        <f ca="1">IFERROR(__xludf.DUMMYFUNCTION("QUERY('Volunteer Survey'!I813)"),"")</f>
        <v/>
      </c>
      <c r="Q419" s="54" t="str">
        <f ca="1">IFERROR(__xludf.DUMMYFUNCTION("QUERY('Volunteer Survey'!J813)"),"")</f>
        <v/>
      </c>
      <c r="R419" s="49" t="str">
        <f ca="1">IFERROR(__xludf.DUMMYFUNCTION("QUERY('Volunteer Survey'!K813)"),"")</f>
        <v/>
      </c>
      <c r="S419" s="49" t="str">
        <f ca="1">IFERROR(__xludf.DUMMYFUNCTION("QUERY('Volunteer Survey'!L813)"),"")</f>
        <v/>
      </c>
      <c r="T419" s="49" t="str">
        <f ca="1">IFERROR(__xludf.DUMMYFUNCTION("QUERY('Volunteer Survey'!M813)"),"")</f>
        <v/>
      </c>
      <c r="U419" s="58" t="str">
        <f ca="1">IFERROR(__xludf.DUMMYFUNCTION("QUERY('Volunteer Survey'!N813)"),"")</f>
        <v/>
      </c>
      <c r="V419" s="49" t="str">
        <f ca="1">IFERROR(__xludf.DUMMYFUNCTION("QUERY('Volunteer Survey'!O813)"),"")</f>
        <v/>
      </c>
      <c r="W419" s="60" t="str">
        <f ca="1">IFERROR(__xludf.DUMMYFUNCTION("QUERY('Volunteer Survey'!P813)"),"")</f>
        <v/>
      </c>
      <c r="X419" s="58" t="str">
        <f ca="1">IFERROR(__xludf.DUMMYFUNCTION("QUERY('Volunteer Survey'!R813)"),"")</f>
        <v/>
      </c>
      <c r="Y419" s="47"/>
      <c r="Z419" s="175" t="str">
        <f ca="1">IFERROR(__xludf.DUMMYFUNCTION("QUERY('Volunteer Survey'!A418)"),"")</f>
        <v/>
      </c>
      <c r="AA419" s="175" t="str">
        <f ca="1">IFERROR(__xludf.DUMMYFUNCTION("QUERY('Volunteer Survey'!B418)"),"")</f>
        <v/>
      </c>
      <c r="AB419" s="175" t="str">
        <f ca="1">IFERROR(__xludf.DUMMYFUNCTION("QUERY('Volunteer Survey'!C418)"),"")</f>
        <v/>
      </c>
      <c r="AC419" s="175" t="str">
        <f ca="1">IFERROR(__xludf.DUMMYFUNCTION("QUERY('Volunteer Survey'!D418)"),"")</f>
        <v/>
      </c>
      <c r="AD419" s="175" t="str">
        <f ca="1">IFERROR(__xludf.DUMMYFUNCTION("QUERY('Volunteer Survey'!E418)"),"")</f>
        <v/>
      </c>
      <c r="AE419" s="175" t="str">
        <f ca="1">IFERROR(__xludf.DUMMYFUNCTION("QUERY('Volunteer Survey'!F418)"),"")</f>
        <v/>
      </c>
      <c r="AF419" s="175" t="str">
        <f ca="1">IFERROR(__xludf.DUMMYFUNCTION("QUERY('Volunteer Survey'!G418)"),"")</f>
        <v/>
      </c>
      <c r="AG419" s="175" t="str">
        <f ca="1">IFERROR(__xludf.DUMMYFUNCTION("QUERY('Volunteer Survey'!H418)"),"")</f>
        <v/>
      </c>
      <c r="AH419" s="175" t="str">
        <f ca="1">IFERROR(__xludf.DUMMYFUNCTION("QUERY('Volunteer Survey'!I418)"),"")</f>
        <v/>
      </c>
      <c r="AI419" s="175" t="str">
        <f ca="1">IFERROR(__xludf.DUMMYFUNCTION("QUERY('Volunteer Survey'!J418)"),"")</f>
        <v/>
      </c>
      <c r="AJ419" s="175" t="str">
        <f ca="1">IFERROR(__xludf.DUMMYFUNCTION("QUERY('Volunteer Survey'!K418)"),"")</f>
        <v/>
      </c>
      <c r="AK419" s="175" t="str">
        <f ca="1">IFERROR(__xludf.DUMMYFUNCTION("QUERY('Volunteer Survey'!L418)"),"")</f>
        <v/>
      </c>
      <c r="AL419" s="175" t="str">
        <f ca="1">IFERROR(__xludf.DUMMYFUNCTION("QUERY('Volunteer Survey'!M418)"),"")</f>
        <v/>
      </c>
      <c r="AM419" s="175" t="str">
        <f ca="1">IFERROR(__xludf.DUMMYFUNCTION("QUERY('Volunteer Survey'!N418)"),"")</f>
        <v/>
      </c>
      <c r="AN419" s="175" t="str">
        <f ca="1">IFERROR(__xludf.DUMMYFUNCTION("QUERY('Volunteer Survey'!O418)"),"")</f>
        <v/>
      </c>
      <c r="AO419" s="175" t="str">
        <f ca="1">IFERROR(__xludf.DUMMYFUNCTION("QUERY('Volunteer Survey'!P418)"),"")</f>
        <v/>
      </c>
    </row>
    <row r="420" spans="1:41" ht="14">
      <c r="A420" s="49" t="str">
        <f ca="1">IFERROR(__xludf.DUMMYFUNCTION("QUERY('Volunteer Survey'!A814)"),"")</f>
        <v/>
      </c>
      <c r="B420" s="42" t="s">
        <v>322</v>
      </c>
      <c r="C420" s="47"/>
      <c r="D420" s="49"/>
      <c r="E420" s="49"/>
      <c r="F420" s="49" t="b">
        <v>0</v>
      </c>
      <c r="G420" s="49"/>
      <c r="H420" s="47"/>
      <c r="I420" s="47"/>
      <c r="J420" s="49"/>
      <c r="K420" s="49"/>
      <c r="L420" s="49" t="str">
        <f ca="1">IFERROR(__xludf.DUMMYFUNCTION("QUERY('Volunteer Survey'!B814)"),"")</f>
        <v/>
      </c>
      <c r="M420" s="49" t="str">
        <f ca="1">IFERROR(__xludf.DUMMYFUNCTION("QUERY('Volunteer Survey'!E814)"),"")</f>
        <v/>
      </c>
      <c r="N420" s="49" t="str">
        <f ca="1">IFERROR(__xludf.DUMMYFUNCTION("QUERY('Volunteer Survey'!F814)"),"")</f>
        <v/>
      </c>
      <c r="O420" s="42" t="str">
        <f ca="1">IFERROR(__xludf.DUMMYFUNCTION("QUERY('Volunteer Survey'!H814)"),"")</f>
        <v/>
      </c>
      <c r="P420" s="49" t="str">
        <f ca="1">IFERROR(__xludf.DUMMYFUNCTION("QUERY('Volunteer Survey'!I814)"),"")</f>
        <v/>
      </c>
      <c r="Q420" s="54" t="str">
        <f ca="1">IFERROR(__xludf.DUMMYFUNCTION("QUERY('Volunteer Survey'!J814)"),"")</f>
        <v/>
      </c>
      <c r="R420" s="49" t="str">
        <f ca="1">IFERROR(__xludf.DUMMYFUNCTION("QUERY('Volunteer Survey'!K814)"),"")</f>
        <v/>
      </c>
      <c r="S420" s="49" t="str">
        <f ca="1">IFERROR(__xludf.DUMMYFUNCTION("QUERY('Volunteer Survey'!L814)"),"")</f>
        <v/>
      </c>
      <c r="T420" s="49" t="str">
        <f ca="1">IFERROR(__xludf.DUMMYFUNCTION("QUERY('Volunteer Survey'!M814)"),"")</f>
        <v/>
      </c>
      <c r="U420" s="58" t="str">
        <f ca="1">IFERROR(__xludf.DUMMYFUNCTION("QUERY('Volunteer Survey'!N814)"),"")</f>
        <v/>
      </c>
      <c r="V420" s="49" t="str">
        <f ca="1">IFERROR(__xludf.DUMMYFUNCTION("QUERY('Volunteer Survey'!O814)"),"")</f>
        <v/>
      </c>
      <c r="W420" s="60" t="str">
        <f ca="1">IFERROR(__xludf.DUMMYFUNCTION("QUERY('Volunteer Survey'!P814)"),"")</f>
        <v/>
      </c>
      <c r="X420" s="58" t="str">
        <f ca="1">IFERROR(__xludf.DUMMYFUNCTION("QUERY('Volunteer Survey'!R814)"),"")</f>
        <v/>
      </c>
      <c r="Y420" s="47"/>
      <c r="Z420" s="175" t="str">
        <f ca="1">IFERROR(__xludf.DUMMYFUNCTION("QUERY('Volunteer Survey'!A419)"),"")</f>
        <v/>
      </c>
      <c r="AA420" s="175" t="str">
        <f ca="1">IFERROR(__xludf.DUMMYFUNCTION("QUERY('Volunteer Survey'!B419)"),"")</f>
        <v/>
      </c>
      <c r="AB420" s="175" t="str">
        <f ca="1">IFERROR(__xludf.DUMMYFUNCTION("QUERY('Volunteer Survey'!C419)"),"")</f>
        <v/>
      </c>
      <c r="AC420" s="175" t="str">
        <f ca="1">IFERROR(__xludf.DUMMYFUNCTION("QUERY('Volunteer Survey'!D419)"),"")</f>
        <v/>
      </c>
      <c r="AD420" s="175" t="str">
        <f ca="1">IFERROR(__xludf.DUMMYFUNCTION("QUERY('Volunteer Survey'!E419)"),"")</f>
        <v/>
      </c>
      <c r="AE420" s="175" t="str">
        <f ca="1">IFERROR(__xludf.DUMMYFUNCTION("QUERY('Volunteer Survey'!F419)"),"")</f>
        <v/>
      </c>
      <c r="AF420" s="175" t="str">
        <f ca="1">IFERROR(__xludf.DUMMYFUNCTION("QUERY('Volunteer Survey'!G419)"),"")</f>
        <v/>
      </c>
      <c r="AG420" s="175" t="str">
        <f ca="1">IFERROR(__xludf.DUMMYFUNCTION("QUERY('Volunteer Survey'!H419)"),"")</f>
        <v/>
      </c>
      <c r="AH420" s="175" t="str">
        <f ca="1">IFERROR(__xludf.DUMMYFUNCTION("QUERY('Volunteer Survey'!I419)"),"")</f>
        <v/>
      </c>
      <c r="AI420" s="175" t="str">
        <f ca="1">IFERROR(__xludf.DUMMYFUNCTION("QUERY('Volunteer Survey'!J419)"),"")</f>
        <v/>
      </c>
      <c r="AJ420" s="175" t="str">
        <f ca="1">IFERROR(__xludf.DUMMYFUNCTION("QUERY('Volunteer Survey'!K419)"),"")</f>
        <v/>
      </c>
      <c r="AK420" s="175" t="str">
        <f ca="1">IFERROR(__xludf.DUMMYFUNCTION("QUERY('Volunteer Survey'!L419)"),"")</f>
        <v/>
      </c>
      <c r="AL420" s="175" t="str">
        <f ca="1">IFERROR(__xludf.DUMMYFUNCTION("QUERY('Volunteer Survey'!M419)"),"")</f>
        <v/>
      </c>
      <c r="AM420" s="175" t="str">
        <f ca="1">IFERROR(__xludf.DUMMYFUNCTION("QUERY('Volunteer Survey'!N419)"),"")</f>
        <v/>
      </c>
      <c r="AN420" s="175" t="str">
        <f ca="1">IFERROR(__xludf.DUMMYFUNCTION("QUERY('Volunteer Survey'!O419)"),"")</f>
        <v/>
      </c>
      <c r="AO420" s="175" t="str">
        <f ca="1">IFERROR(__xludf.DUMMYFUNCTION("QUERY('Volunteer Survey'!P419)"),"")</f>
        <v/>
      </c>
    </row>
    <row r="421" spans="1:41" ht="14">
      <c r="A421" s="49" t="str">
        <f ca="1">IFERROR(__xludf.DUMMYFUNCTION("QUERY('Volunteer Survey'!A815)"),"")</f>
        <v/>
      </c>
      <c r="B421" s="42" t="s">
        <v>322</v>
      </c>
      <c r="C421" s="47"/>
      <c r="D421" s="49"/>
      <c r="E421" s="49"/>
      <c r="F421" s="49" t="b">
        <v>0</v>
      </c>
      <c r="G421" s="49"/>
      <c r="H421" s="47"/>
      <c r="I421" s="47"/>
      <c r="J421" s="49"/>
      <c r="K421" s="49"/>
      <c r="L421" s="49" t="str">
        <f ca="1">IFERROR(__xludf.DUMMYFUNCTION("QUERY('Volunteer Survey'!B815)"),"")</f>
        <v/>
      </c>
      <c r="M421" s="49" t="str">
        <f ca="1">IFERROR(__xludf.DUMMYFUNCTION("QUERY('Volunteer Survey'!E815)"),"")</f>
        <v/>
      </c>
      <c r="N421" s="49" t="str">
        <f ca="1">IFERROR(__xludf.DUMMYFUNCTION("QUERY('Volunteer Survey'!F815)"),"")</f>
        <v/>
      </c>
      <c r="O421" s="42" t="str">
        <f ca="1">IFERROR(__xludf.DUMMYFUNCTION("QUERY('Volunteer Survey'!H815)"),"")</f>
        <v/>
      </c>
      <c r="P421" s="49" t="str">
        <f ca="1">IFERROR(__xludf.DUMMYFUNCTION("QUERY('Volunteer Survey'!I815)"),"")</f>
        <v/>
      </c>
      <c r="Q421" s="54" t="str">
        <f ca="1">IFERROR(__xludf.DUMMYFUNCTION("QUERY('Volunteer Survey'!J815)"),"")</f>
        <v/>
      </c>
      <c r="R421" s="49" t="str">
        <f ca="1">IFERROR(__xludf.DUMMYFUNCTION("QUERY('Volunteer Survey'!K815)"),"")</f>
        <v/>
      </c>
      <c r="S421" s="49" t="str">
        <f ca="1">IFERROR(__xludf.DUMMYFUNCTION("QUERY('Volunteer Survey'!L815)"),"")</f>
        <v/>
      </c>
      <c r="T421" s="49" t="str">
        <f ca="1">IFERROR(__xludf.DUMMYFUNCTION("QUERY('Volunteer Survey'!M815)"),"")</f>
        <v/>
      </c>
      <c r="U421" s="58" t="str">
        <f ca="1">IFERROR(__xludf.DUMMYFUNCTION("QUERY('Volunteer Survey'!N815)"),"")</f>
        <v/>
      </c>
      <c r="V421" s="49" t="str">
        <f ca="1">IFERROR(__xludf.DUMMYFUNCTION("QUERY('Volunteer Survey'!O815)"),"")</f>
        <v/>
      </c>
      <c r="W421" s="60" t="str">
        <f ca="1">IFERROR(__xludf.DUMMYFUNCTION("QUERY('Volunteer Survey'!P815)"),"")</f>
        <v/>
      </c>
      <c r="X421" s="58" t="str">
        <f ca="1">IFERROR(__xludf.DUMMYFUNCTION("QUERY('Volunteer Survey'!R815)"),"")</f>
        <v/>
      </c>
      <c r="Y421" s="47"/>
      <c r="Z421" s="175" t="str">
        <f ca="1">IFERROR(__xludf.DUMMYFUNCTION("QUERY('Volunteer Survey'!A420)"),"")</f>
        <v/>
      </c>
      <c r="AA421" s="175" t="str">
        <f ca="1">IFERROR(__xludf.DUMMYFUNCTION("QUERY('Volunteer Survey'!B420)"),"")</f>
        <v/>
      </c>
      <c r="AB421" s="175" t="str">
        <f ca="1">IFERROR(__xludf.DUMMYFUNCTION("QUERY('Volunteer Survey'!C420)"),"")</f>
        <v/>
      </c>
      <c r="AC421" s="175" t="str">
        <f ca="1">IFERROR(__xludf.DUMMYFUNCTION("QUERY('Volunteer Survey'!D420)"),"")</f>
        <v/>
      </c>
      <c r="AD421" s="175" t="str">
        <f ca="1">IFERROR(__xludf.DUMMYFUNCTION("QUERY('Volunteer Survey'!E420)"),"")</f>
        <v/>
      </c>
      <c r="AE421" s="175" t="str">
        <f ca="1">IFERROR(__xludf.DUMMYFUNCTION("QUERY('Volunteer Survey'!F420)"),"")</f>
        <v/>
      </c>
      <c r="AF421" s="175" t="str">
        <f ca="1">IFERROR(__xludf.DUMMYFUNCTION("QUERY('Volunteer Survey'!G420)"),"")</f>
        <v/>
      </c>
      <c r="AG421" s="175" t="str">
        <f ca="1">IFERROR(__xludf.DUMMYFUNCTION("QUERY('Volunteer Survey'!H420)"),"")</f>
        <v/>
      </c>
      <c r="AH421" s="175" t="str">
        <f ca="1">IFERROR(__xludf.DUMMYFUNCTION("QUERY('Volunteer Survey'!I420)"),"")</f>
        <v/>
      </c>
      <c r="AI421" s="175" t="str">
        <f ca="1">IFERROR(__xludf.DUMMYFUNCTION("QUERY('Volunteer Survey'!J420)"),"")</f>
        <v/>
      </c>
      <c r="AJ421" s="175" t="str">
        <f ca="1">IFERROR(__xludf.DUMMYFUNCTION("QUERY('Volunteer Survey'!K420)"),"")</f>
        <v/>
      </c>
      <c r="AK421" s="175" t="str">
        <f ca="1">IFERROR(__xludf.DUMMYFUNCTION("QUERY('Volunteer Survey'!L420)"),"")</f>
        <v/>
      </c>
      <c r="AL421" s="175" t="str">
        <f ca="1">IFERROR(__xludf.DUMMYFUNCTION("QUERY('Volunteer Survey'!M420)"),"")</f>
        <v/>
      </c>
      <c r="AM421" s="175" t="str">
        <f ca="1">IFERROR(__xludf.DUMMYFUNCTION("QUERY('Volunteer Survey'!N420)"),"")</f>
        <v/>
      </c>
      <c r="AN421" s="175" t="str">
        <f ca="1">IFERROR(__xludf.DUMMYFUNCTION("QUERY('Volunteer Survey'!O420)"),"")</f>
        <v/>
      </c>
      <c r="AO421" s="175" t="str">
        <f ca="1">IFERROR(__xludf.DUMMYFUNCTION("QUERY('Volunteer Survey'!P420)"),"")</f>
        <v/>
      </c>
    </row>
    <row r="422" spans="1:41" ht="14">
      <c r="A422" s="49" t="str">
        <f ca="1">IFERROR(__xludf.DUMMYFUNCTION("QUERY('Volunteer Survey'!A816)"),"")</f>
        <v/>
      </c>
      <c r="B422" s="42" t="s">
        <v>322</v>
      </c>
      <c r="C422" s="47"/>
      <c r="D422" s="49"/>
      <c r="E422" s="49"/>
      <c r="F422" s="49" t="b">
        <v>0</v>
      </c>
      <c r="G422" s="49"/>
      <c r="H422" s="47"/>
      <c r="I422" s="47"/>
      <c r="J422" s="49"/>
      <c r="K422" s="49"/>
      <c r="L422" s="49" t="str">
        <f ca="1">IFERROR(__xludf.DUMMYFUNCTION("QUERY('Volunteer Survey'!B816)"),"")</f>
        <v/>
      </c>
      <c r="M422" s="49" t="str">
        <f ca="1">IFERROR(__xludf.DUMMYFUNCTION("QUERY('Volunteer Survey'!E816)"),"")</f>
        <v/>
      </c>
      <c r="N422" s="49" t="str">
        <f ca="1">IFERROR(__xludf.DUMMYFUNCTION("QUERY('Volunteer Survey'!F816)"),"")</f>
        <v/>
      </c>
      <c r="O422" s="42" t="str">
        <f ca="1">IFERROR(__xludf.DUMMYFUNCTION("QUERY('Volunteer Survey'!H816)"),"")</f>
        <v/>
      </c>
      <c r="P422" s="49" t="str">
        <f ca="1">IFERROR(__xludf.DUMMYFUNCTION("QUERY('Volunteer Survey'!I816)"),"")</f>
        <v/>
      </c>
      <c r="Q422" s="54" t="str">
        <f ca="1">IFERROR(__xludf.DUMMYFUNCTION("QUERY('Volunteer Survey'!J816)"),"")</f>
        <v/>
      </c>
      <c r="R422" s="49" t="str">
        <f ca="1">IFERROR(__xludf.DUMMYFUNCTION("QUERY('Volunteer Survey'!K816)"),"")</f>
        <v/>
      </c>
      <c r="S422" s="49" t="str">
        <f ca="1">IFERROR(__xludf.DUMMYFUNCTION("QUERY('Volunteer Survey'!L816)"),"")</f>
        <v/>
      </c>
      <c r="T422" s="49" t="str">
        <f ca="1">IFERROR(__xludf.DUMMYFUNCTION("QUERY('Volunteer Survey'!M816)"),"")</f>
        <v/>
      </c>
      <c r="U422" s="58" t="str">
        <f ca="1">IFERROR(__xludf.DUMMYFUNCTION("QUERY('Volunteer Survey'!N816)"),"")</f>
        <v/>
      </c>
      <c r="V422" s="49" t="str">
        <f ca="1">IFERROR(__xludf.DUMMYFUNCTION("QUERY('Volunteer Survey'!O816)"),"")</f>
        <v/>
      </c>
      <c r="W422" s="60" t="str">
        <f ca="1">IFERROR(__xludf.DUMMYFUNCTION("QUERY('Volunteer Survey'!P816)"),"")</f>
        <v/>
      </c>
      <c r="X422" s="58" t="str">
        <f ca="1">IFERROR(__xludf.DUMMYFUNCTION("QUERY('Volunteer Survey'!R816)"),"")</f>
        <v/>
      </c>
      <c r="Y422" s="47"/>
      <c r="Z422" s="175" t="str">
        <f ca="1">IFERROR(__xludf.DUMMYFUNCTION("QUERY('Volunteer Survey'!A421)"),"")</f>
        <v/>
      </c>
      <c r="AA422" s="175" t="str">
        <f ca="1">IFERROR(__xludf.DUMMYFUNCTION("QUERY('Volunteer Survey'!B421)"),"")</f>
        <v/>
      </c>
      <c r="AB422" s="175" t="str">
        <f ca="1">IFERROR(__xludf.DUMMYFUNCTION("QUERY('Volunteer Survey'!C421)"),"")</f>
        <v/>
      </c>
      <c r="AC422" s="175" t="str">
        <f ca="1">IFERROR(__xludf.DUMMYFUNCTION("QUERY('Volunteer Survey'!D421)"),"")</f>
        <v/>
      </c>
      <c r="AD422" s="175" t="str">
        <f ca="1">IFERROR(__xludf.DUMMYFUNCTION("QUERY('Volunteer Survey'!E421)"),"")</f>
        <v/>
      </c>
      <c r="AE422" s="175" t="str">
        <f ca="1">IFERROR(__xludf.DUMMYFUNCTION("QUERY('Volunteer Survey'!F421)"),"")</f>
        <v/>
      </c>
      <c r="AF422" s="175" t="str">
        <f ca="1">IFERROR(__xludf.DUMMYFUNCTION("QUERY('Volunteer Survey'!G421)"),"")</f>
        <v/>
      </c>
      <c r="AG422" s="175" t="str">
        <f ca="1">IFERROR(__xludf.DUMMYFUNCTION("QUERY('Volunteer Survey'!H421)"),"")</f>
        <v/>
      </c>
      <c r="AH422" s="175" t="str">
        <f ca="1">IFERROR(__xludf.DUMMYFUNCTION("QUERY('Volunteer Survey'!I421)"),"")</f>
        <v/>
      </c>
      <c r="AI422" s="175" t="str">
        <f ca="1">IFERROR(__xludf.DUMMYFUNCTION("QUERY('Volunteer Survey'!J421)"),"")</f>
        <v/>
      </c>
      <c r="AJ422" s="175" t="str">
        <f ca="1">IFERROR(__xludf.DUMMYFUNCTION("QUERY('Volunteer Survey'!K421)"),"")</f>
        <v/>
      </c>
      <c r="AK422" s="175" t="str">
        <f ca="1">IFERROR(__xludf.DUMMYFUNCTION("QUERY('Volunteer Survey'!L421)"),"")</f>
        <v/>
      </c>
      <c r="AL422" s="175" t="str">
        <f ca="1">IFERROR(__xludf.DUMMYFUNCTION("QUERY('Volunteer Survey'!M421)"),"")</f>
        <v/>
      </c>
      <c r="AM422" s="175" t="str">
        <f ca="1">IFERROR(__xludf.DUMMYFUNCTION("QUERY('Volunteer Survey'!N421)"),"")</f>
        <v/>
      </c>
      <c r="AN422" s="175" t="str">
        <f ca="1">IFERROR(__xludf.DUMMYFUNCTION("QUERY('Volunteer Survey'!O421)"),"")</f>
        <v/>
      </c>
      <c r="AO422" s="175" t="str">
        <f ca="1">IFERROR(__xludf.DUMMYFUNCTION("QUERY('Volunteer Survey'!P421)"),"")</f>
        <v/>
      </c>
    </row>
    <row r="423" spans="1:41" ht="14">
      <c r="A423" s="49" t="str">
        <f ca="1">IFERROR(__xludf.DUMMYFUNCTION("QUERY('Volunteer Survey'!A817)"),"")</f>
        <v/>
      </c>
      <c r="B423" s="42" t="s">
        <v>322</v>
      </c>
      <c r="C423" s="47"/>
      <c r="D423" s="49"/>
      <c r="E423" s="49"/>
      <c r="F423" s="49" t="b">
        <v>0</v>
      </c>
      <c r="G423" s="49"/>
      <c r="H423" s="47"/>
      <c r="I423" s="47"/>
      <c r="J423" s="49"/>
      <c r="K423" s="49"/>
      <c r="L423" s="49" t="str">
        <f ca="1">IFERROR(__xludf.DUMMYFUNCTION("QUERY('Volunteer Survey'!B817)"),"")</f>
        <v/>
      </c>
      <c r="M423" s="49" t="str">
        <f ca="1">IFERROR(__xludf.DUMMYFUNCTION("QUERY('Volunteer Survey'!E817)"),"")</f>
        <v/>
      </c>
      <c r="N423" s="49" t="str">
        <f ca="1">IFERROR(__xludf.DUMMYFUNCTION("QUERY('Volunteer Survey'!F817)"),"")</f>
        <v/>
      </c>
      <c r="O423" s="42" t="str">
        <f ca="1">IFERROR(__xludf.DUMMYFUNCTION("QUERY('Volunteer Survey'!H817)"),"")</f>
        <v/>
      </c>
      <c r="P423" s="49" t="str">
        <f ca="1">IFERROR(__xludf.DUMMYFUNCTION("QUERY('Volunteer Survey'!I817)"),"")</f>
        <v/>
      </c>
      <c r="Q423" s="54" t="str">
        <f ca="1">IFERROR(__xludf.DUMMYFUNCTION("QUERY('Volunteer Survey'!J817)"),"")</f>
        <v/>
      </c>
      <c r="R423" s="49" t="str">
        <f ca="1">IFERROR(__xludf.DUMMYFUNCTION("QUERY('Volunteer Survey'!K817)"),"")</f>
        <v/>
      </c>
      <c r="S423" s="49" t="str">
        <f ca="1">IFERROR(__xludf.DUMMYFUNCTION("QUERY('Volunteer Survey'!L817)"),"")</f>
        <v/>
      </c>
      <c r="T423" s="49" t="str">
        <f ca="1">IFERROR(__xludf.DUMMYFUNCTION("QUERY('Volunteer Survey'!M817)"),"")</f>
        <v/>
      </c>
      <c r="U423" s="58" t="str">
        <f ca="1">IFERROR(__xludf.DUMMYFUNCTION("QUERY('Volunteer Survey'!N817)"),"")</f>
        <v/>
      </c>
      <c r="V423" s="49" t="str">
        <f ca="1">IFERROR(__xludf.DUMMYFUNCTION("QUERY('Volunteer Survey'!O817)"),"")</f>
        <v/>
      </c>
      <c r="W423" s="60" t="str">
        <f ca="1">IFERROR(__xludf.DUMMYFUNCTION("QUERY('Volunteer Survey'!P817)"),"")</f>
        <v/>
      </c>
      <c r="X423" s="58" t="str">
        <f ca="1">IFERROR(__xludf.DUMMYFUNCTION("QUERY('Volunteer Survey'!R817)"),"")</f>
        <v/>
      </c>
      <c r="Y423" s="47"/>
      <c r="Z423" s="175" t="str">
        <f ca="1">IFERROR(__xludf.DUMMYFUNCTION("QUERY('Volunteer Survey'!A422)"),"")</f>
        <v/>
      </c>
      <c r="AA423" s="175" t="str">
        <f ca="1">IFERROR(__xludf.DUMMYFUNCTION("QUERY('Volunteer Survey'!B422)"),"")</f>
        <v/>
      </c>
      <c r="AB423" s="175" t="str">
        <f ca="1">IFERROR(__xludf.DUMMYFUNCTION("QUERY('Volunteer Survey'!C422)"),"")</f>
        <v/>
      </c>
      <c r="AC423" s="175" t="str">
        <f ca="1">IFERROR(__xludf.DUMMYFUNCTION("QUERY('Volunteer Survey'!D422)"),"")</f>
        <v/>
      </c>
      <c r="AD423" s="175" t="str">
        <f ca="1">IFERROR(__xludf.DUMMYFUNCTION("QUERY('Volunteer Survey'!E422)"),"")</f>
        <v/>
      </c>
      <c r="AE423" s="175" t="str">
        <f ca="1">IFERROR(__xludf.DUMMYFUNCTION("QUERY('Volunteer Survey'!F422)"),"")</f>
        <v/>
      </c>
      <c r="AF423" s="175" t="str">
        <f ca="1">IFERROR(__xludf.DUMMYFUNCTION("QUERY('Volunteer Survey'!G422)"),"")</f>
        <v/>
      </c>
      <c r="AG423" s="175" t="str">
        <f ca="1">IFERROR(__xludf.DUMMYFUNCTION("QUERY('Volunteer Survey'!H422)"),"")</f>
        <v/>
      </c>
      <c r="AH423" s="175" t="str">
        <f ca="1">IFERROR(__xludf.DUMMYFUNCTION("QUERY('Volunteer Survey'!I422)"),"")</f>
        <v/>
      </c>
      <c r="AI423" s="175" t="str">
        <f ca="1">IFERROR(__xludf.DUMMYFUNCTION("QUERY('Volunteer Survey'!J422)"),"")</f>
        <v/>
      </c>
      <c r="AJ423" s="175" t="str">
        <f ca="1">IFERROR(__xludf.DUMMYFUNCTION("QUERY('Volunteer Survey'!K422)"),"")</f>
        <v/>
      </c>
      <c r="AK423" s="175" t="str">
        <f ca="1">IFERROR(__xludf.DUMMYFUNCTION("QUERY('Volunteer Survey'!L422)"),"")</f>
        <v/>
      </c>
      <c r="AL423" s="175" t="str">
        <f ca="1">IFERROR(__xludf.DUMMYFUNCTION("QUERY('Volunteer Survey'!M422)"),"")</f>
        <v/>
      </c>
      <c r="AM423" s="175" t="str">
        <f ca="1">IFERROR(__xludf.DUMMYFUNCTION("QUERY('Volunteer Survey'!N422)"),"")</f>
        <v/>
      </c>
      <c r="AN423" s="175" t="str">
        <f ca="1">IFERROR(__xludf.DUMMYFUNCTION("QUERY('Volunteer Survey'!O422)"),"")</f>
        <v/>
      </c>
      <c r="AO423" s="175" t="str">
        <f ca="1">IFERROR(__xludf.DUMMYFUNCTION("QUERY('Volunteer Survey'!P422)"),"")</f>
        <v/>
      </c>
    </row>
    <row r="424" spans="1:41" ht="14">
      <c r="A424" s="49" t="str">
        <f ca="1">IFERROR(__xludf.DUMMYFUNCTION("QUERY('Volunteer Survey'!A818)"),"")</f>
        <v/>
      </c>
      <c r="B424" s="42" t="s">
        <v>322</v>
      </c>
      <c r="C424" s="47"/>
      <c r="D424" s="49"/>
      <c r="E424" s="49"/>
      <c r="F424" s="49" t="b">
        <v>0</v>
      </c>
      <c r="G424" s="49"/>
      <c r="H424" s="47"/>
      <c r="I424" s="47"/>
      <c r="J424" s="49"/>
      <c r="K424" s="49"/>
      <c r="L424" s="49" t="str">
        <f ca="1">IFERROR(__xludf.DUMMYFUNCTION("QUERY('Volunteer Survey'!B818)"),"")</f>
        <v/>
      </c>
      <c r="M424" s="49" t="str">
        <f ca="1">IFERROR(__xludf.DUMMYFUNCTION("QUERY('Volunteer Survey'!E818)"),"")</f>
        <v/>
      </c>
      <c r="N424" s="49" t="str">
        <f ca="1">IFERROR(__xludf.DUMMYFUNCTION("QUERY('Volunteer Survey'!F818)"),"")</f>
        <v/>
      </c>
      <c r="O424" s="42" t="str">
        <f ca="1">IFERROR(__xludf.DUMMYFUNCTION("QUERY('Volunteer Survey'!H818)"),"")</f>
        <v/>
      </c>
      <c r="P424" s="49" t="str">
        <f ca="1">IFERROR(__xludf.DUMMYFUNCTION("QUERY('Volunteer Survey'!I818)"),"")</f>
        <v/>
      </c>
      <c r="Q424" s="54" t="str">
        <f ca="1">IFERROR(__xludf.DUMMYFUNCTION("QUERY('Volunteer Survey'!J818)"),"")</f>
        <v/>
      </c>
      <c r="R424" s="49" t="str">
        <f ca="1">IFERROR(__xludf.DUMMYFUNCTION("QUERY('Volunteer Survey'!K818)"),"")</f>
        <v/>
      </c>
      <c r="S424" s="49" t="str">
        <f ca="1">IFERROR(__xludf.DUMMYFUNCTION("QUERY('Volunteer Survey'!L818)"),"")</f>
        <v/>
      </c>
      <c r="T424" s="49" t="str">
        <f ca="1">IFERROR(__xludf.DUMMYFUNCTION("QUERY('Volunteer Survey'!M818)"),"")</f>
        <v/>
      </c>
      <c r="U424" s="58" t="str">
        <f ca="1">IFERROR(__xludf.DUMMYFUNCTION("QUERY('Volunteer Survey'!N818)"),"")</f>
        <v/>
      </c>
      <c r="V424" s="49" t="str">
        <f ca="1">IFERROR(__xludf.DUMMYFUNCTION("QUERY('Volunteer Survey'!O818)"),"")</f>
        <v/>
      </c>
      <c r="W424" s="60" t="str">
        <f ca="1">IFERROR(__xludf.DUMMYFUNCTION("QUERY('Volunteer Survey'!P818)"),"")</f>
        <v/>
      </c>
      <c r="X424" s="58" t="str">
        <f ca="1">IFERROR(__xludf.DUMMYFUNCTION("QUERY('Volunteer Survey'!R818)"),"")</f>
        <v/>
      </c>
      <c r="Y424" s="47"/>
      <c r="Z424" s="175" t="str">
        <f ca="1">IFERROR(__xludf.DUMMYFUNCTION("QUERY('Volunteer Survey'!A423)"),"")</f>
        <v/>
      </c>
      <c r="AA424" s="175" t="str">
        <f ca="1">IFERROR(__xludf.DUMMYFUNCTION("QUERY('Volunteer Survey'!B423)"),"")</f>
        <v/>
      </c>
      <c r="AB424" s="175" t="str">
        <f ca="1">IFERROR(__xludf.DUMMYFUNCTION("QUERY('Volunteer Survey'!C423)"),"")</f>
        <v/>
      </c>
      <c r="AC424" s="175" t="str">
        <f ca="1">IFERROR(__xludf.DUMMYFUNCTION("QUERY('Volunteer Survey'!D423)"),"")</f>
        <v/>
      </c>
      <c r="AD424" s="175" t="str">
        <f ca="1">IFERROR(__xludf.DUMMYFUNCTION("QUERY('Volunteer Survey'!E423)"),"")</f>
        <v/>
      </c>
      <c r="AE424" s="175" t="str">
        <f ca="1">IFERROR(__xludf.DUMMYFUNCTION("QUERY('Volunteer Survey'!F423)"),"")</f>
        <v/>
      </c>
      <c r="AF424" s="175" t="str">
        <f ca="1">IFERROR(__xludf.DUMMYFUNCTION("QUERY('Volunteer Survey'!G423)"),"")</f>
        <v/>
      </c>
      <c r="AG424" s="175" t="str">
        <f ca="1">IFERROR(__xludf.DUMMYFUNCTION("QUERY('Volunteer Survey'!H423)"),"")</f>
        <v/>
      </c>
      <c r="AH424" s="175" t="str">
        <f ca="1">IFERROR(__xludf.DUMMYFUNCTION("QUERY('Volunteer Survey'!I423)"),"")</f>
        <v/>
      </c>
      <c r="AI424" s="175" t="str">
        <f ca="1">IFERROR(__xludf.DUMMYFUNCTION("QUERY('Volunteer Survey'!J423)"),"")</f>
        <v/>
      </c>
      <c r="AJ424" s="175" t="str">
        <f ca="1">IFERROR(__xludf.DUMMYFUNCTION("QUERY('Volunteer Survey'!K423)"),"")</f>
        <v/>
      </c>
      <c r="AK424" s="175" t="str">
        <f ca="1">IFERROR(__xludf.DUMMYFUNCTION("QUERY('Volunteer Survey'!L423)"),"")</f>
        <v/>
      </c>
      <c r="AL424" s="175" t="str">
        <f ca="1">IFERROR(__xludf.DUMMYFUNCTION("QUERY('Volunteer Survey'!M423)"),"")</f>
        <v/>
      </c>
      <c r="AM424" s="175" t="str">
        <f ca="1">IFERROR(__xludf.DUMMYFUNCTION("QUERY('Volunteer Survey'!N423)"),"")</f>
        <v/>
      </c>
      <c r="AN424" s="175" t="str">
        <f ca="1">IFERROR(__xludf.DUMMYFUNCTION("QUERY('Volunteer Survey'!O423)"),"")</f>
        <v/>
      </c>
      <c r="AO424" s="175" t="str">
        <f ca="1">IFERROR(__xludf.DUMMYFUNCTION("QUERY('Volunteer Survey'!P423)"),"")</f>
        <v/>
      </c>
    </row>
    <row r="425" spans="1:41" ht="14">
      <c r="A425" s="49" t="str">
        <f ca="1">IFERROR(__xludf.DUMMYFUNCTION("QUERY('Volunteer Survey'!A819)"),"")</f>
        <v/>
      </c>
      <c r="B425" s="42" t="s">
        <v>322</v>
      </c>
      <c r="C425" s="47"/>
      <c r="D425" s="49"/>
      <c r="E425" s="49"/>
      <c r="F425" s="49" t="b">
        <v>0</v>
      </c>
      <c r="G425" s="49"/>
      <c r="H425" s="47"/>
      <c r="I425" s="47"/>
      <c r="J425" s="49"/>
      <c r="K425" s="49"/>
      <c r="L425" s="49" t="str">
        <f ca="1">IFERROR(__xludf.DUMMYFUNCTION("QUERY('Volunteer Survey'!B819)"),"")</f>
        <v/>
      </c>
      <c r="M425" s="49" t="str">
        <f ca="1">IFERROR(__xludf.DUMMYFUNCTION("QUERY('Volunteer Survey'!E819)"),"")</f>
        <v/>
      </c>
      <c r="N425" s="49" t="str">
        <f ca="1">IFERROR(__xludf.DUMMYFUNCTION("QUERY('Volunteer Survey'!F819)"),"")</f>
        <v/>
      </c>
      <c r="O425" s="42" t="str">
        <f ca="1">IFERROR(__xludf.DUMMYFUNCTION("QUERY('Volunteer Survey'!H819)"),"")</f>
        <v/>
      </c>
      <c r="P425" s="49" t="str">
        <f ca="1">IFERROR(__xludf.DUMMYFUNCTION("QUERY('Volunteer Survey'!I819)"),"")</f>
        <v/>
      </c>
      <c r="Q425" s="54" t="str">
        <f ca="1">IFERROR(__xludf.DUMMYFUNCTION("QUERY('Volunteer Survey'!J819)"),"")</f>
        <v/>
      </c>
      <c r="R425" s="49" t="str">
        <f ca="1">IFERROR(__xludf.DUMMYFUNCTION("QUERY('Volunteer Survey'!K819)"),"")</f>
        <v/>
      </c>
      <c r="S425" s="49" t="str">
        <f ca="1">IFERROR(__xludf.DUMMYFUNCTION("QUERY('Volunteer Survey'!L819)"),"")</f>
        <v/>
      </c>
      <c r="T425" s="49" t="str">
        <f ca="1">IFERROR(__xludf.DUMMYFUNCTION("QUERY('Volunteer Survey'!M819)"),"")</f>
        <v/>
      </c>
      <c r="U425" s="58" t="str">
        <f ca="1">IFERROR(__xludf.DUMMYFUNCTION("QUERY('Volunteer Survey'!N819)"),"")</f>
        <v/>
      </c>
      <c r="V425" s="49" t="str">
        <f ca="1">IFERROR(__xludf.DUMMYFUNCTION("QUERY('Volunteer Survey'!O819)"),"")</f>
        <v/>
      </c>
      <c r="W425" s="60" t="str">
        <f ca="1">IFERROR(__xludf.DUMMYFUNCTION("QUERY('Volunteer Survey'!P819)"),"")</f>
        <v/>
      </c>
      <c r="X425" s="58" t="str">
        <f ca="1">IFERROR(__xludf.DUMMYFUNCTION("QUERY('Volunteer Survey'!R819)"),"")</f>
        <v/>
      </c>
      <c r="Y425" s="47"/>
      <c r="Z425" s="175" t="str">
        <f ca="1">IFERROR(__xludf.DUMMYFUNCTION("QUERY('Volunteer Survey'!A424)"),"")</f>
        <v/>
      </c>
      <c r="AA425" s="175" t="str">
        <f ca="1">IFERROR(__xludf.DUMMYFUNCTION("QUERY('Volunteer Survey'!B424)"),"")</f>
        <v/>
      </c>
      <c r="AB425" s="175" t="str">
        <f ca="1">IFERROR(__xludf.DUMMYFUNCTION("QUERY('Volunteer Survey'!C424)"),"")</f>
        <v/>
      </c>
      <c r="AC425" s="175" t="str">
        <f ca="1">IFERROR(__xludf.DUMMYFUNCTION("QUERY('Volunteer Survey'!D424)"),"")</f>
        <v/>
      </c>
      <c r="AD425" s="175" t="str">
        <f ca="1">IFERROR(__xludf.DUMMYFUNCTION("QUERY('Volunteer Survey'!E424)"),"")</f>
        <v/>
      </c>
      <c r="AE425" s="175" t="str">
        <f ca="1">IFERROR(__xludf.DUMMYFUNCTION("QUERY('Volunteer Survey'!F424)"),"")</f>
        <v/>
      </c>
      <c r="AF425" s="175" t="str">
        <f ca="1">IFERROR(__xludf.DUMMYFUNCTION("QUERY('Volunteer Survey'!G424)"),"")</f>
        <v/>
      </c>
      <c r="AG425" s="175" t="str">
        <f ca="1">IFERROR(__xludf.DUMMYFUNCTION("QUERY('Volunteer Survey'!H424)"),"")</f>
        <v/>
      </c>
      <c r="AH425" s="175" t="str">
        <f ca="1">IFERROR(__xludf.DUMMYFUNCTION("QUERY('Volunteer Survey'!I424)"),"")</f>
        <v/>
      </c>
      <c r="AI425" s="175" t="str">
        <f ca="1">IFERROR(__xludf.DUMMYFUNCTION("QUERY('Volunteer Survey'!J424)"),"")</f>
        <v/>
      </c>
      <c r="AJ425" s="175" t="str">
        <f ca="1">IFERROR(__xludf.DUMMYFUNCTION("QUERY('Volunteer Survey'!K424)"),"")</f>
        <v/>
      </c>
      <c r="AK425" s="175" t="str">
        <f ca="1">IFERROR(__xludf.DUMMYFUNCTION("QUERY('Volunteer Survey'!L424)"),"")</f>
        <v/>
      </c>
      <c r="AL425" s="175" t="str">
        <f ca="1">IFERROR(__xludf.DUMMYFUNCTION("QUERY('Volunteer Survey'!M424)"),"")</f>
        <v/>
      </c>
      <c r="AM425" s="175" t="str">
        <f ca="1">IFERROR(__xludf.DUMMYFUNCTION("QUERY('Volunteer Survey'!N424)"),"")</f>
        <v/>
      </c>
      <c r="AN425" s="175" t="str">
        <f ca="1">IFERROR(__xludf.DUMMYFUNCTION("QUERY('Volunteer Survey'!O424)"),"")</f>
        <v/>
      </c>
      <c r="AO425" s="175" t="str">
        <f ca="1">IFERROR(__xludf.DUMMYFUNCTION("QUERY('Volunteer Survey'!P424)"),"")</f>
        <v/>
      </c>
    </row>
    <row r="426" spans="1:41" ht="14">
      <c r="A426" s="49" t="str">
        <f ca="1">IFERROR(__xludf.DUMMYFUNCTION("QUERY('Volunteer Survey'!A820)"),"")</f>
        <v/>
      </c>
      <c r="B426" s="42" t="s">
        <v>322</v>
      </c>
      <c r="C426" s="47"/>
      <c r="D426" s="49"/>
      <c r="E426" s="49"/>
      <c r="F426" s="49" t="b">
        <v>0</v>
      </c>
      <c r="G426" s="49"/>
      <c r="H426" s="47"/>
      <c r="I426" s="47"/>
      <c r="J426" s="49"/>
      <c r="K426" s="49"/>
      <c r="L426" s="49" t="str">
        <f ca="1">IFERROR(__xludf.DUMMYFUNCTION("QUERY('Volunteer Survey'!B820)"),"")</f>
        <v/>
      </c>
      <c r="M426" s="49" t="str">
        <f ca="1">IFERROR(__xludf.DUMMYFUNCTION("QUERY('Volunteer Survey'!E820)"),"")</f>
        <v/>
      </c>
      <c r="N426" s="49" t="str">
        <f ca="1">IFERROR(__xludf.DUMMYFUNCTION("QUERY('Volunteer Survey'!F820)"),"")</f>
        <v/>
      </c>
      <c r="O426" s="42" t="str">
        <f ca="1">IFERROR(__xludf.DUMMYFUNCTION("QUERY('Volunteer Survey'!H820)"),"")</f>
        <v/>
      </c>
      <c r="P426" s="49" t="str">
        <f ca="1">IFERROR(__xludf.DUMMYFUNCTION("QUERY('Volunteer Survey'!I820)"),"")</f>
        <v/>
      </c>
      <c r="Q426" s="54" t="str">
        <f ca="1">IFERROR(__xludf.DUMMYFUNCTION("QUERY('Volunteer Survey'!J820)"),"")</f>
        <v/>
      </c>
      <c r="R426" s="49" t="str">
        <f ca="1">IFERROR(__xludf.DUMMYFUNCTION("QUERY('Volunteer Survey'!K820)"),"")</f>
        <v/>
      </c>
      <c r="S426" s="49" t="str">
        <f ca="1">IFERROR(__xludf.DUMMYFUNCTION("QUERY('Volunteer Survey'!L820)"),"")</f>
        <v/>
      </c>
      <c r="T426" s="49" t="str">
        <f ca="1">IFERROR(__xludf.DUMMYFUNCTION("QUERY('Volunteer Survey'!M820)"),"")</f>
        <v/>
      </c>
      <c r="U426" s="58" t="str">
        <f ca="1">IFERROR(__xludf.DUMMYFUNCTION("QUERY('Volunteer Survey'!N820)"),"")</f>
        <v/>
      </c>
      <c r="V426" s="49" t="str">
        <f ca="1">IFERROR(__xludf.DUMMYFUNCTION("QUERY('Volunteer Survey'!O820)"),"")</f>
        <v/>
      </c>
      <c r="W426" s="60" t="str">
        <f ca="1">IFERROR(__xludf.DUMMYFUNCTION("QUERY('Volunteer Survey'!P820)"),"")</f>
        <v/>
      </c>
      <c r="X426" s="58" t="str">
        <f ca="1">IFERROR(__xludf.DUMMYFUNCTION("QUERY('Volunteer Survey'!R820)"),"")</f>
        <v/>
      </c>
      <c r="Y426" s="47"/>
      <c r="Z426" s="175" t="str">
        <f ca="1">IFERROR(__xludf.DUMMYFUNCTION("QUERY('Volunteer Survey'!A425)"),"")</f>
        <v/>
      </c>
      <c r="AA426" s="175" t="str">
        <f ca="1">IFERROR(__xludf.DUMMYFUNCTION("QUERY('Volunteer Survey'!B425)"),"")</f>
        <v/>
      </c>
      <c r="AB426" s="175" t="str">
        <f ca="1">IFERROR(__xludf.DUMMYFUNCTION("QUERY('Volunteer Survey'!C425)"),"")</f>
        <v/>
      </c>
      <c r="AC426" s="175" t="str">
        <f ca="1">IFERROR(__xludf.DUMMYFUNCTION("QUERY('Volunteer Survey'!D425)"),"")</f>
        <v/>
      </c>
      <c r="AD426" s="175" t="str">
        <f ca="1">IFERROR(__xludf.DUMMYFUNCTION("QUERY('Volunteer Survey'!E425)"),"")</f>
        <v/>
      </c>
      <c r="AE426" s="175" t="str">
        <f ca="1">IFERROR(__xludf.DUMMYFUNCTION("QUERY('Volunteer Survey'!F425)"),"")</f>
        <v/>
      </c>
      <c r="AF426" s="175" t="str">
        <f ca="1">IFERROR(__xludf.DUMMYFUNCTION("QUERY('Volunteer Survey'!G425)"),"")</f>
        <v/>
      </c>
      <c r="AG426" s="175" t="str">
        <f ca="1">IFERROR(__xludf.DUMMYFUNCTION("QUERY('Volunteer Survey'!H425)"),"")</f>
        <v/>
      </c>
      <c r="AH426" s="175" t="str">
        <f ca="1">IFERROR(__xludf.DUMMYFUNCTION("QUERY('Volunteer Survey'!I425)"),"")</f>
        <v/>
      </c>
      <c r="AI426" s="175" t="str">
        <f ca="1">IFERROR(__xludf.DUMMYFUNCTION("QUERY('Volunteer Survey'!J425)"),"")</f>
        <v/>
      </c>
      <c r="AJ426" s="175" t="str">
        <f ca="1">IFERROR(__xludf.DUMMYFUNCTION("QUERY('Volunteer Survey'!K425)"),"")</f>
        <v/>
      </c>
      <c r="AK426" s="175" t="str">
        <f ca="1">IFERROR(__xludf.DUMMYFUNCTION("QUERY('Volunteer Survey'!L425)"),"")</f>
        <v/>
      </c>
      <c r="AL426" s="175" t="str">
        <f ca="1">IFERROR(__xludf.DUMMYFUNCTION("QUERY('Volunteer Survey'!M425)"),"")</f>
        <v/>
      </c>
      <c r="AM426" s="175" t="str">
        <f ca="1">IFERROR(__xludf.DUMMYFUNCTION("QUERY('Volunteer Survey'!N425)"),"")</f>
        <v/>
      </c>
      <c r="AN426" s="175" t="str">
        <f ca="1">IFERROR(__xludf.DUMMYFUNCTION("QUERY('Volunteer Survey'!O425)"),"")</f>
        <v/>
      </c>
      <c r="AO426" s="175" t="str">
        <f ca="1">IFERROR(__xludf.DUMMYFUNCTION("QUERY('Volunteer Survey'!P425)"),"")</f>
        <v/>
      </c>
    </row>
    <row r="427" spans="1:41" ht="14">
      <c r="A427" s="49" t="str">
        <f ca="1">IFERROR(__xludf.DUMMYFUNCTION("QUERY('Volunteer Survey'!A821)"),"")</f>
        <v/>
      </c>
      <c r="B427" s="42" t="s">
        <v>322</v>
      </c>
      <c r="C427" s="47"/>
      <c r="D427" s="49"/>
      <c r="E427" s="49"/>
      <c r="F427" s="49" t="b">
        <v>0</v>
      </c>
      <c r="G427" s="49"/>
      <c r="H427" s="47"/>
      <c r="I427" s="47"/>
      <c r="J427" s="49"/>
      <c r="K427" s="49"/>
      <c r="L427" s="49" t="str">
        <f ca="1">IFERROR(__xludf.DUMMYFUNCTION("QUERY('Volunteer Survey'!B821)"),"")</f>
        <v/>
      </c>
      <c r="M427" s="49" t="str">
        <f ca="1">IFERROR(__xludf.DUMMYFUNCTION("QUERY('Volunteer Survey'!E821)"),"")</f>
        <v/>
      </c>
      <c r="N427" s="49" t="str">
        <f ca="1">IFERROR(__xludf.DUMMYFUNCTION("QUERY('Volunteer Survey'!F821)"),"")</f>
        <v/>
      </c>
      <c r="O427" s="42" t="str">
        <f ca="1">IFERROR(__xludf.DUMMYFUNCTION("QUERY('Volunteer Survey'!H821)"),"")</f>
        <v/>
      </c>
      <c r="P427" s="49" t="str">
        <f ca="1">IFERROR(__xludf.DUMMYFUNCTION("QUERY('Volunteer Survey'!I821)"),"")</f>
        <v/>
      </c>
      <c r="Q427" s="54" t="str">
        <f ca="1">IFERROR(__xludf.DUMMYFUNCTION("QUERY('Volunteer Survey'!J821)"),"")</f>
        <v/>
      </c>
      <c r="R427" s="49" t="str">
        <f ca="1">IFERROR(__xludf.DUMMYFUNCTION("QUERY('Volunteer Survey'!K821)"),"")</f>
        <v/>
      </c>
      <c r="S427" s="49" t="str">
        <f ca="1">IFERROR(__xludf.DUMMYFUNCTION("QUERY('Volunteer Survey'!L821)"),"")</f>
        <v/>
      </c>
      <c r="T427" s="49" t="str">
        <f ca="1">IFERROR(__xludf.DUMMYFUNCTION("QUERY('Volunteer Survey'!M821)"),"")</f>
        <v/>
      </c>
      <c r="U427" s="58" t="str">
        <f ca="1">IFERROR(__xludf.DUMMYFUNCTION("QUERY('Volunteer Survey'!N821)"),"")</f>
        <v/>
      </c>
      <c r="V427" s="49" t="str">
        <f ca="1">IFERROR(__xludf.DUMMYFUNCTION("QUERY('Volunteer Survey'!O821)"),"")</f>
        <v/>
      </c>
      <c r="W427" s="60" t="str">
        <f ca="1">IFERROR(__xludf.DUMMYFUNCTION("QUERY('Volunteer Survey'!P821)"),"")</f>
        <v/>
      </c>
      <c r="X427" s="58" t="str">
        <f ca="1">IFERROR(__xludf.DUMMYFUNCTION("QUERY('Volunteer Survey'!R821)"),"")</f>
        <v/>
      </c>
      <c r="Y427" s="47"/>
      <c r="Z427" s="175" t="str">
        <f ca="1">IFERROR(__xludf.DUMMYFUNCTION("QUERY('Volunteer Survey'!A426)"),"")</f>
        <v/>
      </c>
      <c r="AA427" s="175" t="str">
        <f ca="1">IFERROR(__xludf.DUMMYFUNCTION("QUERY('Volunteer Survey'!B426)"),"")</f>
        <v/>
      </c>
      <c r="AB427" s="175" t="str">
        <f ca="1">IFERROR(__xludf.DUMMYFUNCTION("QUERY('Volunteer Survey'!C426)"),"")</f>
        <v/>
      </c>
      <c r="AC427" s="175" t="str">
        <f ca="1">IFERROR(__xludf.DUMMYFUNCTION("QUERY('Volunteer Survey'!D426)"),"")</f>
        <v/>
      </c>
      <c r="AD427" s="175" t="str">
        <f ca="1">IFERROR(__xludf.DUMMYFUNCTION("QUERY('Volunteer Survey'!E426)"),"")</f>
        <v/>
      </c>
      <c r="AE427" s="175" t="str">
        <f ca="1">IFERROR(__xludf.DUMMYFUNCTION("QUERY('Volunteer Survey'!F426)"),"")</f>
        <v/>
      </c>
      <c r="AF427" s="175" t="str">
        <f ca="1">IFERROR(__xludf.DUMMYFUNCTION("QUERY('Volunteer Survey'!G426)"),"")</f>
        <v/>
      </c>
      <c r="AG427" s="175" t="str">
        <f ca="1">IFERROR(__xludf.DUMMYFUNCTION("QUERY('Volunteer Survey'!H426)"),"")</f>
        <v/>
      </c>
      <c r="AH427" s="175" t="str">
        <f ca="1">IFERROR(__xludf.DUMMYFUNCTION("QUERY('Volunteer Survey'!I426)"),"")</f>
        <v/>
      </c>
      <c r="AI427" s="175" t="str">
        <f ca="1">IFERROR(__xludf.DUMMYFUNCTION("QUERY('Volunteer Survey'!J426)"),"")</f>
        <v/>
      </c>
      <c r="AJ427" s="175" t="str">
        <f ca="1">IFERROR(__xludf.DUMMYFUNCTION("QUERY('Volunteer Survey'!K426)"),"")</f>
        <v/>
      </c>
      <c r="AK427" s="175" t="str">
        <f ca="1">IFERROR(__xludf.DUMMYFUNCTION("QUERY('Volunteer Survey'!L426)"),"")</f>
        <v/>
      </c>
      <c r="AL427" s="175" t="str">
        <f ca="1">IFERROR(__xludf.DUMMYFUNCTION("QUERY('Volunteer Survey'!M426)"),"")</f>
        <v/>
      </c>
      <c r="AM427" s="175" t="str">
        <f ca="1">IFERROR(__xludf.DUMMYFUNCTION("QUERY('Volunteer Survey'!N426)"),"")</f>
        <v/>
      </c>
      <c r="AN427" s="175" t="str">
        <f ca="1">IFERROR(__xludf.DUMMYFUNCTION("QUERY('Volunteer Survey'!O426)"),"")</f>
        <v/>
      </c>
      <c r="AO427" s="175" t="str">
        <f ca="1">IFERROR(__xludf.DUMMYFUNCTION("QUERY('Volunteer Survey'!P426)"),"")</f>
        <v/>
      </c>
    </row>
    <row r="428" spans="1:41" ht="14">
      <c r="A428" s="49" t="str">
        <f ca="1">IFERROR(__xludf.DUMMYFUNCTION("QUERY('Volunteer Survey'!A822)"),"")</f>
        <v/>
      </c>
      <c r="B428" s="42" t="s">
        <v>322</v>
      </c>
      <c r="C428" s="47"/>
      <c r="D428" s="49"/>
      <c r="E428" s="49"/>
      <c r="F428" s="49" t="b">
        <v>0</v>
      </c>
      <c r="G428" s="49"/>
      <c r="H428" s="47"/>
      <c r="I428" s="47"/>
      <c r="J428" s="49"/>
      <c r="K428" s="49"/>
      <c r="L428" s="49" t="str">
        <f ca="1">IFERROR(__xludf.DUMMYFUNCTION("QUERY('Volunteer Survey'!B822)"),"")</f>
        <v/>
      </c>
      <c r="M428" s="49" t="str">
        <f ca="1">IFERROR(__xludf.DUMMYFUNCTION("QUERY('Volunteer Survey'!E822)"),"")</f>
        <v/>
      </c>
      <c r="N428" s="49" t="str">
        <f ca="1">IFERROR(__xludf.DUMMYFUNCTION("QUERY('Volunteer Survey'!F822)"),"")</f>
        <v/>
      </c>
      <c r="O428" s="42" t="str">
        <f ca="1">IFERROR(__xludf.DUMMYFUNCTION("QUERY('Volunteer Survey'!H822)"),"")</f>
        <v/>
      </c>
      <c r="P428" s="49" t="str">
        <f ca="1">IFERROR(__xludf.DUMMYFUNCTION("QUERY('Volunteer Survey'!I822)"),"")</f>
        <v/>
      </c>
      <c r="Q428" s="54" t="str">
        <f ca="1">IFERROR(__xludf.DUMMYFUNCTION("QUERY('Volunteer Survey'!J822)"),"")</f>
        <v/>
      </c>
      <c r="R428" s="49" t="str">
        <f ca="1">IFERROR(__xludf.DUMMYFUNCTION("QUERY('Volunteer Survey'!K822)"),"")</f>
        <v/>
      </c>
      <c r="S428" s="49" t="str">
        <f ca="1">IFERROR(__xludf.DUMMYFUNCTION("QUERY('Volunteer Survey'!L822)"),"")</f>
        <v/>
      </c>
      <c r="T428" s="49" t="str">
        <f ca="1">IFERROR(__xludf.DUMMYFUNCTION("QUERY('Volunteer Survey'!M822)"),"")</f>
        <v/>
      </c>
      <c r="U428" s="58" t="str">
        <f ca="1">IFERROR(__xludf.DUMMYFUNCTION("QUERY('Volunteer Survey'!N822)"),"")</f>
        <v/>
      </c>
      <c r="V428" s="49" t="str">
        <f ca="1">IFERROR(__xludf.DUMMYFUNCTION("QUERY('Volunteer Survey'!O822)"),"")</f>
        <v/>
      </c>
      <c r="W428" s="60" t="str">
        <f ca="1">IFERROR(__xludf.DUMMYFUNCTION("QUERY('Volunteer Survey'!P822)"),"")</f>
        <v/>
      </c>
      <c r="X428" s="58" t="str">
        <f ca="1">IFERROR(__xludf.DUMMYFUNCTION("QUERY('Volunteer Survey'!R822)"),"")</f>
        <v/>
      </c>
      <c r="Y428" s="47"/>
      <c r="Z428" s="175" t="str">
        <f ca="1">IFERROR(__xludf.DUMMYFUNCTION("QUERY('Volunteer Survey'!A427)"),"")</f>
        <v/>
      </c>
      <c r="AA428" s="175" t="str">
        <f ca="1">IFERROR(__xludf.DUMMYFUNCTION("QUERY('Volunteer Survey'!B427)"),"")</f>
        <v/>
      </c>
      <c r="AB428" s="175" t="str">
        <f ca="1">IFERROR(__xludf.DUMMYFUNCTION("QUERY('Volunteer Survey'!C427)"),"")</f>
        <v/>
      </c>
      <c r="AC428" s="175" t="str">
        <f ca="1">IFERROR(__xludf.DUMMYFUNCTION("QUERY('Volunteer Survey'!D427)"),"")</f>
        <v/>
      </c>
      <c r="AD428" s="175" t="str">
        <f ca="1">IFERROR(__xludf.DUMMYFUNCTION("QUERY('Volunteer Survey'!E427)"),"")</f>
        <v/>
      </c>
      <c r="AE428" s="175" t="str">
        <f ca="1">IFERROR(__xludf.DUMMYFUNCTION("QUERY('Volunteer Survey'!F427)"),"")</f>
        <v/>
      </c>
      <c r="AF428" s="175" t="str">
        <f ca="1">IFERROR(__xludf.DUMMYFUNCTION("QUERY('Volunteer Survey'!G427)"),"")</f>
        <v/>
      </c>
      <c r="AG428" s="175" t="str">
        <f ca="1">IFERROR(__xludf.DUMMYFUNCTION("QUERY('Volunteer Survey'!H427)"),"")</f>
        <v/>
      </c>
      <c r="AH428" s="175" t="str">
        <f ca="1">IFERROR(__xludf.DUMMYFUNCTION("QUERY('Volunteer Survey'!I427)"),"")</f>
        <v/>
      </c>
      <c r="AI428" s="175" t="str">
        <f ca="1">IFERROR(__xludf.DUMMYFUNCTION("QUERY('Volunteer Survey'!J427)"),"")</f>
        <v/>
      </c>
      <c r="AJ428" s="175" t="str">
        <f ca="1">IFERROR(__xludf.DUMMYFUNCTION("QUERY('Volunteer Survey'!K427)"),"")</f>
        <v/>
      </c>
      <c r="AK428" s="175" t="str">
        <f ca="1">IFERROR(__xludf.DUMMYFUNCTION("QUERY('Volunteer Survey'!L427)"),"")</f>
        <v/>
      </c>
      <c r="AL428" s="175" t="str">
        <f ca="1">IFERROR(__xludf.DUMMYFUNCTION("QUERY('Volunteer Survey'!M427)"),"")</f>
        <v/>
      </c>
      <c r="AM428" s="175" t="str">
        <f ca="1">IFERROR(__xludf.DUMMYFUNCTION("QUERY('Volunteer Survey'!N427)"),"")</f>
        <v/>
      </c>
      <c r="AN428" s="175" t="str">
        <f ca="1">IFERROR(__xludf.DUMMYFUNCTION("QUERY('Volunteer Survey'!O427)"),"")</f>
        <v/>
      </c>
      <c r="AO428" s="175" t="str">
        <f ca="1">IFERROR(__xludf.DUMMYFUNCTION("QUERY('Volunteer Survey'!P427)"),"")</f>
        <v/>
      </c>
    </row>
    <row r="429" spans="1:41" ht="14">
      <c r="A429" s="49" t="str">
        <f ca="1">IFERROR(__xludf.DUMMYFUNCTION("QUERY('Volunteer Survey'!A823)"),"")</f>
        <v/>
      </c>
      <c r="B429" s="42" t="s">
        <v>322</v>
      </c>
      <c r="C429" s="47"/>
      <c r="D429" s="49"/>
      <c r="E429" s="49"/>
      <c r="F429" s="49" t="b">
        <v>0</v>
      </c>
      <c r="G429" s="49"/>
      <c r="H429" s="47"/>
      <c r="I429" s="47"/>
      <c r="J429" s="49"/>
      <c r="K429" s="49"/>
      <c r="L429" s="49" t="str">
        <f ca="1">IFERROR(__xludf.DUMMYFUNCTION("QUERY('Volunteer Survey'!B823)"),"")</f>
        <v/>
      </c>
      <c r="M429" s="49" t="str">
        <f ca="1">IFERROR(__xludf.DUMMYFUNCTION("QUERY('Volunteer Survey'!E823)"),"")</f>
        <v/>
      </c>
      <c r="N429" s="49" t="str">
        <f ca="1">IFERROR(__xludf.DUMMYFUNCTION("QUERY('Volunteer Survey'!F823)"),"")</f>
        <v/>
      </c>
      <c r="O429" s="42" t="str">
        <f ca="1">IFERROR(__xludf.DUMMYFUNCTION("QUERY('Volunteer Survey'!H823)"),"")</f>
        <v/>
      </c>
      <c r="P429" s="49" t="str">
        <f ca="1">IFERROR(__xludf.DUMMYFUNCTION("QUERY('Volunteer Survey'!I823)"),"")</f>
        <v/>
      </c>
      <c r="Q429" s="54" t="str">
        <f ca="1">IFERROR(__xludf.DUMMYFUNCTION("QUERY('Volunteer Survey'!J823)"),"")</f>
        <v/>
      </c>
      <c r="R429" s="49" t="str">
        <f ca="1">IFERROR(__xludf.DUMMYFUNCTION("QUERY('Volunteer Survey'!K823)"),"")</f>
        <v/>
      </c>
      <c r="S429" s="49" t="str">
        <f ca="1">IFERROR(__xludf.DUMMYFUNCTION("QUERY('Volunteer Survey'!L823)"),"")</f>
        <v/>
      </c>
      <c r="T429" s="49" t="str">
        <f ca="1">IFERROR(__xludf.DUMMYFUNCTION("QUERY('Volunteer Survey'!M823)"),"")</f>
        <v/>
      </c>
      <c r="U429" s="58" t="str">
        <f ca="1">IFERROR(__xludf.DUMMYFUNCTION("QUERY('Volunteer Survey'!N823)"),"")</f>
        <v/>
      </c>
      <c r="V429" s="49" t="str">
        <f ca="1">IFERROR(__xludf.DUMMYFUNCTION("QUERY('Volunteer Survey'!O823)"),"")</f>
        <v/>
      </c>
      <c r="W429" s="60" t="str">
        <f ca="1">IFERROR(__xludf.DUMMYFUNCTION("QUERY('Volunteer Survey'!P823)"),"")</f>
        <v/>
      </c>
      <c r="X429" s="58" t="str">
        <f ca="1">IFERROR(__xludf.DUMMYFUNCTION("QUERY('Volunteer Survey'!R823)"),"")</f>
        <v/>
      </c>
      <c r="Y429" s="47"/>
      <c r="Z429" s="175" t="str">
        <f ca="1">IFERROR(__xludf.DUMMYFUNCTION("QUERY('Volunteer Survey'!A428)"),"")</f>
        <v/>
      </c>
      <c r="AA429" s="175" t="str">
        <f ca="1">IFERROR(__xludf.DUMMYFUNCTION("QUERY('Volunteer Survey'!B428)"),"")</f>
        <v/>
      </c>
      <c r="AB429" s="175" t="str">
        <f ca="1">IFERROR(__xludf.DUMMYFUNCTION("QUERY('Volunteer Survey'!C428)"),"")</f>
        <v/>
      </c>
      <c r="AC429" s="175" t="str">
        <f ca="1">IFERROR(__xludf.DUMMYFUNCTION("QUERY('Volunteer Survey'!D428)"),"")</f>
        <v/>
      </c>
      <c r="AD429" s="175" t="str">
        <f ca="1">IFERROR(__xludf.DUMMYFUNCTION("QUERY('Volunteer Survey'!E428)"),"")</f>
        <v/>
      </c>
      <c r="AE429" s="175" t="str">
        <f ca="1">IFERROR(__xludf.DUMMYFUNCTION("QUERY('Volunteer Survey'!F428)"),"")</f>
        <v/>
      </c>
      <c r="AF429" s="175" t="str">
        <f ca="1">IFERROR(__xludf.DUMMYFUNCTION("QUERY('Volunteer Survey'!G428)"),"")</f>
        <v/>
      </c>
      <c r="AG429" s="175" t="str">
        <f ca="1">IFERROR(__xludf.DUMMYFUNCTION("QUERY('Volunteer Survey'!H428)"),"")</f>
        <v/>
      </c>
      <c r="AH429" s="175" t="str">
        <f ca="1">IFERROR(__xludf.DUMMYFUNCTION("QUERY('Volunteer Survey'!I428)"),"")</f>
        <v/>
      </c>
      <c r="AI429" s="175" t="str">
        <f ca="1">IFERROR(__xludf.DUMMYFUNCTION("QUERY('Volunteer Survey'!J428)"),"")</f>
        <v/>
      </c>
      <c r="AJ429" s="175" t="str">
        <f ca="1">IFERROR(__xludf.DUMMYFUNCTION("QUERY('Volunteer Survey'!K428)"),"")</f>
        <v/>
      </c>
      <c r="AK429" s="175" t="str">
        <f ca="1">IFERROR(__xludf.DUMMYFUNCTION("QUERY('Volunteer Survey'!L428)"),"")</f>
        <v/>
      </c>
      <c r="AL429" s="175" t="str">
        <f ca="1">IFERROR(__xludf.DUMMYFUNCTION("QUERY('Volunteer Survey'!M428)"),"")</f>
        <v/>
      </c>
      <c r="AM429" s="175" t="str">
        <f ca="1">IFERROR(__xludf.DUMMYFUNCTION("QUERY('Volunteer Survey'!N428)"),"")</f>
        <v/>
      </c>
      <c r="AN429" s="175" t="str">
        <f ca="1">IFERROR(__xludf.DUMMYFUNCTION("QUERY('Volunteer Survey'!O428)"),"")</f>
        <v/>
      </c>
      <c r="AO429" s="175" t="str">
        <f ca="1">IFERROR(__xludf.DUMMYFUNCTION("QUERY('Volunteer Survey'!P428)"),"")</f>
        <v/>
      </c>
    </row>
    <row r="430" spans="1:41" ht="14">
      <c r="A430" s="49" t="str">
        <f ca="1">IFERROR(__xludf.DUMMYFUNCTION("QUERY('Volunteer Survey'!A824)"),"")</f>
        <v/>
      </c>
      <c r="B430" s="42" t="s">
        <v>322</v>
      </c>
      <c r="C430" s="47"/>
      <c r="D430" s="49"/>
      <c r="E430" s="49"/>
      <c r="F430" s="49" t="b">
        <v>0</v>
      </c>
      <c r="G430" s="49"/>
      <c r="H430" s="47"/>
      <c r="I430" s="47"/>
      <c r="J430" s="49"/>
      <c r="K430" s="49"/>
      <c r="L430" s="49" t="str">
        <f ca="1">IFERROR(__xludf.DUMMYFUNCTION("QUERY('Volunteer Survey'!B824)"),"")</f>
        <v/>
      </c>
      <c r="M430" s="49" t="str">
        <f ca="1">IFERROR(__xludf.DUMMYFUNCTION("QUERY('Volunteer Survey'!E824)"),"")</f>
        <v/>
      </c>
      <c r="N430" s="49" t="str">
        <f ca="1">IFERROR(__xludf.DUMMYFUNCTION("QUERY('Volunteer Survey'!F824)"),"")</f>
        <v/>
      </c>
      <c r="O430" s="42" t="str">
        <f ca="1">IFERROR(__xludf.DUMMYFUNCTION("QUERY('Volunteer Survey'!H824)"),"")</f>
        <v/>
      </c>
      <c r="P430" s="49" t="str">
        <f ca="1">IFERROR(__xludf.DUMMYFUNCTION("QUERY('Volunteer Survey'!I824)"),"")</f>
        <v/>
      </c>
      <c r="Q430" s="54" t="str">
        <f ca="1">IFERROR(__xludf.DUMMYFUNCTION("QUERY('Volunteer Survey'!J824)"),"")</f>
        <v/>
      </c>
      <c r="R430" s="49" t="str">
        <f ca="1">IFERROR(__xludf.DUMMYFUNCTION("QUERY('Volunteer Survey'!K824)"),"")</f>
        <v/>
      </c>
      <c r="S430" s="49" t="str">
        <f ca="1">IFERROR(__xludf.DUMMYFUNCTION("QUERY('Volunteer Survey'!L824)"),"")</f>
        <v/>
      </c>
      <c r="T430" s="49" t="str">
        <f ca="1">IFERROR(__xludf.DUMMYFUNCTION("QUERY('Volunteer Survey'!M824)"),"")</f>
        <v/>
      </c>
      <c r="U430" s="58" t="str">
        <f ca="1">IFERROR(__xludf.DUMMYFUNCTION("QUERY('Volunteer Survey'!N824)"),"")</f>
        <v/>
      </c>
      <c r="V430" s="49" t="str">
        <f ca="1">IFERROR(__xludf.DUMMYFUNCTION("QUERY('Volunteer Survey'!O824)"),"")</f>
        <v/>
      </c>
      <c r="W430" s="60" t="str">
        <f ca="1">IFERROR(__xludf.DUMMYFUNCTION("QUERY('Volunteer Survey'!P824)"),"")</f>
        <v/>
      </c>
      <c r="X430" s="58" t="str">
        <f ca="1">IFERROR(__xludf.DUMMYFUNCTION("QUERY('Volunteer Survey'!R824)"),"")</f>
        <v/>
      </c>
      <c r="Y430" s="47"/>
      <c r="Z430" s="175" t="str">
        <f ca="1">IFERROR(__xludf.DUMMYFUNCTION("QUERY('Volunteer Survey'!A429)"),"")</f>
        <v/>
      </c>
      <c r="AA430" s="175" t="str">
        <f ca="1">IFERROR(__xludf.DUMMYFUNCTION("QUERY('Volunteer Survey'!B429)"),"")</f>
        <v/>
      </c>
      <c r="AB430" s="175" t="str">
        <f ca="1">IFERROR(__xludf.DUMMYFUNCTION("QUERY('Volunteer Survey'!C429)"),"")</f>
        <v/>
      </c>
      <c r="AC430" s="175" t="str">
        <f ca="1">IFERROR(__xludf.DUMMYFUNCTION("QUERY('Volunteer Survey'!D429)"),"")</f>
        <v/>
      </c>
      <c r="AD430" s="175" t="str">
        <f ca="1">IFERROR(__xludf.DUMMYFUNCTION("QUERY('Volunteer Survey'!E429)"),"")</f>
        <v/>
      </c>
      <c r="AE430" s="175" t="str">
        <f ca="1">IFERROR(__xludf.DUMMYFUNCTION("QUERY('Volunteer Survey'!F429)"),"")</f>
        <v/>
      </c>
      <c r="AF430" s="175" t="str">
        <f ca="1">IFERROR(__xludf.DUMMYFUNCTION("QUERY('Volunteer Survey'!G429)"),"")</f>
        <v/>
      </c>
      <c r="AG430" s="175" t="str">
        <f ca="1">IFERROR(__xludf.DUMMYFUNCTION("QUERY('Volunteer Survey'!H429)"),"")</f>
        <v/>
      </c>
      <c r="AH430" s="175" t="str">
        <f ca="1">IFERROR(__xludf.DUMMYFUNCTION("QUERY('Volunteer Survey'!I429)"),"")</f>
        <v/>
      </c>
      <c r="AI430" s="175" t="str">
        <f ca="1">IFERROR(__xludf.DUMMYFUNCTION("QUERY('Volunteer Survey'!J429)"),"")</f>
        <v/>
      </c>
      <c r="AJ430" s="175" t="str">
        <f ca="1">IFERROR(__xludf.DUMMYFUNCTION("QUERY('Volunteer Survey'!K429)"),"")</f>
        <v/>
      </c>
      <c r="AK430" s="175" t="str">
        <f ca="1">IFERROR(__xludf.DUMMYFUNCTION("QUERY('Volunteer Survey'!L429)"),"")</f>
        <v/>
      </c>
      <c r="AL430" s="175" t="str">
        <f ca="1">IFERROR(__xludf.DUMMYFUNCTION("QUERY('Volunteer Survey'!M429)"),"")</f>
        <v/>
      </c>
      <c r="AM430" s="175" t="str">
        <f ca="1">IFERROR(__xludf.DUMMYFUNCTION("QUERY('Volunteer Survey'!N429)"),"")</f>
        <v/>
      </c>
      <c r="AN430" s="175" t="str">
        <f ca="1">IFERROR(__xludf.DUMMYFUNCTION("QUERY('Volunteer Survey'!O429)"),"")</f>
        <v/>
      </c>
      <c r="AO430" s="175" t="str">
        <f ca="1">IFERROR(__xludf.DUMMYFUNCTION("QUERY('Volunteer Survey'!P429)"),"")</f>
        <v/>
      </c>
    </row>
    <row r="431" spans="1:41" ht="14">
      <c r="A431" s="49" t="str">
        <f ca="1">IFERROR(__xludf.DUMMYFUNCTION("QUERY('Volunteer Survey'!A825)"),"")</f>
        <v/>
      </c>
      <c r="B431" s="42" t="s">
        <v>322</v>
      </c>
      <c r="C431" s="47"/>
      <c r="D431" s="49"/>
      <c r="E431" s="49"/>
      <c r="F431" s="49" t="b">
        <v>0</v>
      </c>
      <c r="G431" s="49"/>
      <c r="H431" s="47"/>
      <c r="I431" s="47"/>
      <c r="J431" s="49"/>
      <c r="K431" s="49"/>
      <c r="L431" s="49" t="str">
        <f ca="1">IFERROR(__xludf.DUMMYFUNCTION("QUERY('Volunteer Survey'!B825)"),"")</f>
        <v/>
      </c>
      <c r="M431" s="49" t="str">
        <f ca="1">IFERROR(__xludf.DUMMYFUNCTION("QUERY('Volunteer Survey'!E825)"),"")</f>
        <v/>
      </c>
      <c r="N431" s="49" t="str">
        <f ca="1">IFERROR(__xludf.DUMMYFUNCTION("QUERY('Volunteer Survey'!F825)"),"")</f>
        <v/>
      </c>
      <c r="O431" s="42" t="str">
        <f ca="1">IFERROR(__xludf.DUMMYFUNCTION("QUERY('Volunteer Survey'!H825)"),"")</f>
        <v/>
      </c>
      <c r="P431" s="49" t="str">
        <f ca="1">IFERROR(__xludf.DUMMYFUNCTION("QUERY('Volunteer Survey'!I825)"),"")</f>
        <v/>
      </c>
      <c r="Q431" s="54" t="str">
        <f ca="1">IFERROR(__xludf.DUMMYFUNCTION("QUERY('Volunteer Survey'!J825)"),"")</f>
        <v/>
      </c>
      <c r="R431" s="49" t="str">
        <f ca="1">IFERROR(__xludf.DUMMYFUNCTION("QUERY('Volunteer Survey'!K825)"),"")</f>
        <v/>
      </c>
      <c r="S431" s="49" t="str">
        <f ca="1">IFERROR(__xludf.DUMMYFUNCTION("QUERY('Volunteer Survey'!L825)"),"")</f>
        <v/>
      </c>
      <c r="T431" s="49" t="str">
        <f ca="1">IFERROR(__xludf.DUMMYFUNCTION("QUERY('Volunteer Survey'!M825)"),"")</f>
        <v/>
      </c>
      <c r="U431" s="58" t="str">
        <f ca="1">IFERROR(__xludf.DUMMYFUNCTION("QUERY('Volunteer Survey'!N825)"),"")</f>
        <v/>
      </c>
      <c r="V431" s="49" t="str">
        <f ca="1">IFERROR(__xludf.DUMMYFUNCTION("QUERY('Volunteer Survey'!O825)"),"")</f>
        <v/>
      </c>
      <c r="W431" s="60" t="str">
        <f ca="1">IFERROR(__xludf.DUMMYFUNCTION("QUERY('Volunteer Survey'!P825)"),"")</f>
        <v/>
      </c>
      <c r="X431" s="58" t="str">
        <f ca="1">IFERROR(__xludf.DUMMYFUNCTION("QUERY('Volunteer Survey'!R825)"),"")</f>
        <v/>
      </c>
      <c r="Y431" s="47"/>
      <c r="Z431" s="175" t="str">
        <f ca="1">IFERROR(__xludf.DUMMYFUNCTION("QUERY('Volunteer Survey'!A430)"),"")</f>
        <v/>
      </c>
      <c r="AA431" s="175" t="str">
        <f ca="1">IFERROR(__xludf.DUMMYFUNCTION("QUERY('Volunteer Survey'!B430)"),"")</f>
        <v/>
      </c>
      <c r="AB431" s="175" t="str">
        <f ca="1">IFERROR(__xludf.DUMMYFUNCTION("QUERY('Volunteer Survey'!C430)"),"")</f>
        <v/>
      </c>
      <c r="AC431" s="175" t="str">
        <f ca="1">IFERROR(__xludf.DUMMYFUNCTION("QUERY('Volunteer Survey'!D430)"),"")</f>
        <v/>
      </c>
      <c r="AD431" s="175" t="str">
        <f ca="1">IFERROR(__xludf.DUMMYFUNCTION("QUERY('Volunteer Survey'!E430)"),"")</f>
        <v/>
      </c>
      <c r="AE431" s="175" t="str">
        <f ca="1">IFERROR(__xludf.DUMMYFUNCTION("QUERY('Volunteer Survey'!F430)"),"")</f>
        <v/>
      </c>
      <c r="AF431" s="175" t="str">
        <f ca="1">IFERROR(__xludf.DUMMYFUNCTION("QUERY('Volunteer Survey'!G430)"),"")</f>
        <v/>
      </c>
      <c r="AG431" s="175" t="str">
        <f ca="1">IFERROR(__xludf.DUMMYFUNCTION("QUERY('Volunteer Survey'!H430)"),"")</f>
        <v/>
      </c>
      <c r="AH431" s="175" t="str">
        <f ca="1">IFERROR(__xludf.DUMMYFUNCTION("QUERY('Volunteer Survey'!I430)"),"")</f>
        <v/>
      </c>
      <c r="AI431" s="175" t="str">
        <f ca="1">IFERROR(__xludf.DUMMYFUNCTION("QUERY('Volunteer Survey'!J430)"),"")</f>
        <v/>
      </c>
      <c r="AJ431" s="175" t="str">
        <f ca="1">IFERROR(__xludf.DUMMYFUNCTION("QUERY('Volunteer Survey'!K430)"),"")</f>
        <v/>
      </c>
      <c r="AK431" s="175" t="str">
        <f ca="1">IFERROR(__xludf.DUMMYFUNCTION("QUERY('Volunteer Survey'!L430)"),"")</f>
        <v/>
      </c>
      <c r="AL431" s="175" t="str">
        <f ca="1">IFERROR(__xludf.DUMMYFUNCTION("QUERY('Volunteer Survey'!M430)"),"")</f>
        <v/>
      </c>
      <c r="AM431" s="175" t="str">
        <f ca="1">IFERROR(__xludf.DUMMYFUNCTION("QUERY('Volunteer Survey'!N430)"),"")</f>
        <v/>
      </c>
      <c r="AN431" s="175" t="str">
        <f ca="1">IFERROR(__xludf.DUMMYFUNCTION("QUERY('Volunteer Survey'!O430)"),"")</f>
        <v/>
      </c>
      <c r="AO431" s="175" t="str">
        <f ca="1">IFERROR(__xludf.DUMMYFUNCTION("QUERY('Volunteer Survey'!P430)"),"")</f>
        <v/>
      </c>
    </row>
    <row r="432" spans="1:41" ht="14">
      <c r="A432" s="49" t="str">
        <f ca="1">IFERROR(__xludf.DUMMYFUNCTION("QUERY('Volunteer Survey'!A826)"),"")</f>
        <v/>
      </c>
      <c r="B432" s="42" t="s">
        <v>322</v>
      </c>
      <c r="C432" s="47"/>
      <c r="D432" s="49"/>
      <c r="E432" s="49"/>
      <c r="F432" s="49" t="b">
        <v>0</v>
      </c>
      <c r="G432" s="49"/>
      <c r="H432" s="47"/>
      <c r="I432" s="47"/>
      <c r="J432" s="49"/>
      <c r="K432" s="49"/>
      <c r="L432" s="49" t="str">
        <f ca="1">IFERROR(__xludf.DUMMYFUNCTION("QUERY('Volunteer Survey'!B826)"),"")</f>
        <v/>
      </c>
      <c r="M432" s="49" t="str">
        <f ca="1">IFERROR(__xludf.DUMMYFUNCTION("QUERY('Volunteer Survey'!E826)"),"")</f>
        <v/>
      </c>
      <c r="N432" s="49" t="str">
        <f ca="1">IFERROR(__xludf.DUMMYFUNCTION("QUERY('Volunteer Survey'!F826)"),"")</f>
        <v/>
      </c>
      <c r="O432" s="42" t="str">
        <f ca="1">IFERROR(__xludf.DUMMYFUNCTION("QUERY('Volunteer Survey'!H826)"),"")</f>
        <v/>
      </c>
      <c r="P432" s="49" t="str">
        <f ca="1">IFERROR(__xludf.DUMMYFUNCTION("QUERY('Volunteer Survey'!I826)"),"")</f>
        <v/>
      </c>
      <c r="Q432" s="54" t="str">
        <f ca="1">IFERROR(__xludf.DUMMYFUNCTION("QUERY('Volunteer Survey'!J826)"),"")</f>
        <v/>
      </c>
      <c r="R432" s="49" t="str">
        <f ca="1">IFERROR(__xludf.DUMMYFUNCTION("QUERY('Volunteer Survey'!K826)"),"")</f>
        <v/>
      </c>
      <c r="S432" s="49" t="str">
        <f ca="1">IFERROR(__xludf.DUMMYFUNCTION("QUERY('Volunteer Survey'!L826)"),"")</f>
        <v/>
      </c>
      <c r="T432" s="49" t="str">
        <f ca="1">IFERROR(__xludf.DUMMYFUNCTION("QUERY('Volunteer Survey'!M826)"),"")</f>
        <v/>
      </c>
      <c r="U432" s="58" t="str">
        <f ca="1">IFERROR(__xludf.DUMMYFUNCTION("QUERY('Volunteer Survey'!N826)"),"")</f>
        <v/>
      </c>
      <c r="V432" s="49" t="str">
        <f ca="1">IFERROR(__xludf.DUMMYFUNCTION("QUERY('Volunteer Survey'!O826)"),"")</f>
        <v/>
      </c>
      <c r="W432" s="60" t="str">
        <f ca="1">IFERROR(__xludf.DUMMYFUNCTION("QUERY('Volunteer Survey'!P826)"),"")</f>
        <v/>
      </c>
      <c r="X432" s="58" t="str">
        <f ca="1">IFERROR(__xludf.DUMMYFUNCTION("QUERY('Volunteer Survey'!R826)"),"")</f>
        <v/>
      </c>
      <c r="Y432" s="47"/>
      <c r="Z432" s="175" t="str">
        <f ca="1">IFERROR(__xludf.DUMMYFUNCTION("QUERY('Volunteer Survey'!A431)"),"")</f>
        <v/>
      </c>
      <c r="AA432" s="175" t="str">
        <f ca="1">IFERROR(__xludf.DUMMYFUNCTION("QUERY('Volunteer Survey'!B431)"),"")</f>
        <v/>
      </c>
      <c r="AB432" s="175" t="str">
        <f ca="1">IFERROR(__xludf.DUMMYFUNCTION("QUERY('Volunteer Survey'!C431)"),"")</f>
        <v/>
      </c>
      <c r="AC432" s="175" t="str">
        <f ca="1">IFERROR(__xludf.DUMMYFUNCTION("QUERY('Volunteer Survey'!D431)"),"")</f>
        <v/>
      </c>
      <c r="AD432" s="175" t="str">
        <f ca="1">IFERROR(__xludf.DUMMYFUNCTION("QUERY('Volunteer Survey'!E431)"),"")</f>
        <v/>
      </c>
      <c r="AE432" s="175" t="str">
        <f ca="1">IFERROR(__xludf.DUMMYFUNCTION("QUERY('Volunteer Survey'!F431)"),"")</f>
        <v/>
      </c>
      <c r="AF432" s="175" t="str">
        <f ca="1">IFERROR(__xludf.DUMMYFUNCTION("QUERY('Volunteer Survey'!G431)"),"")</f>
        <v/>
      </c>
      <c r="AG432" s="175" t="str">
        <f ca="1">IFERROR(__xludf.DUMMYFUNCTION("QUERY('Volunteer Survey'!H431)"),"")</f>
        <v/>
      </c>
      <c r="AH432" s="175" t="str">
        <f ca="1">IFERROR(__xludf.DUMMYFUNCTION("QUERY('Volunteer Survey'!I431)"),"")</f>
        <v/>
      </c>
      <c r="AI432" s="175" t="str">
        <f ca="1">IFERROR(__xludf.DUMMYFUNCTION("QUERY('Volunteer Survey'!J431)"),"")</f>
        <v/>
      </c>
      <c r="AJ432" s="175" t="str">
        <f ca="1">IFERROR(__xludf.DUMMYFUNCTION("QUERY('Volunteer Survey'!K431)"),"")</f>
        <v/>
      </c>
      <c r="AK432" s="175" t="str">
        <f ca="1">IFERROR(__xludf.DUMMYFUNCTION("QUERY('Volunteer Survey'!L431)"),"")</f>
        <v/>
      </c>
      <c r="AL432" s="175" t="str">
        <f ca="1">IFERROR(__xludf.DUMMYFUNCTION("QUERY('Volunteer Survey'!M431)"),"")</f>
        <v/>
      </c>
      <c r="AM432" s="175" t="str">
        <f ca="1">IFERROR(__xludf.DUMMYFUNCTION("QUERY('Volunteer Survey'!N431)"),"")</f>
        <v/>
      </c>
      <c r="AN432" s="175" t="str">
        <f ca="1">IFERROR(__xludf.DUMMYFUNCTION("QUERY('Volunteer Survey'!O431)"),"")</f>
        <v/>
      </c>
      <c r="AO432" s="175" t="str">
        <f ca="1">IFERROR(__xludf.DUMMYFUNCTION("QUERY('Volunteer Survey'!P431)"),"")</f>
        <v/>
      </c>
    </row>
    <row r="433" spans="1:41" ht="14">
      <c r="A433" s="49" t="str">
        <f ca="1">IFERROR(__xludf.DUMMYFUNCTION("QUERY('Volunteer Survey'!A827)"),"")</f>
        <v/>
      </c>
      <c r="B433" s="42" t="s">
        <v>322</v>
      </c>
      <c r="C433" s="47"/>
      <c r="D433" s="49"/>
      <c r="E433" s="49"/>
      <c r="F433" s="49" t="b">
        <v>0</v>
      </c>
      <c r="G433" s="49"/>
      <c r="H433" s="47"/>
      <c r="I433" s="47"/>
      <c r="J433" s="49"/>
      <c r="K433" s="49"/>
      <c r="L433" s="49" t="str">
        <f ca="1">IFERROR(__xludf.DUMMYFUNCTION("QUERY('Volunteer Survey'!B827)"),"")</f>
        <v/>
      </c>
      <c r="M433" s="49" t="str">
        <f ca="1">IFERROR(__xludf.DUMMYFUNCTION("QUERY('Volunteer Survey'!E827)"),"")</f>
        <v/>
      </c>
      <c r="N433" s="49" t="str">
        <f ca="1">IFERROR(__xludf.DUMMYFUNCTION("QUERY('Volunteer Survey'!F827)"),"")</f>
        <v/>
      </c>
      <c r="O433" s="42" t="str">
        <f ca="1">IFERROR(__xludf.DUMMYFUNCTION("QUERY('Volunteer Survey'!H827)"),"")</f>
        <v/>
      </c>
      <c r="P433" s="49" t="str">
        <f ca="1">IFERROR(__xludf.DUMMYFUNCTION("QUERY('Volunteer Survey'!I827)"),"")</f>
        <v/>
      </c>
      <c r="Q433" s="54" t="str">
        <f ca="1">IFERROR(__xludf.DUMMYFUNCTION("QUERY('Volunteer Survey'!J827)"),"")</f>
        <v/>
      </c>
      <c r="R433" s="49" t="str">
        <f ca="1">IFERROR(__xludf.DUMMYFUNCTION("QUERY('Volunteer Survey'!K827)"),"")</f>
        <v/>
      </c>
      <c r="S433" s="49" t="str">
        <f ca="1">IFERROR(__xludf.DUMMYFUNCTION("QUERY('Volunteer Survey'!L827)"),"")</f>
        <v/>
      </c>
      <c r="T433" s="49" t="str">
        <f ca="1">IFERROR(__xludf.DUMMYFUNCTION("QUERY('Volunteer Survey'!M827)"),"")</f>
        <v/>
      </c>
      <c r="U433" s="58" t="str">
        <f ca="1">IFERROR(__xludf.DUMMYFUNCTION("QUERY('Volunteer Survey'!N827)"),"")</f>
        <v/>
      </c>
      <c r="V433" s="49" t="str">
        <f ca="1">IFERROR(__xludf.DUMMYFUNCTION("QUERY('Volunteer Survey'!O827)"),"")</f>
        <v/>
      </c>
      <c r="W433" s="60" t="str">
        <f ca="1">IFERROR(__xludf.DUMMYFUNCTION("QUERY('Volunteer Survey'!P827)"),"")</f>
        <v/>
      </c>
      <c r="X433" s="58" t="str">
        <f ca="1">IFERROR(__xludf.DUMMYFUNCTION("QUERY('Volunteer Survey'!R827)"),"")</f>
        <v/>
      </c>
      <c r="Y433" s="47"/>
      <c r="Z433" s="175" t="str">
        <f ca="1">IFERROR(__xludf.DUMMYFUNCTION("QUERY('Volunteer Survey'!A432)"),"")</f>
        <v/>
      </c>
      <c r="AA433" s="175" t="str">
        <f ca="1">IFERROR(__xludf.DUMMYFUNCTION("QUERY('Volunteer Survey'!B432)"),"")</f>
        <v/>
      </c>
      <c r="AB433" s="175" t="str">
        <f ca="1">IFERROR(__xludf.DUMMYFUNCTION("QUERY('Volunteer Survey'!C432)"),"")</f>
        <v/>
      </c>
      <c r="AC433" s="175" t="str">
        <f ca="1">IFERROR(__xludf.DUMMYFUNCTION("QUERY('Volunteer Survey'!D432)"),"")</f>
        <v/>
      </c>
      <c r="AD433" s="175" t="str">
        <f ca="1">IFERROR(__xludf.DUMMYFUNCTION("QUERY('Volunteer Survey'!E432)"),"")</f>
        <v/>
      </c>
      <c r="AE433" s="175" t="str">
        <f ca="1">IFERROR(__xludf.DUMMYFUNCTION("QUERY('Volunteer Survey'!F432)"),"")</f>
        <v/>
      </c>
      <c r="AF433" s="175" t="str">
        <f ca="1">IFERROR(__xludf.DUMMYFUNCTION("QUERY('Volunteer Survey'!G432)"),"")</f>
        <v/>
      </c>
      <c r="AG433" s="175" t="str">
        <f ca="1">IFERROR(__xludf.DUMMYFUNCTION("QUERY('Volunteer Survey'!H432)"),"")</f>
        <v/>
      </c>
      <c r="AH433" s="175" t="str">
        <f ca="1">IFERROR(__xludf.DUMMYFUNCTION("QUERY('Volunteer Survey'!I432)"),"")</f>
        <v/>
      </c>
      <c r="AI433" s="175" t="str">
        <f ca="1">IFERROR(__xludf.DUMMYFUNCTION("QUERY('Volunteer Survey'!J432)"),"")</f>
        <v/>
      </c>
      <c r="AJ433" s="175" t="str">
        <f ca="1">IFERROR(__xludf.DUMMYFUNCTION("QUERY('Volunteer Survey'!K432)"),"")</f>
        <v/>
      </c>
      <c r="AK433" s="175" t="str">
        <f ca="1">IFERROR(__xludf.DUMMYFUNCTION("QUERY('Volunteer Survey'!L432)"),"")</f>
        <v/>
      </c>
      <c r="AL433" s="175" t="str">
        <f ca="1">IFERROR(__xludf.DUMMYFUNCTION("QUERY('Volunteer Survey'!M432)"),"")</f>
        <v/>
      </c>
      <c r="AM433" s="175" t="str">
        <f ca="1">IFERROR(__xludf.DUMMYFUNCTION("QUERY('Volunteer Survey'!N432)"),"")</f>
        <v/>
      </c>
      <c r="AN433" s="175" t="str">
        <f ca="1">IFERROR(__xludf.DUMMYFUNCTION("QUERY('Volunteer Survey'!O432)"),"")</f>
        <v/>
      </c>
      <c r="AO433" s="175" t="str">
        <f ca="1">IFERROR(__xludf.DUMMYFUNCTION("QUERY('Volunteer Survey'!P432)"),"")</f>
        <v/>
      </c>
    </row>
    <row r="434" spans="1:41" ht="14">
      <c r="A434" s="49" t="str">
        <f ca="1">IFERROR(__xludf.DUMMYFUNCTION("QUERY('Volunteer Survey'!A828)"),"")</f>
        <v/>
      </c>
      <c r="B434" s="42" t="s">
        <v>322</v>
      </c>
      <c r="C434" s="47"/>
      <c r="D434" s="49"/>
      <c r="E434" s="49"/>
      <c r="F434" s="49" t="b">
        <v>0</v>
      </c>
      <c r="G434" s="49"/>
      <c r="H434" s="47"/>
      <c r="I434" s="47"/>
      <c r="J434" s="49"/>
      <c r="K434" s="49"/>
      <c r="L434" s="49" t="str">
        <f ca="1">IFERROR(__xludf.DUMMYFUNCTION("QUERY('Volunteer Survey'!B828)"),"")</f>
        <v/>
      </c>
      <c r="M434" s="49" t="str">
        <f ca="1">IFERROR(__xludf.DUMMYFUNCTION("QUERY('Volunteer Survey'!E828)"),"")</f>
        <v/>
      </c>
      <c r="N434" s="49" t="str">
        <f ca="1">IFERROR(__xludf.DUMMYFUNCTION("QUERY('Volunteer Survey'!F828)"),"")</f>
        <v/>
      </c>
      <c r="O434" s="42" t="str">
        <f ca="1">IFERROR(__xludf.DUMMYFUNCTION("QUERY('Volunteer Survey'!H828)"),"")</f>
        <v/>
      </c>
      <c r="P434" s="49" t="str">
        <f ca="1">IFERROR(__xludf.DUMMYFUNCTION("QUERY('Volunteer Survey'!I828)"),"")</f>
        <v/>
      </c>
      <c r="Q434" s="54" t="str">
        <f ca="1">IFERROR(__xludf.DUMMYFUNCTION("QUERY('Volunteer Survey'!J828)"),"")</f>
        <v/>
      </c>
      <c r="R434" s="49" t="str">
        <f ca="1">IFERROR(__xludf.DUMMYFUNCTION("QUERY('Volunteer Survey'!K828)"),"")</f>
        <v/>
      </c>
      <c r="S434" s="49" t="str">
        <f ca="1">IFERROR(__xludf.DUMMYFUNCTION("QUERY('Volunteer Survey'!L828)"),"")</f>
        <v/>
      </c>
      <c r="T434" s="49" t="str">
        <f ca="1">IFERROR(__xludf.DUMMYFUNCTION("QUERY('Volunteer Survey'!M828)"),"")</f>
        <v/>
      </c>
      <c r="U434" s="58" t="str">
        <f ca="1">IFERROR(__xludf.DUMMYFUNCTION("QUERY('Volunteer Survey'!N828)"),"")</f>
        <v/>
      </c>
      <c r="V434" s="49" t="str">
        <f ca="1">IFERROR(__xludf.DUMMYFUNCTION("QUERY('Volunteer Survey'!O828)"),"")</f>
        <v/>
      </c>
      <c r="W434" s="60" t="str">
        <f ca="1">IFERROR(__xludf.DUMMYFUNCTION("QUERY('Volunteer Survey'!P828)"),"")</f>
        <v/>
      </c>
      <c r="X434" s="58" t="str">
        <f ca="1">IFERROR(__xludf.DUMMYFUNCTION("QUERY('Volunteer Survey'!R828)"),"")</f>
        <v/>
      </c>
      <c r="Y434" s="47"/>
      <c r="Z434" s="175" t="str">
        <f ca="1">IFERROR(__xludf.DUMMYFUNCTION("QUERY('Volunteer Survey'!A433)"),"")</f>
        <v/>
      </c>
      <c r="AA434" s="175" t="str">
        <f ca="1">IFERROR(__xludf.DUMMYFUNCTION("QUERY('Volunteer Survey'!B433)"),"")</f>
        <v/>
      </c>
      <c r="AB434" s="175" t="str">
        <f ca="1">IFERROR(__xludf.DUMMYFUNCTION("QUERY('Volunteer Survey'!C433)"),"")</f>
        <v/>
      </c>
      <c r="AC434" s="175" t="str">
        <f ca="1">IFERROR(__xludf.DUMMYFUNCTION("QUERY('Volunteer Survey'!D433)"),"")</f>
        <v/>
      </c>
      <c r="AD434" s="175" t="str">
        <f ca="1">IFERROR(__xludf.DUMMYFUNCTION("QUERY('Volunteer Survey'!E433)"),"")</f>
        <v/>
      </c>
      <c r="AE434" s="175" t="str">
        <f ca="1">IFERROR(__xludf.DUMMYFUNCTION("QUERY('Volunteer Survey'!F433)"),"")</f>
        <v/>
      </c>
      <c r="AF434" s="175" t="str">
        <f ca="1">IFERROR(__xludf.DUMMYFUNCTION("QUERY('Volunteer Survey'!G433)"),"")</f>
        <v/>
      </c>
      <c r="AG434" s="175" t="str">
        <f ca="1">IFERROR(__xludf.DUMMYFUNCTION("QUERY('Volunteer Survey'!H433)"),"")</f>
        <v/>
      </c>
      <c r="AH434" s="175" t="str">
        <f ca="1">IFERROR(__xludf.DUMMYFUNCTION("QUERY('Volunteer Survey'!I433)"),"")</f>
        <v/>
      </c>
      <c r="AI434" s="175" t="str">
        <f ca="1">IFERROR(__xludf.DUMMYFUNCTION("QUERY('Volunteer Survey'!J433)"),"")</f>
        <v/>
      </c>
      <c r="AJ434" s="175" t="str">
        <f ca="1">IFERROR(__xludf.DUMMYFUNCTION("QUERY('Volunteer Survey'!K433)"),"")</f>
        <v/>
      </c>
      <c r="AK434" s="175" t="str">
        <f ca="1">IFERROR(__xludf.DUMMYFUNCTION("QUERY('Volunteer Survey'!L433)"),"")</f>
        <v/>
      </c>
      <c r="AL434" s="175" t="str">
        <f ca="1">IFERROR(__xludf.DUMMYFUNCTION("QUERY('Volunteer Survey'!M433)"),"")</f>
        <v/>
      </c>
      <c r="AM434" s="175" t="str">
        <f ca="1">IFERROR(__xludf.DUMMYFUNCTION("QUERY('Volunteer Survey'!N433)"),"")</f>
        <v/>
      </c>
      <c r="AN434" s="175" t="str">
        <f ca="1">IFERROR(__xludf.DUMMYFUNCTION("QUERY('Volunteer Survey'!O433)"),"")</f>
        <v/>
      </c>
      <c r="AO434" s="175" t="str">
        <f ca="1">IFERROR(__xludf.DUMMYFUNCTION("QUERY('Volunteer Survey'!P433)"),"")</f>
        <v/>
      </c>
    </row>
    <row r="435" spans="1:41" ht="14">
      <c r="A435" s="49" t="str">
        <f ca="1">IFERROR(__xludf.DUMMYFUNCTION("QUERY('Volunteer Survey'!A829)"),"")</f>
        <v/>
      </c>
      <c r="B435" s="42" t="s">
        <v>322</v>
      </c>
      <c r="C435" s="47"/>
      <c r="D435" s="49"/>
      <c r="E435" s="49"/>
      <c r="F435" s="49" t="b">
        <v>0</v>
      </c>
      <c r="G435" s="49"/>
      <c r="H435" s="47"/>
      <c r="I435" s="47"/>
      <c r="J435" s="49"/>
      <c r="K435" s="49"/>
      <c r="L435" s="49" t="str">
        <f ca="1">IFERROR(__xludf.DUMMYFUNCTION("QUERY('Volunteer Survey'!B829)"),"")</f>
        <v/>
      </c>
      <c r="M435" s="49" t="str">
        <f ca="1">IFERROR(__xludf.DUMMYFUNCTION("QUERY('Volunteer Survey'!E829)"),"")</f>
        <v/>
      </c>
      <c r="N435" s="49" t="str">
        <f ca="1">IFERROR(__xludf.DUMMYFUNCTION("QUERY('Volunteer Survey'!F829)"),"")</f>
        <v/>
      </c>
      <c r="O435" s="42" t="str">
        <f ca="1">IFERROR(__xludf.DUMMYFUNCTION("QUERY('Volunteer Survey'!H829)"),"")</f>
        <v/>
      </c>
      <c r="P435" s="49" t="str">
        <f ca="1">IFERROR(__xludf.DUMMYFUNCTION("QUERY('Volunteer Survey'!I829)"),"")</f>
        <v/>
      </c>
      <c r="Q435" s="54" t="str">
        <f ca="1">IFERROR(__xludf.DUMMYFUNCTION("QUERY('Volunteer Survey'!J829)"),"")</f>
        <v/>
      </c>
      <c r="R435" s="49" t="str">
        <f ca="1">IFERROR(__xludf.DUMMYFUNCTION("QUERY('Volunteer Survey'!K829)"),"")</f>
        <v/>
      </c>
      <c r="S435" s="49" t="str">
        <f ca="1">IFERROR(__xludf.DUMMYFUNCTION("QUERY('Volunteer Survey'!L829)"),"")</f>
        <v/>
      </c>
      <c r="T435" s="49" t="str">
        <f ca="1">IFERROR(__xludf.DUMMYFUNCTION("QUERY('Volunteer Survey'!M829)"),"")</f>
        <v/>
      </c>
      <c r="U435" s="58" t="str">
        <f ca="1">IFERROR(__xludf.DUMMYFUNCTION("QUERY('Volunteer Survey'!N829)"),"")</f>
        <v/>
      </c>
      <c r="V435" s="49" t="str">
        <f ca="1">IFERROR(__xludf.DUMMYFUNCTION("QUERY('Volunteer Survey'!O829)"),"")</f>
        <v/>
      </c>
      <c r="W435" s="60" t="str">
        <f ca="1">IFERROR(__xludf.DUMMYFUNCTION("QUERY('Volunteer Survey'!P829)"),"")</f>
        <v/>
      </c>
      <c r="X435" s="58" t="str">
        <f ca="1">IFERROR(__xludf.DUMMYFUNCTION("QUERY('Volunteer Survey'!R829)"),"")</f>
        <v/>
      </c>
      <c r="Y435" s="47"/>
      <c r="Z435" s="175" t="str">
        <f ca="1">IFERROR(__xludf.DUMMYFUNCTION("QUERY('Volunteer Survey'!A434)"),"")</f>
        <v/>
      </c>
      <c r="AA435" s="175" t="str">
        <f ca="1">IFERROR(__xludf.DUMMYFUNCTION("QUERY('Volunteer Survey'!B434)"),"")</f>
        <v/>
      </c>
      <c r="AB435" s="175" t="str">
        <f ca="1">IFERROR(__xludf.DUMMYFUNCTION("QUERY('Volunteer Survey'!C434)"),"")</f>
        <v/>
      </c>
      <c r="AC435" s="175" t="str">
        <f ca="1">IFERROR(__xludf.DUMMYFUNCTION("QUERY('Volunteer Survey'!D434)"),"")</f>
        <v/>
      </c>
      <c r="AD435" s="175" t="str">
        <f ca="1">IFERROR(__xludf.DUMMYFUNCTION("QUERY('Volunteer Survey'!E434)"),"")</f>
        <v/>
      </c>
      <c r="AE435" s="175" t="str">
        <f ca="1">IFERROR(__xludf.DUMMYFUNCTION("QUERY('Volunteer Survey'!F434)"),"")</f>
        <v/>
      </c>
      <c r="AF435" s="175" t="str">
        <f ca="1">IFERROR(__xludf.DUMMYFUNCTION("QUERY('Volunteer Survey'!G434)"),"")</f>
        <v/>
      </c>
      <c r="AG435" s="175" t="str">
        <f ca="1">IFERROR(__xludf.DUMMYFUNCTION("QUERY('Volunteer Survey'!H434)"),"")</f>
        <v/>
      </c>
      <c r="AH435" s="175" t="str">
        <f ca="1">IFERROR(__xludf.DUMMYFUNCTION("QUERY('Volunteer Survey'!I434)"),"")</f>
        <v/>
      </c>
      <c r="AI435" s="175" t="str">
        <f ca="1">IFERROR(__xludf.DUMMYFUNCTION("QUERY('Volunteer Survey'!J434)"),"")</f>
        <v/>
      </c>
      <c r="AJ435" s="175" t="str">
        <f ca="1">IFERROR(__xludf.DUMMYFUNCTION("QUERY('Volunteer Survey'!K434)"),"")</f>
        <v/>
      </c>
      <c r="AK435" s="175" t="str">
        <f ca="1">IFERROR(__xludf.DUMMYFUNCTION("QUERY('Volunteer Survey'!L434)"),"")</f>
        <v/>
      </c>
      <c r="AL435" s="175" t="str">
        <f ca="1">IFERROR(__xludf.DUMMYFUNCTION("QUERY('Volunteer Survey'!M434)"),"")</f>
        <v/>
      </c>
      <c r="AM435" s="175" t="str">
        <f ca="1">IFERROR(__xludf.DUMMYFUNCTION("QUERY('Volunteer Survey'!N434)"),"")</f>
        <v/>
      </c>
      <c r="AN435" s="175" t="str">
        <f ca="1">IFERROR(__xludf.DUMMYFUNCTION("QUERY('Volunteer Survey'!O434)"),"")</f>
        <v/>
      </c>
      <c r="AO435" s="175" t="str">
        <f ca="1">IFERROR(__xludf.DUMMYFUNCTION("QUERY('Volunteer Survey'!P434)"),"")</f>
        <v/>
      </c>
    </row>
    <row r="436" spans="1:41" ht="14">
      <c r="A436" s="49" t="str">
        <f ca="1">IFERROR(__xludf.DUMMYFUNCTION("QUERY('Volunteer Survey'!A830)"),"")</f>
        <v/>
      </c>
      <c r="B436" s="42" t="s">
        <v>322</v>
      </c>
      <c r="C436" s="47"/>
      <c r="D436" s="49"/>
      <c r="E436" s="49"/>
      <c r="F436" s="49" t="b">
        <v>0</v>
      </c>
      <c r="G436" s="49"/>
      <c r="H436" s="47"/>
      <c r="I436" s="47"/>
      <c r="J436" s="49"/>
      <c r="K436" s="49"/>
      <c r="L436" s="49" t="str">
        <f ca="1">IFERROR(__xludf.DUMMYFUNCTION("QUERY('Volunteer Survey'!B830)"),"")</f>
        <v/>
      </c>
      <c r="M436" s="49" t="str">
        <f ca="1">IFERROR(__xludf.DUMMYFUNCTION("QUERY('Volunteer Survey'!E830)"),"")</f>
        <v/>
      </c>
      <c r="N436" s="49" t="str">
        <f ca="1">IFERROR(__xludf.DUMMYFUNCTION("QUERY('Volunteer Survey'!F830)"),"")</f>
        <v/>
      </c>
      <c r="O436" s="42" t="str">
        <f ca="1">IFERROR(__xludf.DUMMYFUNCTION("QUERY('Volunteer Survey'!H830)"),"")</f>
        <v/>
      </c>
      <c r="P436" s="49" t="str">
        <f ca="1">IFERROR(__xludf.DUMMYFUNCTION("QUERY('Volunteer Survey'!I830)"),"")</f>
        <v/>
      </c>
      <c r="Q436" s="54" t="str">
        <f ca="1">IFERROR(__xludf.DUMMYFUNCTION("QUERY('Volunteer Survey'!J830)"),"")</f>
        <v/>
      </c>
      <c r="R436" s="49" t="str">
        <f ca="1">IFERROR(__xludf.DUMMYFUNCTION("QUERY('Volunteer Survey'!K830)"),"")</f>
        <v/>
      </c>
      <c r="S436" s="49" t="str">
        <f ca="1">IFERROR(__xludf.DUMMYFUNCTION("QUERY('Volunteer Survey'!L830)"),"")</f>
        <v/>
      </c>
      <c r="T436" s="49" t="str">
        <f ca="1">IFERROR(__xludf.DUMMYFUNCTION("QUERY('Volunteer Survey'!M830)"),"")</f>
        <v/>
      </c>
      <c r="U436" s="58" t="str">
        <f ca="1">IFERROR(__xludf.DUMMYFUNCTION("QUERY('Volunteer Survey'!N830)"),"")</f>
        <v/>
      </c>
      <c r="V436" s="49" t="str">
        <f ca="1">IFERROR(__xludf.DUMMYFUNCTION("QUERY('Volunteer Survey'!O830)"),"")</f>
        <v/>
      </c>
      <c r="W436" s="60" t="str">
        <f ca="1">IFERROR(__xludf.DUMMYFUNCTION("QUERY('Volunteer Survey'!P830)"),"")</f>
        <v/>
      </c>
      <c r="X436" s="58" t="str">
        <f ca="1">IFERROR(__xludf.DUMMYFUNCTION("QUERY('Volunteer Survey'!R830)"),"")</f>
        <v/>
      </c>
      <c r="Y436" s="47"/>
      <c r="Z436" s="175" t="str">
        <f ca="1">IFERROR(__xludf.DUMMYFUNCTION("QUERY('Volunteer Survey'!A435)"),"")</f>
        <v/>
      </c>
      <c r="AA436" s="175" t="str">
        <f ca="1">IFERROR(__xludf.DUMMYFUNCTION("QUERY('Volunteer Survey'!B435)"),"")</f>
        <v/>
      </c>
      <c r="AB436" s="175" t="str">
        <f ca="1">IFERROR(__xludf.DUMMYFUNCTION("QUERY('Volunteer Survey'!C435)"),"")</f>
        <v/>
      </c>
      <c r="AC436" s="175" t="str">
        <f ca="1">IFERROR(__xludf.DUMMYFUNCTION("QUERY('Volunteer Survey'!D435)"),"")</f>
        <v/>
      </c>
      <c r="AD436" s="175" t="str">
        <f ca="1">IFERROR(__xludf.DUMMYFUNCTION("QUERY('Volunteer Survey'!E435)"),"")</f>
        <v/>
      </c>
      <c r="AE436" s="175" t="str">
        <f ca="1">IFERROR(__xludf.DUMMYFUNCTION("QUERY('Volunteer Survey'!F435)"),"")</f>
        <v/>
      </c>
      <c r="AF436" s="175" t="str">
        <f ca="1">IFERROR(__xludf.DUMMYFUNCTION("QUERY('Volunteer Survey'!G435)"),"")</f>
        <v/>
      </c>
      <c r="AG436" s="175" t="str">
        <f ca="1">IFERROR(__xludf.DUMMYFUNCTION("QUERY('Volunteer Survey'!H435)"),"")</f>
        <v/>
      </c>
      <c r="AH436" s="175" t="str">
        <f ca="1">IFERROR(__xludf.DUMMYFUNCTION("QUERY('Volunteer Survey'!I435)"),"")</f>
        <v/>
      </c>
      <c r="AI436" s="175" t="str">
        <f ca="1">IFERROR(__xludf.DUMMYFUNCTION("QUERY('Volunteer Survey'!J435)"),"")</f>
        <v/>
      </c>
      <c r="AJ436" s="175" t="str">
        <f ca="1">IFERROR(__xludf.DUMMYFUNCTION("QUERY('Volunteer Survey'!K435)"),"")</f>
        <v/>
      </c>
      <c r="AK436" s="175" t="str">
        <f ca="1">IFERROR(__xludf.DUMMYFUNCTION("QUERY('Volunteer Survey'!L435)"),"")</f>
        <v/>
      </c>
      <c r="AL436" s="175" t="str">
        <f ca="1">IFERROR(__xludf.DUMMYFUNCTION("QUERY('Volunteer Survey'!M435)"),"")</f>
        <v/>
      </c>
      <c r="AM436" s="175" t="str">
        <f ca="1">IFERROR(__xludf.DUMMYFUNCTION("QUERY('Volunteer Survey'!N435)"),"")</f>
        <v/>
      </c>
      <c r="AN436" s="175" t="str">
        <f ca="1">IFERROR(__xludf.DUMMYFUNCTION("QUERY('Volunteer Survey'!O435)"),"")</f>
        <v/>
      </c>
      <c r="AO436" s="175" t="str">
        <f ca="1">IFERROR(__xludf.DUMMYFUNCTION("QUERY('Volunteer Survey'!P435)"),"")</f>
        <v/>
      </c>
    </row>
    <row r="437" spans="1:41" ht="14">
      <c r="A437" s="49" t="str">
        <f ca="1">IFERROR(__xludf.DUMMYFUNCTION("QUERY('Volunteer Survey'!A831)"),"")</f>
        <v/>
      </c>
      <c r="B437" s="42" t="s">
        <v>322</v>
      </c>
      <c r="C437" s="47"/>
      <c r="D437" s="49"/>
      <c r="E437" s="49"/>
      <c r="F437" s="49" t="b">
        <v>0</v>
      </c>
      <c r="G437" s="49"/>
      <c r="H437" s="47"/>
      <c r="I437" s="47"/>
      <c r="J437" s="49"/>
      <c r="K437" s="49"/>
      <c r="L437" s="49" t="str">
        <f ca="1">IFERROR(__xludf.DUMMYFUNCTION("QUERY('Volunteer Survey'!B831)"),"")</f>
        <v/>
      </c>
      <c r="M437" s="49" t="str">
        <f ca="1">IFERROR(__xludf.DUMMYFUNCTION("QUERY('Volunteer Survey'!E831)"),"")</f>
        <v/>
      </c>
      <c r="N437" s="49" t="str">
        <f ca="1">IFERROR(__xludf.DUMMYFUNCTION("QUERY('Volunteer Survey'!F831)"),"")</f>
        <v/>
      </c>
      <c r="O437" s="42" t="str">
        <f ca="1">IFERROR(__xludf.DUMMYFUNCTION("QUERY('Volunteer Survey'!H831)"),"")</f>
        <v/>
      </c>
      <c r="P437" s="49" t="str">
        <f ca="1">IFERROR(__xludf.DUMMYFUNCTION("QUERY('Volunteer Survey'!I831)"),"")</f>
        <v/>
      </c>
      <c r="Q437" s="54" t="str">
        <f ca="1">IFERROR(__xludf.DUMMYFUNCTION("QUERY('Volunteer Survey'!J831)"),"")</f>
        <v/>
      </c>
      <c r="R437" s="49" t="str">
        <f ca="1">IFERROR(__xludf.DUMMYFUNCTION("QUERY('Volunteer Survey'!K831)"),"")</f>
        <v/>
      </c>
      <c r="S437" s="49" t="str">
        <f ca="1">IFERROR(__xludf.DUMMYFUNCTION("QUERY('Volunteer Survey'!L831)"),"")</f>
        <v/>
      </c>
      <c r="T437" s="49">
        <f>'Volunteer Survey'!M847</f>
        <v>0</v>
      </c>
      <c r="U437" s="58" t="str">
        <f ca="1">IFERROR(__xludf.DUMMYFUNCTION("QUERY('Volunteer Survey'!N831)"),"")</f>
        <v/>
      </c>
      <c r="V437" s="49" t="str">
        <f ca="1">IFERROR(__xludf.DUMMYFUNCTION("QUERY('Volunteer Survey'!O831)"),"")</f>
        <v/>
      </c>
      <c r="W437" s="60" t="str">
        <f ca="1">IFERROR(__xludf.DUMMYFUNCTION("QUERY('Volunteer Survey'!P831)"),"")</f>
        <v/>
      </c>
      <c r="X437" s="58" t="str">
        <f ca="1">IFERROR(__xludf.DUMMYFUNCTION("QUERY('Volunteer Survey'!R831)"),"")</f>
        <v/>
      </c>
      <c r="Y437" s="47"/>
      <c r="Z437" s="175" t="str">
        <f ca="1">IFERROR(__xludf.DUMMYFUNCTION("QUERY('Volunteer Survey'!A436)"),"")</f>
        <v/>
      </c>
      <c r="AA437" s="175" t="str">
        <f ca="1">IFERROR(__xludf.DUMMYFUNCTION("QUERY('Volunteer Survey'!B436)"),"")</f>
        <v/>
      </c>
      <c r="AB437" s="175" t="str">
        <f ca="1">IFERROR(__xludf.DUMMYFUNCTION("QUERY('Volunteer Survey'!C436)"),"")</f>
        <v/>
      </c>
      <c r="AC437" s="175" t="str">
        <f ca="1">IFERROR(__xludf.DUMMYFUNCTION("QUERY('Volunteer Survey'!D436)"),"")</f>
        <v/>
      </c>
      <c r="AD437" s="175" t="str">
        <f ca="1">IFERROR(__xludf.DUMMYFUNCTION("QUERY('Volunteer Survey'!E436)"),"")</f>
        <v/>
      </c>
      <c r="AE437" s="175" t="str">
        <f ca="1">IFERROR(__xludf.DUMMYFUNCTION("QUERY('Volunteer Survey'!F436)"),"")</f>
        <v/>
      </c>
      <c r="AF437" s="175" t="str">
        <f ca="1">IFERROR(__xludf.DUMMYFUNCTION("QUERY('Volunteer Survey'!G436)"),"")</f>
        <v/>
      </c>
      <c r="AG437" s="175" t="str">
        <f ca="1">IFERROR(__xludf.DUMMYFUNCTION("QUERY('Volunteer Survey'!H436)"),"")</f>
        <v/>
      </c>
      <c r="AH437" s="175" t="str">
        <f ca="1">IFERROR(__xludf.DUMMYFUNCTION("QUERY('Volunteer Survey'!I436)"),"")</f>
        <v/>
      </c>
      <c r="AI437" s="175" t="str">
        <f ca="1">IFERROR(__xludf.DUMMYFUNCTION("QUERY('Volunteer Survey'!J436)"),"")</f>
        <v/>
      </c>
      <c r="AJ437" s="175" t="str">
        <f ca="1">IFERROR(__xludf.DUMMYFUNCTION("QUERY('Volunteer Survey'!K436)"),"")</f>
        <v/>
      </c>
      <c r="AK437" s="175" t="str">
        <f ca="1">IFERROR(__xludf.DUMMYFUNCTION("QUERY('Volunteer Survey'!L436)"),"")</f>
        <v/>
      </c>
      <c r="AL437" s="175" t="str">
        <f ca="1">IFERROR(__xludf.DUMMYFUNCTION("QUERY('Volunteer Survey'!M436)"),"")</f>
        <v/>
      </c>
      <c r="AM437" s="175" t="str">
        <f ca="1">IFERROR(__xludf.DUMMYFUNCTION("QUERY('Volunteer Survey'!N436)"),"")</f>
        <v/>
      </c>
      <c r="AN437" s="175" t="str">
        <f ca="1">IFERROR(__xludf.DUMMYFUNCTION("QUERY('Volunteer Survey'!O436)"),"")</f>
        <v/>
      </c>
      <c r="AO437" s="175" t="str">
        <f ca="1">IFERROR(__xludf.DUMMYFUNCTION("QUERY('Volunteer Survey'!P436)"),"")</f>
        <v/>
      </c>
    </row>
    <row r="438" spans="1:41" ht="14">
      <c r="A438" s="49" t="str">
        <f ca="1">IFERROR(__xludf.DUMMYFUNCTION("QUERY('Volunteer Survey'!A832)"),"")</f>
        <v/>
      </c>
      <c r="B438" s="42" t="s">
        <v>322</v>
      </c>
      <c r="C438" s="47"/>
      <c r="D438" s="49"/>
      <c r="E438" s="49"/>
      <c r="F438" s="49" t="b">
        <v>0</v>
      </c>
      <c r="G438" s="49"/>
      <c r="H438" s="47"/>
      <c r="I438" s="47"/>
      <c r="J438" s="49"/>
      <c r="K438" s="49"/>
      <c r="L438" s="49" t="str">
        <f ca="1">IFERROR(__xludf.DUMMYFUNCTION("QUERY('Volunteer Survey'!B832)"),"")</f>
        <v/>
      </c>
      <c r="M438" s="49" t="str">
        <f ca="1">IFERROR(__xludf.DUMMYFUNCTION("QUERY('Volunteer Survey'!E832)"),"")</f>
        <v/>
      </c>
      <c r="N438" s="49" t="str">
        <f ca="1">IFERROR(__xludf.DUMMYFUNCTION("QUERY('Volunteer Survey'!F832)"),"")</f>
        <v/>
      </c>
      <c r="O438" s="42">
        <f>'Volunteer Survey'!H849</f>
        <v>0</v>
      </c>
      <c r="P438" s="49" t="str">
        <f ca="1">IFERROR(__xludf.DUMMYFUNCTION("QUERY('Volunteer Survey'!I832)"),"")</f>
        <v/>
      </c>
      <c r="Q438" s="54" t="str">
        <f ca="1">IFERROR(__xludf.DUMMYFUNCTION("QUERY('Volunteer Survey'!J832)"),"")</f>
        <v/>
      </c>
      <c r="R438" s="49" t="str">
        <f ca="1">IFERROR(__xludf.DUMMYFUNCTION("QUERY('Volunteer Survey'!K832)"),"")</f>
        <v/>
      </c>
      <c r="S438" s="49" t="str">
        <f ca="1">IFERROR(__xludf.DUMMYFUNCTION("QUERY('Volunteer Survey'!L832)"),"")</f>
        <v/>
      </c>
      <c r="T438" s="49">
        <f>'Volunteer Survey'!M848</f>
        <v>0</v>
      </c>
      <c r="U438" s="58" t="str">
        <f ca="1">IFERROR(__xludf.DUMMYFUNCTION("QUERY('Volunteer Survey'!N832)"),"")</f>
        <v/>
      </c>
      <c r="V438" s="49">
        <f>'Volunteer Survey'!O848</f>
        <v>0</v>
      </c>
      <c r="W438" s="60" t="str">
        <f ca="1">IFERROR(__xludf.DUMMYFUNCTION("QUERY('Volunteer Survey'!P832)"),"")</f>
        <v/>
      </c>
      <c r="X438" s="58" t="str">
        <f ca="1">IFERROR(__xludf.DUMMYFUNCTION("QUERY('Volunteer Survey'!R832)"),"")</f>
        <v/>
      </c>
      <c r="Y438" s="47"/>
      <c r="Z438" s="175" t="str">
        <f ca="1">IFERROR(__xludf.DUMMYFUNCTION("QUERY('Volunteer Survey'!A437)"),"")</f>
        <v/>
      </c>
      <c r="AA438" s="175" t="str">
        <f ca="1">IFERROR(__xludf.DUMMYFUNCTION("QUERY('Volunteer Survey'!B437)"),"")</f>
        <v/>
      </c>
      <c r="AB438" s="175" t="str">
        <f ca="1">IFERROR(__xludf.DUMMYFUNCTION("QUERY('Volunteer Survey'!C437)"),"")</f>
        <v/>
      </c>
      <c r="AC438" s="175" t="str">
        <f ca="1">IFERROR(__xludf.DUMMYFUNCTION("QUERY('Volunteer Survey'!D437)"),"")</f>
        <v/>
      </c>
      <c r="AD438" s="175" t="str">
        <f ca="1">IFERROR(__xludf.DUMMYFUNCTION("QUERY('Volunteer Survey'!E437)"),"")</f>
        <v/>
      </c>
      <c r="AE438" s="175" t="str">
        <f ca="1">IFERROR(__xludf.DUMMYFUNCTION("QUERY('Volunteer Survey'!F437)"),"")</f>
        <v/>
      </c>
      <c r="AF438" s="175" t="str">
        <f ca="1">IFERROR(__xludf.DUMMYFUNCTION("QUERY('Volunteer Survey'!G437)"),"")</f>
        <v/>
      </c>
      <c r="AG438" s="175" t="str">
        <f ca="1">IFERROR(__xludf.DUMMYFUNCTION("QUERY('Volunteer Survey'!H437)"),"")</f>
        <v/>
      </c>
      <c r="AH438" s="175" t="str">
        <f ca="1">IFERROR(__xludf.DUMMYFUNCTION("QUERY('Volunteer Survey'!I437)"),"")</f>
        <v/>
      </c>
      <c r="AI438" s="175" t="str">
        <f ca="1">IFERROR(__xludf.DUMMYFUNCTION("QUERY('Volunteer Survey'!J437)"),"")</f>
        <v/>
      </c>
      <c r="AJ438" s="175" t="str">
        <f ca="1">IFERROR(__xludf.DUMMYFUNCTION("QUERY('Volunteer Survey'!K437)"),"")</f>
        <v/>
      </c>
      <c r="AK438" s="175" t="str">
        <f ca="1">IFERROR(__xludf.DUMMYFUNCTION("QUERY('Volunteer Survey'!L437)"),"")</f>
        <v/>
      </c>
      <c r="AL438" s="175" t="str">
        <f ca="1">IFERROR(__xludf.DUMMYFUNCTION("QUERY('Volunteer Survey'!M437)"),"")</f>
        <v/>
      </c>
      <c r="AM438" s="175" t="str">
        <f ca="1">IFERROR(__xludf.DUMMYFUNCTION("QUERY('Volunteer Survey'!N437)"),"")</f>
        <v/>
      </c>
      <c r="AN438" s="175" t="str">
        <f ca="1">IFERROR(__xludf.DUMMYFUNCTION("QUERY('Volunteer Survey'!O437)"),"")</f>
        <v/>
      </c>
      <c r="AO438" s="175" t="str">
        <f ca="1">IFERROR(__xludf.DUMMYFUNCTION("QUERY('Volunteer Survey'!P437)"),"")</f>
        <v/>
      </c>
    </row>
    <row r="439" spans="1:41" ht="14">
      <c r="A439" s="49" t="str">
        <f ca="1">IFERROR(__xludf.DUMMYFUNCTION("QUERY('Volunteer Survey'!A833)"),"")</f>
        <v/>
      </c>
      <c r="B439" s="42" t="s">
        <v>322</v>
      </c>
      <c r="C439" s="47"/>
      <c r="D439" s="49"/>
      <c r="E439" s="49"/>
      <c r="F439" s="49" t="b">
        <v>0</v>
      </c>
      <c r="G439" s="49"/>
      <c r="H439" s="47"/>
      <c r="I439" s="47"/>
      <c r="J439" s="49"/>
      <c r="K439" s="49"/>
      <c r="L439" s="49" t="str">
        <f ca="1">IFERROR(__xludf.DUMMYFUNCTION("QUERY('Volunteer Survey'!B833)"),"")</f>
        <v/>
      </c>
      <c r="M439" s="49" t="str">
        <f ca="1">IFERROR(__xludf.DUMMYFUNCTION("QUERY('Volunteer Survey'!E833)"),"")</f>
        <v/>
      </c>
      <c r="N439" s="49" t="str">
        <f ca="1">IFERROR(__xludf.DUMMYFUNCTION("QUERY('Volunteer Survey'!F833)"),"")</f>
        <v/>
      </c>
      <c r="O439" s="42">
        <f>'Volunteer Survey'!H850</f>
        <v>0</v>
      </c>
      <c r="P439" s="49" t="str">
        <f ca="1">IFERROR(__xludf.DUMMYFUNCTION("QUERY('Volunteer Survey'!I833)"),"")</f>
        <v/>
      </c>
      <c r="Q439" s="54" t="str">
        <f ca="1">IFERROR(__xludf.DUMMYFUNCTION("QUERY('Volunteer Survey'!J833)"),"")</f>
        <v/>
      </c>
      <c r="R439" s="49" t="str">
        <f ca="1">IFERROR(__xludf.DUMMYFUNCTION("QUERY('Volunteer Survey'!K833)"),"")</f>
        <v/>
      </c>
      <c r="S439" s="49" t="str">
        <f ca="1">IFERROR(__xludf.DUMMYFUNCTION("QUERY('Volunteer Survey'!L833)"),"")</f>
        <v/>
      </c>
      <c r="T439" s="49">
        <f>'Volunteer Survey'!M849</f>
        <v>0</v>
      </c>
      <c r="U439" s="58" t="str">
        <f ca="1">IFERROR(__xludf.DUMMYFUNCTION("QUERY('Volunteer Survey'!N833)"),"")</f>
        <v/>
      </c>
      <c r="V439" s="49">
        <f>'Volunteer Survey'!O849</f>
        <v>0</v>
      </c>
      <c r="W439" s="60" t="str">
        <f ca="1">IFERROR(__xludf.DUMMYFUNCTION("QUERY('Volunteer Survey'!P833)"),"")</f>
        <v/>
      </c>
      <c r="X439" s="58" t="str">
        <f ca="1">IFERROR(__xludf.DUMMYFUNCTION("QUERY('Volunteer Survey'!R833)"),"")</f>
        <v/>
      </c>
      <c r="Y439" s="47"/>
      <c r="Z439" s="175" t="str">
        <f ca="1">IFERROR(__xludf.DUMMYFUNCTION("QUERY('Volunteer Survey'!A438)"),"")</f>
        <v/>
      </c>
      <c r="AA439" s="175" t="str">
        <f ca="1">IFERROR(__xludf.DUMMYFUNCTION("QUERY('Volunteer Survey'!B438)"),"")</f>
        <v/>
      </c>
      <c r="AB439" s="175" t="str">
        <f ca="1">IFERROR(__xludf.DUMMYFUNCTION("QUERY('Volunteer Survey'!C438)"),"")</f>
        <v/>
      </c>
      <c r="AC439" s="175" t="str">
        <f ca="1">IFERROR(__xludf.DUMMYFUNCTION("QUERY('Volunteer Survey'!D438)"),"")</f>
        <v/>
      </c>
      <c r="AD439" s="175" t="str">
        <f ca="1">IFERROR(__xludf.DUMMYFUNCTION("QUERY('Volunteer Survey'!E438)"),"")</f>
        <v/>
      </c>
      <c r="AE439" s="175" t="str">
        <f ca="1">IFERROR(__xludf.DUMMYFUNCTION("QUERY('Volunteer Survey'!F438)"),"")</f>
        <v/>
      </c>
      <c r="AF439" s="175" t="str">
        <f ca="1">IFERROR(__xludf.DUMMYFUNCTION("QUERY('Volunteer Survey'!G438)"),"")</f>
        <v/>
      </c>
      <c r="AG439" s="175" t="str">
        <f ca="1">IFERROR(__xludf.DUMMYFUNCTION("QUERY('Volunteer Survey'!H438)"),"")</f>
        <v/>
      </c>
      <c r="AH439" s="175" t="str">
        <f ca="1">IFERROR(__xludf.DUMMYFUNCTION("QUERY('Volunteer Survey'!I438)"),"")</f>
        <v/>
      </c>
      <c r="AI439" s="175" t="str">
        <f ca="1">IFERROR(__xludf.DUMMYFUNCTION("QUERY('Volunteer Survey'!J438)"),"")</f>
        <v/>
      </c>
      <c r="AJ439" s="175" t="str">
        <f ca="1">IFERROR(__xludf.DUMMYFUNCTION("QUERY('Volunteer Survey'!K438)"),"")</f>
        <v/>
      </c>
      <c r="AK439" s="175" t="str">
        <f ca="1">IFERROR(__xludf.DUMMYFUNCTION("QUERY('Volunteer Survey'!L438)"),"")</f>
        <v/>
      </c>
      <c r="AL439" s="175" t="str">
        <f ca="1">IFERROR(__xludf.DUMMYFUNCTION("QUERY('Volunteer Survey'!M438)"),"")</f>
        <v/>
      </c>
      <c r="AM439" s="175" t="str">
        <f ca="1">IFERROR(__xludf.DUMMYFUNCTION("QUERY('Volunteer Survey'!N438)"),"")</f>
        <v/>
      </c>
      <c r="AN439" s="175" t="str">
        <f ca="1">IFERROR(__xludf.DUMMYFUNCTION("QUERY('Volunteer Survey'!O438)"),"")</f>
        <v/>
      </c>
      <c r="AO439" s="175" t="str">
        <f ca="1">IFERROR(__xludf.DUMMYFUNCTION("QUERY('Volunteer Survey'!P438)"),"")</f>
        <v/>
      </c>
    </row>
    <row r="440" spans="1:41" ht="14">
      <c r="A440" s="49" t="str">
        <f ca="1">IFERROR(__xludf.DUMMYFUNCTION("QUERY('Volunteer Survey'!A834)"),"")</f>
        <v/>
      </c>
      <c r="B440" s="42" t="s">
        <v>322</v>
      </c>
      <c r="C440" s="47"/>
      <c r="D440" s="49"/>
      <c r="E440" s="49"/>
      <c r="F440" s="49" t="b">
        <v>0</v>
      </c>
      <c r="G440" s="49"/>
      <c r="H440" s="47"/>
      <c r="I440" s="47"/>
      <c r="J440" s="49"/>
      <c r="K440" s="49"/>
      <c r="L440" s="49" t="str">
        <f ca="1">IFERROR(__xludf.DUMMYFUNCTION("QUERY('Volunteer Survey'!B834)"),"")</f>
        <v/>
      </c>
      <c r="M440" s="49" t="str">
        <f ca="1">IFERROR(__xludf.DUMMYFUNCTION("QUERY('Volunteer Survey'!E834)"),"")</f>
        <v/>
      </c>
      <c r="N440" s="49" t="str">
        <f ca="1">IFERROR(__xludf.DUMMYFUNCTION("QUERY('Volunteer Survey'!F834)"),"")</f>
        <v/>
      </c>
      <c r="O440" s="42">
        <f>'Volunteer Survey'!H851</f>
        <v>0</v>
      </c>
      <c r="P440" s="49" t="str">
        <f ca="1">IFERROR(__xludf.DUMMYFUNCTION("QUERY('Volunteer Survey'!I834)"),"")</f>
        <v/>
      </c>
      <c r="Q440" s="54" t="str">
        <f ca="1">IFERROR(__xludf.DUMMYFUNCTION("QUERY('Volunteer Survey'!J834)"),"")</f>
        <v/>
      </c>
      <c r="R440" s="49" t="str">
        <f ca="1">IFERROR(__xludf.DUMMYFUNCTION("QUERY('Volunteer Survey'!K834)"),"")</f>
        <v/>
      </c>
      <c r="S440" s="49" t="str">
        <f ca="1">IFERROR(__xludf.DUMMYFUNCTION("QUERY('Volunteer Survey'!L834)"),"")</f>
        <v/>
      </c>
      <c r="T440" s="49">
        <f>'Volunteer Survey'!M850</f>
        <v>0</v>
      </c>
      <c r="U440" s="58" t="str">
        <f ca="1">IFERROR(__xludf.DUMMYFUNCTION("QUERY('Volunteer Survey'!N834)"),"")</f>
        <v/>
      </c>
      <c r="V440" s="49">
        <f>'Volunteer Survey'!O850</f>
        <v>0</v>
      </c>
      <c r="W440" s="60" t="str">
        <f ca="1">IFERROR(__xludf.DUMMYFUNCTION("QUERY('Volunteer Survey'!P834)"),"")</f>
        <v/>
      </c>
      <c r="X440" s="58" t="str">
        <f ca="1">IFERROR(__xludf.DUMMYFUNCTION("QUERY('Volunteer Survey'!R834)"),"")</f>
        <v/>
      </c>
      <c r="Y440" s="47"/>
      <c r="Z440" s="175" t="str">
        <f ca="1">IFERROR(__xludf.DUMMYFUNCTION("QUERY('Volunteer Survey'!A439)"),"")</f>
        <v/>
      </c>
      <c r="AA440" s="175" t="str">
        <f ca="1">IFERROR(__xludf.DUMMYFUNCTION("QUERY('Volunteer Survey'!B439)"),"")</f>
        <v/>
      </c>
      <c r="AB440" s="175" t="str">
        <f ca="1">IFERROR(__xludf.DUMMYFUNCTION("QUERY('Volunteer Survey'!C439)"),"")</f>
        <v/>
      </c>
      <c r="AC440" s="175" t="str">
        <f ca="1">IFERROR(__xludf.DUMMYFUNCTION("QUERY('Volunteer Survey'!D439)"),"")</f>
        <v/>
      </c>
      <c r="AD440" s="175" t="str">
        <f ca="1">IFERROR(__xludf.DUMMYFUNCTION("QUERY('Volunteer Survey'!E439)"),"")</f>
        <v/>
      </c>
      <c r="AE440" s="175" t="str">
        <f ca="1">IFERROR(__xludf.DUMMYFUNCTION("QUERY('Volunteer Survey'!F439)"),"")</f>
        <v/>
      </c>
      <c r="AF440" s="175" t="str">
        <f ca="1">IFERROR(__xludf.DUMMYFUNCTION("QUERY('Volunteer Survey'!G439)"),"")</f>
        <v/>
      </c>
      <c r="AG440" s="175" t="str">
        <f ca="1">IFERROR(__xludf.DUMMYFUNCTION("QUERY('Volunteer Survey'!H439)"),"")</f>
        <v/>
      </c>
      <c r="AH440" s="175" t="str">
        <f ca="1">IFERROR(__xludf.DUMMYFUNCTION("QUERY('Volunteer Survey'!I439)"),"")</f>
        <v/>
      </c>
      <c r="AI440" s="175" t="str">
        <f ca="1">IFERROR(__xludf.DUMMYFUNCTION("QUERY('Volunteer Survey'!J439)"),"")</f>
        <v/>
      </c>
      <c r="AJ440" s="175" t="str">
        <f ca="1">IFERROR(__xludf.DUMMYFUNCTION("QUERY('Volunteer Survey'!K439)"),"")</f>
        <v/>
      </c>
      <c r="AK440" s="175" t="str">
        <f ca="1">IFERROR(__xludf.DUMMYFUNCTION("QUERY('Volunteer Survey'!L439)"),"")</f>
        <v/>
      </c>
      <c r="AL440" s="175" t="str">
        <f ca="1">IFERROR(__xludf.DUMMYFUNCTION("QUERY('Volunteer Survey'!M439)"),"")</f>
        <v/>
      </c>
      <c r="AM440" s="175" t="str">
        <f ca="1">IFERROR(__xludf.DUMMYFUNCTION("QUERY('Volunteer Survey'!N439)"),"")</f>
        <v/>
      </c>
      <c r="AN440" s="175" t="str">
        <f ca="1">IFERROR(__xludf.DUMMYFUNCTION("QUERY('Volunteer Survey'!O439)"),"")</f>
        <v/>
      </c>
      <c r="AO440" s="175" t="str">
        <f ca="1">IFERROR(__xludf.DUMMYFUNCTION("QUERY('Volunteer Survey'!P439)"),"")</f>
        <v/>
      </c>
    </row>
    <row r="441" spans="1:41" ht="14">
      <c r="A441" s="49" t="str">
        <f ca="1">IFERROR(__xludf.DUMMYFUNCTION("QUERY('Volunteer Survey'!A835)"),"")</f>
        <v/>
      </c>
      <c r="B441" s="42" t="s">
        <v>322</v>
      </c>
      <c r="C441" s="47"/>
      <c r="D441" s="49"/>
      <c r="E441" s="49"/>
      <c r="F441" s="49" t="b">
        <v>0</v>
      </c>
      <c r="G441" s="49"/>
      <c r="H441" s="47"/>
      <c r="I441" s="47"/>
      <c r="J441" s="49"/>
      <c r="K441" s="49"/>
      <c r="L441" s="49" t="str">
        <f ca="1">IFERROR(__xludf.DUMMYFUNCTION("QUERY('Volunteer Survey'!B835)"),"")</f>
        <v/>
      </c>
      <c r="M441" s="49" t="str">
        <f ca="1">IFERROR(__xludf.DUMMYFUNCTION("QUERY('Volunteer Survey'!E835)"),"")</f>
        <v/>
      </c>
      <c r="N441" s="49" t="str">
        <f ca="1">IFERROR(__xludf.DUMMYFUNCTION("QUERY('Volunteer Survey'!F835)"),"")</f>
        <v/>
      </c>
      <c r="O441" s="42">
        <f>'Volunteer Survey'!H852</f>
        <v>0</v>
      </c>
      <c r="P441" s="49" t="str">
        <f ca="1">IFERROR(__xludf.DUMMYFUNCTION("QUERY('Volunteer Survey'!I835)"),"")</f>
        <v/>
      </c>
      <c r="Q441" s="54" t="str">
        <f ca="1">IFERROR(__xludf.DUMMYFUNCTION("QUERY('Volunteer Survey'!J835)"),"")</f>
        <v/>
      </c>
      <c r="R441" s="49" t="str">
        <f ca="1">IFERROR(__xludf.DUMMYFUNCTION("QUERY('Volunteer Survey'!K835)"),"")</f>
        <v/>
      </c>
      <c r="S441" s="49" t="str">
        <f ca="1">IFERROR(__xludf.DUMMYFUNCTION("QUERY('Volunteer Survey'!L835)"),"")</f>
        <v/>
      </c>
      <c r="T441" s="49">
        <f>'Volunteer Survey'!M851</f>
        <v>0</v>
      </c>
      <c r="U441" s="58" t="str">
        <f ca="1">IFERROR(__xludf.DUMMYFUNCTION("QUERY('Volunteer Survey'!N835)"),"")</f>
        <v/>
      </c>
      <c r="V441" s="49">
        <f>'Volunteer Survey'!O851</f>
        <v>0</v>
      </c>
      <c r="W441" s="60" t="str">
        <f ca="1">IFERROR(__xludf.DUMMYFUNCTION("QUERY('Volunteer Survey'!P835)"),"")</f>
        <v/>
      </c>
      <c r="X441" s="58" t="str">
        <f ca="1">IFERROR(__xludf.DUMMYFUNCTION("QUERY('Volunteer Survey'!R835)"),"")</f>
        <v/>
      </c>
      <c r="Y441" s="47"/>
      <c r="Z441" s="175" t="str">
        <f ca="1">IFERROR(__xludf.DUMMYFUNCTION("QUERY('Volunteer Survey'!A440)"),"")</f>
        <v/>
      </c>
      <c r="AA441" s="175" t="str">
        <f ca="1">IFERROR(__xludf.DUMMYFUNCTION("QUERY('Volunteer Survey'!B440)"),"")</f>
        <v/>
      </c>
      <c r="AB441" s="175" t="str">
        <f ca="1">IFERROR(__xludf.DUMMYFUNCTION("QUERY('Volunteer Survey'!C440)"),"")</f>
        <v/>
      </c>
      <c r="AC441" s="175" t="str">
        <f ca="1">IFERROR(__xludf.DUMMYFUNCTION("QUERY('Volunteer Survey'!D440)"),"")</f>
        <v/>
      </c>
      <c r="AD441" s="175" t="str">
        <f ca="1">IFERROR(__xludf.DUMMYFUNCTION("QUERY('Volunteer Survey'!E440)"),"")</f>
        <v/>
      </c>
      <c r="AE441" s="175" t="str">
        <f ca="1">IFERROR(__xludf.DUMMYFUNCTION("QUERY('Volunteer Survey'!F440)"),"")</f>
        <v/>
      </c>
      <c r="AF441" s="175" t="str">
        <f ca="1">IFERROR(__xludf.DUMMYFUNCTION("QUERY('Volunteer Survey'!G440)"),"")</f>
        <v/>
      </c>
      <c r="AG441" s="175" t="str">
        <f ca="1">IFERROR(__xludf.DUMMYFUNCTION("QUERY('Volunteer Survey'!H440)"),"")</f>
        <v/>
      </c>
      <c r="AH441" s="175" t="str">
        <f ca="1">IFERROR(__xludf.DUMMYFUNCTION("QUERY('Volunteer Survey'!I440)"),"")</f>
        <v/>
      </c>
      <c r="AI441" s="175" t="str">
        <f ca="1">IFERROR(__xludf.DUMMYFUNCTION("QUERY('Volunteer Survey'!J440)"),"")</f>
        <v/>
      </c>
      <c r="AJ441" s="175" t="str">
        <f ca="1">IFERROR(__xludf.DUMMYFUNCTION("QUERY('Volunteer Survey'!K440)"),"")</f>
        <v/>
      </c>
      <c r="AK441" s="175" t="str">
        <f ca="1">IFERROR(__xludf.DUMMYFUNCTION("QUERY('Volunteer Survey'!L440)"),"")</f>
        <v/>
      </c>
      <c r="AL441" s="175" t="str">
        <f ca="1">IFERROR(__xludf.DUMMYFUNCTION("QUERY('Volunteer Survey'!M440)"),"")</f>
        <v/>
      </c>
      <c r="AM441" s="175" t="str">
        <f ca="1">IFERROR(__xludf.DUMMYFUNCTION("QUERY('Volunteer Survey'!N440)"),"")</f>
        <v/>
      </c>
      <c r="AN441" s="175" t="str">
        <f ca="1">IFERROR(__xludf.DUMMYFUNCTION("QUERY('Volunteer Survey'!O440)"),"")</f>
        <v/>
      </c>
      <c r="AO441" s="175" t="str">
        <f ca="1">IFERROR(__xludf.DUMMYFUNCTION("QUERY('Volunteer Survey'!P440)"),"")</f>
        <v/>
      </c>
    </row>
    <row r="442" spans="1:41" ht="14">
      <c r="A442" s="49" t="str">
        <f ca="1">IFERROR(__xludf.DUMMYFUNCTION("QUERY('Volunteer Survey'!A836)"),"")</f>
        <v/>
      </c>
      <c r="B442" s="42" t="s">
        <v>322</v>
      </c>
      <c r="C442" s="47"/>
      <c r="D442" s="49"/>
      <c r="E442" s="49"/>
      <c r="F442" s="49" t="b">
        <v>0</v>
      </c>
      <c r="G442" s="49"/>
      <c r="H442" s="47"/>
      <c r="I442" s="47"/>
      <c r="J442" s="49"/>
      <c r="K442" s="49"/>
      <c r="L442" s="49" t="str">
        <f ca="1">IFERROR(__xludf.DUMMYFUNCTION("QUERY('Volunteer Survey'!B836)"),"")</f>
        <v/>
      </c>
      <c r="M442" s="49" t="str">
        <f ca="1">IFERROR(__xludf.DUMMYFUNCTION("QUERY('Volunteer Survey'!E836)"),"")</f>
        <v/>
      </c>
      <c r="N442" s="49" t="str">
        <f ca="1">IFERROR(__xludf.DUMMYFUNCTION("QUERY('Volunteer Survey'!F836)"),"")</f>
        <v/>
      </c>
      <c r="O442" s="42">
        <f>'Volunteer Survey'!H853</f>
        <v>0</v>
      </c>
      <c r="P442" s="49" t="str">
        <f ca="1">IFERROR(__xludf.DUMMYFUNCTION("QUERY('Volunteer Survey'!I836)"),"")</f>
        <v/>
      </c>
      <c r="Q442" s="54" t="str">
        <f ca="1">IFERROR(__xludf.DUMMYFUNCTION("QUERY('Volunteer Survey'!J836)"),"")</f>
        <v/>
      </c>
      <c r="R442" s="49" t="str">
        <f ca="1">IFERROR(__xludf.DUMMYFUNCTION("QUERY('Volunteer Survey'!K836)"),"")</f>
        <v/>
      </c>
      <c r="S442" s="49" t="str">
        <f ca="1">IFERROR(__xludf.DUMMYFUNCTION("QUERY('Volunteer Survey'!L836)"),"")</f>
        <v/>
      </c>
      <c r="T442" s="49">
        <f>'Volunteer Survey'!M852</f>
        <v>0</v>
      </c>
      <c r="U442" s="58" t="str">
        <f ca="1">IFERROR(__xludf.DUMMYFUNCTION("QUERY('Volunteer Survey'!N836)"),"")</f>
        <v/>
      </c>
      <c r="V442" s="49">
        <f>'Volunteer Survey'!O852</f>
        <v>0</v>
      </c>
      <c r="W442" s="60" t="str">
        <f ca="1">IFERROR(__xludf.DUMMYFUNCTION("QUERY('Volunteer Survey'!P836)"),"")</f>
        <v/>
      </c>
      <c r="X442" s="58" t="str">
        <f ca="1">IFERROR(__xludf.DUMMYFUNCTION("QUERY('Volunteer Survey'!R836)"),"")</f>
        <v/>
      </c>
      <c r="Y442" s="47"/>
      <c r="Z442" s="175" t="str">
        <f ca="1">IFERROR(__xludf.DUMMYFUNCTION("QUERY('Volunteer Survey'!A441)"),"")</f>
        <v/>
      </c>
      <c r="AA442" s="175" t="str">
        <f ca="1">IFERROR(__xludf.DUMMYFUNCTION("QUERY('Volunteer Survey'!B441)"),"")</f>
        <v/>
      </c>
      <c r="AB442" s="175" t="str">
        <f ca="1">IFERROR(__xludf.DUMMYFUNCTION("QUERY('Volunteer Survey'!C441)"),"")</f>
        <v/>
      </c>
      <c r="AC442" s="175" t="str">
        <f ca="1">IFERROR(__xludf.DUMMYFUNCTION("QUERY('Volunteer Survey'!D441)"),"")</f>
        <v/>
      </c>
      <c r="AD442" s="175" t="str">
        <f ca="1">IFERROR(__xludf.DUMMYFUNCTION("QUERY('Volunteer Survey'!E441)"),"")</f>
        <v/>
      </c>
      <c r="AE442" s="175" t="str">
        <f ca="1">IFERROR(__xludf.DUMMYFUNCTION("QUERY('Volunteer Survey'!F441)"),"")</f>
        <v/>
      </c>
      <c r="AF442" s="175" t="str">
        <f ca="1">IFERROR(__xludf.DUMMYFUNCTION("QUERY('Volunteer Survey'!G441)"),"")</f>
        <v/>
      </c>
      <c r="AG442" s="175" t="str">
        <f ca="1">IFERROR(__xludf.DUMMYFUNCTION("QUERY('Volunteer Survey'!H441)"),"")</f>
        <v/>
      </c>
      <c r="AH442" s="175" t="str">
        <f ca="1">IFERROR(__xludf.DUMMYFUNCTION("QUERY('Volunteer Survey'!I441)"),"")</f>
        <v/>
      </c>
      <c r="AI442" s="175" t="str">
        <f ca="1">IFERROR(__xludf.DUMMYFUNCTION("QUERY('Volunteer Survey'!J441)"),"")</f>
        <v/>
      </c>
      <c r="AJ442" s="175" t="str">
        <f ca="1">IFERROR(__xludf.DUMMYFUNCTION("QUERY('Volunteer Survey'!K441)"),"")</f>
        <v/>
      </c>
      <c r="AK442" s="175" t="str">
        <f ca="1">IFERROR(__xludf.DUMMYFUNCTION("QUERY('Volunteer Survey'!L441)"),"")</f>
        <v/>
      </c>
      <c r="AL442" s="175" t="str">
        <f ca="1">IFERROR(__xludf.DUMMYFUNCTION("QUERY('Volunteer Survey'!M441)"),"")</f>
        <v/>
      </c>
      <c r="AM442" s="175" t="str">
        <f ca="1">IFERROR(__xludf.DUMMYFUNCTION("QUERY('Volunteer Survey'!N441)"),"")</f>
        <v/>
      </c>
      <c r="AN442" s="175" t="str">
        <f ca="1">IFERROR(__xludf.DUMMYFUNCTION("QUERY('Volunteer Survey'!O441)"),"")</f>
        <v/>
      </c>
      <c r="AO442" s="175" t="str">
        <f ca="1">IFERROR(__xludf.DUMMYFUNCTION("QUERY('Volunteer Survey'!P441)"),"")</f>
        <v/>
      </c>
    </row>
    <row r="443" spans="1:41" ht="14">
      <c r="A443" s="49" t="str">
        <f ca="1">IFERROR(__xludf.DUMMYFUNCTION("QUERY('Volunteer Survey'!A837)"),"")</f>
        <v/>
      </c>
      <c r="B443" s="42" t="s">
        <v>322</v>
      </c>
      <c r="C443" s="47"/>
      <c r="D443" s="49"/>
      <c r="E443" s="49"/>
      <c r="F443" s="49" t="b">
        <v>0</v>
      </c>
      <c r="G443" s="49"/>
      <c r="H443" s="47"/>
      <c r="I443" s="47"/>
      <c r="J443" s="49"/>
      <c r="K443" s="49"/>
      <c r="L443" s="49" t="str">
        <f ca="1">IFERROR(__xludf.DUMMYFUNCTION("QUERY('Volunteer Survey'!B837)"),"")</f>
        <v/>
      </c>
      <c r="M443" s="49" t="str">
        <f ca="1">IFERROR(__xludf.DUMMYFUNCTION("QUERY('Volunteer Survey'!E837)"),"")</f>
        <v/>
      </c>
      <c r="N443" s="49" t="str">
        <f ca="1">IFERROR(__xludf.DUMMYFUNCTION("QUERY('Volunteer Survey'!F837)"),"")</f>
        <v/>
      </c>
      <c r="O443" s="42">
        <f>'Volunteer Survey'!H854</f>
        <v>0</v>
      </c>
      <c r="P443" s="49" t="str">
        <f ca="1">IFERROR(__xludf.DUMMYFUNCTION("QUERY('Volunteer Survey'!I837)"),"")</f>
        <v/>
      </c>
      <c r="Q443" s="54" t="str">
        <f ca="1">IFERROR(__xludf.DUMMYFUNCTION("QUERY('Volunteer Survey'!J837)"),"")</f>
        <v/>
      </c>
      <c r="R443" s="49" t="str">
        <f ca="1">IFERROR(__xludf.DUMMYFUNCTION("QUERY('Volunteer Survey'!K837)"),"")</f>
        <v/>
      </c>
      <c r="S443" s="49" t="str">
        <f ca="1">IFERROR(__xludf.DUMMYFUNCTION("QUERY('Volunteer Survey'!L837)"),"")</f>
        <v/>
      </c>
      <c r="T443" s="49">
        <f>'Volunteer Survey'!M853</f>
        <v>0</v>
      </c>
      <c r="U443" s="58" t="str">
        <f ca="1">IFERROR(__xludf.DUMMYFUNCTION("QUERY('Volunteer Survey'!N837)"),"")</f>
        <v/>
      </c>
      <c r="V443" s="49">
        <f>'Volunteer Survey'!O853</f>
        <v>0</v>
      </c>
      <c r="W443" s="60" t="str">
        <f ca="1">IFERROR(__xludf.DUMMYFUNCTION("QUERY('Volunteer Survey'!P837)"),"")</f>
        <v/>
      </c>
      <c r="X443" s="58" t="str">
        <f ca="1">IFERROR(__xludf.DUMMYFUNCTION("QUERY('Volunteer Survey'!R837)"),"")</f>
        <v/>
      </c>
      <c r="Y443" s="47"/>
      <c r="Z443" s="175" t="str">
        <f ca="1">IFERROR(__xludf.DUMMYFUNCTION("QUERY('Volunteer Survey'!A442)"),"")</f>
        <v/>
      </c>
      <c r="AA443" s="175" t="str">
        <f ca="1">IFERROR(__xludf.DUMMYFUNCTION("QUERY('Volunteer Survey'!B442)"),"")</f>
        <v/>
      </c>
      <c r="AB443" s="175" t="str">
        <f ca="1">IFERROR(__xludf.DUMMYFUNCTION("QUERY('Volunteer Survey'!C442)"),"")</f>
        <v/>
      </c>
      <c r="AC443" s="175" t="str">
        <f ca="1">IFERROR(__xludf.DUMMYFUNCTION("QUERY('Volunteer Survey'!D442)"),"")</f>
        <v/>
      </c>
      <c r="AD443" s="175" t="str">
        <f ca="1">IFERROR(__xludf.DUMMYFUNCTION("QUERY('Volunteer Survey'!E442)"),"")</f>
        <v/>
      </c>
      <c r="AE443" s="175" t="str">
        <f ca="1">IFERROR(__xludf.DUMMYFUNCTION("QUERY('Volunteer Survey'!F442)"),"")</f>
        <v/>
      </c>
      <c r="AF443" s="175" t="str">
        <f ca="1">IFERROR(__xludf.DUMMYFUNCTION("QUERY('Volunteer Survey'!G442)"),"")</f>
        <v/>
      </c>
      <c r="AG443" s="175" t="str">
        <f ca="1">IFERROR(__xludf.DUMMYFUNCTION("QUERY('Volunteer Survey'!H442)"),"")</f>
        <v/>
      </c>
      <c r="AH443" s="175" t="str">
        <f ca="1">IFERROR(__xludf.DUMMYFUNCTION("QUERY('Volunteer Survey'!I442)"),"")</f>
        <v/>
      </c>
      <c r="AI443" s="175" t="str">
        <f ca="1">IFERROR(__xludf.DUMMYFUNCTION("QUERY('Volunteer Survey'!J442)"),"")</f>
        <v/>
      </c>
      <c r="AJ443" s="175" t="str">
        <f ca="1">IFERROR(__xludf.DUMMYFUNCTION("QUERY('Volunteer Survey'!K442)"),"")</f>
        <v/>
      </c>
      <c r="AK443" s="175" t="str">
        <f ca="1">IFERROR(__xludf.DUMMYFUNCTION("QUERY('Volunteer Survey'!L442)"),"")</f>
        <v/>
      </c>
      <c r="AL443" s="175" t="str">
        <f ca="1">IFERROR(__xludf.DUMMYFUNCTION("QUERY('Volunteer Survey'!M442)"),"")</f>
        <v/>
      </c>
      <c r="AM443" s="175" t="str">
        <f ca="1">IFERROR(__xludf.DUMMYFUNCTION("QUERY('Volunteer Survey'!N442)"),"")</f>
        <v/>
      </c>
      <c r="AN443" s="175" t="str">
        <f ca="1">IFERROR(__xludf.DUMMYFUNCTION("QUERY('Volunteer Survey'!O442)"),"")</f>
        <v/>
      </c>
      <c r="AO443" s="175" t="str">
        <f ca="1">IFERROR(__xludf.DUMMYFUNCTION("QUERY('Volunteer Survey'!P442)"),"")</f>
        <v/>
      </c>
    </row>
    <row r="444" spans="1:41" ht="14">
      <c r="A444" s="49" t="str">
        <f ca="1">IFERROR(__xludf.DUMMYFUNCTION("QUERY('Volunteer Survey'!A838)"),"")</f>
        <v/>
      </c>
      <c r="B444" s="42" t="s">
        <v>322</v>
      </c>
      <c r="C444" s="47"/>
      <c r="D444" s="49"/>
      <c r="E444" s="49"/>
      <c r="F444" s="49" t="b">
        <v>0</v>
      </c>
      <c r="G444" s="49"/>
      <c r="H444" s="47"/>
      <c r="I444" s="47"/>
      <c r="J444" s="49"/>
      <c r="K444" s="49"/>
      <c r="L444" s="49" t="str">
        <f ca="1">IFERROR(__xludf.DUMMYFUNCTION("QUERY('Volunteer Survey'!B838)"),"")</f>
        <v/>
      </c>
      <c r="M444" s="49" t="str">
        <f ca="1">IFERROR(__xludf.DUMMYFUNCTION("QUERY('Volunteer Survey'!E838)"),"")</f>
        <v/>
      </c>
      <c r="N444" s="49" t="str">
        <f ca="1">IFERROR(__xludf.DUMMYFUNCTION("QUERY('Volunteer Survey'!F838)"),"")</f>
        <v/>
      </c>
      <c r="O444" s="42">
        <f>'Volunteer Survey'!H855</f>
        <v>0</v>
      </c>
      <c r="P444" s="49" t="str">
        <f ca="1">IFERROR(__xludf.DUMMYFUNCTION("QUERY('Volunteer Survey'!I838)"),"")</f>
        <v/>
      </c>
      <c r="Q444" s="54" t="str">
        <f ca="1">IFERROR(__xludf.DUMMYFUNCTION("QUERY('Volunteer Survey'!J838)"),"")</f>
        <v/>
      </c>
      <c r="R444" s="49" t="str">
        <f ca="1">IFERROR(__xludf.DUMMYFUNCTION("QUERY('Volunteer Survey'!K838)"),"")</f>
        <v/>
      </c>
      <c r="S444" s="49" t="str">
        <f ca="1">IFERROR(__xludf.DUMMYFUNCTION("QUERY('Volunteer Survey'!L838)"),"")</f>
        <v/>
      </c>
      <c r="T444" s="49">
        <f>'Volunteer Survey'!M854</f>
        <v>0</v>
      </c>
      <c r="U444" s="58" t="str">
        <f ca="1">IFERROR(__xludf.DUMMYFUNCTION("QUERY('Volunteer Survey'!N838)"),"")</f>
        <v/>
      </c>
      <c r="V444" s="49">
        <f>'Volunteer Survey'!O854</f>
        <v>0</v>
      </c>
      <c r="W444" s="60" t="str">
        <f ca="1">IFERROR(__xludf.DUMMYFUNCTION("QUERY('Volunteer Survey'!P838)"),"")</f>
        <v/>
      </c>
      <c r="X444" s="58" t="str">
        <f ca="1">IFERROR(__xludf.DUMMYFUNCTION("QUERY('Volunteer Survey'!R838)"),"")</f>
        <v/>
      </c>
      <c r="Y444" s="47"/>
      <c r="Z444" s="175" t="str">
        <f ca="1">IFERROR(__xludf.DUMMYFUNCTION("QUERY('Volunteer Survey'!A443)"),"")</f>
        <v/>
      </c>
      <c r="AA444" s="175" t="str">
        <f ca="1">IFERROR(__xludf.DUMMYFUNCTION("QUERY('Volunteer Survey'!B443)"),"")</f>
        <v/>
      </c>
      <c r="AB444" s="175" t="str">
        <f ca="1">IFERROR(__xludf.DUMMYFUNCTION("QUERY('Volunteer Survey'!C443)"),"")</f>
        <v/>
      </c>
      <c r="AC444" s="175" t="str">
        <f ca="1">IFERROR(__xludf.DUMMYFUNCTION("QUERY('Volunteer Survey'!D443)"),"")</f>
        <v/>
      </c>
      <c r="AD444" s="175" t="str">
        <f ca="1">IFERROR(__xludf.DUMMYFUNCTION("QUERY('Volunteer Survey'!E443)"),"")</f>
        <v/>
      </c>
      <c r="AE444" s="175" t="str">
        <f ca="1">IFERROR(__xludf.DUMMYFUNCTION("QUERY('Volunteer Survey'!F443)"),"")</f>
        <v/>
      </c>
      <c r="AF444" s="175" t="str">
        <f ca="1">IFERROR(__xludf.DUMMYFUNCTION("QUERY('Volunteer Survey'!G443)"),"")</f>
        <v/>
      </c>
      <c r="AG444" s="175" t="str">
        <f ca="1">IFERROR(__xludf.DUMMYFUNCTION("QUERY('Volunteer Survey'!H443)"),"")</f>
        <v/>
      </c>
      <c r="AH444" s="175" t="str">
        <f ca="1">IFERROR(__xludf.DUMMYFUNCTION("QUERY('Volunteer Survey'!I443)"),"")</f>
        <v/>
      </c>
      <c r="AI444" s="175" t="str">
        <f ca="1">IFERROR(__xludf.DUMMYFUNCTION("QUERY('Volunteer Survey'!J443)"),"")</f>
        <v/>
      </c>
      <c r="AJ444" s="175" t="str">
        <f ca="1">IFERROR(__xludf.DUMMYFUNCTION("QUERY('Volunteer Survey'!K443)"),"")</f>
        <v/>
      </c>
      <c r="AK444" s="175" t="str">
        <f ca="1">IFERROR(__xludf.DUMMYFUNCTION("QUERY('Volunteer Survey'!L443)"),"")</f>
        <v/>
      </c>
      <c r="AL444" s="175" t="str">
        <f ca="1">IFERROR(__xludf.DUMMYFUNCTION("QUERY('Volunteer Survey'!M443)"),"")</f>
        <v/>
      </c>
      <c r="AM444" s="175" t="str">
        <f ca="1">IFERROR(__xludf.DUMMYFUNCTION("QUERY('Volunteer Survey'!N443)"),"")</f>
        <v/>
      </c>
      <c r="AN444" s="175" t="str">
        <f ca="1">IFERROR(__xludf.DUMMYFUNCTION("QUERY('Volunteer Survey'!O443)"),"")</f>
        <v/>
      </c>
      <c r="AO444" s="175" t="str">
        <f ca="1">IFERROR(__xludf.DUMMYFUNCTION("QUERY('Volunteer Survey'!P443)"),"")</f>
        <v/>
      </c>
    </row>
    <row r="445" spans="1:41" ht="14">
      <c r="A445" s="49" t="str">
        <f ca="1">IFERROR(__xludf.DUMMYFUNCTION("QUERY('Volunteer Survey'!A839)"),"")</f>
        <v/>
      </c>
      <c r="B445" s="42" t="s">
        <v>322</v>
      </c>
      <c r="C445" s="47"/>
      <c r="D445" s="49"/>
      <c r="E445" s="49"/>
      <c r="F445" s="49" t="b">
        <v>0</v>
      </c>
      <c r="G445" s="49"/>
      <c r="H445" s="47"/>
      <c r="I445" s="47"/>
      <c r="J445" s="49"/>
      <c r="K445" s="49"/>
      <c r="L445" s="49" t="str">
        <f ca="1">IFERROR(__xludf.DUMMYFUNCTION("QUERY('Volunteer Survey'!B839)"),"")</f>
        <v/>
      </c>
      <c r="M445" s="49" t="str">
        <f ca="1">IFERROR(__xludf.DUMMYFUNCTION("QUERY('Volunteer Survey'!E839)"),"")</f>
        <v/>
      </c>
      <c r="N445" s="49">
        <f>'Volunteer Survey'!F855</f>
        <v>0</v>
      </c>
      <c r="O445" s="42">
        <f>'Volunteer Survey'!H856</f>
        <v>0</v>
      </c>
      <c r="P445" s="49" t="str">
        <f ca="1">IFERROR(__xludf.DUMMYFUNCTION("QUERY('Volunteer Survey'!I839)"),"")</f>
        <v/>
      </c>
      <c r="Q445" s="54" t="str">
        <f ca="1">IFERROR(__xludf.DUMMYFUNCTION("QUERY('Volunteer Survey'!J839)"),"")</f>
        <v/>
      </c>
      <c r="R445" s="49" t="str">
        <f ca="1">IFERROR(__xludf.DUMMYFUNCTION("QUERY('Volunteer Survey'!K839)"),"")</f>
        <v/>
      </c>
      <c r="S445" s="49" t="str">
        <f ca="1">IFERROR(__xludf.DUMMYFUNCTION("QUERY('Volunteer Survey'!L839)"),"")</f>
        <v/>
      </c>
      <c r="T445" s="49">
        <f>'Volunteer Survey'!M855</f>
        <v>0</v>
      </c>
      <c r="U445" s="58" t="str">
        <f ca="1">IFERROR(__xludf.DUMMYFUNCTION("QUERY('Volunteer Survey'!N839)"),"")</f>
        <v/>
      </c>
      <c r="V445" s="49">
        <f>'Volunteer Survey'!O855</f>
        <v>0</v>
      </c>
      <c r="W445" s="60" t="str">
        <f ca="1">IFERROR(__xludf.DUMMYFUNCTION("QUERY('Volunteer Survey'!P839)"),"")</f>
        <v/>
      </c>
      <c r="X445" s="58" t="str">
        <f ca="1">IFERROR(__xludf.DUMMYFUNCTION("QUERY('Volunteer Survey'!R839)"),"")</f>
        <v/>
      </c>
      <c r="Y445" s="47"/>
      <c r="Z445" s="175" t="str">
        <f ca="1">IFERROR(__xludf.DUMMYFUNCTION("QUERY('Volunteer Survey'!A444)"),"")</f>
        <v/>
      </c>
      <c r="AA445" s="175" t="str">
        <f ca="1">IFERROR(__xludf.DUMMYFUNCTION("QUERY('Volunteer Survey'!B444)"),"")</f>
        <v/>
      </c>
      <c r="AB445" s="175" t="str">
        <f ca="1">IFERROR(__xludf.DUMMYFUNCTION("QUERY('Volunteer Survey'!C444)"),"")</f>
        <v/>
      </c>
      <c r="AC445" s="175" t="str">
        <f ca="1">IFERROR(__xludf.DUMMYFUNCTION("QUERY('Volunteer Survey'!D444)"),"")</f>
        <v/>
      </c>
      <c r="AD445" s="175" t="str">
        <f ca="1">IFERROR(__xludf.DUMMYFUNCTION("QUERY('Volunteer Survey'!E444)"),"")</f>
        <v/>
      </c>
      <c r="AE445" s="175" t="str">
        <f ca="1">IFERROR(__xludf.DUMMYFUNCTION("QUERY('Volunteer Survey'!F444)"),"")</f>
        <v/>
      </c>
      <c r="AF445" s="175" t="str">
        <f ca="1">IFERROR(__xludf.DUMMYFUNCTION("QUERY('Volunteer Survey'!G444)"),"")</f>
        <v/>
      </c>
      <c r="AG445" s="175" t="str">
        <f ca="1">IFERROR(__xludf.DUMMYFUNCTION("QUERY('Volunteer Survey'!H444)"),"")</f>
        <v/>
      </c>
      <c r="AH445" s="175" t="str">
        <f ca="1">IFERROR(__xludf.DUMMYFUNCTION("QUERY('Volunteer Survey'!I444)"),"")</f>
        <v/>
      </c>
      <c r="AI445" s="175" t="str">
        <f ca="1">IFERROR(__xludf.DUMMYFUNCTION("QUERY('Volunteer Survey'!J444)"),"")</f>
        <v/>
      </c>
      <c r="AJ445" s="175" t="str">
        <f ca="1">IFERROR(__xludf.DUMMYFUNCTION("QUERY('Volunteer Survey'!K444)"),"")</f>
        <v/>
      </c>
      <c r="AK445" s="175" t="str">
        <f ca="1">IFERROR(__xludf.DUMMYFUNCTION("QUERY('Volunteer Survey'!L444)"),"")</f>
        <v/>
      </c>
      <c r="AL445" s="175" t="str">
        <f ca="1">IFERROR(__xludf.DUMMYFUNCTION("QUERY('Volunteer Survey'!M444)"),"")</f>
        <v/>
      </c>
      <c r="AM445" s="175" t="str">
        <f ca="1">IFERROR(__xludf.DUMMYFUNCTION("QUERY('Volunteer Survey'!N444)"),"")</f>
        <v/>
      </c>
      <c r="AN445" s="175" t="str">
        <f ca="1">IFERROR(__xludf.DUMMYFUNCTION("QUERY('Volunteer Survey'!O444)"),"")</f>
        <v/>
      </c>
      <c r="AO445" s="175" t="str">
        <f ca="1">IFERROR(__xludf.DUMMYFUNCTION("QUERY('Volunteer Survey'!P444)"),"")</f>
        <v/>
      </c>
    </row>
    <row r="446" spans="1:41" ht="14">
      <c r="A446" s="49" t="str">
        <f ca="1">IFERROR(__xludf.DUMMYFUNCTION("QUERY('Volunteer Survey'!A840)"),"")</f>
        <v/>
      </c>
      <c r="B446" s="42" t="s">
        <v>322</v>
      </c>
      <c r="C446" s="47"/>
      <c r="D446" s="49"/>
      <c r="E446" s="49"/>
      <c r="F446" s="49" t="b">
        <v>0</v>
      </c>
      <c r="G446" s="49"/>
      <c r="H446" s="47"/>
      <c r="I446" s="47"/>
      <c r="J446" s="49"/>
      <c r="K446" s="49"/>
      <c r="L446" s="49" t="str">
        <f ca="1">IFERROR(__xludf.DUMMYFUNCTION("QUERY('Volunteer Survey'!B840)"),"")</f>
        <v/>
      </c>
      <c r="M446" s="49" t="str">
        <f ca="1">IFERROR(__xludf.DUMMYFUNCTION("QUERY('Volunteer Survey'!E840)"),"")</f>
        <v/>
      </c>
      <c r="N446" s="49">
        <f>'Volunteer Survey'!F856</f>
        <v>0</v>
      </c>
      <c r="O446" s="42">
        <f>'Volunteer Survey'!H857</f>
        <v>0</v>
      </c>
      <c r="P446" s="49" t="str">
        <f ca="1">IFERROR(__xludf.DUMMYFUNCTION("QUERY('Volunteer Survey'!I840)"),"")</f>
        <v/>
      </c>
      <c r="Q446" s="54" t="str">
        <f ca="1">IFERROR(__xludf.DUMMYFUNCTION("QUERY('Volunteer Survey'!J840)"),"")</f>
        <v/>
      </c>
      <c r="R446" s="49" t="str">
        <f ca="1">IFERROR(__xludf.DUMMYFUNCTION("QUERY('Volunteer Survey'!K840)"),"")</f>
        <v/>
      </c>
      <c r="S446" s="49" t="str">
        <f ca="1">IFERROR(__xludf.DUMMYFUNCTION("QUERY('Volunteer Survey'!L840)"),"")</f>
        <v/>
      </c>
      <c r="T446" s="49">
        <f>'Volunteer Survey'!M856</f>
        <v>0</v>
      </c>
      <c r="U446" s="58" t="str">
        <f ca="1">IFERROR(__xludf.DUMMYFUNCTION("QUERY('Volunteer Survey'!N840)"),"")</f>
        <v/>
      </c>
      <c r="V446" s="49">
        <f>'Volunteer Survey'!O856</f>
        <v>0</v>
      </c>
      <c r="W446" s="60" t="str">
        <f ca="1">IFERROR(__xludf.DUMMYFUNCTION("QUERY('Volunteer Survey'!P840)"),"")</f>
        <v/>
      </c>
      <c r="X446" s="58" t="str">
        <f ca="1">IFERROR(__xludf.DUMMYFUNCTION("QUERY('Volunteer Survey'!R840)"),"")</f>
        <v/>
      </c>
      <c r="Y446" s="47"/>
      <c r="Z446" s="175" t="str">
        <f ca="1">IFERROR(__xludf.DUMMYFUNCTION("QUERY('Volunteer Survey'!A445)"),"")</f>
        <v/>
      </c>
      <c r="AA446" s="175" t="str">
        <f ca="1">IFERROR(__xludf.DUMMYFUNCTION("QUERY('Volunteer Survey'!B445)"),"")</f>
        <v/>
      </c>
      <c r="AB446" s="175" t="str">
        <f ca="1">IFERROR(__xludf.DUMMYFUNCTION("QUERY('Volunteer Survey'!C445)"),"")</f>
        <v/>
      </c>
      <c r="AC446" s="175" t="str">
        <f ca="1">IFERROR(__xludf.DUMMYFUNCTION("QUERY('Volunteer Survey'!D445)"),"")</f>
        <v/>
      </c>
      <c r="AD446" s="175" t="str">
        <f ca="1">IFERROR(__xludf.DUMMYFUNCTION("QUERY('Volunteer Survey'!E445)"),"")</f>
        <v/>
      </c>
      <c r="AE446" s="175" t="str">
        <f ca="1">IFERROR(__xludf.DUMMYFUNCTION("QUERY('Volunteer Survey'!F445)"),"")</f>
        <v/>
      </c>
      <c r="AF446" s="175" t="str">
        <f ca="1">IFERROR(__xludf.DUMMYFUNCTION("QUERY('Volunteer Survey'!G445)"),"")</f>
        <v/>
      </c>
      <c r="AG446" s="175" t="str">
        <f ca="1">IFERROR(__xludf.DUMMYFUNCTION("QUERY('Volunteer Survey'!H445)"),"")</f>
        <v/>
      </c>
      <c r="AH446" s="175" t="str">
        <f ca="1">IFERROR(__xludf.DUMMYFUNCTION("QUERY('Volunteer Survey'!I445)"),"")</f>
        <v/>
      </c>
      <c r="AI446" s="175" t="str">
        <f ca="1">IFERROR(__xludf.DUMMYFUNCTION("QUERY('Volunteer Survey'!J445)"),"")</f>
        <v/>
      </c>
      <c r="AJ446" s="175" t="str">
        <f ca="1">IFERROR(__xludf.DUMMYFUNCTION("QUERY('Volunteer Survey'!K445)"),"")</f>
        <v/>
      </c>
      <c r="AK446" s="175" t="str">
        <f ca="1">IFERROR(__xludf.DUMMYFUNCTION("QUERY('Volunteer Survey'!L445)"),"")</f>
        <v/>
      </c>
      <c r="AL446" s="175" t="str">
        <f ca="1">IFERROR(__xludf.DUMMYFUNCTION("QUERY('Volunteer Survey'!M445)"),"")</f>
        <v/>
      </c>
      <c r="AM446" s="175" t="str">
        <f ca="1">IFERROR(__xludf.DUMMYFUNCTION("QUERY('Volunteer Survey'!N445)"),"")</f>
        <v/>
      </c>
      <c r="AN446" s="175" t="str">
        <f ca="1">IFERROR(__xludf.DUMMYFUNCTION("QUERY('Volunteer Survey'!O445)"),"")</f>
        <v/>
      </c>
      <c r="AO446" s="175" t="str">
        <f ca="1">IFERROR(__xludf.DUMMYFUNCTION("QUERY('Volunteer Survey'!P445)"),"")</f>
        <v/>
      </c>
    </row>
    <row r="447" spans="1:41" ht="14">
      <c r="A447" s="49" t="str">
        <f ca="1">IFERROR(__xludf.DUMMYFUNCTION("QUERY('Volunteer Survey'!A841)"),"")</f>
        <v/>
      </c>
      <c r="B447" s="42" t="s">
        <v>322</v>
      </c>
      <c r="C447" s="47"/>
      <c r="D447" s="49"/>
      <c r="E447" s="49"/>
      <c r="F447" s="49" t="b">
        <v>0</v>
      </c>
      <c r="G447" s="49"/>
      <c r="H447" s="47"/>
      <c r="I447" s="47"/>
      <c r="J447" s="49"/>
      <c r="K447" s="49"/>
      <c r="L447" s="49" t="str">
        <f ca="1">IFERROR(__xludf.DUMMYFUNCTION("QUERY('Volunteer Survey'!B841)"),"")</f>
        <v/>
      </c>
      <c r="M447" s="49" t="str">
        <f ca="1">IFERROR(__xludf.DUMMYFUNCTION("QUERY('Volunteer Survey'!E841)"),"")</f>
        <v/>
      </c>
      <c r="N447" s="49">
        <f>'Volunteer Survey'!F857</f>
        <v>0</v>
      </c>
      <c r="O447" s="42">
        <f>'Volunteer Survey'!H858</f>
        <v>0</v>
      </c>
      <c r="P447" s="49" t="str">
        <f ca="1">IFERROR(__xludf.DUMMYFUNCTION("QUERY('Volunteer Survey'!I841)"),"")</f>
        <v/>
      </c>
      <c r="Q447" s="54" t="str">
        <f ca="1">IFERROR(__xludf.DUMMYFUNCTION("QUERY('Volunteer Survey'!J841)"),"")</f>
        <v/>
      </c>
      <c r="R447" s="49" t="str">
        <f ca="1">IFERROR(__xludf.DUMMYFUNCTION("QUERY('Volunteer Survey'!K841)"),"")</f>
        <v/>
      </c>
      <c r="S447" s="49" t="str">
        <f ca="1">IFERROR(__xludf.DUMMYFUNCTION("QUERY('Volunteer Survey'!L841)"),"")</f>
        <v/>
      </c>
      <c r="T447" s="49">
        <f>'Volunteer Survey'!M857</f>
        <v>0</v>
      </c>
      <c r="U447" s="58" t="str">
        <f ca="1">IFERROR(__xludf.DUMMYFUNCTION("QUERY('Volunteer Survey'!N841)"),"")</f>
        <v/>
      </c>
      <c r="V447" s="49">
        <f>'Volunteer Survey'!O857</f>
        <v>0</v>
      </c>
      <c r="W447" s="60" t="str">
        <f ca="1">IFERROR(__xludf.DUMMYFUNCTION("QUERY('Volunteer Survey'!P841)"),"")</f>
        <v/>
      </c>
      <c r="X447" s="58" t="str">
        <f ca="1">IFERROR(__xludf.DUMMYFUNCTION("QUERY('Volunteer Survey'!R841)"),"")</f>
        <v/>
      </c>
      <c r="Y447" s="47"/>
      <c r="Z447" s="175" t="str">
        <f ca="1">IFERROR(__xludf.DUMMYFUNCTION("QUERY('Volunteer Survey'!A446)"),"")</f>
        <v/>
      </c>
      <c r="AA447" s="175" t="str">
        <f ca="1">IFERROR(__xludf.DUMMYFUNCTION("QUERY('Volunteer Survey'!B446)"),"")</f>
        <v/>
      </c>
      <c r="AB447" s="175" t="str">
        <f ca="1">IFERROR(__xludf.DUMMYFUNCTION("QUERY('Volunteer Survey'!C446)"),"")</f>
        <v/>
      </c>
      <c r="AC447" s="175" t="str">
        <f ca="1">IFERROR(__xludf.DUMMYFUNCTION("QUERY('Volunteer Survey'!D446)"),"")</f>
        <v/>
      </c>
      <c r="AD447" s="175" t="str">
        <f ca="1">IFERROR(__xludf.DUMMYFUNCTION("QUERY('Volunteer Survey'!E446)"),"")</f>
        <v/>
      </c>
      <c r="AE447" s="175" t="str">
        <f ca="1">IFERROR(__xludf.DUMMYFUNCTION("QUERY('Volunteer Survey'!F446)"),"")</f>
        <v/>
      </c>
      <c r="AF447" s="175" t="str">
        <f ca="1">IFERROR(__xludf.DUMMYFUNCTION("QUERY('Volunteer Survey'!G446)"),"")</f>
        <v/>
      </c>
      <c r="AG447" s="175" t="str">
        <f ca="1">IFERROR(__xludf.DUMMYFUNCTION("QUERY('Volunteer Survey'!H446)"),"")</f>
        <v/>
      </c>
      <c r="AH447" s="175" t="str">
        <f ca="1">IFERROR(__xludf.DUMMYFUNCTION("QUERY('Volunteer Survey'!I446)"),"")</f>
        <v/>
      </c>
      <c r="AI447" s="175" t="str">
        <f ca="1">IFERROR(__xludf.DUMMYFUNCTION("QUERY('Volunteer Survey'!J446)"),"")</f>
        <v/>
      </c>
      <c r="AJ447" s="175" t="str">
        <f ca="1">IFERROR(__xludf.DUMMYFUNCTION("QUERY('Volunteer Survey'!K446)"),"")</f>
        <v/>
      </c>
      <c r="AK447" s="175" t="str">
        <f ca="1">IFERROR(__xludf.DUMMYFUNCTION("QUERY('Volunteer Survey'!L446)"),"")</f>
        <v/>
      </c>
      <c r="AL447" s="175" t="str">
        <f ca="1">IFERROR(__xludf.DUMMYFUNCTION("QUERY('Volunteer Survey'!M446)"),"")</f>
        <v/>
      </c>
      <c r="AM447" s="175" t="str">
        <f ca="1">IFERROR(__xludf.DUMMYFUNCTION("QUERY('Volunteer Survey'!N446)"),"")</f>
        <v/>
      </c>
      <c r="AN447" s="175" t="str">
        <f ca="1">IFERROR(__xludf.DUMMYFUNCTION("QUERY('Volunteer Survey'!O446)"),"")</f>
        <v/>
      </c>
      <c r="AO447" s="175" t="str">
        <f ca="1">IFERROR(__xludf.DUMMYFUNCTION("QUERY('Volunteer Survey'!P446)"),"")</f>
        <v/>
      </c>
    </row>
    <row r="448" spans="1:41" ht="14">
      <c r="A448" s="49" t="str">
        <f ca="1">IFERROR(__xludf.DUMMYFUNCTION("QUERY('Volunteer Survey'!A842)"),"")</f>
        <v/>
      </c>
      <c r="B448" s="42" t="s">
        <v>322</v>
      </c>
      <c r="C448" s="47"/>
      <c r="D448" s="49"/>
      <c r="E448" s="49"/>
      <c r="F448" s="49" t="b">
        <v>0</v>
      </c>
      <c r="G448" s="49"/>
      <c r="H448" s="47"/>
      <c r="I448" s="47"/>
      <c r="J448" s="49"/>
      <c r="K448" s="49"/>
      <c r="L448" s="49" t="str">
        <f ca="1">IFERROR(__xludf.DUMMYFUNCTION("QUERY('Volunteer Survey'!B842)"),"")</f>
        <v/>
      </c>
      <c r="M448" s="49" t="str">
        <f ca="1">IFERROR(__xludf.DUMMYFUNCTION("QUERY('Volunteer Survey'!E842)"),"")</f>
        <v/>
      </c>
      <c r="N448" s="49">
        <f>'Volunteer Survey'!F858</f>
        <v>0</v>
      </c>
      <c r="O448" s="42">
        <f>'Volunteer Survey'!H859</f>
        <v>0</v>
      </c>
      <c r="P448" s="49" t="str">
        <f ca="1">IFERROR(__xludf.DUMMYFUNCTION("QUERY('Volunteer Survey'!I842)"),"")</f>
        <v/>
      </c>
      <c r="Q448" s="54" t="str">
        <f ca="1">IFERROR(__xludf.DUMMYFUNCTION("QUERY('Volunteer Survey'!J842)"),"")</f>
        <v/>
      </c>
      <c r="R448" s="49" t="str">
        <f ca="1">IFERROR(__xludf.DUMMYFUNCTION("QUERY('Volunteer Survey'!K842)"),"")</f>
        <v/>
      </c>
      <c r="S448" s="49" t="str">
        <f ca="1">IFERROR(__xludf.DUMMYFUNCTION("QUERY('Volunteer Survey'!L842)"),"")</f>
        <v/>
      </c>
      <c r="T448" s="49">
        <f>'Volunteer Survey'!M858</f>
        <v>0</v>
      </c>
      <c r="U448" s="58" t="str">
        <f ca="1">IFERROR(__xludf.DUMMYFUNCTION("QUERY('Volunteer Survey'!N842)"),"")</f>
        <v/>
      </c>
      <c r="V448" s="49">
        <f>'Volunteer Survey'!O858</f>
        <v>0</v>
      </c>
      <c r="W448" s="60" t="str">
        <f ca="1">IFERROR(__xludf.DUMMYFUNCTION("QUERY('Volunteer Survey'!P842)"),"")</f>
        <v/>
      </c>
      <c r="X448" s="58" t="str">
        <f ca="1">IFERROR(__xludf.DUMMYFUNCTION("QUERY('Volunteer Survey'!R842)"),"")</f>
        <v/>
      </c>
      <c r="Y448" s="47"/>
      <c r="Z448" s="175" t="str">
        <f ca="1">IFERROR(__xludf.DUMMYFUNCTION("QUERY('Volunteer Survey'!A447)"),"")</f>
        <v/>
      </c>
      <c r="AA448" s="175" t="str">
        <f ca="1">IFERROR(__xludf.DUMMYFUNCTION("QUERY('Volunteer Survey'!B447)"),"")</f>
        <v/>
      </c>
      <c r="AB448" s="175" t="str">
        <f ca="1">IFERROR(__xludf.DUMMYFUNCTION("QUERY('Volunteer Survey'!C447)"),"")</f>
        <v/>
      </c>
      <c r="AC448" s="175" t="str">
        <f ca="1">IFERROR(__xludf.DUMMYFUNCTION("QUERY('Volunteer Survey'!D447)"),"")</f>
        <v/>
      </c>
      <c r="AD448" s="175" t="str">
        <f ca="1">IFERROR(__xludf.DUMMYFUNCTION("QUERY('Volunteer Survey'!E447)"),"")</f>
        <v/>
      </c>
      <c r="AE448" s="175" t="str">
        <f ca="1">IFERROR(__xludf.DUMMYFUNCTION("QUERY('Volunteer Survey'!F447)"),"")</f>
        <v/>
      </c>
      <c r="AF448" s="175" t="str">
        <f ca="1">IFERROR(__xludf.DUMMYFUNCTION("QUERY('Volunteer Survey'!G447)"),"")</f>
        <v/>
      </c>
      <c r="AG448" s="175" t="str">
        <f ca="1">IFERROR(__xludf.DUMMYFUNCTION("QUERY('Volunteer Survey'!H447)"),"")</f>
        <v/>
      </c>
      <c r="AH448" s="175" t="str">
        <f ca="1">IFERROR(__xludf.DUMMYFUNCTION("QUERY('Volunteer Survey'!I447)"),"")</f>
        <v/>
      </c>
      <c r="AI448" s="175" t="str">
        <f ca="1">IFERROR(__xludf.DUMMYFUNCTION("QUERY('Volunteer Survey'!J447)"),"")</f>
        <v/>
      </c>
      <c r="AJ448" s="175" t="str">
        <f ca="1">IFERROR(__xludf.DUMMYFUNCTION("QUERY('Volunteer Survey'!K447)"),"")</f>
        <v/>
      </c>
      <c r="AK448" s="175" t="str">
        <f ca="1">IFERROR(__xludf.DUMMYFUNCTION("QUERY('Volunteer Survey'!L447)"),"")</f>
        <v/>
      </c>
      <c r="AL448" s="175" t="str">
        <f ca="1">IFERROR(__xludf.DUMMYFUNCTION("QUERY('Volunteer Survey'!M447)"),"")</f>
        <v/>
      </c>
      <c r="AM448" s="175" t="str">
        <f ca="1">IFERROR(__xludf.DUMMYFUNCTION("QUERY('Volunteer Survey'!N447)"),"")</f>
        <v/>
      </c>
      <c r="AN448" s="175" t="str">
        <f ca="1">IFERROR(__xludf.DUMMYFUNCTION("QUERY('Volunteer Survey'!O447)"),"")</f>
        <v/>
      </c>
      <c r="AO448" s="175" t="str">
        <f ca="1">IFERROR(__xludf.DUMMYFUNCTION("QUERY('Volunteer Survey'!P447)"),"")</f>
        <v/>
      </c>
    </row>
    <row r="449" spans="1:41" ht="14">
      <c r="A449" s="49" t="str">
        <f ca="1">IFERROR(__xludf.DUMMYFUNCTION("QUERY('Volunteer Survey'!A843)"),"")</f>
        <v/>
      </c>
      <c r="B449" s="42" t="s">
        <v>322</v>
      </c>
      <c r="C449" s="47"/>
      <c r="D449" s="49"/>
      <c r="E449" s="49"/>
      <c r="F449" s="49" t="b">
        <v>0</v>
      </c>
      <c r="G449" s="49"/>
      <c r="H449" s="47"/>
      <c r="I449" s="47"/>
      <c r="J449" s="49"/>
      <c r="K449" s="49"/>
      <c r="L449" s="49" t="str">
        <f ca="1">IFERROR(__xludf.DUMMYFUNCTION("QUERY('Volunteer Survey'!B843)"),"")</f>
        <v/>
      </c>
      <c r="M449" s="49" t="str">
        <f ca="1">IFERROR(__xludf.DUMMYFUNCTION("QUERY('Volunteer Survey'!E843)"),"")</f>
        <v/>
      </c>
      <c r="N449" s="49">
        <f>'Volunteer Survey'!F859</f>
        <v>0</v>
      </c>
      <c r="O449" s="42">
        <f>'Volunteer Survey'!H860</f>
        <v>0</v>
      </c>
      <c r="P449" s="49" t="str">
        <f ca="1">IFERROR(__xludf.DUMMYFUNCTION("QUERY('Volunteer Survey'!I843)"),"")</f>
        <v/>
      </c>
      <c r="Q449" s="54" t="str">
        <f ca="1">IFERROR(__xludf.DUMMYFUNCTION("QUERY('Volunteer Survey'!J843)"),"")</f>
        <v/>
      </c>
      <c r="R449" s="49" t="str">
        <f ca="1">IFERROR(__xludf.DUMMYFUNCTION("QUERY('Volunteer Survey'!K843)"),"")</f>
        <v/>
      </c>
      <c r="S449" s="49" t="str">
        <f ca="1">IFERROR(__xludf.DUMMYFUNCTION("QUERY('Volunteer Survey'!L843)"),"")</f>
        <v/>
      </c>
      <c r="T449" s="49">
        <f>'Volunteer Survey'!M859</f>
        <v>0</v>
      </c>
      <c r="U449" s="58" t="str">
        <f ca="1">IFERROR(__xludf.DUMMYFUNCTION("QUERY('Volunteer Survey'!N843)"),"")</f>
        <v/>
      </c>
      <c r="V449" s="49">
        <f>'Volunteer Survey'!O859</f>
        <v>0</v>
      </c>
      <c r="W449" s="60" t="str">
        <f ca="1">IFERROR(__xludf.DUMMYFUNCTION("QUERY('Volunteer Survey'!P843)"),"")</f>
        <v/>
      </c>
      <c r="X449" s="58" t="str">
        <f ca="1">IFERROR(__xludf.DUMMYFUNCTION("QUERY('Volunteer Survey'!R843)"),"")</f>
        <v/>
      </c>
      <c r="Y449" s="47"/>
      <c r="Z449" s="175" t="str">
        <f ca="1">IFERROR(__xludf.DUMMYFUNCTION("QUERY('Volunteer Survey'!A448)"),"")</f>
        <v/>
      </c>
      <c r="AA449" s="175" t="str">
        <f ca="1">IFERROR(__xludf.DUMMYFUNCTION("QUERY('Volunteer Survey'!B448)"),"")</f>
        <v/>
      </c>
      <c r="AB449" s="175" t="str">
        <f ca="1">IFERROR(__xludf.DUMMYFUNCTION("QUERY('Volunteer Survey'!C448)"),"")</f>
        <v/>
      </c>
      <c r="AC449" s="175" t="str">
        <f ca="1">IFERROR(__xludf.DUMMYFUNCTION("QUERY('Volunteer Survey'!D448)"),"")</f>
        <v/>
      </c>
      <c r="AD449" s="175" t="str">
        <f ca="1">IFERROR(__xludf.DUMMYFUNCTION("QUERY('Volunteer Survey'!E448)"),"")</f>
        <v/>
      </c>
      <c r="AE449" s="175" t="str">
        <f ca="1">IFERROR(__xludf.DUMMYFUNCTION("QUERY('Volunteer Survey'!F448)"),"")</f>
        <v/>
      </c>
      <c r="AF449" s="175" t="str">
        <f ca="1">IFERROR(__xludf.DUMMYFUNCTION("QUERY('Volunteer Survey'!G448)"),"")</f>
        <v/>
      </c>
      <c r="AG449" s="175" t="str">
        <f ca="1">IFERROR(__xludf.DUMMYFUNCTION("QUERY('Volunteer Survey'!H448)"),"")</f>
        <v/>
      </c>
      <c r="AH449" s="175" t="str">
        <f ca="1">IFERROR(__xludf.DUMMYFUNCTION("QUERY('Volunteer Survey'!I448)"),"")</f>
        <v/>
      </c>
      <c r="AI449" s="175" t="str">
        <f ca="1">IFERROR(__xludf.DUMMYFUNCTION("QUERY('Volunteer Survey'!J448)"),"")</f>
        <v/>
      </c>
      <c r="AJ449" s="175" t="str">
        <f ca="1">IFERROR(__xludf.DUMMYFUNCTION("QUERY('Volunteer Survey'!K448)"),"")</f>
        <v/>
      </c>
      <c r="AK449" s="175" t="str">
        <f ca="1">IFERROR(__xludf.DUMMYFUNCTION("QUERY('Volunteer Survey'!L448)"),"")</f>
        <v/>
      </c>
      <c r="AL449" s="175" t="str">
        <f ca="1">IFERROR(__xludf.DUMMYFUNCTION("QUERY('Volunteer Survey'!M448)"),"")</f>
        <v/>
      </c>
      <c r="AM449" s="175" t="str">
        <f ca="1">IFERROR(__xludf.DUMMYFUNCTION("QUERY('Volunteer Survey'!N448)"),"")</f>
        <v/>
      </c>
      <c r="AN449" s="175" t="str">
        <f ca="1">IFERROR(__xludf.DUMMYFUNCTION("QUERY('Volunteer Survey'!O448)"),"")</f>
        <v/>
      </c>
      <c r="AO449" s="175" t="str">
        <f ca="1">IFERROR(__xludf.DUMMYFUNCTION("QUERY('Volunteer Survey'!P448)"),"")</f>
        <v/>
      </c>
    </row>
    <row r="450" spans="1:41" ht="14">
      <c r="A450" s="49" t="str">
        <f ca="1">IFERROR(__xludf.DUMMYFUNCTION("QUERY('Volunteer Survey'!A844)"),"")</f>
        <v/>
      </c>
      <c r="B450" s="42" t="s">
        <v>322</v>
      </c>
      <c r="C450" s="47"/>
      <c r="D450" s="49"/>
      <c r="E450" s="49"/>
      <c r="F450" s="49" t="b">
        <v>0</v>
      </c>
      <c r="G450" s="49"/>
      <c r="H450" s="47"/>
      <c r="I450" s="47"/>
      <c r="J450" s="49"/>
      <c r="K450" s="49"/>
      <c r="L450" s="49" t="str">
        <f ca="1">IFERROR(__xludf.DUMMYFUNCTION("QUERY('Volunteer Survey'!B844)"),"")</f>
        <v/>
      </c>
      <c r="M450" s="49" t="str">
        <f ca="1">IFERROR(__xludf.DUMMYFUNCTION("QUERY('Volunteer Survey'!E844)"),"")</f>
        <v/>
      </c>
      <c r="N450" s="49">
        <f>'Volunteer Survey'!F860</f>
        <v>0</v>
      </c>
      <c r="O450" s="42">
        <f>'Volunteer Survey'!H861</f>
        <v>0</v>
      </c>
      <c r="P450" s="49" t="str">
        <f ca="1">IFERROR(__xludf.DUMMYFUNCTION("QUERY('Volunteer Survey'!I844)"),"")</f>
        <v/>
      </c>
      <c r="Q450" s="54" t="str">
        <f ca="1">IFERROR(__xludf.DUMMYFUNCTION("QUERY('Volunteer Survey'!J844)"),"")</f>
        <v/>
      </c>
      <c r="R450" s="49" t="str">
        <f ca="1">IFERROR(__xludf.DUMMYFUNCTION("QUERY('Volunteer Survey'!K844)"),"")</f>
        <v/>
      </c>
      <c r="S450" s="49" t="str">
        <f ca="1">IFERROR(__xludf.DUMMYFUNCTION("QUERY('Volunteer Survey'!L844)"),"")</f>
        <v/>
      </c>
      <c r="T450" s="49">
        <f>'Volunteer Survey'!M860</f>
        <v>0</v>
      </c>
      <c r="U450" s="58" t="str">
        <f ca="1">IFERROR(__xludf.DUMMYFUNCTION("QUERY('Volunteer Survey'!N844)"),"")</f>
        <v/>
      </c>
      <c r="V450" s="49">
        <f>'Volunteer Survey'!O860</f>
        <v>0</v>
      </c>
      <c r="W450" s="60" t="str">
        <f ca="1">IFERROR(__xludf.DUMMYFUNCTION("QUERY('Volunteer Survey'!P844)"),"")</f>
        <v/>
      </c>
      <c r="X450" s="58" t="str">
        <f ca="1">IFERROR(__xludf.DUMMYFUNCTION("QUERY('Volunteer Survey'!R844)"),"")</f>
        <v/>
      </c>
      <c r="Y450" s="47"/>
      <c r="Z450" s="175" t="str">
        <f ca="1">IFERROR(__xludf.DUMMYFUNCTION("QUERY('Volunteer Survey'!A449)"),"")</f>
        <v/>
      </c>
      <c r="AA450" s="175" t="str">
        <f ca="1">IFERROR(__xludf.DUMMYFUNCTION("QUERY('Volunteer Survey'!B449)"),"")</f>
        <v/>
      </c>
      <c r="AB450" s="175" t="str">
        <f ca="1">IFERROR(__xludf.DUMMYFUNCTION("QUERY('Volunteer Survey'!C449)"),"")</f>
        <v/>
      </c>
      <c r="AC450" s="175" t="str">
        <f ca="1">IFERROR(__xludf.DUMMYFUNCTION("QUERY('Volunteer Survey'!D449)"),"")</f>
        <v/>
      </c>
      <c r="AD450" s="175" t="str">
        <f ca="1">IFERROR(__xludf.DUMMYFUNCTION("QUERY('Volunteer Survey'!E449)"),"")</f>
        <v/>
      </c>
      <c r="AE450" s="175" t="str">
        <f ca="1">IFERROR(__xludf.DUMMYFUNCTION("QUERY('Volunteer Survey'!F449)"),"")</f>
        <v/>
      </c>
      <c r="AF450" s="175" t="str">
        <f ca="1">IFERROR(__xludf.DUMMYFUNCTION("QUERY('Volunteer Survey'!G449)"),"")</f>
        <v/>
      </c>
      <c r="AG450" s="175" t="str">
        <f ca="1">IFERROR(__xludf.DUMMYFUNCTION("QUERY('Volunteer Survey'!H449)"),"")</f>
        <v/>
      </c>
      <c r="AH450" s="175" t="str">
        <f ca="1">IFERROR(__xludf.DUMMYFUNCTION("QUERY('Volunteer Survey'!I449)"),"")</f>
        <v/>
      </c>
      <c r="AI450" s="175" t="str">
        <f ca="1">IFERROR(__xludf.DUMMYFUNCTION("QUERY('Volunteer Survey'!J449)"),"")</f>
        <v/>
      </c>
      <c r="AJ450" s="175" t="str">
        <f ca="1">IFERROR(__xludf.DUMMYFUNCTION("QUERY('Volunteer Survey'!K449)"),"")</f>
        <v/>
      </c>
      <c r="AK450" s="175" t="str">
        <f ca="1">IFERROR(__xludf.DUMMYFUNCTION("QUERY('Volunteer Survey'!L449)"),"")</f>
        <v/>
      </c>
      <c r="AL450" s="175" t="str">
        <f ca="1">IFERROR(__xludf.DUMMYFUNCTION("QUERY('Volunteer Survey'!M449)"),"")</f>
        <v/>
      </c>
      <c r="AM450" s="175" t="str">
        <f ca="1">IFERROR(__xludf.DUMMYFUNCTION("QUERY('Volunteer Survey'!N449)"),"")</f>
        <v/>
      </c>
      <c r="AN450" s="175" t="str">
        <f ca="1">IFERROR(__xludf.DUMMYFUNCTION("QUERY('Volunteer Survey'!O449)"),"")</f>
        <v/>
      </c>
      <c r="AO450" s="175" t="str">
        <f ca="1">IFERROR(__xludf.DUMMYFUNCTION("QUERY('Volunteer Survey'!P449)"),"")</f>
        <v/>
      </c>
    </row>
    <row r="451" spans="1:41" ht="14">
      <c r="A451" s="49" t="str">
        <f ca="1">IFERROR(__xludf.DUMMYFUNCTION("QUERY('Volunteer Survey'!A845)"),"")</f>
        <v/>
      </c>
      <c r="B451" s="42" t="s">
        <v>322</v>
      </c>
      <c r="C451" s="47"/>
      <c r="D451" s="49"/>
      <c r="E451" s="49"/>
      <c r="F451" s="49" t="b">
        <v>0</v>
      </c>
      <c r="G451" s="49"/>
      <c r="H451" s="47"/>
      <c r="I451" s="47"/>
      <c r="J451" s="49"/>
      <c r="K451" s="49"/>
      <c r="L451" s="49" t="str">
        <f ca="1">IFERROR(__xludf.DUMMYFUNCTION("QUERY('Volunteer Survey'!B845)"),"")</f>
        <v/>
      </c>
      <c r="M451" s="49" t="str">
        <f ca="1">IFERROR(__xludf.DUMMYFUNCTION("QUERY('Volunteer Survey'!E845)"),"")</f>
        <v/>
      </c>
      <c r="N451" s="49">
        <f>'Volunteer Survey'!F861</f>
        <v>0</v>
      </c>
      <c r="O451" s="42">
        <f>'Volunteer Survey'!H862</f>
        <v>0</v>
      </c>
      <c r="P451" s="49" t="str">
        <f ca="1">IFERROR(__xludf.DUMMYFUNCTION("QUERY('Volunteer Survey'!I845)"),"")</f>
        <v/>
      </c>
      <c r="Q451" s="54" t="str">
        <f ca="1">IFERROR(__xludf.DUMMYFUNCTION("QUERY('Volunteer Survey'!J845)"),"")</f>
        <v/>
      </c>
      <c r="R451" s="49" t="str">
        <f ca="1">IFERROR(__xludf.DUMMYFUNCTION("QUERY('Volunteer Survey'!K845)"),"")</f>
        <v/>
      </c>
      <c r="S451" s="49" t="str">
        <f ca="1">IFERROR(__xludf.DUMMYFUNCTION("QUERY('Volunteer Survey'!L845)"),"")</f>
        <v/>
      </c>
      <c r="T451" s="49">
        <f>'Volunteer Survey'!M861</f>
        <v>0</v>
      </c>
      <c r="U451" s="58" t="str">
        <f ca="1">IFERROR(__xludf.DUMMYFUNCTION("QUERY('Volunteer Survey'!N845)"),"")</f>
        <v/>
      </c>
      <c r="V451" s="49">
        <f>'Volunteer Survey'!O861</f>
        <v>0</v>
      </c>
      <c r="W451" s="60" t="str">
        <f ca="1">IFERROR(__xludf.DUMMYFUNCTION("QUERY('Volunteer Survey'!P845)"),"")</f>
        <v/>
      </c>
      <c r="X451" s="58" t="str">
        <f ca="1">IFERROR(__xludf.DUMMYFUNCTION("QUERY('Volunteer Survey'!R845)"),"")</f>
        <v/>
      </c>
      <c r="Y451" s="47"/>
      <c r="Z451" s="175" t="str">
        <f ca="1">IFERROR(__xludf.DUMMYFUNCTION("QUERY('Volunteer Survey'!A450)"),"")</f>
        <v/>
      </c>
      <c r="AA451" s="175" t="str">
        <f ca="1">IFERROR(__xludf.DUMMYFUNCTION("QUERY('Volunteer Survey'!B450)"),"")</f>
        <v/>
      </c>
      <c r="AB451" s="175" t="str">
        <f ca="1">IFERROR(__xludf.DUMMYFUNCTION("QUERY('Volunteer Survey'!C450)"),"")</f>
        <v/>
      </c>
      <c r="AC451" s="175" t="str">
        <f ca="1">IFERROR(__xludf.DUMMYFUNCTION("QUERY('Volunteer Survey'!D450)"),"")</f>
        <v/>
      </c>
      <c r="AD451" s="175" t="str">
        <f ca="1">IFERROR(__xludf.DUMMYFUNCTION("QUERY('Volunteer Survey'!E450)"),"")</f>
        <v/>
      </c>
      <c r="AE451" s="175" t="str">
        <f ca="1">IFERROR(__xludf.DUMMYFUNCTION("QUERY('Volunteer Survey'!F450)"),"")</f>
        <v/>
      </c>
      <c r="AF451" s="175" t="str">
        <f ca="1">IFERROR(__xludf.DUMMYFUNCTION("QUERY('Volunteer Survey'!G450)"),"")</f>
        <v/>
      </c>
      <c r="AG451" s="175" t="str">
        <f ca="1">IFERROR(__xludf.DUMMYFUNCTION("QUERY('Volunteer Survey'!H450)"),"")</f>
        <v/>
      </c>
      <c r="AH451" s="175" t="str">
        <f ca="1">IFERROR(__xludf.DUMMYFUNCTION("QUERY('Volunteer Survey'!I450)"),"")</f>
        <v/>
      </c>
      <c r="AI451" s="175" t="str">
        <f ca="1">IFERROR(__xludf.DUMMYFUNCTION("QUERY('Volunteer Survey'!J450)"),"")</f>
        <v/>
      </c>
      <c r="AJ451" s="175" t="str">
        <f ca="1">IFERROR(__xludf.DUMMYFUNCTION("QUERY('Volunteer Survey'!K450)"),"")</f>
        <v/>
      </c>
      <c r="AK451" s="175" t="str">
        <f ca="1">IFERROR(__xludf.DUMMYFUNCTION("QUERY('Volunteer Survey'!L450)"),"")</f>
        <v/>
      </c>
      <c r="AL451" s="175" t="str">
        <f ca="1">IFERROR(__xludf.DUMMYFUNCTION("QUERY('Volunteer Survey'!M450)"),"")</f>
        <v/>
      </c>
      <c r="AM451" s="175" t="str">
        <f ca="1">IFERROR(__xludf.DUMMYFUNCTION("QUERY('Volunteer Survey'!N450)"),"")</f>
        <v/>
      </c>
      <c r="AN451" s="175" t="str">
        <f ca="1">IFERROR(__xludf.DUMMYFUNCTION("QUERY('Volunteer Survey'!O450)"),"")</f>
        <v/>
      </c>
      <c r="AO451" s="175" t="str">
        <f ca="1">IFERROR(__xludf.DUMMYFUNCTION("QUERY('Volunteer Survey'!P450)"),"")</f>
        <v/>
      </c>
    </row>
    <row r="452" spans="1:41" ht="14">
      <c r="A452" s="49" t="str">
        <f ca="1">IFERROR(__xludf.DUMMYFUNCTION("QUERY('Volunteer Survey'!A846)"),"")</f>
        <v/>
      </c>
      <c r="B452" s="42" t="s">
        <v>322</v>
      </c>
      <c r="C452" s="47"/>
      <c r="D452" s="49"/>
      <c r="E452" s="49"/>
      <c r="F452" s="49" t="b">
        <v>0</v>
      </c>
      <c r="G452" s="49"/>
      <c r="H452" s="47"/>
      <c r="I452" s="47"/>
      <c r="J452" s="49"/>
      <c r="K452" s="49"/>
      <c r="L452" s="49" t="str">
        <f ca="1">IFERROR(__xludf.DUMMYFUNCTION("QUERY('Volunteer Survey'!B846)"),"")</f>
        <v/>
      </c>
      <c r="M452" s="49" t="str">
        <f ca="1">IFERROR(__xludf.DUMMYFUNCTION("QUERY('Volunteer Survey'!E846)"),"")</f>
        <v/>
      </c>
      <c r="N452" s="49">
        <f>'Volunteer Survey'!F862</f>
        <v>0</v>
      </c>
      <c r="O452" s="42">
        <f>'Volunteer Survey'!H863</f>
        <v>0</v>
      </c>
      <c r="P452" s="49" t="str">
        <f ca="1">IFERROR(__xludf.DUMMYFUNCTION("QUERY('Volunteer Survey'!I846)"),"")</f>
        <v/>
      </c>
      <c r="Q452" s="54" t="str">
        <f ca="1">IFERROR(__xludf.DUMMYFUNCTION("QUERY('Volunteer Survey'!J846)"),"")</f>
        <v/>
      </c>
      <c r="R452" s="49" t="str">
        <f ca="1">IFERROR(__xludf.DUMMYFUNCTION("QUERY('Volunteer Survey'!K846)"),"")</f>
        <v/>
      </c>
      <c r="S452" s="49" t="str">
        <f ca="1">IFERROR(__xludf.DUMMYFUNCTION("QUERY('Volunteer Survey'!L846)"),"")</f>
        <v/>
      </c>
      <c r="T452" s="49">
        <f>'Volunteer Survey'!M862</f>
        <v>0</v>
      </c>
      <c r="U452" s="58" t="str">
        <f ca="1">IFERROR(__xludf.DUMMYFUNCTION("QUERY('Volunteer Survey'!N846)"),"")</f>
        <v/>
      </c>
      <c r="V452" s="49">
        <f>'Volunteer Survey'!O862</f>
        <v>0</v>
      </c>
      <c r="W452" s="60" t="str">
        <f ca="1">IFERROR(__xludf.DUMMYFUNCTION("QUERY('Volunteer Survey'!P846)"),"")</f>
        <v/>
      </c>
      <c r="X452" s="58" t="str">
        <f ca="1">IFERROR(__xludf.DUMMYFUNCTION("QUERY('Volunteer Survey'!R846)"),"")</f>
        <v/>
      </c>
      <c r="Y452" s="47"/>
      <c r="Z452" s="175" t="str">
        <f ca="1">IFERROR(__xludf.DUMMYFUNCTION("QUERY('Volunteer Survey'!A451)"),"")</f>
        <v/>
      </c>
      <c r="AA452" s="175" t="str">
        <f ca="1">IFERROR(__xludf.DUMMYFUNCTION("QUERY('Volunteer Survey'!B451)"),"")</f>
        <v/>
      </c>
      <c r="AB452" s="175" t="str">
        <f ca="1">IFERROR(__xludf.DUMMYFUNCTION("QUERY('Volunteer Survey'!C451)"),"")</f>
        <v/>
      </c>
      <c r="AC452" s="175" t="str">
        <f ca="1">IFERROR(__xludf.DUMMYFUNCTION("QUERY('Volunteer Survey'!D451)"),"")</f>
        <v/>
      </c>
      <c r="AD452" s="175" t="str">
        <f ca="1">IFERROR(__xludf.DUMMYFUNCTION("QUERY('Volunteer Survey'!E451)"),"")</f>
        <v/>
      </c>
      <c r="AE452" s="175" t="str">
        <f ca="1">IFERROR(__xludf.DUMMYFUNCTION("QUERY('Volunteer Survey'!F451)"),"")</f>
        <v/>
      </c>
      <c r="AF452" s="175" t="str">
        <f ca="1">IFERROR(__xludf.DUMMYFUNCTION("QUERY('Volunteer Survey'!G451)"),"")</f>
        <v/>
      </c>
      <c r="AG452" s="175" t="str">
        <f ca="1">IFERROR(__xludf.DUMMYFUNCTION("QUERY('Volunteer Survey'!H451)"),"")</f>
        <v/>
      </c>
      <c r="AH452" s="175" t="str">
        <f ca="1">IFERROR(__xludf.DUMMYFUNCTION("QUERY('Volunteer Survey'!I451)"),"")</f>
        <v/>
      </c>
      <c r="AI452" s="175" t="str">
        <f ca="1">IFERROR(__xludf.DUMMYFUNCTION("QUERY('Volunteer Survey'!J451)"),"")</f>
        <v/>
      </c>
      <c r="AJ452" s="175" t="str">
        <f ca="1">IFERROR(__xludf.DUMMYFUNCTION("QUERY('Volunteer Survey'!K451)"),"")</f>
        <v/>
      </c>
      <c r="AK452" s="175" t="str">
        <f ca="1">IFERROR(__xludf.DUMMYFUNCTION("QUERY('Volunteer Survey'!L451)"),"")</f>
        <v/>
      </c>
      <c r="AL452" s="175" t="str">
        <f ca="1">IFERROR(__xludf.DUMMYFUNCTION("QUERY('Volunteer Survey'!M451)"),"")</f>
        <v/>
      </c>
      <c r="AM452" s="175" t="str">
        <f ca="1">IFERROR(__xludf.DUMMYFUNCTION("QUERY('Volunteer Survey'!N451)"),"")</f>
        <v/>
      </c>
      <c r="AN452" s="175" t="str">
        <f ca="1">IFERROR(__xludf.DUMMYFUNCTION("QUERY('Volunteer Survey'!O451)"),"")</f>
        <v/>
      </c>
      <c r="AO452" s="175" t="str">
        <f ca="1">IFERROR(__xludf.DUMMYFUNCTION("QUERY('Volunteer Survey'!P451)"),"")</f>
        <v/>
      </c>
    </row>
    <row r="453" spans="1:41" ht="14">
      <c r="A453" s="49" t="str">
        <f ca="1">IFERROR(__xludf.DUMMYFUNCTION("QUERY('Volunteer Survey'!A847)"),"")</f>
        <v/>
      </c>
      <c r="B453" s="42" t="s">
        <v>322</v>
      </c>
      <c r="C453" s="47"/>
      <c r="D453" s="49"/>
      <c r="E453" s="49"/>
      <c r="F453" s="49" t="b">
        <v>0</v>
      </c>
      <c r="G453" s="49"/>
      <c r="H453" s="47"/>
      <c r="I453" s="47"/>
      <c r="J453" s="49"/>
      <c r="K453" s="49"/>
      <c r="L453" s="49" t="str">
        <f ca="1">IFERROR(__xludf.DUMMYFUNCTION("QUERY('Volunteer Survey'!B847)"),"")</f>
        <v/>
      </c>
      <c r="M453" s="49" t="str">
        <f ca="1">IFERROR(__xludf.DUMMYFUNCTION("QUERY('Volunteer Survey'!E847)"),"")</f>
        <v/>
      </c>
      <c r="N453" s="49">
        <f>'Volunteer Survey'!F863</f>
        <v>0</v>
      </c>
      <c r="O453" s="42">
        <f>'Volunteer Survey'!H864</f>
        <v>0</v>
      </c>
      <c r="P453" s="49" t="str">
        <f ca="1">IFERROR(__xludf.DUMMYFUNCTION("QUERY('Volunteer Survey'!I847)"),"")</f>
        <v/>
      </c>
      <c r="Q453" s="54" t="str">
        <f ca="1">IFERROR(__xludf.DUMMYFUNCTION("QUERY('Volunteer Survey'!J847)"),"")</f>
        <v/>
      </c>
      <c r="R453" s="49"/>
      <c r="S453" s="49" t="str">
        <f ca="1">IFERROR(__xludf.DUMMYFUNCTION("QUERY('Volunteer Survey'!L847)"),"")</f>
        <v/>
      </c>
      <c r="T453" s="49">
        <f>'Volunteer Survey'!M863</f>
        <v>0</v>
      </c>
      <c r="U453" s="58"/>
      <c r="V453" s="49">
        <f>'Volunteer Survey'!O863</f>
        <v>0</v>
      </c>
      <c r="W453" s="60" t="str">
        <f ca="1">IFERROR(__xludf.DUMMYFUNCTION("QUERY('Volunteer Survey'!P847)"),"")</f>
        <v/>
      </c>
      <c r="X453" s="58" t="str">
        <f ca="1">IFERROR(__xludf.DUMMYFUNCTION("QUERY('Volunteer Survey'!R847)"),"")</f>
        <v/>
      </c>
      <c r="Y453" s="47"/>
      <c r="Z453" s="175" t="str">
        <f ca="1">IFERROR(__xludf.DUMMYFUNCTION("QUERY('Volunteer Survey'!A452)"),"")</f>
        <v/>
      </c>
      <c r="AA453" s="175" t="str">
        <f ca="1">IFERROR(__xludf.DUMMYFUNCTION("QUERY('Volunteer Survey'!B452)"),"")</f>
        <v/>
      </c>
      <c r="AB453" s="175" t="str">
        <f ca="1">IFERROR(__xludf.DUMMYFUNCTION("QUERY('Volunteer Survey'!C452)"),"")</f>
        <v/>
      </c>
      <c r="AC453" s="175" t="str">
        <f ca="1">IFERROR(__xludf.DUMMYFUNCTION("QUERY('Volunteer Survey'!D452)"),"")</f>
        <v/>
      </c>
      <c r="AD453" s="175" t="str">
        <f ca="1">IFERROR(__xludf.DUMMYFUNCTION("QUERY('Volunteer Survey'!E452)"),"")</f>
        <v/>
      </c>
      <c r="AE453" s="175" t="str">
        <f ca="1">IFERROR(__xludf.DUMMYFUNCTION("QUERY('Volunteer Survey'!F452)"),"")</f>
        <v/>
      </c>
      <c r="AF453" s="175" t="str">
        <f ca="1">IFERROR(__xludf.DUMMYFUNCTION("QUERY('Volunteer Survey'!G452)"),"")</f>
        <v/>
      </c>
      <c r="AG453" s="175" t="str">
        <f ca="1">IFERROR(__xludf.DUMMYFUNCTION("QUERY('Volunteer Survey'!H452)"),"")</f>
        <v/>
      </c>
      <c r="AH453" s="175" t="str">
        <f ca="1">IFERROR(__xludf.DUMMYFUNCTION("QUERY('Volunteer Survey'!I452)"),"")</f>
        <v/>
      </c>
      <c r="AI453" s="175" t="str">
        <f ca="1">IFERROR(__xludf.DUMMYFUNCTION("QUERY('Volunteer Survey'!J452)"),"")</f>
        <v/>
      </c>
      <c r="AJ453" s="175" t="str">
        <f ca="1">IFERROR(__xludf.DUMMYFUNCTION("QUERY('Volunteer Survey'!K452)"),"")</f>
        <v/>
      </c>
      <c r="AK453" s="175" t="str">
        <f ca="1">IFERROR(__xludf.DUMMYFUNCTION("QUERY('Volunteer Survey'!L452)"),"")</f>
        <v/>
      </c>
      <c r="AL453" s="175" t="str">
        <f ca="1">IFERROR(__xludf.DUMMYFUNCTION("QUERY('Volunteer Survey'!M452)"),"")</f>
        <v/>
      </c>
      <c r="AM453" s="175" t="str">
        <f ca="1">IFERROR(__xludf.DUMMYFUNCTION("QUERY('Volunteer Survey'!N452)"),"")</f>
        <v/>
      </c>
      <c r="AN453" s="175" t="str">
        <f ca="1">IFERROR(__xludf.DUMMYFUNCTION("QUERY('Volunteer Survey'!O452)"),"")</f>
        <v/>
      </c>
      <c r="AO453" s="175" t="str">
        <f ca="1">IFERROR(__xludf.DUMMYFUNCTION("QUERY('Volunteer Survey'!P452)"),"")</f>
        <v/>
      </c>
    </row>
    <row r="454" spans="1:41" ht="14">
      <c r="A454" s="49" t="str">
        <f ca="1">IFERROR(__xludf.DUMMYFUNCTION("QUERY('Volunteer Survey'!A848)"),"")</f>
        <v/>
      </c>
      <c r="B454" s="42" t="s">
        <v>322</v>
      </c>
      <c r="C454" s="47"/>
      <c r="D454" s="49"/>
      <c r="E454" s="49"/>
      <c r="F454" s="49" t="b">
        <v>0</v>
      </c>
      <c r="G454" s="49"/>
      <c r="H454" s="47"/>
      <c r="I454" s="47"/>
      <c r="J454" s="49"/>
      <c r="K454" s="49"/>
      <c r="L454" s="49" t="str">
        <f ca="1">IFERROR(__xludf.DUMMYFUNCTION("QUERY('Volunteer Survey'!B848)"),"")</f>
        <v/>
      </c>
      <c r="M454" s="49" t="str">
        <f ca="1">IFERROR(__xludf.DUMMYFUNCTION("QUERY('Volunteer Survey'!E848)"),"")</f>
        <v/>
      </c>
      <c r="N454" s="49">
        <f>'Volunteer Survey'!F864</f>
        <v>0</v>
      </c>
      <c r="O454" s="42">
        <f>'Volunteer Survey'!H865</f>
        <v>0</v>
      </c>
      <c r="P454" s="49" t="str">
        <f ca="1">IFERROR(__xludf.DUMMYFUNCTION("QUERY('Volunteer Survey'!I848)"),"")</f>
        <v/>
      </c>
      <c r="Q454" s="54" t="str">
        <f ca="1">IFERROR(__xludf.DUMMYFUNCTION("QUERY('Volunteer Survey'!J848)"),"")</f>
        <v/>
      </c>
      <c r="R454" s="49"/>
      <c r="S454" s="49" t="str">
        <f ca="1">IFERROR(__xludf.DUMMYFUNCTION("QUERY('Volunteer Survey'!L848)"),"")</f>
        <v/>
      </c>
      <c r="T454" s="49">
        <f>'Volunteer Survey'!M864</f>
        <v>0</v>
      </c>
      <c r="U454" s="58"/>
      <c r="V454" s="49">
        <f>'Volunteer Survey'!O864</f>
        <v>0</v>
      </c>
      <c r="W454" s="60" t="str">
        <f ca="1">IFERROR(__xludf.DUMMYFUNCTION("QUERY('Volunteer Survey'!P848)"),"")</f>
        <v/>
      </c>
      <c r="X454" s="58" t="str">
        <f ca="1">IFERROR(__xludf.DUMMYFUNCTION("QUERY('Volunteer Survey'!R848)"),"")</f>
        <v/>
      </c>
      <c r="Y454" s="47"/>
      <c r="Z454" s="175" t="str">
        <f ca="1">IFERROR(__xludf.DUMMYFUNCTION("QUERY('Volunteer Survey'!A453)"),"")</f>
        <v/>
      </c>
      <c r="AA454" s="175" t="str">
        <f ca="1">IFERROR(__xludf.DUMMYFUNCTION("QUERY('Volunteer Survey'!B453)"),"")</f>
        <v/>
      </c>
      <c r="AB454" s="175" t="str">
        <f ca="1">IFERROR(__xludf.DUMMYFUNCTION("QUERY('Volunteer Survey'!C453)"),"")</f>
        <v/>
      </c>
      <c r="AC454" s="175" t="str">
        <f ca="1">IFERROR(__xludf.DUMMYFUNCTION("QUERY('Volunteer Survey'!D453)"),"")</f>
        <v/>
      </c>
      <c r="AD454" s="175" t="str">
        <f ca="1">IFERROR(__xludf.DUMMYFUNCTION("QUERY('Volunteer Survey'!E453)"),"")</f>
        <v/>
      </c>
      <c r="AE454" s="175" t="str">
        <f ca="1">IFERROR(__xludf.DUMMYFUNCTION("QUERY('Volunteer Survey'!F453)"),"")</f>
        <v/>
      </c>
      <c r="AF454" s="175" t="str">
        <f ca="1">IFERROR(__xludf.DUMMYFUNCTION("QUERY('Volunteer Survey'!G453)"),"")</f>
        <v/>
      </c>
      <c r="AG454" s="175" t="str">
        <f ca="1">IFERROR(__xludf.DUMMYFUNCTION("QUERY('Volunteer Survey'!H453)"),"")</f>
        <v/>
      </c>
      <c r="AH454" s="175" t="str">
        <f ca="1">IFERROR(__xludf.DUMMYFUNCTION("QUERY('Volunteer Survey'!I453)"),"")</f>
        <v/>
      </c>
      <c r="AI454" s="175" t="str">
        <f ca="1">IFERROR(__xludf.DUMMYFUNCTION("QUERY('Volunteer Survey'!J453)"),"")</f>
        <v/>
      </c>
      <c r="AJ454" s="175" t="str">
        <f ca="1">IFERROR(__xludf.DUMMYFUNCTION("QUERY('Volunteer Survey'!K453)"),"")</f>
        <v/>
      </c>
      <c r="AK454" s="175" t="str">
        <f ca="1">IFERROR(__xludf.DUMMYFUNCTION("QUERY('Volunteer Survey'!L453)"),"")</f>
        <v/>
      </c>
      <c r="AL454" s="175" t="str">
        <f ca="1">IFERROR(__xludf.DUMMYFUNCTION("QUERY('Volunteer Survey'!M453)"),"")</f>
        <v/>
      </c>
      <c r="AM454" s="175" t="str">
        <f ca="1">IFERROR(__xludf.DUMMYFUNCTION("QUERY('Volunteer Survey'!N453)"),"")</f>
        <v/>
      </c>
      <c r="AN454" s="175" t="str">
        <f ca="1">IFERROR(__xludf.DUMMYFUNCTION("QUERY('Volunteer Survey'!O453)"),"")</f>
        <v/>
      </c>
      <c r="AO454" s="175" t="str">
        <f ca="1">IFERROR(__xludf.DUMMYFUNCTION("QUERY('Volunteer Survey'!P453)"),"")</f>
        <v/>
      </c>
    </row>
    <row r="455" spans="1:41" ht="14">
      <c r="A455" s="49" t="str">
        <f ca="1">IFERROR(__xludf.DUMMYFUNCTION("QUERY('Volunteer Survey'!A849)"),"")</f>
        <v/>
      </c>
      <c r="B455" s="42" t="s">
        <v>322</v>
      </c>
      <c r="C455" s="47"/>
      <c r="D455" s="49"/>
      <c r="E455" s="49"/>
      <c r="F455" s="49" t="b">
        <v>0</v>
      </c>
      <c r="G455" s="49"/>
      <c r="H455" s="47"/>
      <c r="I455" s="47"/>
      <c r="J455" s="49"/>
      <c r="K455" s="49"/>
      <c r="L455" s="49">
        <f>'Volunteer Survey'!B865</f>
        <v>0</v>
      </c>
      <c r="M455" s="49" t="str">
        <f ca="1">IFERROR(__xludf.DUMMYFUNCTION("QUERY('Volunteer Survey'!E849)"),"")</f>
        <v/>
      </c>
      <c r="N455" s="49">
        <f>'Volunteer Survey'!F865</f>
        <v>0</v>
      </c>
      <c r="O455" s="42">
        <f>'Volunteer Survey'!H866</f>
        <v>0</v>
      </c>
      <c r="P455" s="49" t="str">
        <f ca="1">IFERROR(__xludf.DUMMYFUNCTION("QUERY('Volunteer Survey'!I849)"),"")</f>
        <v/>
      </c>
      <c r="Q455" s="54" t="str">
        <f ca="1">IFERROR(__xludf.DUMMYFUNCTION("QUERY('Volunteer Survey'!J849)"),"")</f>
        <v/>
      </c>
      <c r="R455" s="49"/>
      <c r="S455" s="49" t="str">
        <f ca="1">IFERROR(__xludf.DUMMYFUNCTION("QUERY('Volunteer Survey'!L849)"),"")</f>
        <v/>
      </c>
      <c r="T455" s="49">
        <f>'Volunteer Survey'!M865</f>
        <v>0</v>
      </c>
      <c r="U455" s="58"/>
      <c r="V455" s="49">
        <f>'Volunteer Survey'!O865</f>
        <v>0</v>
      </c>
      <c r="W455" s="60" t="str">
        <f ca="1">IFERROR(__xludf.DUMMYFUNCTION("QUERY('Volunteer Survey'!P849)"),"")</f>
        <v/>
      </c>
      <c r="X455" s="58" t="str">
        <f ca="1">IFERROR(__xludf.DUMMYFUNCTION("QUERY('Volunteer Survey'!R849)"),"")</f>
        <v/>
      </c>
      <c r="Y455" s="47"/>
      <c r="Z455" s="175" t="str">
        <f ca="1">IFERROR(__xludf.DUMMYFUNCTION("QUERY('Volunteer Survey'!A454)"),"")</f>
        <v/>
      </c>
      <c r="AA455" s="175" t="str">
        <f ca="1">IFERROR(__xludf.DUMMYFUNCTION("QUERY('Volunteer Survey'!B454)"),"")</f>
        <v/>
      </c>
      <c r="AB455" s="175" t="str">
        <f ca="1">IFERROR(__xludf.DUMMYFUNCTION("QUERY('Volunteer Survey'!C454)"),"")</f>
        <v/>
      </c>
      <c r="AC455" s="175" t="str">
        <f ca="1">IFERROR(__xludf.DUMMYFUNCTION("QUERY('Volunteer Survey'!D454)"),"")</f>
        <v/>
      </c>
      <c r="AD455" s="175" t="str">
        <f ca="1">IFERROR(__xludf.DUMMYFUNCTION("QUERY('Volunteer Survey'!E454)"),"")</f>
        <v/>
      </c>
      <c r="AE455" s="175" t="str">
        <f ca="1">IFERROR(__xludf.DUMMYFUNCTION("QUERY('Volunteer Survey'!F454)"),"")</f>
        <v/>
      </c>
      <c r="AF455" s="175" t="str">
        <f ca="1">IFERROR(__xludf.DUMMYFUNCTION("QUERY('Volunteer Survey'!G454)"),"")</f>
        <v/>
      </c>
      <c r="AG455" s="175" t="str">
        <f ca="1">IFERROR(__xludf.DUMMYFUNCTION("QUERY('Volunteer Survey'!H454)"),"")</f>
        <v/>
      </c>
      <c r="AH455" s="175" t="str">
        <f ca="1">IFERROR(__xludf.DUMMYFUNCTION("QUERY('Volunteer Survey'!I454)"),"")</f>
        <v/>
      </c>
      <c r="AI455" s="175" t="str">
        <f ca="1">IFERROR(__xludf.DUMMYFUNCTION("QUERY('Volunteer Survey'!J454)"),"")</f>
        <v/>
      </c>
      <c r="AJ455" s="175" t="str">
        <f ca="1">IFERROR(__xludf.DUMMYFUNCTION("QUERY('Volunteer Survey'!K454)"),"")</f>
        <v/>
      </c>
      <c r="AK455" s="175" t="str">
        <f ca="1">IFERROR(__xludf.DUMMYFUNCTION("QUERY('Volunteer Survey'!L454)"),"")</f>
        <v/>
      </c>
      <c r="AL455" s="175" t="str">
        <f ca="1">IFERROR(__xludf.DUMMYFUNCTION("QUERY('Volunteer Survey'!M454)"),"")</f>
        <v/>
      </c>
      <c r="AM455" s="175" t="str">
        <f ca="1">IFERROR(__xludf.DUMMYFUNCTION("QUERY('Volunteer Survey'!N454)"),"")</f>
        <v/>
      </c>
      <c r="AN455" s="175" t="str">
        <f ca="1">IFERROR(__xludf.DUMMYFUNCTION("QUERY('Volunteer Survey'!O454)"),"")</f>
        <v/>
      </c>
      <c r="AO455" s="175" t="str">
        <f ca="1">IFERROR(__xludf.DUMMYFUNCTION("QUERY('Volunteer Survey'!P454)"),"")</f>
        <v/>
      </c>
    </row>
    <row r="456" spans="1:41" ht="14">
      <c r="A456" s="49">
        <f>'Volunteer Survey'!A866</f>
        <v>0</v>
      </c>
      <c r="B456" s="42" t="s">
        <v>322</v>
      </c>
      <c r="C456" s="47"/>
      <c r="D456" s="49"/>
      <c r="E456" s="49"/>
      <c r="F456" s="49" t="b">
        <v>0</v>
      </c>
      <c r="G456" s="49"/>
      <c r="H456" s="47"/>
      <c r="I456" s="47"/>
      <c r="J456" s="49"/>
      <c r="K456" s="49"/>
      <c r="L456" s="49">
        <f>'Volunteer Survey'!B866</f>
        <v>0</v>
      </c>
      <c r="M456" s="49" t="str">
        <f ca="1">IFERROR(__xludf.DUMMYFUNCTION("QUERY('Volunteer Survey'!E850)"),"")</f>
        <v/>
      </c>
      <c r="N456" s="49">
        <f>'Volunteer Survey'!F866</f>
        <v>0</v>
      </c>
      <c r="O456" s="42">
        <f>'Volunteer Survey'!H867</f>
        <v>0</v>
      </c>
      <c r="P456" s="49" t="str">
        <f ca="1">IFERROR(__xludf.DUMMYFUNCTION("QUERY('Volunteer Survey'!I850)"),"")</f>
        <v/>
      </c>
      <c r="Q456" s="54" t="str">
        <f ca="1">IFERROR(__xludf.DUMMYFUNCTION("QUERY('Volunteer Survey'!J850)"),"")</f>
        <v/>
      </c>
      <c r="R456" s="49"/>
      <c r="S456" s="49" t="str">
        <f ca="1">IFERROR(__xludf.DUMMYFUNCTION("QUERY('Volunteer Survey'!L850)"),"")</f>
        <v/>
      </c>
      <c r="T456" s="49">
        <f>'Volunteer Survey'!M866</f>
        <v>0</v>
      </c>
      <c r="U456" s="58"/>
      <c r="V456" s="49">
        <f>'Volunteer Survey'!O866</f>
        <v>0</v>
      </c>
      <c r="W456" s="60" t="str">
        <f ca="1">IFERROR(__xludf.DUMMYFUNCTION("QUERY('Volunteer Survey'!P850)"),"")</f>
        <v/>
      </c>
      <c r="X456" s="58" t="str">
        <f ca="1">IFERROR(__xludf.DUMMYFUNCTION("QUERY('Volunteer Survey'!R850)"),"")</f>
        <v/>
      </c>
      <c r="Y456" s="47"/>
      <c r="Z456" s="175" t="str">
        <f ca="1">IFERROR(__xludf.DUMMYFUNCTION("QUERY('Volunteer Survey'!A455)"),"")</f>
        <v/>
      </c>
      <c r="AA456" s="175" t="str">
        <f ca="1">IFERROR(__xludf.DUMMYFUNCTION("QUERY('Volunteer Survey'!B455)"),"")</f>
        <v/>
      </c>
      <c r="AB456" s="175" t="str">
        <f ca="1">IFERROR(__xludf.DUMMYFUNCTION("QUERY('Volunteer Survey'!C455)"),"")</f>
        <v/>
      </c>
      <c r="AC456" s="175" t="str">
        <f ca="1">IFERROR(__xludf.DUMMYFUNCTION("QUERY('Volunteer Survey'!D455)"),"")</f>
        <v/>
      </c>
      <c r="AD456" s="175" t="str">
        <f ca="1">IFERROR(__xludf.DUMMYFUNCTION("QUERY('Volunteer Survey'!E455)"),"")</f>
        <v/>
      </c>
      <c r="AE456" s="175" t="str">
        <f ca="1">IFERROR(__xludf.DUMMYFUNCTION("QUERY('Volunteer Survey'!F455)"),"")</f>
        <v/>
      </c>
      <c r="AF456" s="175" t="str">
        <f ca="1">IFERROR(__xludf.DUMMYFUNCTION("QUERY('Volunteer Survey'!G455)"),"")</f>
        <v/>
      </c>
      <c r="AG456" s="175" t="str">
        <f ca="1">IFERROR(__xludf.DUMMYFUNCTION("QUERY('Volunteer Survey'!H455)"),"")</f>
        <v/>
      </c>
      <c r="AH456" s="175" t="str">
        <f ca="1">IFERROR(__xludf.DUMMYFUNCTION("QUERY('Volunteer Survey'!I455)"),"")</f>
        <v/>
      </c>
      <c r="AI456" s="175" t="str">
        <f ca="1">IFERROR(__xludf.DUMMYFUNCTION("QUERY('Volunteer Survey'!J455)"),"")</f>
        <v/>
      </c>
      <c r="AJ456" s="175" t="str">
        <f ca="1">IFERROR(__xludf.DUMMYFUNCTION("QUERY('Volunteer Survey'!K455)"),"")</f>
        <v/>
      </c>
      <c r="AK456" s="175" t="str">
        <f ca="1">IFERROR(__xludf.DUMMYFUNCTION("QUERY('Volunteer Survey'!L455)"),"")</f>
        <v/>
      </c>
      <c r="AL456" s="175" t="str">
        <f ca="1">IFERROR(__xludf.DUMMYFUNCTION("QUERY('Volunteer Survey'!M455)"),"")</f>
        <v/>
      </c>
      <c r="AM456" s="175" t="str">
        <f ca="1">IFERROR(__xludf.DUMMYFUNCTION("QUERY('Volunteer Survey'!N455)"),"")</f>
        <v/>
      </c>
      <c r="AN456" s="175" t="str">
        <f ca="1">IFERROR(__xludf.DUMMYFUNCTION("QUERY('Volunteer Survey'!O455)"),"")</f>
        <v/>
      </c>
      <c r="AO456" s="175" t="str">
        <f ca="1">IFERROR(__xludf.DUMMYFUNCTION("QUERY('Volunteer Survey'!P455)"),"")</f>
        <v/>
      </c>
    </row>
    <row r="457" spans="1:41" ht="14">
      <c r="A457" s="49">
        <f>'Volunteer Survey'!A867</f>
        <v>0</v>
      </c>
      <c r="B457" s="42" t="s">
        <v>322</v>
      </c>
      <c r="C457" s="47"/>
      <c r="D457" s="49"/>
      <c r="E457" s="49"/>
      <c r="F457" s="49" t="b">
        <v>0</v>
      </c>
      <c r="G457" s="49"/>
      <c r="H457" s="47"/>
      <c r="I457" s="47"/>
      <c r="J457" s="49"/>
      <c r="K457" s="49"/>
      <c r="L457" s="49">
        <f>'Volunteer Survey'!B867</f>
        <v>0</v>
      </c>
      <c r="M457" s="49" t="str">
        <f ca="1">IFERROR(__xludf.DUMMYFUNCTION("QUERY('Volunteer Survey'!E851)"),"")</f>
        <v/>
      </c>
      <c r="N457" s="49">
        <f>'Volunteer Survey'!F867</f>
        <v>0</v>
      </c>
      <c r="O457" s="42">
        <f>'Volunteer Survey'!H868</f>
        <v>0</v>
      </c>
      <c r="P457" s="49" t="str">
        <f ca="1">IFERROR(__xludf.DUMMYFUNCTION("QUERY('Volunteer Survey'!I851)"),"")</f>
        <v/>
      </c>
      <c r="Q457" s="54" t="str">
        <f ca="1">IFERROR(__xludf.DUMMYFUNCTION("QUERY('Volunteer Survey'!J851)"),"")</f>
        <v/>
      </c>
      <c r="R457" s="49"/>
      <c r="S457" s="49" t="str">
        <f ca="1">IFERROR(__xludf.DUMMYFUNCTION("QUERY('Volunteer Survey'!L851)"),"")</f>
        <v/>
      </c>
      <c r="T457" s="49">
        <f>'Volunteer Survey'!M867</f>
        <v>0</v>
      </c>
      <c r="U457" s="58"/>
      <c r="V457" s="49">
        <f>'Volunteer Survey'!O867</f>
        <v>0</v>
      </c>
      <c r="W457" s="60" t="str">
        <f ca="1">IFERROR(__xludf.DUMMYFUNCTION("QUERY('Volunteer Survey'!P851)"),"")</f>
        <v/>
      </c>
      <c r="X457" s="58" t="str">
        <f ca="1">IFERROR(__xludf.DUMMYFUNCTION("QUERY('Volunteer Survey'!R851)"),"")</f>
        <v/>
      </c>
      <c r="Y457" s="47"/>
      <c r="Z457" s="175" t="str">
        <f ca="1">IFERROR(__xludf.DUMMYFUNCTION("QUERY('Volunteer Survey'!A456)"),"")</f>
        <v/>
      </c>
      <c r="AA457" s="175" t="str">
        <f ca="1">IFERROR(__xludf.DUMMYFUNCTION("QUERY('Volunteer Survey'!B456)"),"")</f>
        <v/>
      </c>
      <c r="AB457" s="175" t="str">
        <f ca="1">IFERROR(__xludf.DUMMYFUNCTION("QUERY('Volunteer Survey'!C456)"),"")</f>
        <v/>
      </c>
      <c r="AC457" s="175" t="str">
        <f ca="1">IFERROR(__xludf.DUMMYFUNCTION("QUERY('Volunteer Survey'!D456)"),"")</f>
        <v/>
      </c>
      <c r="AD457" s="175" t="str">
        <f ca="1">IFERROR(__xludf.DUMMYFUNCTION("QUERY('Volunteer Survey'!E456)"),"")</f>
        <v/>
      </c>
      <c r="AE457" s="175" t="str">
        <f ca="1">IFERROR(__xludf.DUMMYFUNCTION("QUERY('Volunteer Survey'!F456)"),"")</f>
        <v/>
      </c>
      <c r="AF457" s="175" t="str">
        <f ca="1">IFERROR(__xludf.DUMMYFUNCTION("QUERY('Volunteer Survey'!G456)"),"")</f>
        <v/>
      </c>
      <c r="AG457" s="175" t="str">
        <f ca="1">IFERROR(__xludf.DUMMYFUNCTION("QUERY('Volunteer Survey'!H456)"),"")</f>
        <v/>
      </c>
      <c r="AH457" s="175" t="str">
        <f ca="1">IFERROR(__xludf.DUMMYFUNCTION("QUERY('Volunteer Survey'!I456)"),"")</f>
        <v/>
      </c>
      <c r="AI457" s="175" t="str">
        <f ca="1">IFERROR(__xludf.DUMMYFUNCTION("QUERY('Volunteer Survey'!J456)"),"")</f>
        <v/>
      </c>
      <c r="AJ457" s="175" t="str">
        <f ca="1">IFERROR(__xludf.DUMMYFUNCTION("QUERY('Volunteer Survey'!K456)"),"")</f>
        <v/>
      </c>
      <c r="AK457" s="175" t="str">
        <f ca="1">IFERROR(__xludf.DUMMYFUNCTION("QUERY('Volunteer Survey'!L456)"),"")</f>
        <v/>
      </c>
      <c r="AL457" s="175" t="str">
        <f ca="1">IFERROR(__xludf.DUMMYFUNCTION("QUERY('Volunteer Survey'!M456)"),"")</f>
        <v/>
      </c>
      <c r="AM457" s="175" t="str">
        <f ca="1">IFERROR(__xludf.DUMMYFUNCTION("QUERY('Volunteer Survey'!N456)"),"")</f>
        <v/>
      </c>
      <c r="AN457" s="175" t="str">
        <f ca="1">IFERROR(__xludf.DUMMYFUNCTION("QUERY('Volunteer Survey'!O456)"),"")</f>
        <v/>
      </c>
      <c r="AO457" s="175" t="str">
        <f ca="1">IFERROR(__xludf.DUMMYFUNCTION("QUERY('Volunteer Survey'!P456)"),"")</f>
        <v/>
      </c>
    </row>
    <row r="458" spans="1:41" ht="14">
      <c r="A458" s="49">
        <f>'Volunteer Survey'!A868</f>
        <v>0</v>
      </c>
      <c r="B458" s="42" t="s">
        <v>322</v>
      </c>
      <c r="C458" s="47"/>
      <c r="D458" s="49"/>
      <c r="E458" s="49"/>
      <c r="F458" s="49" t="b">
        <v>0</v>
      </c>
      <c r="G458" s="49"/>
      <c r="H458" s="47"/>
      <c r="I458" s="47"/>
      <c r="J458" s="49"/>
      <c r="K458" s="49"/>
      <c r="L458" s="49">
        <f>'Volunteer Survey'!B868</f>
        <v>0</v>
      </c>
      <c r="M458" s="49" t="str">
        <f ca="1">IFERROR(__xludf.DUMMYFUNCTION("QUERY('Volunteer Survey'!E852)"),"")</f>
        <v/>
      </c>
      <c r="N458" s="49">
        <f>'Volunteer Survey'!F868</f>
        <v>0</v>
      </c>
      <c r="O458" s="42">
        <f>'Volunteer Survey'!H869</f>
        <v>0</v>
      </c>
      <c r="P458" s="49" t="str">
        <f ca="1">IFERROR(__xludf.DUMMYFUNCTION("QUERY('Volunteer Survey'!I852)"),"")</f>
        <v/>
      </c>
      <c r="Q458" s="54" t="str">
        <f ca="1">IFERROR(__xludf.DUMMYFUNCTION("QUERY('Volunteer Survey'!J852)"),"")</f>
        <v/>
      </c>
      <c r="R458" s="49"/>
      <c r="S458" s="49" t="str">
        <f ca="1">IFERROR(__xludf.DUMMYFUNCTION("QUERY('Volunteer Survey'!L852)"),"")</f>
        <v/>
      </c>
      <c r="T458" s="49">
        <f>'Volunteer Survey'!M868</f>
        <v>0</v>
      </c>
      <c r="U458" s="58"/>
      <c r="V458" s="49">
        <f>'Volunteer Survey'!O868</f>
        <v>0</v>
      </c>
      <c r="W458" s="60" t="str">
        <f ca="1">IFERROR(__xludf.DUMMYFUNCTION("QUERY('Volunteer Survey'!P852)"),"")</f>
        <v/>
      </c>
      <c r="X458" s="58" t="str">
        <f ca="1">IFERROR(__xludf.DUMMYFUNCTION("QUERY('Volunteer Survey'!R852)"),"")</f>
        <v/>
      </c>
      <c r="Y458" s="47"/>
      <c r="Z458" s="175" t="str">
        <f ca="1">IFERROR(__xludf.DUMMYFUNCTION("QUERY('Volunteer Survey'!A457)"),"")</f>
        <v/>
      </c>
      <c r="AA458" s="175" t="str">
        <f ca="1">IFERROR(__xludf.DUMMYFUNCTION("QUERY('Volunteer Survey'!B457)"),"")</f>
        <v/>
      </c>
      <c r="AB458" s="175" t="str">
        <f ca="1">IFERROR(__xludf.DUMMYFUNCTION("QUERY('Volunteer Survey'!C457)"),"")</f>
        <v/>
      </c>
      <c r="AC458" s="175" t="str">
        <f ca="1">IFERROR(__xludf.DUMMYFUNCTION("QUERY('Volunteer Survey'!D457)"),"")</f>
        <v/>
      </c>
      <c r="AD458" s="175" t="str">
        <f ca="1">IFERROR(__xludf.DUMMYFUNCTION("QUERY('Volunteer Survey'!E457)"),"")</f>
        <v/>
      </c>
      <c r="AE458" s="175" t="str">
        <f ca="1">IFERROR(__xludf.DUMMYFUNCTION("QUERY('Volunteer Survey'!F457)"),"")</f>
        <v/>
      </c>
      <c r="AF458" s="175" t="str">
        <f ca="1">IFERROR(__xludf.DUMMYFUNCTION("QUERY('Volunteer Survey'!G457)"),"")</f>
        <v/>
      </c>
      <c r="AG458" s="175" t="str">
        <f ca="1">IFERROR(__xludf.DUMMYFUNCTION("QUERY('Volunteer Survey'!H457)"),"")</f>
        <v/>
      </c>
      <c r="AH458" s="175" t="str">
        <f ca="1">IFERROR(__xludf.DUMMYFUNCTION("QUERY('Volunteer Survey'!I457)"),"")</f>
        <v/>
      </c>
      <c r="AI458" s="175" t="str">
        <f ca="1">IFERROR(__xludf.DUMMYFUNCTION("QUERY('Volunteer Survey'!J457)"),"")</f>
        <v/>
      </c>
      <c r="AJ458" s="175" t="str">
        <f ca="1">IFERROR(__xludf.DUMMYFUNCTION("QUERY('Volunteer Survey'!K457)"),"")</f>
        <v/>
      </c>
      <c r="AK458" s="175" t="str">
        <f ca="1">IFERROR(__xludf.DUMMYFUNCTION("QUERY('Volunteer Survey'!L457)"),"")</f>
        <v/>
      </c>
      <c r="AL458" s="175" t="str">
        <f ca="1">IFERROR(__xludf.DUMMYFUNCTION("QUERY('Volunteer Survey'!M457)"),"")</f>
        <v/>
      </c>
      <c r="AM458" s="175" t="str">
        <f ca="1">IFERROR(__xludf.DUMMYFUNCTION("QUERY('Volunteer Survey'!N457)"),"")</f>
        <v/>
      </c>
      <c r="AN458" s="175" t="str">
        <f ca="1">IFERROR(__xludf.DUMMYFUNCTION("QUERY('Volunteer Survey'!O457)"),"")</f>
        <v/>
      </c>
      <c r="AO458" s="175" t="str">
        <f ca="1">IFERROR(__xludf.DUMMYFUNCTION("QUERY('Volunteer Survey'!P457)"),"")</f>
        <v/>
      </c>
    </row>
    <row r="459" spans="1:41" ht="14">
      <c r="A459" s="49">
        <f>'Volunteer Survey'!A869</f>
        <v>0</v>
      </c>
      <c r="B459" s="42" t="s">
        <v>322</v>
      </c>
      <c r="C459" s="47"/>
      <c r="D459" s="49"/>
      <c r="E459" s="49"/>
      <c r="F459" s="49" t="b">
        <v>0</v>
      </c>
      <c r="G459" s="49"/>
      <c r="H459" s="47"/>
      <c r="I459" s="47"/>
      <c r="J459" s="49"/>
      <c r="K459" s="49"/>
      <c r="L459" s="49">
        <f>'Volunteer Survey'!B869</f>
        <v>0</v>
      </c>
      <c r="M459" s="49" t="str">
        <f ca="1">IFERROR(__xludf.DUMMYFUNCTION("QUERY('Volunteer Survey'!E853)"),"")</f>
        <v/>
      </c>
      <c r="N459" s="49">
        <f>'Volunteer Survey'!F869</f>
        <v>0</v>
      </c>
      <c r="O459" s="42">
        <f>'Volunteer Survey'!H870</f>
        <v>0</v>
      </c>
      <c r="P459" s="49" t="str">
        <f ca="1">IFERROR(__xludf.DUMMYFUNCTION("QUERY('Volunteer Survey'!I853)"),"")</f>
        <v/>
      </c>
      <c r="Q459" s="54" t="str">
        <f ca="1">IFERROR(__xludf.DUMMYFUNCTION("QUERY('Volunteer Survey'!J853)"),"")</f>
        <v/>
      </c>
      <c r="R459" s="49"/>
      <c r="S459" s="49" t="str">
        <f ca="1">IFERROR(__xludf.DUMMYFUNCTION("QUERY('Volunteer Survey'!L853)"),"")</f>
        <v/>
      </c>
      <c r="T459" s="49">
        <f>'Volunteer Survey'!M869</f>
        <v>0</v>
      </c>
      <c r="U459" s="58"/>
      <c r="V459" s="49">
        <f>'Volunteer Survey'!O869</f>
        <v>0</v>
      </c>
      <c r="W459" s="60" t="str">
        <f ca="1">IFERROR(__xludf.DUMMYFUNCTION("QUERY('Volunteer Survey'!P853)"),"")</f>
        <v/>
      </c>
      <c r="X459" s="58" t="str">
        <f ca="1">IFERROR(__xludf.DUMMYFUNCTION("QUERY('Volunteer Survey'!R853)"),"")</f>
        <v/>
      </c>
      <c r="Y459" s="47"/>
      <c r="Z459" s="175" t="str">
        <f ca="1">IFERROR(__xludf.DUMMYFUNCTION("QUERY('Volunteer Survey'!A458)"),"")</f>
        <v/>
      </c>
      <c r="AA459" s="175" t="str">
        <f ca="1">IFERROR(__xludf.DUMMYFUNCTION("QUERY('Volunteer Survey'!B458)"),"")</f>
        <v/>
      </c>
      <c r="AB459" s="175" t="str">
        <f ca="1">IFERROR(__xludf.DUMMYFUNCTION("QUERY('Volunteer Survey'!C458)"),"")</f>
        <v/>
      </c>
      <c r="AC459" s="175" t="str">
        <f ca="1">IFERROR(__xludf.DUMMYFUNCTION("QUERY('Volunteer Survey'!D458)"),"")</f>
        <v/>
      </c>
      <c r="AD459" s="175" t="str">
        <f ca="1">IFERROR(__xludf.DUMMYFUNCTION("QUERY('Volunteer Survey'!E458)"),"")</f>
        <v/>
      </c>
      <c r="AE459" s="175" t="str">
        <f ca="1">IFERROR(__xludf.DUMMYFUNCTION("QUERY('Volunteer Survey'!F458)"),"")</f>
        <v/>
      </c>
      <c r="AF459" s="175" t="str">
        <f ca="1">IFERROR(__xludf.DUMMYFUNCTION("QUERY('Volunteer Survey'!G458)"),"")</f>
        <v/>
      </c>
      <c r="AG459" s="175" t="str">
        <f ca="1">IFERROR(__xludf.DUMMYFUNCTION("QUERY('Volunteer Survey'!H458)"),"")</f>
        <v/>
      </c>
      <c r="AH459" s="175" t="str">
        <f ca="1">IFERROR(__xludf.DUMMYFUNCTION("QUERY('Volunteer Survey'!I458)"),"")</f>
        <v/>
      </c>
      <c r="AI459" s="175" t="str">
        <f ca="1">IFERROR(__xludf.DUMMYFUNCTION("QUERY('Volunteer Survey'!J458)"),"")</f>
        <v/>
      </c>
      <c r="AJ459" s="175" t="str">
        <f ca="1">IFERROR(__xludf.DUMMYFUNCTION("QUERY('Volunteer Survey'!K458)"),"")</f>
        <v/>
      </c>
      <c r="AK459" s="175" t="str">
        <f ca="1">IFERROR(__xludf.DUMMYFUNCTION("QUERY('Volunteer Survey'!L458)"),"")</f>
        <v/>
      </c>
      <c r="AL459" s="175" t="str">
        <f ca="1">IFERROR(__xludf.DUMMYFUNCTION("QUERY('Volunteer Survey'!M458)"),"")</f>
        <v/>
      </c>
      <c r="AM459" s="175" t="str">
        <f ca="1">IFERROR(__xludf.DUMMYFUNCTION("QUERY('Volunteer Survey'!N458)"),"")</f>
        <v/>
      </c>
      <c r="AN459" s="175" t="str">
        <f ca="1">IFERROR(__xludf.DUMMYFUNCTION("QUERY('Volunteer Survey'!O458)"),"")</f>
        <v/>
      </c>
      <c r="AO459" s="175" t="str">
        <f ca="1">IFERROR(__xludf.DUMMYFUNCTION("QUERY('Volunteer Survey'!P458)"),"")</f>
        <v/>
      </c>
    </row>
    <row r="460" spans="1:41" ht="14">
      <c r="A460" s="49">
        <f>'Volunteer Survey'!A870</f>
        <v>0</v>
      </c>
      <c r="B460" s="42" t="s">
        <v>322</v>
      </c>
      <c r="C460" s="47"/>
      <c r="D460" s="49"/>
      <c r="E460" s="49"/>
      <c r="F460" s="49" t="b">
        <v>0</v>
      </c>
      <c r="G460" s="49"/>
      <c r="H460" s="47"/>
      <c r="I460" s="47"/>
      <c r="J460" s="49"/>
      <c r="K460" s="49"/>
      <c r="L460" s="49">
        <f>'Volunteer Survey'!B870</f>
        <v>0</v>
      </c>
      <c r="M460" s="49" t="str">
        <f ca="1">IFERROR(__xludf.DUMMYFUNCTION("QUERY('Volunteer Survey'!E854)"),"")</f>
        <v/>
      </c>
      <c r="N460" s="49">
        <f>'Volunteer Survey'!F870</f>
        <v>0</v>
      </c>
      <c r="O460" s="42">
        <f>'Volunteer Survey'!H871</f>
        <v>0</v>
      </c>
      <c r="P460" s="49" t="str">
        <f ca="1">IFERROR(__xludf.DUMMYFUNCTION("QUERY('Volunteer Survey'!I854)"),"")</f>
        <v/>
      </c>
      <c r="Q460" s="54" t="str">
        <f ca="1">IFERROR(__xludf.DUMMYFUNCTION("QUERY('Volunteer Survey'!J854)"),"")</f>
        <v/>
      </c>
      <c r="R460" s="49"/>
      <c r="S460" s="49" t="str">
        <f ca="1">IFERROR(__xludf.DUMMYFUNCTION("QUERY('Volunteer Survey'!L854)"),"")</f>
        <v/>
      </c>
      <c r="T460" s="49">
        <f>'Volunteer Survey'!M870</f>
        <v>0</v>
      </c>
      <c r="U460" s="58"/>
      <c r="V460" s="49">
        <f>'Volunteer Survey'!O870</f>
        <v>0</v>
      </c>
      <c r="W460" s="60" t="str">
        <f ca="1">IFERROR(__xludf.DUMMYFUNCTION("QUERY('Volunteer Survey'!P854)"),"")</f>
        <v/>
      </c>
      <c r="X460" s="58" t="str">
        <f ca="1">IFERROR(__xludf.DUMMYFUNCTION("QUERY('Volunteer Survey'!R854)"),"")</f>
        <v/>
      </c>
      <c r="Y460" s="47"/>
      <c r="Z460" s="175" t="str">
        <f ca="1">IFERROR(__xludf.DUMMYFUNCTION("QUERY('Volunteer Survey'!A459)"),"")</f>
        <v/>
      </c>
      <c r="AA460" s="175" t="str">
        <f ca="1">IFERROR(__xludf.DUMMYFUNCTION("QUERY('Volunteer Survey'!B459)"),"")</f>
        <v/>
      </c>
      <c r="AB460" s="175" t="str">
        <f ca="1">IFERROR(__xludf.DUMMYFUNCTION("QUERY('Volunteer Survey'!C459)"),"")</f>
        <v/>
      </c>
      <c r="AC460" s="175" t="str">
        <f ca="1">IFERROR(__xludf.DUMMYFUNCTION("QUERY('Volunteer Survey'!D459)"),"")</f>
        <v/>
      </c>
      <c r="AD460" s="175" t="str">
        <f ca="1">IFERROR(__xludf.DUMMYFUNCTION("QUERY('Volunteer Survey'!E459)"),"")</f>
        <v/>
      </c>
      <c r="AE460" s="175" t="str">
        <f ca="1">IFERROR(__xludf.DUMMYFUNCTION("QUERY('Volunteer Survey'!F459)"),"")</f>
        <v/>
      </c>
      <c r="AF460" s="175" t="str">
        <f ca="1">IFERROR(__xludf.DUMMYFUNCTION("QUERY('Volunteer Survey'!G459)"),"")</f>
        <v/>
      </c>
      <c r="AG460" s="175" t="str">
        <f ca="1">IFERROR(__xludf.DUMMYFUNCTION("QUERY('Volunteer Survey'!H459)"),"")</f>
        <v/>
      </c>
      <c r="AH460" s="175" t="str">
        <f ca="1">IFERROR(__xludf.DUMMYFUNCTION("QUERY('Volunteer Survey'!I459)"),"")</f>
        <v/>
      </c>
      <c r="AI460" s="175" t="str">
        <f ca="1">IFERROR(__xludf.DUMMYFUNCTION("QUERY('Volunteer Survey'!J459)"),"")</f>
        <v/>
      </c>
      <c r="AJ460" s="175" t="str">
        <f ca="1">IFERROR(__xludf.DUMMYFUNCTION("QUERY('Volunteer Survey'!K459)"),"")</f>
        <v/>
      </c>
      <c r="AK460" s="175" t="str">
        <f ca="1">IFERROR(__xludf.DUMMYFUNCTION("QUERY('Volunteer Survey'!L459)"),"")</f>
        <v/>
      </c>
      <c r="AL460" s="175" t="str">
        <f ca="1">IFERROR(__xludf.DUMMYFUNCTION("QUERY('Volunteer Survey'!M459)"),"")</f>
        <v/>
      </c>
      <c r="AM460" s="175" t="str">
        <f ca="1">IFERROR(__xludf.DUMMYFUNCTION("QUERY('Volunteer Survey'!N459)"),"")</f>
        <v/>
      </c>
      <c r="AN460" s="175" t="str">
        <f ca="1">IFERROR(__xludf.DUMMYFUNCTION("QUERY('Volunteer Survey'!O459)"),"")</f>
        <v/>
      </c>
      <c r="AO460" s="175" t="str">
        <f ca="1">IFERROR(__xludf.DUMMYFUNCTION("QUERY('Volunteer Survey'!P459)"),"")</f>
        <v/>
      </c>
    </row>
    <row r="461" spans="1:41" ht="14">
      <c r="A461" s="49">
        <f>'Volunteer Survey'!A871</f>
        <v>0</v>
      </c>
      <c r="B461" s="42" t="s">
        <v>322</v>
      </c>
      <c r="C461" s="47"/>
      <c r="D461" s="49"/>
      <c r="E461" s="49"/>
      <c r="F461" s="49" t="b">
        <v>0</v>
      </c>
      <c r="G461" s="49"/>
      <c r="H461" s="47"/>
      <c r="I461" s="47"/>
      <c r="J461" s="49"/>
      <c r="K461" s="49"/>
      <c r="L461" s="49">
        <f>'Volunteer Survey'!B871</f>
        <v>0</v>
      </c>
      <c r="M461" s="49" t="str">
        <f ca="1">IFERROR(__xludf.DUMMYFUNCTION("QUERY('Volunteer Survey'!E855)"),"")</f>
        <v/>
      </c>
      <c r="N461" s="49">
        <f>'Volunteer Survey'!F872</f>
        <v>0</v>
      </c>
      <c r="O461" s="42">
        <f>'Volunteer Survey'!H872</f>
        <v>0</v>
      </c>
      <c r="P461" s="49"/>
      <c r="Q461" s="54" t="str">
        <f ca="1">IFERROR(__xludf.DUMMYFUNCTION("QUERY('Volunteer Survey'!J855)"),"")</f>
        <v/>
      </c>
      <c r="R461" s="49"/>
      <c r="S461" s="49" t="str">
        <f ca="1">IFERROR(__xludf.DUMMYFUNCTION("QUERY('Volunteer Survey'!L855)"),"")</f>
        <v/>
      </c>
      <c r="T461" s="49">
        <f>'Volunteer Survey'!M871</f>
        <v>0</v>
      </c>
      <c r="U461" s="58"/>
      <c r="V461" s="49">
        <f>'Volunteer Survey'!O871</f>
        <v>0</v>
      </c>
      <c r="W461" s="60" t="str">
        <f ca="1">IFERROR(__xludf.DUMMYFUNCTION("QUERY('Volunteer Survey'!P855)"),"")</f>
        <v/>
      </c>
      <c r="X461" s="58" t="str">
        <f ca="1">IFERROR(__xludf.DUMMYFUNCTION("QUERY('Volunteer Survey'!R855)"),"")</f>
        <v/>
      </c>
      <c r="Y461" s="47"/>
      <c r="Z461" s="175" t="str">
        <f ca="1">IFERROR(__xludf.DUMMYFUNCTION("QUERY('Volunteer Survey'!A460)"),"")</f>
        <v/>
      </c>
      <c r="AA461" s="175" t="str">
        <f ca="1">IFERROR(__xludf.DUMMYFUNCTION("QUERY('Volunteer Survey'!B460)"),"")</f>
        <v/>
      </c>
      <c r="AB461" s="175" t="str">
        <f ca="1">IFERROR(__xludf.DUMMYFUNCTION("QUERY('Volunteer Survey'!C460)"),"")</f>
        <v/>
      </c>
      <c r="AC461" s="175" t="str">
        <f ca="1">IFERROR(__xludf.DUMMYFUNCTION("QUERY('Volunteer Survey'!D460)"),"")</f>
        <v/>
      </c>
      <c r="AD461" s="175" t="str">
        <f ca="1">IFERROR(__xludf.DUMMYFUNCTION("QUERY('Volunteer Survey'!E460)"),"")</f>
        <v/>
      </c>
      <c r="AE461" s="175" t="str">
        <f ca="1">IFERROR(__xludf.DUMMYFUNCTION("QUERY('Volunteer Survey'!F460)"),"")</f>
        <v/>
      </c>
      <c r="AF461" s="175" t="str">
        <f ca="1">IFERROR(__xludf.DUMMYFUNCTION("QUERY('Volunteer Survey'!G460)"),"")</f>
        <v/>
      </c>
      <c r="AG461" s="175" t="str">
        <f ca="1">IFERROR(__xludf.DUMMYFUNCTION("QUERY('Volunteer Survey'!H460)"),"")</f>
        <v/>
      </c>
      <c r="AH461" s="175" t="str">
        <f ca="1">IFERROR(__xludf.DUMMYFUNCTION("QUERY('Volunteer Survey'!I460)"),"")</f>
        <v/>
      </c>
      <c r="AI461" s="175" t="str">
        <f ca="1">IFERROR(__xludf.DUMMYFUNCTION("QUERY('Volunteer Survey'!J460)"),"")</f>
        <v/>
      </c>
      <c r="AJ461" s="175" t="str">
        <f ca="1">IFERROR(__xludf.DUMMYFUNCTION("QUERY('Volunteer Survey'!K460)"),"")</f>
        <v/>
      </c>
      <c r="AK461" s="175" t="str">
        <f ca="1">IFERROR(__xludf.DUMMYFUNCTION("QUERY('Volunteer Survey'!L460)"),"")</f>
        <v/>
      </c>
      <c r="AL461" s="175" t="str">
        <f ca="1">IFERROR(__xludf.DUMMYFUNCTION("QUERY('Volunteer Survey'!M460)"),"")</f>
        <v/>
      </c>
      <c r="AM461" s="175" t="str">
        <f ca="1">IFERROR(__xludf.DUMMYFUNCTION("QUERY('Volunteer Survey'!N460)"),"")</f>
        <v/>
      </c>
      <c r="AN461" s="175" t="str">
        <f ca="1">IFERROR(__xludf.DUMMYFUNCTION("QUERY('Volunteer Survey'!O460)"),"")</f>
        <v/>
      </c>
      <c r="AO461" s="175" t="str">
        <f ca="1">IFERROR(__xludf.DUMMYFUNCTION("QUERY('Volunteer Survey'!P460)"),"")</f>
        <v/>
      </c>
    </row>
    <row r="462" spans="1:41" ht="14">
      <c r="A462" s="49">
        <f>'Volunteer Survey'!A872</f>
        <v>0</v>
      </c>
      <c r="B462" s="42" t="s">
        <v>322</v>
      </c>
      <c r="C462" s="47"/>
      <c r="D462" s="49"/>
      <c r="E462" s="49"/>
      <c r="F462" s="49" t="b">
        <v>0</v>
      </c>
      <c r="G462" s="49"/>
      <c r="H462" s="47"/>
      <c r="I462" s="47"/>
      <c r="J462" s="49"/>
      <c r="K462" s="49"/>
      <c r="L462" s="49">
        <f>'Volunteer Survey'!B872</f>
        <v>0</v>
      </c>
      <c r="M462" s="49" t="str">
        <f ca="1">IFERROR(__xludf.DUMMYFUNCTION("QUERY('Volunteer Survey'!E856)"),"")</f>
        <v/>
      </c>
      <c r="N462" s="49">
        <f>'Volunteer Survey'!F873</f>
        <v>0</v>
      </c>
      <c r="O462" s="42">
        <f>'Volunteer Survey'!H873</f>
        <v>0</v>
      </c>
      <c r="P462" s="49"/>
      <c r="Q462" s="54" t="str">
        <f ca="1">IFERROR(__xludf.DUMMYFUNCTION("QUERY('Volunteer Survey'!J856)"),"")</f>
        <v/>
      </c>
      <c r="R462" s="49"/>
      <c r="S462" s="49" t="str">
        <f ca="1">IFERROR(__xludf.DUMMYFUNCTION("QUERY('Volunteer Survey'!L856)"),"")</f>
        <v/>
      </c>
      <c r="T462" s="49">
        <f>'Volunteer Survey'!M872</f>
        <v>0</v>
      </c>
      <c r="U462" s="58"/>
      <c r="V462" s="49">
        <f>'Volunteer Survey'!O872</f>
        <v>0</v>
      </c>
      <c r="W462" s="60" t="str">
        <f ca="1">IFERROR(__xludf.DUMMYFUNCTION("QUERY('Volunteer Survey'!P856)"),"")</f>
        <v/>
      </c>
      <c r="X462" s="58" t="str">
        <f ca="1">IFERROR(__xludf.DUMMYFUNCTION("QUERY('Volunteer Survey'!R856)"),"")</f>
        <v/>
      </c>
      <c r="Y462" s="47"/>
      <c r="Z462" s="175" t="str">
        <f ca="1">IFERROR(__xludf.DUMMYFUNCTION("QUERY('Volunteer Survey'!A461)"),"")</f>
        <v/>
      </c>
      <c r="AA462" s="175" t="str">
        <f ca="1">IFERROR(__xludf.DUMMYFUNCTION("QUERY('Volunteer Survey'!B461)"),"")</f>
        <v/>
      </c>
      <c r="AB462" s="175" t="str">
        <f ca="1">IFERROR(__xludf.DUMMYFUNCTION("QUERY('Volunteer Survey'!C461)"),"")</f>
        <v/>
      </c>
      <c r="AC462" s="175" t="str">
        <f ca="1">IFERROR(__xludf.DUMMYFUNCTION("QUERY('Volunteer Survey'!D461)"),"")</f>
        <v/>
      </c>
      <c r="AD462" s="175" t="str">
        <f ca="1">IFERROR(__xludf.DUMMYFUNCTION("QUERY('Volunteer Survey'!E461)"),"")</f>
        <v/>
      </c>
      <c r="AE462" s="175" t="str">
        <f ca="1">IFERROR(__xludf.DUMMYFUNCTION("QUERY('Volunteer Survey'!F461)"),"")</f>
        <v/>
      </c>
      <c r="AF462" s="175" t="str">
        <f ca="1">IFERROR(__xludf.DUMMYFUNCTION("QUERY('Volunteer Survey'!G461)"),"")</f>
        <v/>
      </c>
      <c r="AG462" s="175" t="str">
        <f ca="1">IFERROR(__xludf.DUMMYFUNCTION("QUERY('Volunteer Survey'!H461)"),"")</f>
        <v/>
      </c>
      <c r="AH462" s="175" t="str">
        <f ca="1">IFERROR(__xludf.DUMMYFUNCTION("QUERY('Volunteer Survey'!I461)"),"")</f>
        <v/>
      </c>
      <c r="AI462" s="175" t="str">
        <f ca="1">IFERROR(__xludf.DUMMYFUNCTION("QUERY('Volunteer Survey'!J461)"),"")</f>
        <v/>
      </c>
      <c r="AJ462" s="175" t="str">
        <f ca="1">IFERROR(__xludf.DUMMYFUNCTION("QUERY('Volunteer Survey'!K461)"),"")</f>
        <v/>
      </c>
      <c r="AK462" s="175" t="str">
        <f ca="1">IFERROR(__xludf.DUMMYFUNCTION("QUERY('Volunteer Survey'!L461)"),"")</f>
        <v/>
      </c>
      <c r="AL462" s="175" t="str">
        <f ca="1">IFERROR(__xludf.DUMMYFUNCTION("QUERY('Volunteer Survey'!M461)"),"")</f>
        <v/>
      </c>
      <c r="AM462" s="175" t="str">
        <f ca="1">IFERROR(__xludf.DUMMYFUNCTION("QUERY('Volunteer Survey'!N461)"),"")</f>
        <v/>
      </c>
      <c r="AN462" s="175" t="str">
        <f ca="1">IFERROR(__xludf.DUMMYFUNCTION("QUERY('Volunteer Survey'!O461)"),"")</f>
        <v/>
      </c>
      <c r="AO462" s="175" t="str">
        <f ca="1">IFERROR(__xludf.DUMMYFUNCTION("QUERY('Volunteer Survey'!P461)"),"")</f>
        <v/>
      </c>
    </row>
    <row r="463" spans="1:41" ht="14">
      <c r="A463" s="49">
        <f>'Volunteer Survey'!A873</f>
        <v>0</v>
      </c>
      <c r="B463" s="42" t="s">
        <v>322</v>
      </c>
      <c r="C463" s="47"/>
      <c r="D463" s="49"/>
      <c r="E463" s="49"/>
      <c r="F463" s="49" t="b">
        <v>0</v>
      </c>
      <c r="G463" s="49"/>
      <c r="H463" s="47"/>
      <c r="I463" s="47"/>
      <c r="J463" s="49"/>
      <c r="K463" s="49"/>
      <c r="L463" s="49">
        <f>'Volunteer Survey'!B873</f>
        <v>0</v>
      </c>
      <c r="M463" s="49" t="str">
        <f ca="1">IFERROR(__xludf.DUMMYFUNCTION("QUERY('Volunteer Survey'!E857)"),"")</f>
        <v/>
      </c>
      <c r="N463" s="49">
        <f>'Volunteer Survey'!F874</f>
        <v>0</v>
      </c>
      <c r="O463" s="42">
        <f>'Volunteer Survey'!H874</f>
        <v>0</v>
      </c>
      <c r="P463" s="49"/>
      <c r="Q463" s="54" t="str">
        <f ca="1">IFERROR(__xludf.DUMMYFUNCTION("QUERY('Volunteer Survey'!J857)"),"")</f>
        <v/>
      </c>
      <c r="R463" s="49"/>
      <c r="S463" s="49" t="str">
        <f ca="1">IFERROR(__xludf.DUMMYFUNCTION("QUERY('Volunteer Survey'!L857)"),"")</f>
        <v/>
      </c>
      <c r="T463" s="49">
        <f>'Volunteer Survey'!M873</f>
        <v>0</v>
      </c>
      <c r="U463" s="58"/>
      <c r="V463" s="49">
        <f>'Volunteer Survey'!O873</f>
        <v>0</v>
      </c>
      <c r="W463" s="60" t="str">
        <f ca="1">IFERROR(__xludf.DUMMYFUNCTION("QUERY('Volunteer Survey'!P857)"),"")</f>
        <v/>
      </c>
      <c r="X463" s="58" t="str">
        <f ca="1">IFERROR(__xludf.DUMMYFUNCTION("QUERY('Volunteer Survey'!R857)"),"")</f>
        <v/>
      </c>
      <c r="Y463" s="47"/>
      <c r="Z463" s="175" t="str">
        <f ca="1">IFERROR(__xludf.DUMMYFUNCTION("QUERY('Volunteer Survey'!A462)"),"")</f>
        <v/>
      </c>
      <c r="AA463" s="175" t="str">
        <f ca="1">IFERROR(__xludf.DUMMYFUNCTION("QUERY('Volunteer Survey'!B462)"),"")</f>
        <v/>
      </c>
      <c r="AB463" s="175" t="str">
        <f ca="1">IFERROR(__xludf.DUMMYFUNCTION("QUERY('Volunteer Survey'!C462)"),"")</f>
        <v/>
      </c>
      <c r="AC463" s="175" t="str">
        <f ca="1">IFERROR(__xludf.DUMMYFUNCTION("QUERY('Volunteer Survey'!D462)"),"")</f>
        <v/>
      </c>
      <c r="AD463" s="175" t="str">
        <f ca="1">IFERROR(__xludf.DUMMYFUNCTION("QUERY('Volunteer Survey'!E462)"),"")</f>
        <v/>
      </c>
      <c r="AE463" s="175" t="str">
        <f ca="1">IFERROR(__xludf.DUMMYFUNCTION("QUERY('Volunteer Survey'!F462)"),"")</f>
        <v/>
      </c>
      <c r="AF463" s="175" t="str">
        <f ca="1">IFERROR(__xludf.DUMMYFUNCTION("QUERY('Volunteer Survey'!G462)"),"")</f>
        <v/>
      </c>
      <c r="AG463" s="175" t="str">
        <f ca="1">IFERROR(__xludf.DUMMYFUNCTION("QUERY('Volunteer Survey'!H462)"),"")</f>
        <v/>
      </c>
      <c r="AH463" s="175" t="str">
        <f ca="1">IFERROR(__xludf.DUMMYFUNCTION("QUERY('Volunteer Survey'!I462)"),"")</f>
        <v/>
      </c>
      <c r="AI463" s="175" t="str">
        <f ca="1">IFERROR(__xludf.DUMMYFUNCTION("QUERY('Volunteer Survey'!J462)"),"")</f>
        <v/>
      </c>
      <c r="AJ463" s="175" t="str">
        <f ca="1">IFERROR(__xludf.DUMMYFUNCTION("QUERY('Volunteer Survey'!K462)"),"")</f>
        <v/>
      </c>
      <c r="AK463" s="175" t="str">
        <f ca="1">IFERROR(__xludf.DUMMYFUNCTION("QUERY('Volunteer Survey'!L462)"),"")</f>
        <v/>
      </c>
      <c r="AL463" s="175" t="str">
        <f ca="1">IFERROR(__xludf.DUMMYFUNCTION("QUERY('Volunteer Survey'!M462)"),"")</f>
        <v/>
      </c>
      <c r="AM463" s="175" t="str">
        <f ca="1">IFERROR(__xludf.DUMMYFUNCTION("QUERY('Volunteer Survey'!N462)"),"")</f>
        <v/>
      </c>
      <c r="AN463" s="175" t="str">
        <f ca="1">IFERROR(__xludf.DUMMYFUNCTION("QUERY('Volunteer Survey'!O462)"),"")</f>
        <v/>
      </c>
      <c r="AO463" s="175" t="str">
        <f ca="1">IFERROR(__xludf.DUMMYFUNCTION("QUERY('Volunteer Survey'!P462)"),"")</f>
        <v/>
      </c>
    </row>
    <row r="464" spans="1:41" ht="14">
      <c r="A464" s="49">
        <f>'Volunteer Survey'!A874</f>
        <v>0</v>
      </c>
      <c r="B464" s="42" t="s">
        <v>322</v>
      </c>
      <c r="C464" s="47"/>
      <c r="D464" s="49"/>
      <c r="E464" s="49"/>
      <c r="F464" s="49" t="b">
        <v>0</v>
      </c>
      <c r="G464" s="49"/>
      <c r="H464" s="47"/>
      <c r="I464" s="47"/>
      <c r="J464" s="49"/>
      <c r="K464" s="49"/>
      <c r="L464" s="49">
        <f>'Volunteer Survey'!B874</f>
        <v>0</v>
      </c>
      <c r="M464" s="49" t="str">
        <f ca="1">IFERROR(__xludf.DUMMYFUNCTION("QUERY('Volunteer Survey'!E858)"),"")</f>
        <v/>
      </c>
      <c r="N464" s="49">
        <f>'Volunteer Survey'!F875</f>
        <v>0</v>
      </c>
      <c r="O464" s="42">
        <f>'Volunteer Survey'!H875</f>
        <v>0</v>
      </c>
      <c r="P464" s="49"/>
      <c r="Q464" s="54" t="str">
        <f ca="1">IFERROR(__xludf.DUMMYFUNCTION("QUERY('Volunteer Survey'!J858)"),"")</f>
        <v/>
      </c>
      <c r="R464" s="49"/>
      <c r="S464" s="49">
        <f>'Volunteer Survey'!L869</f>
        <v>0</v>
      </c>
      <c r="T464" s="49">
        <f>'Volunteer Survey'!M874</f>
        <v>0</v>
      </c>
      <c r="U464" s="58"/>
      <c r="V464" s="49">
        <f>'Volunteer Survey'!O874</f>
        <v>0</v>
      </c>
      <c r="W464" s="60" t="str">
        <f ca="1">IFERROR(__xludf.DUMMYFUNCTION("QUERY('Volunteer Survey'!P858)"),"")</f>
        <v/>
      </c>
      <c r="X464" s="58" t="str">
        <f ca="1">IFERROR(__xludf.DUMMYFUNCTION("QUERY('Volunteer Survey'!R858)"),"")</f>
        <v/>
      </c>
      <c r="Y464" s="47"/>
      <c r="Z464" s="175" t="str">
        <f ca="1">IFERROR(__xludf.DUMMYFUNCTION("QUERY('Volunteer Survey'!A463)"),"")</f>
        <v/>
      </c>
      <c r="AA464" s="175" t="str">
        <f ca="1">IFERROR(__xludf.DUMMYFUNCTION("QUERY('Volunteer Survey'!B463)"),"")</f>
        <v/>
      </c>
      <c r="AB464" s="175" t="str">
        <f ca="1">IFERROR(__xludf.DUMMYFUNCTION("QUERY('Volunteer Survey'!C463)"),"")</f>
        <v/>
      </c>
      <c r="AC464" s="175" t="str">
        <f ca="1">IFERROR(__xludf.DUMMYFUNCTION("QUERY('Volunteer Survey'!D463)"),"")</f>
        <v/>
      </c>
      <c r="AD464" s="175" t="str">
        <f ca="1">IFERROR(__xludf.DUMMYFUNCTION("QUERY('Volunteer Survey'!E463)"),"")</f>
        <v/>
      </c>
      <c r="AE464" s="175" t="str">
        <f ca="1">IFERROR(__xludf.DUMMYFUNCTION("QUERY('Volunteer Survey'!F463)"),"")</f>
        <v/>
      </c>
      <c r="AF464" s="175" t="str">
        <f ca="1">IFERROR(__xludf.DUMMYFUNCTION("QUERY('Volunteer Survey'!G463)"),"")</f>
        <v/>
      </c>
      <c r="AG464" s="175" t="str">
        <f ca="1">IFERROR(__xludf.DUMMYFUNCTION("QUERY('Volunteer Survey'!H463)"),"")</f>
        <v/>
      </c>
      <c r="AH464" s="175" t="str">
        <f ca="1">IFERROR(__xludf.DUMMYFUNCTION("QUERY('Volunteer Survey'!I463)"),"")</f>
        <v/>
      </c>
      <c r="AI464" s="175" t="str">
        <f ca="1">IFERROR(__xludf.DUMMYFUNCTION("QUERY('Volunteer Survey'!J463)"),"")</f>
        <v/>
      </c>
      <c r="AJ464" s="175" t="str">
        <f ca="1">IFERROR(__xludf.DUMMYFUNCTION("QUERY('Volunteer Survey'!K463)"),"")</f>
        <v/>
      </c>
      <c r="AK464" s="175" t="str">
        <f ca="1">IFERROR(__xludf.DUMMYFUNCTION("QUERY('Volunteer Survey'!L463)"),"")</f>
        <v/>
      </c>
      <c r="AL464" s="175" t="str">
        <f ca="1">IFERROR(__xludf.DUMMYFUNCTION("QUERY('Volunteer Survey'!M463)"),"")</f>
        <v/>
      </c>
      <c r="AM464" s="175" t="str">
        <f ca="1">IFERROR(__xludf.DUMMYFUNCTION("QUERY('Volunteer Survey'!N463)"),"")</f>
        <v/>
      </c>
      <c r="AN464" s="175" t="str">
        <f ca="1">IFERROR(__xludf.DUMMYFUNCTION("QUERY('Volunteer Survey'!O463)"),"")</f>
        <v/>
      </c>
      <c r="AO464" s="175" t="str">
        <f ca="1">IFERROR(__xludf.DUMMYFUNCTION("QUERY('Volunteer Survey'!P463)"),"")</f>
        <v/>
      </c>
    </row>
    <row r="465" spans="1:41" ht="14">
      <c r="A465" s="49">
        <f>'Volunteer Survey'!A875</f>
        <v>0</v>
      </c>
      <c r="B465" s="42" t="s">
        <v>322</v>
      </c>
      <c r="C465" s="47"/>
      <c r="D465" s="49"/>
      <c r="E465" s="49"/>
      <c r="F465" s="49" t="b">
        <v>0</v>
      </c>
      <c r="G465" s="49"/>
      <c r="H465" s="47"/>
      <c r="I465" s="47"/>
      <c r="J465" s="49"/>
      <c r="K465" s="49"/>
      <c r="L465" s="49">
        <f>'Volunteer Survey'!B875</f>
        <v>0</v>
      </c>
      <c r="M465" s="49" t="str">
        <f ca="1">IFERROR(__xludf.DUMMYFUNCTION("QUERY('Volunteer Survey'!E859)"),"")</f>
        <v/>
      </c>
      <c r="N465" s="49">
        <f>'Volunteer Survey'!F876</f>
        <v>0</v>
      </c>
      <c r="O465" s="42">
        <f>'Volunteer Survey'!H876</f>
        <v>0</v>
      </c>
      <c r="P465" s="49"/>
      <c r="Q465" s="54" t="str">
        <f ca="1">IFERROR(__xludf.DUMMYFUNCTION("QUERY('Volunteer Survey'!J859)"),"")</f>
        <v/>
      </c>
      <c r="R465" s="49"/>
      <c r="S465" s="49">
        <f>'Volunteer Survey'!L870</f>
        <v>0</v>
      </c>
      <c r="T465" s="49">
        <f>'Volunteer Survey'!M875</f>
        <v>0</v>
      </c>
      <c r="U465" s="58"/>
      <c r="V465" s="49">
        <f>'Volunteer Survey'!O875</f>
        <v>0</v>
      </c>
      <c r="W465" s="60" t="str">
        <f ca="1">IFERROR(__xludf.DUMMYFUNCTION("QUERY('Volunteer Survey'!P859)"),"")</f>
        <v/>
      </c>
      <c r="X465" s="58" t="str">
        <f ca="1">IFERROR(__xludf.DUMMYFUNCTION("QUERY('Volunteer Survey'!R859)"),"")</f>
        <v/>
      </c>
      <c r="Y465" s="47"/>
      <c r="Z465" s="175" t="str">
        <f ca="1">IFERROR(__xludf.DUMMYFUNCTION("QUERY('Volunteer Survey'!A464)"),"")</f>
        <v/>
      </c>
      <c r="AA465" s="175" t="str">
        <f ca="1">IFERROR(__xludf.DUMMYFUNCTION("QUERY('Volunteer Survey'!B464)"),"")</f>
        <v/>
      </c>
      <c r="AB465" s="175" t="str">
        <f ca="1">IFERROR(__xludf.DUMMYFUNCTION("QUERY('Volunteer Survey'!C464)"),"")</f>
        <v/>
      </c>
      <c r="AC465" s="175" t="str">
        <f ca="1">IFERROR(__xludf.DUMMYFUNCTION("QUERY('Volunteer Survey'!D464)"),"")</f>
        <v/>
      </c>
      <c r="AD465" s="175" t="str">
        <f ca="1">IFERROR(__xludf.DUMMYFUNCTION("QUERY('Volunteer Survey'!E464)"),"")</f>
        <v/>
      </c>
      <c r="AE465" s="175" t="str">
        <f ca="1">IFERROR(__xludf.DUMMYFUNCTION("QUERY('Volunteer Survey'!F464)"),"")</f>
        <v/>
      </c>
      <c r="AF465" s="175" t="str">
        <f ca="1">IFERROR(__xludf.DUMMYFUNCTION("QUERY('Volunteer Survey'!G464)"),"")</f>
        <v/>
      </c>
      <c r="AG465" s="175" t="str">
        <f ca="1">IFERROR(__xludf.DUMMYFUNCTION("QUERY('Volunteer Survey'!H464)"),"")</f>
        <v/>
      </c>
      <c r="AH465" s="175" t="str">
        <f ca="1">IFERROR(__xludf.DUMMYFUNCTION("QUERY('Volunteer Survey'!I464)"),"")</f>
        <v/>
      </c>
      <c r="AI465" s="175" t="str">
        <f ca="1">IFERROR(__xludf.DUMMYFUNCTION("QUERY('Volunteer Survey'!J464)"),"")</f>
        <v/>
      </c>
      <c r="AJ465" s="175" t="str">
        <f ca="1">IFERROR(__xludf.DUMMYFUNCTION("QUERY('Volunteer Survey'!K464)"),"")</f>
        <v/>
      </c>
      <c r="AK465" s="175" t="str">
        <f ca="1">IFERROR(__xludf.DUMMYFUNCTION("QUERY('Volunteer Survey'!L464)"),"")</f>
        <v/>
      </c>
      <c r="AL465" s="175" t="str">
        <f ca="1">IFERROR(__xludf.DUMMYFUNCTION("QUERY('Volunteer Survey'!M464)"),"")</f>
        <v/>
      </c>
      <c r="AM465" s="175" t="str">
        <f ca="1">IFERROR(__xludf.DUMMYFUNCTION("QUERY('Volunteer Survey'!N464)"),"")</f>
        <v/>
      </c>
      <c r="AN465" s="175" t="str">
        <f ca="1">IFERROR(__xludf.DUMMYFUNCTION("QUERY('Volunteer Survey'!O464)"),"")</f>
        <v/>
      </c>
      <c r="AO465" s="175" t="str">
        <f ca="1">IFERROR(__xludf.DUMMYFUNCTION("QUERY('Volunteer Survey'!P464)"),"")</f>
        <v/>
      </c>
    </row>
    <row r="466" spans="1:41" ht="14">
      <c r="A466" s="49">
        <f>'Volunteer Survey'!A876</f>
        <v>0</v>
      </c>
      <c r="B466" s="42" t="s">
        <v>322</v>
      </c>
      <c r="C466" s="47"/>
      <c r="D466" s="49"/>
      <c r="E466" s="49"/>
      <c r="F466" s="49" t="b">
        <v>0</v>
      </c>
      <c r="G466" s="49"/>
      <c r="H466" s="47"/>
      <c r="I466" s="47"/>
      <c r="J466" s="49"/>
      <c r="K466" s="49"/>
      <c r="L466" s="49">
        <f>'Volunteer Survey'!B876</f>
        <v>0</v>
      </c>
      <c r="M466" s="49" t="str">
        <f ca="1">IFERROR(__xludf.DUMMYFUNCTION("QUERY('Volunteer Survey'!E860)"),"")</f>
        <v/>
      </c>
      <c r="N466" s="49">
        <f>'Volunteer Survey'!F877</f>
        <v>0</v>
      </c>
      <c r="O466" s="42">
        <f>'Volunteer Survey'!H877</f>
        <v>0</v>
      </c>
      <c r="P466" s="49"/>
      <c r="Q466" s="54" t="str">
        <f ca="1">IFERROR(__xludf.DUMMYFUNCTION("QUERY('Volunteer Survey'!J860)"),"")</f>
        <v/>
      </c>
      <c r="R466" s="49"/>
      <c r="S466" s="49">
        <f>'Volunteer Survey'!L871</f>
        <v>0</v>
      </c>
      <c r="T466" s="49">
        <f>'Volunteer Survey'!M876</f>
        <v>0</v>
      </c>
      <c r="U466" s="58"/>
      <c r="V466" s="49">
        <f>'Volunteer Survey'!O876</f>
        <v>0</v>
      </c>
      <c r="W466" s="60">
        <f>'Volunteer Survey'!P876</f>
        <v>0</v>
      </c>
      <c r="X466" s="58" t="str">
        <f ca="1">IFERROR(__xludf.DUMMYFUNCTION("QUERY('Volunteer Survey'!R860)"),"")</f>
        <v/>
      </c>
      <c r="Y466" s="47"/>
      <c r="Z466" s="175" t="str">
        <f ca="1">IFERROR(__xludf.DUMMYFUNCTION("QUERY('Volunteer Survey'!A465)"),"")</f>
        <v/>
      </c>
      <c r="AA466" s="175" t="str">
        <f ca="1">IFERROR(__xludf.DUMMYFUNCTION("QUERY('Volunteer Survey'!B465)"),"")</f>
        <v/>
      </c>
      <c r="AB466" s="175" t="str">
        <f ca="1">IFERROR(__xludf.DUMMYFUNCTION("QUERY('Volunteer Survey'!C465)"),"")</f>
        <v/>
      </c>
      <c r="AC466" s="175" t="str">
        <f ca="1">IFERROR(__xludf.DUMMYFUNCTION("QUERY('Volunteer Survey'!D465)"),"")</f>
        <v/>
      </c>
      <c r="AD466" s="175" t="str">
        <f ca="1">IFERROR(__xludf.DUMMYFUNCTION("QUERY('Volunteer Survey'!E465)"),"")</f>
        <v/>
      </c>
      <c r="AE466" s="175" t="str">
        <f ca="1">IFERROR(__xludf.DUMMYFUNCTION("QUERY('Volunteer Survey'!F465)"),"")</f>
        <v/>
      </c>
      <c r="AF466" s="175" t="str">
        <f ca="1">IFERROR(__xludf.DUMMYFUNCTION("QUERY('Volunteer Survey'!G465)"),"")</f>
        <v/>
      </c>
      <c r="AG466" s="175" t="str">
        <f ca="1">IFERROR(__xludf.DUMMYFUNCTION("QUERY('Volunteer Survey'!H465)"),"")</f>
        <v/>
      </c>
      <c r="AH466" s="175" t="str">
        <f ca="1">IFERROR(__xludf.DUMMYFUNCTION("QUERY('Volunteer Survey'!I465)"),"")</f>
        <v/>
      </c>
      <c r="AI466" s="175" t="str">
        <f ca="1">IFERROR(__xludf.DUMMYFUNCTION("QUERY('Volunteer Survey'!J465)"),"")</f>
        <v/>
      </c>
      <c r="AJ466" s="175" t="str">
        <f ca="1">IFERROR(__xludf.DUMMYFUNCTION("QUERY('Volunteer Survey'!K465)"),"")</f>
        <v/>
      </c>
      <c r="AK466" s="175" t="str">
        <f ca="1">IFERROR(__xludf.DUMMYFUNCTION("QUERY('Volunteer Survey'!L465)"),"")</f>
        <v/>
      </c>
      <c r="AL466" s="175" t="str">
        <f ca="1">IFERROR(__xludf.DUMMYFUNCTION("QUERY('Volunteer Survey'!M465)"),"")</f>
        <v/>
      </c>
      <c r="AM466" s="175" t="str">
        <f ca="1">IFERROR(__xludf.DUMMYFUNCTION("QUERY('Volunteer Survey'!N465)"),"")</f>
        <v/>
      </c>
      <c r="AN466" s="175" t="str">
        <f ca="1">IFERROR(__xludf.DUMMYFUNCTION("QUERY('Volunteer Survey'!O465)"),"")</f>
        <v/>
      </c>
      <c r="AO466" s="175" t="str">
        <f ca="1">IFERROR(__xludf.DUMMYFUNCTION("QUERY('Volunteer Survey'!P465)"),"")</f>
        <v/>
      </c>
    </row>
    <row r="467" spans="1:41" ht="14">
      <c r="A467" s="49">
        <f>'Volunteer Survey'!A877</f>
        <v>0</v>
      </c>
      <c r="B467" s="42" t="s">
        <v>322</v>
      </c>
      <c r="C467" s="47"/>
      <c r="D467" s="49"/>
      <c r="E467" s="49"/>
      <c r="F467" s="49" t="b">
        <v>0</v>
      </c>
      <c r="G467" s="49"/>
      <c r="H467" s="47"/>
      <c r="I467" s="47"/>
      <c r="J467" s="49"/>
      <c r="K467" s="49"/>
      <c r="L467" s="49">
        <f>'Volunteer Survey'!B877</f>
        <v>0</v>
      </c>
      <c r="M467" s="49" t="str">
        <f ca="1">IFERROR(__xludf.DUMMYFUNCTION("QUERY('Volunteer Survey'!E861)"),"")</f>
        <v/>
      </c>
      <c r="N467" s="49">
        <f>'Volunteer Survey'!F878</f>
        <v>0</v>
      </c>
      <c r="O467" s="42">
        <f>'Volunteer Survey'!H878</f>
        <v>0</v>
      </c>
      <c r="P467" s="49"/>
      <c r="Q467" s="54" t="str">
        <f ca="1">IFERROR(__xludf.DUMMYFUNCTION("QUERY('Volunteer Survey'!J861)"),"")</f>
        <v/>
      </c>
      <c r="R467" s="49"/>
      <c r="S467" s="49">
        <f>'Volunteer Survey'!L872</f>
        <v>0</v>
      </c>
      <c r="T467" s="49">
        <f>'Volunteer Survey'!M877</f>
        <v>0</v>
      </c>
      <c r="U467" s="58"/>
      <c r="V467" s="49">
        <f>'Volunteer Survey'!O877</f>
        <v>0</v>
      </c>
      <c r="W467" s="60">
        <f>'Volunteer Survey'!P877</f>
        <v>0</v>
      </c>
      <c r="X467" s="58" t="str">
        <f ca="1">IFERROR(__xludf.DUMMYFUNCTION("QUERY('Volunteer Survey'!R861)"),"")</f>
        <v/>
      </c>
      <c r="Y467" s="47"/>
      <c r="Z467" s="175" t="str">
        <f ca="1">IFERROR(__xludf.DUMMYFUNCTION("QUERY('Volunteer Survey'!A466)"),"")</f>
        <v/>
      </c>
      <c r="AA467" s="175" t="str">
        <f ca="1">IFERROR(__xludf.DUMMYFUNCTION("QUERY('Volunteer Survey'!B466)"),"")</f>
        <v/>
      </c>
      <c r="AB467" s="175" t="str">
        <f ca="1">IFERROR(__xludf.DUMMYFUNCTION("QUERY('Volunteer Survey'!C466)"),"")</f>
        <v/>
      </c>
      <c r="AC467" s="175" t="str">
        <f ca="1">IFERROR(__xludf.DUMMYFUNCTION("QUERY('Volunteer Survey'!D466)"),"")</f>
        <v/>
      </c>
      <c r="AD467" s="175" t="str">
        <f ca="1">IFERROR(__xludf.DUMMYFUNCTION("QUERY('Volunteer Survey'!E466)"),"")</f>
        <v/>
      </c>
      <c r="AE467" s="175" t="str">
        <f ca="1">IFERROR(__xludf.DUMMYFUNCTION("QUERY('Volunteer Survey'!F466)"),"")</f>
        <v/>
      </c>
      <c r="AF467" s="175" t="str">
        <f ca="1">IFERROR(__xludf.DUMMYFUNCTION("QUERY('Volunteer Survey'!G466)"),"")</f>
        <v/>
      </c>
      <c r="AG467" s="175" t="str">
        <f ca="1">IFERROR(__xludf.DUMMYFUNCTION("QUERY('Volunteer Survey'!H466)"),"")</f>
        <v/>
      </c>
      <c r="AH467" s="175" t="str">
        <f ca="1">IFERROR(__xludf.DUMMYFUNCTION("QUERY('Volunteer Survey'!I466)"),"")</f>
        <v/>
      </c>
      <c r="AI467" s="175" t="str">
        <f ca="1">IFERROR(__xludf.DUMMYFUNCTION("QUERY('Volunteer Survey'!J466)"),"")</f>
        <v/>
      </c>
      <c r="AJ467" s="175" t="str">
        <f ca="1">IFERROR(__xludf.DUMMYFUNCTION("QUERY('Volunteer Survey'!K466)"),"")</f>
        <v/>
      </c>
      <c r="AK467" s="175" t="str">
        <f ca="1">IFERROR(__xludf.DUMMYFUNCTION("QUERY('Volunteer Survey'!L466)"),"")</f>
        <v/>
      </c>
      <c r="AL467" s="175" t="str">
        <f ca="1">IFERROR(__xludf.DUMMYFUNCTION("QUERY('Volunteer Survey'!M466)"),"")</f>
        <v/>
      </c>
      <c r="AM467" s="175" t="str">
        <f ca="1">IFERROR(__xludf.DUMMYFUNCTION("QUERY('Volunteer Survey'!N466)"),"")</f>
        <v/>
      </c>
      <c r="AN467" s="175" t="str">
        <f ca="1">IFERROR(__xludf.DUMMYFUNCTION("QUERY('Volunteer Survey'!O466)"),"")</f>
        <v/>
      </c>
      <c r="AO467" s="175" t="str">
        <f ca="1">IFERROR(__xludf.DUMMYFUNCTION("QUERY('Volunteer Survey'!P466)"),"")</f>
        <v/>
      </c>
    </row>
    <row r="468" spans="1:41" ht="14">
      <c r="A468" s="49">
        <f>'Volunteer Survey'!A878</f>
        <v>0</v>
      </c>
      <c r="B468" s="42" t="s">
        <v>322</v>
      </c>
      <c r="C468" s="47"/>
      <c r="D468" s="49"/>
      <c r="E468" s="49"/>
      <c r="F468" s="49" t="b">
        <v>0</v>
      </c>
      <c r="G468" s="49"/>
      <c r="H468" s="47"/>
      <c r="I468" s="47"/>
      <c r="J468" s="49"/>
      <c r="K468" s="49"/>
      <c r="L468" s="49">
        <f>'Volunteer Survey'!B878</f>
        <v>0</v>
      </c>
      <c r="M468" s="49" t="str">
        <f ca="1">IFERROR(__xludf.DUMMYFUNCTION("QUERY('Volunteer Survey'!E862)"),"")</f>
        <v/>
      </c>
      <c r="N468" s="49">
        <f>'Volunteer Survey'!F879</f>
        <v>0</v>
      </c>
      <c r="O468" s="42">
        <f>'Volunteer Survey'!H879</f>
        <v>0</v>
      </c>
      <c r="P468" s="49"/>
      <c r="Q468" s="54" t="str">
        <f ca="1">IFERROR(__xludf.DUMMYFUNCTION("QUERY('Volunteer Survey'!J862)"),"")</f>
        <v/>
      </c>
      <c r="R468" s="49"/>
      <c r="S468" s="49">
        <f>'Volunteer Survey'!L873</f>
        <v>0</v>
      </c>
      <c r="T468" s="49">
        <f>'Volunteer Survey'!M878</f>
        <v>0</v>
      </c>
      <c r="U468" s="58"/>
      <c r="V468" s="49">
        <f>'Volunteer Survey'!O878</f>
        <v>0</v>
      </c>
      <c r="W468" s="60">
        <f>'Volunteer Survey'!P878</f>
        <v>0</v>
      </c>
      <c r="X468" s="58" t="str">
        <f ca="1">IFERROR(__xludf.DUMMYFUNCTION("QUERY('Volunteer Survey'!R862)"),"")</f>
        <v/>
      </c>
      <c r="Y468" s="47"/>
      <c r="Z468" s="175" t="str">
        <f ca="1">IFERROR(__xludf.DUMMYFUNCTION("QUERY('Volunteer Survey'!A467)"),"")</f>
        <v/>
      </c>
      <c r="AA468" s="175" t="str">
        <f ca="1">IFERROR(__xludf.DUMMYFUNCTION("QUERY('Volunteer Survey'!B467)"),"")</f>
        <v/>
      </c>
      <c r="AB468" s="175" t="str">
        <f ca="1">IFERROR(__xludf.DUMMYFUNCTION("QUERY('Volunteer Survey'!C467)"),"")</f>
        <v/>
      </c>
      <c r="AC468" s="175" t="str">
        <f ca="1">IFERROR(__xludf.DUMMYFUNCTION("QUERY('Volunteer Survey'!D467)"),"")</f>
        <v/>
      </c>
      <c r="AD468" s="175" t="str">
        <f ca="1">IFERROR(__xludf.DUMMYFUNCTION("QUERY('Volunteer Survey'!E467)"),"")</f>
        <v/>
      </c>
      <c r="AE468" s="175" t="str">
        <f ca="1">IFERROR(__xludf.DUMMYFUNCTION("QUERY('Volunteer Survey'!F467)"),"")</f>
        <v/>
      </c>
      <c r="AF468" s="175" t="str">
        <f ca="1">IFERROR(__xludf.DUMMYFUNCTION("QUERY('Volunteer Survey'!G467)"),"")</f>
        <v/>
      </c>
      <c r="AG468" s="175" t="str">
        <f ca="1">IFERROR(__xludf.DUMMYFUNCTION("QUERY('Volunteer Survey'!H467)"),"")</f>
        <v/>
      </c>
      <c r="AH468" s="175" t="str">
        <f ca="1">IFERROR(__xludf.DUMMYFUNCTION("QUERY('Volunteer Survey'!I467)"),"")</f>
        <v/>
      </c>
      <c r="AI468" s="175" t="str">
        <f ca="1">IFERROR(__xludf.DUMMYFUNCTION("QUERY('Volunteer Survey'!J467)"),"")</f>
        <v/>
      </c>
      <c r="AJ468" s="175" t="str">
        <f ca="1">IFERROR(__xludf.DUMMYFUNCTION("QUERY('Volunteer Survey'!K467)"),"")</f>
        <v/>
      </c>
      <c r="AK468" s="175" t="str">
        <f ca="1">IFERROR(__xludf.DUMMYFUNCTION("QUERY('Volunteer Survey'!L467)"),"")</f>
        <v/>
      </c>
      <c r="AL468" s="175" t="str">
        <f ca="1">IFERROR(__xludf.DUMMYFUNCTION("QUERY('Volunteer Survey'!M467)"),"")</f>
        <v/>
      </c>
      <c r="AM468" s="175" t="str">
        <f ca="1">IFERROR(__xludf.DUMMYFUNCTION("QUERY('Volunteer Survey'!N467)"),"")</f>
        <v/>
      </c>
      <c r="AN468" s="175" t="str">
        <f ca="1">IFERROR(__xludf.DUMMYFUNCTION("QUERY('Volunteer Survey'!O467)"),"")</f>
        <v/>
      </c>
      <c r="AO468" s="175" t="str">
        <f ca="1">IFERROR(__xludf.DUMMYFUNCTION("QUERY('Volunteer Survey'!P467)"),"")</f>
        <v/>
      </c>
    </row>
    <row r="469" spans="1:41" ht="14">
      <c r="A469" s="49">
        <f>'Volunteer Survey'!A879</f>
        <v>0</v>
      </c>
      <c r="B469" s="42" t="s">
        <v>322</v>
      </c>
      <c r="C469" s="47"/>
      <c r="D469" s="49"/>
      <c r="E469" s="49"/>
      <c r="F469" s="49" t="b">
        <v>0</v>
      </c>
      <c r="G469" s="49"/>
      <c r="H469" s="47"/>
      <c r="I469" s="47"/>
      <c r="J469" s="49"/>
      <c r="K469" s="49"/>
      <c r="L469" s="49">
        <f>'Volunteer Survey'!B879</f>
        <v>0</v>
      </c>
      <c r="M469" s="49" t="str">
        <f ca="1">IFERROR(__xludf.DUMMYFUNCTION("QUERY('Volunteer Survey'!E863)"),"")</f>
        <v/>
      </c>
      <c r="N469" s="49">
        <f>'Volunteer Survey'!F880</f>
        <v>0</v>
      </c>
      <c r="O469" s="42">
        <f>'Volunteer Survey'!H880</f>
        <v>0</v>
      </c>
      <c r="P469" s="49"/>
      <c r="Q469" s="54" t="str">
        <f ca="1">IFERROR(__xludf.DUMMYFUNCTION("QUERY('Volunteer Survey'!J863)"),"")</f>
        <v/>
      </c>
      <c r="R469" s="49"/>
      <c r="S469" s="49">
        <f>'Volunteer Survey'!L874</f>
        <v>0</v>
      </c>
      <c r="T469" s="49">
        <f>'Volunteer Survey'!M879</f>
        <v>0</v>
      </c>
      <c r="U469" s="58"/>
      <c r="V469" s="49">
        <f>'Volunteer Survey'!O879</f>
        <v>0</v>
      </c>
      <c r="W469" s="60">
        <f>'Volunteer Survey'!P879</f>
        <v>0</v>
      </c>
      <c r="X469" s="58" t="str">
        <f ca="1">IFERROR(__xludf.DUMMYFUNCTION("QUERY('Volunteer Survey'!R863)"),"")</f>
        <v/>
      </c>
      <c r="Y469" s="47"/>
      <c r="Z469" s="175" t="str">
        <f ca="1">IFERROR(__xludf.DUMMYFUNCTION("QUERY('Volunteer Survey'!A468)"),"")</f>
        <v/>
      </c>
      <c r="AA469" s="175" t="str">
        <f ca="1">IFERROR(__xludf.DUMMYFUNCTION("QUERY('Volunteer Survey'!B468)"),"")</f>
        <v/>
      </c>
      <c r="AB469" s="175" t="str">
        <f ca="1">IFERROR(__xludf.DUMMYFUNCTION("QUERY('Volunteer Survey'!C468)"),"")</f>
        <v/>
      </c>
      <c r="AC469" s="175" t="str">
        <f ca="1">IFERROR(__xludf.DUMMYFUNCTION("QUERY('Volunteer Survey'!D468)"),"")</f>
        <v/>
      </c>
      <c r="AD469" s="175" t="str">
        <f ca="1">IFERROR(__xludf.DUMMYFUNCTION("QUERY('Volunteer Survey'!E468)"),"")</f>
        <v/>
      </c>
      <c r="AE469" s="175" t="str">
        <f ca="1">IFERROR(__xludf.DUMMYFUNCTION("QUERY('Volunteer Survey'!F468)"),"")</f>
        <v/>
      </c>
      <c r="AF469" s="175" t="str">
        <f ca="1">IFERROR(__xludf.DUMMYFUNCTION("QUERY('Volunteer Survey'!G468)"),"")</f>
        <v/>
      </c>
      <c r="AG469" s="175" t="str">
        <f ca="1">IFERROR(__xludf.DUMMYFUNCTION("QUERY('Volunteer Survey'!H468)"),"")</f>
        <v/>
      </c>
      <c r="AH469" s="175" t="str">
        <f ca="1">IFERROR(__xludf.DUMMYFUNCTION("QUERY('Volunteer Survey'!I468)"),"")</f>
        <v/>
      </c>
      <c r="AI469" s="175" t="str">
        <f ca="1">IFERROR(__xludf.DUMMYFUNCTION("QUERY('Volunteer Survey'!J468)"),"")</f>
        <v/>
      </c>
      <c r="AJ469" s="175" t="str">
        <f ca="1">IFERROR(__xludf.DUMMYFUNCTION("QUERY('Volunteer Survey'!K468)"),"")</f>
        <v/>
      </c>
      <c r="AK469" s="175" t="str">
        <f ca="1">IFERROR(__xludf.DUMMYFUNCTION("QUERY('Volunteer Survey'!L468)"),"")</f>
        <v/>
      </c>
      <c r="AL469" s="175" t="str">
        <f ca="1">IFERROR(__xludf.DUMMYFUNCTION("QUERY('Volunteer Survey'!M468)"),"")</f>
        <v/>
      </c>
      <c r="AM469" s="175" t="str">
        <f ca="1">IFERROR(__xludf.DUMMYFUNCTION("QUERY('Volunteer Survey'!N468)"),"")</f>
        <v/>
      </c>
      <c r="AN469" s="175" t="str">
        <f ca="1">IFERROR(__xludf.DUMMYFUNCTION("QUERY('Volunteer Survey'!O468)"),"")</f>
        <v/>
      </c>
      <c r="AO469" s="175" t="str">
        <f ca="1">IFERROR(__xludf.DUMMYFUNCTION("QUERY('Volunteer Survey'!P468)"),"")</f>
        <v/>
      </c>
    </row>
    <row r="470" spans="1:41" ht="14">
      <c r="A470" s="49">
        <f>'Volunteer Survey'!A880</f>
        <v>0</v>
      </c>
      <c r="B470" s="42" t="s">
        <v>322</v>
      </c>
      <c r="C470" s="47"/>
      <c r="D470" s="49"/>
      <c r="E470" s="49"/>
      <c r="F470" s="49" t="b">
        <v>0</v>
      </c>
      <c r="G470" s="49"/>
      <c r="H470" s="47"/>
      <c r="I470" s="47"/>
      <c r="J470" s="49"/>
      <c r="K470" s="49"/>
      <c r="L470" s="49">
        <f>'Volunteer Survey'!B880</f>
        <v>0</v>
      </c>
      <c r="M470" s="49" t="str">
        <f ca="1">IFERROR(__xludf.DUMMYFUNCTION("QUERY('Volunteer Survey'!E864)"),"")</f>
        <v/>
      </c>
      <c r="N470" s="49">
        <f>'Volunteer Survey'!F881</f>
        <v>0</v>
      </c>
      <c r="O470" s="42">
        <f>'Volunteer Survey'!H881</f>
        <v>0</v>
      </c>
      <c r="P470" s="49"/>
      <c r="Q470" s="54" t="str">
        <f ca="1">IFERROR(__xludf.DUMMYFUNCTION("QUERY('Volunteer Survey'!J864)"),"")</f>
        <v/>
      </c>
      <c r="R470" s="49"/>
      <c r="S470" s="49">
        <f>'Volunteer Survey'!L875</f>
        <v>0</v>
      </c>
      <c r="T470" s="49">
        <f>'Volunteer Survey'!M880</f>
        <v>0</v>
      </c>
      <c r="U470" s="58"/>
      <c r="V470" s="49">
        <f>'Volunteer Survey'!O880</f>
        <v>0</v>
      </c>
      <c r="W470" s="60">
        <f>'Volunteer Survey'!P880</f>
        <v>0</v>
      </c>
      <c r="X470" s="58" t="str">
        <f ca="1">IFERROR(__xludf.DUMMYFUNCTION("QUERY('Volunteer Survey'!R864)"),"")</f>
        <v/>
      </c>
      <c r="Y470" s="47"/>
      <c r="Z470" s="175" t="str">
        <f ca="1">IFERROR(__xludf.DUMMYFUNCTION("QUERY('Volunteer Survey'!A469)"),"")</f>
        <v/>
      </c>
      <c r="AA470" s="175" t="str">
        <f ca="1">IFERROR(__xludf.DUMMYFUNCTION("QUERY('Volunteer Survey'!B469)"),"")</f>
        <v/>
      </c>
      <c r="AB470" s="175" t="str">
        <f ca="1">IFERROR(__xludf.DUMMYFUNCTION("QUERY('Volunteer Survey'!C469)"),"")</f>
        <v/>
      </c>
      <c r="AC470" s="175" t="str">
        <f ca="1">IFERROR(__xludf.DUMMYFUNCTION("QUERY('Volunteer Survey'!D469)"),"")</f>
        <v/>
      </c>
      <c r="AD470" s="175" t="str">
        <f ca="1">IFERROR(__xludf.DUMMYFUNCTION("QUERY('Volunteer Survey'!E469)"),"")</f>
        <v/>
      </c>
      <c r="AE470" s="175" t="str">
        <f ca="1">IFERROR(__xludf.DUMMYFUNCTION("QUERY('Volunteer Survey'!F469)"),"")</f>
        <v/>
      </c>
      <c r="AF470" s="175" t="str">
        <f ca="1">IFERROR(__xludf.DUMMYFUNCTION("QUERY('Volunteer Survey'!G469)"),"")</f>
        <v/>
      </c>
      <c r="AG470" s="175" t="str">
        <f ca="1">IFERROR(__xludf.DUMMYFUNCTION("QUERY('Volunteer Survey'!H469)"),"")</f>
        <v/>
      </c>
      <c r="AH470" s="175" t="str">
        <f ca="1">IFERROR(__xludf.DUMMYFUNCTION("QUERY('Volunteer Survey'!I469)"),"")</f>
        <v/>
      </c>
      <c r="AI470" s="175" t="str">
        <f ca="1">IFERROR(__xludf.DUMMYFUNCTION("QUERY('Volunteer Survey'!J469)"),"")</f>
        <v/>
      </c>
      <c r="AJ470" s="175" t="str">
        <f ca="1">IFERROR(__xludf.DUMMYFUNCTION("QUERY('Volunteer Survey'!K469)"),"")</f>
        <v/>
      </c>
      <c r="AK470" s="175" t="str">
        <f ca="1">IFERROR(__xludf.DUMMYFUNCTION("QUERY('Volunteer Survey'!L469)"),"")</f>
        <v/>
      </c>
      <c r="AL470" s="175" t="str">
        <f ca="1">IFERROR(__xludf.DUMMYFUNCTION("QUERY('Volunteer Survey'!M469)"),"")</f>
        <v/>
      </c>
      <c r="AM470" s="175" t="str">
        <f ca="1">IFERROR(__xludf.DUMMYFUNCTION("QUERY('Volunteer Survey'!N469)"),"")</f>
        <v/>
      </c>
      <c r="AN470" s="175" t="str">
        <f ca="1">IFERROR(__xludf.DUMMYFUNCTION("QUERY('Volunteer Survey'!O469)"),"")</f>
        <v/>
      </c>
      <c r="AO470" s="175" t="str">
        <f ca="1">IFERROR(__xludf.DUMMYFUNCTION("QUERY('Volunteer Survey'!P469)"),"")</f>
        <v/>
      </c>
    </row>
    <row r="471" spans="1:41" ht="14">
      <c r="A471" s="49">
        <f>'Volunteer Survey'!A881</f>
        <v>0</v>
      </c>
      <c r="B471" s="42" t="s">
        <v>322</v>
      </c>
      <c r="C471" s="47"/>
      <c r="D471" s="49"/>
      <c r="E471" s="49"/>
      <c r="F471" s="49" t="b">
        <v>0</v>
      </c>
      <c r="G471" s="49"/>
      <c r="H471" s="47"/>
      <c r="I471" s="47"/>
      <c r="J471" s="49"/>
      <c r="K471" s="49"/>
      <c r="L471" s="49">
        <f>'Volunteer Survey'!B881</f>
        <v>0</v>
      </c>
      <c r="M471" s="49" t="str">
        <f ca="1">IFERROR(__xludf.DUMMYFUNCTION("QUERY('Volunteer Survey'!E865)"),"")</f>
        <v/>
      </c>
      <c r="N471" s="49">
        <f>'Volunteer Survey'!F882</f>
        <v>0</v>
      </c>
      <c r="O471" s="42">
        <f>'Volunteer Survey'!H882</f>
        <v>0</v>
      </c>
      <c r="P471" s="49"/>
      <c r="Q471" s="54" t="str">
        <f ca="1">IFERROR(__xludf.DUMMYFUNCTION("QUERY('Volunteer Survey'!J865)"),"")</f>
        <v/>
      </c>
      <c r="R471" s="49"/>
      <c r="S471" s="49">
        <f>'Volunteer Survey'!L876</f>
        <v>0</v>
      </c>
      <c r="T471" s="49">
        <f>'Volunteer Survey'!M881</f>
        <v>0</v>
      </c>
      <c r="U471" s="58"/>
      <c r="V471" s="49">
        <f>'Volunteer Survey'!O881</f>
        <v>0</v>
      </c>
      <c r="W471" s="60">
        <f>'Volunteer Survey'!P881</f>
        <v>0</v>
      </c>
      <c r="X471" s="58" t="str">
        <f ca="1">IFERROR(__xludf.DUMMYFUNCTION("QUERY('Volunteer Survey'!R865)"),"")</f>
        <v/>
      </c>
      <c r="Y471" s="47"/>
      <c r="Z471" s="175" t="str">
        <f ca="1">IFERROR(__xludf.DUMMYFUNCTION("QUERY('Volunteer Survey'!A470)"),"")</f>
        <v/>
      </c>
      <c r="AA471" s="175" t="str">
        <f ca="1">IFERROR(__xludf.DUMMYFUNCTION("QUERY('Volunteer Survey'!B470)"),"")</f>
        <v/>
      </c>
      <c r="AB471" s="175" t="str">
        <f ca="1">IFERROR(__xludf.DUMMYFUNCTION("QUERY('Volunteer Survey'!C470)"),"")</f>
        <v/>
      </c>
      <c r="AC471" s="175" t="str">
        <f ca="1">IFERROR(__xludf.DUMMYFUNCTION("QUERY('Volunteer Survey'!D470)"),"")</f>
        <v/>
      </c>
      <c r="AD471" s="175" t="str">
        <f ca="1">IFERROR(__xludf.DUMMYFUNCTION("QUERY('Volunteer Survey'!E470)"),"")</f>
        <v/>
      </c>
      <c r="AE471" s="175" t="str">
        <f ca="1">IFERROR(__xludf.DUMMYFUNCTION("QUERY('Volunteer Survey'!F470)"),"")</f>
        <v/>
      </c>
      <c r="AF471" s="175" t="str">
        <f ca="1">IFERROR(__xludf.DUMMYFUNCTION("QUERY('Volunteer Survey'!G470)"),"")</f>
        <v/>
      </c>
      <c r="AG471" s="175" t="str">
        <f ca="1">IFERROR(__xludf.DUMMYFUNCTION("QUERY('Volunteer Survey'!H470)"),"")</f>
        <v/>
      </c>
      <c r="AH471" s="175" t="str">
        <f ca="1">IFERROR(__xludf.DUMMYFUNCTION("QUERY('Volunteer Survey'!I470)"),"")</f>
        <v/>
      </c>
      <c r="AI471" s="175" t="str">
        <f ca="1">IFERROR(__xludf.DUMMYFUNCTION("QUERY('Volunteer Survey'!J470)"),"")</f>
        <v/>
      </c>
      <c r="AJ471" s="175" t="str">
        <f ca="1">IFERROR(__xludf.DUMMYFUNCTION("QUERY('Volunteer Survey'!K470)"),"")</f>
        <v/>
      </c>
      <c r="AK471" s="175" t="str">
        <f ca="1">IFERROR(__xludf.DUMMYFUNCTION("QUERY('Volunteer Survey'!L470)"),"")</f>
        <v/>
      </c>
      <c r="AL471" s="175" t="str">
        <f ca="1">IFERROR(__xludf.DUMMYFUNCTION("QUERY('Volunteer Survey'!M470)"),"")</f>
        <v/>
      </c>
      <c r="AM471" s="175" t="str">
        <f ca="1">IFERROR(__xludf.DUMMYFUNCTION("QUERY('Volunteer Survey'!N470)"),"")</f>
        <v/>
      </c>
      <c r="AN471" s="175" t="str">
        <f ca="1">IFERROR(__xludf.DUMMYFUNCTION("QUERY('Volunteer Survey'!O470)"),"")</f>
        <v/>
      </c>
      <c r="AO471" s="175" t="str">
        <f ca="1">IFERROR(__xludf.DUMMYFUNCTION("QUERY('Volunteer Survey'!P470)"),"")</f>
        <v/>
      </c>
    </row>
    <row r="472" spans="1:41" ht="14">
      <c r="A472" s="49">
        <f>'Volunteer Survey'!A882</f>
        <v>0</v>
      </c>
      <c r="B472" s="42" t="s">
        <v>322</v>
      </c>
      <c r="C472" s="47"/>
      <c r="D472" s="49"/>
      <c r="E472" s="49"/>
      <c r="F472" s="49" t="b">
        <v>0</v>
      </c>
      <c r="G472" s="49"/>
      <c r="H472" s="47"/>
      <c r="I472" s="47"/>
      <c r="J472" s="49"/>
      <c r="K472" s="49"/>
      <c r="L472" s="49">
        <f>'Volunteer Survey'!B882</f>
        <v>0</v>
      </c>
      <c r="M472" s="49" t="str">
        <f ca="1">IFERROR(__xludf.DUMMYFUNCTION("QUERY('Volunteer Survey'!E866)"),"")</f>
        <v/>
      </c>
      <c r="N472" s="49">
        <f>'Volunteer Survey'!F883</f>
        <v>0</v>
      </c>
      <c r="O472" s="42">
        <f>'Volunteer Survey'!H883</f>
        <v>0</v>
      </c>
      <c r="P472" s="49"/>
      <c r="Q472" s="54" t="str">
        <f ca="1">IFERROR(__xludf.DUMMYFUNCTION("QUERY('Volunteer Survey'!J866)"),"")</f>
        <v/>
      </c>
      <c r="R472" s="49"/>
      <c r="S472" s="49">
        <f>'Volunteer Survey'!L877</f>
        <v>0</v>
      </c>
      <c r="T472" s="49">
        <f>'Volunteer Survey'!M882</f>
        <v>0</v>
      </c>
      <c r="U472" s="58"/>
      <c r="V472" s="49">
        <f>'Volunteer Survey'!O882</f>
        <v>0</v>
      </c>
      <c r="W472" s="60">
        <f>'Volunteer Survey'!P882</f>
        <v>0</v>
      </c>
      <c r="X472" s="58" t="str">
        <f ca="1">IFERROR(__xludf.DUMMYFUNCTION("QUERY('Volunteer Survey'!R866)"),"")</f>
        <v/>
      </c>
      <c r="Y472" s="47"/>
      <c r="Z472" s="175" t="str">
        <f ca="1">IFERROR(__xludf.DUMMYFUNCTION("QUERY('Volunteer Survey'!A471)"),"")</f>
        <v/>
      </c>
      <c r="AA472" s="175" t="str">
        <f ca="1">IFERROR(__xludf.DUMMYFUNCTION("QUERY('Volunteer Survey'!B471)"),"")</f>
        <v/>
      </c>
      <c r="AB472" s="175" t="str">
        <f ca="1">IFERROR(__xludf.DUMMYFUNCTION("QUERY('Volunteer Survey'!C471)"),"")</f>
        <v/>
      </c>
      <c r="AC472" s="175" t="str">
        <f ca="1">IFERROR(__xludf.DUMMYFUNCTION("QUERY('Volunteer Survey'!D471)"),"")</f>
        <v/>
      </c>
      <c r="AD472" s="175" t="str">
        <f ca="1">IFERROR(__xludf.DUMMYFUNCTION("QUERY('Volunteer Survey'!E471)"),"")</f>
        <v/>
      </c>
      <c r="AE472" s="175" t="str">
        <f ca="1">IFERROR(__xludf.DUMMYFUNCTION("QUERY('Volunteer Survey'!F471)"),"")</f>
        <v/>
      </c>
      <c r="AF472" s="175" t="str">
        <f ca="1">IFERROR(__xludf.DUMMYFUNCTION("QUERY('Volunteer Survey'!G471)"),"")</f>
        <v/>
      </c>
      <c r="AG472" s="175" t="str">
        <f ca="1">IFERROR(__xludf.DUMMYFUNCTION("QUERY('Volunteer Survey'!H471)"),"")</f>
        <v/>
      </c>
      <c r="AH472" s="175" t="str">
        <f ca="1">IFERROR(__xludf.DUMMYFUNCTION("QUERY('Volunteer Survey'!I471)"),"")</f>
        <v/>
      </c>
      <c r="AI472" s="175" t="str">
        <f ca="1">IFERROR(__xludf.DUMMYFUNCTION("QUERY('Volunteer Survey'!J471)"),"")</f>
        <v/>
      </c>
      <c r="AJ472" s="175" t="str">
        <f ca="1">IFERROR(__xludf.DUMMYFUNCTION("QUERY('Volunteer Survey'!K471)"),"")</f>
        <v/>
      </c>
      <c r="AK472" s="175" t="str">
        <f ca="1">IFERROR(__xludf.DUMMYFUNCTION("QUERY('Volunteer Survey'!L471)"),"")</f>
        <v/>
      </c>
      <c r="AL472" s="175" t="str">
        <f ca="1">IFERROR(__xludf.DUMMYFUNCTION("QUERY('Volunteer Survey'!M471)"),"")</f>
        <v/>
      </c>
      <c r="AM472" s="175" t="str">
        <f ca="1">IFERROR(__xludf.DUMMYFUNCTION("QUERY('Volunteer Survey'!N471)"),"")</f>
        <v/>
      </c>
      <c r="AN472" s="175" t="str">
        <f ca="1">IFERROR(__xludf.DUMMYFUNCTION("QUERY('Volunteer Survey'!O471)"),"")</f>
        <v/>
      </c>
      <c r="AO472" s="175" t="str">
        <f ca="1">IFERROR(__xludf.DUMMYFUNCTION("QUERY('Volunteer Survey'!P471)"),"")</f>
        <v/>
      </c>
    </row>
    <row r="473" spans="1:41" ht="14">
      <c r="A473" s="49">
        <f>'Volunteer Survey'!A883</f>
        <v>0</v>
      </c>
      <c r="B473" s="42" t="s">
        <v>322</v>
      </c>
      <c r="C473" s="47"/>
      <c r="D473" s="49"/>
      <c r="E473" s="49"/>
      <c r="F473" s="49" t="b">
        <v>0</v>
      </c>
      <c r="G473" s="49"/>
      <c r="H473" s="47"/>
      <c r="I473" s="47"/>
      <c r="J473" s="49"/>
      <c r="K473" s="49"/>
      <c r="L473" s="49">
        <f>'Volunteer Survey'!B883</f>
        <v>0</v>
      </c>
      <c r="M473" s="49" t="str">
        <f ca="1">IFERROR(__xludf.DUMMYFUNCTION("QUERY('Volunteer Survey'!E867)"),"")</f>
        <v/>
      </c>
      <c r="N473" s="49">
        <f>'Volunteer Survey'!F884</f>
        <v>0</v>
      </c>
      <c r="O473" s="42">
        <f>'Volunteer Survey'!H884</f>
        <v>0</v>
      </c>
      <c r="P473" s="49"/>
      <c r="Q473" s="54" t="str">
        <f ca="1">IFERROR(__xludf.DUMMYFUNCTION("QUERY('Volunteer Survey'!J867)"),"")</f>
        <v/>
      </c>
      <c r="R473" s="49"/>
      <c r="S473" s="49">
        <f>'Volunteer Survey'!L878</f>
        <v>0</v>
      </c>
      <c r="T473" s="49">
        <f>'Volunteer Survey'!M883</f>
        <v>0</v>
      </c>
      <c r="U473" s="58"/>
      <c r="V473" s="49">
        <f>'Volunteer Survey'!O883</f>
        <v>0</v>
      </c>
      <c r="W473" s="60">
        <f>'Volunteer Survey'!P883</f>
        <v>0</v>
      </c>
      <c r="X473" s="58" t="str">
        <f ca="1">IFERROR(__xludf.DUMMYFUNCTION("QUERY('Volunteer Survey'!R867)"),"")</f>
        <v/>
      </c>
      <c r="Y473" s="47"/>
      <c r="Z473" s="175" t="str">
        <f ca="1">IFERROR(__xludf.DUMMYFUNCTION("QUERY('Volunteer Survey'!A472)"),"")</f>
        <v/>
      </c>
      <c r="AA473" s="175" t="str">
        <f ca="1">IFERROR(__xludf.DUMMYFUNCTION("QUERY('Volunteer Survey'!B472)"),"")</f>
        <v/>
      </c>
      <c r="AB473" s="175" t="str">
        <f ca="1">IFERROR(__xludf.DUMMYFUNCTION("QUERY('Volunteer Survey'!C472)"),"")</f>
        <v/>
      </c>
      <c r="AC473" s="175" t="str">
        <f ca="1">IFERROR(__xludf.DUMMYFUNCTION("QUERY('Volunteer Survey'!D472)"),"")</f>
        <v/>
      </c>
      <c r="AD473" s="175" t="str">
        <f ca="1">IFERROR(__xludf.DUMMYFUNCTION("QUERY('Volunteer Survey'!E472)"),"")</f>
        <v/>
      </c>
      <c r="AE473" s="175" t="str">
        <f ca="1">IFERROR(__xludf.DUMMYFUNCTION("QUERY('Volunteer Survey'!F472)"),"")</f>
        <v/>
      </c>
      <c r="AF473" s="175" t="str">
        <f ca="1">IFERROR(__xludf.DUMMYFUNCTION("QUERY('Volunteer Survey'!G472)"),"")</f>
        <v/>
      </c>
      <c r="AG473" s="175" t="str">
        <f ca="1">IFERROR(__xludf.DUMMYFUNCTION("QUERY('Volunteer Survey'!H472)"),"")</f>
        <v/>
      </c>
      <c r="AH473" s="175" t="str">
        <f ca="1">IFERROR(__xludf.DUMMYFUNCTION("QUERY('Volunteer Survey'!I472)"),"")</f>
        <v/>
      </c>
      <c r="AI473" s="175" t="str">
        <f ca="1">IFERROR(__xludf.DUMMYFUNCTION("QUERY('Volunteer Survey'!J472)"),"")</f>
        <v/>
      </c>
      <c r="AJ473" s="175" t="str">
        <f ca="1">IFERROR(__xludf.DUMMYFUNCTION("QUERY('Volunteer Survey'!K472)"),"")</f>
        <v/>
      </c>
      <c r="AK473" s="175" t="str">
        <f ca="1">IFERROR(__xludf.DUMMYFUNCTION("QUERY('Volunteer Survey'!L472)"),"")</f>
        <v/>
      </c>
      <c r="AL473" s="175" t="str">
        <f ca="1">IFERROR(__xludf.DUMMYFUNCTION("QUERY('Volunteer Survey'!M472)"),"")</f>
        <v/>
      </c>
      <c r="AM473" s="175" t="str">
        <f ca="1">IFERROR(__xludf.DUMMYFUNCTION("QUERY('Volunteer Survey'!N472)"),"")</f>
        <v/>
      </c>
      <c r="AN473" s="175" t="str">
        <f ca="1">IFERROR(__xludf.DUMMYFUNCTION("QUERY('Volunteer Survey'!O472)"),"")</f>
        <v/>
      </c>
      <c r="AO473" s="175" t="str">
        <f ca="1">IFERROR(__xludf.DUMMYFUNCTION("QUERY('Volunteer Survey'!P472)"),"")</f>
        <v/>
      </c>
    </row>
    <row r="474" spans="1:41" ht="14">
      <c r="A474" s="49">
        <f>'Volunteer Survey'!A884</f>
        <v>0</v>
      </c>
      <c r="B474" s="42" t="s">
        <v>322</v>
      </c>
      <c r="C474" s="47"/>
      <c r="D474" s="49"/>
      <c r="E474" s="49"/>
      <c r="F474" s="49" t="b">
        <v>0</v>
      </c>
      <c r="G474" s="49"/>
      <c r="H474" s="47"/>
      <c r="I474" s="47"/>
      <c r="J474" s="49"/>
      <c r="K474" s="49"/>
      <c r="L474" s="49">
        <f>'Volunteer Survey'!B884</f>
        <v>0</v>
      </c>
      <c r="M474" s="49" t="str">
        <f ca="1">IFERROR(__xludf.DUMMYFUNCTION("QUERY('Volunteer Survey'!E868)"),"")</f>
        <v/>
      </c>
      <c r="N474" s="49">
        <f>'Volunteer Survey'!F885</f>
        <v>0</v>
      </c>
      <c r="O474" s="42">
        <f>'Volunteer Survey'!H885</f>
        <v>0</v>
      </c>
      <c r="P474" s="49"/>
      <c r="Q474" s="54" t="str">
        <f ca="1">IFERROR(__xludf.DUMMYFUNCTION("QUERY('Volunteer Survey'!J868)"),"")</f>
        <v/>
      </c>
      <c r="R474" s="49"/>
      <c r="S474" s="49">
        <f>'Volunteer Survey'!L879</f>
        <v>0</v>
      </c>
      <c r="T474" s="49">
        <f>'Volunteer Survey'!M884</f>
        <v>0</v>
      </c>
      <c r="U474" s="58"/>
      <c r="V474" s="49">
        <f>'Volunteer Survey'!O884</f>
        <v>0</v>
      </c>
      <c r="W474" s="60">
        <f>'Volunteer Survey'!P884</f>
        <v>0</v>
      </c>
      <c r="X474" s="58" t="str">
        <f ca="1">IFERROR(__xludf.DUMMYFUNCTION("QUERY('Volunteer Survey'!R868)"),"")</f>
        <v/>
      </c>
      <c r="Y474" s="47"/>
      <c r="Z474" s="175" t="str">
        <f ca="1">IFERROR(__xludf.DUMMYFUNCTION("QUERY('Volunteer Survey'!A473)"),"")</f>
        <v/>
      </c>
      <c r="AA474" s="175" t="str">
        <f ca="1">IFERROR(__xludf.DUMMYFUNCTION("QUERY('Volunteer Survey'!B473)"),"")</f>
        <v/>
      </c>
      <c r="AB474" s="175" t="str">
        <f ca="1">IFERROR(__xludf.DUMMYFUNCTION("QUERY('Volunteer Survey'!C473)"),"")</f>
        <v/>
      </c>
      <c r="AC474" s="175" t="str">
        <f ca="1">IFERROR(__xludf.DUMMYFUNCTION("QUERY('Volunteer Survey'!D473)"),"")</f>
        <v/>
      </c>
      <c r="AD474" s="175" t="str">
        <f ca="1">IFERROR(__xludf.DUMMYFUNCTION("QUERY('Volunteer Survey'!E473)"),"")</f>
        <v/>
      </c>
      <c r="AE474" s="175" t="str">
        <f ca="1">IFERROR(__xludf.DUMMYFUNCTION("QUERY('Volunteer Survey'!F473)"),"")</f>
        <v/>
      </c>
      <c r="AF474" s="175" t="str">
        <f ca="1">IFERROR(__xludf.DUMMYFUNCTION("QUERY('Volunteer Survey'!G473)"),"")</f>
        <v/>
      </c>
      <c r="AG474" s="175" t="str">
        <f ca="1">IFERROR(__xludf.DUMMYFUNCTION("QUERY('Volunteer Survey'!H473)"),"")</f>
        <v/>
      </c>
      <c r="AH474" s="175" t="str">
        <f ca="1">IFERROR(__xludf.DUMMYFUNCTION("QUERY('Volunteer Survey'!I473)"),"")</f>
        <v/>
      </c>
      <c r="AI474" s="175" t="str">
        <f ca="1">IFERROR(__xludf.DUMMYFUNCTION("QUERY('Volunteer Survey'!J473)"),"")</f>
        <v/>
      </c>
      <c r="AJ474" s="175" t="str">
        <f ca="1">IFERROR(__xludf.DUMMYFUNCTION("QUERY('Volunteer Survey'!K473)"),"")</f>
        <v/>
      </c>
      <c r="AK474" s="175" t="str">
        <f ca="1">IFERROR(__xludf.DUMMYFUNCTION("QUERY('Volunteer Survey'!L473)"),"")</f>
        <v/>
      </c>
      <c r="AL474" s="175" t="str">
        <f ca="1">IFERROR(__xludf.DUMMYFUNCTION("QUERY('Volunteer Survey'!M473)"),"")</f>
        <v/>
      </c>
      <c r="AM474" s="175" t="str">
        <f ca="1">IFERROR(__xludf.DUMMYFUNCTION("QUERY('Volunteer Survey'!N473)"),"")</f>
        <v/>
      </c>
      <c r="AN474" s="175" t="str">
        <f ca="1">IFERROR(__xludf.DUMMYFUNCTION("QUERY('Volunteer Survey'!O473)"),"")</f>
        <v/>
      </c>
      <c r="AO474" s="175" t="str">
        <f ca="1">IFERROR(__xludf.DUMMYFUNCTION("QUERY('Volunteer Survey'!P473)"),"")</f>
        <v/>
      </c>
    </row>
    <row r="475" spans="1:41" ht="14">
      <c r="A475" s="49">
        <f>'Volunteer Survey'!A885</f>
        <v>0</v>
      </c>
      <c r="B475" s="42" t="s">
        <v>322</v>
      </c>
      <c r="C475" s="47"/>
      <c r="D475" s="49"/>
      <c r="E475" s="49"/>
      <c r="F475" s="49" t="b">
        <v>0</v>
      </c>
      <c r="G475" s="49"/>
      <c r="H475" s="47"/>
      <c r="I475" s="47"/>
      <c r="J475" s="49"/>
      <c r="K475" s="49"/>
      <c r="L475" s="49">
        <f>'Volunteer Survey'!B885</f>
        <v>0</v>
      </c>
      <c r="M475" s="49">
        <f>'Volunteer Survey'!E885</f>
        <v>0</v>
      </c>
      <c r="N475" s="49">
        <f>'Volunteer Survey'!F886</f>
        <v>0</v>
      </c>
      <c r="O475" s="42">
        <f>'Volunteer Survey'!H886</f>
        <v>0</v>
      </c>
      <c r="P475" s="49"/>
      <c r="Q475" s="54" t="str">
        <f ca="1">IFERROR(__xludf.DUMMYFUNCTION("QUERY('Volunteer Survey'!J869)"),"")</f>
        <v/>
      </c>
      <c r="R475" s="49"/>
      <c r="S475" s="49">
        <f>'Volunteer Survey'!L880</f>
        <v>0</v>
      </c>
      <c r="T475" s="49">
        <f>'Volunteer Survey'!M885</f>
        <v>0</v>
      </c>
      <c r="U475" s="58"/>
      <c r="V475" s="49">
        <f>'Volunteer Survey'!O887</f>
        <v>0</v>
      </c>
      <c r="W475" s="60">
        <f>'Volunteer Survey'!P885</f>
        <v>0</v>
      </c>
      <c r="X475" s="58" t="str">
        <f ca="1">IFERROR(__xludf.DUMMYFUNCTION("QUERY('Volunteer Survey'!R869)"),"")</f>
        <v/>
      </c>
      <c r="Y475" s="47"/>
      <c r="Z475" s="175" t="str">
        <f ca="1">IFERROR(__xludf.DUMMYFUNCTION("QUERY('Volunteer Survey'!A474)"),"")</f>
        <v/>
      </c>
      <c r="AA475" s="175" t="str">
        <f ca="1">IFERROR(__xludf.DUMMYFUNCTION("QUERY('Volunteer Survey'!B474)"),"")</f>
        <v/>
      </c>
      <c r="AB475" s="175" t="str">
        <f ca="1">IFERROR(__xludf.DUMMYFUNCTION("QUERY('Volunteer Survey'!C474)"),"")</f>
        <v/>
      </c>
      <c r="AC475" s="175" t="str">
        <f ca="1">IFERROR(__xludf.DUMMYFUNCTION("QUERY('Volunteer Survey'!D474)"),"")</f>
        <v/>
      </c>
      <c r="AD475" s="175" t="str">
        <f ca="1">IFERROR(__xludf.DUMMYFUNCTION("QUERY('Volunteer Survey'!E474)"),"")</f>
        <v/>
      </c>
      <c r="AE475" s="175" t="str">
        <f ca="1">IFERROR(__xludf.DUMMYFUNCTION("QUERY('Volunteer Survey'!F474)"),"")</f>
        <v/>
      </c>
      <c r="AF475" s="175" t="str">
        <f ca="1">IFERROR(__xludf.DUMMYFUNCTION("QUERY('Volunteer Survey'!G474)"),"")</f>
        <v/>
      </c>
      <c r="AG475" s="175" t="str">
        <f ca="1">IFERROR(__xludf.DUMMYFUNCTION("QUERY('Volunteer Survey'!H474)"),"")</f>
        <v/>
      </c>
      <c r="AH475" s="175" t="str">
        <f ca="1">IFERROR(__xludf.DUMMYFUNCTION("QUERY('Volunteer Survey'!I474)"),"")</f>
        <v/>
      </c>
      <c r="AI475" s="175" t="str">
        <f ca="1">IFERROR(__xludf.DUMMYFUNCTION("QUERY('Volunteer Survey'!J474)"),"")</f>
        <v/>
      </c>
      <c r="AJ475" s="175" t="str">
        <f ca="1">IFERROR(__xludf.DUMMYFUNCTION("QUERY('Volunteer Survey'!K474)"),"")</f>
        <v/>
      </c>
      <c r="AK475" s="175" t="str">
        <f ca="1">IFERROR(__xludf.DUMMYFUNCTION("QUERY('Volunteer Survey'!L474)"),"")</f>
        <v/>
      </c>
      <c r="AL475" s="175" t="str">
        <f ca="1">IFERROR(__xludf.DUMMYFUNCTION("QUERY('Volunteer Survey'!M474)"),"")</f>
        <v/>
      </c>
      <c r="AM475" s="175" t="str">
        <f ca="1">IFERROR(__xludf.DUMMYFUNCTION("QUERY('Volunteer Survey'!N474)"),"")</f>
        <v/>
      </c>
      <c r="AN475" s="175" t="str">
        <f ca="1">IFERROR(__xludf.DUMMYFUNCTION("QUERY('Volunteer Survey'!O474)"),"")</f>
        <v/>
      </c>
      <c r="AO475" s="175" t="str">
        <f ca="1">IFERROR(__xludf.DUMMYFUNCTION("QUERY('Volunteer Survey'!P474)"),"")</f>
        <v/>
      </c>
    </row>
    <row r="476" spans="1:41" ht="14">
      <c r="A476" s="49">
        <f>'Volunteer Survey'!A886</f>
        <v>0</v>
      </c>
      <c r="B476" s="42" t="s">
        <v>322</v>
      </c>
      <c r="C476" s="47"/>
      <c r="D476" s="49"/>
      <c r="E476" s="49"/>
      <c r="F476" s="49" t="b">
        <v>0</v>
      </c>
      <c r="G476" s="49"/>
      <c r="H476" s="47"/>
      <c r="I476" s="47"/>
      <c r="J476" s="49"/>
      <c r="K476" s="49"/>
      <c r="L476" s="49">
        <f>'Volunteer Survey'!B886</f>
        <v>0</v>
      </c>
      <c r="M476" s="49">
        <f>'Volunteer Survey'!E886</f>
        <v>0</v>
      </c>
      <c r="N476" s="49">
        <f>'Volunteer Survey'!F887</f>
        <v>0</v>
      </c>
      <c r="O476" s="42">
        <f>'Volunteer Survey'!H887</f>
        <v>0</v>
      </c>
      <c r="P476" s="49"/>
      <c r="Q476" s="54" t="str">
        <f ca="1">IFERROR(__xludf.DUMMYFUNCTION("QUERY('Volunteer Survey'!J870)"),"")</f>
        <v/>
      </c>
      <c r="R476" s="49"/>
      <c r="S476" s="49">
        <f>'Volunteer Survey'!L881</f>
        <v>0</v>
      </c>
      <c r="T476" s="49">
        <f>'Volunteer Survey'!M886</f>
        <v>0</v>
      </c>
      <c r="U476" s="58"/>
      <c r="V476" s="49">
        <f>'Volunteer Survey'!O888</f>
        <v>0</v>
      </c>
      <c r="W476" s="60">
        <f>'Volunteer Survey'!P886</f>
        <v>0</v>
      </c>
      <c r="X476" s="58">
        <f>'Volunteer Survey'!R887</f>
        <v>0</v>
      </c>
      <c r="Y476" s="47"/>
      <c r="Z476" s="175" t="str">
        <f ca="1">IFERROR(__xludf.DUMMYFUNCTION("QUERY('Volunteer Survey'!A475)"),"")</f>
        <v/>
      </c>
      <c r="AA476" s="175" t="str">
        <f ca="1">IFERROR(__xludf.DUMMYFUNCTION("QUERY('Volunteer Survey'!B475)"),"")</f>
        <v/>
      </c>
      <c r="AB476" s="175" t="str">
        <f ca="1">IFERROR(__xludf.DUMMYFUNCTION("QUERY('Volunteer Survey'!C475)"),"")</f>
        <v/>
      </c>
      <c r="AC476" s="175" t="str">
        <f ca="1">IFERROR(__xludf.DUMMYFUNCTION("QUERY('Volunteer Survey'!D475)"),"")</f>
        <v/>
      </c>
      <c r="AD476" s="175" t="str">
        <f ca="1">IFERROR(__xludf.DUMMYFUNCTION("QUERY('Volunteer Survey'!E475)"),"")</f>
        <v/>
      </c>
      <c r="AE476" s="175" t="str">
        <f ca="1">IFERROR(__xludf.DUMMYFUNCTION("QUERY('Volunteer Survey'!F475)"),"")</f>
        <v/>
      </c>
      <c r="AF476" s="175" t="str">
        <f ca="1">IFERROR(__xludf.DUMMYFUNCTION("QUERY('Volunteer Survey'!G475)"),"")</f>
        <v/>
      </c>
      <c r="AG476" s="175" t="str">
        <f ca="1">IFERROR(__xludf.DUMMYFUNCTION("QUERY('Volunteer Survey'!H475)"),"")</f>
        <v/>
      </c>
      <c r="AH476" s="175" t="str">
        <f ca="1">IFERROR(__xludf.DUMMYFUNCTION("QUERY('Volunteer Survey'!I475)"),"")</f>
        <v/>
      </c>
      <c r="AI476" s="175" t="str">
        <f ca="1">IFERROR(__xludf.DUMMYFUNCTION("QUERY('Volunteer Survey'!J475)"),"")</f>
        <v/>
      </c>
      <c r="AJ476" s="175" t="str">
        <f ca="1">IFERROR(__xludf.DUMMYFUNCTION("QUERY('Volunteer Survey'!K475)"),"")</f>
        <v/>
      </c>
      <c r="AK476" s="175" t="str">
        <f ca="1">IFERROR(__xludf.DUMMYFUNCTION("QUERY('Volunteer Survey'!L475)"),"")</f>
        <v/>
      </c>
      <c r="AL476" s="175" t="str">
        <f ca="1">IFERROR(__xludf.DUMMYFUNCTION("QUERY('Volunteer Survey'!M475)"),"")</f>
        <v/>
      </c>
      <c r="AM476" s="175" t="str">
        <f ca="1">IFERROR(__xludf.DUMMYFUNCTION("QUERY('Volunteer Survey'!N475)"),"")</f>
        <v/>
      </c>
      <c r="AN476" s="175" t="str">
        <f ca="1">IFERROR(__xludf.DUMMYFUNCTION("QUERY('Volunteer Survey'!O475)"),"")</f>
        <v/>
      </c>
      <c r="AO476" s="175" t="str">
        <f ca="1">IFERROR(__xludf.DUMMYFUNCTION("QUERY('Volunteer Survey'!P475)"),"")</f>
        <v/>
      </c>
    </row>
    <row r="477" spans="1:41" ht="14">
      <c r="A477" s="49">
        <f>'Volunteer Survey'!A887</f>
        <v>0</v>
      </c>
      <c r="B477" s="42" t="s">
        <v>322</v>
      </c>
      <c r="C477" s="47"/>
      <c r="D477" s="49"/>
      <c r="E477" s="49"/>
      <c r="F477" s="49" t="b">
        <v>0</v>
      </c>
      <c r="G477" s="49"/>
      <c r="H477" s="47"/>
      <c r="I477" s="47"/>
      <c r="J477" s="49"/>
      <c r="K477" s="49"/>
      <c r="L477" s="49">
        <f>'Volunteer Survey'!B887</f>
        <v>0</v>
      </c>
      <c r="M477" s="49">
        <f>'Volunteer Survey'!E887</f>
        <v>0</v>
      </c>
      <c r="N477" s="49">
        <f>'Volunteer Survey'!F888</f>
        <v>0</v>
      </c>
      <c r="O477" s="42">
        <f>'Volunteer Survey'!H888</f>
        <v>0</v>
      </c>
      <c r="P477" s="49"/>
      <c r="Q477" s="54" t="str">
        <f ca="1">IFERROR(__xludf.DUMMYFUNCTION("QUERY('Volunteer Survey'!J871)"),"")</f>
        <v/>
      </c>
      <c r="R477" s="49"/>
      <c r="S477" s="49">
        <f>'Volunteer Survey'!L882</f>
        <v>0</v>
      </c>
      <c r="T477" s="49">
        <f>'Volunteer Survey'!M887</f>
        <v>0</v>
      </c>
      <c r="U477" s="58"/>
      <c r="V477" s="49"/>
      <c r="W477" s="60">
        <f>'Volunteer Survey'!P887</f>
        <v>0</v>
      </c>
      <c r="X477" s="58">
        <f>'Volunteer Survey'!R888</f>
        <v>0</v>
      </c>
      <c r="Y477" s="47"/>
      <c r="Z477" s="175" t="str">
        <f ca="1">IFERROR(__xludf.DUMMYFUNCTION("QUERY('Volunteer Survey'!A476)"),"")</f>
        <v/>
      </c>
      <c r="AA477" s="175" t="str">
        <f ca="1">IFERROR(__xludf.DUMMYFUNCTION("QUERY('Volunteer Survey'!B476)"),"")</f>
        <v/>
      </c>
      <c r="AB477" s="175" t="str">
        <f ca="1">IFERROR(__xludf.DUMMYFUNCTION("QUERY('Volunteer Survey'!C476)"),"")</f>
        <v/>
      </c>
      <c r="AC477" s="175" t="str">
        <f ca="1">IFERROR(__xludf.DUMMYFUNCTION("QUERY('Volunteer Survey'!D476)"),"")</f>
        <v/>
      </c>
      <c r="AD477" s="175" t="str">
        <f ca="1">IFERROR(__xludf.DUMMYFUNCTION("QUERY('Volunteer Survey'!E476)"),"")</f>
        <v/>
      </c>
      <c r="AE477" s="175" t="str">
        <f ca="1">IFERROR(__xludf.DUMMYFUNCTION("QUERY('Volunteer Survey'!F476)"),"")</f>
        <v/>
      </c>
      <c r="AF477" s="175" t="str">
        <f ca="1">IFERROR(__xludf.DUMMYFUNCTION("QUERY('Volunteer Survey'!G476)"),"")</f>
        <v/>
      </c>
      <c r="AG477" s="175" t="str">
        <f ca="1">IFERROR(__xludf.DUMMYFUNCTION("QUERY('Volunteer Survey'!H476)"),"")</f>
        <v/>
      </c>
      <c r="AH477" s="175" t="str">
        <f ca="1">IFERROR(__xludf.DUMMYFUNCTION("QUERY('Volunteer Survey'!I476)"),"")</f>
        <v/>
      </c>
      <c r="AI477" s="175" t="str">
        <f ca="1">IFERROR(__xludf.DUMMYFUNCTION("QUERY('Volunteer Survey'!J476)"),"")</f>
        <v/>
      </c>
      <c r="AJ477" s="175" t="str">
        <f ca="1">IFERROR(__xludf.DUMMYFUNCTION("QUERY('Volunteer Survey'!K476)"),"")</f>
        <v/>
      </c>
      <c r="AK477" s="175" t="str">
        <f ca="1">IFERROR(__xludf.DUMMYFUNCTION("QUERY('Volunteer Survey'!L476)"),"")</f>
        <v/>
      </c>
      <c r="AL477" s="175" t="str">
        <f ca="1">IFERROR(__xludf.DUMMYFUNCTION("QUERY('Volunteer Survey'!M476)"),"")</f>
        <v/>
      </c>
      <c r="AM477" s="175" t="str">
        <f ca="1">IFERROR(__xludf.DUMMYFUNCTION("QUERY('Volunteer Survey'!N476)"),"")</f>
        <v/>
      </c>
      <c r="AN477" s="175" t="str">
        <f ca="1">IFERROR(__xludf.DUMMYFUNCTION("QUERY('Volunteer Survey'!O476)"),"")</f>
        <v/>
      </c>
      <c r="AO477" s="175" t="str">
        <f ca="1">IFERROR(__xludf.DUMMYFUNCTION("QUERY('Volunteer Survey'!P476)"),"")</f>
        <v/>
      </c>
    </row>
    <row r="478" spans="1:41" ht="14">
      <c r="A478" s="49">
        <f>'Volunteer Survey'!A888</f>
        <v>0</v>
      </c>
      <c r="B478" s="42" t="s">
        <v>322</v>
      </c>
      <c r="C478" s="47"/>
      <c r="D478" s="49"/>
      <c r="E478" s="49"/>
      <c r="F478" s="49" t="b">
        <v>0</v>
      </c>
      <c r="G478" s="49"/>
      <c r="H478" s="47"/>
      <c r="I478" s="47"/>
      <c r="J478" s="49"/>
      <c r="K478" s="49"/>
      <c r="L478" s="49">
        <f>'Volunteer Survey'!B888</f>
        <v>0</v>
      </c>
      <c r="M478" s="49">
        <f>'Volunteer Survey'!E888</f>
        <v>0</v>
      </c>
      <c r="N478" s="49">
        <f>'Volunteer Survey'!F889</f>
        <v>0</v>
      </c>
      <c r="O478" s="42">
        <f>'Volunteer Survey'!H889</f>
        <v>0</v>
      </c>
      <c r="P478" s="49"/>
      <c r="Q478" s="54" t="str">
        <f ca="1">IFERROR(__xludf.DUMMYFUNCTION("QUERY('Volunteer Survey'!J872)"),"")</f>
        <v/>
      </c>
      <c r="R478" s="49"/>
      <c r="S478" s="49">
        <f>'Volunteer Survey'!L883</f>
        <v>0</v>
      </c>
      <c r="T478" s="49">
        <f>'Volunteer Survey'!M888</f>
        <v>0</v>
      </c>
      <c r="U478" s="58"/>
      <c r="V478" s="49"/>
      <c r="W478" s="60">
        <f>'Volunteer Survey'!P888</f>
        <v>0</v>
      </c>
      <c r="X478" s="58">
        <f>'Volunteer Survey'!R889</f>
        <v>0</v>
      </c>
      <c r="Y478" s="47"/>
      <c r="Z478" s="175" t="str">
        <f ca="1">IFERROR(__xludf.DUMMYFUNCTION("QUERY('Volunteer Survey'!A477)"),"")</f>
        <v/>
      </c>
      <c r="AA478" s="175" t="str">
        <f ca="1">IFERROR(__xludf.DUMMYFUNCTION("QUERY('Volunteer Survey'!B477)"),"")</f>
        <v/>
      </c>
      <c r="AB478" s="175" t="str">
        <f ca="1">IFERROR(__xludf.DUMMYFUNCTION("QUERY('Volunteer Survey'!C477)"),"")</f>
        <v/>
      </c>
      <c r="AC478" s="175" t="str">
        <f ca="1">IFERROR(__xludf.DUMMYFUNCTION("QUERY('Volunteer Survey'!D477)"),"")</f>
        <v/>
      </c>
      <c r="AD478" s="175" t="str">
        <f ca="1">IFERROR(__xludf.DUMMYFUNCTION("QUERY('Volunteer Survey'!E477)"),"")</f>
        <v/>
      </c>
      <c r="AE478" s="175" t="str">
        <f ca="1">IFERROR(__xludf.DUMMYFUNCTION("QUERY('Volunteer Survey'!F477)"),"")</f>
        <v/>
      </c>
      <c r="AF478" s="175" t="str">
        <f ca="1">IFERROR(__xludf.DUMMYFUNCTION("QUERY('Volunteer Survey'!G477)"),"")</f>
        <v/>
      </c>
      <c r="AG478" s="175" t="str">
        <f ca="1">IFERROR(__xludf.DUMMYFUNCTION("QUERY('Volunteer Survey'!H477)"),"")</f>
        <v/>
      </c>
      <c r="AH478" s="175" t="str">
        <f ca="1">IFERROR(__xludf.DUMMYFUNCTION("QUERY('Volunteer Survey'!I477)"),"")</f>
        <v/>
      </c>
      <c r="AI478" s="175" t="str">
        <f ca="1">IFERROR(__xludf.DUMMYFUNCTION("QUERY('Volunteer Survey'!J477)"),"")</f>
        <v/>
      </c>
      <c r="AJ478" s="175" t="str">
        <f ca="1">IFERROR(__xludf.DUMMYFUNCTION("QUERY('Volunteer Survey'!K477)"),"")</f>
        <v/>
      </c>
      <c r="AK478" s="175" t="str">
        <f ca="1">IFERROR(__xludf.DUMMYFUNCTION("QUERY('Volunteer Survey'!L477)"),"")</f>
        <v/>
      </c>
      <c r="AL478" s="175" t="str">
        <f ca="1">IFERROR(__xludf.DUMMYFUNCTION("QUERY('Volunteer Survey'!M477)"),"")</f>
        <v/>
      </c>
      <c r="AM478" s="175" t="str">
        <f ca="1">IFERROR(__xludf.DUMMYFUNCTION("QUERY('Volunteer Survey'!N477)"),"")</f>
        <v/>
      </c>
      <c r="AN478" s="175" t="str">
        <f ca="1">IFERROR(__xludf.DUMMYFUNCTION("QUERY('Volunteer Survey'!O477)"),"")</f>
        <v/>
      </c>
      <c r="AO478" s="175" t="str">
        <f ca="1">IFERROR(__xludf.DUMMYFUNCTION("QUERY('Volunteer Survey'!P477)"),"")</f>
        <v/>
      </c>
    </row>
    <row r="479" spans="1:41" ht="14">
      <c r="A479" s="49">
        <f>'Volunteer Survey'!A889</f>
        <v>0</v>
      </c>
      <c r="B479" s="42" t="s">
        <v>322</v>
      </c>
      <c r="C479" s="47"/>
      <c r="D479" s="49"/>
      <c r="E479" s="49"/>
      <c r="F479" s="49" t="b">
        <v>0</v>
      </c>
      <c r="G479" s="49"/>
      <c r="H479" s="47"/>
      <c r="I479" s="47"/>
      <c r="J479" s="49"/>
      <c r="K479" s="49"/>
      <c r="L479" s="49">
        <f>'Volunteer Survey'!B889</f>
        <v>0</v>
      </c>
      <c r="M479" s="49">
        <f>'Volunteer Survey'!E889</f>
        <v>0</v>
      </c>
      <c r="N479" s="49">
        <f>'Volunteer Survey'!F890</f>
        <v>0</v>
      </c>
      <c r="O479" s="42">
        <f>'Volunteer Survey'!H890</f>
        <v>0</v>
      </c>
      <c r="P479" s="49"/>
      <c r="Q479" s="54" t="str">
        <f ca="1">IFERROR(__xludf.DUMMYFUNCTION("QUERY('Volunteer Survey'!J873)"),"")</f>
        <v/>
      </c>
      <c r="R479" s="49"/>
      <c r="S479" s="49">
        <f>'Volunteer Survey'!L884</f>
        <v>0</v>
      </c>
      <c r="T479" s="49">
        <f>'Volunteer Survey'!M889</f>
        <v>0</v>
      </c>
      <c r="U479" s="58"/>
      <c r="V479" s="49"/>
      <c r="W479" s="60">
        <f>'Volunteer Survey'!P889</f>
        <v>0</v>
      </c>
      <c r="X479" s="58">
        <f>'Volunteer Survey'!R890</f>
        <v>0</v>
      </c>
      <c r="Y479" s="47"/>
      <c r="Z479" s="175" t="str">
        <f ca="1">IFERROR(__xludf.DUMMYFUNCTION("QUERY('Volunteer Survey'!A478)"),"")</f>
        <v/>
      </c>
      <c r="AA479" s="175" t="str">
        <f ca="1">IFERROR(__xludf.DUMMYFUNCTION("QUERY('Volunteer Survey'!B478)"),"")</f>
        <v/>
      </c>
      <c r="AB479" s="175" t="str">
        <f ca="1">IFERROR(__xludf.DUMMYFUNCTION("QUERY('Volunteer Survey'!C478)"),"")</f>
        <v/>
      </c>
      <c r="AC479" s="175" t="str">
        <f ca="1">IFERROR(__xludf.DUMMYFUNCTION("QUERY('Volunteer Survey'!D478)"),"")</f>
        <v/>
      </c>
      <c r="AD479" s="175" t="str">
        <f ca="1">IFERROR(__xludf.DUMMYFUNCTION("QUERY('Volunteer Survey'!E478)"),"")</f>
        <v/>
      </c>
      <c r="AE479" s="175" t="str">
        <f ca="1">IFERROR(__xludf.DUMMYFUNCTION("QUERY('Volunteer Survey'!F478)"),"")</f>
        <v/>
      </c>
      <c r="AF479" s="175" t="str">
        <f ca="1">IFERROR(__xludf.DUMMYFUNCTION("QUERY('Volunteer Survey'!G478)"),"")</f>
        <v/>
      </c>
      <c r="AG479" s="175" t="str">
        <f ca="1">IFERROR(__xludf.DUMMYFUNCTION("QUERY('Volunteer Survey'!H478)"),"")</f>
        <v/>
      </c>
      <c r="AH479" s="175" t="str">
        <f ca="1">IFERROR(__xludf.DUMMYFUNCTION("QUERY('Volunteer Survey'!I478)"),"")</f>
        <v/>
      </c>
      <c r="AI479" s="175" t="str">
        <f ca="1">IFERROR(__xludf.DUMMYFUNCTION("QUERY('Volunteer Survey'!J478)"),"")</f>
        <v/>
      </c>
      <c r="AJ479" s="175" t="str">
        <f ca="1">IFERROR(__xludf.DUMMYFUNCTION("QUERY('Volunteer Survey'!K478)"),"")</f>
        <v/>
      </c>
      <c r="AK479" s="175" t="str">
        <f ca="1">IFERROR(__xludf.DUMMYFUNCTION("QUERY('Volunteer Survey'!L478)"),"")</f>
        <v/>
      </c>
      <c r="AL479" s="175" t="str">
        <f ca="1">IFERROR(__xludf.DUMMYFUNCTION("QUERY('Volunteer Survey'!M478)"),"")</f>
        <v/>
      </c>
      <c r="AM479" s="175" t="str">
        <f ca="1">IFERROR(__xludf.DUMMYFUNCTION("QUERY('Volunteer Survey'!N478)"),"")</f>
        <v/>
      </c>
      <c r="AN479" s="175" t="str">
        <f ca="1">IFERROR(__xludf.DUMMYFUNCTION("QUERY('Volunteer Survey'!O478)"),"")</f>
        <v/>
      </c>
      <c r="AO479" s="175" t="str">
        <f ca="1">IFERROR(__xludf.DUMMYFUNCTION("QUERY('Volunteer Survey'!P478)"),"")</f>
        <v/>
      </c>
    </row>
    <row r="480" spans="1:41" ht="14">
      <c r="A480" s="49">
        <f>'Volunteer Survey'!A890</f>
        <v>0</v>
      </c>
      <c r="B480" s="42" t="s">
        <v>322</v>
      </c>
      <c r="C480" s="47"/>
      <c r="D480" s="49"/>
      <c r="E480" s="49"/>
      <c r="F480" s="49" t="b">
        <v>0</v>
      </c>
      <c r="G480" s="49"/>
      <c r="H480" s="47"/>
      <c r="I480" s="47"/>
      <c r="J480" s="49"/>
      <c r="K480" s="49"/>
      <c r="L480" s="49">
        <f>'Volunteer Survey'!B890</f>
        <v>0</v>
      </c>
      <c r="M480" s="49">
        <f>'Volunteer Survey'!E890</f>
        <v>0</v>
      </c>
      <c r="N480" s="49">
        <f>'Volunteer Survey'!F891</f>
        <v>0</v>
      </c>
      <c r="O480" s="42">
        <f>'Volunteer Survey'!H891</f>
        <v>0</v>
      </c>
      <c r="P480" s="49"/>
      <c r="Q480" s="54" t="str">
        <f ca="1">IFERROR(__xludf.DUMMYFUNCTION("QUERY('Volunteer Survey'!J874)"),"")</f>
        <v/>
      </c>
      <c r="R480" s="49"/>
      <c r="S480" s="49">
        <f>'Volunteer Survey'!L885</f>
        <v>0</v>
      </c>
      <c r="T480" s="49">
        <f>'Volunteer Survey'!M890</f>
        <v>0</v>
      </c>
      <c r="U480" s="58"/>
      <c r="V480" s="49"/>
      <c r="W480" s="60">
        <f>'Volunteer Survey'!P890</f>
        <v>0</v>
      </c>
      <c r="X480" s="58">
        <f>'Volunteer Survey'!R891</f>
        <v>0</v>
      </c>
      <c r="Y480" s="47"/>
      <c r="Z480" s="175" t="str">
        <f ca="1">IFERROR(__xludf.DUMMYFUNCTION("QUERY('Volunteer Survey'!A479)"),"")</f>
        <v/>
      </c>
      <c r="AA480" s="175" t="str">
        <f ca="1">IFERROR(__xludf.DUMMYFUNCTION("QUERY('Volunteer Survey'!B479)"),"")</f>
        <v/>
      </c>
      <c r="AB480" s="175" t="str">
        <f ca="1">IFERROR(__xludf.DUMMYFUNCTION("QUERY('Volunteer Survey'!C479)"),"")</f>
        <v/>
      </c>
      <c r="AC480" s="175" t="str">
        <f ca="1">IFERROR(__xludf.DUMMYFUNCTION("QUERY('Volunteer Survey'!D479)"),"")</f>
        <v/>
      </c>
      <c r="AD480" s="175" t="str">
        <f ca="1">IFERROR(__xludf.DUMMYFUNCTION("QUERY('Volunteer Survey'!E479)"),"")</f>
        <v/>
      </c>
      <c r="AE480" s="175" t="str">
        <f ca="1">IFERROR(__xludf.DUMMYFUNCTION("QUERY('Volunteer Survey'!F479)"),"")</f>
        <v/>
      </c>
      <c r="AF480" s="175" t="str">
        <f ca="1">IFERROR(__xludf.DUMMYFUNCTION("QUERY('Volunteer Survey'!G479)"),"")</f>
        <v/>
      </c>
      <c r="AG480" s="175" t="str">
        <f ca="1">IFERROR(__xludf.DUMMYFUNCTION("QUERY('Volunteer Survey'!H479)"),"")</f>
        <v/>
      </c>
      <c r="AH480" s="175" t="str">
        <f ca="1">IFERROR(__xludf.DUMMYFUNCTION("QUERY('Volunteer Survey'!I479)"),"")</f>
        <v/>
      </c>
      <c r="AI480" s="175" t="str">
        <f ca="1">IFERROR(__xludf.DUMMYFUNCTION("QUERY('Volunteer Survey'!J479)"),"")</f>
        <v/>
      </c>
      <c r="AJ480" s="175" t="str">
        <f ca="1">IFERROR(__xludf.DUMMYFUNCTION("QUERY('Volunteer Survey'!K479)"),"")</f>
        <v/>
      </c>
      <c r="AK480" s="175" t="str">
        <f ca="1">IFERROR(__xludf.DUMMYFUNCTION("QUERY('Volunteer Survey'!L479)"),"")</f>
        <v/>
      </c>
      <c r="AL480" s="175" t="str">
        <f ca="1">IFERROR(__xludf.DUMMYFUNCTION("QUERY('Volunteer Survey'!M479)"),"")</f>
        <v/>
      </c>
      <c r="AM480" s="175" t="str">
        <f ca="1">IFERROR(__xludf.DUMMYFUNCTION("QUERY('Volunteer Survey'!N479)"),"")</f>
        <v/>
      </c>
      <c r="AN480" s="175" t="str">
        <f ca="1">IFERROR(__xludf.DUMMYFUNCTION("QUERY('Volunteer Survey'!O479)"),"")</f>
        <v/>
      </c>
      <c r="AO480" s="175" t="str">
        <f ca="1">IFERROR(__xludf.DUMMYFUNCTION("QUERY('Volunteer Survey'!P479)"),"")</f>
        <v/>
      </c>
    </row>
    <row r="481" spans="1:41" ht="14">
      <c r="A481" s="49">
        <f>'Volunteer Survey'!A891</f>
        <v>0</v>
      </c>
      <c r="B481" s="42" t="s">
        <v>322</v>
      </c>
      <c r="C481" s="47"/>
      <c r="D481" s="49"/>
      <c r="E481" s="49"/>
      <c r="F481" s="49" t="b">
        <v>0</v>
      </c>
      <c r="G481" s="49"/>
      <c r="H481" s="47"/>
      <c r="I481" s="47"/>
      <c r="J481" s="49"/>
      <c r="K481" s="49"/>
      <c r="L481" s="49">
        <f>'Volunteer Survey'!B891</f>
        <v>0</v>
      </c>
      <c r="M481" s="49">
        <f>'Volunteer Survey'!E891</f>
        <v>0</v>
      </c>
      <c r="N481" s="49">
        <f>'Volunteer Survey'!F892</f>
        <v>0</v>
      </c>
      <c r="O481" s="42">
        <f>'Volunteer Survey'!H892</f>
        <v>0</v>
      </c>
      <c r="P481" s="49"/>
      <c r="Q481" s="54" t="str">
        <f ca="1">IFERROR(__xludf.DUMMYFUNCTION("QUERY('Volunteer Survey'!J875)"),"")</f>
        <v/>
      </c>
      <c r="R481" s="49"/>
      <c r="S481" s="49">
        <f>'Volunteer Survey'!L886</f>
        <v>0</v>
      </c>
      <c r="T481" s="49">
        <f>'Volunteer Survey'!M891</f>
        <v>0</v>
      </c>
      <c r="U481" s="58"/>
      <c r="V481" s="49"/>
      <c r="W481" s="60">
        <f>'Volunteer Survey'!P891</f>
        <v>0</v>
      </c>
      <c r="X481" s="58">
        <f>'Volunteer Survey'!R892</f>
        <v>0</v>
      </c>
      <c r="Y481" s="47"/>
      <c r="Z481" s="175" t="str">
        <f ca="1">IFERROR(__xludf.DUMMYFUNCTION("QUERY('Volunteer Survey'!A480)"),"")</f>
        <v/>
      </c>
      <c r="AA481" s="175" t="str">
        <f ca="1">IFERROR(__xludf.DUMMYFUNCTION("QUERY('Volunteer Survey'!B480)"),"")</f>
        <v/>
      </c>
      <c r="AB481" s="175" t="str">
        <f ca="1">IFERROR(__xludf.DUMMYFUNCTION("QUERY('Volunteer Survey'!C480)"),"")</f>
        <v/>
      </c>
      <c r="AC481" s="175" t="str">
        <f ca="1">IFERROR(__xludf.DUMMYFUNCTION("QUERY('Volunteer Survey'!D480)"),"")</f>
        <v/>
      </c>
      <c r="AD481" s="175" t="str">
        <f ca="1">IFERROR(__xludf.DUMMYFUNCTION("QUERY('Volunteer Survey'!E480)"),"")</f>
        <v/>
      </c>
      <c r="AE481" s="175" t="str">
        <f ca="1">IFERROR(__xludf.DUMMYFUNCTION("QUERY('Volunteer Survey'!F480)"),"")</f>
        <v/>
      </c>
      <c r="AF481" s="175" t="str">
        <f ca="1">IFERROR(__xludf.DUMMYFUNCTION("QUERY('Volunteer Survey'!G480)"),"")</f>
        <v/>
      </c>
      <c r="AG481" s="175" t="str">
        <f ca="1">IFERROR(__xludf.DUMMYFUNCTION("QUERY('Volunteer Survey'!H480)"),"")</f>
        <v/>
      </c>
      <c r="AH481" s="175" t="str">
        <f ca="1">IFERROR(__xludf.DUMMYFUNCTION("QUERY('Volunteer Survey'!I480)"),"")</f>
        <v/>
      </c>
      <c r="AI481" s="175" t="str">
        <f ca="1">IFERROR(__xludf.DUMMYFUNCTION("QUERY('Volunteer Survey'!J480)"),"")</f>
        <v/>
      </c>
      <c r="AJ481" s="175" t="str">
        <f ca="1">IFERROR(__xludf.DUMMYFUNCTION("QUERY('Volunteer Survey'!K480)"),"")</f>
        <v/>
      </c>
      <c r="AK481" s="175" t="str">
        <f ca="1">IFERROR(__xludf.DUMMYFUNCTION("QUERY('Volunteer Survey'!L480)"),"")</f>
        <v/>
      </c>
      <c r="AL481" s="175" t="str">
        <f ca="1">IFERROR(__xludf.DUMMYFUNCTION("QUERY('Volunteer Survey'!M480)"),"")</f>
        <v/>
      </c>
      <c r="AM481" s="175" t="str">
        <f ca="1">IFERROR(__xludf.DUMMYFUNCTION("QUERY('Volunteer Survey'!N480)"),"")</f>
        <v/>
      </c>
      <c r="AN481" s="175" t="str">
        <f ca="1">IFERROR(__xludf.DUMMYFUNCTION("QUERY('Volunteer Survey'!O480)"),"")</f>
        <v/>
      </c>
      <c r="AO481" s="175" t="str">
        <f ca="1">IFERROR(__xludf.DUMMYFUNCTION("QUERY('Volunteer Survey'!P480)"),"")</f>
        <v/>
      </c>
    </row>
    <row r="482" spans="1:41" ht="14">
      <c r="A482" s="49">
        <f>'Volunteer Survey'!A892</f>
        <v>0</v>
      </c>
      <c r="B482" s="42" t="s">
        <v>322</v>
      </c>
      <c r="C482" s="47"/>
      <c r="D482" s="49"/>
      <c r="E482" s="49"/>
      <c r="F482" s="49" t="b">
        <v>0</v>
      </c>
      <c r="G482" s="49"/>
      <c r="H482" s="47"/>
      <c r="I482" s="47"/>
      <c r="J482" s="49"/>
      <c r="K482" s="49"/>
      <c r="L482" s="49">
        <f>'Volunteer Survey'!B892</f>
        <v>0</v>
      </c>
      <c r="M482" s="49">
        <f>'Volunteer Survey'!E892</f>
        <v>0</v>
      </c>
      <c r="N482" s="49">
        <f>'Volunteer Survey'!F893</f>
        <v>0</v>
      </c>
      <c r="O482" s="42">
        <f>'Volunteer Survey'!H893</f>
        <v>0</v>
      </c>
      <c r="P482" s="49"/>
      <c r="Q482" s="54" t="str">
        <f ca="1">IFERROR(__xludf.DUMMYFUNCTION("QUERY('Volunteer Survey'!J876)"),"")</f>
        <v/>
      </c>
      <c r="R482" s="49"/>
      <c r="S482" s="49">
        <f>'Volunteer Survey'!L887</f>
        <v>0</v>
      </c>
      <c r="T482" s="49">
        <f>'Volunteer Survey'!M892</f>
        <v>0</v>
      </c>
      <c r="U482" s="58"/>
      <c r="V482" s="49"/>
      <c r="W482" s="60">
        <f>'Volunteer Survey'!P892</f>
        <v>0</v>
      </c>
      <c r="X482" s="58">
        <f>'Volunteer Survey'!R893</f>
        <v>0</v>
      </c>
      <c r="Y482" s="47"/>
      <c r="Z482" s="175" t="str">
        <f ca="1">IFERROR(__xludf.DUMMYFUNCTION("QUERY('Volunteer Survey'!A481)"),"")</f>
        <v/>
      </c>
      <c r="AA482" s="175" t="str">
        <f ca="1">IFERROR(__xludf.DUMMYFUNCTION("QUERY('Volunteer Survey'!B481)"),"")</f>
        <v/>
      </c>
      <c r="AB482" s="175" t="str">
        <f ca="1">IFERROR(__xludf.DUMMYFUNCTION("QUERY('Volunteer Survey'!C481)"),"")</f>
        <v/>
      </c>
      <c r="AC482" s="175" t="str">
        <f ca="1">IFERROR(__xludf.DUMMYFUNCTION("QUERY('Volunteer Survey'!D481)"),"")</f>
        <v/>
      </c>
      <c r="AD482" s="175" t="str">
        <f ca="1">IFERROR(__xludf.DUMMYFUNCTION("QUERY('Volunteer Survey'!E481)"),"")</f>
        <v/>
      </c>
      <c r="AE482" s="175" t="str">
        <f ca="1">IFERROR(__xludf.DUMMYFUNCTION("QUERY('Volunteer Survey'!F481)"),"")</f>
        <v/>
      </c>
      <c r="AF482" s="175" t="str">
        <f ca="1">IFERROR(__xludf.DUMMYFUNCTION("QUERY('Volunteer Survey'!G481)"),"")</f>
        <v/>
      </c>
      <c r="AG482" s="175" t="str">
        <f ca="1">IFERROR(__xludf.DUMMYFUNCTION("QUERY('Volunteer Survey'!H481)"),"")</f>
        <v/>
      </c>
      <c r="AH482" s="175" t="str">
        <f ca="1">IFERROR(__xludf.DUMMYFUNCTION("QUERY('Volunteer Survey'!I481)"),"")</f>
        <v/>
      </c>
      <c r="AI482" s="175" t="str">
        <f ca="1">IFERROR(__xludf.DUMMYFUNCTION("QUERY('Volunteer Survey'!J481)"),"")</f>
        <v/>
      </c>
      <c r="AJ482" s="175" t="str">
        <f ca="1">IFERROR(__xludf.DUMMYFUNCTION("QUERY('Volunteer Survey'!K481)"),"")</f>
        <v/>
      </c>
      <c r="AK482" s="175" t="str">
        <f ca="1">IFERROR(__xludf.DUMMYFUNCTION("QUERY('Volunteer Survey'!L481)"),"")</f>
        <v/>
      </c>
      <c r="AL482" s="175" t="str">
        <f ca="1">IFERROR(__xludf.DUMMYFUNCTION("QUERY('Volunteer Survey'!M481)"),"")</f>
        <v/>
      </c>
      <c r="AM482" s="175" t="str">
        <f ca="1">IFERROR(__xludf.DUMMYFUNCTION("QUERY('Volunteer Survey'!N481)"),"")</f>
        <v/>
      </c>
      <c r="AN482" s="175" t="str">
        <f ca="1">IFERROR(__xludf.DUMMYFUNCTION("QUERY('Volunteer Survey'!O481)"),"")</f>
        <v/>
      </c>
      <c r="AO482" s="175" t="str">
        <f ca="1">IFERROR(__xludf.DUMMYFUNCTION("QUERY('Volunteer Survey'!P481)"),"")</f>
        <v/>
      </c>
    </row>
    <row r="483" spans="1:41" ht="14">
      <c r="A483" s="49">
        <f>'Volunteer Survey'!A893</f>
        <v>0</v>
      </c>
      <c r="B483" s="42" t="s">
        <v>322</v>
      </c>
      <c r="C483" s="47"/>
      <c r="D483" s="49"/>
      <c r="E483" s="49"/>
      <c r="F483" s="49" t="b">
        <v>0</v>
      </c>
      <c r="G483" s="49"/>
      <c r="H483" s="47"/>
      <c r="I483" s="47"/>
      <c r="J483" s="49"/>
      <c r="K483" s="49"/>
      <c r="L483" s="49">
        <f>'Volunteer Survey'!B893</f>
        <v>0</v>
      </c>
      <c r="M483" s="49">
        <f>'Volunteer Survey'!E893</f>
        <v>0</v>
      </c>
      <c r="N483" s="49">
        <f>'Volunteer Survey'!F894</f>
        <v>0</v>
      </c>
      <c r="O483" s="42">
        <f>'Volunteer Survey'!H894</f>
        <v>0</v>
      </c>
      <c r="P483" s="49"/>
      <c r="Q483" s="54" t="str">
        <f ca="1">IFERROR(__xludf.DUMMYFUNCTION("QUERY('Volunteer Survey'!J877)"),"")</f>
        <v/>
      </c>
      <c r="R483" s="49"/>
      <c r="S483" s="49">
        <f>'Volunteer Survey'!L888</f>
        <v>0</v>
      </c>
      <c r="T483" s="49">
        <f>'Volunteer Survey'!M893</f>
        <v>0</v>
      </c>
      <c r="U483" s="58"/>
      <c r="V483" s="49"/>
      <c r="W483" s="60">
        <f>'Volunteer Survey'!P893</f>
        <v>0</v>
      </c>
      <c r="X483" s="58">
        <f>'Volunteer Survey'!R894</f>
        <v>0</v>
      </c>
      <c r="Y483" s="47"/>
      <c r="Z483" s="175" t="str">
        <f ca="1">IFERROR(__xludf.DUMMYFUNCTION("QUERY('Volunteer Survey'!A482)"),"")</f>
        <v/>
      </c>
      <c r="AA483" s="175" t="str">
        <f ca="1">IFERROR(__xludf.DUMMYFUNCTION("QUERY('Volunteer Survey'!B482)"),"")</f>
        <v/>
      </c>
      <c r="AB483" s="175" t="str">
        <f ca="1">IFERROR(__xludf.DUMMYFUNCTION("QUERY('Volunteer Survey'!C482)"),"")</f>
        <v/>
      </c>
      <c r="AC483" s="175" t="str">
        <f ca="1">IFERROR(__xludf.DUMMYFUNCTION("QUERY('Volunteer Survey'!D482)"),"")</f>
        <v/>
      </c>
      <c r="AD483" s="175" t="str">
        <f ca="1">IFERROR(__xludf.DUMMYFUNCTION("QUERY('Volunteer Survey'!E482)"),"")</f>
        <v/>
      </c>
      <c r="AE483" s="175" t="str">
        <f ca="1">IFERROR(__xludf.DUMMYFUNCTION("QUERY('Volunteer Survey'!F482)"),"")</f>
        <v/>
      </c>
      <c r="AF483" s="175" t="str">
        <f ca="1">IFERROR(__xludf.DUMMYFUNCTION("QUERY('Volunteer Survey'!G482)"),"")</f>
        <v/>
      </c>
      <c r="AG483" s="175" t="str">
        <f ca="1">IFERROR(__xludf.DUMMYFUNCTION("QUERY('Volunteer Survey'!H482)"),"")</f>
        <v/>
      </c>
      <c r="AH483" s="175" t="str">
        <f ca="1">IFERROR(__xludf.DUMMYFUNCTION("QUERY('Volunteer Survey'!I482)"),"")</f>
        <v/>
      </c>
      <c r="AI483" s="175" t="str">
        <f ca="1">IFERROR(__xludf.DUMMYFUNCTION("QUERY('Volunteer Survey'!J482)"),"")</f>
        <v/>
      </c>
      <c r="AJ483" s="175" t="str">
        <f ca="1">IFERROR(__xludf.DUMMYFUNCTION("QUERY('Volunteer Survey'!K482)"),"")</f>
        <v/>
      </c>
      <c r="AK483" s="175" t="str">
        <f ca="1">IFERROR(__xludf.DUMMYFUNCTION("QUERY('Volunteer Survey'!L482)"),"")</f>
        <v/>
      </c>
      <c r="AL483" s="175" t="str">
        <f ca="1">IFERROR(__xludf.DUMMYFUNCTION("QUERY('Volunteer Survey'!M482)"),"")</f>
        <v/>
      </c>
      <c r="AM483" s="175" t="str">
        <f ca="1">IFERROR(__xludf.DUMMYFUNCTION("QUERY('Volunteer Survey'!N482)"),"")</f>
        <v/>
      </c>
      <c r="AN483" s="175" t="str">
        <f ca="1">IFERROR(__xludf.DUMMYFUNCTION("QUERY('Volunteer Survey'!O482)"),"")</f>
        <v/>
      </c>
      <c r="AO483" s="175" t="str">
        <f ca="1">IFERROR(__xludf.DUMMYFUNCTION("QUERY('Volunteer Survey'!P482)"),"")</f>
        <v/>
      </c>
    </row>
    <row r="484" spans="1:41" ht="14">
      <c r="A484" s="49">
        <f>'Volunteer Survey'!A894</f>
        <v>0</v>
      </c>
      <c r="B484" s="42" t="s">
        <v>322</v>
      </c>
      <c r="C484" s="47"/>
      <c r="D484" s="49"/>
      <c r="E484" s="49"/>
      <c r="F484" s="49" t="b">
        <v>0</v>
      </c>
      <c r="G484" s="49"/>
      <c r="H484" s="47"/>
      <c r="I484" s="47"/>
      <c r="J484" s="49"/>
      <c r="K484" s="49"/>
      <c r="L484" s="49">
        <f>'Volunteer Survey'!B894</f>
        <v>0</v>
      </c>
      <c r="M484" s="49">
        <f>'Volunteer Survey'!E894</f>
        <v>0</v>
      </c>
      <c r="N484" s="49">
        <f>'Volunteer Survey'!F895</f>
        <v>0</v>
      </c>
      <c r="O484" s="42">
        <f>'Volunteer Survey'!H895</f>
        <v>0</v>
      </c>
      <c r="P484" s="49"/>
      <c r="Q484" s="54" t="str">
        <f ca="1">IFERROR(__xludf.DUMMYFUNCTION("QUERY('Volunteer Survey'!J878)"),"")</f>
        <v/>
      </c>
      <c r="R484" s="49"/>
      <c r="S484" s="49">
        <f>'Volunteer Survey'!L889</f>
        <v>0</v>
      </c>
      <c r="T484" s="49">
        <f>'Volunteer Survey'!M894</f>
        <v>0</v>
      </c>
      <c r="U484" s="58"/>
      <c r="V484" s="49"/>
      <c r="W484" s="60">
        <f>'Volunteer Survey'!P894</f>
        <v>0</v>
      </c>
      <c r="X484" s="58">
        <f>'Volunteer Survey'!R895</f>
        <v>0</v>
      </c>
      <c r="Y484" s="47"/>
      <c r="Z484" s="175" t="str">
        <f ca="1">IFERROR(__xludf.DUMMYFUNCTION("QUERY('Volunteer Survey'!A483)"),"")</f>
        <v/>
      </c>
      <c r="AA484" s="175" t="str">
        <f ca="1">IFERROR(__xludf.DUMMYFUNCTION("QUERY('Volunteer Survey'!B483)"),"")</f>
        <v/>
      </c>
      <c r="AB484" s="175" t="str">
        <f ca="1">IFERROR(__xludf.DUMMYFUNCTION("QUERY('Volunteer Survey'!C483)"),"")</f>
        <v/>
      </c>
      <c r="AC484" s="175" t="str">
        <f ca="1">IFERROR(__xludf.DUMMYFUNCTION("QUERY('Volunteer Survey'!D483)"),"")</f>
        <v/>
      </c>
      <c r="AD484" s="175" t="str">
        <f ca="1">IFERROR(__xludf.DUMMYFUNCTION("QUERY('Volunteer Survey'!E483)"),"")</f>
        <v/>
      </c>
      <c r="AE484" s="175" t="str">
        <f ca="1">IFERROR(__xludf.DUMMYFUNCTION("QUERY('Volunteer Survey'!F483)"),"")</f>
        <v/>
      </c>
      <c r="AF484" s="175" t="str">
        <f ca="1">IFERROR(__xludf.DUMMYFUNCTION("QUERY('Volunteer Survey'!G483)"),"")</f>
        <v/>
      </c>
      <c r="AG484" s="175" t="str">
        <f ca="1">IFERROR(__xludf.DUMMYFUNCTION("QUERY('Volunteer Survey'!H483)"),"")</f>
        <v/>
      </c>
      <c r="AH484" s="175" t="str">
        <f ca="1">IFERROR(__xludf.DUMMYFUNCTION("QUERY('Volunteer Survey'!I483)"),"")</f>
        <v/>
      </c>
      <c r="AI484" s="175" t="str">
        <f ca="1">IFERROR(__xludf.DUMMYFUNCTION("QUERY('Volunteer Survey'!J483)"),"")</f>
        <v/>
      </c>
      <c r="AJ484" s="175" t="str">
        <f ca="1">IFERROR(__xludf.DUMMYFUNCTION("QUERY('Volunteer Survey'!K483)"),"")</f>
        <v/>
      </c>
      <c r="AK484" s="175" t="str">
        <f ca="1">IFERROR(__xludf.DUMMYFUNCTION("QUERY('Volunteer Survey'!L483)"),"")</f>
        <v/>
      </c>
      <c r="AL484" s="175" t="str">
        <f ca="1">IFERROR(__xludf.DUMMYFUNCTION("QUERY('Volunteer Survey'!M483)"),"")</f>
        <v/>
      </c>
      <c r="AM484" s="175" t="str">
        <f ca="1">IFERROR(__xludf.DUMMYFUNCTION("QUERY('Volunteer Survey'!N483)"),"")</f>
        <v/>
      </c>
      <c r="AN484" s="175" t="str">
        <f ca="1">IFERROR(__xludf.DUMMYFUNCTION("QUERY('Volunteer Survey'!O483)"),"")</f>
        <v/>
      </c>
      <c r="AO484" s="175" t="str">
        <f ca="1">IFERROR(__xludf.DUMMYFUNCTION("QUERY('Volunteer Survey'!P483)"),"")</f>
        <v/>
      </c>
    </row>
    <row r="485" spans="1:41" ht="14">
      <c r="A485" s="49">
        <f>'Volunteer Survey'!A895</f>
        <v>0</v>
      </c>
      <c r="B485" s="42" t="s">
        <v>322</v>
      </c>
      <c r="C485" s="47"/>
      <c r="D485" s="49"/>
      <c r="E485" s="49"/>
      <c r="F485" s="49" t="b">
        <v>0</v>
      </c>
      <c r="G485" s="49"/>
      <c r="H485" s="47"/>
      <c r="I485" s="47"/>
      <c r="J485" s="49"/>
      <c r="K485" s="49"/>
      <c r="L485" s="49">
        <f>'Volunteer Survey'!B895</f>
        <v>0</v>
      </c>
      <c r="M485" s="49">
        <f>'Volunteer Survey'!E895</f>
        <v>0</v>
      </c>
      <c r="N485" s="49">
        <f>'Volunteer Survey'!F896</f>
        <v>0</v>
      </c>
      <c r="O485" s="42">
        <f>'Volunteer Survey'!H896</f>
        <v>0</v>
      </c>
      <c r="P485" s="49"/>
      <c r="Q485" s="54" t="str">
        <f ca="1">IFERROR(__xludf.DUMMYFUNCTION("QUERY('Volunteer Survey'!J879)"),"")</f>
        <v/>
      </c>
      <c r="R485" s="49"/>
      <c r="S485" s="49">
        <f>'Volunteer Survey'!L890</f>
        <v>0</v>
      </c>
      <c r="T485" s="49">
        <f>'Volunteer Survey'!M895</f>
        <v>0</v>
      </c>
      <c r="U485" s="58"/>
      <c r="V485" s="49"/>
      <c r="W485" s="60">
        <f>'Volunteer Survey'!P895</f>
        <v>0</v>
      </c>
      <c r="X485" s="58">
        <f>'Volunteer Survey'!R896</f>
        <v>0</v>
      </c>
      <c r="Y485" s="47"/>
      <c r="Z485" s="175" t="str">
        <f ca="1">IFERROR(__xludf.DUMMYFUNCTION("QUERY('Volunteer Survey'!A484)"),"")</f>
        <v/>
      </c>
      <c r="AA485" s="175" t="str">
        <f ca="1">IFERROR(__xludf.DUMMYFUNCTION("QUERY('Volunteer Survey'!B484)"),"")</f>
        <v/>
      </c>
      <c r="AB485" s="175" t="str">
        <f ca="1">IFERROR(__xludf.DUMMYFUNCTION("QUERY('Volunteer Survey'!C484)"),"")</f>
        <v/>
      </c>
      <c r="AC485" s="175" t="str">
        <f ca="1">IFERROR(__xludf.DUMMYFUNCTION("QUERY('Volunteer Survey'!D484)"),"")</f>
        <v/>
      </c>
      <c r="AD485" s="175" t="str">
        <f ca="1">IFERROR(__xludf.DUMMYFUNCTION("QUERY('Volunteer Survey'!E484)"),"")</f>
        <v/>
      </c>
      <c r="AE485" s="175" t="str">
        <f ca="1">IFERROR(__xludf.DUMMYFUNCTION("QUERY('Volunteer Survey'!F484)"),"")</f>
        <v/>
      </c>
      <c r="AF485" s="175" t="str">
        <f ca="1">IFERROR(__xludf.DUMMYFUNCTION("QUERY('Volunteer Survey'!G484)"),"")</f>
        <v/>
      </c>
      <c r="AG485" s="175" t="str">
        <f ca="1">IFERROR(__xludf.DUMMYFUNCTION("QUERY('Volunteer Survey'!H484)"),"")</f>
        <v/>
      </c>
      <c r="AH485" s="175" t="str">
        <f ca="1">IFERROR(__xludf.DUMMYFUNCTION("QUERY('Volunteer Survey'!I484)"),"")</f>
        <v/>
      </c>
      <c r="AI485" s="175" t="str">
        <f ca="1">IFERROR(__xludf.DUMMYFUNCTION("QUERY('Volunteer Survey'!J484)"),"")</f>
        <v/>
      </c>
      <c r="AJ485" s="175" t="str">
        <f ca="1">IFERROR(__xludf.DUMMYFUNCTION("QUERY('Volunteer Survey'!K484)"),"")</f>
        <v/>
      </c>
      <c r="AK485" s="175" t="str">
        <f ca="1">IFERROR(__xludf.DUMMYFUNCTION("QUERY('Volunteer Survey'!L484)"),"")</f>
        <v/>
      </c>
      <c r="AL485" s="175" t="str">
        <f ca="1">IFERROR(__xludf.DUMMYFUNCTION("QUERY('Volunteer Survey'!M484)"),"")</f>
        <v/>
      </c>
      <c r="AM485" s="175" t="str">
        <f ca="1">IFERROR(__xludf.DUMMYFUNCTION("QUERY('Volunteer Survey'!N484)"),"")</f>
        <v/>
      </c>
      <c r="AN485" s="175" t="str">
        <f ca="1">IFERROR(__xludf.DUMMYFUNCTION("QUERY('Volunteer Survey'!O484)"),"")</f>
        <v/>
      </c>
      <c r="AO485" s="175" t="str">
        <f ca="1">IFERROR(__xludf.DUMMYFUNCTION("QUERY('Volunteer Survey'!P484)"),"")</f>
        <v/>
      </c>
    </row>
    <row r="486" spans="1:41" ht="14">
      <c r="A486" s="49">
        <f>'Volunteer Survey'!A896</f>
        <v>0</v>
      </c>
      <c r="B486" s="42" t="s">
        <v>322</v>
      </c>
      <c r="C486" s="47"/>
      <c r="D486" s="49"/>
      <c r="E486" s="49"/>
      <c r="F486" s="49" t="b">
        <v>0</v>
      </c>
      <c r="G486" s="49"/>
      <c r="H486" s="47"/>
      <c r="I486" s="47"/>
      <c r="J486" s="49"/>
      <c r="K486" s="49"/>
      <c r="L486" s="49">
        <f>'Volunteer Survey'!B896</f>
        <v>0</v>
      </c>
      <c r="M486" s="49">
        <f>'Volunteer Survey'!E896</f>
        <v>0</v>
      </c>
      <c r="N486" s="49">
        <f>'Volunteer Survey'!F897</f>
        <v>0</v>
      </c>
      <c r="O486" s="42">
        <f>'Volunteer Survey'!H897</f>
        <v>0</v>
      </c>
      <c r="P486" s="49"/>
      <c r="Q486" s="54" t="str">
        <f ca="1">IFERROR(__xludf.DUMMYFUNCTION("QUERY('Volunteer Survey'!J880)"),"")</f>
        <v/>
      </c>
      <c r="R486" s="49"/>
      <c r="S486" s="49">
        <f>'Volunteer Survey'!L891</f>
        <v>0</v>
      </c>
      <c r="T486" s="49">
        <f>'Volunteer Survey'!M896</f>
        <v>0</v>
      </c>
      <c r="U486" s="58"/>
      <c r="V486" s="49"/>
      <c r="W486" s="60">
        <f>'Volunteer Survey'!P896</f>
        <v>0</v>
      </c>
      <c r="X486" s="58">
        <f>'Volunteer Survey'!R897</f>
        <v>0</v>
      </c>
      <c r="Y486" s="47"/>
      <c r="Z486" s="175" t="str">
        <f ca="1">IFERROR(__xludf.DUMMYFUNCTION("QUERY('Volunteer Survey'!A485)"),"")</f>
        <v/>
      </c>
      <c r="AA486" s="175" t="str">
        <f ca="1">IFERROR(__xludf.DUMMYFUNCTION("QUERY('Volunteer Survey'!B485)"),"")</f>
        <v/>
      </c>
      <c r="AB486" s="175" t="str">
        <f ca="1">IFERROR(__xludf.DUMMYFUNCTION("QUERY('Volunteer Survey'!C485)"),"")</f>
        <v/>
      </c>
      <c r="AC486" s="175" t="str">
        <f ca="1">IFERROR(__xludf.DUMMYFUNCTION("QUERY('Volunteer Survey'!D485)"),"")</f>
        <v/>
      </c>
      <c r="AD486" s="175" t="str">
        <f ca="1">IFERROR(__xludf.DUMMYFUNCTION("QUERY('Volunteer Survey'!E485)"),"")</f>
        <v/>
      </c>
      <c r="AE486" s="175" t="str">
        <f ca="1">IFERROR(__xludf.DUMMYFUNCTION("QUERY('Volunteer Survey'!F485)"),"")</f>
        <v/>
      </c>
      <c r="AF486" s="175" t="str">
        <f ca="1">IFERROR(__xludf.DUMMYFUNCTION("QUERY('Volunteer Survey'!G485)"),"")</f>
        <v/>
      </c>
      <c r="AG486" s="175" t="str">
        <f ca="1">IFERROR(__xludf.DUMMYFUNCTION("QUERY('Volunteer Survey'!H485)"),"")</f>
        <v/>
      </c>
      <c r="AH486" s="175" t="str">
        <f ca="1">IFERROR(__xludf.DUMMYFUNCTION("QUERY('Volunteer Survey'!I485)"),"")</f>
        <v/>
      </c>
      <c r="AI486" s="175" t="str">
        <f ca="1">IFERROR(__xludf.DUMMYFUNCTION("QUERY('Volunteer Survey'!J485)"),"")</f>
        <v/>
      </c>
      <c r="AJ486" s="175" t="str">
        <f ca="1">IFERROR(__xludf.DUMMYFUNCTION("QUERY('Volunteer Survey'!K485)"),"")</f>
        <v/>
      </c>
      <c r="AK486" s="175" t="str">
        <f ca="1">IFERROR(__xludf.DUMMYFUNCTION("QUERY('Volunteer Survey'!L485)"),"")</f>
        <v/>
      </c>
      <c r="AL486" s="175" t="str">
        <f ca="1">IFERROR(__xludf.DUMMYFUNCTION("QUERY('Volunteer Survey'!M485)"),"")</f>
        <v/>
      </c>
      <c r="AM486" s="175" t="str">
        <f ca="1">IFERROR(__xludf.DUMMYFUNCTION("QUERY('Volunteer Survey'!N485)"),"")</f>
        <v/>
      </c>
      <c r="AN486" s="175" t="str">
        <f ca="1">IFERROR(__xludf.DUMMYFUNCTION("QUERY('Volunteer Survey'!O485)"),"")</f>
        <v/>
      </c>
      <c r="AO486" s="175" t="str">
        <f ca="1">IFERROR(__xludf.DUMMYFUNCTION("QUERY('Volunteer Survey'!P485)"),"")</f>
        <v/>
      </c>
    </row>
    <row r="487" spans="1:41" ht="14">
      <c r="A487" s="49">
        <f>'Volunteer Survey'!A897</f>
        <v>0</v>
      </c>
      <c r="B487" s="42" t="s">
        <v>322</v>
      </c>
      <c r="C487" s="47"/>
      <c r="D487" s="49"/>
      <c r="E487" s="49"/>
      <c r="F487" s="49" t="b">
        <v>0</v>
      </c>
      <c r="G487" s="49"/>
      <c r="H487" s="47"/>
      <c r="I487" s="47"/>
      <c r="J487" s="49"/>
      <c r="K487" s="49"/>
      <c r="L487" s="49">
        <f>'Volunteer Survey'!B897</f>
        <v>0</v>
      </c>
      <c r="M487" s="49">
        <f>'Volunteer Survey'!E897</f>
        <v>0</v>
      </c>
      <c r="N487" s="49">
        <f>'Volunteer Survey'!F898</f>
        <v>0</v>
      </c>
      <c r="O487" s="42">
        <f>'Volunteer Survey'!H898</f>
        <v>0</v>
      </c>
      <c r="P487" s="49"/>
      <c r="Q487" s="54" t="str">
        <f ca="1">IFERROR(__xludf.DUMMYFUNCTION("QUERY('Volunteer Survey'!J881)"),"")</f>
        <v/>
      </c>
      <c r="R487" s="49"/>
      <c r="S487" s="49">
        <f>'Volunteer Survey'!L892</f>
        <v>0</v>
      </c>
      <c r="T487" s="49">
        <f>'Volunteer Survey'!M897</f>
        <v>0</v>
      </c>
      <c r="U487" s="58"/>
      <c r="V487" s="49"/>
      <c r="W487" s="60">
        <f>'Volunteer Survey'!P897</f>
        <v>0</v>
      </c>
      <c r="X487" s="58">
        <f>'Volunteer Survey'!R898</f>
        <v>0</v>
      </c>
      <c r="Y487" s="47"/>
      <c r="Z487" s="175" t="str">
        <f ca="1">IFERROR(__xludf.DUMMYFUNCTION("QUERY('Volunteer Survey'!A486)"),"")</f>
        <v/>
      </c>
      <c r="AA487" s="175" t="str">
        <f ca="1">IFERROR(__xludf.DUMMYFUNCTION("QUERY('Volunteer Survey'!B486)"),"")</f>
        <v/>
      </c>
      <c r="AB487" s="175" t="str">
        <f ca="1">IFERROR(__xludf.DUMMYFUNCTION("QUERY('Volunteer Survey'!C486)"),"")</f>
        <v/>
      </c>
      <c r="AC487" s="175" t="str">
        <f ca="1">IFERROR(__xludf.DUMMYFUNCTION("QUERY('Volunteer Survey'!D486)"),"")</f>
        <v/>
      </c>
      <c r="AD487" s="175" t="str">
        <f ca="1">IFERROR(__xludf.DUMMYFUNCTION("QUERY('Volunteer Survey'!E486)"),"")</f>
        <v/>
      </c>
      <c r="AE487" s="175" t="str">
        <f ca="1">IFERROR(__xludf.DUMMYFUNCTION("QUERY('Volunteer Survey'!F486)"),"")</f>
        <v/>
      </c>
      <c r="AF487" s="175" t="str">
        <f ca="1">IFERROR(__xludf.DUMMYFUNCTION("QUERY('Volunteer Survey'!G486)"),"")</f>
        <v/>
      </c>
      <c r="AG487" s="175" t="str">
        <f ca="1">IFERROR(__xludf.DUMMYFUNCTION("QUERY('Volunteer Survey'!H486)"),"")</f>
        <v/>
      </c>
      <c r="AH487" s="175" t="str">
        <f ca="1">IFERROR(__xludf.DUMMYFUNCTION("QUERY('Volunteer Survey'!I486)"),"")</f>
        <v/>
      </c>
      <c r="AI487" s="175" t="str">
        <f ca="1">IFERROR(__xludf.DUMMYFUNCTION("QUERY('Volunteer Survey'!J486)"),"")</f>
        <v/>
      </c>
      <c r="AJ487" s="175" t="str">
        <f ca="1">IFERROR(__xludf.DUMMYFUNCTION("QUERY('Volunteer Survey'!K486)"),"")</f>
        <v/>
      </c>
      <c r="AK487" s="175" t="str">
        <f ca="1">IFERROR(__xludf.DUMMYFUNCTION("QUERY('Volunteer Survey'!L486)"),"")</f>
        <v/>
      </c>
      <c r="AL487" s="175" t="str">
        <f ca="1">IFERROR(__xludf.DUMMYFUNCTION("QUERY('Volunteer Survey'!M486)"),"")</f>
        <v/>
      </c>
      <c r="AM487" s="175" t="str">
        <f ca="1">IFERROR(__xludf.DUMMYFUNCTION("QUERY('Volunteer Survey'!N486)"),"")</f>
        <v/>
      </c>
      <c r="AN487" s="175" t="str">
        <f ca="1">IFERROR(__xludf.DUMMYFUNCTION("QUERY('Volunteer Survey'!O486)"),"")</f>
        <v/>
      </c>
      <c r="AO487" s="175" t="str">
        <f ca="1">IFERROR(__xludf.DUMMYFUNCTION("QUERY('Volunteer Survey'!P486)"),"")</f>
        <v/>
      </c>
    </row>
    <row r="488" spans="1:41" ht="14">
      <c r="A488" s="49">
        <f>'Volunteer Survey'!A898</f>
        <v>0</v>
      </c>
      <c r="B488" s="42" t="s">
        <v>322</v>
      </c>
      <c r="C488" s="47"/>
      <c r="D488" s="49"/>
      <c r="E488" s="49"/>
      <c r="F488" s="49" t="b">
        <v>0</v>
      </c>
      <c r="G488" s="49"/>
      <c r="H488" s="47"/>
      <c r="I488" s="47"/>
      <c r="J488" s="49"/>
      <c r="K488" s="49"/>
      <c r="L488" s="49">
        <f>'Volunteer Survey'!B898</f>
        <v>0</v>
      </c>
      <c r="M488" s="49">
        <f>'Volunteer Survey'!E898</f>
        <v>0</v>
      </c>
      <c r="N488" s="49">
        <f>'Volunteer Survey'!F899</f>
        <v>0</v>
      </c>
      <c r="O488" s="42">
        <f>'Volunteer Survey'!H899</f>
        <v>0</v>
      </c>
      <c r="P488" s="49"/>
      <c r="Q488" s="54" t="str">
        <f ca="1">IFERROR(__xludf.DUMMYFUNCTION("QUERY('Volunteer Survey'!J882)"),"")</f>
        <v/>
      </c>
      <c r="R488" s="49"/>
      <c r="S488" s="49">
        <f>'Volunteer Survey'!L893</f>
        <v>0</v>
      </c>
      <c r="T488" s="49">
        <f>'Volunteer Survey'!M898</f>
        <v>0</v>
      </c>
      <c r="U488" s="58"/>
      <c r="V488" s="49"/>
      <c r="W488" s="60">
        <f>'Volunteer Survey'!P898</f>
        <v>0</v>
      </c>
      <c r="X488" s="58">
        <f>'Volunteer Survey'!R899</f>
        <v>0</v>
      </c>
      <c r="Y488" s="47"/>
      <c r="Z488" s="175" t="str">
        <f ca="1">IFERROR(__xludf.DUMMYFUNCTION("QUERY('Volunteer Survey'!A487)"),"")</f>
        <v/>
      </c>
      <c r="AA488" s="175" t="str">
        <f ca="1">IFERROR(__xludf.DUMMYFUNCTION("QUERY('Volunteer Survey'!B487)"),"")</f>
        <v/>
      </c>
      <c r="AB488" s="175" t="str">
        <f ca="1">IFERROR(__xludf.DUMMYFUNCTION("QUERY('Volunteer Survey'!C487)"),"")</f>
        <v/>
      </c>
      <c r="AC488" s="175" t="str">
        <f ca="1">IFERROR(__xludf.DUMMYFUNCTION("QUERY('Volunteer Survey'!D487)"),"")</f>
        <v/>
      </c>
      <c r="AD488" s="175" t="str">
        <f ca="1">IFERROR(__xludf.DUMMYFUNCTION("QUERY('Volunteer Survey'!E487)"),"")</f>
        <v/>
      </c>
      <c r="AE488" s="175" t="str">
        <f ca="1">IFERROR(__xludf.DUMMYFUNCTION("QUERY('Volunteer Survey'!F487)"),"")</f>
        <v/>
      </c>
      <c r="AF488" s="175" t="str">
        <f ca="1">IFERROR(__xludf.DUMMYFUNCTION("QUERY('Volunteer Survey'!G487)"),"")</f>
        <v/>
      </c>
      <c r="AG488" s="175" t="str">
        <f ca="1">IFERROR(__xludf.DUMMYFUNCTION("QUERY('Volunteer Survey'!H487)"),"")</f>
        <v/>
      </c>
      <c r="AH488" s="175" t="str">
        <f ca="1">IFERROR(__xludf.DUMMYFUNCTION("QUERY('Volunteer Survey'!I487)"),"")</f>
        <v/>
      </c>
      <c r="AI488" s="175" t="str">
        <f ca="1">IFERROR(__xludf.DUMMYFUNCTION("QUERY('Volunteer Survey'!J487)"),"")</f>
        <v/>
      </c>
      <c r="AJ488" s="175" t="str">
        <f ca="1">IFERROR(__xludf.DUMMYFUNCTION("QUERY('Volunteer Survey'!K487)"),"")</f>
        <v/>
      </c>
      <c r="AK488" s="175" t="str">
        <f ca="1">IFERROR(__xludf.DUMMYFUNCTION("QUERY('Volunteer Survey'!L487)"),"")</f>
        <v/>
      </c>
      <c r="AL488" s="175" t="str">
        <f ca="1">IFERROR(__xludf.DUMMYFUNCTION("QUERY('Volunteer Survey'!M487)"),"")</f>
        <v/>
      </c>
      <c r="AM488" s="175" t="str">
        <f ca="1">IFERROR(__xludf.DUMMYFUNCTION("QUERY('Volunteer Survey'!N487)"),"")</f>
        <v/>
      </c>
      <c r="AN488" s="175" t="str">
        <f ca="1">IFERROR(__xludf.DUMMYFUNCTION("QUERY('Volunteer Survey'!O487)"),"")</f>
        <v/>
      </c>
      <c r="AO488" s="175" t="str">
        <f ca="1">IFERROR(__xludf.DUMMYFUNCTION("QUERY('Volunteer Survey'!P487)"),"")</f>
        <v/>
      </c>
    </row>
    <row r="489" spans="1:41" ht="14">
      <c r="A489" s="49">
        <f>'Volunteer Survey'!A899</f>
        <v>0</v>
      </c>
      <c r="B489" s="42" t="s">
        <v>322</v>
      </c>
      <c r="C489" s="47"/>
      <c r="D489" s="49"/>
      <c r="E489" s="49"/>
      <c r="F489" s="49" t="b">
        <v>0</v>
      </c>
      <c r="G489" s="49"/>
      <c r="H489" s="47"/>
      <c r="I489" s="47"/>
      <c r="J489" s="49"/>
      <c r="K489" s="49"/>
      <c r="L489" s="49">
        <f>'Volunteer Survey'!B899</f>
        <v>0</v>
      </c>
      <c r="M489" s="49">
        <f>'Volunteer Survey'!E899</f>
        <v>0</v>
      </c>
      <c r="N489" s="49">
        <f>'Volunteer Survey'!F900</f>
        <v>0</v>
      </c>
      <c r="O489" s="42">
        <f>'Volunteer Survey'!H900</f>
        <v>0</v>
      </c>
      <c r="P489" s="49"/>
      <c r="Q489" s="54" t="str">
        <f ca="1">IFERROR(__xludf.DUMMYFUNCTION("QUERY('Volunteer Survey'!J883)"),"")</f>
        <v/>
      </c>
      <c r="R489" s="49"/>
      <c r="S489" s="49">
        <f>'Volunteer Survey'!L894</f>
        <v>0</v>
      </c>
      <c r="T489" s="49">
        <f>'Volunteer Survey'!M899</f>
        <v>0</v>
      </c>
      <c r="U489" s="58"/>
      <c r="V489" s="49"/>
      <c r="W489" s="60">
        <f>'Volunteer Survey'!P899</f>
        <v>0</v>
      </c>
      <c r="X489" s="58">
        <f>'Volunteer Survey'!R900</f>
        <v>0</v>
      </c>
      <c r="Y489" s="47"/>
      <c r="Z489" s="175" t="str">
        <f ca="1">IFERROR(__xludf.DUMMYFUNCTION("QUERY('Volunteer Survey'!A488)"),"")</f>
        <v/>
      </c>
      <c r="AA489" s="175" t="str">
        <f ca="1">IFERROR(__xludf.DUMMYFUNCTION("QUERY('Volunteer Survey'!B488)"),"")</f>
        <v/>
      </c>
      <c r="AB489" s="175" t="str">
        <f ca="1">IFERROR(__xludf.DUMMYFUNCTION("QUERY('Volunteer Survey'!C488)"),"")</f>
        <v/>
      </c>
      <c r="AC489" s="175" t="str">
        <f ca="1">IFERROR(__xludf.DUMMYFUNCTION("QUERY('Volunteer Survey'!D488)"),"")</f>
        <v/>
      </c>
      <c r="AD489" s="175" t="str">
        <f ca="1">IFERROR(__xludf.DUMMYFUNCTION("QUERY('Volunteer Survey'!E488)"),"")</f>
        <v/>
      </c>
      <c r="AE489" s="175" t="str">
        <f ca="1">IFERROR(__xludf.DUMMYFUNCTION("QUERY('Volunteer Survey'!F488)"),"")</f>
        <v/>
      </c>
      <c r="AF489" s="175" t="str">
        <f ca="1">IFERROR(__xludf.DUMMYFUNCTION("QUERY('Volunteer Survey'!G488)"),"")</f>
        <v/>
      </c>
      <c r="AG489" s="175" t="str">
        <f ca="1">IFERROR(__xludf.DUMMYFUNCTION("QUERY('Volunteer Survey'!H488)"),"")</f>
        <v/>
      </c>
      <c r="AH489" s="175" t="str">
        <f ca="1">IFERROR(__xludf.DUMMYFUNCTION("QUERY('Volunteer Survey'!I488)"),"")</f>
        <v/>
      </c>
      <c r="AI489" s="175" t="str">
        <f ca="1">IFERROR(__xludf.DUMMYFUNCTION("QUERY('Volunteer Survey'!J488)"),"")</f>
        <v/>
      </c>
      <c r="AJ489" s="175" t="str">
        <f ca="1">IFERROR(__xludf.DUMMYFUNCTION("QUERY('Volunteer Survey'!K488)"),"")</f>
        <v/>
      </c>
      <c r="AK489" s="175" t="str">
        <f ca="1">IFERROR(__xludf.DUMMYFUNCTION("QUERY('Volunteer Survey'!L488)"),"")</f>
        <v/>
      </c>
      <c r="AL489" s="175" t="str">
        <f ca="1">IFERROR(__xludf.DUMMYFUNCTION("QUERY('Volunteer Survey'!M488)"),"")</f>
        <v/>
      </c>
      <c r="AM489" s="175" t="str">
        <f ca="1">IFERROR(__xludf.DUMMYFUNCTION("QUERY('Volunteer Survey'!N488)"),"")</f>
        <v/>
      </c>
      <c r="AN489" s="175" t="str">
        <f ca="1">IFERROR(__xludf.DUMMYFUNCTION("QUERY('Volunteer Survey'!O488)"),"")</f>
        <v/>
      </c>
      <c r="AO489" s="175" t="str">
        <f ca="1">IFERROR(__xludf.DUMMYFUNCTION("QUERY('Volunteer Survey'!P488)"),"")</f>
        <v/>
      </c>
    </row>
    <row r="490" spans="1:41" ht="14">
      <c r="A490" s="49">
        <f>'Volunteer Survey'!A900</f>
        <v>0</v>
      </c>
      <c r="B490" s="42" t="s">
        <v>322</v>
      </c>
      <c r="C490" s="47"/>
      <c r="D490" s="49"/>
      <c r="E490" s="49"/>
      <c r="F490" s="49" t="b">
        <v>0</v>
      </c>
      <c r="G490" s="49"/>
      <c r="H490" s="47"/>
      <c r="I490" s="47"/>
      <c r="J490" s="49"/>
      <c r="K490" s="49"/>
      <c r="L490" s="49">
        <f>'Volunteer Survey'!B900</f>
        <v>0</v>
      </c>
      <c r="M490" s="49">
        <f>'Volunteer Survey'!E900</f>
        <v>0</v>
      </c>
      <c r="N490" s="49">
        <f>'Volunteer Survey'!F901</f>
        <v>0</v>
      </c>
      <c r="O490" s="42">
        <f>'Volunteer Survey'!H901</f>
        <v>0</v>
      </c>
      <c r="P490" s="49"/>
      <c r="Q490" s="54" t="str">
        <f ca="1">IFERROR(__xludf.DUMMYFUNCTION("QUERY('Volunteer Survey'!J884)"),"")</f>
        <v/>
      </c>
      <c r="R490" s="49"/>
      <c r="S490" s="49">
        <f>'Volunteer Survey'!L895</f>
        <v>0</v>
      </c>
      <c r="T490" s="49">
        <f>'Volunteer Survey'!M900</f>
        <v>0</v>
      </c>
      <c r="U490" s="58"/>
      <c r="V490" s="49"/>
      <c r="W490" s="60">
        <f>'Volunteer Survey'!P900</f>
        <v>0</v>
      </c>
      <c r="X490" s="58">
        <f>'Volunteer Survey'!R901</f>
        <v>0</v>
      </c>
      <c r="Y490" s="47"/>
      <c r="Z490" s="175" t="str">
        <f ca="1">IFERROR(__xludf.DUMMYFUNCTION("QUERY('Volunteer Survey'!A489)"),"")</f>
        <v/>
      </c>
      <c r="AA490" s="175" t="str">
        <f ca="1">IFERROR(__xludf.DUMMYFUNCTION("QUERY('Volunteer Survey'!B489)"),"")</f>
        <v/>
      </c>
      <c r="AB490" s="175" t="str">
        <f ca="1">IFERROR(__xludf.DUMMYFUNCTION("QUERY('Volunteer Survey'!C489)"),"")</f>
        <v/>
      </c>
      <c r="AC490" s="175" t="str">
        <f ca="1">IFERROR(__xludf.DUMMYFUNCTION("QUERY('Volunteer Survey'!D489)"),"")</f>
        <v/>
      </c>
      <c r="AD490" s="175" t="str">
        <f ca="1">IFERROR(__xludf.DUMMYFUNCTION("QUERY('Volunteer Survey'!E489)"),"")</f>
        <v/>
      </c>
      <c r="AE490" s="175" t="str">
        <f ca="1">IFERROR(__xludf.DUMMYFUNCTION("QUERY('Volunteer Survey'!F489)"),"")</f>
        <v/>
      </c>
      <c r="AF490" s="175" t="str">
        <f ca="1">IFERROR(__xludf.DUMMYFUNCTION("QUERY('Volunteer Survey'!G489)"),"")</f>
        <v/>
      </c>
      <c r="AG490" s="175" t="str">
        <f ca="1">IFERROR(__xludf.DUMMYFUNCTION("QUERY('Volunteer Survey'!H489)"),"")</f>
        <v/>
      </c>
      <c r="AH490" s="175" t="str">
        <f ca="1">IFERROR(__xludf.DUMMYFUNCTION("QUERY('Volunteer Survey'!I489)"),"")</f>
        <v/>
      </c>
      <c r="AI490" s="175" t="str">
        <f ca="1">IFERROR(__xludf.DUMMYFUNCTION("QUERY('Volunteer Survey'!J489)"),"")</f>
        <v/>
      </c>
      <c r="AJ490" s="175" t="str">
        <f ca="1">IFERROR(__xludf.DUMMYFUNCTION("QUERY('Volunteer Survey'!K489)"),"")</f>
        <v/>
      </c>
      <c r="AK490" s="175" t="str">
        <f ca="1">IFERROR(__xludf.DUMMYFUNCTION("QUERY('Volunteer Survey'!L489)"),"")</f>
        <v/>
      </c>
      <c r="AL490" s="175" t="str">
        <f ca="1">IFERROR(__xludf.DUMMYFUNCTION("QUERY('Volunteer Survey'!M489)"),"")</f>
        <v/>
      </c>
      <c r="AM490" s="175" t="str">
        <f ca="1">IFERROR(__xludf.DUMMYFUNCTION("QUERY('Volunteer Survey'!N489)"),"")</f>
        <v/>
      </c>
      <c r="AN490" s="175" t="str">
        <f ca="1">IFERROR(__xludf.DUMMYFUNCTION("QUERY('Volunteer Survey'!O489)"),"")</f>
        <v/>
      </c>
      <c r="AO490" s="175" t="str">
        <f ca="1">IFERROR(__xludf.DUMMYFUNCTION("QUERY('Volunteer Survey'!P489)"),"")</f>
        <v/>
      </c>
    </row>
    <row r="491" spans="1:41" ht="14">
      <c r="A491" s="49">
        <f>'Volunteer Survey'!A901</f>
        <v>0</v>
      </c>
      <c r="B491" s="42" t="s">
        <v>322</v>
      </c>
      <c r="C491" s="47"/>
      <c r="D491" s="49"/>
      <c r="E491" s="49"/>
      <c r="F491" s="49" t="b">
        <v>0</v>
      </c>
      <c r="G491" s="49"/>
      <c r="H491" s="47"/>
      <c r="I491" s="47"/>
      <c r="J491" s="49"/>
      <c r="K491" s="49"/>
      <c r="L491" s="49">
        <f>'Volunteer Survey'!B901</f>
        <v>0</v>
      </c>
      <c r="M491" s="49">
        <f>'Volunteer Survey'!E901</f>
        <v>0</v>
      </c>
      <c r="N491" s="49">
        <f>'Volunteer Survey'!F902</f>
        <v>0</v>
      </c>
      <c r="O491" s="42">
        <f>'Volunteer Survey'!H902</f>
        <v>0</v>
      </c>
      <c r="P491" s="49"/>
      <c r="Q491" s="54" t="str">
        <f ca="1">IFERROR(__xludf.DUMMYFUNCTION("QUERY('Volunteer Survey'!J885)"),"")</f>
        <v/>
      </c>
      <c r="R491" s="49"/>
      <c r="S491" s="49">
        <f>'Volunteer Survey'!L896</f>
        <v>0</v>
      </c>
      <c r="T491" s="49">
        <f>'Volunteer Survey'!M901</f>
        <v>0</v>
      </c>
      <c r="U491" s="58"/>
      <c r="V491" s="49"/>
      <c r="W491" s="60">
        <f>'Volunteer Survey'!P901</f>
        <v>0</v>
      </c>
      <c r="X491" s="58">
        <f>'Volunteer Survey'!R902</f>
        <v>0</v>
      </c>
      <c r="Y491" s="47"/>
      <c r="Z491" s="175" t="str">
        <f ca="1">IFERROR(__xludf.DUMMYFUNCTION("QUERY('Volunteer Survey'!A490)"),"")</f>
        <v/>
      </c>
      <c r="AA491" s="175" t="str">
        <f ca="1">IFERROR(__xludf.DUMMYFUNCTION("QUERY('Volunteer Survey'!B490)"),"")</f>
        <v/>
      </c>
      <c r="AB491" s="175" t="str">
        <f ca="1">IFERROR(__xludf.DUMMYFUNCTION("QUERY('Volunteer Survey'!C490)"),"")</f>
        <v/>
      </c>
      <c r="AC491" s="175" t="str">
        <f ca="1">IFERROR(__xludf.DUMMYFUNCTION("QUERY('Volunteer Survey'!D490)"),"")</f>
        <v/>
      </c>
      <c r="AD491" s="175" t="str">
        <f ca="1">IFERROR(__xludf.DUMMYFUNCTION("QUERY('Volunteer Survey'!E490)"),"")</f>
        <v/>
      </c>
      <c r="AE491" s="175" t="str">
        <f ca="1">IFERROR(__xludf.DUMMYFUNCTION("QUERY('Volunteer Survey'!F490)"),"")</f>
        <v/>
      </c>
      <c r="AF491" s="175" t="str">
        <f ca="1">IFERROR(__xludf.DUMMYFUNCTION("QUERY('Volunteer Survey'!G490)"),"")</f>
        <v/>
      </c>
      <c r="AG491" s="175" t="str">
        <f ca="1">IFERROR(__xludf.DUMMYFUNCTION("QUERY('Volunteer Survey'!H490)"),"")</f>
        <v/>
      </c>
      <c r="AH491" s="175" t="str">
        <f ca="1">IFERROR(__xludf.DUMMYFUNCTION("QUERY('Volunteer Survey'!I490)"),"")</f>
        <v/>
      </c>
      <c r="AI491" s="175" t="str">
        <f ca="1">IFERROR(__xludf.DUMMYFUNCTION("QUERY('Volunteer Survey'!J490)"),"")</f>
        <v/>
      </c>
      <c r="AJ491" s="175" t="str">
        <f ca="1">IFERROR(__xludf.DUMMYFUNCTION("QUERY('Volunteer Survey'!K490)"),"")</f>
        <v/>
      </c>
      <c r="AK491" s="175" t="str">
        <f ca="1">IFERROR(__xludf.DUMMYFUNCTION("QUERY('Volunteer Survey'!L490)"),"")</f>
        <v/>
      </c>
      <c r="AL491" s="175" t="str">
        <f ca="1">IFERROR(__xludf.DUMMYFUNCTION("QUERY('Volunteer Survey'!M490)"),"")</f>
        <v/>
      </c>
      <c r="AM491" s="175" t="str">
        <f ca="1">IFERROR(__xludf.DUMMYFUNCTION("QUERY('Volunteer Survey'!N490)"),"")</f>
        <v/>
      </c>
      <c r="AN491" s="175" t="str">
        <f ca="1">IFERROR(__xludf.DUMMYFUNCTION("QUERY('Volunteer Survey'!O490)"),"")</f>
        <v/>
      </c>
      <c r="AO491" s="175" t="str">
        <f ca="1">IFERROR(__xludf.DUMMYFUNCTION("QUERY('Volunteer Survey'!P490)"),"")</f>
        <v/>
      </c>
    </row>
    <row r="492" spans="1:41" ht="14">
      <c r="A492" s="49">
        <f>'Volunteer Survey'!A902</f>
        <v>0</v>
      </c>
      <c r="B492" s="42" t="s">
        <v>322</v>
      </c>
      <c r="C492" s="47"/>
      <c r="D492" s="49"/>
      <c r="E492" s="49"/>
      <c r="F492" s="49" t="b">
        <v>0</v>
      </c>
      <c r="G492" s="49"/>
      <c r="H492" s="47"/>
      <c r="I492" s="47"/>
      <c r="J492" s="49"/>
      <c r="K492" s="49"/>
      <c r="L492" s="49">
        <f>'Volunteer Survey'!B902</f>
        <v>0</v>
      </c>
      <c r="M492" s="49">
        <f>'Volunteer Survey'!E902</f>
        <v>0</v>
      </c>
      <c r="N492" s="49">
        <f>'Volunteer Survey'!F903</f>
        <v>0</v>
      </c>
      <c r="O492" s="42">
        <f>'Volunteer Survey'!H903</f>
        <v>0</v>
      </c>
      <c r="P492" s="49"/>
      <c r="Q492" s="54" t="str">
        <f ca="1">IFERROR(__xludf.DUMMYFUNCTION("QUERY('Volunteer Survey'!J886)"),"")</f>
        <v/>
      </c>
      <c r="R492" s="49"/>
      <c r="S492" s="49">
        <f>'Volunteer Survey'!L897</f>
        <v>0</v>
      </c>
      <c r="T492" s="49">
        <f>'Volunteer Survey'!M902</f>
        <v>0</v>
      </c>
      <c r="U492" s="58"/>
      <c r="V492" s="49"/>
      <c r="W492" s="60">
        <f>'Volunteer Survey'!P902</f>
        <v>0</v>
      </c>
      <c r="X492" s="58">
        <f>'Volunteer Survey'!R903</f>
        <v>0</v>
      </c>
      <c r="Y492" s="47"/>
      <c r="Z492" s="175" t="str">
        <f ca="1">IFERROR(__xludf.DUMMYFUNCTION("QUERY('Volunteer Survey'!A491)"),"")</f>
        <v/>
      </c>
      <c r="AA492" s="175" t="str">
        <f ca="1">IFERROR(__xludf.DUMMYFUNCTION("QUERY('Volunteer Survey'!B491)"),"")</f>
        <v/>
      </c>
      <c r="AB492" s="175" t="str">
        <f ca="1">IFERROR(__xludf.DUMMYFUNCTION("QUERY('Volunteer Survey'!C491)"),"")</f>
        <v/>
      </c>
      <c r="AC492" s="175" t="str">
        <f ca="1">IFERROR(__xludf.DUMMYFUNCTION("QUERY('Volunteer Survey'!D491)"),"")</f>
        <v/>
      </c>
      <c r="AD492" s="175" t="str">
        <f ca="1">IFERROR(__xludf.DUMMYFUNCTION("QUERY('Volunteer Survey'!E491)"),"")</f>
        <v/>
      </c>
      <c r="AE492" s="175" t="str">
        <f ca="1">IFERROR(__xludf.DUMMYFUNCTION("QUERY('Volunteer Survey'!F491)"),"")</f>
        <v/>
      </c>
      <c r="AF492" s="175" t="str">
        <f ca="1">IFERROR(__xludf.DUMMYFUNCTION("QUERY('Volunteer Survey'!G491)"),"")</f>
        <v/>
      </c>
      <c r="AG492" s="175" t="str">
        <f ca="1">IFERROR(__xludf.DUMMYFUNCTION("QUERY('Volunteer Survey'!H491)"),"")</f>
        <v/>
      </c>
      <c r="AH492" s="175" t="str">
        <f ca="1">IFERROR(__xludf.DUMMYFUNCTION("QUERY('Volunteer Survey'!I491)"),"")</f>
        <v/>
      </c>
      <c r="AI492" s="175" t="str">
        <f ca="1">IFERROR(__xludf.DUMMYFUNCTION("QUERY('Volunteer Survey'!J491)"),"")</f>
        <v/>
      </c>
      <c r="AJ492" s="175" t="str">
        <f ca="1">IFERROR(__xludf.DUMMYFUNCTION("QUERY('Volunteer Survey'!K491)"),"")</f>
        <v/>
      </c>
      <c r="AK492" s="175" t="str">
        <f ca="1">IFERROR(__xludf.DUMMYFUNCTION("QUERY('Volunteer Survey'!L491)"),"")</f>
        <v/>
      </c>
      <c r="AL492" s="175" t="str">
        <f ca="1">IFERROR(__xludf.DUMMYFUNCTION("QUERY('Volunteer Survey'!M491)"),"")</f>
        <v/>
      </c>
      <c r="AM492" s="175" t="str">
        <f ca="1">IFERROR(__xludf.DUMMYFUNCTION("QUERY('Volunteer Survey'!N491)"),"")</f>
        <v/>
      </c>
      <c r="AN492" s="175" t="str">
        <f ca="1">IFERROR(__xludf.DUMMYFUNCTION("QUERY('Volunteer Survey'!O491)"),"")</f>
        <v/>
      </c>
      <c r="AO492" s="175" t="str">
        <f ca="1">IFERROR(__xludf.DUMMYFUNCTION("QUERY('Volunteer Survey'!P491)"),"")</f>
        <v/>
      </c>
    </row>
    <row r="493" spans="1:41" ht="14">
      <c r="A493" s="49">
        <f>'Volunteer Survey'!A903</f>
        <v>0</v>
      </c>
      <c r="B493" s="42" t="s">
        <v>322</v>
      </c>
      <c r="C493" s="47"/>
      <c r="D493" s="49"/>
      <c r="E493" s="49"/>
      <c r="F493" s="49" t="b">
        <v>0</v>
      </c>
      <c r="G493" s="49"/>
      <c r="H493" s="47"/>
      <c r="I493" s="47"/>
      <c r="J493" s="49"/>
      <c r="K493" s="49"/>
      <c r="L493" s="49">
        <f>'Volunteer Survey'!B903</f>
        <v>0</v>
      </c>
      <c r="M493" s="49">
        <f>'Volunteer Survey'!E903</f>
        <v>0</v>
      </c>
      <c r="N493" s="49">
        <f>'Volunteer Survey'!F904</f>
        <v>0</v>
      </c>
      <c r="O493" s="42">
        <f>'Volunteer Survey'!H904</f>
        <v>0</v>
      </c>
      <c r="P493" s="49"/>
      <c r="Q493" s="54" t="str">
        <f ca="1">IFERROR(__xludf.DUMMYFUNCTION("QUERY('Volunteer Survey'!J887)"),"")</f>
        <v/>
      </c>
      <c r="R493" s="49"/>
      <c r="S493" s="49">
        <f>'Volunteer Survey'!L898</f>
        <v>0</v>
      </c>
      <c r="T493" s="49">
        <f>'Volunteer Survey'!M903</f>
        <v>0</v>
      </c>
      <c r="U493" s="58"/>
      <c r="V493" s="49"/>
      <c r="W493" s="60">
        <f>'Volunteer Survey'!P903</f>
        <v>0</v>
      </c>
      <c r="X493" s="58">
        <f>'Volunteer Survey'!R904</f>
        <v>0</v>
      </c>
      <c r="Y493" s="47"/>
      <c r="Z493" s="175" t="str">
        <f ca="1">IFERROR(__xludf.DUMMYFUNCTION("QUERY('Volunteer Survey'!A492)"),"")</f>
        <v/>
      </c>
      <c r="AA493" s="175" t="str">
        <f ca="1">IFERROR(__xludf.DUMMYFUNCTION("QUERY('Volunteer Survey'!B492)"),"")</f>
        <v/>
      </c>
      <c r="AB493" s="175" t="str">
        <f ca="1">IFERROR(__xludf.DUMMYFUNCTION("QUERY('Volunteer Survey'!C492)"),"")</f>
        <v/>
      </c>
      <c r="AC493" s="175" t="str">
        <f ca="1">IFERROR(__xludf.DUMMYFUNCTION("QUERY('Volunteer Survey'!D492)"),"")</f>
        <v/>
      </c>
      <c r="AD493" s="175" t="str">
        <f ca="1">IFERROR(__xludf.DUMMYFUNCTION("QUERY('Volunteer Survey'!E492)"),"")</f>
        <v/>
      </c>
      <c r="AE493" s="175" t="str">
        <f ca="1">IFERROR(__xludf.DUMMYFUNCTION("QUERY('Volunteer Survey'!F492)"),"")</f>
        <v/>
      </c>
      <c r="AF493" s="175" t="str">
        <f ca="1">IFERROR(__xludf.DUMMYFUNCTION("QUERY('Volunteer Survey'!G492)"),"")</f>
        <v/>
      </c>
      <c r="AG493" s="175" t="str">
        <f ca="1">IFERROR(__xludf.DUMMYFUNCTION("QUERY('Volunteer Survey'!H492)"),"")</f>
        <v/>
      </c>
      <c r="AH493" s="175" t="str">
        <f ca="1">IFERROR(__xludf.DUMMYFUNCTION("QUERY('Volunteer Survey'!I492)"),"")</f>
        <v/>
      </c>
      <c r="AI493" s="175" t="str">
        <f ca="1">IFERROR(__xludf.DUMMYFUNCTION("QUERY('Volunteer Survey'!J492)"),"")</f>
        <v/>
      </c>
      <c r="AJ493" s="175" t="str">
        <f ca="1">IFERROR(__xludf.DUMMYFUNCTION("QUERY('Volunteer Survey'!K492)"),"")</f>
        <v/>
      </c>
      <c r="AK493" s="175" t="str">
        <f ca="1">IFERROR(__xludf.DUMMYFUNCTION("QUERY('Volunteer Survey'!L492)"),"")</f>
        <v/>
      </c>
      <c r="AL493" s="175" t="str">
        <f ca="1">IFERROR(__xludf.DUMMYFUNCTION("QUERY('Volunteer Survey'!M492)"),"")</f>
        <v/>
      </c>
      <c r="AM493" s="175" t="str">
        <f ca="1">IFERROR(__xludf.DUMMYFUNCTION("QUERY('Volunteer Survey'!N492)"),"")</f>
        <v/>
      </c>
      <c r="AN493" s="175" t="str">
        <f ca="1">IFERROR(__xludf.DUMMYFUNCTION("QUERY('Volunteer Survey'!O492)"),"")</f>
        <v/>
      </c>
      <c r="AO493" s="175" t="str">
        <f ca="1">IFERROR(__xludf.DUMMYFUNCTION("QUERY('Volunteer Survey'!P492)"),"")</f>
        <v/>
      </c>
    </row>
    <row r="494" spans="1:41" ht="14">
      <c r="A494" s="49">
        <f>'Volunteer Survey'!A904</f>
        <v>0</v>
      </c>
      <c r="B494" s="42" t="s">
        <v>322</v>
      </c>
      <c r="C494" s="47"/>
      <c r="D494" s="49"/>
      <c r="E494" s="49"/>
      <c r="F494" s="49" t="b">
        <v>0</v>
      </c>
      <c r="G494" s="49"/>
      <c r="H494" s="47"/>
      <c r="I494" s="47"/>
      <c r="J494" s="49"/>
      <c r="K494" s="49"/>
      <c r="L494" s="49">
        <f>'Volunteer Survey'!B904</f>
        <v>0</v>
      </c>
      <c r="M494" s="49">
        <f>'Volunteer Survey'!E904</f>
        <v>0</v>
      </c>
      <c r="N494" s="49">
        <f>'Volunteer Survey'!F905</f>
        <v>0</v>
      </c>
      <c r="O494" s="42">
        <f>'Volunteer Survey'!H905</f>
        <v>0</v>
      </c>
      <c r="P494" s="49"/>
      <c r="Q494" s="54" t="str">
        <f ca="1">IFERROR(__xludf.DUMMYFUNCTION("QUERY('Volunteer Survey'!J888)"),"")</f>
        <v/>
      </c>
      <c r="R494" s="49"/>
      <c r="S494" s="49">
        <f>'Volunteer Survey'!L899</f>
        <v>0</v>
      </c>
      <c r="T494" s="49">
        <f>'Volunteer Survey'!M904</f>
        <v>0</v>
      </c>
      <c r="U494" s="58"/>
      <c r="V494" s="49"/>
      <c r="W494" s="60">
        <f>'Volunteer Survey'!P904</f>
        <v>0</v>
      </c>
      <c r="X494" s="58">
        <f>'Volunteer Survey'!R905</f>
        <v>0</v>
      </c>
      <c r="Y494" s="47"/>
      <c r="Z494" s="175" t="str">
        <f ca="1">IFERROR(__xludf.DUMMYFUNCTION("QUERY('Volunteer Survey'!A493)"),"")</f>
        <v/>
      </c>
      <c r="AA494" s="175" t="str">
        <f ca="1">IFERROR(__xludf.DUMMYFUNCTION("QUERY('Volunteer Survey'!B493)"),"")</f>
        <v/>
      </c>
      <c r="AB494" s="175" t="str">
        <f ca="1">IFERROR(__xludf.DUMMYFUNCTION("QUERY('Volunteer Survey'!C493)"),"")</f>
        <v/>
      </c>
      <c r="AC494" s="175" t="str">
        <f ca="1">IFERROR(__xludf.DUMMYFUNCTION("QUERY('Volunteer Survey'!D493)"),"")</f>
        <v/>
      </c>
      <c r="AD494" s="175" t="str">
        <f ca="1">IFERROR(__xludf.DUMMYFUNCTION("QUERY('Volunteer Survey'!E493)"),"")</f>
        <v/>
      </c>
      <c r="AE494" s="175" t="str">
        <f ca="1">IFERROR(__xludf.DUMMYFUNCTION("QUERY('Volunteer Survey'!F493)"),"")</f>
        <v/>
      </c>
      <c r="AF494" s="175" t="str">
        <f ca="1">IFERROR(__xludf.DUMMYFUNCTION("QUERY('Volunteer Survey'!G493)"),"")</f>
        <v/>
      </c>
      <c r="AG494" s="175" t="str">
        <f ca="1">IFERROR(__xludf.DUMMYFUNCTION("QUERY('Volunteer Survey'!H493)"),"")</f>
        <v/>
      </c>
      <c r="AH494" s="175" t="str">
        <f ca="1">IFERROR(__xludf.DUMMYFUNCTION("QUERY('Volunteer Survey'!I493)"),"")</f>
        <v/>
      </c>
      <c r="AI494" s="175" t="str">
        <f ca="1">IFERROR(__xludf.DUMMYFUNCTION("QUERY('Volunteer Survey'!J493)"),"")</f>
        <v/>
      </c>
      <c r="AJ494" s="175" t="str">
        <f ca="1">IFERROR(__xludf.DUMMYFUNCTION("QUERY('Volunteer Survey'!K493)"),"")</f>
        <v/>
      </c>
      <c r="AK494" s="175" t="str">
        <f ca="1">IFERROR(__xludf.DUMMYFUNCTION("QUERY('Volunteer Survey'!L493)"),"")</f>
        <v/>
      </c>
      <c r="AL494" s="175" t="str">
        <f ca="1">IFERROR(__xludf.DUMMYFUNCTION("QUERY('Volunteer Survey'!M493)"),"")</f>
        <v/>
      </c>
      <c r="AM494" s="175" t="str">
        <f ca="1">IFERROR(__xludf.DUMMYFUNCTION("QUERY('Volunteer Survey'!N493)"),"")</f>
        <v/>
      </c>
      <c r="AN494" s="175" t="str">
        <f ca="1">IFERROR(__xludf.DUMMYFUNCTION("QUERY('Volunteer Survey'!O493)"),"")</f>
        <v/>
      </c>
      <c r="AO494" s="175" t="str">
        <f ca="1">IFERROR(__xludf.DUMMYFUNCTION("QUERY('Volunteer Survey'!P493)"),"")</f>
        <v/>
      </c>
    </row>
    <row r="495" spans="1:41" ht="14">
      <c r="A495" s="49">
        <f>'Volunteer Survey'!A905</f>
        <v>0</v>
      </c>
      <c r="B495" s="42" t="s">
        <v>322</v>
      </c>
      <c r="C495" s="47"/>
      <c r="D495" s="49"/>
      <c r="E495" s="49"/>
      <c r="F495" s="49" t="b">
        <v>0</v>
      </c>
      <c r="G495" s="49"/>
      <c r="H495" s="47"/>
      <c r="I495" s="47"/>
      <c r="J495" s="49"/>
      <c r="K495" s="49"/>
      <c r="L495" s="49">
        <f>'Volunteer Survey'!B905</f>
        <v>0</v>
      </c>
      <c r="M495" s="49">
        <f>'Volunteer Survey'!E905</f>
        <v>0</v>
      </c>
      <c r="N495" s="49">
        <f>'Volunteer Survey'!F906</f>
        <v>0</v>
      </c>
      <c r="O495" s="42">
        <f>'Volunteer Survey'!H906</f>
        <v>0</v>
      </c>
      <c r="P495" s="49"/>
      <c r="Q495" s="54" t="str">
        <f ca="1">IFERROR(__xludf.DUMMYFUNCTION("QUERY('Volunteer Survey'!J889)"),"")</f>
        <v/>
      </c>
      <c r="R495" s="49"/>
      <c r="S495" s="49">
        <f>'Volunteer Survey'!L900</f>
        <v>0</v>
      </c>
      <c r="T495" s="49">
        <f>'Volunteer Survey'!M905</f>
        <v>0</v>
      </c>
      <c r="U495" s="58"/>
      <c r="V495" s="49"/>
      <c r="W495" s="60">
        <f>'Volunteer Survey'!P905</f>
        <v>0</v>
      </c>
      <c r="X495" s="58">
        <f>'Volunteer Survey'!R906</f>
        <v>0</v>
      </c>
      <c r="Y495" s="47"/>
      <c r="Z495" s="175" t="str">
        <f ca="1">IFERROR(__xludf.DUMMYFUNCTION("QUERY('Volunteer Survey'!A494)"),"")</f>
        <v/>
      </c>
      <c r="AA495" s="175" t="str">
        <f ca="1">IFERROR(__xludf.DUMMYFUNCTION("QUERY('Volunteer Survey'!B494)"),"")</f>
        <v/>
      </c>
      <c r="AB495" s="175" t="str">
        <f ca="1">IFERROR(__xludf.DUMMYFUNCTION("QUERY('Volunteer Survey'!C494)"),"")</f>
        <v/>
      </c>
      <c r="AC495" s="175" t="str">
        <f ca="1">IFERROR(__xludf.DUMMYFUNCTION("QUERY('Volunteer Survey'!D494)"),"")</f>
        <v/>
      </c>
      <c r="AD495" s="175" t="str">
        <f ca="1">IFERROR(__xludf.DUMMYFUNCTION("QUERY('Volunteer Survey'!E494)"),"")</f>
        <v/>
      </c>
      <c r="AE495" s="175" t="str">
        <f ca="1">IFERROR(__xludf.DUMMYFUNCTION("QUERY('Volunteer Survey'!F494)"),"")</f>
        <v/>
      </c>
      <c r="AF495" s="175" t="str">
        <f ca="1">IFERROR(__xludf.DUMMYFUNCTION("QUERY('Volunteer Survey'!G494)"),"")</f>
        <v/>
      </c>
      <c r="AG495" s="175" t="str">
        <f ca="1">IFERROR(__xludf.DUMMYFUNCTION("QUERY('Volunteer Survey'!H494)"),"")</f>
        <v/>
      </c>
      <c r="AH495" s="175" t="str">
        <f ca="1">IFERROR(__xludf.DUMMYFUNCTION("QUERY('Volunteer Survey'!I494)"),"")</f>
        <v/>
      </c>
      <c r="AI495" s="175" t="str">
        <f ca="1">IFERROR(__xludf.DUMMYFUNCTION("QUERY('Volunteer Survey'!J494)"),"")</f>
        <v/>
      </c>
      <c r="AJ495" s="175" t="str">
        <f ca="1">IFERROR(__xludf.DUMMYFUNCTION("QUERY('Volunteer Survey'!K494)"),"")</f>
        <v/>
      </c>
      <c r="AK495" s="175" t="str">
        <f ca="1">IFERROR(__xludf.DUMMYFUNCTION("QUERY('Volunteer Survey'!L494)"),"")</f>
        <v/>
      </c>
      <c r="AL495" s="175" t="str">
        <f ca="1">IFERROR(__xludf.DUMMYFUNCTION("QUERY('Volunteer Survey'!M494)"),"")</f>
        <v/>
      </c>
      <c r="AM495" s="175" t="str">
        <f ca="1">IFERROR(__xludf.DUMMYFUNCTION("QUERY('Volunteer Survey'!N494)"),"")</f>
        <v/>
      </c>
      <c r="AN495" s="175" t="str">
        <f ca="1">IFERROR(__xludf.DUMMYFUNCTION("QUERY('Volunteer Survey'!O494)"),"")</f>
        <v/>
      </c>
      <c r="AO495" s="175" t="str">
        <f ca="1">IFERROR(__xludf.DUMMYFUNCTION("QUERY('Volunteer Survey'!P494)"),"")</f>
        <v/>
      </c>
    </row>
    <row r="496" spans="1:41" ht="14">
      <c r="A496" s="49">
        <f>'Volunteer Survey'!A906</f>
        <v>0</v>
      </c>
      <c r="B496" s="42" t="s">
        <v>322</v>
      </c>
      <c r="C496" s="47"/>
      <c r="D496" s="49"/>
      <c r="E496" s="49"/>
      <c r="F496" s="49" t="b">
        <v>0</v>
      </c>
      <c r="G496" s="49"/>
      <c r="H496" s="47"/>
      <c r="I496" s="47"/>
      <c r="J496" s="49"/>
      <c r="K496" s="49"/>
      <c r="L496" s="49">
        <f>'Volunteer Survey'!B906</f>
        <v>0</v>
      </c>
      <c r="M496" s="49">
        <f>'Volunteer Survey'!E906</f>
        <v>0</v>
      </c>
      <c r="N496" s="49">
        <f>'Volunteer Survey'!F907</f>
        <v>0</v>
      </c>
      <c r="O496" s="42">
        <f>'Volunteer Survey'!H907</f>
        <v>0</v>
      </c>
      <c r="P496" s="49"/>
      <c r="Q496" s="54" t="str">
        <f ca="1">IFERROR(__xludf.DUMMYFUNCTION("QUERY('Volunteer Survey'!J890)"),"")</f>
        <v/>
      </c>
      <c r="R496" s="49"/>
      <c r="S496" s="49">
        <f>'Volunteer Survey'!L901</f>
        <v>0</v>
      </c>
      <c r="T496" s="49">
        <f>'Volunteer Survey'!M906</f>
        <v>0</v>
      </c>
      <c r="U496" s="58"/>
      <c r="V496" s="49"/>
      <c r="W496" s="60">
        <f>'Volunteer Survey'!P906</f>
        <v>0</v>
      </c>
      <c r="X496" s="58">
        <f>'Volunteer Survey'!R907</f>
        <v>0</v>
      </c>
      <c r="Y496" s="47"/>
      <c r="Z496" s="175" t="str">
        <f ca="1">IFERROR(__xludf.DUMMYFUNCTION("QUERY('Volunteer Survey'!A495)"),"")</f>
        <v/>
      </c>
      <c r="AA496" s="175" t="str">
        <f ca="1">IFERROR(__xludf.DUMMYFUNCTION("QUERY('Volunteer Survey'!B495)"),"")</f>
        <v/>
      </c>
      <c r="AB496" s="175" t="str">
        <f ca="1">IFERROR(__xludf.DUMMYFUNCTION("QUERY('Volunteer Survey'!C495)"),"")</f>
        <v/>
      </c>
      <c r="AC496" s="175" t="str">
        <f ca="1">IFERROR(__xludf.DUMMYFUNCTION("QUERY('Volunteer Survey'!D495)"),"")</f>
        <v/>
      </c>
      <c r="AD496" s="175" t="str">
        <f ca="1">IFERROR(__xludf.DUMMYFUNCTION("QUERY('Volunteer Survey'!E495)"),"")</f>
        <v/>
      </c>
      <c r="AE496" s="175" t="str">
        <f ca="1">IFERROR(__xludf.DUMMYFUNCTION("QUERY('Volunteer Survey'!F495)"),"")</f>
        <v/>
      </c>
      <c r="AF496" s="175" t="str">
        <f ca="1">IFERROR(__xludf.DUMMYFUNCTION("QUERY('Volunteer Survey'!G495)"),"")</f>
        <v/>
      </c>
      <c r="AG496" s="175" t="str">
        <f ca="1">IFERROR(__xludf.DUMMYFUNCTION("QUERY('Volunteer Survey'!H495)"),"")</f>
        <v/>
      </c>
      <c r="AH496" s="175" t="str">
        <f ca="1">IFERROR(__xludf.DUMMYFUNCTION("QUERY('Volunteer Survey'!I495)"),"")</f>
        <v/>
      </c>
      <c r="AI496" s="175" t="str">
        <f ca="1">IFERROR(__xludf.DUMMYFUNCTION("QUERY('Volunteer Survey'!J495)"),"")</f>
        <v/>
      </c>
      <c r="AJ496" s="175" t="str">
        <f ca="1">IFERROR(__xludf.DUMMYFUNCTION("QUERY('Volunteer Survey'!K495)"),"")</f>
        <v/>
      </c>
      <c r="AK496" s="175" t="str">
        <f ca="1">IFERROR(__xludf.DUMMYFUNCTION("QUERY('Volunteer Survey'!L495)"),"")</f>
        <v/>
      </c>
      <c r="AL496" s="175" t="str">
        <f ca="1">IFERROR(__xludf.DUMMYFUNCTION("QUERY('Volunteer Survey'!M495)"),"")</f>
        <v/>
      </c>
      <c r="AM496" s="175" t="str">
        <f ca="1">IFERROR(__xludf.DUMMYFUNCTION("QUERY('Volunteer Survey'!N495)"),"")</f>
        <v/>
      </c>
      <c r="AN496" s="175" t="str">
        <f ca="1">IFERROR(__xludf.DUMMYFUNCTION("QUERY('Volunteer Survey'!O495)"),"")</f>
        <v/>
      </c>
      <c r="AO496" s="175" t="str">
        <f ca="1">IFERROR(__xludf.DUMMYFUNCTION("QUERY('Volunteer Survey'!P495)"),"")</f>
        <v/>
      </c>
    </row>
    <row r="497" spans="1:41" ht="14">
      <c r="A497" s="49">
        <f>'Volunteer Survey'!A907</f>
        <v>0</v>
      </c>
      <c r="B497" s="42" t="s">
        <v>322</v>
      </c>
      <c r="C497" s="47"/>
      <c r="D497" s="49"/>
      <c r="E497" s="49"/>
      <c r="F497" s="49" t="b">
        <v>0</v>
      </c>
      <c r="G497" s="49"/>
      <c r="H497" s="47"/>
      <c r="I497" s="47"/>
      <c r="J497" s="49"/>
      <c r="K497" s="49"/>
      <c r="L497" s="49">
        <f>'Volunteer Survey'!B907</f>
        <v>0</v>
      </c>
      <c r="M497" s="49">
        <f>'Volunteer Survey'!E907</f>
        <v>0</v>
      </c>
      <c r="N497" s="49">
        <f>'Volunteer Survey'!F908</f>
        <v>0</v>
      </c>
      <c r="O497" s="42">
        <f>'Volunteer Survey'!H908</f>
        <v>0</v>
      </c>
      <c r="P497" s="49"/>
      <c r="Q497" s="54" t="str">
        <f ca="1">IFERROR(__xludf.DUMMYFUNCTION("QUERY('Volunteer Survey'!J891)"),"")</f>
        <v/>
      </c>
      <c r="R497" s="49"/>
      <c r="S497" s="49">
        <f>'Volunteer Survey'!L902</f>
        <v>0</v>
      </c>
      <c r="T497" s="49">
        <f>'Volunteer Survey'!M907</f>
        <v>0</v>
      </c>
      <c r="U497" s="58"/>
      <c r="V497" s="49"/>
      <c r="W497" s="60">
        <f>'Volunteer Survey'!P907</f>
        <v>0</v>
      </c>
      <c r="X497" s="58">
        <f>'Volunteer Survey'!R908</f>
        <v>0</v>
      </c>
      <c r="Y497" s="47"/>
      <c r="Z497" s="175" t="str">
        <f ca="1">IFERROR(__xludf.DUMMYFUNCTION("QUERY('Volunteer Survey'!A496)"),"")</f>
        <v/>
      </c>
      <c r="AA497" s="175" t="str">
        <f ca="1">IFERROR(__xludf.DUMMYFUNCTION("QUERY('Volunteer Survey'!B496)"),"")</f>
        <v/>
      </c>
      <c r="AB497" s="175" t="str">
        <f ca="1">IFERROR(__xludf.DUMMYFUNCTION("QUERY('Volunteer Survey'!C496)"),"")</f>
        <v/>
      </c>
      <c r="AC497" s="175" t="str">
        <f ca="1">IFERROR(__xludf.DUMMYFUNCTION("QUERY('Volunteer Survey'!D496)"),"")</f>
        <v/>
      </c>
      <c r="AD497" s="175" t="str">
        <f ca="1">IFERROR(__xludf.DUMMYFUNCTION("QUERY('Volunteer Survey'!E496)"),"")</f>
        <v/>
      </c>
      <c r="AE497" s="175" t="str">
        <f ca="1">IFERROR(__xludf.DUMMYFUNCTION("QUERY('Volunteer Survey'!F496)"),"")</f>
        <v/>
      </c>
      <c r="AF497" s="175" t="str">
        <f ca="1">IFERROR(__xludf.DUMMYFUNCTION("QUERY('Volunteer Survey'!G496)"),"")</f>
        <v/>
      </c>
      <c r="AG497" s="175" t="str">
        <f ca="1">IFERROR(__xludf.DUMMYFUNCTION("QUERY('Volunteer Survey'!H496)"),"")</f>
        <v/>
      </c>
      <c r="AH497" s="175" t="str">
        <f ca="1">IFERROR(__xludf.DUMMYFUNCTION("QUERY('Volunteer Survey'!I496)"),"")</f>
        <v/>
      </c>
      <c r="AI497" s="175" t="str">
        <f ca="1">IFERROR(__xludf.DUMMYFUNCTION("QUERY('Volunteer Survey'!J496)"),"")</f>
        <v/>
      </c>
      <c r="AJ497" s="175" t="str">
        <f ca="1">IFERROR(__xludf.DUMMYFUNCTION("QUERY('Volunteer Survey'!K496)"),"")</f>
        <v/>
      </c>
      <c r="AK497" s="175" t="str">
        <f ca="1">IFERROR(__xludf.DUMMYFUNCTION("QUERY('Volunteer Survey'!L496)"),"")</f>
        <v/>
      </c>
      <c r="AL497" s="175" t="str">
        <f ca="1">IFERROR(__xludf.DUMMYFUNCTION("QUERY('Volunteer Survey'!M496)"),"")</f>
        <v/>
      </c>
      <c r="AM497" s="175" t="str">
        <f ca="1">IFERROR(__xludf.DUMMYFUNCTION("QUERY('Volunteer Survey'!N496)"),"")</f>
        <v/>
      </c>
      <c r="AN497" s="175" t="str">
        <f ca="1">IFERROR(__xludf.DUMMYFUNCTION("QUERY('Volunteer Survey'!O496)"),"")</f>
        <v/>
      </c>
      <c r="AO497" s="175" t="str">
        <f ca="1">IFERROR(__xludf.DUMMYFUNCTION("QUERY('Volunteer Survey'!P496)"),"")</f>
        <v/>
      </c>
    </row>
    <row r="498" spans="1:41" ht="14">
      <c r="A498" s="49">
        <f>'Volunteer Survey'!A908</f>
        <v>0</v>
      </c>
      <c r="B498" s="42" t="s">
        <v>322</v>
      </c>
      <c r="C498" s="47"/>
      <c r="D498" s="49"/>
      <c r="E498" s="49"/>
      <c r="F498" s="49" t="b">
        <v>0</v>
      </c>
      <c r="G498" s="49"/>
      <c r="H498" s="47"/>
      <c r="I498" s="47"/>
      <c r="J498" s="49"/>
      <c r="K498" s="49"/>
      <c r="L498" s="49">
        <f>'Volunteer Survey'!B908</f>
        <v>0</v>
      </c>
      <c r="M498" s="49">
        <f>'Volunteer Survey'!E908</f>
        <v>0</v>
      </c>
      <c r="N498" s="49">
        <f>'Volunteer Survey'!F909</f>
        <v>0</v>
      </c>
      <c r="O498" s="42">
        <f>'Volunteer Survey'!H909</f>
        <v>0</v>
      </c>
      <c r="P498" s="49"/>
      <c r="Q498" s="54" t="str">
        <f ca="1">IFERROR(__xludf.DUMMYFUNCTION("QUERY('Volunteer Survey'!J892)"),"")</f>
        <v/>
      </c>
      <c r="R498" s="49"/>
      <c r="S498" s="49">
        <f>'Volunteer Survey'!L903</f>
        <v>0</v>
      </c>
      <c r="T498" s="49">
        <f>'Volunteer Survey'!M908</f>
        <v>0</v>
      </c>
      <c r="U498" s="58"/>
      <c r="V498" s="49"/>
      <c r="W498" s="60">
        <f>'Volunteer Survey'!P908</f>
        <v>0</v>
      </c>
      <c r="X498" s="58">
        <f>'Volunteer Survey'!R909</f>
        <v>0</v>
      </c>
      <c r="Y498" s="47"/>
      <c r="Z498" s="175" t="str">
        <f ca="1">IFERROR(__xludf.DUMMYFUNCTION("QUERY('Volunteer Survey'!A497)"),"")</f>
        <v/>
      </c>
      <c r="AA498" s="175" t="str">
        <f ca="1">IFERROR(__xludf.DUMMYFUNCTION("QUERY('Volunteer Survey'!B497)"),"")</f>
        <v/>
      </c>
      <c r="AB498" s="175" t="str">
        <f ca="1">IFERROR(__xludf.DUMMYFUNCTION("QUERY('Volunteer Survey'!C497)"),"")</f>
        <v/>
      </c>
      <c r="AC498" s="175" t="str">
        <f ca="1">IFERROR(__xludf.DUMMYFUNCTION("QUERY('Volunteer Survey'!D497)"),"")</f>
        <v/>
      </c>
      <c r="AD498" s="175" t="str">
        <f ca="1">IFERROR(__xludf.DUMMYFUNCTION("QUERY('Volunteer Survey'!E497)"),"")</f>
        <v/>
      </c>
      <c r="AE498" s="175" t="str">
        <f ca="1">IFERROR(__xludf.DUMMYFUNCTION("QUERY('Volunteer Survey'!F497)"),"")</f>
        <v/>
      </c>
      <c r="AF498" s="175" t="str">
        <f ca="1">IFERROR(__xludf.DUMMYFUNCTION("QUERY('Volunteer Survey'!G497)"),"")</f>
        <v/>
      </c>
      <c r="AG498" s="175" t="str">
        <f ca="1">IFERROR(__xludf.DUMMYFUNCTION("QUERY('Volunteer Survey'!H497)"),"")</f>
        <v/>
      </c>
      <c r="AH498" s="175" t="str">
        <f ca="1">IFERROR(__xludf.DUMMYFUNCTION("QUERY('Volunteer Survey'!I497)"),"")</f>
        <v/>
      </c>
      <c r="AI498" s="175" t="str">
        <f ca="1">IFERROR(__xludf.DUMMYFUNCTION("QUERY('Volunteer Survey'!J497)"),"")</f>
        <v/>
      </c>
      <c r="AJ498" s="175" t="str">
        <f ca="1">IFERROR(__xludf.DUMMYFUNCTION("QUERY('Volunteer Survey'!K497)"),"")</f>
        <v/>
      </c>
      <c r="AK498" s="175" t="str">
        <f ca="1">IFERROR(__xludf.DUMMYFUNCTION("QUERY('Volunteer Survey'!L497)"),"")</f>
        <v/>
      </c>
      <c r="AL498" s="175" t="str">
        <f ca="1">IFERROR(__xludf.DUMMYFUNCTION("QUERY('Volunteer Survey'!M497)"),"")</f>
        <v/>
      </c>
      <c r="AM498" s="175" t="str">
        <f ca="1">IFERROR(__xludf.DUMMYFUNCTION("QUERY('Volunteer Survey'!N497)"),"")</f>
        <v/>
      </c>
      <c r="AN498" s="175" t="str">
        <f ca="1">IFERROR(__xludf.DUMMYFUNCTION("QUERY('Volunteer Survey'!O497)"),"")</f>
        <v/>
      </c>
      <c r="AO498" s="175" t="str">
        <f ca="1">IFERROR(__xludf.DUMMYFUNCTION("QUERY('Volunteer Survey'!P497)"),"")</f>
        <v/>
      </c>
    </row>
    <row r="499" spans="1:41" ht="14">
      <c r="A499" s="49">
        <f>'Volunteer Survey'!A909</f>
        <v>0</v>
      </c>
      <c r="B499" s="42" t="s">
        <v>322</v>
      </c>
      <c r="C499" s="47"/>
      <c r="D499" s="49"/>
      <c r="E499" s="49"/>
      <c r="F499" s="49" t="b">
        <v>0</v>
      </c>
      <c r="G499" s="49"/>
      <c r="H499" s="47"/>
      <c r="I499" s="47"/>
      <c r="J499" s="49"/>
      <c r="K499" s="49"/>
      <c r="L499" s="49">
        <f>'Volunteer Survey'!B909</f>
        <v>0</v>
      </c>
      <c r="M499" s="49">
        <f>'Volunteer Survey'!E909</f>
        <v>0</v>
      </c>
      <c r="N499" s="49">
        <f>'Volunteer Survey'!F910</f>
        <v>0</v>
      </c>
      <c r="O499" s="42">
        <f>'Volunteer Survey'!H910</f>
        <v>0</v>
      </c>
      <c r="P499" s="49"/>
      <c r="Q499" s="54" t="str">
        <f ca="1">IFERROR(__xludf.DUMMYFUNCTION("QUERY('Volunteer Survey'!J893)"),"")</f>
        <v/>
      </c>
      <c r="R499" s="49"/>
      <c r="S499" s="49">
        <f>'Volunteer Survey'!L904</f>
        <v>0</v>
      </c>
      <c r="T499" s="49">
        <f>'Volunteer Survey'!M909</f>
        <v>0</v>
      </c>
      <c r="U499" s="58"/>
      <c r="V499" s="49"/>
      <c r="W499" s="60">
        <f>'Volunteer Survey'!P909</f>
        <v>0</v>
      </c>
      <c r="X499" s="58">
        <f>'Volunteer Survey'!R910</f>
        <v>0</v>
      </c>
      <c r="Y499" s="47"/>
      <c r="Z499" s="175" t="str">
        <f ca="1">IFERROR(__xludf.DUMMYFUNCTION("QUERY('Volunteer Survey'!A498)"),"")</f>
        <v/>
      </c>
      <c r="AA499" s="175" t="str">
        <f ca="1">IFERROR(__xludf.DUMMYFUNCTION("QUERY('Volunteer Survey'!B498)"),"")</f>
        <v/>
      </c>
      <c r="AB499" s="175" t="str">
        <f ca="1">IFERROR(__xludf.DUMMYFUNCTION("QUERY('Volunteer Survey'!C498)"),"")</f>
        <v/>
      </c>
      <c r="AC499" s="175" t="str">
        <f ca="1">IFERROR(__xludf.DUMMYFUNCTION("QUERY('Volunteer Survey'!D498)"),"")</f>
        <v/>
      </c>
      <c r="AD499" s="175" t="str">
        <f ca="1">IFERROR(__xludf.DUMMYFUNCTION("QUERY('Volunteer Survey'!E498)"),"")</f>
        <v/>
      </c>
      <c r="AE499" s="175" t="str">
        <f ca="1">IFERROR(__xludf.DUMMYFUNCTION("QUERY('Volunteer Survey'!F498)"),"")</f>
        <v/>
      </c>
      <c r="AF499" s="175" t="str">
        <f ca="1">IFERROR(__xludf.DUMMYFUNCTION("QUERY('Volunteer Survey'!G498)"),"")</f>
        <v/>
      </c>
      <c r="AG499" s="175" t="str">
        <f ca="1">IFERROR(__xludf.DUMMYFUNCTION("QUERY('Volunteer Survey'!H498)"),"")</f>
        <v/>
      </c>
      <c r="AH499" s="175" t="str">
        <f ca="1">IFERROR(__xludf.DUMMYFUNCTION("QUERY('Volunteer Survey'!I498)"),"")</f>
        <v/>
      </c>
      <c r="AI499" s="175" t="str">
        <f ca="1">IFERROR(__xludf.DUMMYFUNCTION("QUERY('Volunteer Survey'!J498)"),"")</f>
        <v/>
      </c>
      <c r="AJ499" s="175" t="str">
        <f ca="1">IFERROR(__xludf.DUMMYFUNCTION("QUERY('Volunteer Survey'!K498)"),"")</f>
        <v/>
      </c>
      <c r="AK499" s="175" t="str">
        <f ca="1">IFERROR(__xludf.DUMMYFUNCTION("QUERY('Volunteer Survey'!L498)"),"")</f>
        <v/>
      </c>
      <c r="AL499" s="175" t="str">
        <f ca="1">IFERROR(__xludf.DUMMYFUNCTION("QUERY('Volunteer Survey'!M498)"),"")</f>
        <v/>
      </c>
      <c r="AM499" s="175" t="str">
        <f ca="1">IFERROR(__xludf.DUMMYFUNCTION("QUERY('Volunteer Survey'!N498)"),"")</f>
        <v/>
      </c>
      <c r="AN499" s="175" t="str">
        <f ca="1">IFERROR(__xludf.DUMMYFUNCTION("QUERY('Volunteer Survey'!O498)"),"")</f>
        <v/>
      </c>
      <c r="AO499" s="175" t="str">
        <f ca="1">IFERROR(__xludf.DUMMYFUNCTION("QUERY('Volunteer Survey'!P498)"),"")</f>
        <v/>
      </c>
    </row>
    <row r="500" spans="1:41" ht="14">
      <c r="A500" s="49">
        <f>'Volunteer Survey'!A910</f>
        <v>0</v>
      </c>
      <c r="B500" s="42" t="s">
        <v>322</v>
      </c>
      <c r="C500" s="47"/>
      <c r="D500" s="49"/>
      <c r="E500" s="49"/>
      <c r="F500" s="49" t="b">
        <v>0</v>
      </c>
      <c r="G500" s="49"/>
      <c r="H500" s="47"/>
      <c r="I500" s="47"/>
      <c r="J500" s="49"/>
      <c r="K500" s="49"/>
      <c r="L500" s="49">
        <f>'Volunteer Survey'!B910</f>
        <v>0</v>
      </c>
      <c r="M500" s="49">
        <f>'Volunteer Survey'!E910</f>
        <v>0</v>
      </c>
      <c r="N500" s="49">
        <f>'Volunteer Survey'!F911</f>
        <v>0</v>
      </c>
      <c r="O500" s="42">
        <f>'Volunteer Survey'!H911</f>
        <v>0</v>
      </c>
      <c r="P500" s="49"/>
      <c r="Q500" s="54" t="str">
        <f ca="1">IFERROR(__xludf.DUMMYFUNCTION("QUERY('Volunteer Survey'!J894)"),"")</f>
        <v/>
      </c>
      <c r="R500" s="49"/>
      <c r="S500" s="49">
        <f>'Volunteer Survey'!L905</f>
        <v>0</v>
      </c>
      <c r="T500" s="49">
        <f>'Volunteer Survey'!M910</f>
        <v>0</v>
      </c>
      <c r="U500" s="58"/>
      <c r="V500" s="49"/>
      <c r="W500" s="60">
        <f>'Volunteer Survey'!P910</f>
        <v>0</v>
      </c>
      <c r="X500" s="58">
        <f>'Volunteer Survey'!R911</f>
        <v>0</v>
      </c>
      <c r="Y500" s="47"/>
      <c r="Z500" s="175" t="str">
        <f ca="1">IFERROR(__xludf.DUMMYFUNCTION("QUERY('Volunteer Survey'!A499)"),"")</f>
        <v/>
      </c>
      <c r="AA500" s="175" t="str">
        <f ca="1">IFERROR(__xludf.DUMMYFUNCTION("QUERY('Volunteer Survey'!B499)"),"")</f>
        <v/>
      </c>
      <c r="AB500" s="175" t="str">
        <f ca="1">IFERROR(__xludf.DUMMYFUNCTION("QUERY('Volunteer Survey'!C499)"),"")</f>
        <v/>
      </c>
      <c r="AC500" s="175" t="str">
        <f ca="1">IFERROR(__xludf.DUMMYFUNCTION("QUERY('Volunteer Survey'!D499)"),"")</f>
        <v/>
      </c>
      <c r="AD500" s="175" t="str">
        <f ca="1">IFERROR(__xludf.DUMMYFUNCTION("QUERY('Volunteer Survey'!E499)"),"")</f>
        <v/>
      </c>
      <c r="AE500" s="175" t="str">
        <f ca="1">IFERROR(__xludf.DUMMYFUNCTION("QUERY('Volunteer Survey'!F499)"),"")</f>
        <v/>
      </c>
      <c r="AF500" s="175" t="str">
        <f ca="1">IFERROR(__xludf.DUMMYFUNCTION("QUERY('Volunteer Survey'!G499)"),"")</f>
        <v/>
      </c>
      <c r="AG500" s="175" t="str">
        <f ca="1">IFERROR(__xludf.DUMMYFUNCTION("QUERY('Volunteer Survey'!H499)"),"")</f>
        <v/>
      </c>
      <c r="AH500" s="175" t="str">
        <f ca="1">IFERROR(__xludf.DUMMYFUNCTION("QUERY('Volunteer Survey'!I499)"),"")</f>
        <v/>
      </c>
      <c r="AI500" s="175" t="str">
        <f ca="1">IFERROR(__xludf.DUMMYFUNCTION("QUERY('Volunteer Survey'!J499)"),"")</f>
        <v/>
      </c>
      <c r="AJ500" s="175" t="str">
        <f ca="1">IFERROR(__xludf.DUMMYFUNCTION("QUERY('Volunteer Survey'!K499)"),"")</f>
        <v/>
      </c>
      <c r="AK500" s="175" t="str">
        <f ca="1">IFERROR(__xludf.DUMMYFUNCTION("QUERY('Volunteer Survey'!L499)"),"")</f>
        <v/>
      </c>
      <c r="AL500" s="175" t="str">
        <f ca="1">IFERROR(__xludf.DUMMYFUNCTION("QUERY('Volunteer Survey'!M499)"),"")</f>
        <v/>
      </c>
      <c r="AM500" s="175" t="str">
        <f ca="1">IFERROR(__xludf.DUMMYFUNCTION("QUERY('Volunteer Survey'!N499)"),"")</f>
        <v/>
      </c>
      <c r="AN500" s="175" t="str">
        <f ca="1">IFERROR(__xludf.DUMMYFUNCTION("QUERY('Volunteer Survey'!O499)"),"")</f>
        <v/>
      </c>
      <c r="AO500" s="175" t="str">
        <f ca="1">IFERROR(__xludf.DUMMYFUNCTION("QUERY('Volunteer Survey'!P499)"),"")</f>
        <v/>
      </c>
    </row>
    <row r="501" spans="1:41" ht="14">
      <c r="A501" s="49">
        <f>'Volunteer Survey'!A911</f>
        <v>0</v>
      </c>
      <c r="B501" s="42" t="s">
        <v>322</v>
      </c>
      <c r="C501" s="47"/>
      <c r="D501" s="49"/>
      <c r="E501" s="49"/>
      <c r="F501" s="49" t="b">
        <v>0</v>
      </c>
      <c r="G501" s="49"/>
      <c r="H501" s="47"/>
      <c r="I501" s="47"/>
      <c r="J501" s="49"/>
      <c r="K501" s="49"/>
      <c r="L501" s="49">
        <f>'Volunteer Survey'!B911</f>
        <v>0</v>
      </c>
      <c r="M501" s="49">
        <f>'Volunteer Survey'!E911</f>
        <v>0</v>
      </c>
      <c r="N501" s="49">
        <f>'Volunteer Survey'!F912</f>
        <v>0</v>
      </c>
      <c r="O501" s="42">
        <f>'Volunteer Survey'!H912</f>
        <v>0</v>
      </c>
      <c r="P501" s="49"/>
      <c r="Q501" s="54" t="str">
        <f ca="1">IFERROR(__xludf.DUMMYFUNCTION("QUERY('Volunteer Survey'!J895)"),"")</f>
        <v/>
      </c>
      <c r="R501" s="49"/>
      <c r="S501" s="49">
        <f>'Volunteer Survey'!L906</f>
        <v>0</v>
      </c>
      <c r="T501" s="49">
        <f>'Volunteer Survey'!M911</f>
        <v>0</v>
      </c>
      <c r="U501" s="58"/>
      <c r="V501" s="49"/>
      <c r="W501" s="60">
        <f>'Volunteer Survey'!P911</f>
        <v>0</v>
      </c>
      <c r="X501" s="58">
        <f>'Volunteer Survey'!R912</f>
        <v>0</v>
      </c>
      <c r="Y501" s="47"/>
      <c r="Z501" s="175" t="str">
        <f ca="1">IFERROR(__xludf.DUMMYFUNCTION("QUERY('Volunteer Survey'!A500)"),"")</f>
        <v/>
      </c>
      <c r="AA501" s="175" t="str">
        <f ca="1">IFERROR(__xludf.DUMMYFUNCTION("QUERY('Volunteer Survey'!B500)"),"")</f>
        <v/>
      </c>
      <c r="AB501" s="175" t="str">
        <f ca="1">IFERROR(__xludf.DUMMYFUNCTION("QUERY('Volunteer Survey'!C500)"),"")</f>
        <v/>
      </c>
      <c r="AC501" s="175" t="str">
        <f ca="1">IFERROR(__xludf.DUMMYFUNCTION("QUERY('Volunteer Survey'!D500)"),"")</f>
        <v/>
      </c>
      <c r="AD501" s="175" t="str">
        <f ca="1">IFERROR(__xludf.DUMMYFUNCTION("QUERY('Volunteer Survey'!E500)"),"")</f>
        <v/>
      </c>
      <c r="AE501" s="175" t="str">
        <f ca="1">IFERROR(__xludf.DUMMYFUNCTION("QUERY('Volunteer Survey'!F500)"),"")</f>
        <v/>
      </c>
      <c r="AF501" s="175" t="str">
        <f ca="1">IFERROR(__xludf.DUMMYFUNCTION("QUERY('Volunteer Survey'!G500)"),"")</f>
        <v/>
      </c>
      <c r="AG501" s="175" t="str">
        <f ca="1">IFERROR(__xludf.DUMMYFUNCTION("QUERY('Volunteer Survey'!H500)"),"")</f>
        <v/>
      </c>
      <c r="AH501" s="175" t="str">
        <f ca="1">IFERROR(__xludf.DUMMYFUNCTION("QUERY('Volunteer Survey'!I500)"),"")</f>
        <v/>
      </c>
      <c r="AI501" s="175" t="str">
        <f ca="1">IFERROR(__xludf.DUMMYFUNCTION("QUERY('Volunteer Survey'!J500)"),"")</f>
        <v/>
      </c>
      <c r="AJ501" s="175" t="str">
        <f ca="1">IFERROR(__xludf.DUMMYFUNCTION("QUERY('Volunteer Survey'!K500)"),"")</f>
        <v/>
      </c>
      <c r="AK501" s="175" t="str">
        <f ca="1">IFERROR(__xludf.DUMMYFUNCTION("QUERY('Volunteer Survey'!L500)"),"")</f>
        <v/>
      </c>
      <c r="AL501" s="175" t="str">
        <f ca="1">IFERROR(__xludf.DUMMYFUNCTION("QUERY('Volunteer Survey'!M500)"),"")</f>
        <v/>
      </c>
      <c r="AM501" s="175" t="str">
        <f ca="1">IFERROR(__xludf.DUMMYFUNCTION("QUERY('Volunteer Survey'!N500)"),"")</f>
        <v/>
      </c>
      <c r="AN501" s="175" t="str">
        <f ca="1">IFERROR(__xludf.DUMMYFUNCTION("QUERY('Volunteer Survey'!O500)"),"")</f>
        <v/>
      </c>
      <c r="AO501" s="175" t="str">
        <f ca="1">IFERROR(__xludf.DUMMYFUNCTION("QUERY('Volunteer Survey'!P500)"),"")</f>
        <v/>
      </c>
    </row>
    <row r="502" spans="1:41" ht="14">
      <c r="A502" s="49">
        <f>'Volunteer Survey'!A912</f>
        <v>0</v>
      </c>
      <c r="B502" s="42" t="s">
        <v>322</v>
      </c>
      <c r="C502" s="47"/>
      <c r="D502" s="49"/>
      <c r="E502" s="49"/>
      <c r="F502" s="49" t="b">
        <v>0</v>
      </c>
      <c r="G502" s="49"/>
      <c r="H502" s="47"/>
      <c r="I502" s="47"/>
      <c r="J502" s="49"/>
      <c r="K502" s="49"/>
      <c r="L502" s="49">
        <f>'Volunteer Survey'!B912</f>
        <v>0</v>
      </c>
      <c r="M502" s="49">
        <f>'Volunteer Survey'!E912</f>
        <v>0</v>
      </c>
      <c r="N502" s="49">
        <f>'Volunteer Survey'!F913</f>
        <v>0</v>
      </c>
      <c r="O502" s="42">
        <f>'Volunteer Survey'!H913</f>
        <v>0</v>
      </c>
      <c r="P502" s="49"/>
      <c r="Q502" s="54" t="str">
        <f ca="1">IFERROR(__xludf.DUMMYFUNCTION("QUERY('Volunteer Survey'!J896)"),"")</f>
        <v/>
      </c>
      <c r="R502" s="49"/>
      <c r="S502" s="49">
        <f>'Volunteer Survey'!L907</f>
        <v>0</v>
      </c>
      <c r="T502" s="49">
        <f>'Volunteer Survey'!M912</f>
        <v>0</v>
      </c>
      <c r="U502" s="58"/>
      <c r="V502" s="49"/>
      <c r="W502" s="60">
        <f>'Volunteer Survey'!P912</f>
        <v>0</v>
      </c>
      <c r="X502" s="58">
        <f>'Volunteer Survey'!R913</f>
        <v>0</v>
      </c>
      <c r="Y502" s="47"/>
      <c r="Z502" s="175" t="str">
        <f ca="1">IFERROR(__xludf.DUMMYFUNCTION("QUERY('Volunteer Survey'!A501)"),"")</f>
        <v/>
      </c>
      <c r="AA502" s="175" t="str">
        <f ca="1">IFERROR(__xludf.DUMMYFUNCTION("QUERY('Volunteer Survey'!B501)"),"")</f>
        <v/>
      </c>
      <c r="AB502" s="175" t="str">
        <f ca="1">IFERROR(__xludf.DUMMYFUNCTION("QUERY('Volunteer Survey'!C501)"),"")</f>
        <v/>
      </c>
      <c r="AC502" s="175" t="str">
        <f ca="1">IFERROR(__xludf.DUMMYFUNCTION("QUERY('Volunteer Survey'!D501)"),"")</f>
        <v/>
      </c>
      <c r="AD502" s="175" t="str">
        <f ca="1">IFERROR(__xludf.DUMMYFUNCTION("QUERY('Volunteer Survey'!E501)"),"")</f>
        <v/>
      </c>
      <c r="AE502" s="175" t="str">
        <f ca="1">IFERROR(__xludf.DUMMYFUNCTION("QUERY('Volunteer Survey'!F501)"),"")</f>
        <v/>
      </c>
      <c r="AF502" s="175" t="str">
        <f ca="1">IFERROR(__xludf.DUMMYFUNCTION("QUERY('Volunteer Survey'!G501)"),"")</f>
        <v/>
      </c>
      <c r="AG502" s="175" t="str">
        <f ca="1">IFERROR(__xludf.DUMMYFUNCTION("QUERY('Volunteer Survey'!H501)"),"")</f>
        <v/>
      </c>
      <c r="AH502" s="175" t="str">
        <f ca="1">IFERROR(__xludf.DUMMYFUNCTION("QUERY('Volunteer Survey'!I501)"),"")</f>
        <v/>
      </c>
      <c r="AI502" s="175" t="str">
        <f ca="1">IFERROR(__xludf.DUMMYFUNCTION("QUERY('Volunteer Survey'!J501)"),"")</f>
        <v/>
      </c>
      <c r="AJ502" s="175" t="str">
        <f ca="1">IFERROR(__xludf.DUMMYFUNCTION("QUERY('Volunteer Survey'!K501)"),"")</f>
        <v/>
      </c>
      <c r="AK502" s="175" t="str">
        <f ca="1">IFERROR(__xludf.DUMMYFUNCTION("QUERY('Volunteer Survey'!L501)"),"")</f>
        <v/>
      </c>
      <c r="AL502" s="175" t="str">
        <f ca="1">IFERROR(__xludf.DUMMYFUNCTION("QUERY('Volunteer Survey'!M501)"),"")</f>
        <v/>
      </c>
      <c r="AM502" s="175" t="str">
        <f ca="1">IFERROR(__xludf.DUMMYFUNCTION("QUERY('Volunteer Survey'!N501)"),"")</f>
        <v/>
      </c>
      <c r="AN502" s="175" t="str">
        <f ca="1">IFERROR(__xludf.DUMMYFUNCTION("QUERY('Volunteer Survey'!O501)"),"")</f>
        <v/>
      </c>
      <c r="AO502" s="175" t="str">
        <f ca="1">IFERROR(__xludf.DUMMYFUNCTION("QUERY('Volunteer Survey'!P501)"),"")</f>
        <v/>
      </c>
    </row>
    <row r="503" spans="1:41" ht="14">
      <c r="A503" s="49">
        <f>'Volunteer Survey'!A913</f>
        <v>0</v>
      </c>
      <c r="B503" s="42" t="s">
        <v>322</v>
      </c>
      <c r="C503" s="47"/>
      <c r="D503" s="49"/>
      <c r="E503" s="49"/>
      <c r="F503" s="49" t="b">
        <v>0</v>
      </c>
      <c r="G503" s="49"/>
      <c r="H503" s="47"/>
      <c r="I503" s="47"/>
      <c r="J503" s="49"/>
      <c r="K503" s="49"/>
      <c r="L503" s="49">
        <f>'Volunteer Survey'!B913</f>
        <v>0</v>
      </c>
      <c r="M503" s="49">
        <f>'Volunteer Survey'!E913</f>
        <v>0</v>
      </c>
      <c r="N503" s="49">
        <f>'Volunteer Survey'!F914</f>
        <v>0</v>
      </c>
      <c r="O503" s="42">
        <f>'Volunteer Survey'!H914</f>
        <v>0</v>
      </c>
      <c r="P503" s="49"/>
      <c r="Q503" s="54" t="str">
        <f ca="1">IFERROR(__xludf.DUMMYFUNCTION("QUERY('Volunteer Survey'!J897)"),"")</f>
        <v/>
      </c>
      <c r="R503" s="49"/>
      <c r="S503" s="49">
        <f>'Volunteer Survey'!L908</f>
        <v>0</v>
      </c>
      <c r="T503" s="49">
        <f>'Volunteer Survey'!M913</f>
        <v>0</v>
      </c>
      <c r="U503" s="58"/>
      <c r="V503" s="49"/>
      <c r="W503" s="60">
        <f>'Volunteer Survey'!P913</f>
        <v>0</v>
      </c>
      <c r="X503" s="58">
        <f>'Volunteer Survey'!R914</f>
        <v>0</v>
      </c>
      <c r="Y503" s="47"/>
      <c r="Z503" s="175" t="str">
        <f ca="1">IFERROR(__xludf.DUMMYFUNCTION("QUERY('Volunteer Survey'!A502)"),"")</f>
        <v/>
      </c>
      <c r="AA503" s="175" t="str">
        <f ca="1">IFERROR(__xludf.DUMMYFUNCTION("QUERY('Volunteer Survey'!B502)"),"")</f>
        <v/>
      </c>
      <c r="AB503" s="175" t="str">
        <f ca="1">IFERROR(__xludf.DUMMYFUNCTION("QUERY('Volunteer Survey'!C502)"),"")</f>
        <v/>
      </c>
      <c r="AC503" s="175" t="str">
        <f ca="1">IFERROR(__xludf.DUMMYFUNCTION("QUERY('Volunteer Survey'!D502)"),"")</f>
        <v/>
      </c>
      <c r="AD503" s="175" t="str">
        <f ca="1">IFERROR(__xludf.DUMMYFUNCTION("QUERY('Volunteer Survey'!E502)"),"")</f>
        <v/>
      </c>
      <c r="AE503" s="175" t="str">
        <f ca="1">IFERROR(__xludf.DUMMYFUNCTION("QUERY('Volunteer Survey'!F502)"),"")</f>
        <v/>
      </c>
      <c r="AF503" s="175" t="str">
        <f ca="1">IFERROR(__xludf.DUMMYFUNCTION("QUERY('Volunteer Survey'!G502)"),"")</f>
        <v/>
      </c>
      <c r="AG503" s="175" t="str">
        <f ca="1">IFERROR(__xludf.DUMMYFUNCTION("QUERY('Volunteer Survey'!H502)"),"")</f>
        <v/>
      </c>
      <c r="AH503" s="175" t="str">
        <f ca="1">IFERROR(__xludf.DUMMYFUNCTION("QUERY('Volunteer Survey'!I502)"),"")</f>
        <v/>
      </c>
      <c r="AI503" s="175" t="str">
        <f ca="1">IFERROR(__xludf.DUMMYFUNCTION("QUERY('Volunteer Survey'!J502)"),"")</f>
        <v/>
      </c>
      <c r="AJ503" s="175" t="str">
        <f ca="1">IFERROR(__xludf.DUMMYFUNCTION("QUERY('Volunteer Survey'!K502)"),"")</f>
        <v/>
      </c>
      <c r="AK503" s="175" t="str">
        <f ca="1">IFERROR(__xludf.DUMMYFUNCTION("QUERY('Volunteer Survey'!L502)"),"")</f>
        <v/>
      </c>
      <c r="AL503" s="175" t="str">
        <f ca="1">IFERROR(__xludf.DUMMYFUNCTION("QUERY('Volunteer Survey'!M502)"),"")</f>
        <v/>
      </c>
      <c r="AM503" s="175" t="str">
        <f ca="1">IFERROR(__xludf.DUMMYFUNCTION("QUERY('Volunteer Survey'!N502)"),"")</f>
        <v/>
      </c>
      <c r="AN503" s="175" t="str">
        <f ca="1">IFERROR(__xludf.DUMMYFUNCTION("QUERY('Volunteer Survey'!O502)"),"")</f>
        <v/>
      </c>
      <c r="AO503" s="175" t="str">
        <f ca="1">IFERROR(__xludf.DUMMYFUNCTION("QUERY('Volunteer Survey'!P502)"),"")</f>
        <v/>
      </c>
    </row>
    <row r="504" spans="1:41" ht="14">
      <c r="A504" s="49">
        <f>'Volunteer Survey'!A914</f>
        <v>0</v>
      </c>
      <c r="B504" s="42" t="s">
        <v>322</v>
      </c>
      <c r="C504" s="47"/>
      <c r="D504" s="49"/>
      <c r="E504" s="49"/>
      <c r="F504" s="49" t="b">
        <v>0</v>
      </c>
      <c r="G504" s="49"/>
      <c r="H504" s="47"/>
      <c r="I504" s="47"/>
      <c r="J504" s="49"/>
      <c r="K504" s="49"/>
      <c r="L504" s="49">
        <f>'Volunteer Survey'!B914</f>
        <v>0</v>
      </c>
      <c r="M504" s="49">
        <f>'Volunteer Survey'!E914</f>
        <v>0</v>
      </c>
      <c r="N504" s="49">
        <f>'Volunteer Survey'!F915</f>
        <v>0</v>
      </c>
      <c r="O504" s="42">
        <f>'Volunteer Survey'!H915</f>
        <v>0</v>
      </c>
      <c r="P504" s="49"/>
      <c r="Q504" s="54" t="str">
        <f ca="1">IFERROR(__xludf.DUMMYFUNCTION("QUERY('Volunteer Survey'!J898)"),"")</f>
        <v/>
      </c>
      <c r="R504" s="49"/>
      <c r="S504" s="49">
        <f>'Volunteer Survey'!L909</f>
        <v>0</v>
      </c>
      <c r="T504" s="49">
        <f>'Volunteer Survey'!M914</f>
        <v>0</v>
      </c>
      <c r="U504" s="58"/>
      <c r="V504" s="49"/>
      <c r="W504" s="60">
        <f>'Volunteer Survey'!P914</f>
        <v>0</v>
      </c>
      <c r="X504" s="49"/>
      <c r="Y504" s="47"/>
      <c r="Z504" s="175" t="str">
        <f ca="1">IFERROR(__xludf.DUMMYFUNCTION("QUERY('Volunteer Survey'!A503)"),"")</f>
        <v/>
      </c>
      <c r="AA504" s="175" t="str">
        <f ca="1">IFERROR(__xludf.DUMMYFUNCTION("QUERY('Volunteer Survey'!B503)"),"")</f>
        <v/>
      </c>
      <c r="AB504" s="175" t="str">
        <f ca="1">IFERROR(__xludf.DUMMYFUNCTION("QUERY('Volunteer Survey'!C503)"),"")</f>
        <v/>
      </c>
      <c r="AC504" s="175" t="str">
        <f ca="1">IFERROR(__xludf.DUMMYFUNCTION("QUERY('Volunteer Survey'!D503)"),"")</f>
        <v/>
      </c>
      <c r="AD504" s="175" t="str">
        <f ca="1">IFERROR(__xludf.DUMMYFUNCTION("QUERY('Volunteer Survey'!E503)"),"")</f>
        <v/>
      </c>
      <c r="AE504" s="175" t="str">
        <f ca="1">IFERROR(__xludf.DUMMYFUNCTION("QUERY('Volunteer Survey'!F503)"),"")</f>
        <v/>
      </c>
      <c r="AF504" s="175" t="str">
        <f ca="1">IFERROR(__xludf.DUMMYFUNCTION("QUERY('Volunteer Survey'!G503)"),"")</f>
        <v/>
      </c>
      <c r="AG504" s="175" t="str">
        <f ca="1">IFERROR(__xludf.DUMMYFUNCTION("QUERY('Volunteer Survey'!H503)"),"")</f>
        <v/>
      </c>
      <c r="AH504" s="175" t="str">
        <f ca="1">IFERROR(__xludf.DUMMYFUNCTION("QUERY('Volunteer Survey'!I503)"),"")</f>
        <v/>
      </c>
      <c r="AI504" s="175" t="str">
        <f ca="1">IFERROR(__xludf.DUMMYFUNCTION("QUERY('Volunteer Survey'!J503)"),"")</f>
        <v/>
      </c>
      <c r="AJ504" s="175" t="str">
        <f ca="1">IFERROR(__xludf.DUMMYFUNCTION("QUERY('Volunteer Survey'!K503)"),"")</f>
        <v/>
      </c>
      <c r="AK504" s="175" t="str">
        <f ca="1">IFERROR(__xludf.DUMMYFUNCTION("QUERY('Volunteer Survey'!L503)"),"")</f>
        <v/>
      </c>
      <c r="AL504" s="175" t="str">
        <f ca="1">IFERROR(__xludf.DUMMYFUNCTION("QUERY('Volunteer Survey'!M503)"),"")</f>
        <v/>
      </c>
      <c r="AM504" s="175" t="str">
        <f ca="1">IFERROR(__xludf.DUMMYFUNCTION("QUERY('Volunteer Survey'!N503)"),"")</f>
        <v/>
      </c>
      <c r="AN504" s="175" t="str">
        <f ca="1">IFERROR(__xludf.DUMMYFUNCTION("QUERY('Volunteer Survey'!O503)"),"")</f>
        <v/>
      </c>
      <c r="AO504" s="175" t="str">
        <f ca="1">IFERROR(__xludf.DUMMYFUNCTION("QUERY('Volunteer Survey'!P503)"),"")</f>
        <v/>
      </c>
    </row>
    <row r="505" spans="1:41" ht="14">
      <c r="A505" s="49">
        <f>'Volunteer Survey'!A915</f>
        <v>0</v>
      </c>
      <c r="B505" s="42" t="s">
        <v>322</v>
      </c>
      <c r="C505" s="47"/>
      <c r="D505" s="49"/>
      <c r="E505" s="49"/>
      <c r="F505" s="49" t="b">
        <v>0</v>
      </c>
      <c r="G505" s="49"/>
      <c r="H505" s="47"/>
      <c r="I505" s="47"/>
      <c r="J505" s="49"/>
      <c r="K505" s="49"/>
      <c r="L505" s="49">
        <f>'Volunteer Survey'!B915</f>
        <v>0</v>
      </c>
      <c r="M505" s="49">
        <f>'Volunteer Survey'!E915</f>
        <v>0</v>
      </c>
      <c r="N505" s="49">
        <f>'Volunteer Survey'!F916</f>
        <v>0</v>
      </c>
      <c r="O505" s="42">
        <f>'Volunteer Survey'!H916</f>
        <v>0</v>
      </c>
      <c r="P505" s="49"/>
      <c r="Q505" s="54" t="str">
        <f ca="1">IFERROR(__xludf.DUMMYFUNCTION("QUERY('Volunteer Survey'!J899)"),"")</f>
        <v/>
      </c>
      <c r="R505" s="49"/>
      <c r="S505" s="49">
        <f>'Volunteer Survey'!L910</f>
        <v>0</v>
      </c>
      <c r="T505" s="49">
        <f>'Volunteer Survey'!M915</f>
        <v>0</v>
      </c>
      <c r="U505" s="58"/>
      <c r="V505" s="49"/>
      <c r="W505" s="60">
        <f>'Volunteer Survey'!P915</f>
        <v>0</v>
      </c>
      <c r="X505" s="49"/>
      <c r="Y505" s="47"/>
      <c r="Z505" s="175" t="str">
        <f ca="1">IFERROR(__xludf.DUMMYFUNCTION("QUERY('Volunteer Survey'!A504)"),"")</f>
        <v/>
      </c>
      <c r="AA505" s="175" t="str">
        <f ca="1">IFERROR(__xludf.DUMMYFUNCTION("QUERY('Volunteer Survey'!B504)"),"")</f>
        <v/>
      </c>
      <c r="AB505" s="175" t="str">
        <f ca="1">IFERROR(__xludf.DUMMYFUNCTION("QUERY('Volunteer Survey'!C504)"),"")</f>
        <v/>
      </c>
      <c r="AC505" s="175" t="str">
        <f ca="1">IFERROR(__xludf.DUMMYFUNCTION("QUERY('Volunteer Survey'!D504)"),"")</f>
        <v/>
      </c>
      <c r="AD505" s="175" t="str">
        <f ca="1">IFERROR(__xludf.DUMMYFUNCTION("QUERY('Volunteer Survey'!E504)"),"")</f>
        <v/>
      </c>
      <c r="AE505" s="175" t="str">
        <f ca="1">IFERROR(__xludf.DUMMYFUNCTION("QUERY('Volunteer Survey'!F504)"),"")</f>
        <v/>
      </c>
      <c r="AF505" s="175" t="str">
        <f ca="1">IFERROR(__xludf.DUMMYFUNCTION("QUERY('Volunteer Survey'!G504)"),"")</f>
        <v/>
      </c>
      <c r="AG505" s="175" t="str">
        <f ca="1">IFERROR(__xludf.DUMMYFUNCTION("QUERY('Volunteer Survey'!H504)"),"")</f>
        <v/>
      </c>
      <c r="AH505" s="175" t="str">
        <f ca="1">IFERROR(__xludf.DUMMYFUNCTION("QUERY('Volunteer Survey'!I504)"),"")</f>
        <v/>
      </c>
      <c r="AI505" s="175" t="str">
        <f ca="1">IFERROR(__xludf.DUMMYFUNCTION("QUERY('Volunteer Survey'!J504)"),"")</f>
        <v/>
      </c>
      <c r="AJ505" s="175" t="str">
        <f ca="1">IFERROR(__xludf.DUMMYFUNCTION("QUERY('Volunteer Survey'!K504)"),"")</f>
        <v/>
      </c>
      <c r="AK505" s="175" t="str">
        <f ca="1">IFERROR(__xludf.DUMMYFUNCTION("QUERY('Volunteer Survey'!L504)"),"")</f>
        <v/>
      </c>
      <c r="AL505" s="175" t="str">
        <f ca="1">IFERROR(__xludf.DUMMYFUNCTION("QUERY('Volunteer Survey'!M504)"),"")</f>
        <v/>
      </c>
      <c r="AM505" s="175" t="str">
        <f ca="1">IFERROR(__xludf.DUMMYFUNCTION("QUERY('Volunteer Survey'!N504)"),"")</f>
        <v/>
      </c>
      <c r="AN505" s="175" t="str">
        <f ca="1">IFERROR(__xludf.DUMMYFUNCTION("QUERY('Volunteer Survey'!O504)"),"")</f>
        <v/>
      </c>
      <c r="AO505" s="175" t="str">
        <f ca="1">IFERROR(__xludf.DUMMYFUNCTION("QUERY('Volunteer Survey'!P504)"),"")</f>
        <v/>
      </c>
    </row>
    <row r="506" spans="1:41" ht="14">
      <c r="A506" s="49">
        <f>'Volunteer Survey'!A916</f>
        <v>0</v>
      </c>
      <c r="B506" s="42" t="s">
        <v>322</v>
      </c>
      <c r="C506" s="47"/>
      <c r="D506" s="49"/>
      <c r="E506" s="49"/>
      <c r="F506" s="49" t="b">
        <v>0</v>
      </c>
      <c r="G506" s="49"/>
      <c r="H506" s="47"/>
      <c r="I506" s="47"/>
      <c r="J506" s="49"/>
      <c r="K506" s="49"/>
      <c r="L506" s="49">
        <f>'Volunteer Survey'!B916</f>
        <v>0</v>
      </c>
      <c r="M506" s="49">
        <f>'Volunteer Survey'!E916</f>
        <v>0</v>
      </c>
      <c r="N506" s="49">
        <f>'Volunteer Survey'!F917</f>
        <v>0</v>
      </c>
      <c r="O506" s="42">
        <f>'Volunteer Survey'!H917</f>
        <v>0</v>
      </c>
      <c r="P506" s="49"/>
      <c r="Q506" s="54" t="str">
        <f ca="1">IFERROR(__xludf.DUMMYFUNCTION("QUERY('Volunteer Survey'!J900)"),"")</f>
        <v/>
      </c>
      <c r="R506" s="49"/>
      <c r="S506" s="49">
        <f>'Volunteer Survey'!L911</f>
        <v>0</v>
      </c>
      <c r="T506" s="49">
        <f>'Volunteer Survey'!M916</f>
        <v>0</v>
      </c>
      <c r="U506" s="58"/>
      <c r="V506" s="49"/>
      <c r="W506" s="60">
        <f>'Volunteer Survey'!P916</f>
        <v>0</v>
      </c>
      <c r="X506" s="49"/>
      <c r="Y506" s="47"/>
      <c r="Z506" s="175" t="str">
        <f ca="1">IFERROR(__xludf.DUMMYFUNCTION("QUERY('Volunteer Survey'!A505)"),"")</f>
        <v/>
      </c>
      <c r="AA506" s="175" t="str">
        <f ca="1">IFERROR(__xludf.DUMMYFUNCTION("QUERY('Volunteer Survey'!B505)"),"")</f>
        <v/>
      </c>
      <c r="AB506" s="175" t="str">
        <f ca="1">IFERROR(__xludf.DUMMYFUNCTION("QUERY('Volunteer Survey'!C505)"),"")</f>
        <v/>
      </c>
      <c r="AC506" s="175" t="str">
        <f ca="1">IFERROR(__xludf.DUMMYFUNCTION("QUERY('Volunteer Survey'!D505)"),"")</f>
        <v/>
      </c>
      <c r="AD506" s="175" t="str">
        <f ca="1">IFERROR(__xludf.DUMMYFUNCTION("QUERY('Volunteer Survey'!E505)"),"")</f>
        <v/>
      </c>
      <c r="AE506" s="175" t="str">
        <f ca="1">IFERROR(__xludf.DUMMYFUNCTION("QUERY('Volunteer Survey'!F505)"),"")</f>
        <v/>
      </c>
      <c r="AF506" s="175" t="str">
        <f ca="1">IFERROR(__xludf.DUMMYFUNCTION("QUERY('Volunteer Survey'!G505)"),"")</f>
        <v/>
      </c>
      <c r="AG506" s="175" t="str">
        <f ca="1">IFERROR(__xludf.DUMMYFUNCTION("QUERY('Volunteer Survey'!H505)"),"")</f>
        <v/>
      </c>
      <c r="AH506" s="175" t="str">
        <f ca="1">IFERROR(__xludf.DUMMYFUNCTION("QUERY('Volunteer Survey'!I505)"),"")</f>
        <v/>
      </c>
      <c r="AI506" s="175" t="str">
        <f ca="1">IFERROR(__xludf.DUMMYFUNCTION("QUERY('Volunteer Survey'!J505)"),"")</f>
        <v/>
      </c>
      <c r="AJ506" s="175" t="str">
        <f ca="1">IFERROR(__xludf.DUMMYFUNCTION("QUERY('Volunteer Survey'!K505)"),"")</f>
        <v/>
      </c>
      <c r="AK506" s="175" t="str">
        <f ca="1">IFERROR(__xludf.DUMMYFUNCTION("QUERY('Volunteer Survey'!L505)"),"")</f>
        <v/>
      </c>
      <c r="AL506" s="175" t="str">
        <f ca="1">IFERROR(__xludf.DUMMYFUNCTION("QUERY('Volunteer Survey'!M505)"),"")</f>
        <v/>
      </c>
      <c r="AM506" s="175" t="str">
        <f ca="1">IFERROR(__xludf.DUMMYFUNCTION("QUERY('Volunteer Survey'!N505)"),"")</f>
        <v/>
      </c>
      <c r="AN506" s="175" t="str">
        <f ca="1">IFERROR(__xludf.DUMMYFUNCTION("QUERY('Volunteer Survey'!O505)"),"")</f>
        <v/>
      </c>
      <c r="AO506" s="175" t="str">
        <f ca="1">IFERROR(__xludf.DUMMYFUNCTION("QUERY('Volunteer Survey'!P505)"),"")</f>
        <v/>
      </c>
    </row>
    <row r="507" spans="1:41" ht="14">
      <c r="A507" s="49">
        <f>'Volunteer Survey'!A917</f>
        <v>0</v>
      </c>
      <c r="B507" s="42" t="s">
        <v>322</v>
      </c>
      <c r="C507" s="47"/>
      <c r="D507" s="49"/>
      <c r="E507" s="49"/>
      <c r="F507" s="49" t="b">
        <v>0</v>
      </c>
      <c r="G507" s="49"/>
      <c r="H507" s="47"/>
      <c r="I507" s="47"/>
      <c r="J507" s="49"/>
      <c r="K507" s="49"/>
      <c r="L507" s="49">
        <f>'Volunteer Survey'!B917</f>
        <v>0</v>
      </c>
      <c r="M507" s="49">
        <f>'Volunteer Survey'!E917</f>
        <v>0</v>
      </c>
      <c r="N507" s="49">
        <f>'Volunteer Survey'!F918</f>
        <v>0</v>
      </c>
      <c r="O507" s="42">
        <f>'Volunteer Survey'!H918</f>
        <v>0</v>
      </c>
      <c r="P507" s="49"/>
      <c r="Q507" s="54" t="str">
        <f ca="1">IFERROR(__xludf.DUMMYFUNCTION("QUERY('Volunteer Survey'!J901)"),"")</f>
        <v/>
      </c>
      <c r="R507" s="49"/>
      <c r="S507" s="49">
        <f>'Volunteer Survey'!L912</f>
        <v>0</v>
      </c>
      <c r="T507" s="49">
        <f>'Volunteer Survey'!M917</f>
        <v>0</v>
      </c>
      <c r="U507" s="58"/>
      <c r="V507" s="49"/>
      <c r="W507" s="60">
        <f>'Volunteer Survey'!P917</f>
        <v>0</v>
      </c>
      <c r="X507" s="49"/>
      <c r="Y507" s="47"/>
      <c r="Z507" s="175" t="str">
        <f ca="1">IFERROR(__xludf.DUMMYFUNCTION("QUERY('Volunteer Survey'!A506)"),"")</f>
        <v/>
      </c>
      <c r="AA507" s="175" t="str">
        <f ca="1">IFERROR(__xludf.DUMMYFUNCTION("QUERY('Volunteer Survey'!B506)"),"")</f>
        <v/>
      </c>
      <c r="AB507" s="175" t="str">
        <f ca="1">IFERROR(__xludf.DUMMYFUNCTION("QUERY('Volunteer Survey'!C506)"),"")</f>
        <v/>
      </c>
      <c r="AC507" s="175" t="str">
        <f ca="1">IFERROR(__xludf.DUMMYFUNCTION("QUERY('Volunteer Survey'!D506)"),"")</f>
        <v/>
      </c>
      <c r="AD507" s="175" t="str">
        <f ca="1">IFERROR(__xludf.DUMMYFUNCTION("QUERY('Volunteer Survey'!E506)"),"")</f>
        <v/>
      </c>
      <c r="AE507" s="175" t="str">
        <f ca="1">IFERROR(__xludf.DUMMYFUNCTION("QUERY('Volunteer Survey'!F506)"),"")</f>
        <v/>
      </c>
      <c r="AF507" s="175" t="str">
        <f ca="1">IFERROR(__xludf.DUMMYFUNCTION("QUERY('Volunteer Survey'!G506)"),"")</f>
        <v/>
      </c>
      <c r="AG507" s="175" t="str">
        <f ca="1">IFERROR(__xludf.DUMMYFUNCTION("QUERY('Volunteer Survey'!H506)"),"")</f>
        <v/>
      </c>
      <c r="AH507" s="175" t="str">
        <f ca="1">IFERROR(__xludf.DUMMYFUNCTION("QUERY('Volunteer Survey'!I506)"),"")</f>
        <v/>
      </c>
      <c r="AI507" s="175" t="str">
        <f ca="1">IFERROR(__xludf.DUMMYFUNCTION("QUERY('Volunteer Survey'!J506)"),"")</f>
        <v/>
      </c>
      <c r="AJ507" s="175" t="str">
        <f ca="1">IFERROR(__xludf.DUMMYFUNCTION("QUERY('Volunteer Survey'!K506)"),"")</f>
        <v/>
      </c>
      <c r="AK507" s="175" t="str">
        <f ca="1">IFERROR(__xludf.DUMMYFUNCTION("QUERY('Volunteer Survey'!L506)"),"")</f>
        <v/>
      </c>
      <c r="AL507" s="175" t="str">
        <f ca="1">IFERROR(__xludf.DUMMYFUNCTION("QUERY('Volunteer Survey'!M506)"),"")</f>
        <v/>
      </c>
      <c r="AM507" s="175" t="str">
        <f ca="1">IFERROR(__xludf.DUMMYFUNCTION("QUERY('Volunteer Survey'!N506)"),"")</f>
        <v/>
      </c>
      <c r="AN507" s="175" t="str">
        <f ca="1">IFERROR(__xludf.DUMMYFUNCTION("QUERY('Volunteer Survey'!O506)"),"")</f>
        <v/>
      </c>
      <c r="AO507" s="175" t="str">
        <f ca="1">IFERROR(__xludf.DUMMYFUNCTION("QUERY('Volunteer Survey'!P506)"),"")</f>
        <v/>
      </c>
    </row>
    <row r="508" spans="1:41" ht="14">
      <c r="A508" s="49">
        <f>'Volunteer Survey'!A918</f>
        <v>0</v>
      </c>
      <c r="B508" s="42" t="s">
        <v>322</v>
      </c>
      <c r="C508" s="47"/>
      <c r="D508" s="49"/>
      <c r="E508" s="49"/>
      <c r="F508" s="49" t="b">
        <v>0</v>
      </c>
      <c r="G508" s="49"/>
      <c r="H508" s="47"/>
      <c r="I508" s="47"/>
      <c r="J508" s="49"/>
      <c r="K508" s="49"/>
      <c r="L508" s="49">
        <f>'Volunteer Survey'!B918</f>
        <v>0</v>
      </c>
      <c r="M508" s="49">
        <f>'Volunteer Survey'!E918</f>
        <v>0</v>
      </c>
      <c r="N508" s="49">
        <f>'Volunteer Survey'!F919</f>
        <v>0</v>
      </c>
      <c r="O508" s="42">
        <f>'Volunteer Survey'!H919</f>
        <v>0</v>
      </c>
      <c r="P508" s="49"/>
      <c r="Q508" s="54" t="str">
        <f ca="1">IFERROR(__xludf.DUMMYFUNCTION("QUERY('Volunteer Survey'!J902)"),"")</f>
        <v/>
      </c>
      <c r="R508" s="49"/>
      <c r="S508" s="49">
        <f>'Volunteer Survey'!L913</f>
        <v>0</v>
      </c>
      <c r="T508" s="49">
        <f>'Volunteer Survey'!M918</f>
        <v>0</v>
      </c>
      <c r="U508" s="58"/>
      <c r="V508" s="49"/>
      <c r="W508" s="60">
        <f>'Volunteer Survey'!P918</f>
        <v>0</v>
      </c>
      <c r="X508" s="49"/>
      <c r="Y508" s="47"/>
      <c r="Z508" s="175" t="str">
        <f ca="1">IFERROR(__xludf.DUMMYFUNCTION("QUERY('Volunteer Survey'!A507)"),"")</f>
        <v/>
      </c>
      <c r="AA508" s="175" t="str">
        <f ca="1">IFERROR(__xludf.DUMMYFUNCTION("QUERY('Volunteer Survey'!B507)"),"")</f>
        <v/>
      </c>
      <c r="AB508" s="175" t="str">
        <f ca="1">IFERROR(__xludf.DUMMYFUNCTION("QUERY('Volunteer Survey'!C507)"),"")</f>
        <v/>
      </c>
      <c r="AC508" s="175" t="str">
        <f ca="1">IFERROR(__xludf.DUMMYFUNCTION("QUERY('Volunteer Survey'!D507)"),"")</f>
        <v/>
      </c>
      <c r="AD508" s="175" t="str">
        <f ca="1">IFERROR(__xludf.DUMMYFUNCTION("QUERY('Volunteer Survey'!E507)"),"")</f>
        <v/>
      </c>
      <c r="AE508" s="175" t="str">
        <f ca="1">IFERROR(__xludf.DUMMYFUNCTION("QUERY('Volunteer Survey'!F507)"),"")</f>
        <v/>
      </c>
      <c r="AF508" s="175" t="str">
        <f ca="1">IFERROR(__xludf.DUMMYFUNCTION("QUERY('Volunteer Survey'!G507)"),"")</f>
        <v/>
      </c>
      <c r="AG508" s="175" t="str">
        <f ca="1">IFERROR(__xludf.DUMMYFUNCTION("QUERY('Volunteer Survey'!H507)"),"")</f>
        <v/>
      </c>
      <c r="AH508" s="175" t="str">
        <f ca="1">IFERROR(__xludf.DUMMYFUNCTION("QUERY('Volunteer Survey'!I507)"),"")</f>
        <v/>
      </c>
      <c r="AI508" s="175" t="str">
        <f ca="1">IFERROR(__xludf.DUMMYFUNCTION("QUERY('Volunteer Survey'!J507)"),"")</f>
        <v/>
      </c>
      <c r="AJ508" s="175" t="str">
        <f ca="1">IFERROR(__xludf.DUMMYFUNCTION("QUERY('Volunteer Survey'!K507)"),"")</f>
        <v/>
      </c>
      <c r="AK508" s="175" t="str">
        <f ca="1">IFERROR(__xludf.DUMMYFUNCTION("QUERY('Volunteer Survey'!L507)"),"")</f>
        <v/>
      </c>
      <c r="AL508" s="175" t="str">
        <f ca="1">IFERROR(__xludf.DUMMYFUNCTION("QUERY('Volunteer Survey'!M507)"),"")</f>
        <v/>
      </c>
      <c r="AM508" s="175" t="str">
        <f ca="1">IFERROR(__xludf.DUMMYFUNCTION("QUERY('Volunteer Survey'!N507)"),"")</f>
        <v/>
      </c>
      <c r="AN508" s="175" t="str">
        <f ca="1">IFERROR(__xludf.DUMMYFUNCTION("QUERY('Volunteer Survey'!O507)"),"")</f>
        <v/>
      </c>
      <c r="AO508" s="175" t="str">
        <f ca="1">IFERROR(__xludf.DUMMYFUNCTION("QUERY('Volunteer Survey'!P507)"),"")</f>
        <v/>
      </c>
    </row>
    <row r="509" spans="1:41" ht="14">
      <c r="A509" s="49">
        <f>'Volunteer Survey'!A919</f>
        <v>0</v>
      </c>
      <c r="B509" s="42" t="s">
        <v>322</v>
      </c>
      <c r="C509" s="47"/>
      <c r="D509" s="49"/>
      <c r="E509" s="49"/>
      <c r="F509" s="49" t="b">
        <v>0</v>
      </c>
      <c r="G509" s="49"/>
      <c r="H509" s="47"/>
      <c r="I509" s="47"/>
      <c r="J509" s="49"/>
      <c r="K509" s="49"/>
      <c r="L509" s="49">
        <f>'Volunteer Survey'!B919</f>
        <v>0</v>
      </c>
      <c r="M509" s="49">
        <f>'Volunteer Survey'!E919</f>
        <v>0</v>
      </c>
      <c r="N509" s="49">
        <f>'Volunteer Survey'!F920</f>
        <v>0</v>
      </c>
      <c r="O509" s="42">
        <f>'Volunteer Survey'!H920</f>
        <v>0</v>
      </c>
      <c r="P509" s="49"/>
      <c r="Q509" s="54" t="str">
        <f ca="1">IFERROR(__xludf.DUMMYFUNCTION("QUERY('Volunteer Survey'!J903)"),"")</f>
        <v/>
      </c>
      <c r="R509" s="49"/>
      <c r="S509" s="49">
        <f>'Volunteer Survey'!L914</f>
        <v>0</v>
      </c>
      <c r="T509" s="49">
        <f>'Volunteer Survey'!M919</f>
        <v>0</v>
      </c>
      <c r="U509" s="58"/>
      <c r="V509" s="49"/>
      <c r="W509" s="60">
        <f>'Volunteer Survey'!P919</f>
        <v>0</v>
      </c>
      <c r="X509" s="49"/>
      <c r="Y509" s="47"/>
      <c r="Z509" s="175" t="str">
        <f ca="1">IFERROR(__xludf.DUMMYFUNCTION("QUERY('Volunteer Survey'!A508)"),"")</f>
        <v/>
      </c>
      <c r="AA509" s="175" t="str">
        <f ca="1">IFERROR(__xludf.DUMMYFUNCTION("QUERY('Volunteer Survey'!B508)"),"")</f>
        <v/>
      </c>
      <c r="AB509" s="175" t="str">
        <f ca="1">IFERROR(__xludf.DUMMYFUNCTION("QUERY('Volunteer Survey'!C508)"),"")</f>
        <v/>
      </c>
      <c r="AC509" s="175" t="str">
        <f ca="1">IFERROR(__xludf.DUMMYFUNCTION("QUERY('Volunteer Survey'!D508)"),"")</f>
        <v/>
      </c>
      <c r="AD509" s="175" t="str">
        <f ca="1">IFERROR(__xludf.DUMMYFUNCTION("QUERY('Volunteer Survey'!E508)"),"")</f>
        <v/>
      </c>
      <c r="AE509" s="175" t="str">
        <f ca="1">IFERROR(__xludf.DUMMYFUNCTION("QUERY('Volunteer Survey'!F508)"),"")</f>
        <v/>
      </c>
      <c r="AF509" s="175" t="str">
        <f ca="1">IFERROR(__xludf.DUMMYFUNCTION("QUERY('Volunteer Survey'!G508)"),"")</f>
        <v/>
      </c>
      <c r="AG509" s="175" t="str">
        <f ca="1">IFERROR(__xludf.DUMMYFUNCTION("QUERY('Volunteer Survey'!H508)"),"")</f>
        <v/>
      </c>
      <c r="AH509" s="175" t="str">
        <f ca="1">IFERROR(__xludf.DUMMYFUNCTION("QUERY('Volunteer Survey'!I508)"),"")</f>
        <v/>
      </c>
      <c r="AI509" s="175" t="str">
        <f ca="1">IFERROR(__xludf.DUMMYFUNCTION("QUERY('Volunteer Survey'!J508)"),"")</f>
        <v/>
      </c>
      <c r="AJ509" s="175" t="str">
        <f ca="1">IFERROR(__xludf.DUMMYFUNCTION("QUERY('Volunteer Survey'!K508)"),"")</f>
        <v/>
      </c>
      <c r="AK509" s="175" t="str">
        <f ca="1">IFERROR(__xludf.DUMMYFUNCTION("QUERY('Volunteer Survey'!L508)"),"")</f>
        <v/>
      </c>
      <c r="AL509" s="175" t="str">
        <f ca="1">IFERROR(__xludf.DUMMYFUNCTION("QUERY('Volunteer Survey'!M508)"),"")</f>
        <v/>
      </c>
      <c r="AM509" s="175" t="str">
        <f ca="1">IFERROR(__xludf.DUMMYFUNCTION("QUERY('Volunteer Survey'!N508)"),"")</f>
        <v/>
      </c>
      <c r="AN509" s="175" t="str">
        <f ca="1">IFERROR(__xludf.DUMMYFUNCTION("QUERY('Volunteer Survey'!O508)"),"")</f>
        <v/>
      </c>
      <c r="AO509" s="175" t="str">
        <f ca="1">IFERROR(__xludf.DUMMYFUNCTION("QUERY('Volunteer Survey'!P508)"),"")</f>
        <v/>
      </c>
    </row>
    <row r="510" spans="1:41" ht="14">
      <c r="A510" s="49">
        <f>'Volunteer Survey'!A920</f>
        <v>0</v>
      </c>
      <c r="B510" s="42" t="s">
        <v>322</v>
      </c>
      <c r="C510" s="47"/>
      <c r="D510" s="49"/>
      <c r="E510" s="49"/>
      <c r="F510" s="49" t="b">
        <v>0</v>
      </c>
      <c r="G510" s="49"/>
      <c r="H510" s="47"/>
      <c r="I510" s="47"/>
      <c r="J510" s="49"/>
      <c r="K510" s="49"/>
      <c r="L510" s="49">
        <f>'Volunteer Survey'!B920</f>
        <v>0</v>
      </c>
      <c r="M510" s="49">
        <f>'Volunteer Survey'!E920</f>
        <v>0</v>
      </c>
      <c r="N510" s="49">
        <f>'Volunteer Survey'!F921</f>
        <v>0</v>
      </c>
      <c r="O510" s="42">
        <f>'Volunteer Survey'!H921</f>
        <v>0</v>
      </c>
      <c r="P510" s="49"/>
      <c r="Q510" s="54" t="str">
        <f ca="1">IFERROR(__xludf.DUMMYFUNCTION("QUERY('Volunteer Survey'!J904)"),"")</f>
        <v/>
      </c>
      <c r="R510" s="49"/>
      <c r="S510" s="49"/>
      <c r="T510" s="49">
        <f>'Volunteer Survey'!M920</f>
        <v>0</v>
      </c>
      <c r="U510" s="58"/>
      <c r="V510" s="49"/>
      <c r="W510" s="60">
        <f>'Volunteer Survey'!P920</f>
        <v>0</v>
      </c>
      <c r="X510" s="49"/>
      <c r="Y510" s="47"/>
      <c r="Z510" s="175" t="str">
        <f ca="1">IFERROR(__xludf.DUMMYFUNCTION("QUERY('Volunteer Survey'!A509)"),"")</f>
        <v/>
      </c>
      <c r="AA510" s="175" t="str">
        <f ca="1">IFERROR(__xludf.DUMMYFUNCTION("QUERY('Volunteer Survey'!B509)"),"")</f>
        <v/>
      </c>
      <c r="AB510" s="175" t="str">
        <f ca="1">IFERROR(__xludf.DUMMYFUNCTION("QUERY('Volunteer Survey'!C509)"),"")</f>
        <v/>
      </c>
      <c r="AC510" s="175" t="str">
        <f ca="1">IFERROR(__xludf.DUMMYFUNCTION("QUERY('Volunteer Survey'!D509)"),"")</f>
        <v/>
      </c>
      <c r="AD510" s="175" t="str">
        <f ca="1">IFERROR(__xludf.DUMMYFUNCTION("QUERY('Volunteer Survey'!E509)"),"")</f>
        <v/>
      </c>
      <c r="AE510" s="175" t="str">
        <f ca="1">IFERROR(__xludf.DUMMYFUNCTION("QUERY('Volunteer Survey'!F509)"),"")</f>
        <v/>
      </c>
      <c r="AF510" s="175" t="str">
        <f ca="1">IFERROR(__xludf.DUMMYFUNCTION("QUERY('Volunteer Survey'!G509)"),"")</f>
        <v/>
      </c>
      <c r="AG510" s="175" t="str">
        <f ca="1">IFERROR(__xludf.DUMMYFUNCTION("QUERY('Volunteer Survey'!H509)"),"")</f>
        <v/>
      </c>
      <c r="AH510" s="175" t="str">
        <f ca="1">IFERROR(__xludf.DUMMYFUNCTION("QUERY('Volunteer Survey'!I509)"),"")</f>
        <v/>
      </c>
      <c r="AI510" s="175" t="str">
        <f ca="1">IFERROR(__xludf.DUMMYFUNCTION("QUERY('Volunteer Survey'!J509)"),"")</f>
        <v/>
      </c>
      <c r="AJ510" s="175" t="str">
        <f ca="1">IFERROR(__xludf.DUMMYFUNCTION("QUERY('Volunteer Survey'!K509)"),"")</f>
        <v/>
      </c>
      <c r="AK510" s="175" t="str">
        <f ca="1">IFERROR(__xludf.DUMMYFUNCTION("QUERY('Volunteer Survey'!L509)"),"")</f>
        <v/>
      </c>
      <c r="AL510" s="175" t="str">
        <f ca="1">IFERROR(__xludf.DUMMYFUNCTION("QUERY('Volunteer Survey'!M509)"),"")</f>
        <v/>
      </c>
      <c r="AM510" s="175" t="str">
        <f ca="1">IFERROR(__xludf.DUMMYFUNCTION("QUERY('Volunteer Survey'!N509)"),"")</f>
        <v/>
      </c>
      <c r="AN510" s="175" t="str">
        <f ca="1">IFERROR(__xludf.DUMMYFUNCTION("QUERY('Volunteer Survey'!O509)"),"")</f>
        <v/>
      </c>
      <c r="AO510" s="175" t="str">
        <f ca="1">IFERROR(__xludf.DUMMYFUNCTION("QUERY('Volunteer Survey'!P509)"),"")</f>
        <v/>
      </c>
    </row>
    <row r="511" spans="1:41" ht="14">
      <c r="A511" s="49">
        <f>'Volunteer Survey'!A921</f>
        <v>0</v>
      </c>
      <c r="B511" s="42" t="s">
        <v>322</v>
      </c>
      <c r="C511" s="47"/>
      <c r="D511" s="49"/>
      <c r="E511" s="49"/>
      <c r="F511" s="49" t="b">
        <v>0</v>
      </c>
      <c r="G511" s="49"/>
      <c r="H511" s="47"/>
      <c r="I511" s="47"/>
      <c r="J511" s="49"/>
      <c r="K511" s="49"/>
      <c r="L511" s="49">
        <f>'Volunteer Survey'!B921</f>
        <v>0</v>
      </c>
      <c r="M511" s="49">
        <f>'Volunteer Survey'!E921</f>
        <v>0</v>
      </c>
      <c r="N511" s="49">
        <f>'Volunteer Survey'!F922</f>
        <v>0</v>
      </c>
      <c r="O511" s="42">
        <f>'Volunteer Survey'!H922</f>
        <v>0</v>
      </c>
      <c r="P511" s="49"/>
      <c r="Q511" s="54" t="str">
        <f ca="1">IFERROR(__xludf.DUMMYFUNCTION("QUERY('Volunteer Survey'!J905)"),"")</f>
        <v/>
      </c>
      <c r="R511" s="49"/>
      <c r="S511" s="49"/>
      <c r="T511" s="49">
        <f>'Volunteer Survey'!M921</f>
        <v>0</v>
      </c>
      <c r="U511" s="58"/>
      <c r="V511" s="49"/>
      <c r="W511" s="60">
        <f>'Volunteer Survey'!P921</f>
        <v>0</v>
      </c>
      <c r="X511" s="49"/>
      <c r="Y511" s="47"/>
      <c r="Z511" s="175" t="str">
        <f ca="1">IFERROR(__xludf.DUMMYFUNCTION("QUERY('Volunteer Survey'!A510)"),"")</f>
        <v/>
      </c>
      <c r="AA511" s="175" t="str">
        <f ca="1">IFERROR(__xludf.DUMMYFUNCTION("QUERY('Volunteer Survey'!B510)"),"")</f>
        <v/>
      </c>
      <c r="AB511" s="175" t="str">
        <f ca="1">IFERROR(__xludf.DUMMYFUNCTION("QUERY('Volunteer Survey'!C510)"),"")</f>
        <v/>
      </c>
      <c r="AC511" s="175" t="str">
        <f ca="1">IFERROR(__xludf.DUMMYFUNCTION("QUERY('Volunteer Survey'!D510)"),"")</f>
        <v/>
      </c>
      <c r="AD511" s="175" t="str">
        <f ca="1">IFERROR(__xludf.DUMMYFUNCTION("QUERY('Volunteer Survey'!E510)"),"")</f>
        <v/>
      </c>
      <c r="AE511" s="175" t="str">
        <f ca="1">IFERROR(__xludf.DUMMYFUNCTION("QUERY('Volunteer Survey'!F510)"),"")</f>
        <v/>
      </c>
      <c r="AF511" s="175" t="str">
        <f ca="1">IFERROR(__xludf.DUMMYFUNCTION("QUERY('Volunteer Survey'!G510)"),"")</f>
        <v/>
      </c>
      <c r="AG511" s="175" t="str">
        <f ca="1">IFERROR(__xludf.DUMMYFUNCTION("QUERY('Volunteer Survey'!H510)"),"")</f>
        <v/>
      </c>
      <c r="AH511" s="175" t="str">
        <f ca="1">IFERROR(__xludf.DUMMYFUNCTION("QUERY('Volunteer Survey'!I510)"),"")</f>
        <v/>
      </c>
      <c r="AI511" s="175" t="str">
        <f ca="1">IFERROR(__xludf.DUMMYFUNCTION("QUERY('Volunteer Survey'!J510)"),"")</f>
        <v/>
      </c>
      <c r="AJ511" s="175" t="str">
        <f ca="1">IFERROR(__xludf.DUMMYFUNCTION("QUERY('Volunteer Survey'!K510)"),"")</f>
        <v/>
      </c>
      <c r="AK511" s="175" t="str">
        <f ca="1">IFERROR(__xludf.DUMMYFUNCTION("QUERY('Volunteer Survey'!L510)"),"")</f>
        <v/>
      </c>
      <c r="AL511" s="175" t="str">
        <f ca="1">IFERROR(__xludf.DUMMYFUNCTION("QUERY('Volunteer Survey'!M510)"),"")</f>
        <v/>
      </c>
      <c r="AM511" s="175" t="str">
        <f ca="1">IFERROR(__xludf.DUMMYFUNCTION("QUERY('Volunteer Survey'!N510)"),"")</f>
        <v/>
      </c>
      <c r="AN511" s="175" t="str">
        <f ca="1">IFERROR(__xludf.DUMMYFUNCTION("QUERY('Volunteer Survey'!O510)"),"")</f>
        <v/>
      </c>
      <c r="AO511" s="175" t="str">
        <f ca="1">IFERROR(__xludf.DUMMYFUNCTION("QUERY('Volunteer Survey'!P510)"),"")</f>
        <v/>
      </c>
    </row>
    <row r="512" spans="1:41" ht="14">
      <c r="A512" s="49">
        <f>'Volunteer Survey'!A922</f>
        <v>0</v>
      </c>
      <c r="B512" s="42" t="s">
        <v>322</v>
      </c>
      <c r="C512" s="47"/>
      <c r="D512" s="49"/>
      <c r="E512" s="49"/>
      <c r="F512" s="49" t="b">
        <v>0</v>
      </c>
      <c r="G512" s="49"/>
      <c r="H512" s="47"/>
      <c r="I512" s="47"/>
      <c r="J512" s="49"/>
      <c r="K512" s="49"/>
      <c r="L512" s="49">
        <f>'Volunteer Survey'!B922</f>
        <v>0</v>
      </c>
      <c r="M512" s="49">
        <f>'Volunteer Survey'!E922</f>
        <v>0</v>
      </c>
      <c r="N512" s="49">
        <f>'Volunteer Survey'!F923</f>
        <v>0</v>
      </c>
      <c r="O512" s="42">
        <f>'Volunteer Survey'!H923</f>
        <v>0</v>
      </c>
      <c r="P512" s="49"/>
      <c r="Q512" s="54" t="str">
        <f ca="1">IFERROR(__xludf.DUMMYFUNCTION("QUERY('Volunteer Survey'!J906)"),"")</f>
        <v/>
      </c>
      <c r="R512" s="49"/>
      <c r="S512" s="49"/>
      <c r="T512" s="49">
        <f>'Volunteer Survey'!M922</f>
        <v>0</v>
      </c>
      <c r="U512" s="58"/>
      <c r="V512" s="49"/>
      <c r="W512" s="60">
        <f>'Volunteer Survey'!P922</f>
        <v>0</v>
      </c>
      <c r="X512" s="49"/>
      <c r="Y512" s="47"/>
      <c r="Z512" s="175" t="str">
        <f ca="1">IFERROR(__xludf.DUMMYFUNCTION("QUERY('Volunteer Survey'!A511)"),"")</f>
        <v/>
      </c>
      <c r="AA512" s="175" t="str">
        <f ca="1">IFERROR(__xludf.DUMMYFUNCTION("QUERY('Volunteer Survey'!B511)"),"")</f>
        <v/>
      </c>
      <c r="AB512" s="175" t="str">
        <f ca="1">IFERROR(__xludf.DUMMYFUNCTION("QUERY('Volunteer Survey'!C511)"),"")</f>
        <v/>
      </c>
      <c r="AC512" s="175" t="str">
        <f ca="1">IFERROR(__xludf.DUMMYFUNCTION("QUERY('Volunteer Survey'!D511)"),"")</f>
        <v/>
      </c>
      <c r="AD512" s="175" t="str">
        <f ca="1">IFERROR(__xludf.DUMMYFUNCTION("QUERY('Volunteer Survey'!E511)"),"")</f>
        <v/>
      </c>
      <c r="AE512" s="175" t="str">
        <f ca="1">IFERROR(__xludf.DUMMYFUNCTION("QUERY('Volunteer Survey'!F511)"),"")</f>
        <v/>
      </c>
      <c r="AF512" s="175" t="str">
        <f ca="1">IFERROR(__xludf.DUMMYFUNCTION("QUERY('Volunteer Survey'!G511)"),"")</f>
        <v/>
      </c>
      <c r="AG512" s="175" t="str">
        <f ca="1">IFERROR(__xludf.DUMMYFUNCTION("QUERY('Volunteer Survey'!H511)"),"")</f>
        <v/>
      </c>
      <c r="AH512" s="175" t="str">
        <f ca="1">IFERROR(__xludf.DUMMYFUNCTION("QUERY('Volunteer Survey'!I511)"),"")</f>
        <v/>
      </c>
      <c r="AI512" s="175" t="str">
        <f ca="1">IFERROR(__xludf.DUMMYFUNCTION("QUERY('Volunteer Survey'!J511)"),"")</f>
        <v/>
      </c>
      <c r="AJ512" s="175" t="str">
        <f ca="1">IFERROR(__xludf.DUMMYFUNCTION("QUERY('Volunteer Survey'!K511)"),"")</f>
        <v/>
      </c>
      <c r="AK512" s="175" t="str">
        <f ca="1">IFERROR(__xludf.DUMMYFUNCTION("QUERY('Volunteer Survey'!L511)"),"")</f>
        <v/>
      </c>
      <c r="AL512" s="175" t="str">
        <f ca="1">IFERROR(__xludf.DUMMYFUNCTION("QUERY('Volunteer Survey'!M511)"),"")</f>
        <v/>
      </c>
      <c r="AM512" s="175" t="str">
        <f ca="1">IFERROR(__xludf.DUMMYFUNCTION("QUERY('Volunteer Survey'!N511)"),"")</f>
        <v/>
      </c>
      <c r="AN512" s="175" t="str">
        <f ca="1">IFERROR(__xludf.DUMMYFUNCTION("QUERY('Volunteer Survey'!O511)"),"")</f>
        <v/>
      </c>
      <c r="AO512" s="175" t="str">
        <f ca="1">IFERROR(__xludf.DUMMYFUNCTION("QUERY('Volunteer Survey'!P511)"),"")</f>
        <v/>
      </c>
    </row>
    <row r="513" spans="1:41" ht="14">
      <c r="A513" s="49">
        <f>'Volunteer Survey'!A923</f>
        <v>0</v>
      </c>
      <c r="B513" s="42" t="s">
        <v>322</v>
      </c>
      <c r="C513" s="47"/>
      <c r="D513" s="49"/>
      <c r="E513" s="49"/>
      <c r="F513" s="49" t="b">
        <v>0</v>
      </c>
      <c r="G513" s="49"/>
      <c r="H513" s="47"/>
      <c r="I513" s="47"/>
      <c r="J513" s="49"/>
      <c r="K513" s="49"/>
      <c r="L513" s="49">
        <f>'Volunteer Survey'!B923</f>
        <v>0</v>
      </c>
      <c r="M513" s="49">
        <f>'Volunteer Survey'!E923</f>
        <v>0</v>
      </c>
      <c r="N513" s="49">
        <f>'Volunteer Survey'!F924</f>
        <v>0</v>
      </c>
      <c r="O513" s="42">
        <f>'Volunteer Survey'!H924</f>
        <v>0</v>
      </c>
      <c r="P513" s="49"/>
      <c r="Q513" s="54" t="str">
        <f ca="1">IFERROR(__xludf.DUMMYFUNCTION("QUERY('Volunteer Survey'!J907)"),"")</f>
        <v/>
      </c>
      <c r="R513" s="49"/>
      <c r="S513" s="49"/>
      <c r="T513" s="49">
        <f>'Volunteer Survey'!M923</f>
        <v>0</v>
      </c>
      <c r="U513" s="58"/>
      <c r="V513" s="49"/>
      <c r="W513" s="60">
        <f>'Volunteer Survey'!P923</f>
        <v>0</v>
      </c>
      <c r="X513" s="49"/>
      <c r="Y513" s="47"/>
      <c r="Z513" s="175" t="str">
        <f ca="1">IFERROR(__xludf.DUMMYFUNCTION("QUERY('Volunteer Survey'!A512)"),"")</f>
        <v/>
      </c>
      <c r="AA513" s="175" t="str">
        <f ca="1">IFERROR(__xludf.DUMMYFUNCTION("QUERY('Volunteer Survey'!B512)"),"")</f>
        <v/>
      </c>
      <c r="AB513" s="175" t="str">
        <f ca="1">IFERROR(__xludf.DUMMYFUNCTION("QUERY('Volunteer Survey'!C512)"),"")</f>
        <v/>
      </c>
      <c r="AC513" s="175" t="str">
        <f ca="1">IFERROR(__xludf.DUMMYFUNCTION("QUERY('Volunteer Survey'!D512)"),"")</f>
        <v/>
      </c>
      <c r="AD513" s="175" t="str">
        <f ca="1">IFERROR(__xludf.DUMMYFUNCTION("QUERY('Volunteer Survey'!E512)"),"")</f>
        <v/>
      </c>
      <c r="AE513" s="175" t="str">
        <f ca="1">IFERROR(__xludf.DUMMYFUNCTION("QUERY('Volunteer Survey'!F512)"),"")</f>
        <v/>
      </c>
      <c r="AF513" s="175" t="str">
        <f ca="1">IFERROR(__xludf.DUMMYFUNCTION("QUERY('Volunteer Survey'!G512)"),"")</f>
        <v/>
      </c>
      <c r="AG513" s="175" t="str">
        <f ca="1">IFERROR(__xludf.DUMMYFUNCTION("QUERY('Volunteer Survey'!H512)"),"")</f>
        <v/>
      </c>
      <c r="AH513" s="175" t="str">
        <f ca="1">IFERROR(__xludf.DUMMYFUNCTION("QUERY('Volunteer Survey'!I512)"),"")</f>
        <v/>
      </c>
      <c r="AI513" s="175" t="str">
        <f ca="1">IFERROR(__xludf.DUMMYFUNCTION("QUERY('Volunteer Survey'!J512)"),"")</f>
        <v/>
      </c>
      <c r="AJ513" s="175" t="str">
        <f ca="1">IFERROR(__xludf.DUMMYFUNCTION("QUERY('Volunteer Survey'!K512)"),"")</f>
        <v/>
      </c>
      <c r="AK513" s="175" t="str">
        <f ca="1">IFERROR(__xludf.DUMMYFUNCTION("QUERY('Volunteer Survey'!L512)"),"")</f>
        <v/>
      </c>
      <c r="AL513" s="175" t="str">
        <f ca="1">IFERROR(__xludf.DUMMYFUNCTION("QUERY('Volunteer Survey'!M512)"),"")</f>
        <v/>
      </c>
      <c r="AM513" s="175" t="str">
        <f ca="1">IFERROR(__xludf.DUMMYFUNCTION("QUERY('Volunteer Survey'!N512)"),"")</f>
        <v/>
      </c>
      <c r="AN513" s="175" t="str">
        <f ca="1">IFERROR(__xludf.DUMMYFUNCTION("QUERY('Volunteer Survey'!O512)"),"")</f>
        <v/>
      </c>
      <c r="AO513" s="175" t="str">
        <f ca="1">IFERROR(__xludf.DUMMYFUNCTION("QUERY('Volunteer Survey'!P512)"),"")</f>
        <v/>
      </c>
    </row>
    <row r="514" spans="1:41" ht="14">
      <c r="A514" s="49">
        <f>'Volunteer Survey'!A924</f>
        <v>0</v>
      </c>
      <c r="B514" s="42" t="s">
        <v>322</v>
      </c>
      <c r="C514" s="47"/>
      <c r="D514" s="49"/>
      <c r="E514" s="49"/>
      <c r="F514" s="49" t="b">
        <v>0</v>
      </c>
      <c r="G514" s="49"/>
      <c r="H514" s="47"/>
      <c r="I514" s="47"/>
      <c r="J514" s="49"/>
      <c r="K514" s="49"/>
      <c r="L514" s="49">
        <f>'Volunteer Survey'!B924</f>
        <v>0</v>
      </c>
      <c r="M514" s="49">
        <f>'Volunteer Survey'!E924</f>
        <v>0</v>
      </c>
      <c r="N514" s="49">
        <f>'Volunteer Survey'!F925</f>
        <v>0</v>
      </c>
      <c r="O514" s="42">
        <f>'Volunteer Survey'!H925</f>
        <v>0</v>
      </c>
      <c r="P514" s="49"/>
      <c r="Q514" s="54" t="str">
        <f ca="1">IFERROR(__xludf.DUMMYFUNCTION("QUERY('Volunteer Survey'!J908)"),"")</f>
        <v/>
      </c>
      <c r="R514" s="49"/>
      <c r="S514" s="49"/>
      <c r="T514" s="49">
        <f>'Volunteer Survey'!M924</f>
        <v>0</v>
      </c>
      <c r="U514" s="58"/>
      <c r="V514" s="49"/>
      <c r="W514" s="60">
        <f>'Volunteer Survey'!P924</f>
        <v>0</v>
      </c>
      <c r="X514" s="49"/>
      <c r="Y514" s="47"/>
      <c r="Z514" s="175" t="str">
        <f ca="1">IFERROR(__xludf.DUMMYFUNCTION("QUERY('Volunteer Survey'!A513)"),"")</f>
        <v/>
      </c>
      <c r="AA514" s="175" t="str">
        <f ca="1">IFERROR(__xludf.DUMMYFUNCTION("QUERY('Volunteer Survey'!B513)"),"")</f>
        <v/>
      </c>
      <c r="AB514" s="175" t="str">
        <f ca="1">IFERROR(__xludf.DUMMYFUNCTION("QUERY('Volunteer Survey'!C513)"),"")</f>
        <v/>
      </c>
      <c r="AC514" s="175" t="str">
        <f ca="1">IFERROR(__xludf.DUMMYFUNCTION("QUERY('Volunteer Survey'!D513)"),"")</f>
        <v/>
      </c>
      <c r="AD514" s="175" t="str">
        <f ca="1">IFERROR(__xludf.DUMMYFUNCTION("QUERY('Volunteer Survey'!E513)"),"")</f>
        <v/>
      </c>
      <c r="AE514" s="175" t="str">
        <f ca="1">IFERROR(__xludf.DUMMYFUNCTION("QUERY('Volunteer Survey'!F513)"),"")</f>
        <v/>
      </c>
      <c r="AF514" s="175" t="str">
        <f ca="1">IFERROR(__xludf.DUMMYFUNCTION("QUERY('Volunteer Survey'!G513)"),"")</f>
        <v/>
      </c>
      <c r="AG514" s="175" t="str">
        <f ca="1">IFERROR(__xludf.DUMMYFUNCTION("QUERY('Volunteer Survey'!H513)"),"")</f>
        <v/>
      </c>
      <c r="AH514" s="175" t="str">
        <f ca="1">IFERROR(__xludf.DUMMYFUNCTION("QUERY('Volunteer Survey'!I513)"),"")</f>
        <v/>
      </c>
      <c r="AI514" s="175" t="str">
        <f ca="1">IFERROR(__xludf.DUMMYFUNCTION("QUERY('Volunteer Survey'!J513)"),"")</f>
        <v/>
      </c>
      <c r="AJ514" s="175" t="str">
        <f ca="1">IFERROR(__xludf.DUMMYFUNCTION("QUERY('Volunteer Survey'!K513)"),"")</f>
        <v/>
      </c>
      <c r="AK514" s="175" t="str">
        <f ca="1">IFERROR(__xludf.DUMMYFUNCTION("QUERY('Volunteer Survey'!L513)"),"")</f>
        <v/>
      </c>
      <c r="AL514" s="175" t="str">
        <f ca="1">IFERROR(__xludf.DUMMYFUNCTION("QUERY('Volunteer Survey'!M513)"),"")</f>
        <v/>
      </c>
      <c r="AM514" s="175" t="str">
        <f ca="1">IFERROR(__xludf.DUMMYFUNCTION("QUERY('Volunteer Survey'!N513)"),"")</f>
        <v/>
      </c>
      <c r="AN514" s="175" t="str">
        <f ca="1">IFERROR(__xludf.DUMMYFUNCTION("QUERY('Volunteer Survey'!O513)"),"")</f>
        <v/>
      </c>
      <c r="AO514" s="175" t="str">
        <f ca="1">IFERROR(__xludf.DUMMYFUNCTION("QUERY('Volunteer Survey'!P513)"),"")</f>
        <v/>
      </c>
    </row>
    <row r="515" spans="1:41" ht="14">
      <c r="A515" s="49">
        <f>'Volunteer Survey'!A925</f>
        <v>0</v>
      </c>
      <c r="B515" s="42" t="s">
        <v>322</v>
      </c>
      <c r="C515" s="47"/>
      <c r="D515" s="49"/>
      <c r="E515" s="49"/>
      <c r="F515" s="49" t="b">
        <v>0</v>
      </c>
      <c r="G515" s="49"/>
      <c r="H515" s="47"/>
      <c r="I515" s="47"/>
      <c r="J515" s="49"/>
      <c r="K515" s="49"/>
      <c r="L515" s="49">
        <f>'Volunteer Survey'!B925</f>
        <v>0</v>
      </c>
      <c r="M515" s="49">
        <f>'Volunteer Survey'!E925</f>
        <v>0</v>
      </c>
      <c r="N515" s="49">
        <f>'Volunteer Survey'!F926</f>
        <v>0</v>
      </c>
      <c r="O515" s="42">
        <f>'Volunteer Survey'!H926</f>
        <v>0</v>
      </c>
      <c r="P515" s="49"/>
      <c r="Q515" s="54" t="str">
        <f ca="1">IFERROR(__xludf.DUMMYFUNCTION("QUERY('Volunteer Survey'!J909)"),"")</f>
        <v/>
      </c>
      <c r="R515" s="49"/>
      <c r="S515" s="49"/>
      <c r="T515" s="49">
        <f>'Volunteer Survey'!M925</f>
        <v>0</v>
      </c>
      <c r="U515" s="58"/>
      <c r="V515" s="49"/>
      <c r="W515" s="60">
        <f>'Volunteer Survey'!P925</f>
        <v>0</v>
      </c>
      <c r="X515" s="49"/>
      <c r="Y515" s="47"/>
      <c r="Z515" s="175" t="str">
        <f ca="1">IFERROR(__xludf.DUMMYFUNCTION("QUERY('Volunteer Survey'!A514)"),"")</f>
        <v/>
      </c>
      <c r="AA515" s="175" t="str">
        <f ca="1">IFERROR(__xludf.DUMMYFUNCTION("QUERY('Volunteer Survey'!B514)"),"")</f>
        <v/>
      </c>
      <c r="AB515" s="175" t="str">
        <f ca="1">IFERROR(__xludf.DUMMYFUNCTION("QUERY('Volunteer Survey'!C514)"),"")</f>
        <v/>
      </c>
      <c r="AC515" s="175" t="str">
        <f ca="1">IFERROR(__xludf.DUMMYFUNCTION("QUERY('Volunteer Survey'!D514)"),"")</f>
        <v/>
      </c>
      <c r="AD515" s="175" t="str">
        <f ca="1">IFERROR(__xludf.DUMMYFUNCTION("QUERY('Volunteer Survey'!E514)"),"")</f>
        <v/>
      </c>
      <c r="AE515" s="175" t="str">
        <f ca="1">IFERROR(__xludf.DUMMYFUNCTION("QUERY('Volunteer Survey'!F514)"),"")</f>
        <v/>
      </c>
      <c r="AF515" s="175" t="str">
        <f ca="1">IFERROR(__xludf.DUMMYFUNCTION("QUERY('Volunteer Survey'!G514)"),"")</f>
        <v/>
      </c>
      <c r="AG515" s="175" t="str">
        <f ca="1">IFERROR(__xludf.DUMMYFUNCTION("QUERY('Volunteer Survey'!H514)"),"")</f>
        <v/>
      </c>
      <c r="AH515" s="175" t="str">
        <f ca="1">IFERROR(__xludf.DUMMYFUNCTION("QUERY('Volunteer Survey'!I514)"),"")</f>
        <v/>
      </c>
      <c r="AI515" s="175" t="str">
        <f ca="1">IFERROR(__xludf.DUMMYFUNCTION("QUERY('Volunteer Survey'!J514)"),"")</f>
        <v/>
      </c>
      <c r="AJ515" s="175" t="str">
        <f ca="1">IFERROR(__xludf.DUMMYFUNCTION("QUERY('Volunteer Survey'!K514)"),"")</f>
        <v/>
      </c>
      <c r="AK515" s="175" t="str">
        <f ca="1">IFERROR(__xludf.DUMMYFUNCTION("QUERY('Volunteer Survey'!L514)"),"")</f>
        <v/>
      </c>
      <c r="AL515" s="175" t="str">
        <f ca="1">IFERROR(__xludf.DUMMYFUNCTION("QUERY('Volunteer Survey'!M514)"),"")</f>
        <v/>
      </c>
      <c r="AM515" s="175" t="str">
        <f ca="1">IFERROR(__xludf.DUMMYFUNCTION("QUERY('Volunteer Survey'!N514)"),"")</f>
        <v/>
      </c>
      <c r="AN515" s="175" t="str">
        <f ca="1">IFERROR(__xludf.DUMMYFUNCTION("QUERY('Volunteer Survey'!O514)"),"")</f>
        <v/>
      </c>
      <c r="AO515" s="175" t="str">
        <f ca="1">IFERROR(__xludf.DUMMYFUNCTION("QUERY('Volunteer Survey'!P514)"),"")</f>
        <v/>
      </c>
    </row>
    <row r="516" spans="1:41" ht="14">
      <c r="A516" s="49">
        <f>'Volunteer Survey'!A926</f>
        <v>0</v>
      </c>
      <c r="B516" s="42" t="s">
        <v>322</v>
      </c>
      <c r="C516" s="47"/>
      <c r="D516" s="49"/>
      <c r="E516" s="49"/>
      <c r="F516" s="49" t="b">
        <v>0</v>
      </c>
      <c r="G516" s="49"/>
      <c r="H516" s="47"/>
      <c r="I516" s="47"/>
      <c r="J516" s="49"/>
      <c r="K516" s="49"/>
      <c r="L516" s="49">
        <f>'Volunteer Survey'!B926</f>
        <v>0</v>
      </c>
      <c r="M516" s="49">
        <f>'Volunteer Survey'!E926</f>
        <v>0</v>
      </c>
      <c r="N516" s="49">
        <f>'Volunteer Survey'!F927</f>
        <v>0</v>
      </c>
      <c r="O516" s="42">
        <f>'Volunteer Survey'!H927</f>
        <v>0</v>
      </c>
      <c r="P516" s="49"/>
      <c r="Q516" s="54" t="str">
        <f ca="1">IFERROR(__xludf.DUMMYFUNCTION("QUERY('Volunteer Survey'!J910)"),"")</f>
        <v/>
      </c>
      <c r="R516" s="49"/>
      <c r="S516" s="49"/>
      <c r="T516" s="49">
        <f>'Volunteer Survey'!M926</f>
        <v>0</v>
      </c>
      <c r="U516" s="58"/>
      <c r="V516" s="49"/>
      <c r="W516" s="60">
        <f>'Volunteer Survey'!P926</f>
        <v>0</v>
      </c>
      <c r="X516" s="49"/>
      <c r="Y516" s="47"/>
      <c r="Z516" s="175" t="str">
        <f ca="1">IFERROR(__xludf.DUMMYFUNCTION("QUERY('Volunteer Survey'!A515)"),"")</f>
        <v/>
      </c>
      <c r="AA516" s="175" t="str">
        <f ca="1">IFERROR(__xludf.DUMMYFUNCTION("QUERY('Volunteer Survey'!B515)"),"")</f>
        <v/>
      </c>
      <c r="AB516" s="175" t="str">
        <f ca="1">IFERROR(__xludf.DUMMYFUNCTION("QUERY('Volunteer Survey'!C515)"),"")</f>
        <v/>
      </c>
      <c r="AC516" s="175" t="str">
        <f ca="1">IFERROR(__xludf.DUMMYFUNCTION("QUERY('Volunteer Survey'!D515)"),"")</f>
        <v/>
      </c>
      <c r="AD516" s="175" t="str">
        <f ca="1">IFERROR(__xludf.DUMMYFUNCTION("QUERY('Volunteer Survey'!E515)"),"")</f>
        <v/>
      </c>
      <c r="AE516" s="175" t="str">
        <f ca="1">IFERROR(__xludf.DUMMYFUNCTION("QUERY('Volunteer Survey'!F515)"),"")</f>
        <v/>
      </c>
      <c r="AF516" s="175" t="str">
        <f ca="1">IFERROR(__xludf.DUMMYFUNCTION("QUERY('Volunteer Survey'!G515)"),"")</f>
        <v/>
      </c>
      <c r="AG516" s="175" t="str">
        <f ca="1">IFERROR(__xludf.DUMMYFUNCTION("QUERY('Volunteer Survey'!H515)"),"")</f>
        <v/>
      </c>
      <c r="AH516" s="175" t="str">
        <f ca="1">IFERROR(__xludf.DUMMYFUNCTION("QUERY('Volunteer Survey'!I515)"),"")</f>
        <v/>
      </c>
      <c r="AI516" s="175" t="str">
        <f ca="1">IFERROR(__xludf.DUMMYFUNCTION("QUERY('Volunteer Survey'!J515)"),"")</f>
        <v/>
      </c>
      <c r="AJ516" s="175" t="str">
        <f ca="1">IFERROR(__xludf.DUMMYFUNCTION("QUERY('Volunteer Survey'!K515)"),"")</f>
        <v/>
      </c>
      <c r="AK516" s="175" t="str">
        <f ca="1">IFERROR(__xludf.DUMMYFUNCTION("QUERY('Volunteer Survey'!L515)"),"")</f>
        <v/>
      </c>
      <c r="AL516" s="175" t="str">
        <f ca="1">IFERROR(__xludf.DUMMYFUNCTION("QUERY('Volunteer Survey'!M515)"),"")</f>
        <v/>
      </c>
      <c r="AM516" s="175" t="str">
        <f ca="1">IFERROR(__xludf.DUMMYFUNCTION("QUERY('Volunteer Survey'!N515)"),"")</f>
        <v/>
      </c>
      <c r="AN516" s="175" t="str">
        <f ca="1">IFERROR(__xludf.DUMMYFUNCTION("QUERY('Volunteer Survey'!O515)"),"")</f>
        <v/>
      </c>
      <c r="AO516" s="175" t="str">
        <f ca="1">IFERROR(__xludf.DUMMYFUNCTION("QUERY('Volunteer Survey'!P515)"),"")</f>
        <v/>
      </c>
    </row>
    <row r="517" spans="1:41" ht="14">
      <c r="A517" s="49">
        <f>'Volunteer Survey'!A927</f>
        <v>0</v>
      </c>
      <c r="B517" s="42" t="s">
        <v>322</v>
      </c>
      <c r="C517" s="47"/>
      <c r="D517" s="49"/>
      <c r="E517" s="49"/>
      <c r="F517" s="49" t="b">
        <v>0</v>
      </c>
      <c r="G517" s="49"/>
      <c r="H517" s="47"/>
      <c r="I517" s="47"/>
      <c r="J517" s="49"/>
      <c r="K517" s="49"/>
      <c r="L517" s="49">
        <f>'Volunteer Survey'!B927</f>
        <v>0</v>
      </c>
      <c r="M517" s="49">
        <f>'Volunteer Survey'!E927</f>
        <v>0</v>
      </c>
      <c r="N517" s="49">
        <f>'Volunteer Survey'!F928</f>
        <v>0</v>
      </c>
      <c r="O517" s="42">
        <f>'Volunteer Survey'!H928</f>
        <v>0</v>
      </c>
      <c r="P517" s="49"/>
      <c r="Q517" s="54" t="str">
        <f ca="1">IFERROR(__xludf.DUMMYFUNCTION("QUERY('Volunteer Survey'!J911)"),"")</f>
        <v/>
      </c>
      <c r="R517" s="49"/>
      <c r="S517" s="49"/>
      <c r="T517" s="49">
        <f>'Volunteer Survey'!M927</f>
        <v>0</v>
      </c>
      <c r="U517" s="58"/>
      <c r="V517" s="49"/>
      <c r="W517" s="60">
        <f>'Volunteer Survey'!P927</f>
        <v>0</v>
      </c>
      <c r="X517" s="49"/>
      <c r="Y517" s="47"/>
      <c r="Z517" s="175" t="str">
        <f ca="1">IFERROR(__xludf.DUMMYFUNCTION("QUERY('Volunteer Survey'!A516)"),"")</f>
        <v/>
      </c>
      <c r="AA517" s="175" t="str">
        <f ca="1">IFERROR(__xludf.DUMMYFUNCTION("QUERY('Volunteer Survey'!B516)"),"")</f>
        <v/>
      </c>
      <c r="AB517" s="175" t="str">
        <f ca="1">IFERROR(__xludf.DUMMYFUNCTION("QUERY('Volunteer Survey'!C516)"),"")</f>
        <v/>
      </c>
      <c r="AC517" s="175" t="str">
        <f ca="1">IFERROR(__xludf.DUMMYFUNCTION("QUERY('Volunteer Survey'!D516)"),"")</f>
        <v/>
      </c>
      <c r="AD517" s="175" t="str">
        <f ca="1">IFERROR(__xludf.DUMMYFUNCTION("QUERY('Volunteer Survey'!E516)"),"")</f>
        <v/>
      </c>
      <c r="AE517" s="175" t="str">
        <f ca="1">IFERROR(__xludf.DUMMYFUNCTION("QUERY('Volunteer Survey'!F516)"),"")</f>
        <v/>
      </c>
      <c r="AF517" s="175" t="str">
        <f ca="1">IFERROR(__xludf.DUMMYFUNCTION("QUERY('Volunteer Survey'!G516)"),"")</f>
        <v/>
      </c>
      <c r="AG517" s="175" t="str">
        <f ca="1">IFERROR(__xludf.DUMMYFUNCTION("QUERY('Volunteer Survey'!H516)"),"")</f>
        <v/>
      </c>
      <c r="AH517" s="175" t="str">
        <f ca="1">IFERROR(__xludf.DUMMYFUNCTION("QUERY('Volunteer Survey'!I516)"),"")</f>
        <v/>
      </c>
      <c r="AI517" s="175" t="str">
        <f ca="1">IFERROR(__xludf.DUMMYFUNCTION("QUERY('Volunteer Survey'!J516)"),"")</f>
        <v/>
      </c>
      <c r="AJ517" s="175" t="str">
        <f ca="1">IFERROR(__xludf.DUMMYFUNCTION("QUERY('Volunteer Survey'!K516)"),"")</f>
        <v/>
      </c>
      <c r="AK517" s="175" t="str">
        <f ca="1">IFERROR(__xludf.DUMMYFUNCTION("QUERY('Volunteer Survey'!L516)"),"")</f>
        <v/>
      </c>
      <c r="AL517" s="175" t="str">
        <f ca="1">IFERROR(__xludf.DUMMYFUNCTION("QUERY('Volunteer Survey'!M516)"),"")</f>
        <v/>
      </c>
      <c r="AM517" s="175" t="str">
        <f ca="1">IFERROR(__xludf.DUMMYFUNCTION("QUERY('Volunteer Survey'!N516)"),"")</f>
        <v/>
      </c>
      <c r="AN517" s="175" t="str">
        <f ca="1">IFERROR(__xludf.DUMMYFUNCTION("QUERY('Volunteer Survey'!O516)"),"")</f>
        <v/>
      </c>
      <c r="AO517" s="175" t="str">
        <f ca="1">IFERROR(__xludf.DUMMYFUNCTION("QUERY('Volunteer Survey'!P516)"),"")</f>
        <v/>
      </c>
    </row>
    <row r="518" spans="1:41" ht="14">
      <c r="A518" s="49">
        <f>'Volunteer Survey'!A928</f>
        <v>0</v>
      </c>
      <c r="B518" s="42" t="s">
        <v>322</v>
      </c>
      <c r="C518" s="47"/>
      <c r="D518" s="49"/>
      <c r="E518" s="49"/>
      <c r="F518" s="49" t="b">
        <v>0</v>
      </c>
      <c r="G518" s="49"/>
      <c r="H518" s="47"/>
      <c r="I518" s="47"/>
      <c r="J518" s="49"/>
      <c r="K518" s="49"/>
      <c r="L518" s="49">
        <f>'Volunteer Survey'!B928</f>
        <v>0</v>
      </c>
      <c r="M518" s="49">
        <f>'Volunteer Survey'!E928</f>
        <v>0</v>
      </c>
      <c r="N518" s="49">
        <f>'Volunteer Survey'!F929</f>
        <v>0</v>
      </c>
      <c r="O518" s="42">
        <f>'Volunteer Survey'!H929</f>
        <v>0</v>
      </c>
      <c r="P518" s="49"/>
      <c r="Q518" s="54" t="str">
        <f ca="1">IFERROR(__xludf.DUMMYFUNCTION("QUERY('Volunteer Survey'!J912)"),"")</f>
        <v/>
      </c>
      <c r="R518" s="49"/>
      <c r="S518" s="49"/>
      <c r="T518" s="49">
        <f>'Volunteer Survey'!M928</f>
        <v>0</v>
      </c>
      <c r="U518" s="58"/>
      <c r="V518" s="49"/>
      <c r="W518" s="60">
        <f>'Volunteer Survey'!P928</f>
        <v>0</v>
      </c>
      <c r="X518" s="49"/>
      <c r="Y518" s="47"/>
      <c r="Z518" s="175" t="str">
        <f ca="1">IFERROR(__xludf.DUMMYFUNCTION("QUERY('Volunteer Survey'!A517)"),"")</f>
        <v/>
      </c>
      <c r="AA518" s="175" t="str">
        <f ca="1">IFERROR(__xludf.DUMMYFUNCTION("QUERY('Volunteer Survey'!B517)"),"")</f>
        <v/>
      </c>
      <c r="AB518" s="175" t="str">
        <f ca="1">IFERROR(__xludf.DUMMYFUNCTION("QUERY('Volunteer Survey'!C517)"),"")</f>
        <v/>
      </c>
      <c r="AC518" s="175" t="str">
        <f ca="1">IFERROR(__xludf.DUMMYFUNCTION("QUERY('Volunteer Survey'!D517)"),"")</f>
        <v/>
      </c>
      <c r="AD518" s="175" t="str">
        <f ca="1">IFERROR(__xludf.DUMMYFUNCTION("QUERY('Volunteer Survey'!E517)"),"")</f>
        <v/>
      </c>
      <c r="AE518" s="175" t="str">
        <f ca="1">IFERROR(__xludf.DUMMYFUNCTION("QUERY('Volunteer Survey'!F517)"),"")</f>
        <v/>
      </c>
      <c r="AF518" s="175" t="str">
        <f ca="1">IFERROR(__xludf.DUMMYFUNCTION("QUERY('Volunteer Survey'!G517)"),"")</f>
        <v/>
      </c>
      <c r="AG518" s="175" t="str">
        <f ca="1">IFERROR(__xludf.DUMMYFUNCTION("QUERY('Volunteer Survey'!H517)"),"")</f>
        <v/>
      </c>
      <c r="AH518" s="175" t="str">
        <f ca="1">IFERROR(__xludf.DUMMYFUNCTION("QUERY('Volunteer Survey'!I517)"),"")</f>
        <v/>
      </c>
      <c r="AI518" s="175" t="str">
        <f ca="1">IFERROR(__xludf.DUMMYFUNCTION("QUERY('Volunteer Survey'!J517)"),"")</f>
        <v/>
      </c>
      <c r="AJ518" s="175" t="str">
        <f ca="1">IFERROR(__xludf.DUMMYFUNCTION("QUERY('Volunteer Survey'!K517)"),"")</f>
        <v/>
      </c>
      <c r="AK518" s="175" t="str">
        <f ca="1">IFERROR(__xludf.DUMMYFUNCTION("QUERY('Volunteer Survey'!L517)"),"")</f>
        <v/>
      </c>
      <c r="AL518" s="175" t="str">
        <f ca="1">IFERROR(__xludf.DUMMYFUNCTION("QUERY('Volunteer Survey'!M517)"),"")</f>
        <v/>
      </c>
      <c r="AM518" s="175" t="str">
        <f ca="1">IFERROR(__xludf.DUMMYFUNCTION("QUERY('Volunteer Survey'!N517)"),"")</f>
        <v/>
      </c>
      <c r="AN518" s="175" t="str">
        <f ca="1">IFERROR(__xludf.DUMMYFUNCTION("QUERY('Volunteer Survey'!O517)"),"")</f>
        <v/>
      </c>
      <c r="AO518" s="175" t="str">
        <f ca="1">IFERROR(__xludf.DUMMYFUNCTION("QUERY('Volunteer Survey'!P517)"),"")</f>
        <v/>
      </c>
    </row>
    <row r="519" spans="1:41" ht="14">
      <c r="A519" s="49">
        <f>'Volunteer Survey'!A929</f>
        <v>0</v>
      </c>
      <c r="B519" s="42" t="s">
        <v>322</v>
      </c>
      <c r="C519" s="47"/>
      <c r="D519" s="49"/>
      <c r="E519" s="49"/>
      <c r="F519" s="49" t="b">
        <v>0</v>
      </c>
      <c r="G519" s="49"/>
      <c r="H519" s="47"/>
      <c r="I519" s="47"/>
      <c r="J519" s="49"/>
      <c r="K519" s="49"/>
      <c r="L519" s="49">
        <f>'Volunteer Survey'!B929</f>
        <v>0</v>
      </c>
      <c r="M519" s="49">
        <f>'Volunteer Survey'!E929</f>
        <v>0</v>
      </c>
      <c r="N519" s="49"/>
      <c r="O519" s="42">
        <f>'Volunteer Survey'!H930</f>
        <v>0</v>
      </c>
      <c r="P519" s="49"/>
      <c r="Q519" s="54" t="str">
        <f ca="1">IFERROR(__xludf.DUMMYFUNCTION("QUERY('Volunteer Survey'!J913)"),"")</f>
        <v/>
      </c>
      <c r="R519" s="49"/>
      <c r="S519" s="49"/>
      <c r="T519" s="49">
        <f>'Volunteer Survey'!M929</f>
        <v>0</v>
      </c>
      <c r="U519" s="58"/>
      <c r="V519" s="49"/>
      <c r="W519" s="60">
        <f>'Volunteer Survey'!P929</f>
        <v>0</v>
      </c>
      <c r="X519" s="49"/>
      <c r="Y519" s="47"/>
      <c r="Z519" s="175" t="str">
        <f ca="1">IFERROR(__xludf.DUMMYFUNCTION("QUERY('Volunteer Survey'!A518)"),"")</f>
        <v/>
      </c>
      <c r="AA519" s="175" t="str">
        <f ca="1">IFERROR(__xludf.DUMMYFUNCTION("QUERY('Volunteer Survey'!B518)"),"")</f>
        <v/>
      </c>
      <c r="AB519" s="175" t="str">
        <f ca="1">IFERROR(__xludf.DUMMYFUNCTION("QUERY('Volunteer Survey'!C518)"),"")</f>
        <v/>
      </c>
      <c r="AC519" s="175" t="str">
        <f ca="1">IFERROR(__xludf.DUMMYFUNCTION("QUERY('Volunteer Survey'!D518)"),"")</f>
        <v/>
      </c>
      <c r="AD519" s="175" t="str">
        <f ca="1">IFERROR(__xludf.DUMMYFUNCTION("QUERY('Volunteer Survey'!E518)"),"")</f>
        <v/>
      </c>
      <c r="AE519" s="175" t="str">
        <f ca="1">IFERROR(__xludf.DUMMYFUNCTION("QUERY('Volunteer Survey'!F518)"),"")</f>
        <v/>
      </c>
      <c r="AF519" s="175" t="str">
        <f ca="1">IFERROR(__xludf.DUMMYFUNCTION("QUERY('Volunteer Survey'!G518)"),"")</f>
        <v/>
      </c>
      <c r="AG519" s="175" t="str">
        <f ca="1">IFERROR(__xludf.DUMMYFUNCTION("QUERY('Volunteer Survey'!H518)"),"")</f>
        <v/>
      </c>
      <c r="AH519" s="175" t="str">
        <f ca="1">IFERROR(__xludf.DUMMYFUNCTION("QUERY('Volunteer Survey'!I518)"),"")</f>
        <v/>
      </c>
      <c r="AI519" s="175" t="str">
        <f ca="1">IFERROR(__xludf.DUMMYFUNCTION("QUERY('Volunteer Survey'!J518)"),"")</f>
        <v/>
      </c>
      <c r="AJ519" s="175" t="str">
        <f ca="1">IFERROR(__xludf.DUMMYFUNCTION("QUERY('Volunteer Survey'!K518)"),"")</f>
        <v/>
      </c>
      <c r="AK519" s="175" t="str">
        <f ca="1">IFERROR(__xludf.DUMMYFUNCTION("QUERY('Volunteer Survey'!L518)"),"")</f>
        <v/>
      </c>
      <c r="AL519" s="175" t="str">
        <f ca="1">IFERROR(__xludf.DUMMYFUNCTION("QUERY('Volunteer Survey'!M518)"),"")</f>
        <v/>
      </c>
      <c r="AM519" s="175" t="str">
        <f ca="1">IFERROR(__xludf.DUMMYFUNCTION("QUERY('Volunteer Survey'!N518)"),"")</f>
        <v/>
      </c>
      <c r="AN519" s="175" t="str">
        <f ca="1">IFERROR(__xludf.DUMMYFUNCTION("QUERY('Volunteer Survey'!O518)"),"")</f>
        <v/>
      </c>
      <c r="AO519" s="175" t="str">
        <f ca="1">IFERROR(__xludf.DUMMYFUNCTION("QUERY('Volunteer Survey'!P518)"),"")</f>
        <v/>
      </c>
    </row>
    <row r="520" spans="1:41" ht="14">
      <c r="A520" s="49">
        <f>'Volunteer Survey'!A930</f>
        <v>0</v>
      </c>
      <c r="B520" s="42" t="s">
        <v>322</v>
      </c>
      <c r="C520" s="47"/>
      <c r="D520" s="49"/>
      <c r="E520" s="49"/>
      <c r="F520" s="49" t="b">
        <v>0</v>
      </c>
      <c r="G520" s="49"/>
      <c r="H520" s="47"/>
      <c r="I520" s="47"/>
      <c r="J520" s="49"/>
      <c r="K520" s="49"/>
      <c r="L520" s="49">
        <f>'Volunteer Survey'!B930</f>
        <v>0</v>
      </c>
      <c r="M520" s="49">
        <f>'Volunteer Survey'!E930</f>
        <v>0</v>
      </c>
      <c r="N520" s="49"/>
      <c r="O520" s="42">
        <f>'Volunteer Survey'!H931</f>
        <v>0</v>
      </c>
      <c r="P520" s="49"/>
      <c r="Q520" s="54" t="str">
        <f ca="1">IFERROR(__xludf.DUMMYFUNCTION("QUERY('Volunteer Survey'!J914)"),"")</f>
        <v/>
      </c>
      <c r="R520" s="49"/>
      <c r="S520" s="49"/>
      <c r="T520" s="49">
        <f>'Volunteer Survey'!M930</f>
        <v>0</v>
      </c>
      <c r="U520" s="58"/>
      <c r="V520" s="49"/>
      <c r="W520" s="60">
        <f>'Volunteer Survey'!P930</f>
        <v>0</v>
      </c>
      <c r="X520" s="49"/>
      <c r="Y520" s="47"/>
      <c r="Z520" s="175" t="str">
        <f ca="1">IFERROR(__xludf.DUMMYFUNCTION("QUERY('Volunteer Survey'!A519)"),"")</f>
        <v/>
      </c>
      <c r="AA520" s="175" t="str">
        <f ca="1">IFERROR(__xludf.DUMMYFUNCTION("QUERY('Volunteer Survey'!B519)"),"")</f>
        <v/>
      </c>
      <c r="AB520" s="175" t="str">
        <f ca="1">IFERROR(__xludf.DUMMYFUNCTION("QUERY('Volunteer Survey'!C519)"),"")</f>
        <v/>
      </c>
      <c r="AC520" s="175" t="str">
        <f ca="1">IFERROR(__xludf.DUMMYFUNCTION("QUERY('Volunteer Survey'!D519)"),"")</f>
        <v/>
      </c>
      <c r="AD520" s="175" t="str">
        <f ca="1">IFERROR(__xludf.DUMMYFUNCTION("QUERY('Volunteer Survey'!E519)"),"")</f>
        <v/>
      </c>
      <c r="AE520" s="175" t="str">
        <f ca="1">IFERROR(__xludf.DUMMYFUNCTION("QUERY('Volunteer Survey'!F519)"),"")</f>
        <v/>
      </c>
      <c r="AF520" s="175" t="str">
        <f ca="1">IFERROR(__xludf.DUMMYFUNCTION("QUERY('Volunteer Survey'!G519)"),"")</f>
        <v/>
      </c>
      <c r="AG520" s="175" t="str">
        <f ca="1">IFERROR(__xludf.DUMMYFUNCTION("QUERY('Volunteer Survey'!H519)"),"")</f>
        <v/>
      </c>
      <c r="AH520" s="175" t="str">
        <f ca="1">IFERROR(__xludf.DUMMYFUNCTION("QUERY('Volunteer Survey'!I519)"),"")</f>
        <v/>
      </c>
      <c r="AI520" s="175" t="str">
        <f ca="1">IFERROR(__xludf.DUMMYFUNCTION("QUERY('Volunteer Survey'!J519)"),"")</f>
        <v/>
      </c>
      <c r="AJ520" s="175" t="str">
        <f ca="1">IFERROR(__xludf.DUMMYFUNCTION("QUERY('Volunteer Survey'!K519)"),"")</f>
        <v/>
      </c>
      <c r="AK520" s="175" t="str">
        <f ca="1">IFERROR(__xludf.DUMMYFUNCTION("QUERY('Volunteer Survey'!L519)"),"")</f>
        <v/>
      </c>
      <c r="AL520" s="175" t="str">
        <f ca="1">IFERROR(__xludf.DUMMYFUNCTION("QUERY('Volunteer Survey'!M519)"),"")</f>
        <v/>
      </c>
      <c r="AM520" s="175" t="str">
        <f ca="1">IFERROR(__xludf.DUMMYFUNCTION("QUERY('Volunteer Survey'!N519)"),"")</f>
        <v/>
      </c>
      <c r="AN520" s="175" t="str">
        <f ca="1">IFERROR(__xludf.DUMMYFUNCTION("QUERY('Volunteer Survey'!O519)"),"")</f>
        <v/>
      </c>
      <c r="AO520" s="175" t="str">
        <f ca="1">IFERROR(__xludf.DUMMYFUNCTION("QUERY('Volunteer Survey'!P519)"),"")</f>
        <v/>
      </c>
    </row>
    <row r="521" spans="1:41" ht="14">
      <c r="A521" s="49">
        <f>'Volunteer Survey'!A931</f>
        <v>0</v>
      </c>
      <c r="B521" s="42" t="s">
        <v>322</v>
      </c>
      <c r="C521" s="47"/>
      <c r="D521" s="49"/>
      <c r="E521" s="49"/>
      <c r="F521" s="49" t="b">
        <v>0</v>
      </c>
      <c r="G521" s="49"/>
      <c r="H521" s="47"/>
      <c r="I521" s="47"/>
      <c r="J521" s="49"/>
      <c r="K521" s="49"/>
      <c r="L521" s="49">
        <f>'Volunteer Survey'!B931</f>
        <v>0</v>
      </c>
      <c r="M521" s="49">
        <f>'Volunteer Survey'!E931</f>
        <v>0</v>
      </c>
      <c r="N521" s="49"/>
      <c r="O521" s="42">
        <f>'Volunteer Survey'!H932</f>
        <v>0</v>
      </c>
      <c r="P521" s="49"/>
      <c r="Q521" s="54" t="str">
        <f ca="1">IFERROR(__xludf.DUMMYFUNCTION("QUERY('Volunteer Survey'!J915)"),"")</f>
        <v/>
      </c>
      <c r="R521" s="49"/>
      <c r="S521" s="49"/>
      <c r="T521" s="49">
        <f>'Volunteer Survey'!M931</f>
        <v>0</v>
      </c>
      <c r="U521" s="58"/>
      <c r="V521" s="49"/>
      <c r="W521" s="60">
        <f>'Volunteer Survey'!P931</f>
        <v>0</v>
      </c>
      <c r="X521" s="49"/>
      <c r="Y521" s="47"/>
      <c r="Z521" s="175" t="str">
        <f ca="1">IFERROR(__xludf.DUMMYFUNCTION("QUERY('Volunteer Survey'!A520)"),"")</f>
        <v/>
      </c>
      <c r="AA521" s="175" t="str">
        <f ca="1">IFERROR(__xludf.DUMMYFUNCTION("QUERY('Volunteer Survey'!B520)"),"")</f>
        <v/>
      </c>
      <c r="AB521" s="175" t="str">
        <f ca="1">IFERROR(__xludf.DUMMYFUNCTION("QUERY('Volunteer Survey'!C520)"),"")</f>
        <v/>
      </c>
      <c r="AC521" s="175" t="str">
        <f ca="1">IFERROR(__xludf.DUMMYFUNCTION("QUERY('Volunteer Survey'!D520)"),"")</f>
        <v/>
      </c>
      <c r="AD521" s="175" t="str">
        <f ca="1">IFERROR(__xludf.DUMMYFUNCTION("QUERY('Volunteer Survey'!E520)"),"")</f>
        <v/>
      </c>
      <c r="AE521" s="175" t="str">
        <f ca="1">IFERROR(__xludf.DUMMYFUNCTION("QUERY('Volunteer Survey'!F520)"),"")</f>
        <v/>
      </c>
      <c r="AF521" s="175" t="str">
        <f ca="1">IFERROR(__xludf.DUMMYFUNCTION("QUERY('Volunteer Survey'!G520)"),"")</f>
        <v/>
      </c>
      <c r="AG521" s="175" t="str">
        <f ca="1">IFERROR(__xludf.DUMMYFUNCTION("QUERY('Volunteer Survey'!H520)"),"")</f>
        <v/>
      </c>
      <c r="AH521" s="175" t="str">
        <f ca="1">IFERROR(__xludf.DUMMYFUNCTION("QUERY('Volunteer Survey'!I520)"),"")</f>
        <v/>
      </c>
      <c r="AI521" s="175" t="str">
        <f ca="1">IFERROR(__xludf.DUMMYFUNCTION("QUERY('Volunteer Survey'!J520)"),"")</f>
        <v/>
      </c>
      <c r="AJ521" s="175" t="str">
        <f ca="1">IFERROR(__xludf.DUMMYFUNCTION("QUERY('Volunteer Survey'!K520)"),"")</f>
        <v/>
      </c>
      <c r="AK521" s="175" t="str">
        <f ca="1">IFERROR(__xludf.DUMMYFUNCTION("QUERY('Volunteer Survey'!L520)"),"")</f>
        <v/>
      </c>
      <c r="AL521" s="175" t="str">
        <f ca="1">IFERROR(__xludf.DUMMYFUNCTION("QUERY('Volunteer Survey'!M520)"),"")</f>
        <v/>
      </c>
      <c r="AM521" s="175" t="str">
        <f ca="1">IFERROR(__xludf.DUMMYFUNCTION("QUERY('Volunteer Survey'!N520)"),"")</f>
        <v/>
      </c>
      <c r="AN521" s="175" t="str">
        <f ca="1">IFERROR(__xludf.DUMMYFUNCTION("QUERY('Volunteer Survey'!O520)"),"")</f>
        <v/>
      </c>
      <c r="AO521" s="175" t="str">
        <f ca="1">IFERROR(__xludf.DUMMYFUNCTION("QUERY('Volunteer Survey'!P520)"),"")</f>
        <v/>
      </c>
    </row>
    <row r="522" spans="1:41" ht="14">
      <c r="A522" s="49">
        <f>'Volunteer Survey'!A932</f>
        <v>0</v>
      </c>
      <c r="B522" s="42" t="s">
        <v>322</v>
      </c>
      <c r="C522" s="47"/>
      <c r="D522" s="49"/>
      <c r="E522" s="49"/>
      <c r="F522" s="49" t="b">
        <v>0</v>
      </c>
      <c r="G522" s="49"/>
      <c r="H522" s="47"/>
      <c r="I522" s="47"/>
      <c r="J522" s="49"/>
      <c r="K522" s="49"/>
      <c r="L522" s="49">
        <f>'Volunteer Survey'!B932</f>
        <v>0</v>
      </c>
      <c r="M522" s="49">
        <f>'Volunteer Survey'!E932</f>
        <v>0</v>
      </c>
      <c r="N522" s="49"/>
      <c r="O522" s="42">
        <f>'Volunteer Survey'!H933</f>
        <v>0</v>
      </c>
      <c r="P522" s="49"/>
      <c r="Q522" s="54" t="str">
        <f ca="1">IFERROR(__xludf.DUMMYFUNCTION("QUERY('Volunteer Survey'!J916)"),"")</f>
        <v/>
      </c>
      <c r="R522" s="49"/>
      <c r="S522" s="49"/>
      <c r="T522" s="49">
        <f>'Volunteer Survey'!M932</f>
        <v>0</v>
      </c>
      <c r="U522" s="58"/>
      <c r="V522" s="49"/>
      <c r="W522" s="60">
        <f>'Volunteer Survey'!P932</f>
        <v>0</v>
      </c>
      <c r="X522" s="49"/>
      <c r="Y522" s="47"/>
      <c r="Z522" s="175" t="str">
        <f ca="1">IFERROR(__xludf.DUMMYFUNCTION("QUERY('Volunteer Survey'!A521)"),"")</f>
        <v/>
      </c>
      <c r="AA522" s="175" t="str">
        <f ca="1">IFERROR(__xludf.DUMMYFUNCTION("QUERY('Volunteer Survey'!B521)"),"")</f>
        <v/>
      </c>
      <c r="AB522" s="175" t="str">
        <f ca="1">IFERROR(__xludf.DUMMYFUNCTION("QUERY('Volunteer Survey'!C521)"),"")</f>
        <v/>
      </c>
      <c r="AC522" s="175" t="str">
        <f ca="1">IFERROR(__xludf.DUMMYFUNCTION("QUERY('Volunteer Survey'!D521)"),"")</f>
        <v/>
      </c>
      <c r="AD522" s="175" t="str">
        <f ca="1">IFERROR(__xludf.DUMMYFUNCTION("QUERY('Volunteer Survey'!E521)"),"")</f>
        <v/>
      </c>
      <c r="AE522" s="175" t="str">
        <f ca="1">IFERROR(__xludf.DUMMYFUNCTION("QUERY('Volunteer Survey'!F521)"),"")</f>
        <v/>
      </c>
      <c r="AF522" s="175" t="str">
        <f ca="1">IFERROR(__xludf.DUMMYFUNCTION("QUERY('Volunteer Survey'!G521)"),"")</f>
        <v/>
      </c>
      <c r="AG522" s="175" t="str">
        <f ca="1">IFERROR(__xludf.DUMMYFUNCTION("QUERY('Volunteer Survey'!H521)"),"")</f>
        <v/>
      </c>
      <c r="AH522" s="175" t="str">
        <f ca="1">IFERROR(__xludf.DUMMYFUNCTION("QUERY('Volunteer Survey'!I521)"),"")</f>
        <v/>
      </c>
      <c r="AI522" s="175" t="str">
        <f ca="1">IFERROR(__xludf.DUMMYFUNCTION("QUERY('Volunteer Survey'!J521)"),"")</f>
        <v/>
      </c>
      <c r="AJ522" s="175" t="str">
        <f ca="1">IFERROR(__xludf.DUMMYFUNCTION("QUERY('Volunteer Survey'!K521)"),"")</f>
        <v/>
      </c>
      <c r="AK522" s="175" t="str">
        <f ca="1">IFERROR(__xludf.DUMMYFUNCTION("QUERY('Volunteer Survey'!L521)"),"")</f>
        <v/>
      </c>
      <c r="AL522" s="175" t="str">
        <f ca="1">IFERROR(__xludf.DUMMYFUNCTION("QUERY('Volunteer Survey'!M521)"),"")</f>
        <v/>
      </c>
      <c r="AM522" s="175" t="str">
        <f ca="1">IFERROR(__xludf.DUMMYFUNCTION("QUERY('Volunteer Survey'!N521)"),"")</f>
        <v/>
      </c>
      <c r="AN522" s="175" t="str">
        <f ca="1">IFERROR(__xludf.DUMMYFUNCTION("QUERY('Volunteer Survey'!O521)"),"")</f>
        <v/>
      </c>
      <c r="AO522" s="175" t="str">
        <f ca="1">IFERROR(__xludf.DUMMYFUNCTION("QUERY('Volunteer Survey'!P521)"),"")</f>
        <v/>
      </c>
    </row>
    <row r="523" spans="1:41" ht="14">
      <c r="A523" s="49">
        <f>'Volunteer Survey'!A933</f>
        <v>0</v>
      </c>
      <c r="B523" s="42" t="s">
        <v>322</v>
      </c>
      <c r="C523" s="47"/>
      <c r="D523" s="49"/>
      <c r="E523" s="49"/>
      <c r="F523" s="49" t="b">
        <v>0</v>
      </c>
      <c r="G523" s="49"/>
      <c r="H523" s="47"/>
      <c r="I523" s="47"/>
      <c r="J523" s="49"/>
      <c r="K523" s="49"/>
      <c r="L523" s="49">
        <f>'Volunteer Survey'!B933</f>
        <v>0</v>
      </c>
      <c r="M523" s="49">
        <f>'Volunteer Survey'!E933</f>
        <v>0</v>
      </c>
      <c r="N523" s="49"/>
      <c r="O523" s="42">
        <f>'Volunteer Survey'!H934</f>
        <v>0</v>
      </c>
      <c r="P523" s="49"/>
      <c r="Q523" s="54" t="str">
        <f ca="1">IFERROR(__xludf.DUMMYFUNCTION("QUERY('Volunteer Survey'!J917)"),"")</f>
        <v/>
      </c>
      <c r="R523" s="49"/>
      <c r="S523" s="49"/>
      <c r="T523" s="49">
        <f>'Volunteer Survey'!M933</f>
        <v>0</v>
      </c>
      <c r="U523" s="58"/>
      <c r="V523" s="49"/>
      <c r="W523" s="60">
        <f>'Volunteer Survey'!P933</f>
        <v>0</v>
      </c>
      <c r="X523" s="49"/>
      <c r="Y523" s="47"/>
      <c r="Z523" s="175" t="str">
        <f ca="1">IFERROR(__xludf.DUMMYFUNCTION("QUERY('Volunteer Survey'!A522)"),"")</f>
        <v/>
      </c>
      <c r="AA523" s="175" t="str">
        <f ca="1">IFERROR(__xludf.DUMMYFUNCTION("QUERY('Volunteer Survey'!B522)"),"")</f>
        <v/>
      </c>
      <c r="AB523" s="175" t="str">
        <f ca="1">IFERROR(__xludf.DUMMYFUNCTION("QUERY('Volunteer Survey'!C522)"),"")</f>
        <v/>
      </c>
      <c r="AC523" s="175" t="str">
        <f ca="1">IFERROR(__xludf.DUMMYFUNCTION("QUERY('Volunteer Survey'!D522)"),"")</f>
        <v/>
      </c>
      <c r="AD523" s="175" t="str">
        <f ca="1">IFERROR(__xludf.DUMMYFUNCTION("QUERY('Volunteer Survey'!E522)"),"")</f>
        <v/>
      </c>
      <c r="AE523" s="175" t="str">
        <f ca="1">IFERROR(__xludf.DUMMYFUNCTION("QUERY('Volunteer Survey'!F522)"),"")</f>
        <v/>
      </c>
      <c r="AF523" s="175" t="str">
        <f ca="1">IFERROR(__xludf.DUMMYFUNCTION("QUERY('Volunteer Survey'!G522)"),"")</f>
        <v/>
      </c>
      <c r="AG523" s="175" t="str">
        <f ca="1">IFERROR(__xludf.DUMMYFUNCTION("QUERY('Volunteer Survey'!H522)"),"")</f>
        <v/>
      </c>
      <c r="AH523" s="175" t="str">
        <f ca="1">IFERROR(__xludf.DUMMYFUNCTION("QUERY('Volunteer Survey'!I522)"),"")</f>
        <v/>
      </c>
      <c r="AI523" s="175" t="str">
        <f ca="1">IFERROR(__xludf.DUMMYFUNCTION("QUERY('Volunteer Survey'!J522)"),"")</f>
        <v/>
      </c>
      <c r="AJ523" s="175" t="str">
        <f ca="1">IFERROR(__xludf.DUMMYFUNCTION("QUERY('Volunteer Survey'!K522)"),"")</f>
        <v/>
      </c>
      <c r="AK523" s="175" t="str">
        <f ca="1">IFERROR(__xludf.DUMMYFUNCTION("QUERY('Volunteer Survey'!L522)"),"")</f>
        <v/>
      </c>
      <c r="AL523" s="175" t="str">
        <f ca="1">IFERROR(__xludf.DUMMYFUNCTION("QUERY('Volunteer Survey'!M522)"),"")</f>
        <v/>
      </c>
      <c r="AM523" s="175" t="str">
        <f ca="1">IFERROR(__xludf.DUMMYFUNCTION("QUERY('Volunteer Survey'!N522)"),"")</f>
        <v/>
      </c>
      <c r="AN523" s="175" t="str">
        <f ca="1">IFERROR(__xludf.DUMMYFUNCTION("QUERY('Volunteer Survey'!O522)"),"")</f>
        <v/>
      </c>
      <c r="AO523" s="175" t="str">
        <f ca="1">IFERROR(__xludf.DUMMYFUNCTION("QUERY('Volunteer Survey'!P522)"),"")</f>
        <v/>
      </c>
    </row>
    <row r="524" spans="1:41" ht="14">
      <c r="A524" s="49">
        <f>'Volunteer Survey'!A934</f>
        <v>0</v>
      </c>
      <c r="B524" s="42" t="s">
        <v>322</v>
      </c>
      <c r="C524" s="47"/>
      <c r="D524" s="49"/>
      <c r="E524" s="49"/>
      <c r="F524" s="49" t="b">
        <v>0</v>
      </c>
      <c r="G524" s="49"/>
      <c r="H524" s="47"/>
      <c r="I524" s="47"/>
      <c r="J524" s="49"/>
      <c r="K524" s="49"/>
      <c r="L524" s="49">
        <f>'Volunteer Survey'!B934</f>
        <v>0</v>
      </c>
      <c r="M524" s="49">
        <f>'Volunteer Survey'!E934</f>
        <v>0</v>
      </c>
      <c r="N524" s="49"/>
      <c r="O524" s="42">
        <f>'Volunteer Survey'!H935</f>
        <v>0</v>
      </c>
      <c r="P524" s="49"/>
      <c r="Q524" s="54" t="str">
        <f ca="1">IFERROR(__xludf.DUMMYFUNCTION("QUERY('Volunteer Survey'!J918)"),"")</f>
        <v/>
      </c>
      <c r="R524" s="49"/>
      <c r="S524" s="49"/>
      <c r="T524" s="49">
        <f>'Volunteer Survey'!M934</f>
        <v>0</v>
      </c>
      <c r="U524" s="58"/>
      <c r="V524" s="49"/>
      <c r="W524" s="60">
        <f>'Volunteer Survey'!P934</f>
        <v>0</v>
      </c>
      <c r="X524" s="49"/>
      <c r="Y524" s="47"/>
      <c r="Z524" s="175" t="str">
        <f ca="1">IFERROR(__xludf.DUMMYFUNCTION("QUERY('Volunteer Survey'!A523)"),"")</f>
        <v/>
      </c>
      <c r="AA524" s="175" t="str">
        <f ca="1">IFERROR(__xludf.DUMMYFUNCTION("QUERY('Volunteer Survey'!B523)"),"")</f>
        <v/>
      </c>
      <c r="AB524" s="175" t="str">
        <f ca="1">IFERROR(__xludf.DUMMYFUNCTION("QUERY('Volunteer Survey'!C523)"),"")</f>
        <v/>
      </c>
      <c r="AC524" s="175" t="str">
        <f ca="1">IFERROR(__xludf.DUMMYFUNCTION("QUERY('Volunteer Survey'!D523)"),"")</f>
        <v/>
      </c>
      <c r="AD524" s="175" t="str">
        <f ca="1">IFERROR(__xludf.DUMMYFUNCTION("QUERY('Volunteer Survey'!E523)"),"")</f>
        <v/>
      </c>
      <c r="AE524" s="175" t="str">
        <f ca="1">IFERROR(__xludf.DUMMYFUNCTION("QUERY('Volunteer Survey'!F523)"),"")</f>
        <v/>
      </c>
      <c r="AF524" s="175" t="str">
        <f ca="1">IFERROR(__xludf.DUMMYFUNCTION("QUERY('Volunteer Survey'!G523)"),"")</f>
        <v/>
      </c>
      <c r="AG524" s="175" t="str">
        <f ca="1">IFERROR(__xludf.DUMMYFUNCTION("QUERY('Volunteer Survey'!H523)"),"")</f>
        <v/>
      </c>
      <c r="AH524" s="175" t="str">
        <f ca="1">IFERROR(__xludf.DUMMYFUNCTION("QUERY('Volunteer Survey'!I523)"),"")</f>
        <v/>
      </c>
      <c r="AI524" s="175" t="str">
        <f ca="1">IFERROR(__xludf.DUMMYFUNCTION("QUERY('Volunteer Survey'!J523)"),"")</f>
        <v/>
      </c>
      <c r="AJ524" s="175" t="str">
        <f ca="1">IFERROR(__xludf.DUMMYFUNCTION("QUERY('Volunteer Survey'!K523)"),"")</f>
        <v/>
      </c>
      <c r="AK524" s="175" t="str">
        <f ca="1">IFERROR(__xludf.DUMMYFUNCTION("QUERY('Volunteer Survey'!L523)"),"")</f>
        <v/>
      </c>
      <c r="AL524" s="175" t="str">
        <f ca="1">IFERROR(__xludf.DUMMYFUNCTION("QUERY('Volunteer Survey'!M523)"),"")</f>
        <v/>
      </c>
      <c r="AM524" s="175" t="str">
        <f ca="1">IFERROR(__xludf.DUMMYFUNCTION("QUERY('Volunteer Survey'!N523)"),"")</f>
        <v/>
      </c>
      <c r="AN524" s="175" t="str">
        <f ca="1">IFERROR(__xludf.DUMMYFUNCTION("QUERY('Volunteer Survey'!O523)"),"")</f>
        <v/>
      </c>
      <c r="AO524" s="175" t="str">
        <f ca="1">IFERROR(__xludf.DUMMYFUNCTION("QUERY('Volunteer Survey'!P523)"),"")</f>
        <v/>
      </c>
    </row>
    <row r="525" spans="1:41" ht="14">
      <c r="A525" s="49">
        <f>'Volunteer Survey'!A935</f>
        <v>0</v>
      </c>
      <c r="B525" s="42" t="s">
        <v>322</v>
      </c>
      <c r="C525" s="47"/>
      <c r="D525" s="49"/>
      <c r="E525" s="49"/>
      <c r="F525" s="49" t="b">
        <v>0</v>
      </c>
      <c r="G525" s="49"/>
      <c r="H525" s="47"/>
      <c r="I525" s="47"/>
      <c r="J525" s="49"/>
      <c r="K525" s="49"/>
      <c r="L525" s="49">
        <f>'Volunteer Survey'!B935</f>
        <v>0</v>
      </c>
      <c r="M525" s="49">
        <f>'Volunteer Survey'!E935</f>
        <v>0</v>
      </c>
      <c r="N525" s="49"/>
      <c r="O525" s="42">
        <f>'Volunteer Survey'!H936</f>
        <v>0</v>
      </c>
      <c r="P525" s="49"/>
      <c r="Q525" s="54" t="str">
        <f ca="1">IFERROR(__xludf.DUMMYFUNCTION("QUERY('Volunteer Survey'!J919)"),"")</f>
        <v/>
      </c>
      <c r="R525" s="49"/>
      <c r="S525" s="49"/>
      <c r="T525" s="49">
        <f>'Volunteer Survey'!M935</f>
        <v>0</v>
      </c>
      <c r="U525" s="58"/>
      <c r="V525" s="49"/>
      <c r="W525" s="60">
        <f>'Volunteer Survey'!P935</f>
        <v>0</v>
      </c>
      <c r="X525" s="49"/>
      <c r="Y525" s="47"/>
      <c r="Z525" s="175" t="str">
        <f ca="1">IFERROR(__xludf.DUMMYFUNCTION("QUERY('Volunteer Survey'!A524)"),"")</f>
        <v/>
      </c>
      <c r="AA525" s="175" t="str">
        <f ca="1">IFERROR(__xludf.DUMMYFUNCTION("QUERY('Volunteer Survey'!B524)"),"")</f>
        <v/>
      </c>
      <c r="AB525" s="175" t="str">
        <f ca="1">IFERROR(__xludf.DUMMYFUNCTION("QUERY('Volunteer Survey'!C524)"),"")</f>
        <v/>
      </c>
      <c r="AC525" s="175" t="str">
        <f ca="1">IFERROR(__xludf.DUMMYFUNCTION("QUERY('Volunteer Survey'!D524)"),"")</f>
        <v/>
      </c>
      <c r="AD525" s="175" t="str">
        <f ca="1">IFERROR(__xludf.DUMMYFUNCTION("QUERY('Volunteer Survey'!E524)"),"")</f>
        <v/>
      </c>
      <c r="AE525" s="175" t="str">
        <f ca="1">IFERROR(__xludf.DUMMYFUNCTION("QUERY('Volunteer Survey'!F524)"),"")</f>
        <v/>
      </c>
      <c r="AF525" s="175" t="str">
        <f ca="1">IFERROR(__xludf.DUMMYFUNCTION("QUERY('Volunteer Survey'!G524)"),"")</f>
        <v/>
      </c>
      <c r="AG525" s="175" t="str">
        <f ca="1">IFERROR(__xludf.DUMMYFUNCTION("QUERY('Volunteer Survey'!H524)"),"")</f>
        <v/>
      </c>
      <c r="AH525" s="175" t="str">
        <f ca="1">IFERROR(__xludf.DUMMYFUNCTION("QUERY('Volunteer Survey'!I524)"),"")</f>
        <v/>
      </c>
      <c r="AI525" s="175" t="str">
        <f ca="1">IFERROR(__xludf.DUMMYFUNCTION("QUERY('Volunteer Survey'!J524)"),"")</f>
        <v/>
      </c>
      <c r="AJ525" s="175" t="str">
        <f ca="1">IFERROR(__xludf.DUMMYFUNCTION("QUERY('Volunteer Survey'!K524)"),"")</f>
        <v/>
      </c>
      <c r="AK525" s="175" t="str">
        <f ca="1">IFERROR(__xludf.DUMMYFUNCTION("QUERY('Volunteer Survey'!L524)"),"")</f>
        <v/>
      </c>
      <c r="AL525" s="175" t="str">
        <f ca="1">IFERROR(__xludf.DUMMYFUNCTION("QUERY('Volunteer Survey'!M524)"),"")</f>
        <v/>
      </c>
      <c r="AM525" s="175" t="str">
        <f ca="1">IFERROR(__xludf.DUMMYFUNCTION("QUERY('Volunteer Survey'!N524)"),"")</f>
        <v/>
      </c>
      <c r="AN525" s="175" t="str">
        <f ca="1">IFERROR(__xludf.DUMMYFUNCTION("QUERY('Volunteer Survey'!O524)"),"")</f>
        <v/>
      </c>
      <c r="AO525" s="175" t="str">
        <f ca="1">IFERROR(__xludf.DUMMYFUNCTION("QUERY('Volunteer Survey'!P524)"),"")</f>
        <v/>
      </c>
    </row>
    <row r="526" spans="1:41" ht="14">
      <c r="A526" s="49">
        <f>'Volunteer Survey'!A936</f>
        <v>0</v>
      </c>
      <c r="B526" s="42" t="s">
        <v>322</v>
      </c>
      <c r="C526" s="47"/>
      <c r="D526" s="49"/>
      <c r="E526" s="49"/>
      <c r="F526" s="49" t="b">
        <v>0</v>
      </c>
      <c r="G526" s="49"/>
      <c r="H526" s="47"/>
      <c r="I526" s="47"/>
      <c r="J526" s="49"/>
      <c r="K526" s="49"/>
      <c r="L526" s="49">
        <f>'Volunteer Survey'!B936</f>
        <v>0</v>
      </c>
      <c r="M526" s="49">
        <f>'Volunteer Survey'!E936</f>
        <v>0</v>
      </c>
      <c r="N526" s="49"/>
      <c r="O526" s="42">
        <f>'Volunteer Survey'!H937</f>
        <v>0</v>
      </c>
      <c r="P526" s="49"/>
      <c r="Q526" s="54" t="str">
        <f ca="1">IFERROR(__xludf.DUMMYFUNCTION("QUERY('Volunteer Survey'!J920)"),"")</f>
        <v/>
      </c>
      <c r="R526" s="49"/>
      <c r="S526" s="49"/>
      <c r="T526" s="49">
        <f>'Volunteer Survey'!M936</f>
        <v>0</v>
      </c>
      <c r="U526" s="58"/>
      <c r="V526" s="49"/>
      <c r="W526" s="60">
        <f>'Volunteer Survey'!P936</f>
        <v>0</v>
      </c>
      <c r="X526" s="49"/>
      <c r="Y526" s="47"/>
      <c r="Z526" s="175" t="str">
        <f ca="1">IFERROR(__xludf.DUMMYFUNCTION("QUERY('Volunteer Survey'!A525)"),"")</f>
        <v/>
      </c>
      <c r="AA526" s="175" t="str">
        <f ca="1">IFERROR(__xludf.DUMMYFUNCTION("QUERY('Volunteer Survey'!B525)"),"")</f>
        <v/>
      </c>
      <c r="AB526" s="175" t="str">
        <f ca="1">IFERROR(__xludf.DUMMYFUNCTION("QUERY('Volunteer Survey'!C525)"),"")</f>
        <v/>
      </c>
      <c r="AC526" s="175" t="str">
        <f ca="1">IFERROR(__xludf.DUMMYFUNCTION("QUERY('Volunteer Survey'!D525)"),"")</f>
        <v/>
      </c>
      <c r="AD526" s="175" t="str">
        <f ca="1">IFERROR(__xludf.DUMMYFUNCTION("QUERY('Volunteer Survey'!E525)"),"")</f>
        <v/>
      </c>
      <c r="AE526" s="175" t="str">
        <f ca="1">IFERROR(__xludf.DUMMYFUNCTION("QUERY('Volunteer Survey'!F525)"),"")</f>
        <v/>
      </c>
      <c r="AF526" s="175" t="str">
        <f ca="1">IFERROR(__xludf.DUMMYFUNCTION("QUERY('Volunteer Survey'!G525)"),"")</f>
        <v/>
      </c>
      <c r="AG526" s="175" t="str">
        <f ca="1">IFERROR(__xludf.DUMMYFUNCTION("QUERY('Volunteer Survey'!H525)"),"")</f>
        <v/>
      </c>
      <c r="AH526" s="175" t="str">
        <f ca="1">IFERROR(__xludf.DUMMYFUNCTION("QUERY('Volunteer Survey'!I525)"),"")</f>
        <v/>
      </c>
      <c r="AI526" s="175" t="str">
        <f ca="1">IFERROR(__xludf.DUMMYFUNCTION("QUERY('Volunteer Survey'!J525)"),"")</f>
        <v/>
      </c>
      <c r="AJ526" s="175" t="str">
        <f ca="1">IFERROR(__xludf.DUMMYFUNCTION("QUERY('Volunteer Survey'!K525)"),"")</f>
        <v/>
      </c>
      <c r="AK526" s="175" t="str">
        <f ca="1">IFERROR(__xludf.DUMMYFUNCTION("QUERY('Volunteer Survey'!L525)"),"")</f>
        <v/>
      </c>
      <c r="AL526" s="175" t="str">
        <f ca="1">IFERROR(__xludf.DUMMYFUNCTION("QUERY('Volunteer Survey'!M525)"),"")</f>
        <v/>
      </c>
      <c r="AM526" s="175" t="str">
        <f ca="1">IFERROR(__xludf.DUMMYFUNCTION("QUERY('Volunteer Survey'!N525)"),"")</f>
        <v/>
      </c>
      <c r="AN526" s="175" t="str">
        <f ca="1">IFERROR(__xludf.DUMMYFUNCTION("QUERY('Volunteer Survey'!O525)"),"")</f>
        <v/>
      </c>
      <c r="AO526" s="175" t="str">
        <f ca="1">IFERROR(__xludf.DUMMYFUNCTION("QUERY('Volunteer Survey'!P525)"),"")</f>
        <v/>
      </c>
    </row>
    <row r="527" spans="1:41" ht="14">
      <c r="A527" s="49">
        <f>'Volunteer Survey'!A937</f>
        <v>0</v>
      </c>
      <c r="B527" s="42" t="s">
        <v>322</v>
      </c>
      <c r="C527" s="47"/>
      <c r="D527" s="49"/>
      <c r="E527" s="49"/>
      <c r="F527" s="49" t="b">
        <v>0</v>
      </c>
      <c r="G527" s="49"/>
      <c r="H527" s="47"/>
      <c r="I527" s="47"/>
      <c r="J527" s="49"/>
      <c r="K527" s="49"/>
      <c r="L527" s="49">
        <f>'Volunteer Survey'!B937</f>
        <v>0</v>
      </c>
      <c r="M527" s="49">
        <f>'Volunteer Survey'!E937</f>
        <v>0</v>
      </c>
      <c r="N527" s="49"/>
      <c r="O527" s="42">
        <f>'Volunteer Survey'!H938</f>
        <v>0</v>
      </c>
      <c r="P527" s="49"/>
      <c r="Q527" s="54" t="str">
        <f ca="1">IFERROR(__xludf.DUMMYFUNCTION("QUERY('Volunteer Survey'!J921)"),"")</f>
        <v/>
      </c>
      <c r="R527" s="49"/>
      <c r="S527" s="49"/>
      <c r="T527" s="49">
        <f>'Volunteer Survey'!M937</f>
        <v>0</v>
      </c>
      <c r="U527" s="58"/>
      <c r="V527" s="49"/>
      <c r="W527" s="60">
        <f>'Volunteer Survey'!P937</f>
        <v>0</v>
      </c>
      <c r="X527" s="49"/>
      <c r="Y527" s="47"/>
      <c r="Z527" s="175" t="str">
        <f ca="1">IFERROR(__xludf.DUMMYFUNCTION("QUERY('Volunteer Survey'!A526)"),"")</f>
        <v/>
      </c>
      <c r="AA527" s="175" t="str">
        <f ca="1">IFERROR(__xludf.DUMMYFUNCTION("QUERY('Volunteer Survey'!B526)"),"")</f>
        <v/>
      </c>
      <c r="AB527" s="175" t="str">
        <f ca="1">IFERROR(__xludf.DUMMYFUNCTION("QUERY('Volunteer Survey'!C526)"),"")</f>
        <v/>
      </c>
      <c r="AC527" s="175" t="str">
        <f ca="1">IFERROR(__xludf.DUMMYFUNCTION("QUERY('Volunteer Survey'!D526)"),"")</f>
        <v/>
      </c>
      <c r="AD527" s="175" t="str">
        <f ca="1">IFERROR(__xludf.DUMMYFUNCTION("QUERY('Volunteer Survey'!E526)"),"")</f>
        <v/>
      </c>
      <c r="AE527" s="175" t="str">
        <f ca="1">IFERROR(__xludf.DUMMYFUNCTION("QUERY('Volunteer Survey'!F526)"),"")</f>
        <v/>
      </c>
      <c r="AF527" s="175" t="str">
        <f ca="1">IFERROR(__xludf.DUMMYFUNCTION("QUERY('Volunteer Survey'!G526)"),"")</f>
        <v/>
      </c>
      <c r="AG527" s="175" t="str">
        <f ca="1">IFERROR(__xludf.DUMMYFUNCTION("QUERY('Volunteer Survey'!H526)"),"")</f>
        <v/>
      </c>
      <c r="AH527" s="175" t="str">
        <f ca="1">IFERROR(__xludf.DUMMYFUNCTION("QUERY('Volunteer Survey'!I526)"),"")</f>
        <v/>
      </c>
      <c r="AI527" s="175" t="str">
        <f ca="1">IFERROR(__xludf.DUMMYFUNCTION("QUERY('Volunteer Survey'!J526)"),"")</f>
        <v/>
      </c>
      <c r="AJ527" s="175" t="str">
        <f ca="1">IFERROR(__xludf.DUMMYFUNCTION("QUERY('Volunteer Survey'!K526)"),"")</f>
        <v/>
      </c>
      <c r="AK527" s="175" t="str">
        <f ca="1">IFERROR(__xludf.DUMMYFUNCTION("QUERY('Volunteer Survey'!L526)"),"")</f>
        <v/>
      </c>
      <c r="AL527" s="175" t="str">
        <f ca="1">IFERROR(__xludf.DUMMYFUNCTION("QUERY('Volunteer Survey'!M526)"),"")</f>
        <v/>
      </c>
      <c r="AM527" s="175" t="str">
        <f ca="1">IFERROR(__xludf.DUMMYFUNCTION("QUERY('Volunteer Survey'!N526)"),"")</f>
        <v/>
      </c>
      <c r="AN527" s="175" t="str">
        <f ca="1">IFERROR(__xludf.DUMMYFUNCTION("QUERY('Volunteer Survey'!O526)"),"")</f>
        <v/>
      </c>
      <c r="AO527" s="175" t="str">
        <f ca="1">IFERROR(__xludf.DUMMYFUNCTION("QUERY('Volunteer Survey'!P526)"),"")</f>
        <v/>
      </c>
    </row>
    <row r="528" spans="1:41" ht="14">
      <c r="A528" s="49">
        <f>'Volunteer Survey'!A938</f>
        <v>0</v>
      </c>
      <c r="B528" s="42" t="s">
        <v>322</v>
      </c>
      <c r="C528" s="47"/>
      <c r="D528" s="49"/>
      <c r="E528" s="49"/>
      <c r="F528" s="49" t="b">
        <v>0</v>
      </c>
      <c r="G528" s="49"/>
      <c r="H528" s="47"/>
      <c r="I528" s="47"/>
      <c r="J528" s="49"/>
      <c r="K528" s="49"/>
      <c r="L528" s="49">
        <f>'Volunteer Survey'!B938</f>
        <v>0</v>
      </c>
      <c r="M528" s="49">
        <f>'Volunteer Survey'!E938</f>
        <v>0</v>
      </c>
      <c r="N528" s="49"/>
      <c r="O528" s="42">
        <f>'Volunteer Survey'!H939</f>
        <v>0</v>
      </c>
      <c r="P528" s="49"/>
      <c r="Q528" s="54" t="str">
        <f ca="1">IFERROR(__xludf.DUMMYFUNCTION("QUERY('Volunteer Survey'!J922)"),"")</f>
        <v/>
      </c>
      <c r="R528" s="49"/>
      <c r="S528" s="49"/>
      <c r="T528" s="49">
        <f>'Volunteer Survey'!M938</f>
        <v>0</v>
      </c>
      <c r="U528" s="58"/>
      <c r="V528" s="49"/>
      <c r="W528" s="60">
        <f>'Volunteer Survey'!P938</f>
        <v>0</v>
      </c>
      <c r="X528" s="49"/>
      <c r="Y528" s="47"/>
      <c r="Z528" s="175" t="str">
        <f ca="1">IFERROR(__xludf.DUMMYFUNCTION("QUERY('Volunteer Survey'!A527)"),"")</f>
        <v/>
      </c>
      <c r="AA528" s="175" t="str">
        <f ca="1">IFERROR(__xludf.DUMMYFUNCTION("QUERY('Volunteer Survey'!B527)"),"")</f>
        <v/>
      </c>
      <c r="AB528" s="175" t="str">
        <f ca="1">IFERROR(__xludf.DUMMYFUNCTION("QUERY('Volunteer Survey'!C527)"),"")</f>
        <v/>
      </c>
      <c r="AC528" s="175" t="str">
        <f ca="1">IFERROR(__xludf.DUMMYFUNCTION("QUERY('Volunteer Survey'!D527)"),"")</f>
        <v/>
      </c>
      <c r="AD528" s="175" t="str">
        <f ca="1">IFERROR(__xludf.DUMMYFUNCTION("QUERY('Volunteer Survey'!E527)"),"")</f>
        <v/>
      </c>
      <c r="AE528" s="175" t="str">
        <f ca="1">IFERROR(__xludf.DUMMYFUNCTION("QUERY('Volunteer Survey'!F527)"),"")</f>
        <v/>
      </c>
      <c r="AF528" s="175" t="str">
        <f ca="1">IFERROR(__xludf.DUMMYFUNCTION("QUERY('Volunteer Survey'!G527)"),"")</f>
        <v/>
      </c>
      <c r="AG528" s="175" t="str">
        <f ca="1">IFERROR(__xludf.DUMMYFUNCTION("QUERY('Volunteer Survey'!H527)"),"")</f>
        <v/>
      </c>
      <c r="AH528" s="175" t="str">
        <f ca="1">IFERROR(__xludf.DUMMYFUNCTION("QUERY('Volunteer Survey'!I527)"),"")</f>
        <v/>
      </c>
      <c r="AI528" s="175" t="str">
        <f ca="1">IFERROR(__xludf.DUMMYFUNCTION("QUERY('Volunteer Survey'!J527)"),"")</f>
        <v/>
      </c>
      <c r="AJ528" s="175" t="str">
        <f ca="1">IFERROR(__xludf.DUMMYFUNCTION("QUERY('Volunteer Survey'!K527)"),"")</f>
        <v/>
      </c>
      <c r="AK528" s="175" t="str">
        <f ca="1">IFERROR(__xludf.DUMMYFUNCTION("QUERY('Volunteer Survey'!L527)"),"")</f>
        <v/>
      </c>
      <c r="AL528" s="175" t="str">
        <f ca="1">IFERROR(__xludf.DUMMYFUNCTION("QUERY('Volunteer Survey'!M527)"),"")</f>
        <v/>
      </c>
      <c r="AM528" s="175" t="str">
        <f ca="1">IFERROR(__xludf.DUMMYFUNCTION("QUERY('Volunteer Survey'!N527)"),"")</f>
        <v/>
      </c>
      <c r="AN528" s="175" t="str">
        <f ca="1">IFERROR(__xludf.DUMMYFUNCTION("QUERY('Volunteer Survey'!O527)"),"")</f>
        <v/>
      </c>
      <c r="AO528" s="175" t="str">
        <f ca="1">IFERROR(__xludf.DUMMYFUNCTION("QUERY('Volunteer Survey'!P527)"),"")</f>
        <v/>
      </c>
    </row>
    <row r="529" spans="1:41" ht="14">
      <c r="A529" s="49">
        <f>'Volunteer Survey'!A939</f>
        <v>0</v>
      </c>
      <c r="B529" s="42" t="s">
        <v>322</v>
      </c>
      <c r="C529" s="47"/>
      <c r="D529" s="49"/>
      <c r="E529" s="49"/>
      <c r="F529" s="49" t="b">
        <v>0</v>
      </c>
      <c r="G529" s="49"/>
      <c r="H529" s="47"/>
      <c r="I529" s="47"/>
      <c r="J529" s="49"/>
      <c r="K529" s="49"/>
      <c r="L529" s="49">
        <f>'Volunteer Survey'!B939</f>
        <v>0</v>
      </c>
      <c r="M529" s="49">
        <f>'Volunteer Survey'!E939</f>
        <v>0</v>
      </c>
      <c r="N529" s="49"/>
      <c r="O529" s="42">
        <f>'Volunteer Survey'!H940</f>
        <v>0</v>
      </c>
      <c r="P529" s="49"/>
      <c r="Q529" s="54" t="str">
        <f ca="1">IFERROR(__xludf.DUMMYFUNCTION("QUERY('Volunteer Survey'!J923)"),"")</f>
        <v/>
      </c>
      <c r="R529" s="49"/>
      <c r="S529" s="49"/>
      <c r="T529" s="49">
        <f>'Volunteer Survey'!M939</f>
        <v>0</v>
      </c>
      <c r="U529" s="58"/>
      <c r="V529" s="49"/>
      <c r="W529" s="60">
        <f>'Volunteer Survey'!P939</f>
        <v>0</v>
      </c>
      <c r="X529" s="49"/>
      <c r="Y529" s="47"/>
      <c r="Z529" s="175" t="str">
        <f ca="1">IFERROR(__xludf.DUMMYFUNCTION("QUERY('Volunteer Survey'!A528)"),"")</f>
        <v/>
      </c>
      <c r="AA529" s="175" t="str">
        <f ca="1">IFERROR(__xludf.DUMMYFUNCTION("QUERY('Volunteer Survey'!B528)"),"")</f>
        <v/>
      </c>
      <c r="AB529" s="175" t="str">
        <f ca="1">IFERROR(__xludf.DUMMYFUNCTION("QUERY('Volunteer Survey'!C528)"),"")</f>
        <v/>
      </c>
      <c r="AC529" s="175" t="str">
        <f ca="1">IFERROR(__xludf.DUMMYFUNCTION("QUERY('Volunteer Survey'!D528)"),"")</f>
        <v/>
      </c>
      <c r="AD529" s="175" t="str">
        <f ca="1">IFERROR(__xludf.DUMMYFUNCTION("QUERY('Volunteer Survey'!E528)"),"")</f>
        <v/>
      </c>
      <c r="AE529" s="175" t="str">
        <f ca="1">IFERROR(__xludf.DUMMYFUNCTION("QUERY('Volunteer Survey'!F528)"),"")</f>
        <v/>
      </c>
      <c r="AF529" s="175" t="str">
        <f ca="1">IFERROR(__xludf.DUMMYFUNCTION("QUERY('Volunteer Survey'!G528)"),"")</f>
        <v/>
      </c>
      <c r="AG529" s="175" t="str">
        <f ca="1">IFERROR(__xludf.DUMMYFUNCTION("QUERY('Volunteer Survey'!H528)"),"")</f>
        <v/>
      </c>
      <c r="AH529" s="175" t="str">
        <f ca="1">IFERROR(__xludf.DUMMYFUNCTION("QUERY('Volunteer Survey'!I528)"),"")</f>
        <v/>
      </c>
      <c r="AI529" s="175" t="str">
        <f ca="1">IFERROR(__xludf.DUMMYFUNCTION("QUERY('Volunteer Survey'!J528)"),"")</f>
        <v/>
      </c>
      <c r="AJ529" s="175" t="str">
        <f ca="1">IFERROR(__xludf.DUMMYFUNCTION("QUERY('Volunteer Survey'!K528)"),"")</f>
        <v/>
      </c>
      <c r="AK529" s="175" t="str">
        <f ca="1">IFERROR(__xludf.DUMMYFUNCTION("QUERY('Volunteer Survey'!L528)"),"")</f>
        <v/>
      </c>
      <c r="AL529" s="175" t="str">
        <f ca="1">IFERROR(__xludf.DUMMYFUNCTION("QUERY('Volunteer Survey'!M528)"),"")</f>
        <v/>
      </c>
      <c r="AM529" s="175" t="str">
        <f ca="1">IFERROR(__xludf.DUMMYFUNCTION("QUERY('Volunteer Survey'!N528)"),"")</f>
        <v/>
      </c>
      <c r="AN529" s="175" t="str">
        <f ca="1">IFERROR(__xludf.DUMMYFUNCTION("QUERY('Volunteer Survey'!O528)"),"")</f>
        <v/>
      </c>
      <c r="AO529" s="175" t="str">
        <f ca="1">IFERROR(__xludf.DUMMYFUNCTION("QUERY('Volunteer Survey'!P528)"),"")</f>
        <v/>
      </c>
    </row>
    <row r="530" spans="1:41" ht="14">
      <c r="A530" s="49">
        <f>'Volunteer Survey'!A940</f>
        <v>0</v>
      </c>
      <c r="B530" s="42" t="s">
        <v>322</v>
      </c>
      <c r="C530" s="47"/>
      <c r="D530" s="49"/>
      <c r="E530" s="49"/>
      <c r="F530" s="49" t="b">
        <v>0</v>
      </c>
      <c r="G530" s="49"/>
      <c r="H530" s="47"/>
      <c r="I530" s="47"/>
      <c r="J530" s="49"/>
      <c r="K530" s="49"/>
      <c r="L530" s="49">
        <f>'Volunteer Survey'!B940</f>
        <v>0</v>
      </c>
      <c r="M530" s="49">
        <f>'Volunteer Survey'!E940</f>
        <v>0</v>
      </c>
      <c r="N530" s="49"/>
      <c r="O530" s="42">
        <f>'Volunteer Survey'!H941</f>
        <v>0</v>
      </c>
      <c r="P530" s="49"/>
      <c r="Q530" s="54" t="str">
        <f ca="1">IFERROR(__xludf.DUMMYFUNCTION("QUERY('Volunteer Survey'!J924)"),"")</f>
        <v/>
      </c>
      <c r="R530" s="49"/>
      <c r="S530" s="49"/>
      <c r="T530" s="49">
        <f>'Volunteer Survey'!M940</f>
        <v>0</v>
      </c>
      <c r="U530" s="58"/>
      <c r="V530" s="49"/>
      <c r="W530" s="60">
        <f>'Volunteer Survey'!P940</f>
        <v>0</v>
      </c>
      <c r="X530" s="49"/>
      <c r="Y530" s="47"/>
      <c r="Z530" s="175" t="str">
        <f ca="1">IFERROR(__xludf.DUMMYFUNCTION("QUERY('Volunteer Survey'!A529)"),"")</f>
        <v/>
      </c>
      <c r="AA530" s="175" t="str">
        <f ca="1">IFERROR(__xludf.DUMMYFUNCTION("QUERY('Volunteer Survey'!B529)"),"")</f>
        <v/>
      </c>
      <c r="AB530" s="175" t="str">
        <f ca="1">IFERROR(__xludf.DUMMYFUNCTION("QUERY('Volunteer Survey'!C529)"),"")</f>
        <v/>
      </c>
      <c r="AC530" s="175" t="str">
        <f ca="1">IFERROR(__xludf.DUMMYFUNCTION("QUERY('Volunteer Survey'!D529)"),"")</f>
        <v/>
      </c>
      <c r="AD530" s="175" t="str">
        <f ca="1">IFERROR(__xludf.DUMMYFUNCTION("QUERY('Volunteer Survey'!E529)"),"")</f>
        <v/>
      </c>
      <c r="AE530" s="175" t="str">
        <f ca="1">IFERROR(__xludf.DUMMYFUNCTION("QUERY('Volunteer Survey'!F529)"),"")</f>
        <v/>
      </c>
      <c r="AF530" s="175" t="str">
        <f ca="1">IFERROR(__xludf.DUMMYFUNCTION("QUERY('Volunteer Survey'!G529)"),"")</f>
        <v/>
      </c>
      <c r="AG530" s="175" t="str">
        <f ca="1">IFERROR(__xludf.DUMMYFUNCTION("QUERY('Volunteer Survey'!H529)"),"")</f>
        <v/>
      </c>
      <c r="AH530" s="175" t="str">
        <f ca="1">IFERROR(__xludf.DUMMYFUNCTION("QUERY('Volunteer Survey'!I529)"),"")</f>
        <v/>
      </c>
      <c r="AI530" s="175" t="str">
        <f ca="1">IFERROR(__xludf.DUMMYFUNCTION("QUERY('Volunteer Survey'!J529)"),"")</f>
        <v/>
      </c>
      <c r="AJ530" s="175" t="str">
        <f ca="1">IFERROR(__xludf.DUMMYFUNCTION("QUERY('Volunteer Survey'!K529)"),"")</f>
        <v/>
      </c>
      <c r="AK530" s="175" t="str">
        <f ca="1">IFERROR(__xludf.DUMMYFUNCTION("QUERY('Volunteer Survey'!L529)"),"")</f>
        <v/>
      </c>
      <c r="AL530" s="175" t="str">
        <f ca="1">IFERROR(__xludf.DUMMYFUNCTION("QUERY('Volunteer Survey'!M529)"),"")</f>
        <v/>
      </c>
      <c r="AM530" s="175" t="str">
        <f ca="1">IFERROR(__xludf.DUMMYFUNCTION("QUERY('Volunteer Survey'!N529)"),"")</f>
        <v/>
      </c>
      <c r="AN530" s="175" t="str">
        <f ca="1">IFERROR(__xludf.DUMMYFUNCTION("QUERY('Volunteer Survey'!O529)"),"")</f>
        <v/>
      </c>
      <c r="AO530" s="175" t="str">
        <f ca="1">IFERROR(__xludf.DUMMYFUNCTION("QUERY('Volunteer Survey'!P529)"),"")</f>
        <v/>
      </c>
    </row>
    <row r="531" spans="1:41" ht="14">
      <c r="A531" s="49">
        <f>'Volunteer Survey'!A941</f>
        <v>0</v>
      </c>
      <c r="B531" s="42" t="s">
        <v>322</v>
      </c>
      <c r="C531" s="47"/>
      <c r="D531" s="49"/>
      <c r="E531" s="49"/>
      <c r="F531" s="49" t="b">
        <v>0</v>
      </c>
      <c r="G531" s="49"/>
      <c r="H531" s="47"/>
      <c r="I531" s="47"/>
      <c r="J531" s="49"/>
      <c r="K531" s="49"/>
      <c r="L531" s="49">
        <f>'Volunteer Survey'!B941</f>
        <v>0</v>
      </c>
      <c r="M531" s="49">
        <f>'Volunteer Survey'!E941</f>
        <v>0</v>
      </c>
      <c r="N531" s="49"/>
      <c r="O531" s="42">
        <f>'Volunteer Survey'!H942</f>
        <v>0</v>
      </c>
      <c r="P531" s="49"/>
      <c r="Q531" s="54" t="str">
        <f ca="1">IFERROR(__xludf.DUMMYFUNCTION("QUERY('Volunteer Survey'!J925)"),"")</f>
        <v/>
      </c>
      <c r="R531" s="49"/>
      <c r="S531" s="49"/>
      <c r="T531" s="49">
        <f>'Volunteer Survey'!M941</f>
        <v>0</v>
      </c>
      <c r="U531" s="58"/>
      <c r="V531" s="49"/>
      <c r="W531" s="60">
        <f>'Volunteer Survey'!P941</f>
        <v>0</v>
      </c>
      <c r="X531" s="49"/>
      <c r="Y531" s="47"/>
      <c r="Z531" s="175" t="str">
        <f ca="1">IFERROR(__xludf.DUMMYFUNCTION("QUERY('Volunteer Survey'!A530)"),"")</f>
        <v/>
      </c>
      <c r="AA531" s="175" t="str">
        <f ca="1">IFERROR(__xludf.DUMMYFUNCTION("QUERY('Volunteer Survey'!B530)"),"")</f>
        <v/>
      </c>
      <c r="AB531" s="175" t="str">
        <f ca="1">IFERROR(__xludf.DUMMYFUNCTION("QUERY('Volunteer Survey'!C530)"),"")</f>
        <v/>
      </c>
      <c r="AC531" s="175" t="str">
        <f ca="1">IFERROR(__xludf.DUMMYFUNCTION("QUERY('Volunteer Survey'!D530)"),"")</f>
        <v/>
      </c>
      <c r="AD531" s="175" t="str">
        <f ca="1">IFERROR(__xludf.DUMMYFUNCTION("QUERY('Volunteer Survey'!E530)"),"")</f>
        <v/>
      </c>
      <c r="AE531" s="175" t="str">
        <f ca="1">IFERROR(__xludf.DUMMYFUNCTION("QUERY('Volunteer Survey'!F530)"),"")</f>
        <v/>
      </c>
      <c r="AF531" s="175" t="str">
        <f ca="1">IFERROR(__xludf.DUMMYFUNCTION("QUERY('Volunteer Survey'!G530)"),"")</f>
        <v/>
      </c>
      <c r="AG531" s="175" t="str">
        <f ca="1">IFERROR(__xludf.DUMMYFUNCTION("QUERY('Volunteer Survey'!H530)"),"")</f>
        <v/>
      </c>
      <c r="AH531" s="175" t="str">
        <f ca="1">IFERROR(__xludf.DUMMYFUNCTION("QUERY('Volunteer Survey'!I530)"),"")</f>
        <v/>
      </c>
      <c r="AI531" s="175" t="str">
        <f ca="1">IFERROR(__xludf.DUMMYFUNCTION("QUERY('Volunteer Survey'!J530)"),"")</f>
        <v/>
      </c>
      <c r="AJ531" s="175" t="str">
        <f ca="1">IFERROR(__xludf.DUMMYFUNCTION("QUERY('Volunteer Survey'!K530)"),"")</f>
        <v/>
      </c>
      <c r="AK531" s="175" t="str">
        <f ca="1">IFERROR(__xludf.DUMMYFUNCTION("QUERY('Volunteer Survey'!L530)"),"")</f>
        <v/>
      </c>
      <c r="AL531" s="175" t="str">
        <f ca="1">IFERROR(__xludf.DUMMYFUNCTION("QUERY('Volunteer Survey'!M530)"),"")</f>
        <v/>
      </c>
      <c r="AM531" s="175" t="str">
        <f ca="1">IFERROR(__xludf.DUMMYFUNCTION("QUERY('Volunteer Survey'!N530)"),"")</f>
        <v/>
      </c>
      <c r="AN531" s="175" t="str">
        <f ca="1">IFERROR(__xludf.DUMMYFUNCTION("QUERY('Volunteer Survey'!O530)"),"")</f>
        <v/>
      </c>
      <c r="AO531" s="175" t="str">
        <f ca="1">IFERROR(__xludf.DUMMYFUNCTION("QUERY('Volunteer Survey'!P530)"),"")</f>
        <v/>
      </c>
    </row>
    <row r="532" spans="1:41" ht="14">
      <c r="A532" s="49">
        <f>'Volunteer Survey'!A942</f>
        <v>0</v>
      </c>
      <c r="B532" s="42" t="s">
        <v>322</v>
      </c>
      <c r="C532" s="47"/>
      <c r="D532" s="49"/>
      <c r="E532" s="49"/>
      <c r="F532" s="49" t="b">
        <v>0</v>
      </c>
      <c r="G532" s="49"/>
      <c r="H532" s="47"/>
      <c r="I532" s="47"/>
      <c r="J532" s="49"/>
      <c r="K532" s="49"/>
      <c r="L532" s="49">
        <f>'Volunteer Survey'!B942</f>
        <v>0</v>
      </c>
      <c r="M532" s="49">
        <f>'Volunteer Survey'!E942</f>
        <v>0</v>
      </c>
      <c r="N532" s="49"/>
      <c r="O532" s="42">
        <f>'Volunteer Survey'!H943</f>
        <v>0</v>
      </c>
      <c r="P532" s="49"/>
      <c r="Q532" s="54" t="str">
        <f ca="1">IFERROR(__xludf.DUMMYFUNCTION("QUERY('Volunteer Survey'!J926)"),"")</f>
        <v/>
      </c>
      <c r="R532" s="49"/>
      <c r="S532" s="49"/>
      <c r="T532" s="49">
        <f>'Volunteer Survey'!M942</f>
        <v>0</v>
      </c>
      <c r="U532" s="58"/>
      <c r="V532" s="49"/>
      <c r="W532" s="60">
        <f>'Volunteer Survey'!P942</f>
        <v>0</v>
      </c>
      <c r="X532" s="49"/>
      <c r="Y532" s="47"/>
      <c r="Z532" s="175" t="str">
        <f ca="1">IFERROR(__xludf.DUMMYFUNCTION("QUERY('Volunteer Survey'!A531)"),"")</f>
        <v/>
      </c>
      <c r="AA532" s="175" t="str">
        <f ca="1">IFERROR(__xludf.DUMMYFUNCTION("QUERY('Volunteer Survey'!B531)"),"")</f>
        <v/>
      </c>
      <c r="AB532" s="175" t="str">
        <f ca="1">IFERROR(__xludf.DUMMYFUNCTION("QUERY('Volunteer Survey'!C531)"),"")</f>
        <v/>
      </c>
      <c r="AC532" s="175" t="str">
        <f ca="1">IFERROR(__xludf.DUMMYFUNCTION("QUERY('Volunteer Survey'!D531)"),"")</f>
        <v/>
      </c>
      <c r="AD532" s="175" t="str">
        <f ca="1">IFERROR(__xludf.DUMMYFUNCTION("QUERY('Volunteer Survey'!E531)"),"")</f>
        <v/>
      </c>
      <c r="AE532" s="175" t="str">
        <f ca="1">IFERROR(__xludf.DUMMYFUNCTION("QUERY('Volunteer Survey'!F531)"),"")</f>
        <v/>
      </c>
      <c r="AF532" s="175" t="str">
        <f ca="1">IFERROR(__xludf.DUMMYFUNCTION("QUERY('Volunteer Survey'!G531)"),"")</f>
        <v/>
      </c>
      <c r="AG532" s="175" t="str">
        <f ca="1">IFERROR(__xludf.DUMMYFUNCTION("QUERY('Volunteer Survey'!H531)"),"")</f>
        <v/>
      </c>
      <c r="AH532" s="175" t="str">
        <f ca="1">IFERROR(__xludf.DUMMYFUNCTION("QUERY('Volunteer Survey'!I531)"),"")</f>
        <v/>
      </c>
      <c r="AI532" s="175" t="str">
        <f ca="1">IFERROR(__xludf.DUMMYFUNCTION("QUERY('Volunteer Survey'!J531)"),"")</f>
        <v/>
      </c>
      <c r="AJ532" s="175" t="str">
        <f ca="1">IFERROR(__xludf.DUMMYFUNCTION("QUERY('Volunteer Survey'!K531)"),"")</f>
        <v/>
      </c>
      <c r="AK532" s="175" t="str">
        <f ca="1">IFERROR(__xludf.DUMMYFUNCTION("QUERY('Volunteer Survey'!L531)"),"")</f>
        <v/>
      </c>
      <c r="AL532" s="175" t="str">
        <f ca="1">IFERROR(__xludf.DUMMYFUNCTION("QUERY('Volunteer Survey'!M531)"),"")</f>
        <v/>
      </c>
      <c r="AM532" s="175" t="str">
        <f ca="1">IFERROR(__xludf.DUMMYFUNCTION("QUERY('Volunteer Survey'!N531)"),"")</f>
        <v/>
      </c>
      <c r="AN532" s="175" t="str">
        <f ca="1">IFERROR(__xludf.DUMMYFUNCTION("QUERY('Volunteer Survey'!O531)"),"")</f>
        <v/>
      </c>
      <c r="AO532" s="175" t="str">
        <f ca="1">IFERROR(__xludf.DUMMYFUNCTION("QUERY('Volunteer Survey'!P531)"),"")</f>
        <v/>
      </c>
    </row>
    <row r="533" spans="1:41" ht="14">
      <c r="A533" s="49">
        <f>'Volunteer Survey'!A943</f>
        <v>0</v>
      </c>
      <c r="B533" s="42" t="s">
        <v>322</v>
      </c>
      <c r="C533" s="47"/>
      <c r="D533" s="49"/>
      <c r="E533" s="49"/>
      <c r="F533" s="49" t="b">
        <v>0</v>
      </c>
      <c r="G533" s="49"/>
      <c r="H533" s="47"/>
      <c r="I533" s="47"/>
      <c r="J533" s="49"/>
      <c r="K533" s="49"/>
      <c r="L533" s="49">
        <f>'Volunteer Survey'!B943</f>
        <v>0</v>
      </c>
      <c r="M533" s="49">
        <f>'Volunteer Survey'!E943</f>
        <v>0</v>
      </c>
      <c r="N533" s="49"/>
      <c r="O533" s="42">
        <f>'Volunteer Survey'!H944</f>
        <v>0</v>
      </c>
      <c r="P533" s="49"/>
      <c r="Q533" s="54" t="str">
        <f ca="1">IFERROR(__xludf.DUMMYFUNCTION("QUERY('Volunteer Survey'!J927)"),"")</f>
        <v/>
      </c>
      <c r="R533" s="49"/>
      <c r="S533" s="49"/>
      <c r="T533" s="49">
        <f>'Volunteer Survey'!M943</f>
        <v>0</v>
      </c>
      <c r="U533" s="58"/>
      <c r="V533" s="49"/>
      <c r="W533" s="60">
        <f>'Volunteer Survey'!P943</f>
        <v>0</v>
      </c>
      <c r="X533" s="49"/>
      <c r="Y533" s="47"/>
      <c r="Z533" s="175" t="str">
        <f ca="1">IFERROR(__xludf.DUMMYFUNCTION("QUERY('Volunteer Survey'!A532)"),"")</f>
        <v/>
      </c>
      <c r="AA533" s="175" t="str">
        <f ca="1">IFERROR(__xludf.DUMMYFUNCTION("QUERY('Volunteer Survey'!B532)"),"")</f>
        <v/>
      </c>
      <c r="AB533" s="175" t="str">
        <f ca="1">IFERROR(__xludf.DUMMYFUNCTION("QUERY('Volunteer Survey'!C532)"),"")</f>
        <v/>
      </c>
      <c r="AC533" s="175" t="str">
        <f ca="1">IFERROR(__xludf.DUMMYFUNCTION("QUERY('Volunteer Survey'!D532)"),"")</f>
        <v/>
      </c>
      <c r="AD533" s="175" t="str">
        <f ca="1">IFERROR(__xludf.DUMMYFUNCTION("QUERY('Volunteer Survey'!E532)"),"")</f>
        <v/>
      </c>
      <c r="AE533" s="175" t="str">
        <f ca="1">IFERROR(__xludf.DUMMYFUNCTION("QUERY('Volunteer Survey'!F532)"),"")</f>
        <v/>
      </c>
      <c r="AF533" s="175" t="str">
        <f ca="1">IFERROR(__xludf.DUMMYFUNCTION("QUERY('Volunteer Survey'!G532)"),"")</f>
        <v/>
      </c>
      <c r="AG533" s="175" t="str">
        <f ca="1">IFERROR(__xludf.DUMMYFUNCTION("QUERY('Volunteer Survey'!H532)"),"")</f>
        <v/>
      </c>
      <c r="AH533" s="175" t="str">
        <f ca="1">IFERROR(__xludf.DUMMYFUNCTION("QUERY('Volunteer Survey'!I532)"),"")</f>
        <v/>
      </c>
      <c r="AI533" s="175" t="str">
        <f ca="1">IFERROR(__xludf.DUMMYFUNCTION("QUERY('Volunteer Survey'!J532)"),"")</f>
        <v/>
      </c>
      <c r="AJ533" s="175" t="str">
        <f ca="1">IFERROR(__xludf.DUMMYFUNCTION("QUERY('Volunteer Survey'!K532)"),"")</f>
        <v/>
      </c>
      <c r="AK533" s="175" t="str">
        <f ca="1">IFERROR(__xludf.DUMMYFUNCTION("QUERY('Volunteer Survey'!L532)"),"")</f>
        <v/>
      </c>
      <c r="AL533" s="175" t="str">
        <f ca="1">IFERROR(__xludf.DUMMYFUNCTION("QUERY('Volunteer Survey'!M532)"),"")</f>
        <v/>
      </c>
      <c r="AM533" s="175" t="str">
        <f ca="1">IFERROR(__xludf.DUMMYFUNCTION("QUERY('Volunteer Survey'!N532)"),"")</f>
        <v/>
      </c>
      <c r="AN533" s="175" t="str">
        <f ca="1">IFERROR(__xludf.DUMMYFUNCTION("QUERY('Volunteer Survey'!O532)"),"")</f>
        <v/>
      </c>
      <c r="AO533" s="175" t="str">
        <f ca="1">IFERROR(__xludf.DUMMYFUNCTION("QUERY('Volunteer Survey'!P532)"),"")</f>
        <v/>
      </c>
    </row>
    <row r="534" spans="1:41" ht="14">
      <c r="A534" s="49">
        <f>'Volunteer Survey'!A944</f>
        <v>0</v>
      </c>
      <c r="B534" s="42" t="s">
        <v>322</v>
      </c>
      <c r="C534" s="47"/>
      <c r="D534" s="49"/>
      <c r="E534" s="49"/>
      <c r="F534" s="49" t="b">
        <v>0</v>
      </c>
      <c r="G534" s="49"/>
      <c r="H534" s="47"/>
      <c r="I534" s="47"/>
      <c r="J534" s="49"/>
      <c r="K534" s="49"/>
      <c r="L534" s="49">
        <f>'Volunteer Survey'!B944</f>
        <v>0</v>
      </c>
      <c r="M534" s="49">
        <f>'Volunteer Survey'!E944</f>
        <v>0</v>
      </c>
      <c r="N534" s="49"/>
      <c r="O534" s="42">
        <f>'Volunteer Survey'!H945</f>
        <v>0</v>
      </c>
      <c r="P534" s="49"/>
      <c r="Q534" s="54">
        <f>'Volunteer Survey'!J944</f>
        <v>0</v>
      </c>
      <c r="R534" s="49"/>
      <c r="S534" s="49"/>
      <c r="T534" s="49">
        <f>'Volunteer Survey'!M944</f>
        <v>0</v>
      </c>
      <c r="U534" s="58"/>
      <c r="V534" s="49"/>
      <c r="W534" s="60">
        <f>'Volunteer Survey'!P944</f>
        <v>0</v>
      </c>
      <c r="X534" s="49"/>
      <c r="Y534" s="47"/>
      <c r="Z534" s="175" t="str">
        <f ca="1">IFERROR(__xludf.DUMMYFUNCTION("QUERY('Volunteer Survey'!A533)"),"")</f>
        <v/>
      </c>
      <c r="AA534" s="175" t="str">
        <f ca="1">IFERROR(__xludf.DUMMYFUNCTION("QUERY('Volunteer Survey'!B533)"),"")</f>
        <v/>
      </c>
      <c r="AB534" s="175" t="str">
        <f ca="1">IFERROR(__xludf.DUMMYFUNCTION("QUERY('Volunteer Survey'!C533)"),"")</f>
        <v/>
      </c>
      <c r="AC534" s="175" t="str">
        <f ca="1">IFERROR(__xludf.DUMMYFUNCTION("QUERY('Volunteer Survey'!D533)"),"")</f>
        <v/>
      </c>
      <c r="AD534" s="175" t="str">
        <f ca="1">IFERROR(__xludf.DUMMYFUNCTION("QUERY('Volunteer Survey'!E533)"),"")</f>
        <v/>
      </c>
      <c r="AE534" s="175" t="str">
        <f ca="1">IFERROR(__xludf.DUMMYFUNCTION("QUERY('Volunteer Survey'!F533)"),"")</f>
        <v/>
      </c>
      <c r="AF534" s="175" t="str">
        <f ca="1">IFERROR(__xludf.DUMMYFUNCTION("QUERY('Volunteer Survey'!G533)"),"")</f>
        <v/>
      </c>
      <c r="AG534" s="175" t="str">
        <f ca="1">IFERROR(__xludf.DUMMYFUNCTION("QUERY('Volunteer Survey'!H533)"),"")</f>
        <v/>
      </c>
      <c r="AH534" s="175" t="str">
        <f ca="1">IFERROR(__xludf.DUMMYFUNCTION("QUERY('Volunteer Survey'!I533)"),"")</f>
        <v/>
      </c>
      <c r="AI534" s="175" t="str">
        <f ca="1">IFERROR(__xludf.DUMMYFUNCTION("QUERY('Volunteer Survey'!J533)"),"")</f>
        <v/>
      </c>
      <c r="AJ534" s="175" t="str">
        <f ca="1">IFERROR(__xludf.DUMMYFUNCTION("QUERY('Volunteer Survey'!K533)"),"")</f>
        <v/>
      </c>
      <c r="AK534" s="175" t="str">
        <f ca="1">IFERROR(__xludf.DUMMYFUNCTION("QUERY('Volunteer Survey'!L533)"),"")</f>
        <v/>
      </c>
      <c r="AL534" s="175" t="str">
        <f ca="1">IFERROR(__xludf.DUMMYFUNCTION("QUERY('Volunteer Survey'!M533)"),"")</f>
        <v/>
      </c>
      <c r="AM534" s="175" t="str">
        <f ca="1">IFERROR(__xludf.DUMMYFUNCTION("QUERY('Volunteer Survey'!N533)"),"")</f>
        <v/>
      </c>
      <c r="AN534" s="175" t="str">
        <f ca="1">IFERROR(__xludf.DUMMYFUNCTION("QUERY('Volunteer Survey'!O533)"),"")</f>
        <v/>
      </c>
      <c r="AO534" s="175" t="str">
        <f ca="1">IFERROR(__xludf.DUMMYFUNCTION("QUERY('Volunteer Survey'!P533)"),"")</f>
        <v/>
      </c>
    </row>
    <row r="535" spans="1:41" ht="14">
      <c r="A535" s="49">
        <f>'Volunteer Survey'!A945</f>
        <v>0</v>
      </c>
      <c r="B535" s="49"/>
      <c r="C535" s="47"/>
      <c r="D535" s="49"/>
      <c r="E535" s="49"/>
      <c r="F535" s="49" t="b">
        <v>0</v>
      </c>
      <c r="G535" s="49"/>
      <c r="H535" s="47"/>
      <c r="I535" s="47"/>
      <c r="J535" s="49"/>
      <c r="K535" s="49"/>
      <c r="L535" s="49">
        <f>'Volunteer Survey'!B945</f>
        <v>0</v>
      </c>
      <c r="M535" s="49">
        <f>'Volunteer Survey'!E945</f>
        <v>0</v>
      </c>
      <c r="N535" s="49"/>
      <c r="O535" s="42">
        <f>'Volunteer Survey'!H946</f>
        <v>0</v>
      </c>
      <c r="P535" s="49"/>
      <c r="Q535" s="54">
        <f>'Volunteer Survey'!J945</f>
        <v>0</v>
      </c>
      <c r="R535" s="49"/>
      <c r="S535" s="49"/>
      <c r="T535" s="49">
        <f>'Volunteer Survey'!M945</f>
        <v>0</v>
      </c>
      <c r="U535" s="58"/>
      <c r="V535" s="49"/>
      <c r="W535" s="60">
        <f>'Volunteer Survey'!P945</f>
        <v>0</v>
      </c>
      <c r="X535" s="49"/>
      <c r="Y535" s="47"/>
      <c r="Z535" s="175" t="str">
        <f ca="1">IFERROR(__xludf.DUMMYFUNCTION("QUERY('Volunteer Survey'!A534)"),"")</f>
        <v/>
      </c>
      <c r="AA535" s="175" t="str">
        <f ca="1">IFERROR(__xludf.DUMMYFUNCTION("QUERY('Volunteer Survey'!B534)"),"")</f>
        <v/>
      </c>
      <c r="AB535" s="175" t="str">
        <f ca="1">IFERROR(__xludf.DUMMYFUNCTION("QUERY('Volunteer Survey'!C534)"),"")</f>
        <v/>
      </c>
      <c r="AC535" s="175" t="str">
        <f ca="1">IFERROR(__xludf.DUMMYFUNCTION("QUERY('Volunteer Survey'!D534)"),"")</f>
        <v/>
      </c>
      <c r="AD535" s="175" t="str">
        <f ca="1">IFERROR(__xludf.DUMMYFUNCTION("QUERY('Volunteer Survey'!E534)"),"")</f>
        <v/>
      </c>
      <c r="AE535" s="175" t="str">
        <f ca="1">IFERROR(__xludf.DUMMYFUNCTION("QUERY('Volunteer Survey'!F534)"),"")</f>
        <v/>
      </c>
      <c r="AF535" s="175" t="str">
        <f ca="1">IFERROR(__xludf.DUMMYFUNCTION("QUERY('Volunteer Survey'!G534)"),"")</f>
        <v/>
      </c>
      <c r="AG535" s="175" t="str">
        <f ca="1">IFERROR(__xludf.DUMMYFUNCTION("QUERY('Volunteer Survey'!H534)"),"")</f>
        <v/>
      </c>
      <c r="AH535" s="175" t="str">
        <f ca="1">IFERROR(__xludf.DUMMYFUNCTION("QUERY('Volunteer Survey'!I534)"),"")</f>
        <v/>
      </c>
      <c r="AI535" s="175" t="str">
        <f ca="1">IFERROR(__xludf.DUMMYFUNCTION("QUERY('Volunteer Survey'!J534)"),"")</f>
        <v/>
      </c>
      <c r="AJ535" s="175" t="str">
        <f ca="1">IFERROR(__xludf.DUMMYFUNCTION("QUERY('Volunteer Survey'!K534)"),"")</f>
        <v/>
      </c>
      <c r="AK535" s="175" t="str">
        <f ca="1">IFERROR(__xludf.DUMMYFUNCTION("QUERY('Volunteer Survey'!L534)"),"")</f>
        <v/>
      </c>
      <c r="AL535" s="175" t="str">
        <f ca="1">IFERROR(__xludf.DUMMYFUNCTION("QUERY('Volunteer Survey'!M534)"),"")</f>
        <v/>
      </c>
      <c r="AM535" s="175" t="str">
        <f ca="1">IFERROR(__xludf.DUMMYFUNCTION("QUERY('Volunteer Survey'!N534)"),"")</f>
        <v/>
      </c>
      <c r="AN535" s="175" t="str">
        <f ca="1">IFERROR(__xludf.DUMMYFUNCTION("QUERY('Volunteer Survey'!O534)"),"")</f>
        <v/>
      </c>
      <c r="AO535" s="175" t="str">
        <f ca="1">IFERROR(__xludf.DUMMYFUNCTION("QUERY('Volunteer Survey'!P534)"),"")</f>
        <v/>
      </c>
    </row>
    <row r="536" spans="1:41" ht="14">
      <c r="A536" s="49">
        <f>'Volunteer Survey'!A946</f>
        <v>0</v>
      </c>
      <c r="B536" s="49"/>
      <c r="C536" s="47"/>
      <c r="D536" s="49"/>
      <c r="E536" s="49"/>
      <c r="F536" s="49" t="b">
        <v>0</v>
      </c>
      <c r="G536" s="49"/>
      <c r="H536" s="47"/>
      <c r="I536" s="47"/>
      <c r="J536" s="49"/>
      <c r="K536" s="49"/>
      <c r="L536" s="49">
        <f>'Volunteer Survey'!B946</f>
        <v>0</v>
      </c>
      <c r="M536" s="49">
        <f>'Volunteer Survey'!E946</f>
        <v>0</v>
      </c>
      <c r="N536" s="49"/>
      <c r="O536" s="42">
        <f>'Volunteer Survey'!H947</f>
        <v>0</v>
      </c>
      <c r="P536" s="49"/>
      <c r="Q536" s="54">
        <f>'Volunteer Survey'!J946</f>
        <v>0</v>
      </c>
      <c r="R536" s="49"/>
      <c r="S536" s="49"/>
      <c r="T536" s="49">
        <f>'Volunteer Survey'!M946</f>
        <v>0</v>
      </c>
      <c r="U536" s="58"/>
      <c r="V536" s="49"/>
      <c r="W536" s="60">
        <f>'Volunteer Survey'!P946</f>
        <v>0</v>
      </c>
      <c r="X536" s="49"/>
      <c r="Y536" s="47"/>
      <c r="Z536" s="175" t="str">
        <f ca="1">IFERROR(__xludf.DUMMYFUNCTION("QUERY('Volunteer Survey'!A535)"),"")</f>
        <v/>
      </c>
      <c r="AA536" s="175" t="str">
        <f ca="1">IFERROR(__xludf.DUMMYFUNCTION("QUERY('Volunteer Survey'!B535)"),"")</f>
        <v/>
      </c>
      <c r="AB536" s="175" t="str">
        <f ca="1">IFERROR(__xludf.DUMMYFUNCTION("QUERY('Volunteer Survey'!C535)"),"")</f>
        <v/>
      </c>
      <c r="AC536" s="175" t="str">
        <f ca="1">IFERROR(__xludf.DUMMYFUNCTION("QUERY('Volunteer Survey'!D535)"),"")</f>
        <v/>
      </c>
      <c r="AD536" s="175" t="str">
        <f ca="1">IFERROR(__xludf.DUMMYFUNCTION("QUERY('Volunteer Survey'!E535)"),"")</f>
        <v/>
      </c>
      <c r="AE536" s="175" t="str">
        <f ca="1">IFERROR(__xludf.DUMMYFUNCTION("QUERY('Volunteer Survey'!F535)"),"")</f>
        <v/>
      </c>
      <c r="AF536" s="175" t="str">
        <f ca="1">IFERROR(__xludf.DUMMYFUNCTION("QUERY('Volunteer Survey'!G535)"),"")</f>
        <v/>
      </c>
      <c r="AG536" s="175" t="str">
        <f ca="1">IFERROR(__xludf.DUMMYFUNCTION("QUERY('Volunteer Survey'!H535)"),"")</f>
        <v/>
      </c>
      <c r="AH536" s="175" t="str">
        <f ca="1">IFERROR(__xludf.DUMMYFUNCTION("QUERY('Volunteer Survey'!I535)"),"")</f>
        <v/>
      </c>
      <c r="AI536" s="175" t="str">
        <f ca="1">IFERROR(__xludf.DUMMYFUNCTION("QUERY('Volunteer Survey'!J535)"),"")</f>
        <v/>
      </c>
      <c r="AJ536" s="175" t="str">
        <f ca="1">IFERROR(__xludf.DUMMYFUNCTION("QUERY('Volunteer Survey'!K535)"),"")</f>
        <v/>
      </c>
      <c r="AK536" s="175" t="str">
        <f ca="1">IFERROR(__xludf.DUMMYFUNCTION("QUERY('Volunteer Survey'!L535)"),"")</f>
        <v/>
      </c>
      <c r="AL536" s="175" t="str">
        <f ca="1">IFERROR(__xludf.DUMMYFUNCTION("QUERY('Volunteer Survey'!M535)"),"")</f>
        <v/>
      </c>
      <c r="AM536" s="175" t="str">
        <f ca="1">IFERROR(__xludf.DUMMYFUNCTION("QUERY('Volunteer Survey'!N535)"),"")</f>
        <v/>
      </c>
      <c r="AN536" s="175" t="str">
        <f ca="1">IFERROR(__xludf.DUMMYFUNCTION("QUERY('Volunteer Survey'!O535)"),"")</f>
        <v/>
      </c>
      <c r="AO536" s="175" t="str">
        <f ca="1">IFERROR(__xludf.DUMMYFUNCTION("QUERY('Volunteer Survey'!P535)"),"")</f>
        <v/>
      </c>
    </row>
    <row r="537" spans="1:41" ht="14">
      <c r="A537" s="49">
        <f>'Volunteer Survey'!A947</f>
        <v>0</v>
      </c>
      <c r="B537" s="49"/>
      <c r="C537" s="47"/>
      <c r="D537" s="49"/>
      <c r="E537" s="49"/>
      <c r="F537" s="49" t="b">
        <v>0</v>
      </c>
      <c r="G537" s="49"/>
      <c r="H537" s="47"/>
      <c r="I537" s="47"/>
      <c r="J537" s="49"/>
      <c r="K537" s="49"/>
      <c r="L537" s="49">
        <f>'Volunteer Survey'!B947</f>
        <v>0</v>
      </c>
      <c r="M537" s="49">
        <f>'Volunteer Survey'!E947</f>
        <v>0</v>
      </c>
      <c r="N537" s="49"/>
      <c r="O537" s="42">
        <f>'Volunteer Survey'!H948</f>
        <v>0</v>
      </c>
      <c r="P537" s="49"/>
      <c r="Q537" s="54">
        <f>'Volunteer Survey'!J947</f>
        <v>0</v>
      </c>
      <c r="R537" s="49"/>
      <c r="S537" s="49"/>
      <c r="T537" s="49">
        <f>'Volunteer Survey'!M947</f>
        <v>0</v>
      </c>
      <c r="U537" s="58"/>
      <c r="V537" s="49"/>
      <c r="W537" s="60">
        <f>'Volunteer Survey'!P947</f>
        <v>0</v>
      </c>
      <c r="X537" s="49"/>
      <c r="Y537" s="47"/>
      <c r="Z537" s="175" t="str">
        <f ca="1">IFERROR(__xludf.DUMMYFUNCTION("QUERY('Volunteer Survey'!A536)"),"")</f>
        <v/>
      </c>
      <c r="AA537" s="175" t="str">
        <f ca="1">IFERROR(__xludf.DUMMYFUNCTION("QUERY('Volunteer Survey'!B536)"),"")</f>
        <v/>
      </c>
      <c r="AB537" s="175" t="str">
        <f ca="1">IFERROR(__xludf.DUMMYFUNCTION("QUERY('Volunteer Survey'!C536)"),"")</f>
        <v/>
      </c>
      <c r="AC537" s="175" t="str">
        <f ca="1">IFERROR(__xludf.DUMMYFUNCTION("QUERY('Volunteer Survey'!D536)"),"")</f>
        <v/>
      </c>
      <c r="AD537" s="175" t="str">
        <f ca="1">IFERROR(__xludf.DUMMYFUNCTION("QUERY('Volunteer Survey'!E536)"),"")</f>
        <v/>
      </c>
      <c r="AE537" s="175" t="str">
        <f ca="1">IFERROR(__xludf.DUMMYFUNCTION("QUERY('Volunteer Survey'!F536)"),"")</f>
        <v/>
      </c>
      <c r="AF537" s="175" t="str">
        <f ca="1">IFERROR(__xludf.DUMMYFUNCTION("QUERY('Volunteer Survey'!G536)"),"")</f>
        <v/>
      </c>
      <c r="AG537" s="175" t="str">
        <f ca="1">IFERROR(__xludf.DUMMYFUNCTION("QUERY('Volunteer Survey'!H536)"),"")</f>
        <v/>
      </c>
      <c r="AH537" s="175" t="str">
        <f ca="1">IFERROR(__xludf.DUMMYFUNCTION("QUERY('Volunteer Survey'!I536)"),"")</f>
        <v/>
      </c>
      <c r="AI537" s="175" t="str">
        <f ca="1">IFERROR(__xludf.DUMMYFUNCTION("QUERY('Volunteer Survey'!J536)"),"")</f>
        <v/>
      </c>
      <c r="AJ537" s="175" t="str">
        <f ca="1">IFERROR(__xludf.DUMMYFUNCTION("QUERY('Volunteer Survey'!K536)"),"")</f>
        <v/>
      </c>
      <c r="AK537" s="175" t="str">
        <f ca="1">IFERROR(__xludf.DUMMYFUNCTION("QUERY('Volunteer Survey'!L536)"),"")</f>
        <v/>
      </c>
      <c r="AL537" s="175" t="str">
        <f ca="1">IFERROR(__xludf.DUMMYFUNCTION("QUERY('Volunteer Survey'!M536)"),"")</f>
        <v/>
      </c>
      <c r="AM537" s="175" t="str">
        <f ca="1">IFERROR(__xludf.DUMMYFUNCTION("QUERY('Volunteer Survey'!N536)"),"")</f>
        <v/>
      </c>
      <c r="AN537" s="175" t="str">
        <f ca="1">IFERROR(__xludf.DUMMYFUNCTION("QUERY('Volunteer Survey'!O536)"),"")</f>
        <v/>
      </c>
      <c r="AO537" s="175" t="str">
        <f ca="1">IFERROR(__xludf.DUMMYFUNCTION("QUERY('Volunteer Survey'!P536)"),"")</f>
        <v/>
      </c>
    </row>
    <row r="538" spans="1:41" ht="14">
      <c r="A538" s="49">
        <f>'Volunteer Survey'!A948</f>
        <v>0</v>
      </c>
      <c r="B538" s="49"/>
      <c r="C538" s="47"/>
      <c r="D538" s="49"/>
      <c r="E538" s="49"/>
      <c r="F538" s="49" t="b">
        <v>0</v>
      </c>
      <c r="G538" s="49"/>
      <c r="H538" s="47"/>
      <c r="I538" s="47"/>
      <c r="J538" s="49"/>
      <c r="K538" s="49"/>
      <c r="L538" s="49">
        <f>'Volunteer Survey'!B948</f>
        <v>0</v>
      </c>
      <c r="M538" s="49">
        <f>'Volunteer Survey'!E948</f>
        <v>0</v>
      </c>
      <c r="N538" s="49"/>
      <c r="O538" s="42">
        <f>'Volunteer Survey'!H949</f>
        <v>0</v>
      </c>
      <c r="P538" s="49"/>
      <c r="Q538" s="54">
        <f>'Volunteer Survey'!J948</f>
        <v>0</v>
      </c>
      <c r="R538" s="49"/>
      <c r="S538" s="49"/>
      <c r="T538" s="49">
        <f>'Volunteer Survey'!M948</f>
        <v>0</v>
      </c>
      <c r="U538" s="58"/>
      <c r="V538" s="49"/>
      <c r="W538" s="60">
        <f>'Volunteer Survey'!P948</f>
        <v>0</v>
      </c>
      <c r="X538" s="49"/>
      <c r="Y538" s="47"/>
      <c r="Z538" s="175" t="str">
        <f ca="1">IFERROR(__xludf.DUMMYFUNCTION("QUERY('Volunteer Survey'!A537)"),"")</f>
        <v/>
      </c>
      <c r="AA538" s="175" t="str">
        <f ca="1">IFERROR(__xludf.DUMMYFUNCTION("QUERY('Volunteer Survey'!B537)"),"")</f>
        <v/>
      </c>
      <c r="AB538" s="175" t="str">
        <f ca="1">IFERROR(__xludf.DUMMYFUNCTION("QUERY('Volunteer Survey'!C537)"),"")</f>
        <v/>
      </c>
      <c r="AC538" s="175" t="str">
        <f ca="1">IFERROR(__xludf.DUMMYFUNCTION("QUERY('Volunteer Survey'!D537)"),"")</f>
        <v/>
      </c>
      <c r="AD538" s="175" t="str">
        <f ca="1">IFERROR(__xludf.DUMMYFUNCTION("QUERY('Volunteer Survey'!E537)"),"")</f>
        <v/>
      </c>
      <c r="AE538" s="175" t="str">
        <f ca="1">IFERROR(__xludf.DUMMYFUNCTION("QUERY('Volunteer Survey'!F537)"),"")</f>
        <v/>
      </c>
      <c r="AF538" s="175" t="str">
        <f ca="1">IFERROR(__xludf.DUMMYFUNCTION("QUERY('Volunteer Survey'!G537)"),"")</f>
        <v/>
      </c>
      <c r="AG538" s="175" t="str">
        <f ca="1">IFERROR(__xludf.DUMMYFUNCTION("QUERY('Volunteer Survey'!H537)"),"")</f>
        <v/>
      </c>
      <c r="AH538" s="175" t="str">
        <f ca="1">IFERROR(__xludf.DUMMYFUNCTION("QUERY('Volunteer Survey'!I537)"),"")</f>
        <v/>
      </c>
      <c r="AI538" s="175" t="str">
        <f ca="1">IFERROR(__xludf.DUMMYFUNCTION("QUERY('Volunteer Survey'!J537)"),"")</f>
        <v/>
      </c>
      <c r="AJ538" s="175" t="str">
        <f ca="1">IFERROR(__xludf.DUMMYFUNCTION("QUERY('Volunteer Survey'!K537)"),"")</f>
        <v/>
      </c>
      <c r="AK538" s="175" t="str">
        <f ca="1">IFERROR(__xludf.DUMMYFUNCTION("QUERY('Volunteer Survey'!L537)"),"")</f>
        <v/>
      </c>
      <c r="AL538" s="175" t="str">
        <f ca="1">IFERROR(__xludf.DUMMYFUNCTION("QUERY('Volunteer Survey'!M537)"),"")</f>
        <v/>
      </c>
      <c r="AM538" s="175" t="str">
        <f ca="1">IFERROR(__xludf.DUMMYFUNCTION("QUERY('Volunteer Survey'!N537)"),"")</f>
        <v/>
      </c>
      <c r="AN538" s="175" t="str">
        <f ca="1">IFERROR(__xludf.DUMMYFUNCTION("QUERY('Volunteer Survey'!O537)"),"")</f>
        <v/>
      </c>
      <c r="AO538" s="175" t="str">
        <f ca="1">IFERROR(__xludf.DUMMYFUNCTION("QUERY('Volunteer Survey'!P537)"),"")</f>
        <v/>
      </c>
    </row>
    <row r="539" spans="1:41" ht="14">
      <c r="A539" s="49">
        <f>'Volunteer Survey'!A949</f>
        <v>0</v>
      </c>
      <c r="B539" s="49"/>
      <c r="C539" s="47"/>
      <c r="D539" s="49"/>
      <c r="E539" s="49"/>
      <c r="F539" s="49" t="b">
        <v>0</v>
      </c>
      <c r="G539" s="49"/>
      <c r="H539" s="47"/>
      <c r="I539" s="47"/>
      <c r="J539" s="49"/>
      <c r="K539" s="49"/>
      <c r="L539" s="49">
        <f>'Volunteer Survey'!B949</f>
        <v>0</v>
      </c>
      <c r="M539" s="49">
        <f>'Volunteer Survey'!E949</f>
        <v>0</v>
      </c>
      <c r="N539" s="49"/>
      <c r="O539" s="42">
        <f>'Volunteer Survey'!H950</f>
        <v>0</v>
      </c>
      <c r="P539" s="49"/>
      <c r="Q539" s="54">
        <f>'Volunteer Survey'!J949</f>
        <v>0</v>
      </c>
      <c r="R539" s="49"/>
      <c r="S539" s="49"/>
      <c r="T539" s="49">
        <f>'Volunteer Survey'!M949</f>
        <v>0</v>
      </c>
      <c r="U539" s="58"/>
      <c r="V539" s="49"/>
      <c r="W539" s="60">
        <f>'Volunteer Survey'!P949</f>
        <v>0</v>
      </c>
      <c r="X539" s="49"/>
      <c r="Y539" s="47"/>
      <c r="Z539" s="175" t="str">
        <f ca="1">IFERROR(__xludf.DUMMYFUNCTION("QUERY('Volunteer Survey'!A538)"),"")</f>
        <v/>
      </c>
      <c r="AA539" s="175" t="str">
        <f ca="1">IFERROR(__xludf.DUMMYFUNCTION("QUERY('Volunteer Survey'!B538)"),"")</f>
        <v/>
      </c>
      <c r="AB539" s="175" t="str">
        <f ca="1">IFERROR(__xludf.DUMMYFUNCTION("QUERY('Volunteer Survey'!C538)"),"")</f>
        <v/>
      </c>
      <c r="AC539" s="175" t="str">
        <f ca="1">IFERROR(__xludf.DUMMYFUNCTION("QUERY('Volunteer Survey'!D538)"),"")</f>
        <v/>
      </c>
      <c r="AD539" s="175" t="str">
        <f ca="1">IFERROR(__xludf.DUMMYFUNCTION("QUERY('Volunteer Survey'!E538)"),"")</f>
        <v/>
      </c>
      <c r="AE539" s="175" t="str">
        <f ca="1">IFERROR(__xludf.DUMMYFUNCTION("QUERY('Volunteer Survey'!F538)"),"")</f>
        <v/>
      </c>
      <c r="AF539" s="175" t="str">
        <f ca="1">IFERROR(__xludf.DUMMYFUNCTION("QUERY('Volunteer Survey'!G538)"),"")</f>
        <v/>
      </c>
      <c r="AG539" s="175" t="str">
        <f ca="1">IFERROR(__xludf.DUMMYFUNCTION("QUERY('Volunteer Survey'!H538)"),"")</f>
        <v/>
      </c>
      <c r="AH539" s="175" t="str">
        <f ca="1">IFERROR(__xludf.DUMMYFUNCTION("QUERY('Volunteer Survey'!I538)"),"")</f>
        <v/>
      </c>
      <c r="AI539" s="175" t="str">
        <f ca="1">IFERROR(__xludf.DUMMYFUNCTION("QUERY('Volunteer Survey'!J538)"),"")</f>
        <v/>
      </c>
      <c r="AJ539" s="175" t="str">
        <f ca="1">IFERROR(__xludf.DUMMYFUNCTION("QUERY('Volunteer Survey'!K538)"),"")</f>
        <v/>
      </c>
      <c r="AK539" s="175" t="str">
        <f ca="1">IFERROR(__xludf.DUMMYFUNCTION("QUERY('Volunteer Survey'!L538)"),"")</f>
        <v/>
      </c>
      <c r="AL539" s="175" t="str">
        <f ca="1">IFERROR(__xludf.DUMMYFUNCTION("QUERY('Volunteer Survey'!M538)"),"")</f>
        <v/>
      </c>
      <c r="AM539" s="175" t="str">
        <f ca="1">IFERROR(__xludf.DUMMYFUNCTION("QUERY('Volunteer Survey'!N538)"),"")</f>
        <v/>
      </c>
      <c r="AN539" s="175" t="str">
        <f ca="1">IFERROR(__xludf.DUMMYFUNCTION("QUERY('Volunteer Survey'!O538)"),"")</f>
        <v/>
      </c>
      <c r="AO539" s="175" t="str">
        <f ca="1">IFERROR(__xludf.DUMMYFUNCTION("QUERY('Volunteer Survey'!P538)"),"")</f>
        <v/>
      </c>
    </row>
    <row r="540" spans="1:41" ht="14">
      <c r="A540" s="49">
        <f>'Volunteer Survey'!A950</f>
        <v>0</v>
      </c>
      <c r="B540" s="49"/>
      <c r="C540" s="47"/>
      <c r="D540" s="49"/>
      <c r="E540" s="49"/>
      <c r="F540" s="49" t="b">
        <v>0</v>
      </c>
      <c r="G540" s="49"/>
      <c r="H540" s="47"/>
      <c r="I540" s="47"/>
      <c r="J540" s="49"/>
      <c r="K540" s="49"/>
      <c r="L540" s="49">
        <f>'Volunteer Survey'!B950</f>
        <v>0</v>
      </c>
      <c r="M540" s="49">
        <f>'Volunteer Survey'!E950</f>
        <v>0</v>
      </c>
      <c r="N540" s="49"/>
      <c r="O540" s="42">
        <f>'Volunteer Survey'!H951</f>
        <v>0</v>
      </c>
      <c r="P540" s="49"/>
      <c r="Q540" s="54">
        <f>'Volunteer Survey'!J950</f>
        <v>0</v>
      </c>
      <c r="R540" s="49"/>
      <c r="S540" s="49"/>
      <c r="T540" s="49">
        <f>'Volunteer Survey'!M950</f>
        <v>0</v>
      </c>
      <c r="U540" s="58"/>
      <c r="V540" s="49"/>
      <c r="W540" s="60">
        <f>'Volunteer Survey'!P950</f>
        <v>0</v>
      </c>
      <c r="X540" s="49"/>
      <c r="Y540" s="47"/>
      <c r="Z540" s="175" t="str">
        <f ca="1">IFERROR(__xludf.DUMMYFUNCTION("QUERY('Volunteer Survey'!A539)"),"")</f>
        <v/>
      </c>
      <c r="AA540" s="175" t="str">
        <f ca="1">IFERROR(__xludf.DUMMYFUNCTION("QUERY('Volunteer Survey'!B539)"),"")</f>
        <v/>
      </c>
      <c r="AB540" s="175" t="str">
        <f ca="1">IFERROR(__xludf.DUMMYFUNCTION("QUERY('Volunteer Survey'!C539)"),"")</f>
        <v/>
      </c>
      <c r="AC540" s="175" t="str">
        <f ca="1">IFERROR(__xludf.DUMMYFUNCTION("QUERY('Volunteer Survey'!D539)"),"")</f>
        <v/>
      </c>
      <c r="AD540" s="175" t="str">
        <f ca="1">IFERROR(__xludf.DUMMYFUNCTION("QUERY('Volunteer Survey'!E539)"),"")</f>
        <v/>
      </c>
      <c r="AE540" s="175" t="str">
        <f ca="1">IFERROR(__xludf.DUMMYFUNCTION("QUERY('Volunteer Survey'!F539)"),"")</f>
        <v/>
      </c>
      <c r="AF540" s="175" t="str">
        <f ca="1">IFERROR(__xludf.DUMMYFUNCTION("QUERY('Volunteer Survey'!G539)"),"")</f>
        <v/>
      </c>
      <c r="AG540" s="175" t="str">
        <f ca="1">IFERROR(__xludf.DUMMYFUNCTION("QUERY('Volunteer Survey'!H539)"),"")</f>
        <v/>
      </c>
      <c r="AH540" s="175" t="str">
        <f ca="1">IFERROR(__xludf.DUMMYFUNCTION("QUERY('Volunteer Survey'!I539)"),"")</f>
        <v/>
      </c>
      <c r="AI540" s="175" t="str">
        <f ca="1">IFERROR(__xludf.DUMMYFUNCTION("QUERY('Volunteer Survey'!J539)"),"")</f>
        <v/>
      </c>
      <c r="AJ540" s="175" t="str">
        <f ca="1">IFERROR(__xludf.DUMMYFUNCTION("QUERY('Volunteer Survey'!K539)"),"")</f>
        <v/>
      </c>
      <c r="AK540" s="175" t="str">
        <f ca="1">IFERROR(__xludf.DUMMYFUNCTION("QUERY('Volunteer Survey'!L539)"),"")</f>
        <v/>
      </c>
      <c r="AL540" s="175" t="str">
        <f ca="1">IFERROR(__xludf.DUMMYFUNCTION("QUERY('Volunteer Survey'!M539)"),"")</f>
        <v/>
      </c>
      <c r="AM540" s="175" t="str">
        <f ca="1">IFERROR(__xludf.DUMMYFUNCTION("QUERY('Volunteer Survey'!N539)"),"")</f>
        <v/>
      </c>
      <c r="AN540" s="175" t="str">
        <f ca="1">IFERROR(__xludf.DUMMYFUNCTION("QUERY('Volunteer Survey'!O539)"),"")</f>
        <v/>
      </c>
      <c r="AO540" s="175" t="str">
        <f ca="1">IFERROR(__xludf.DUMMYFUNCTION("QUERY('Volunteer Survey'!P539)"),"")</f>
        <v/>
      </c>
    </row>
    <row r="541" spans="1:41" ht="14">
      <c r="A541" s="49">
        <f>'Volunteer Survey'!A951</f>
        <v>0</v>
      </c>
      <c r="B541" s="49"/>
      <c r="C541" s="47"/>
      <c r="D541" s="49"/>
      <c r="E541" s="49"/>
      <c r="F541" s="49" t="b">
        <v>0</v>
      </c>
      <c r="G541" s="49"/>
      <c r="H541" s="47"/>
      <c r="I541" s="47"/>
      <c r="J541" s="49"/>
      <c r="K541" s="49"/>
      <c r="L541" s="49">
        <f>'Volunteer Survey'!B951</f>
        <v>0</v>
      </c>
      <c r="M541" s="49">
        <f>'Volunteer Survey'!E951</f>
        <v>0</v>
      </c>
      <c r="N541" s="49"/>
      <c r="O541" s="42">
        <f>'Volunteer Survey'!H952</f>
        <v>0</v>
      </c>
      <c r="P541" s="49"/>
      <c r="Q541" s="54">
        <f>'Volunteer Survey'!J951</f>
        <v>0</v>
      </c>
      <c r="R541" s="49"/>
      <c r="S541" s="49"/>
      <c r="T541" s="49">
        <f>'Volunteer Survey'!M951</f>
        <v>0</v>
      </c>
      <c r="U541" s="58"/>
      <c r="V541" s="49"/>
      <c r="W541" s="60">
        <f>'Volunteer Survey'!P951</f>
        <v>0</v>
      </c>
      <c r="X541" s="49"/>
      <c r="Y541" s="47"/>
      <c r="Z541" s="175" t="str">
        <f ca="1">IFERROR(__xludf.DUMMYFUNCTION("QUERY('Volunteer Survey'!A540)"),"")</f>
        <v/>
      </c>
      <c r="AA541" s="175" t="str">
        <f ca="1">IFERROR(__xludf.DUMMYFUNCTION("QUERY('Volunteer Survey'!B540)"),"")</f>
        <v/>
      </c>
      <c r="AB541" s="175" t="str">
        <f ca="1">IFERROR(__xludf.DUMMYFUNCTION("QUERY('Volunteer Survey'!C540)"),"")</f>
        <v/>
      </c>
      <c r="AC541" s="175" t="str">
        <f ca="1">IFERROR(__xludf.DUMMYFUNCTION("QUERY('Volunteer Survey'!D540)"),"")</f>
        <v/>
      </c>
      <c r="AD541" s="175" t="str">
        <f ca="1">IFERROR(__xludf.DUMMYFUNCTION("QUERY('Volunteer Survey'!E540)"),"")</f>
        <v/>
      </c>
      <c r="AE541" s="175" t="str">
        <f ca="1">IFERROR(__xludf.DUMMYFUNCTION("QUERY('Volunteer Survey'!F540)"),"")</f>
        <v/>
      </c>
      <c r="AF541" s="175" t="str">
        <f ca="1">IFERROR(__xludf.DUMMYFUNCTION("QUERY('Volunteer Survey'!G540)"),"")</f>
        <v/>
      </c>
      <c r="AG541" s="175" t="str">
        <f ca="1">IFERROR(__xludf.DUMMYFUNCTION("QUERY('Volunteer Survey'!H540)"),"")</f>
        <v/>
      </c>
      <c r="AH541" s="175" t="str">
        <f ca="1">IFERROR(__xludf.DUMMYFUNCTION("QUERY('Volunteer Survey'!I540)"),"")</f>
        <v/>
      </c>
      <c r="AI541" s="175" t="str">
        <f ca="1">IFERROR(__xludf.DUMMYFUNCTION("QUERY('Volunteer Survey'!J540)"),"")</f>
        <v/>
      </c>
      <c r="AJ541" s="175" t="str">
        <f ca="1">IFERROR(__xludf.DUMMYFUNCTION("QUERY('Volunteer Survey'!K540)"),"")</f>
        <v/>
      </c>
      <c r="AK541" s="175" t="str">
        <f ca="1">IFERROR(__xludf.DUMMYFUNCTION("QUERY('Volunteer Survey'!L540)"),"")</f>
        <v/>
      </c>
      <c r="AL541" s="175" t="str">
        <f ca="1">IFERROR(__xludf.DUMMYFUNCTION("QUERY('Volunteer Survey'!M540)"),"")</f>
        <v/>
      </c>
      <c r="AM541" s="175" t="str">
        <f ca="1">IFERROR(__xludf.DUMMYFUNCTION("QUERY('Volunteer Survey'!N540)"),"")</f>
        <v/>
      </c>
      <c r="AN541" s="175" t="str">
        <f ca="1">IFERROR(__xludf.DUMMYFUNCTION("QUERY('Volunteer Survey'!O540)"),"")</f>
        <v/>
      </c>
      <c r="AO541" s="175" t="str">
        <f ca="1">IFERROR(__xludf.DUMMYFUNCTION("QUERY('Volunteer Survey'!P540)"),"")</f>
        <v/>
      </c>
    </row>
    <row r="542" spans="1:41" ht="14">
      <c r="A542" s="49">
        <f>'Volunteer Survey'!A952</f>
        <v>0</v>
      </c>
      <c r="B542" s="49"/>
      <c r="C542" s="47"/>
      <c r="D542" s="49"/>
      <c r="E542" s="49"/>
      <c r="F542" s="49" t="b">
        <v>0</v>
      </c>
      <c r="G542" s="49"/>
      <c r="H542" s="47"/>
      <c r="I542" s="47"/>
      <c r="J542" s="49"/>
      <c r="K542" s="49"/>
      <c r="L542" s="49">
        <f>'Volunteer Survey'!B952</f>
        <v>0</v>
      </c>
      <c r="M542" s="49">
        <f>'Volunteer Survey'!E952</f>
        <v>0</v>
      </c>
      <c r="N542" s="49"/>
      <c r="O542" s="42">
        <f>'Volunteer Survey'!H953</f>
        <v>0</v>
      </c>
      <c r="P542" s="49"/>
      <c r="Q542" s="54">
        <f>'Volunteer Survey'!J952</f>
        <v>0</v>
      </c>
      <c r="R542" s="49"/>
      <c r="S542" s="49"/>
      <c r="T542" s="49">
        <f>'Volunteer Survey'!M952</f>
        <v>0</v>
      </c>
      <c r="U542" s="58"/>
      <c r="V542" s="49"/>
      <c r="W542" s="60">
        <f>'Volunteer Survey'!P952</f>
        <v>0</v>
      </c>
      <c r="X542" s="49"/>
      <c r="Y542" s="47"/>
      <c r="Z542" s="175" t="str">
        <f ca="1">IFERROR(__xludf.DUMMYFUNCTION("QUERY('Volunteer Survey'!A541)"),"")</f>
        <v/>
      </c>
      <c r="AA542" s="175" t="str">
        <f ca="1">IFERROR(__xludf.DUMMYFUNCTION("QUERY('Volunteer Survey'!B541)"),"")</f>
        <v/>
      </c>
      <c r="AB542" s="175" t="str">
        <f ca="1">IFERROR(__xludf.DUMMYFUNCTION("QUERY('Volunteer Survey'!C541)"),"")</f>
        <v/>
      </c>
      <c r="AC542" s="175" t="str">
        <f ca="1">IFERROR(__xludf.DUMMYFUNCTION("QUERY('Volunteer Survey'!D541)"),"")</f>
        <v/>
      </c>
      <c r="AD542" s="175" t="str">
        <f ca="1">IFERROR(__xludf.DUMMYFUNCTION("QUERY('Volunteer Survey'!E541)"),"")</f>
        <v/>
      </c>
      <c r="AE542" s="175" t="str">
        <f ca="1">IFERROR(__xludf.DUMMYFUNCTION("QUERY('Volunteer Survey'!F541)"),"")</f>
        <v/>
      </c>
      <c r="AF542" s="175" t="str">
        <f ca="1">IFERROR(__xludf.DUMMYFUNCTION("QUERY('Volunteer Survey'!G541)"),"")</f>
        <v/>
      </c>
      <c r="AG542" s="175" t="str">
        <f ca="1">IFERROR(__xludf.DUMMYFUNCTION("QUERY('Volunteer Survey'!H541)"),"")</f>
        <v/>
      </c>
      <c r="AH542" s="175" t="str">
        <f ca="1">IFERROR(__xludf.DUMMYFUNCTION("QUERY('Volunteer Survey'!I541)"),"")</f>
        <v/>
      </c>
      <c r="AI542" s="175" t="str">
        <f ca="1">IFERROR(__xludf.DUMMYFUNCTION("QUERY('Volunteer Survey'!J541)"),"")</f>
        <v/>
      </c>
      <c r="AJ542" s="175" t="str">
        <f ca="1">IFERROR(__xludf.DUMMYFUNCTION("QUERY('Volunteer Survey'!K541)"),"")</f>
        <v/>
      </c>
      <c r="AK542" s="175" t="str">
        <f ca="1">IFERROR(__xludf.DUMMYFUNCTION("QUERY('Volunteer Survey'!L541)"),"")</f>
        <v/>
      </c>
      <c r="AL542" s="175" t="str">
        <f ca="1">IFERROR(__xludf.DUMMYFUNCTION("QUERY('Volunteer Survey'!M541)"),"")</f>
        <v/>
      </c>
      <c r="AM542" s="175" t="str">
        <f ca="1">IFERROR(__xludf.DUMMYFUNCTION("QUERY('Volunteer Survey'!N541)"),"")</f>
        <v/>
      </c>
      <c r="AN542" s="175" t="str">
        <f ca="1">IFERROR(__xludf.DUMMYFUNCTION("QUERY('Volunteer Survey'!O541)"),"")</f>
        <v/>
      </c>
      <c r="AO542" s="175" t="str">
        <f ca="1">IFERROR(__xludf.DUMMYFUNCTION("QUERY('Volunteer Survey'!P541)"),"")</f>
        <v/>
      </c>
    </row>
    <row r="543" spans="1:41" ht="14">
      <c r="A543" s="49">
        <f>'Volunteer Survey'!A953</f>
        <v>0</v>
      </c>
      <c r="B543" s="49"/>
      <c r="C543" s="47"/>
      <c r="D543" s="49"/>
      <c r="E543" s="49"/>
      <c r="F543" s="49" t="b">
        <v>0</v>
      </c>
      <c r="G543" s="49"/>
      <c r="H543" s="47"/>
      <c r="I543" s="47"/>
      <c r="J543" s="49"/>
      <c r="K543" s="49"/>
      <c r="L543" s="49">
        <f>'Volunteer Survey'!B953</f>
        <v>0</v>
      </c>
      <c r="M543" s="49">
        <f>'Volunteer Survey'!E953</f>
        <v>0</v>
      </c>
      <c r="N543" s="49"/>
      <c r="O543" s="42">
        <f>'Volunteer Survey'!H954</f>
        <v>0</v>
      </c>
      <c r="P543" s="49"/>
      <c r="Q543" s="54">
        <f>'Volunteer Survey'!J953</f>
        <v>0</v>
      </c>
      <c r="R543" s="49"/>
      <c r="S543" s="49"/>
      <c r="T543" s="49">
        <f>'Volunteer Survey'!M953</f>
        <v>0</v>
      </c>
      <c r="U543" s="58"/>
      <c r="V543" s="49"/>
      <c r="W543" s="60">
        <f>'Volunteer Survey'!P953</f>
        <v>0</v>
      </c>
      <c r="X543" s="49"/>
      <c r="Y543" s="47"/>
      <c r="Z543" s="175" t="str">
        <f ca="1">IFERROR(__xludf.DUMMYFUNCTION("QUERY('Volunteer Survey'!A542)"),"")</f>
        <v/>
      </c>
      <c r="AA543" s="175" t="str">
        <f ca="1">IFERROR(__xludf.DUMMYFUNCTION("QUERY('Volunteer Survey'!B542)"),"")</f>
        <v/>
      </c>
      <c r="AB543" s="175" t="str">
        <f ca="1">IFERROR(__xludf.DUMMYFUNCTION("QUERY('Volunteer Survey'!C542)"),"")</f>
        <v/>
      </c>
      <c r="AC543" s="175" t="str">
        <f ca="1">IFERROR(__xludf.DUMMYFUNCTION("QUERY('Volunteer Survey'!D542)"),"")</f>
        <v/>
      </c>
      <c r="AD543" s="175" t="str">
        <f ca="1">IFERROR(__xludf.DUMMYFUNCTION("QUERY('Volunteer Survey'!E542)"),"")</f>
        <v/>
      </c>
      <c r="AE543" s="175" t="str">
        <f ca="1">IFERROR(__xludf.DUMMYFUNCTION("QUERY('Volunteer Survey'!F542)"),"")</f>
        <v/>
      </c>
      <c r="AF543" s="175" t="str">
        <f ca="1">IFERROR(__xludf.DUMMYFUNCTION("QUERY('Volunteer Survey'!G542)"),"")</f>
        <v/>
      </c>
      <c r="AG543" s="175" t="str">
        <f ca="1">IFERROR(__xludf.DUMMYFUNCTION("QUERY('Volunteer Survey'!H542)"),"")</f>
        <v/>
      </c>
      <c r="AH543" s="175" t="str">
        <f ca="1">IFERROR(__xludf.DUMMYFUNCTION("QUERY('Volunteer Survey'!I542)"),"")</f>
        <v/>
      </c>
      <c r="AI543" s="175" t="str">
        <f ca="1">IFERROR(__xludf.DUMMYFUNCTION("QUERY('Volunteer Survey'!J542)"),"")</f>
        <v/>
      </c>
      <c r="AJ543" s="175" t="str">
        <f ca="1">IFERROR(__xludf.DUMMYFUNCTION("QUERY('Volunteer Survey'!K542)"),"")</f>
        <v/>
      </c>
      <c r="AK543" s="175" t="str">
        <f ca="1">IFERROR(__xludf.DUMMYFUNCTION("QUERY('Volunteer Survey'!L542)"),"")</f>
        <v/>
      </c>
      <c r="AL543" s="175" t="str">
        <f ca="1">IFERROR(__xludf.DUMMYFUNCTION("QUERY('Volunteer Survey'!M542)"),"")</f>
        <v/>
      </c>
      <c r="AM543" s="175" t="str">
        <f ca="1">IFERROR(__xludf.DUMMYFUNCTION("QUERY('Volunteer Survey'!N542)"),"")</f>
        <v/>
      </c>
      <c r="AN543" s="175" t="str">
        <f ca="1">IFERROR(__xludf.DUMMYFUNCTION("QUERY('Volunteer Survey'!O542)"),"")</f>
        <v/>
      </c>
      <c r="AO543" s="175" t="str">
        <f ca="1">IFERROR(__xludf.DUMMYFUNCTION("QUERY('Volunteer Survey'!P542)"),"")</f>
        <v/>
      </c>
    </row>
    <row r="544" spans="1:41" ht="14">
      <c r="A544" s="49">
        <f>'Volunteer Survey'!A954</f>
        <v>0</v>
      </c>
      <c r="B544" s="49"/>
      <c r="C544" s="47"/>
      <c r="D544" s="49"/>
      <c r="E544" s="49"/>
      <c r="F544" s="49" t="b">
        <v>0</v>
      </c>
      <c r="G544" s="49"/>
      <c r="H544" s="47"/>
      <c r="I544" s="47"/>
      <c r="J544" s="49"/>
      <c r="K544" s="49"/>
      <c r="L544" s="49">
        <f>'Volunteer Survey'!B954</f>
        <v>0</v>
      </c>
      <c r="M544" s="49">
        <f>'Volunteer Survey'!E954</f>
        <v>0</v>
      </c>
      <c r="N544" s="49"/>
      <c r="O544" s="42">
        <f>'Volunteer Survey'!H955</f>
        <v>0</v>
      </c>
      <c r="P544" s="49"/>
      <c r="Q544" s="54">
        <f>'Volunteer Survey'!J954</f>
        <v>0</v>
      </c>
      <c r="R544" s="49"/>
      <c r="S544" s="49"/>
      <c r="T544" s="49">
        <f>'Volunteer Survey'!M954</f>
        <v>0</v>
      </c>
      <c r="U544" s="58"/>
      <c r="V544" s="49"/>
      <c r="W544" s="60">
        <f>'Volunteer Survey'!P954</f>
        <v>0</v>
      </c>
      <c r="X544" s="49"/>
      <c r="Y544" s="47"/>
      <c r="Z544" s="175" t="str">
        <f ca="1">IFERROR(__xludf.DUMMYFUNCTION("QUERY('Volunteer Survey'!A543)"),"")</f>
        <v/>
      </c>
      <c r="AA544" s="175" t="str">
        <f ca="1">IFERROR(__xludf.DUMMYFUNCTION("QUERY('Volunteer Survey'!B543)"),"")</f>
        <v/>
      </c>
      <c r="AB544" s="175" t="str">
        <f ca="1">IFERROR(__xludf.DUMMYFUNCTION("QUERY('Volunteer Survey'!C543)"),"")</f>
        <v/>
      </c>
      <c r="AC544" s="175" t="str">
        <f ca="1">IFERROR(__xludf.DUMMYFUNCTION("QUERY('Volunteer Survey'!D543)"),"")</f>
        <v/>
      </c>
      <c r="AD544" s="175" t="str">
        <f ca="1">IFERROR(__xludf.DUMMYFUNCTION("QUERY('Volunteer Survey'!E543)"),"")</f>
        <v/>
      </c>
      <c r="AE544" s="175" t="str">
        <f ca="1">IFERROR(__xludf.DUMMYFUNCTION("QUERY('Volunteer Survey'!F543)"),"")</f>
        <v/>
      </c>
      <c r="AF544" s="175" t="str">
        <f ca="1">IFERROR(__xludf.DUMMYFUNCTION("QUERY('Volunteer Survey'!G543)"),"")</f>
        <v/>
      </c>
      <c r="AG544" s="175" t="str">
        <f ca="1">IFERROR(__xludf.DUMMYFUNCTION("QUERY('Volunteer Survey'!H543)"),"")</f>
        <v/>
      </c>
      <c r="AH544" s="175" t="str">
        <f ca="1">IFERROR(__xludf.DUMMYFUNCTION("QUERY('Volunteer Survey'!I543)"),"")</f>
        <v/>
      </c>
      <c r="AI544" s="175" t="str">
        <f ca="1">IFERROR(__xludf.DUMMYFUNCTION("QUERY('Volunteer Survey'!J543)"),"")</f>
        <v/>
      </c>
      <c r="AJ544" s="175" t="str">
        <f ca="1">IFERROR(__xludf.DUMMYFUNCTION("QUERY('Volunteer Survey'!K543)"),"")</f>
        <v/>
      </c>
      <c r="AK544" s="175" t="str">
        <f ca="1">IFERROR(__xludf.DUMMYFUNCTION("QUERY('Volunteer Survey'!L543)"),"")</f>
        <v/>
      </c>
      <c r="AL544" s="175" t="str">
        <f ca="1">IFERROR(__xludf.DUMMYFUNCTION("QUERY('Volunteer Survey'!M543)"),"")</f>
        <v/>
      </c>
      <c r="AM544" s="175" t="str">
        <f ca="1">IFERROR(__xludf.DUMMYFUNCTION("QUERY('Volunteer Survey'!N543)"),"")</f>
        <v/>
      </c>
      <c r="AN544" s="175" t="str">
        <f ca="1">IFERROR(__xludf.DUMMYFUNCTION("QUERY('Volunteer Survey'!O543)"),"")</f>
        <v/>
      </c>
      <c r="AO544" s="175" t="str">
        <f ca="1">IFERROR(__xludf.DUMMYFUNCTION("QUERY('Volunteer Survey'!P543)"),"")</f>
        <v/>
      </c>
    </row>
    <row r="545" spans="1:41" ht="14">
      <c r="A545" s="49">
        <f>'Volunteer Survey'!A955</f>
        <v>0</v>
      </c>
      <c r="B545" s="49"/>
      <c r="C545" s="47"/>
      <c r="D545" s="49"/>
      <c r="E545" s="49"/>
      <c r="F545" s="49" t="b">
        <v>0</v>
      </c>
      <c r="G545" s="49"/>
      <c r="H545" s="47"/>
      <c r="I545" s="47"/>
      <c r="J545" s="49"/>
      <c r="K545" s="49"/>
      <c r="L545" s="49">
        <f>'Volunteer Survey'!B955</f>
        <v>0</v>
      </c>
      <c r="M545" s="49">
        <f>'Volunteer Survey'!E955</f>
        <v>0</v>
      </c>
      <c r="N545" s="49"/>
      <c r="O545" s="42">
        <f>'Volunteer Survey'!H956</f>
        <v>0</v>
      </c>
      <c r="P545" s="49"/>
      <c r="Q545" s="54">
        <f>'Volunteer Survey'!J955</f>
        <v>0</v>
      </c>
      <c r="R545" s="49"/>
      <c r="S545" s="49"/>
      <c r="T545" s="49">
        <f>'Volunteer Survey'!M955</f>
        <v>0</v>
      </c>
      <c r="U545" s="58"/>
      <c r="V545" s="49"/>
      <c r="W545" s="60">
        <f>'Volunteer Survey'!P955</f>
        <v>0</v>
      </c>
      <c r="X545" s="49"/>
      <c r="Y545" s="47"/>
      <c r="Z545" s="175" t="str">
        <f ca="1">IFERROR(__xludf.DUMMYFUNCTION("QUERY('Volunteer Survey'!A544)"),"")</f>
        <v/>
      </c>
      <c r="AA545" s="175" t="str">
        <f ca="1">IFERROR(__xludf.DUMMYFUNCTION("QUERY('Volunteer Survey'!B544)"),"")</f>
        <v/>
      </c>
      <c r="AB545" s="175" t="str">
        <f ca="1">IFERROR(__xludf.DUMMYFUNCTION("QUERY('Volunteer Survey'!C544)"),"")</f>
        <v/>
      </c>
      <c r="AC545" s="175" t="str">
        <f ca="1">IFERROR(__xludf.DUMMYFUNCTION("QUERY('Volunteer Survey'!D544)"),"")</f>
        <v/>
      </c>
      <c r="AD545" s="175" t="str">
        <f ca="1">IFERROR(__xludf.DUMMYFUNCTION("QUERY('Volunteer Survey'!E544)"),"")</f>
        <v/>
      </c>
      <c r="AE545" s="175" t="str">
        <f ca="1">IFERROR(__xludf.DUMMYFUNCTION("QUERY('Volunteer Survey'!F544)"),"")</f>
        <v/>
      </c>
      <c r="AF545" s="175" t="str">
        <f ca="1">IFERROR(__xludf.DUMMYFUNCTION("QUERY('Volunteer Survey'!G544)"),"")</f>
        <v/>
      </c>
      <c r="AG545" s="175" t="str">
        <f ca="1">IFERROR(__xludf.DUMMYFUNCTION("QUERY('Volunteer Survey'!H544)"),"")</f>
        <v/>
      </c>
      <c r="AH545" s="175" t="str">
        <f ca="1">IFERROR(__xludf.DUMMYFUNCTION("QUERY('Volunteer Survey'!I544)"),"")</f>
        <v/>
      </c>
      <c r="AI545" s="175" t="str">
        <f ca="1">IFERROR(__xludf.DUMMYFUNCTION("QUERY('Volunteer Survey'!J544)"),"")</f>
        <v/>
      </c>
      <c r="AJ545" s="175" t="str">
        <f ca="1">IFERROR(__xludf.DUMMYFUNCTION("QUERY('Volunteer Survey'!K544)"),"")</f>
        <v/>
      </c>
      <c r="AK545" s="175" t="str">
        <f ca="1">IFERROR(__xludf.DUMMYFUNCTION("QUERY('Volunteer Survey'!L544)"),"")</f>
        <v/>
      </c>
      <c r="AL545" s="175" t="str">
        <f ca="1">IFERROR(__xludf.DUMMYFUNCTION("QUERY('Volunteer Survey'!M544)"),"")</f>
        <v/>
      </c>
      <c r="AM545" s="175" t="str">
        <f ca="1">IFERROR(__xludf.DUMMYFUNCTION("QUERY('Volunteer Survey'!N544)"),"")</f>
        <v/>
      </c>
      <c r="AN545" s="175" t="str">
        <f ca="1">IFERROR(__xludf.DUMMYFUNCTION("QUERY('Volunteer Survey'!O544)"),"")</f>
        <v/>
      </c>
      <c r="AO545" s="175" t="str">
        <f ca="1">IFERROR(__xludf.DUMMYFUNCTION("QUERY('Volunteer Survey'!P544)"),"")</f>
        <v/>
      </c>
    </row>
    <row r="546" spans="1:41" ht="14">
      <c r="A546" s="49">
        <f>'Volunteer Survey'!A956</f>
        <v>0</v>
      </c>
      <c r="B546" s="49"/>
      <c r="C546" s="47"/>
      <c r="D546" s="49"/>
      <c r="E546" s="49"/>
      <c r="F546" s="49" t="b">
        <v>0</v>
      </c>
      <c r="G546" s="49"/>
      <c r="H546" s="47"/>
      <c r="I546" s="47"/>
      <c r="J546" s="49"/>
      <c r="K546" s="49"/>
      <c r="L546" s="49">
        <f>'Volunteer Survey'!B956</f>
        <v>0</v>
      </c>
      <c r="M546" s="49">
        <f>'Volunteer Survey'!E956</f>
        <v>0</v>
      </c>
      <c r="N546" s="49"/>
      <c r="O546" s="42">
        <f>'Volunteer Survey'!H957</f>
        <v>0</v>
      </c>
      <c r="P546" s="49"/>
      <c r="Q546" s="54">
        <f>'Volunteer Survey'!J956</f>
        <v>0</v>
      </c>
      <c r="R546" s="49"/>
      <c r="S546" s="49"/>
      <c r="T546" s="49">
        <f>'Volunteer Survey'!M956</f>
        <v>0</v>
      </c>
      <c r="U546" s="58"/>
      <c r="V546" s="49"/>
      <c r="W546" s="60">
        <f>'Volunteer Survey'!P956</f>
        <v>0</v>
      </c>
      <c r="X546" s="49"/>
      <c r="Y546" s="47"/>
      <c r="Z546" s="175" t="str">
        <f ca="1">IFERROR(__xludf.DUMMYFUNCTION("QUERY('Volunteer Survey'!A545)"),"")</f>
        <v/>
      </c>
      <c r="AA546" s="175" t="str">
        <f ca="1">IFERROR(__xludf.DUMMYFUNCTION("QUERY('Volunteer Survey'!B545)"),"")</f>
        <v/>
      </c>
      <c r="AB546" s="175" t="str">
        <f ca="1">IFERROR(__xludf.DUMMYFUNCTION("QUERY('Volunteer Survey'!C545)"),"")</f>
        <v/>
      </c>
      <c r="AC546" s="175" t="str">
        <f ca="1">IFERROR(__xludf.DUMMYFUNCTION("QUERY('Volunteer Survey'!D545)"),"")</f>
        <v/>
      </c>
      <c r="AD546" s="175" t="str">
        <f ca="1">IFERROR(__xludf.DUMMYFUNCTION("QUERY('Volunteer Survey'!E545)"),"")</f>
        <v/>
      </c>
      <c r="AE546" s="175" t="str">
        <f ca="1">IFERROR(__xludf.DUMMYFUNCTION("QUERY('Volunteer Survey'!F545)"),"")</f>
        <v/>
      </c>
      <c r="AF546" s="175" t="str">
        <f ca="1">IFERROR(__xludf.DUMMYFUNCTION("QUERY('Volunteer Survey'!G545)"),"")</f>
        <v/>
      </c>
      <c r="AG546" s="175" t="str">
        <f ca="1">IFERROR(__xludf.DUMMYFUNCTION("QUERY('Volunteer Survey'!H545)"),"")</f>
        <v/>
      </c>
      <c r="AH546" s="175" t="str">
        <f ca="1">IFERROR(__xludf.DUMMYFUNCTION("QUERY('Volunteer Survey'!I545)"),"")</f>
        <v/>
      </c>
      <c r="AI546" s="175" t="str">
        <f ca="1">IFERROR(__xludf.DUMMYFUNCTION("QUERY('Volunteer Survey'!J545)"),"")</f>
        <v/>
      </c>
      <c r="AJ546" s="175" t="str">
        <f ca="1">IFERROR(__xludf.DUMMYFUNCTION("QUERY('Volunteer Survey'!K545)"),"")</f>
        <v/>
      </c>
      <c r="AK546" s="175" t="str">
        <f ca="1">IFERROR(__xludf.DUMMYFUNCTION("QUERY('Volunteer Survey'!L545)"),"")</f>
        <v/>
      </c>
      <c r="AL546" s="175" t="str">
        <f ca="1">IFERROR(__xludf.DUMMYFUNCTION("QUERY('Volunteer Survey'!M545)"),"")</f>
        <v/>
      </c>
      <c r="AM546" s="175" t="str">
        <f ca="1">IFERROR(__xludf.DUMMYFUNCTION("QUERY('Volunteer Survey'!N545)"),"")</f>
        <v/>
      </c>
      <c r="AN546" s="175" t="str">
        <f ca="1">IFERROR(__xludf.DUMMYFUNCTION("QUERY('Volunteer Survey'!O545)"),"")</f>
        <v/>
      </c>
      <c r="AO546" s="175" t="str">
        <f ca="1">IFERROR(__xludf.DUMMYFUNCTION("QUERY('Volunteer Survey'!P545)"),"")</f>
        <v/>
      </c>
    </row>
    <row r="547" spans="1:41" ht="14">
      <c r="A547" s="49">
        <f>'Volunteer Survey'!A957</f>
        <v>0</v>
      </c>
      <c r="B547" s="49"/>
      <c r="C547" s="47"/>
      <c r="D547" s="49"/>
      <c r="E547" s="49"/>
      <c r="F547" s="49" t="b">
        <v>0</v>
      </c>
      <c r="G547" s="49"/>
      <c r="H547" s="47"/>
      <c r="I547" s="47"/>
      <c r="J547" s="49"/>
      <c r="K547" s="49"/>
      <c r="L547" s="49">
        <f>'Volunteer Survey'!B957</f>
        <v>0</v>
      </c>
      <c r="M547" s="49">
        <f>'Volunteer Survey'!E957</f>
        <v>0</v>
      </c>
      <c r="N547" s="49"/>
      <c r="O547" s="42">
        <f>'Volunteer Survey'!H958</f>
        <v>0</v>
      </c>
      <c r="P547" s="49"/>
      <c r="Q547" s="54">
        <f>'Volunteer Survey'!J957</f>
        <v>0</v>
      </c>
      <c r="R547" s="49"/>
      <c r="S547" s="49"/>
      <c r="T547" s="49">
        <f>'Volunteer Survey'!M957</f>
        <v>0</v>
      </c>
      <c r="U547" s="58"/>
      <c r="V547" s="49"/>
      <c r="W547" s="60">
        <f>'Volunteer Survey'!P957</f>
        <v>0</v>
      </c>
      <c r="X547" s="49"/>
      <c r="Y547" s="47"/>
      <c r="Z547" s="175" t="str">
        <f ca="1">IFERROR(__xludf.DUMMYFUNCTION("QUERY('Volunteer Survey'!A546)"),"")</f>
        <v/>
      </c>
      <c r="AA547" s="175" t="str">
        <f ca="1">IFERROR(__xludf.DUMMYFUNCTION("QUERY('Volunteer Survey'!B546)"),"")</f>
        <v/>
      </c>
      <c r="AB547" s="175" t="str">
        <f ca="1">IFERROR(__xludf.DUMMYFUNCTION("QUERY('Volunteer Survey'!C546)"),"")</f>
        <v/>
      </c>
      <c r="AC547" s="175" t="str">
        <f ca="1">IFERROR(__xludf.DUMMYFUNCTION("QUERY('Volunteer Survey'!D546)"),"")</f>
        <v/>
      </c>
      <c r="AD547" s="175" t="str">
        <f ca="1">IFERROR(__xludf.DUMMYFUNCTION("QUERY('Volunteer Survey'!E546)"),"")</f>
        <v/>
      </c>
      <c r="AE547" s="175" t="str">
        <f ca="1">IFERROR(__xludf.DUMMYFUNCTION("QUERY('Volunteer Survey'!F546)"),"")</f>
        <v/>
      </c>
      <c r="AF547" s="175" t="str">
        <f ca="1">IFERROR(__xludf.DUMMYFUNCTION("QUERY('Volunteer Survey'!G546)"),"")</f>
        <v/>
      </c>
      <c r="AG547" s="175" t="str">
        <f ca="1">IFERROR(__xludf.DUMMYFUNCTION("QUERY('Volunteer Survey'!H546)"),"")</f>
        <v/>
      </c>
      <c r="AH547" s="175" t="str">
        <f ca="1">IFERROR(__xludf.DUMMYFUNCTION("QUERY('Volunteer Survey'!I546)"),"")</f>
        <v/>
      </c>
      <c r="AI547" s="175" t="str">
        <f ca="1">IFERROR(__xludf.DUMMYFUNCTION("QUERY('Volunteer Survey'!J546)"),"")</f>
        <v/>
      </c>
      <c r="AJ547" s="175" t="str">
        <f ca="1">IFERROR(__xludf.DUMMYFUNCTION("QUERY('Volunteer Survey'!K546)"),"")</f>
        <v/>
      </c>
      <c r="AK547" s="175" t="str">
        <f ca="1">IFERROR(__xludf.DUMMYFUNCTION("QUERY('Volunteer Survey'!L546)"),"")</f>
        <v/>
      </c>
      <c r="AL547" s="175" t="str">
        <f ca="1">IFERROR(__xludf.DUMMYFUNCTION("QUERY('Volunteer Survey'!M546)"),"")</f>
        <v/>
      </c>
      <c r="AM547" s="175" t="str">
        <f ca="1">IFERROR(__xludf.DUMMYFUNCTION("QUERY('Volunteer Survey'!N546)"),"")</f>
        <v/>
      </c>
      <c r="AN547" s="175" t="str">
        <f ca="1">IFERROR(__xludf.DUMMYFUNCTION("QUERY('Volunteer Survey'!O546)"),"")</f>
        <v/>
      </c>
      <c r="AO547" s="175" t="str">
        <f ca="1">IFERROR(__xludf.DUMMYFUNCTION("QUERY('Volunteer Survey'!P546)"),"")</f>
        <v/>
      </c>
    </row>
    <row r="548" spans="1:41" ht="14">
      <c r="A548" s="49">
        <f>'Volunteer Survey'!A958</f>
        <v>0</v>
      </c>
      <c r="B548" s="49"/>
      <c r="C548" s="47"/>
      <c r="D548" s="49"/>
      <c r="E548" s="49"/>
      <c r="F548" s="49" t="b">
        <v>0</v>
      </c>
      <c r="G548" s="49"/>
      <c r="H548" s="47"/>
      <c r="I548" s="47"/>
      <c r="J548" s="49"/>
      <c r="K548" s="49"/>
      <c r="L548" s="49">
        <f>'Volunteer Survey'!B958</f>
        <v>0</v>
      </c>
      <c r="M548" s="49">
        <f>'Volunteer Survey'!E958</f>
        <v>0</v>
      </c>
      <c r="N548" s="49"/>
      <c r="O548" s="42">
        <f>'Volunteer Survey'!H959</f>
        <v>0</v>
      </c>
      <c r="P548" s="49"/>
      <c r="Q548" s="54">
        <f>'Volunteer Survey'!J958</f>
        <v>0</v>
      </c>
      <c r="R548" s="49"/>
      <c r="S548" s="49"/>
      <c r="T548" s="49">
        <f>'Volunteer Survey'!M958</f>
        <v>0</v>
      </c>
      <c r="U548" s="58"/>
      <c r="V548" s="49"/>
      <c r="W548" s="60">
        <f>'Volunteer Survey'!P958</f>
        <v>0</v>
      </c>
      <c r="X548" s="49"/>
      <c r="Y548" s="47"/>
      <c r="Z548" s="175" t="str">
        <f ca="1">IFERROR(__xludf.DUMMYFUNCTION("QUERY('Volunteer Survey'!A547)"),"")</f>
        <v/>
      </c>
      <c r="AA548" s="175" t="str">
        <f ca="1">IFERROR(__xludf.DUMMYFUNCTION("QUERY('Volunteer Survey'!B547)"),"")</f>
        <v/>
      </c>
      <c r="AB548" s="175" t="str">
        <f ca="1">IFERROR(__xludf.DUMMYFUNCTION("QUERY('Volunteer Survey'!C547)"),"")</f>
        <v/>
      </c>
      <c r="AC548" s="175" t="str">
        <f ca="1">IFERROR(__xludf.DUMMYFUNCTION("QUERY('Volunteer Survey'!D547)"),"")</f>
        <v/>
      </c>
      <c r="AD548" s="175" t="str">
        <f ca="1">IFERROR(__xludf.DUMMYFUNCTION("QUERY('Volunteer Survey'!E547)"),"")</f>
        <v/>
      </c>
      <c r="AE548" s="175" t="str">
        <f ca="1">IFERROR(__xludf.DUMMYFUNCTION("QUERY('Volunteer Survey'!F547)"),"")</f>
        <v/>
      </c>
      <c r="AF548" s="175" t="str">
        <f ca="1">IFERROR(__xludf.DUMMYFUNCTION("QUERY('Volunteer Survey'!G547)"),"")</f>
        <v/>
      </c>
      <c r="AG548" s="175" t="str">
        <f ca="1">IFERROR(__xludf.DUMMYFUNCTION("QUERY('Volunteer Survey'!H547)"),"")</f>
        <v/>
      </c>
      <c r="AH548" s="175" t="str">
        <f ca="1">IFERROR(__xludf.DUMMYFUNCTION("QUERY('Volunteer Survey'!I547)"),"")</f>
        <v/>
      </c>
      <c r="AI548" s="175" t="str">
        <f ca="1">IFERROR(__xludf.DUMMYFUNCTION("QUERY('Volunteer Survey'!J547)"),"")</f>
        <v/>
      </c>
      <c r="AJ548" s="175" t="str">
        <f ca="1">IFERROR(__xludf.DUMMYFUNCTION("QUERY('Volunteer Survey'!K547)"),"")</f>
        <v/>
      </c>
      <c r="AK548" s="175" t="str">
        <f ca="1">IFERROR(__xludf.DUMMYFUNCTION("QUERY('Volunteer Survey'!L547)"),"")</f>
        <v/>
      </c>
      <c r="AL548" s="175" t="str">
        <f ca="1">IFERROR(__xludf.DUMMYFUNCTION("QUERY('Volunteer Survey'!M547)"),"")</f>
        <v/>
      </c>
      <c r="AM548" s="175" t="str">
        <f ca="1">IFERROR(__xludf.DUMMYFUNCTION("QUERY('Volunteer Survey'!N547)"),"")</f>
        <v/>
      </c>
      <c r="AN548" s="175" t="str">
        <f ca="1">IFERROR(__xludf.DUMMYFUNCTION("QUERY('Volunteer Survey'!O547)"),"")</f>
        <v/>
      </c>
      <c r="AO548" s="175" t="str">
        <f ca="1">IFERROR(__xludf.DUMMYFUNCTION("QUERY('Volunteer Survey'!P547)"),"")</f>
        <v/>
      </c>
    </row>
    <row r="549" spans="1:41" ht="14">
      <c r="A549" s="49">
        <f>'Volunteer Survey'!A959</f>
        <v>0</v>
      </c>
      <c r="B549" s="49"/>
      <c r="C549" s="47"/>
      <c r="D549" s="49"/>
      <c r="E549" s="49"/>
      <c r="F549" s="49" t="b">
        <v>0</v>
      </c>
      <c r="G549" s="49"/>
      <c r="H549" s="47"/>
      <c r="I549" s="47"/>
      <c r="J549" s="49"/>
      <c r="K549" s="49"/>
      <c r="L549" s="49">
        <f>'Volunteer Survey'!B959</f>
        <v>0</v>
      </c>
      <c r="M549" s="49">
        <f>'Volunteer Survey'!E959</f>
        <v>0</v>
      </c>
      <c r="N549" s="49"/>
      <c r="O549" s="42">
        <f>'Volunteer Survey'!H960</f>
        <v>0</v>
      </c>
      <c r="P549" s="49"/>
      <c r="Q549" s="54">
        <f>'Volunteer Survey'!J959</f>
        <v>0</v>
      </c>
      <c r="R549" s="49"/>
      <c r="S549" s="49"/>
      <c r="T549" s="49">
        <f>'Volunteer Survey'!M959</f>
        <v>0</v>
      </c>
      <c r="U549" s="58"/>
      <c r="V549" s="49"/>
      <c r="W549" s="60">
        <f>'Volunteer Survey'!P959</f>
        <v>0</v>
      </c>
      <c r="X549" s="49"/>
      <c r="Y549" s="47"/>
      <c r="Z549" s="175" t="str">
        <f ca="1">IFERROR(__xludf.DUMMYFUNCTION("QUERY('Volunteer Survey'!A548)"),"")</f>
        <v/>
      </c>
      <c r="AA549" s="175" t="str">
        <f ca="1">IFERROR(__xludf.DUMMYFUNCTION("QUERY('Volunteer Survey'!B548)"),"")</f>
        <v/>
      </c>
      <c r="AB549" s="175" t="str">
        <f ca="1">IFERROR(__xludf.DUMMYFUNCTION("QUERY('Volunteer Survey'!C548)"),"")</f>
        <v/>
      </c>
      <c r="AC549" s="175" t="str">
        <f ca="1">IFERROR(__xludf.DUMMYFUNCTION("QUERY('Volunteer Survey'!D548)"),"")</f>
        <v/>
      </c>
      <c r="AD549" s="175" t="str">
        <f ca="1">IFERROR(__xludf.DUMMYFUNCTION("QUERY('Volunteer Survey'!E548)"),"")</f>
        <v/>
      </c>
      <c r="AE549" s="175" t="str">
        <f ca="1">IFERROR(__xludf.DUMMYFUNCTION("QUERY('Volunteer Survey'!F548)"),"")</f>
        <v/>
      </c>
      <c r="AF549" s="175" t="str">
        <f ca="1">IFERROR(__xludf.DUMMYFUNCTION("QUERY('Volunteer Survey'!G548)"),"")</f>
        <v/>
      </c>
      <c r="AG549" s="175" t="str">
        <f ca="1">IFERROR(__xludf.DUMMYFUNCTION("QUERY('Volunteer Survey'!H548)"),"")</f>
        <v/>
      </c>
      <c r="AH549" s="175" t="str">
        <f ca="1">IFERROR(__xludf.DUMMYFUNCTION("QUERY('Volunteer Survey'!I548)"),"")</f>
        <v/>
      </c>
      <c r="AI549" s="175" t="str">
        <f ca="1">IFERROR(__xludf.DUMMYFUNCTION("QUERY('Volunteer Survey'!J548)"),"")</f>
        <v/>
      </c>
      <c r="AJ549" s="175" t="str">
        <f ca="1">IFERROR(__xludf.DUMMYFUNCTION("QUERY('Volunteer Survey'!K548)"),"")</f>
        <v/>
      </c>
      <c r="AK549" s="175" t="str">
        <f ca="1">IFERROR(__xludf.DUMMYFUNCTION("QUERY('Volunteer Survey'!L548)"),"")</f>
        <v/>
      </c>
      <c r="AL549" s="175" t="str">
        <f ca="1">IFERROR(__xludf.DUMMYFUNCTION("QUERY('Volunteer Survey'!M548)"),"")</f>
        <v/>
      </c>
      <c r="AM549" s="175" t="str">
        <f ca="1">IFERROR(__xludf.DUMMYFUNCTION("QUERY('Volunteer Survey'!N548)"),"")</f>
        <v/>
      </c>
      <c r="AN549" s="175" t="str">
        <f ca="1">IFERROR(__xludf.DUMMYFUNCTION("QUERY('Volunteer Survey'!O548)"),"")</f>
        <v/>
      </c>
      <c r="AO549" s="175" t="str">
        <f ca="1">IFERROR(__xludf.DUMMYFUNCTION("QUERY('Volunteer Survey'!P548)"),"")</f>
        <v/>
      </c>
    </row>
    <row r="550" spans="1:41" ht="14">
      <c r="A550" s="49">
        <f>'Volunteer Survey'!A960</f>
        <v>0</v>
      </c>
      <c r="B550" s="49"/>
      <c r="C550" s="47"/>
      <c r="D550" s="49"/>
      <c r="E550" s="49"/>
      <c r="F550" s="49" t="b">
        <v>0</v>
      </c>
      <c r="G550" s="49"/>
      <c r="H550" s="47"/>
      <c r="I550" s="47"/>
      <c r="J550" s="49"/>
      <c r="K550" s="49"/>
      <c r="L550" s="49">
        <f>'Volunteer Survey'!B960</f>
        <v>0</v>
      </c>
      <c r="M550" s="49">
        <f>'Volunteer Survey'!E960</f>
        <v>0</v>
      </c>
      <c r="N550" s="49"/>
      <c r="O550" s="42">
        <f>'Volunteer Survey'!H961</f>
        <v>0</v>
      </c>
      <c r="P550" s="49"/>
      <c r="Q550" s="54">
        <f>'Volunteer Survey'!J960</f>
        <v>0</v>
      </c>
      <c r="R550" s="49"/>
      <c r="S550" s="49"/>
      <c r="T550" s="49">
        <f>'Volunteer Survey'!M960</f>
        <v>0</v>
      </c>
      <c r="U550" s="58"/>
      <c r="V550" s="49"/>
      <c r="W550" s="60">
        <f>'Volunteer Survey'!P960</f>
        <v>0</v>
      </c>
      <c r="X550" s="49"/>
      <c r="Y550" s="47"/>
      <c r="Z550" s="175" t="str">
        <f ca="1">IFERROR(__xludf.DUMMYFUNCTION("QUERY('Volunteer Survey'!A549)"),"")</f>
        <v/>
      </c>
      <c r="AA550" s="175" t="str">
        <f ca="1">IFERROR(__xludf.DUMMYFUNCTION("QUERY('Volunteer Survey'!B549)"),"")</f>
        <v/>
      </c>
      <c r="AB550" s="175" t="str">
        <f ca="1">IFERROR(__xludf.DUMMYFUNCTION("QUERY('Volunteer Survey'!C549)"),"")</f>
        <v/>
      </c>
      <c r="AC550" s="175" t="str">
        <f ca="1">IFERROR(__xludf.DUMMYFUNCTION("QUERY('Volunteer Survey'!D549)"),"")</f>
        <v/>
      </c>
      <c r="AD550" s="175" t="str">
        <f ca="1">IFERROR(__xludf.DUMMYFUNCTION("QUERY('Volunteer Survey'!E549)"),"")</f>
        <v/>
      </c>
      <c r="AE550" s="175" t="str">
        <f ca="1">IFERROR(__xludf.DUMMYFUNCTION("QUERY('Volunteer Survey'!F549)"),"")</f>
        <v/>
      </c>
      <c r="AF550" s="175" t="str">
        <f ca="1">IFERROR(__xludf.DUMMYFUNCTION("QUERY('Volunteer Survey'!G549)"),"")</f>
        <v/>
      </c>
      <c r="AG550" s="175" t="str">
        <f ca="1">IFERROR(__xludf.DUMMYFUNCTION("QUERY('Volunteer Survey'!H549)"),"")</f>
        <v/>
      </c>
      <c r="AH550" s="175" t="str">
        <f ca="1">IFERROR(__xludf.DUMMYFUNCTION("QUERY('Volunteer Survey'!I549)"),"")</f>
        <v/>
      </c>
      <c r="AI550" s="175" t="str">
        <f ca="1">IFERROR(__xludf.DUMMYFUNCTION("QUERY('Volunteer Survey'!J549)"),"")</f>
        <v/>
      </c>
      <c r="AJ550" s="175" t="str">
        <f ca="1">IFERROR(__xludf.DUMMYFUNCTION("QUERY('Volunteer Survey'!K549)"),"")</f>
        <v/>
      </c>
      <c r="AK550" s="175" t="str">
        <f ca="1">IFERROR(__xludf.DUMMYFUNCTION("QUERY('Volunteer Survey'!L549)"),"")</f>
        <v/>
      </c>
      <c r="AL550" s="175" t="str">
        <f ca="1">IFERROR(__xludf.DUMMYFUNCTION("QUERY('Volunteer Survey'!M549)"),"")</f>
        <v/>
      </c>
      <c r="AM550" s="175" t="str">
        <f ca="1">IFERROR(__xludf.DUMMYFUNCTION("QUERY('Volunteer Survey'!N549)"),"")</f>
        <v/>
      </c>
      <c r="AN550" s="175" t="str">
        <f ca="1">IFERROR(__xludf.DUMMYFUNCTION("QUERY('Volunteer Survey'!O549)"),"")</f>
        <v/>
      </c>
      <c r="AO550" s="175" t="str">
        <f ca="1">IFERROR(__xludf.DUMMYFUNCTION("QUERY('Volunteer Survey'!P549)"),"")</f>
        <v/>
      </c>
    </row>
    <row r="551" spans="1:41" ht="14">
      <c r="A551" s="49">
        <f>'Volunteer Survey'!A961</f>
        <v>0</v>
      </c>
      <c r="B551" s="49"/>
      <c r="C551" s="47"/>
      <c r="D551" s="49"/>
      <c r="E551" s="49"/>
      <c r="F551" s="49" t="b">
        <v>0</v>
      </c>
      <c r="G551" s="49"/>
      <c r="H551" s="47"/>
      <c r="I551" s="47"/>
      <c r="J551" s="49"/>
      <c r="K551" s="49"/>
      <c r="L551" s="49">
        <f>'Volunteer Survey'!B961</f>
        <v>0</v>
      </c>
      <c r="M551" s="49">
        <f>'Volunteer Survey'!E961</f>
        <v>0</v>
      </c>
      <c r="N551" s="49"/>
      <c r="O551" s="42">
        <f>'Volunteer Survey'!H962</f>
        <v>0</v>
      </c>
      <c r="P551" s="49"/>
      <c r="Q551" s="54">
        <f>'Volunteer Survey'!J961</f>
        <v>0</v>
      </c>
      <c r="R551" s="49"/>
      <c r="S551" s="49"/>
      <c r="T551" s="49">
        <f>'Volunteer Survey'!M961</f>
        <v>0</v>
      </c>
      <c r="U551" s="58"/>
      <c r="V551" s="49"/>
      <c r="W551" s="60">
        <f>'Volunteer Survey'!P961</f>
        <v>0</v>
      </c>
      <c r="X551" s="49"/>
      <c r="Y551" s="47"/>
      <c r="Z551" s="175" t="str">
        <f ca="1">IFERROR(__xludf.DUMMYFUNCTION("QUERY('Volunteer Survey'!A550)"),"")</f>
        <v/>
      </c>
      <c r="AA551" s="175" t="str">
        <f ca="1">IFERROR(__xludf.DUMMYFUNCTION("QUERY('Volunteer Survey'!B550)"),"")</f>
        <v/>
      </c>
      <c r="AB551" s="175" t="str">
        <f ca="1">IFERROR(__xludf.DUMMYFUNCTION("QUERY('Volunteer Survey'!C550)"),"")</f>
        <v/>
      </c>
      <c r="AC551" s="175" t="str">
        <f ca="1">IFERROR(__xludf.DUMMYFUNCTION("QUERY('Volunteer Survey'!D550)"),"")</f>
        <v/>
      </c>
      <c r="AD551" s="175" t="str">
        <f ca="1">IFERROR(__xludf.DUMMYFUNCTION("QUERY('Volunteer Survey'!E550)"),"")</f>
        <v/>
      </c>
      <c r="AE551" s="175" t="str">
        <f ca="1">IFERROR(__xludf.DUMMYFUNCTION("QUERY('Volunteer Survey'!F550)"),"")</f>
        <v/>
      </c>
      <c r="AF551" s="175" t="str">
        <f ca="1">IFERROR(__xludf.DUMMYFUNCTION("QUERY('Volunteer Survey'!G550)"),"")</f>
        <v/>
      </c>
      <c r="AG551" s="175" t="str">
        <f ca="1">IFERROR(__xludf.DUMMYFUNCTION("QUERY('Volunteer Survey'!H550)"),"")</f>
        <v/>
      </c>
      <c r="AH551" s="175" t="str">
        <f ca="1">IFERROR(__xludf.DUMMYFUNCTION("QUERY('Volunteer Survey'!I550)"),"")</f>
        <v/>
      </c>
      <c r="AI551" s="175" t="str">
        <f ca="1">IFERROR(__xludf.DUMMYFUNCTION("QUERY('Volunteer Survey'!J550)"),"")</f>
        <v/>
      </c>
      <c r="AJ551" s="175" t="str">
        <f ca="1">IFERROR(__xludf.DUMMYFUNCTION("QUERY('Volunteer Survey'!K550)"),"")</f>
        <v/>
      </c>
      <c r="AK551" s="175" t="str">
        <f ca="1">IFERROR(__xludf.DUMMYFUNCTION("QUERY('Volunteer Survey'!L550)"),"")</f>
        <v/>
      </c>
      <c r="AL551" s="175" t="str">
        <f ca="1">IFERROR(__xludf.DUMMYFUNCTION("QUERY('Volunteer Survey'!M550)"),"")</f>
        <v/>
      </c>
      <c r="AM551" s="175" t="str">
        <f ca="1">IFERROR(__xludf.DUMMYFUNCTION("QUERY('Volunteer Survey'!N550)"),"")</f>
        <v/>
      </c>
      <c r="AN551" s="175" t="str">
        <f ca="1">IFERROR(__xludf.DUMMYFUNCTION("QUERY('Volunteer Survey'!O550)"),"")</f>
        <v/>
      </c>
      <c r="AO551" s="175" t="str">
        <f ca="1">IFERROR(__xludf.DUMMYFUNCTION("QUERY('Volunteer Survey'!P550)"),"")</f>
        <v/>
      </c>
    </row>
    <row r="552" spans="1:41" ht="14">
      <c r="A552" s="49">
        <f>'Volunteer Survey'!A962</f>
        <v>0</v>
      </c>
      <c r="B552" s="49"/>
      <c r="C552" s="47"/>
      <c r="D552" s="49"/>
      <c r="E552" s="49"/>
      <c r="F552" s="49" t="b">
        <v>0</v>
      </c>
      <c r="G552" s="49"/>
      <c r="H552" s="47"/>
      <c r="I552" s="47"/>
      <c r="J552" s="49"/>
      <c r="K552" s="49"/>
      <c r="L552" s="49">
        <f>'Volunteer Survey'!B962</f>
        <v>0</v>
      </c>
      <c r="M552" s="49">
        <f>'Volunteer Survey'!E962</f>
        <v>0</v>
      </c>
      <c r="N552" s="49"/>
      <c r="O552" s="42">
        <f>'Volunteer Survey'!H963</f>
        <v>0</v>
      </c>
      <c r="P552" s="49"/>
      <c r="Q552" s="54">
        <f>'Volunteer Survey'!J962</f>
        <v>0</v>
      </c>
      <c r="R552" s="49"/>
      <c r="S552" s="49"/>
      <c r="T552" s="49">
        <f>'Volunteer Survey'!M962</f>
        <v>0</v>
      </c>
      <c r="U552" s="58"/>
      <c r="V552" s="49"/>
      <c r="W552" s="60">
        <f>'Volunteer Survey'!P962</f>
        <v>0</v>
      </c>
      <c r="X552" s="49"/>
      <c r="Y552" s="47"/>
      <c r="Z552" s="175" t="str">
        <f ca="1">IFERROR(__xludf.DUMMYFUNCTION("QUERY('Volunteer Survey'!A551)"),"")</f>
        <v/>
      </c>
      <c r="AA552" s="175" t="str">
        <f ca="1">IFERROR(__xludf.DUMMYFUNCTION("QUERY('Volunteer Survey'!B551)"),"")</f>
        <v/>
      </c>
      <c r="AB552" s="175" t="str">
        <f ca="1">IFERROR(__xludf.DUMMYFUNCTION("QUERY('Volunteer Survey'!C551)"),"")</f>
        <v/>
      </c>
      <c r="AC552" s="175" t="str">
        <f ca="1">IFERROR(__xludf.DUMMYFUNCTION("QUERY('Volunteer Survey'!D551)"),"")</f>
        <v/>
      </c>
      <c r="AD552" s="175" t="str">
        <f ca="1">IFERROR(__xludf.DUMMYFUNCTION("QUERY('Volunteer Survey'!E551)"),"")</f>
        <v/>
      </c>
      <c r="AE552" s="175" t="str">
        <f ca="1">IFERROR(__xludf.DUMMYFUNCTION("QUERY('Volunteer Survey'!F551)"),"")</f>
        <v/>
      </c>
      <c r="AF552" s="175" t="str">
        <f ca="1">IFERROR(__xludf.DUMMYFUNCTION("QUERY('Volunteer Survey'!G551)"),"")</f>
        <v/>
      </c>
      <c r="AG552" s="175" t="str">
        <f ca="1">IFERROR(__xludf.DUMMYFUNCTION("QUERY('Volunteer Survey'!H551)"),"")</f>
        <v/>
      </c>
      <c r="AH552" s="175" t="str">
        <f ca="1">IFERROR(__xludf.DUMMYFUNCTION("QUERY('Volunteer Survey'!I551)"),"")</f>
        <v/>
      </c>
      <c r="AI552" s="175" t="str">
        <f ca="1">IFERROR(__xludf.DUMMYFUNCTION("QUERY('Volunteer Survey'!J551)"),"")</f>
        <v/>
      </c>
      <c r="AJ552" s="175" t="str">
        <f ca="1">IFERROR(__xludf.DUMMYFUNCTION("QUERY('Volunteer Survey'!K551)"),"")</f>
        <v/>
      </c>
      <c r="AK552" s="175" t="str">
        <f ca="1">IFERROR(__xludf.DUMMYFUNCTION("QUERY('Volunteer Survey'!L551)"),"")</f>
        <v/>
      </c>
      <c r="AL552" s="175" t="str">
        <f ca="1">IFERROR(__xludf.DUMMYFUNCTION("QUERY('Volunteer Survey'!M551)"),"")</f>
        <v/>
      </c>
      <c r="AM552" s="175" t="str">
        <f ca="1">IFERROR(__xludf.DUMMYFUNCTION("QUERY('Volunteer Survey'!N551)"),"")</f>
        <v/>
      </c>
      <c r="AN552" s="175" t="str">
        <f ca="1">IFERROR(__xludf.DUMMYFUNCTION("QUERY('Volunteer Survey'!O551)"),"")</f>
        <v/>
      </c>
      <c r="AO552" s="175" t="str">
        <f ca="1">IFERROR(__xludf.DUMMYFUNCTION("QUERY('Volunteer Survey'!P551)"),"")</f>
        <v/>
      </c>
    </row>
    <row r="553" spans="1:41" ht="14">
      <c r="A553" s="49">
        <f>'Volunteer Survey'!A963</f>
        <v>0</v>
      </c>
      <c r="B553" s="49"/>
      <c r="C553" s="47"/>
      <c r="D553" s="49"/>
      <c r="E553" s="49"/>
      <c r="F553" s="49" t="b">
        <v>0</v>
      </c>
      <c r="G553" s="49"/>
      <c r="H553" s="47"/>
      <c r="I553" s="47"/>
      <c r="J553" s="49"/>
      <c r="K553" s="49"/>
      <c r="L553" s="49">
        <f>'Volunteer Survey'!B963</f>
        <v>0</v>
      </c>
      <c r="M553" s="49">
        <f>'Volunteer Survey'!E963</f>
        <v>0</v>
      </c>
      <c r="N553" s="49"/>
      <c r="O553" s="42">
        <f>'Volunteer Survey'!H964</f>
        <v>0</v>
      </c>
      <c r="P553" s="49"/>
      <c r="Q553" s="54">
        <f>'Volunteer Survey'!J963</f>
        <v>0</v>
      </c>
      <c r="R553" s="49"/>
      <c r="S553" s="49"/>
      <c r="T553" s="49">
        <f>'Volunteer Survey'!M963</f>
        <v>0</v>
      </c>
      <c r="U553" s="58"/>
      <c r="V553" s="49"/>
      <c r="W553" s="60">
        <f>'Volunteer Survey'!P963</f>
        <v>0</v>
      </c>
      <c r="X553" s="49"/>
      <c r="Y553" s="47"/>
      <c r="Z553" s="175" t="str">
        <f ca="1">IFERROR(__xludf.DUMMYFUNCTION("QUERY('Volunteer Survey'!A552)"),"")</f>
        <v/>
      </c>
      <c r="AA553" s="175" t="str">
        <f ca="1">IFERROR(__xludf.DUMMYFUNCTION("QUERY('Volunteer Survey'!B552)"),"")</f>
        <v/>
      </c>
      <c r="AB553" s="175" t="str">
        <f ca="1">IFERROR(__xludf.DUMMYFUNCTION("QUERY('Volunteer Survey'!C552)"),"")</f>
        <v/>
      </c>
      <c r="AC553" s="175" t="str">
        <f ca="1">IFERROR(__xludf.DUMMYFUNCTION("QUERY('Volunteer Survey'!D552)"),"")</f>
        <v/>
      </c>
      <c r="AD553" s="175" t="str">
        <f ca="1">IFERROR(__xludf.DUMMYFUNCTION("QUERY('Volunteer Survey'!E552)"),"")</f>
        <v/>
      </c>
      <c r="AE553" s="175" t="str">
        <f ca="1">IFERROR(__xludf.DUMMYFUNCTION("QUERY('Volunteer Survey'!F552)"),"")</f>
        <v/>
      </c>
      <c r="AF553" s="175" t="str">
        <f ca="1">IFERROR(__xludf.DUMMYFUNCTION("QUERY('Volunteer Survey'!G552)"),"")</f>
        <v/>
      </c>
      <c r="AG553" s="175" t="str">
        <f ca="1">IFERROR(__xludf.DUMMYFUNCTION("QUERY('Volunteer Survey'!H552)"),"")</f>
        <v/>
      </c>
      <c r="AH553" s="175" t="str">
        <f ca="1">IFERROR(__xludf.DUMMYFUNCTION("QUERY('Volunteer Survey'!I552)"),"")</f>
        <v/>
      </c>
      <c r="AI553" s="175" t="str">
        <f ca="1">IFERROR(__xludf.DUMMYFUNCTION("QUERY('Volunteer Survey'!J552)"),"")</f>
        <v/>
      </c>
      <c r="AJ553" s="175" t="str">
        <f ca="1">IFERROR(__xludf.DUMMYFUNCTION("QUERY('Volunteer Survey'!K552)"),"")</f>
        <v/>
      </c>
      <c r="AK553" s="175" t="str">
        <f ca="1">IFERROR(__xludf.DUMMYFUNCTION("QUERY('Volunteer Survey'!L552)"),"")</f>
        <v/>
      </c>
      <c r="AL553" s="175" t="str">
        <f ca="1">IFERROR(__xludf.DUMMYFUNCTION("QUERY('Volunteer Survey'!M552)"),"")</f>
        <v/>
      </c>
      <c r="AM553" s="175" t="str">
        <f ca="1">IFERROR(__xludf.DUMMYFUNCTION("QUERY('Volunteer Survey'!N552)"),"")</f>
        <v/>
      </c>
      <c r="AN553" s="175" t="str">
        <f ca="1">IFERROR(__xludf.DUMMYFUNCTION("QUERY('Volunteer Survey'!O552)"),"")</f>
        <v/>
      </c>
      <c r="AO553" s="175" t="str">
        <f ca="1">IFERROR(__xludf.DUMMYFUNCTION("QUERY('Volunteer Survey'!P552)"),"")</f>
        <v/>
      </c>
    </row>
    <row r="554" spans="1:41" ht="14">
      <c r="A554" s="49">
        <f>'Volunteer Survey'!A964</f>
        <v>0</v>
      </c>
      <c r="B554" s="49"/>
      <c r="C554" s="47"/>
      <c r="D554" s="49"/>
      <c r="E554" s="49"/>
      <c r="F554" s="49" t="b">
        <v>0</v>
      </c>
      <c r="G554" s="49"/>
      <c r="H554" s="47"/>
      <c r="I554" s="47"/>
      <c r="J554" s="49"/>
      <c r="K554" s="49"/>
      <c r="L554" s="49">
        <f>'Volunteer Survey'!B964</f>
        <v>0</v>
      </c>
      <c r="M554" s="49">
        <f>'Volunteer Survey'!E964</f>
        <v>0</v>
      </c>
      <c r="N554" s="49"/>
      <c r="O554" s="42">
        <f>'Volunteer Survey'!H965</f>
        <v>0</v>
      </c>
      <c r="P554" s="49"/>
      <c r="Q554" s="54">
        <f>'Volunteer Survey'!J964</f>
        <v>0</v>
      </c>
      <c r="R554" s="49"/>
      <c r="S554" s="49"/>
      <c r="T554" s="49">
        <f>'Volunteer Survey'!M964</f>
        <v>0</v>
      </c>
      <c r="U554" s="58"/>
      <c r="V554" s="49"/>
      <c r="W554" s="60">
        <f>'Volunteer Survey'!P964</f>
        <v>0</v>
      </c>
      <c r="X554" s="49"/>
      <c r="Y554" s="47"/>
      <c r="Z554" s="175" t="str">
        <f ca="1">IFERROR(__xludf.DUMMYFUNCTION("QUERY('Volunteer Survey'!A553)"),"")</f>
        <v/>
      </c>
      <c r="AA554" s="175" t="str">
        <f ca="1">IFERROR(__xludf.DUMMYFUNCTION("QUERY('Volunteer Survey'!B553)"),"")</f>
        <v/>
      </c>
      <c r="AB554" s="175" t="str">
        <f ca="1">IFERROR(__xludf.DUMMYFUNCTION("QUERY('Volunteer Survey'!C553)"),"")</f>
        <v/>
      </c>
      <c r="AC554" s="175" t="str">
        <f ca="1">IFERROR(__xludf.DUMMYFUNCTION("QUERY('Volunteer Survey'!D553)"),"")</f>
        <v/>
      </c>
      <c r="AD554" s="175" t="str">
        <f ca="1">IFERROR(__xludf.DUMMYFUNCTION("QUERY('Volunteer Survey'!E553)"),"")</f>
        <v/>
      </c>
      <c r="AE554" s="175" t="str">
        <f ca="1">IFERROR(__xludf.DUMMYFUNCTION("QUERY('Volunteer Survey'!F553)"),"")</f>
        <v/>
      </c>
      <c r="AF554" s="175" t="str">
        <f ca="1">IFERROR(__xludf.DUMMYFUNCTION("QUERY('Volunteer Survey'!G553)"),"")</f>
        <v/>
      </c>
      <c r="AG554" s="175" t="str">
        <f ca="1">IFERROR(__xludf.DUMMYFUNCTION("QUERY('Volunteer Survey'!H553)"),"")</f>
        <v/>
      </c>
      <c r="AH554" s="175" t="str">
        <f ca="1">IFERROR(__xludf.DUMMYFUNCTION("QUERY('Volunteer Survey'!I553)"),"")</f>
        <v/>
      </c>
      <c r="AI554" s="175" t="str">
        <f ca="1">IFERROR(__xludf.DUMMYFUNCTION("QUERY('Volunteer Survey'!J553)"),"")</f>
        <v/>
      </c>
      <c r="AJ554" s="175" t="str">
        <f ca="1">IFERROR(__xludf.DUMMYFUNCTION("QUERY('Volunteer Survey'!K553)"),"")</f>
        <v/>
      </c>
      <c r="AK554" s="175" t="str">
        <f ca="1">IFERROR(__xludf.DUMMYFUNCTION("QUERY('Volunteer Survey'!L553)"),"")</f>
        <v/>
      </c>
      <c r="AL554" s="175" t="str">
        <f ca="1">IFERROR(__xludf.DUMMYFUNCTION("QUERY('Volunteer Survey'!M553)"),"")</f>
        <v/>
      </c>
      <c r="AM554" s="175" t="str">
        <f ca="1">IFERROR(__xludf.DUMMYFUNCTION("QUERY('Volunteer Survey'!N553)"),"")</f>
        <v/>
      </c>
      <c r="AN554" s="175" t="str">
        <f ca="1">IFERROR(__xludf.DUMMYFUNCTION("QUERY('Volunteer Survey'!O553)"),"")</f>
        <v/>
      </c>
      <c r="AO554" s="175" t="str">
        <f ca="1">IFERROR(__xludf.DUMMYFUNCTION("QUERY('Volunteer Survey'!P553)"),"")</f>
        <v/>
      </c>
    </row>
    <row r="555" spans="1:41" ht="14">
      <c r="A555" s="49">
        <f>'Volunteer Survey'!A965</f>
        <v>0</v>
      </c>
      <c r="B555" s="49"/>
      <c r="C555" s="47"/>
      <c r="D555" s="49"/>
      <c r="E555" s="49"/>
      <c r="F555" s="49" t="b">
        <v>0</v>
      </c>
      <c r="G555" s="49"/>
      <c r="H555" s="47"/>
      <c r="I555" s="47"/>
      <c r="J555" s="49"/>
      <c r="K555" s="49"/>
      <c r="L555" s="49">
        <f>'Volunteer Survey'!B965</f>
        <v>0</v>
      </c>
      <c r="M555" s="49">
        <f>'Volunteer Survey'!E965</f>
        <v>0</v>
      </c>
      <c r="N555" s="49"/>
      <c r="O555" s="42">
        <f>'Volunteer Survey'!H966</f>
        <v>0</v>
      </c>
      <c r="P555" s="49"/>
      <c r="Q555" s="54">
        <f>'Volunteer Survey'!J965</f>
        <v>0</v>
      </c>
      <c r="R555" s="49"/>
      <c r="S555" s="49"/>
      <c r="T555" s="49">
        <f>'Volunteer Survey'!M965</f>
        <v>0</v>
      </c>
      <c r="U555" s="58"/>
      <c r="V555" s="49"/>
      <c r="W555" s="60">
        <f>'Volunteer Survey'!P965</f>
        <v>0</v>
      </c>
      <c r="X555" s="49"/>
      <c r="Y555" s="47"/>
      <c r="Z555" s="175" t="str">
        <f ca="1">IFERROR(__xludf.DUMMYFUNCTION("QUERY('Volunteer Survey'!A554)"),"")</f>
        <v/>
      </c>
      <c r="AA555" s="175" t="str">
        <f ca="1">IFERROR(__xludf.DUMMYFUNCTION("QUERY('Volunteer Survey'!B554)"),"")</f>
        <v/>
      </c>
      <c r="AB555" s="175" t="str">
        <f ca="1">IFERROR(__xludf.DUMMYFUNCTION("QUERY('Volunteer Survey'!C554)"),"")</f>
        <v/>
      </c>
      <c r="AC555" s="175" t="str">
        <f ca="1">IFERROR(__xludf.DUMMYFUNCTION("QUERY('Volunteer Survey'!D554)"),"")</f>
        <v/>
      </c>
      <c r="AD555" s="175" t="str">
        <f ca="1">IFERROR(__xludf.DUMMYFUNCTION("QUERY('Volunteer Survey'!E554)"),"")</f>
        <v/>
      </c>
      <c r="AE555" s="175" t="str">
        <f ca="1">IFERROR(__xludf.DUMMYFUNCTION("QUERY('Volunteer Survey'!F554)"),"")</f>
        <v/>
      </c>
      <c r="AF555" s="175" t="str">
        <f ca="1">IFERROR(__xludf.DUMMYFUNCTION("QUERY('Volunteer Survey'!G554)"),"")</f>
        <v/>
      </c>
      <c r="AG555" s="175" t="str">
        <f ca="1">IFERROR(__xludf.DUMMYFUNCTION("QUERY('Volunteer Survey'!H554)"),"")</f>
        <v/>
      </c>
      <c r="AH555" s="175" t="str">
        <f ca="1">IFERROR(__xludf.DUMMYFUNCTION("QUERY('Volunteer Survey'!I554)"),"")</f>
        <v/>
      </c>
      <c r="AI555" s="175" t="str">
        <f ca="1">IFERROR(__xludf.DUMMYFUNCTION("QUERY('Volunteer Survey'!J554)"),"")</f>
        <v/>
      </c>
      <c r="AJ555" s="175" t="str">
        <f ca="1">IFERROR(__xludf.DUMMYFUNCTION("QUERY('Volunteer Survey'!K554)"),"")</f>
        <v/>
      </c>
      <c r="AK555" s="175" t="str">
        <f ca="1">IFERROR(__xludf.DUMMYFUNCTION("QUERY('Volunteer Survey'!L554)"),"")</f>
        <v/>
      </c>
      <c r="AL555" s="175" t="str">
        <f ca="1">IFERROR(__xludf.DUMMYFUNCTION("QUERY('Volunteer Survey'!M554)"),"")</f>
        <v/>
      </c>
      <c r="AM555" s="175" t="str">
        <f ca="1">IFERROR(__xludf.DUMMYFUNCTION("QUERY('Volunteer Survey'!N554)"),"")</f>
        <v/>
      </c>
      <c r="AN555" s="175" t="str">
        <f ca="1">IFERROR(__xludf.DUMMYFUNCTION("QUERY('Volunteer Survey'!O554)"),"")</f>
        <v/>
      </c>
      <c r="AO555" s="175" t="str">
        <f ca="1">IFERROR(__xludf.DUMMYFUNCTION("QUERY('Volunteer Survey'!P554)"),"")</f>
        <v/>
      </c>
    </row>
    <row r="556" spans="1:41" ht="14">
      <c r="A556" s="49">
        <f>'Volunteer Survey'!A966</f>
        <v>0</v>
      </c>
      <c r="B556" s="49"/>
      <c r="C556" s="47"/>
      <c r="D556" s="49"/>
      <c r="E556" s="49"/>
      <c r="F556" s="49" t="b">
        <v>0</v>
      </c>
      <c r="G556" s="49"/>
      <c r="H556" s="47"/>
      <c r="I556" s="47"/>
      <c r="J556" s="49"/>
      <c r="K556" s="49"/>
      <c r="L556" s="49">
        <f>'Volunteer Survey'!B966</f>
        <v>0</v>
      </c>
      <c r="M556" s="49">
        <f>'Volunteer Survey'!E966</f>
        <v>0</v>
      </c>
      <c r="N556" s="49"/>
      <c r="O556" s="49" t="b">
        <v>0</v>
      </c>
      <c r="P556" s="49"/>
      <c r="Q556" s="54">
        <f>'Volunteer Survey'!J966</f>
        <v>0</v>
      </c>
      <c r="R556" s="49"/>
      <c r="S556" s="49"/>
      <c r="T556" s="49">
        <f>'Volunteer Survey'!M966</f>
        <v>0</v>
      </c>
      <c r="U556" s="58"/>
      <c r="V556" s="49"/>
      <c r="W556" s="60">
        <f>'Volunteer Survey'!P966</f>
        <v>0</v>
      </c>
      <c r="X556" s="49"/>
      <c r="Y556" s="47"/>
      <c r="Z556" s="175" t="str">
        <f ca="1">IFERROR(__xludf.DUMMYFUNCTION("QUERY('Volunteer Survey'!A555)"),"")</f>
        <v/>
      </c>
      <c r="AA556" s="175" t="str">
        <f ca="1">IFERROR(__xludf.DUMMYFUNCTION("QUERY('Volunteer Survey'!B555)"),"")</f>
        <v/>
      </c>
      <c r="AB556" s="175" t="str">
        <f ca="1">IFERROR(__xludf.DUMMYFUNCTION("QUERY('Volunteer Survey'!C555)"),"")</f>
        <v/>
      </c>
      <c r="AC556" s="175" t="str">
        <f ca="1">IFERROR(__xludf.DUMMYFUNCTION("QUERY('Volunteer Survey'!D555)"),"")</f>
        <v/>
      </c>
      <c r="AD556" s="175" t="str">
        <f ca="1">IFERROR(__xludf.DUMMYFUNCTION("QUERY('Volunteer Survey'!E555)"),"")</f>
        <v/>
      </c>
      <c r="AE556" s="175" t="str">
        <f ca="1">IFERROR(__xludf.DUMMYFUNCTION("QUERY('Volunteer Survey'!F555)"),"")</f>
        <v/>
      </c>
      <c r="AF556" s="175" t="str">
        <f ca="1">IFERROR(__xludf.DUMMYFUNCTION("QUERY('Volunteer Survey'!G555)"),"")</f>
        <v/>
      </c>
      <c r="AG556" s="175" t="str">
        <f ca="1">IFERROR(__xludf.DUMMYFUNCTION("QUERY('Volunteer Survey'!H555)"),"")</f>
        <v/>
      </c>
      <c r="AH556" s="175" t="str">
        <f ca="1">IFERROR(__xludf.DUMMYFUNCTION("QUERY('Volunteer Survey'!I555)"),"")</f>
        <v/>
      </c>
      <c r="AI556" s="175" t="str">
        <f ca="1">IFERROR(__xludf.DUMMYFUNCTION("QUERY('Volunteer Survey'!J555)"),"")</f>
        <v/>
      </c>
      <c r="AJ556" s="175" t="str">
        <f ca="1">IFERROR(__xludf.DUMMYFUNCTION("QUERY('Volunteer Survey'!K555)"),"")</f>
        <v/>
      </c>
      <c r="AK556" s="175" t="str">
        <f ca="1">IFERROR(__xludf.DUMMYFUNCTION("QUERY('Volunteer Survey'!L555)"),"")</f>
        <v/>
      </c>
      <c r="AL556" s="175" t="str">
        <f ca="1">IFERROR(__xludf.DUMMYFUNCTION("QUERY('Volunteer Survey'!M555)"),"")</f>
        <v/>
      </c>
      <c r="AM556" s="175" t="str">
        <f ca="1">IFERROR(__xludf.DUMMYFUNCTION("QUERY('Volunteer Survey'!N555)"),"")</f>
        <v/>
      </c>
      <c r="AN556" s="175" t="str">
        <f ca="1">IFERROR(__xludf.DUMMYFUNCTION("QUERY('Volunteer Survey'!O555)"),"")</f>
        <v/>
      </c>
      <c r="AO556" s="175" t="str">
        <f ca="1">IFERROR(__xludf.DUMMYFUNCTION("QUERY('Volunteer Survey'!P555)"),"")</f>
        <v/>
      </c>
    </row>
    <row r="557" spans="1:41" ht="14">
      <c r="A557" s="49">
        <f>'Volunteer Survey'!A967</f>
        <v>0</v>
      </c>
      <c r="B557" s="49"/>
      <c r="C557" s="47"/>
      <c r="D557" s="49"/>
      <c r="E557" s="49"/>
      <c r="F557" s="49" t="b">
        <v>0</v>
      </c>
      <c r="G557" s="49"/>
      <c r="H557" s="47"/>
      <c r="I557" s="47"/>
      <c r="J557" s="49"/>
      <c r="K557" s="49"/>
      <c r="L557" s="49">
        <f>'Volunteer Survey'!B967</f>
        <v>0</v>
      </c>
      <c r="M557" s="49">
        <f>'Volunteer Survey'!E967</f>
        <v>0</v>
      </c>
      <c r="N557" s="49"/>
      <c r="O557" s="49" t="b">
        <v>0</v>
      </c>
      <c r="P557" s="49"/>
      <c r="Q557" s="54">
        <f>'Volunteer Survey'!J967</f>
        <v>0</v>
      </c>
      <c r="R557" s="49"/>
      <c r="S557" s="49"/>
      <c r="T557" s="49">
        <f>'Volunteer Survey'!M967</f>
        <v>0</v>
      </c>
      <c r="U557" s="58"/>
      <c r="V557" s="49"/>
      <c r="W557" s="60">
        <f>'Volunteer Survey'!P967</f>
        <v>0</v>
      </c>
      <c r="X557" s="49"/>
      <c r="Y557" s="47"/>
      <c r="Z557" s="175" t="str">
        <f ca="1">IFERROR(__xludf.DUMMYFUNCTION("QUERY('Volunteer Survey'!A556)"),"")</f>
        <v/>
      </c>
      <c r="AA557" s="175" t="str">
        <f ca="1">IFERROR(__xludf.DUMMYFUNCTION("QUERY('Volunteer Survey'!B556)"),"")</f>
        <v/>
      </c>
      <c r="AB557" s="175" t="str">
        <f ca="1">IFERROR(__xludf.DUMMYFUNCTION("QUERY('Volunteer Survey'!C556)"),"")</f>
        <v/>
      </c>
      <c r="AC557" s="175" t="str">
        <f ca="1">IFERROR(__xludf.DUMMYFUNCTION("QUERY('Volunteer Survey'!D556)"),"")</f>
        <v/>
      </c>
      <c r="AD557" s="175" t="str">
        <f ca="1">IFERROR(__xludf.DUMMYFUNCTION("QUERY('Volunteer Survey'!E556)"),"")</f>
        <v/>
      </c>
      <c r="AE557" s="175" t="str">
        <f ca="1">IFERROR(__xludf.DUMMYFUNCTION("QUERY('Volunteer Survey'!F556)"),"")</f>
        <v/>
      </c>
      <c r="AF557" s="175" t="str">
        <f ca="1">IFERROR(__xludf.DUMMYFUNCTION("QUERY('Volunteer Survey'!G556)"),"")</f>
        <v/>
      </c>
      <c r="AG557" s="175" t="str">
        <f ca="1">IFERROR(__xludf.DUMMYFUNCTION("QUERY('Volunteer Survey'!H556)"),"")</f>
        <v/>
      </c>
      <c r="AH557" s="175" t="str">
        <f ca="1">IFERROR(__xludf.DUMMYFUNCTION("QUERY('Volunteer Survey'!I556)"),"")</f>
        <v/>
      </c>
      <c r="AI557" s="175" t="str">
        <f ca="1">IFERROR(__xludf.DUMMYFUNCTION("QUERY('Volunteer Survey'!J556)"),"")</f>
        <v/>
      </c>
      <c r="AJ557" s="175" t="str">
        <f ca="1">IFERROR(__xludf.DUMMYFUNCTION("QUERY('Volunteer Survey'!K556)"),"")</f>
        <v/>
      </c>
      <c r="AK557" s="175" t="str">
        <f ca="1">IFERROR(__xludf.DUMMYFUNCTION("QUERY('Volunteer Survey'!L556)"),"")</f>
        <v/>
      </c>
      <c r="AL557" s="175" t="str">
        <f ca="1">IFERROR(__xludf.DUMMYFUNCTION("QUERY('Volunteer Survey'!M556)"),"")</f>
        <v/>
      </c>
      <c r="AM557" s="175" t="str">
        <f ca="1">IFERROR(__xludf.DUMMYFUNCTION("QUERY('Volunteer Survey'!N556)"),"")</f>
        <v/>
      </c>
      <c r="AN557" s="175" t="str">
        <f ca="1">IFERROR(__xludf.DUMMYFUNCTION("QUERY('Volunteer Survey'!O556)"),"")</f>
        <v/>
      </c>
      <c r="AO557" s="175" t="str">
        <f ca="1">IFERROR(__xludf.DUMMYFUNCTION("QUERY('Volunteer Survey'!P556)"),"")</f>
        <v/>
      </c>
    </row>
    <row r="558" spans="1:41" ht="14">
      <c r="A558" s="49">
        <f>'Volunteer Survey'!A968</f>
        <v>0</v>
      </c>
      <c r="B558" s="49"/>
      <c r="C558" s="47"/>
      <c r="D558" s="49"/>
      <c r="E558" s="49"/>
      <c r="F558" s="49" t="b">
        <v>0</v>
      </c>
      <c r="G558" s="49"/>
      <c r="H558" s="47"/>
      <c r="I558" s="47"/>
      <c r="J558" s="49"/>
      <c r="K558" s="49"/>
      <c r="L558" s="49">
        <f>'Volunteer Survey'!B968</f>
        <v>0</v>
      </c>
      <c r="M558" s="49">
        <f>'Volunteer Survey'!E968</f>
        <v>0</v>
      </c>
      <c r="N558" s="49"/>
      <c r="O558" s="49" t="b">
        <v>0</v>
      </c>
      <c r="P558" s="49"/>
      <c r="Q558" s="54">
        <f>'Volunteer Survey'!J968</f>
        <v>0</v>
      </c>
      <c r="R558" s="49"/>
      <c r="S558" s="49"/>
      <c r="T558" s="49">
        <f>'Volunteer Survey'!M968</f>
        <v>0</v>
      </c>
      <c r="U558" s="58"/>
      <c r="V558" s="49"/>
      <c r="W558" s="60">
        <f>'Volunteer Survey'!P968</f>
        <v>0</v>
      </c>
      <c r="X558" s="49"/>
      <c r="Y558" s="47"/>
      <c r="Z558" s="175" t="str">
        <f ca="1">IFERROR(__xludf.DUMMYFUNCTION("QUERY('Volunteer Survey'!A557)"),"")</f>
        <v/>
      </c>
      <c r="AA558" s="175" t="str">
        <f ca="1">IFERROR(__xludf.DUMMYFUNCTION("QUERY('Volunteer Survey'!B557)"),"")</f>
        <v/>
      </c>
      <c r="AB558" s="175" t="str">
        <f ca="1">IFERROR(__xludf.DUMMYFUNCTION("QUERY('Volunteer Survey'!C557)"),"")</f>
        <v/>
      </c>
      <c r="AC558" s="175" t="str">
        <f ca="1">IFERROR(__xludf.DUMMYFUNCTION("QUERY('Volunteer Survey'!D557)"),"")</f>
        <v/>
      </c>
      <c r="AD558" s="175" t="str">
        <f ca="1">IFERROR(__xludf.DUMMYFUNCTION("QUERY('Volunteer Survey'!E557)"),"")</f>
        <v/>
      </c>
      <c r="AE558" s="175" t="str">
        <f ca="1">IFERROR(__xludf.DUMMYFUNCTION("QUERY('Volunteer Survey'!F557)"),"")</f>
        <v/>
      </c>
      <c r="AF558" s="175" t="str">
        <f ca="1">IFERROR(__xludf.DUMMYFUNCTION("QUERY('Volunteer Survey'!G557)"),"")</f>
        <v/>
      </c>
      <c r="AG558" s="175" t="str">
        <f ca="1">IFERROR(__xludf.DUMMYFUNCTION("QUERY('Volunteer Survey'!H557)"),"")</f>
        <v/>
      </c>
      <c r="AH558" s="175" t="str">
        <f ca="1">IFERROR(__xludf.DUMMYFUNCTION("QUERY('Volunteer Survey'!I557)"),"")</f>
        <v/>
      </c>
      <c r="AI558" s="175" t="str">
        <f ca="1">IFERROR(__xludf.DUMMYFUNCTION("QUERY('Volunteer Survey'!J557)"),"")</f>
        <v/>
      </c>
      <c r="AJ558" s="175" t="str">
        <f ca="1">IFERROR(__xludf.DUMMYFUNCTION("QUERY('Volunteer Survey'!K557)"),"")</f>
        <v/>
      </c>
      <c r="AK558" s="175" t="str">
        <f ca="1">IFERROR(__xludf.DUMMYFUNCTION("QUERY('Volunteer Survey'!L557)"),"")</f>
        <v/>
      </c>
      <c r="AL558" s="175" t="str">
        <f ca="1">IFERROR(__xludf.DUMMYFUNCTION("QUERY('Volunteer Survey'!M557)"),"")</f>
        <v/>
      </c>
      <c r="AM558" s="175" t="str">
        <f ca="1">IFERROR(__xludf.DUMMYFUNCTION("QUERY('Volunteer Survey'!N557)"),"")</f>
        <v/>
      </c>
      <c r="AN558" s="175" t="str">
        <f ca="1">IFERROR(__xludf.DUMMYFUNCTION("QUERY('Volunteer Survey'!O557)"),"")</f>
        <v/>
      </c>
      <c r="AO558" s="175" t="str">
        <f ca="1">IFERROR(__xludf.DUMMYFUNCTION("QUERY('Volunteer Survey'!P557)"),"")</f>
        <v/>
      </c>
    </row>
    <row r="559" spans="1:41" ht="14">
      <c r="A559" s="49">
        <f>'Volunteer Survey'!A969</f>
        <v>0</v>
      </c>
      <c r="B559" s="49"/>
      <c r="C559" s="47"/>
      <c r="D559" s="49"/>
      <c r="E559" s="49"/>
      <c r="F559" s="49" t="b">
        <v>0</v>
      </c>
      <c r="G559" s="49"/>
      <c r="H559" s="47"/>
      <c r="I559" s="47"/>
      <c r="J559" s="49"/>
      <c r="K559" s="49"/>
      <c r="L559" s="49">
        <f>'Volunteer Survey'!B969</f>
        <v>0</v>
      </c>
      <c r="M559" s="49">
        <f>'Volunteer Survey'!E969</f>
        <v>0</v>
      </c>
      <c r="N559" s="49"/>
      <c r="O559" s="49" t="b">
        <v>0</v>
      </c>
      <c r="P559" s="49"/>
      <c r="Q559" s="54">
        <f>'Volunteer Survey'!J969</f>
        <v>0</v>
      </c>
      <c r="R559" s="49"/>
      <c r="S559" s="49"/>
      <c r="T559" s="49">
        <f>'Volunteer Survey'!M969</f>
        <v>0</v>
      </c>
      <c r="U559" s="58"/>
      <c r="V559" s="49"/>
      <c r="W559" s="60">
        <f>'Volunteer Survey'!P969</f>
        <v>0</v>
      </c>
      <c r="X559" s="49"/>
      <c r="Y559" s="47"/>
      <c r="Z559" s="175" t="str">
        <f ca="1">IFERROR(__xludf.DUMMYFUNCTION("QUERY('Volunteer Survey'!A558)"),"")</f>
        <v/>
      </c>
      <c r="AA559" s="175" t="str">
        <f ca="1">IFERROR(__xludf.DUMMYFUNCTION("QUERY('Volunteer Survey'!B558)"),"")</f>
        <v/>
      </c>
      <c r="AB559" s="175" t="str">
        <f ca="1">IFERROR(__xludf.DUMMYFUNCTION("QUERY('Volunteer Survey'!C558)"),"")</f>
        <v/>
      </c>
      <c r="AC559" s="175" t="str">
        <f ca="1">IFERROR(__xludf.DUMMYFUNCTION("QUERY('Volunteer Survey'!D558)"),"")</f>
        <v/>
      </c>
      <c r="AD559" s="175" t="str">
        <f ca="1">IFERROR(__xludf.DUMMYFUNCTION("QUERY('Volunteer Survey'!E558)"),"")</f>
        <v/>
      </c>
      <c r="AE559" s="175" t="str">
        <f ca="1">IFERROR(__xludf.DUMMYFUNCTION("QUERY('Volunteer Survey'!F558)"),"")</f>
        <v/>
      </c>
      <c r="AF559" s="175" t="str">
        <f ca="1">IFERROR(__xludf.DUMMYFUNCTION("QUERY('Volunteer Survey'!G558)"),"")</f>
        <v/>
      </c>
      <c r="AG559" s="175" t="str">
        <f ca="1">IFERROR(__xludf.DUMMYFUNCTION("QUERY('Volunteer Survey'!H558)"),"")</f>
        <v/>
      </c>
      <c r="AH559" s="175" t="str">
        <f ca="1">IFERROR(__xludf.DUMMYFUNCTION("QUERY('Volunteer Survey'!I558)"),"")</f>
        <v/>
      </c>
      <c r="AI559" s="175" t="str">
        <f ca="1">IFERROR(__xludf.DUMMYFUNCTION("QUERY('Volunteer Survey'!J558)"),"")</f>
        <v/>
      </c>
      <c r="AJ559" s="175" t="str">
        <f ca="1">IFERROR(__xludf.DUMMYFUNCTION("QUERY('Volunteer Survey'!K558)"),"")</f>
        <v/>
      </c>
      <c r="AK559" s="175" t="str">
        <f ca="1">IFERROR(__xludf.DUMMYFUNCTION("QUERY('Volunteer Survey'!L558)"),"")</f>
        <v/>
      </c>
      <c r="AL559" s="175" t="str">
        <f ca="1">IFERROR(__xludf.DUMMYFUNCTION("QUERY('Volunteer Survey'!M558)"),"")</f>
        <v/>
      </c>
      <c r="AM559" s="175" t="str">
        <f ca="1">IFERROR(__xludf.DUMMYFUNCTION("QUERY('Volunteer Survey'!N558)"),"")</f>
        <v/>
      </c>
      <c r="AN559" s="175" t="str">
        <f ca="1">IFERROR(__xludf.DUMMYFUNCTION("QUERY('Volunteer Survey'!O558)"),"")</f>
        <v/>
      </c>
      <c r="AO559" s="175" t="str">
        <f ca="1">IFERROR(__xludf.DUMMYFUNCTION("QUERY('Volunteer Survey'!P558)"),"")</f>
        <v/>
      </c>
    </row>
    <row r="560" spans="1:41" ht="14">
      <c r="A560" s="49">
        <f>'Volunteer Survey'!A970</f>
        <v>0</v>
      </c>
      <c r="B560" s="49"/>
      <c r="C560" s="47"/>
      <c r="D560" s="49"/>
      <c r="E560" s="49"/>
      <c r="F560" s="49" t="b">
        <v>0</v>
      </c>
      <c r="G560" s="49"/>
      <c r="H560" s="47"/>
      <c r="I560" s="47"/>
      <c r="J560" s="49"/>
      <c r="K560" s="49"/>
      <c r="L560" s="49">
        <f>'Volunteer Survey'!B970</f>
        <v>0</v>
      </c>
      <c r="M560" s="49">
        <f>'Volunteer Survey'!E970</f>
        <v>0</v>
      </c>
      <c r="N560" s="49"/>
      <c r="O560" s="49" t="b">
        <v>0</v>
      </c>
      <c r="P560" s="49"/>
      <c r="Q560" s="54">
        <f>'Volunteer Survey'!J970</f>
        <v>0</v>
      </c>
      <c r="R560" s="49"/>
      <c r="S560" s="49"/>
      <c r="T560" s="49">
        <f>'Volunteer Survey'!M970</f>
        <v>0</v>
      </c>
      <c r="U560" s="58"/>
      <c r="V560" s="49"/>
      <c r="W560" s="60">
        <f>'Volunteer Survey'!P970</f>
        <v>0</v>
      </c>
      <c r="X560" s="49"/>
      <c r="Y560" s="47"/>
      <c r="Z560" s="175" t="str">
        <f ca="1">IFERROR(__xludf.DUMMYFUNCTION("QUERY('Volunteer Survey'!A559)"),"")</f>
        <v/>
      </c>
      <c r="AA560" s="175" t="str">
        <f ca="1">IFERROR(__xludf.DUMMYFUNCTION("QUERY('Volunteer Survey'!B559)"),"")</f>
        <v/>
      </c>
      <c r="AB560" s="175" t="str">
        <f ca="1">IFERROR(__xludf.DUMMYFUNCTION("QUERY('Volunteer Survey'!C559)"),"")</f>
        <v/>
      </c>
      <c r="AC560" s="175" t="str">
        <f ca="1">IFERROR(__xludf.DUMMYFUNCTION("QUERY('Volunteer Survey'!D559)"),"")</f>
        <v/>
      </c>
      <c r="AD560" s="175" t="str">
        <f ca="1">IFERROR(__xludf.DUMMYFUNCTION("QUERY('Volunteer Survey'!E559)"),"")</f>
        <v/>
      </c>
      <c r="AE560" s="175" t="str">
        <f ca="1">IFERROR(__xludf.DUMMYFUNCTION("QUERY('Volunteer Survey'!F559)"),"")</f>
        <v/>
      </c>
      <c r="AF560" s="175" t="str">
        <f ca="1">IFERROR(__xludf.DUMMYFUNCTION("QUERY('Volunteer Survey'!G559)"),"")</f>
        <v/>
      </c>
      <c r="AG560" s="175" t="str">
        <f ca="1">IFERROR(__xludf.DUMMYFUNCTION("QUERY('Volunteer Survey'!H559)"),"")</f>
        <v/>
      </c>
      <c r="AH560" s="175" t="str">
        <f ca="1">IFERROR(__xludf.DUMMYFUNCTION("QUERY('Volunteer Survey'!I559)"),"")</f>
        <v/>
      </c>
      <c r="AI560" s="175" t="str">
        <f ca="1">IFERROR(__xludf.DUMMYFUNCTION("QUERY('Volunteer Survey'!J559)"),"")</f>
        <v/>
      </c>
      <c r="AJ560" s="175" t="str">
        <f ca="1">IFERROR(__xludf.DUMMYFUNCTION("QUERY('Volunteer Survey'!K559)"),"")</f>
        <v/>
      </c>
      <c r="AK560" s="175" t="str">
        <f ca="1">IFERROR(__xludf.DUMMYFUNCTION("QUERY('Volunteer Survey'!L559)"),"")</f>
        <v/>
      </c>
      <c r="AL560" s="175" t="str">
        <f ca="1">IFERROR(__xludf.DUMMYFUNCTION("QUERY('Volunteer Survey'!M559)"),"")</f>
        <v/>
      </c>
      <c r="AM560" s="175" t="str">
        <f ca="1">IFERROR(__xludf.DUMMYFUNCTION("QUERY('Volunteer Survey'!N559)"),"")</f>
        <v/>
      </c>
      <c r="AN560" s="175" t="str">
        <f ca="1">IFERROR(__xludf.DUMMYFUNCTION("QUERY('Volunteer Survey'!O559)"),"")</f>
        <v/>
      </c>
      <c r="AO560" s="175" t="str">
        <f ca="1">IFERROR(__xludf.DUMMYFUNCTION("QUERY('Volunteer Survey'!P559)"),"")</f>
        <v/>
      </c>
    </row>
    <row r="561" spans="1:41" ht="14">
      <c r="A561" s="49">
        <f>'Volunteer Survey'!A971</f>
        <v>0</v>
      </c>
      <c r="B561" s="49"/>
      <c r="C561" s="47"/>
      <c r="D561" s="49"/>
      <c r="E561" s="49"/>
      <c r="F561" s="49" t="b">
        <v>0</v>
      </c>
      <c r="G561" s="49"/>
      <c r="H561" s="47"/>
      <c r="I561" s="47"/>
      <c r="J561" s="49"/>
      <c r="K561" s="49"/>
      <c r="L561" s="49">
        <f>'Volunteer Survey'!B971</f>
        <v>0</v>
      </c>
      <c r="M561" s="49">
        <f>'Volunteer Survey'!E971</f>
        <v>0</v>
      </c>
      <c r="N561" s="49"/>
      <c r="O561" s="49" t="b">
        <v>0</v>
      </c>
      <c r="P561" s="49"/>
      <c r="Q561" s="54">
        <f>'Volunteer Survey'!J971</f>
        <v>0</v>
      </c>
      <c r="R561" s="49"/>
      <c r="S561" s="49"/>
      <c r="T561" s="49">
        <f>'Volunteer Survey'!M971</f>
        <v>0</v>
      </c>
      <c r="U561" s="58"/>
      <c r="V561" s="49"/>
      <c r="W561" s="60">
        <f>'Volunteer Survey'!P971</f>
        <v>0</v>
      </c>
      <c r="X561" s="49"/>
      <c r="Y561" s="47"/>
      <c r="Z561" s="175" t="str">
        <f ca="1">IFERROR(__xludf.DUMMYFUNCTION("QUERY('Volunteer Survey'!A560)"),"")</f>
        <v/>
      </c>
      <c r="AA561" s="175" t="str">
        <f ca="1">IFERROR(__xludf.DUMMYFUNCTION("QUERY('Volunteer Survey'!B560)"),"")</f>
        <v/>
      </c>
      <c r="AB561" s="175" t="str">
        <f ca="1">IFERROR(__xludf.DUMMYFUNCTION("QUERY('Volunteer Survey'!C560)"),"")</f>
        <v/>
      </c>
      <c r="AC561" s="175" t="str">
        <f ca="1">IFERROR(__xludf.DUMMYFUNCTION("QUERY('Volunteer Survey'!D560)"),"")</f>
        <v/>
      </c>
      <c r="AD561" s="175" t="str">
        <f ca="1">IFERROR(__xludf.DUMMYFUNCTION("QUERY('Volunteer Survey'!E560)"),"")</f>
        <v/>
      </c>
      <c r="AE561" s="175" t="str">
        <f ca="1">IFERROR(__xludf.DUMMYFUNCTION("QUERY('Volunteer Survey'!F560)"),"")</f>
        <v/>
      </c>
      <c r="AF561" s="175" t="str">
        <f ca="1">IFERROR(__xludf.DUMMYFUNCTION("QUERY('Volunteer Survey'!G560)"),"")</f>
        <v/>
      </c>
      <c r="AG561" s="175" t="str">
        <f ca="1">IFERROR(__xludf.DUMMYFUNCTION("QUERY('Volunteer Survey'!H560)"),"")</f>
        <v/>
      </c>
      <c r="AH561" s="175" t="str">
        <f ca="1">IFERROR(__xludf.DUMMYFUNCTION("QUERY('Volunteer Survey'!I560)"),"")</f>
        <v/>
      </c>
      <c r="AI561" s="175" t="str">
        <f ca="1">IFERROR(__xludf.DUMMYFUNCTION("QUERY('Volunteer Survey'!J560)"),"")</f>
        <v/>
      </c>
      <c r="AJ561" s="175" t="str">
        <f ca="1">IFERROR(__xludf.DUMMYFUNCTION("QUERY('Volunteer Survey'!K560)"),"")</f>
        <v/>
      </c>
      <c r="AK561" s="175" t="str">
        <f ca="1">IFERROR(__xludf.DUMMYFUNCTION("QUERY('Volunteer Survey'!L560)"),"")</f>
        <v/>
      </c>
      <c r="AL561" s="175" t="str">
        <f ca="1">IFERROR(__xludf.DUMMYFUNCTION("QUERY('Volunteer Survey'!M560)"),"")</f>
        <v/>
      </c>
      <c r="AM561" s="175" t="str">
        <f ca="1">IFERROR(__xludf.DUMMYFUNCTION("QUERY('Volunteer Survey'!N560)"),"")</f>
        <v/>
      </c>
      <c r="AN561" s="175" t="str">
        <f ca="1">IFERROR(__xludf.DUMMYFUNCTION("QUERY('Volunteer Survey'!O560)"),"")</f>
        <v/>
      </c>
      <c r="AO561" s="175" t="str">
        <f ca="1">IFERROR(__xludf.DUMMYFUNCTION("QUERY('Volunteer Survey'!P560)"),"")</f>
        <v/>
      </c>
    </row>
    <row r="562" spans="1:41" ht="14">
      <c r="A562" s="49">
        <f>'Volunteer Survey'!A972</f>
        <v>0</v>
      </c>
      <c r="B562" s="49"/>
      <c r="C562" s="47"/>
      <c r="D562" s="49"/>
      <c r="E562" s="49"/>
      <c r="F562" s="49" t="b">
        <v>0</v>
      </c>
      <c r="G562" s="49"/>
      <c r="H562" s="47"/>
      <c r="I562" s="47"/>
      <c r="J562" s="49"/>
      <c r="K562" s="49"/>
      <c r="L562" s="49">
        <f>'Volunteer Survey'!B972</f>
        <v>0</v>
      </c>
      <c r="M562" s="49">
        <f>'Volunteer Survey'!E972</f>
        <v>0</v>
      </c>
      <c r="N562" s="49"/>
      <c r="O562" s="49" t="b">
        <v>0</v>
      </c>
      <c r="P562" s="49"/>
      <c r="Q562" s="54">
        <f>'Volunteer Survey'!J972</f>
        <v>0</v>
      </c>
      <c r="R562" s="49"/>
      <c r="S562" s="49"/>
      <c r="T562" s="49">
        <f>'Volunteer Survey'!M972</f>
        <v>0</v>
      </c>
      <c r="U562" s="58"/>
      <c r="V562" s="49"/>
      <c r="W562" s="60">
        <f>'Volunteer Survey'!P972</f>
        <v>0</v>
      </c>
      <c r="X562" s="49"/>
      <c r="Y562" s="47"/>
      <c r="Z562" s="175" t="str">
        <f ca="1">IFERROR(__xludf.DUMMYFUNCTION("QUERY('Volunteer Survey'!A561)"),"")</f>
        <v/>
      </c>
      <c r="AA562" s="175" t="str">
        <f ca="1">IFERROR(__xludf.DUMMYFUNCTION("QUERY('Volunteer Survey'!B561)"),"")</f>
        <v/>
      </c>
      <c r="AB562" s="175" t="str">
        <f ca="1">IFERROR(__xludf.DUMMYFUNCTION("QUERY('Volunteer Survey'!C561)"),"")</f>
        <v/>
      </c>
      <c r="AC562" s="175" t="str">
        <f ca="1">IFERROR(__xludf.DUMMYFUNCTION("QUERY('Volunteer Survey'!D561)"),"")</f>
        <v/>
      </c>
      <c r="AD562" s="175" t="str">
        <f ca="1">IFERROR(__xludf.DUMMYFUNCTION("QUERY('Volunteer Survey'!E561)"),"")</f>
        <v/>
      </c>
      <c r="AE562" s="175" t="str">
        <f ca="1">IFERROR(__xludf.DUMMYFUNCTION("QUERY('Volunteer Survey'!F561)"),"")</f>
        <v/>
      </c>
      <c r="AF562" s="175" t="str">
        <f ca="1">IFERROR(__xludf.DUMMYFUNCTION("QUERY('Volunteer Survey'!G561)"),"")</f>
        <v/>
      </c>
      <c r="AG562" s="175" t="str">
        <f ca="1">IFERROR(__xludf.DUMMYFUNCTION("QUERY('Volunteer Survey'!H561)"),"")</f>
        <v/>
      </c>
      <c r="AH562" s="175" t="str">
        <f ca="1">IFERROR(__xludf.DUMMYFUNCTION("QUERY('Volunteer Survey'!I561)"),"")</f>
        <v/>
      </c>
      <c r="AI562" s="175" t="str">
        <f ca="1">IFERROR(__xludf.DUMMYFUNCTION("QUERY('Volunteer Survey'!J561)"),"")</f>
        <v/>
      </c>
      <c r="AJ562" s="175" t="str">
        <f ca="1">IFERROR(__xludf.DUMMYFUNCTION("QUERY('Volunteer Survey'!K561)"),"")</f>
        <v/>
      </c>
      <c r="AK562" s="175" t="str">
        <f ca="1">IFERROR(__xludf.DUMMYFUNCTION("QUERY('Volunteer Survey'!L561)"),"")</f>
        <v/>
      </c>
      <c r="AL562" s="175" t="str">
        <f ca="1">IFERROR(__xludf.DUMMYFUNCTION("QUERY('Volunteer Survey'!M561)"),"")</f>
        <v/>
      </c>
      <c r="AM562" s="175" t="str">
        <f ca="1">IFERROR(__xludf.DUMMYFUNCTION("QUERY('Volunteer Survey'!N561)"),"")</f>
        <v/>
      </c>
      <c r="AN562" s="175" t="str">
        <f ca="1">IFERROR(__xludf.DUMMYFUNCTION("QUERY('Volunteer Survey'!O561)"),"")</f>
        <v/>
      </c>
      <c r="AO562" s="175" t="str">
        <f ca="1">IFERROR(__xludf.DUMMYFUNCTION("QUERY('Volunteer Survey'!P561)"),"")</f>
        <v/>
      </c>
    </row>
    <row r="563" spans="1:41" ht="14">
      <c r="A563" s="49">
        <f>'Volunteer Survey'!A973</f>
        <v>0</v>
      </c>
      <c r="B563" s="49"/>
      <c r="C563" s="47"/>
      <c r="D563" s="49"/>
      <c r="E563" s="49"/>
      <c r="F563" s="49" t="b">
        <v>0</v>
      </c>
      <c r="G563" s="49"/>
      <c r="H563" s="47"/>
      <c r="I563" s="47"/>
      <c r="J563" s="49"/>
      <c r="K563" s="49"/>
      <c r="L563" s="49">
        <f>'Volunteer Survey'!B973</f>
        <v>0</v>
      </c>
      <c r="M563" s="49">
        <f>'Volunteer Survey'!E973</f>
        <v>0</v>
      </c>
      <c r="N563" s="49"/>
      <c r="O563" s="49" t="b">
        <v>0</v>
      </c>
      <c r="P563" s="49"/>
      <c r="Q563" s="54">
        <f>'Volunteer Survey'!J973</f>
        <v>0</v>
      </c>
      <c r="R563" s="49"/>
      <c r="S563" s="49"/>
      <c r="T563" s="49">
        <f>'Volunteer Survey'!M973</f>
        <v>0</v>
      </c>
      <c r="U563" s="58"/>
      <c r="V563" s="49"/>
      <c r="W563" s="60">
        <f>'Volunteer Survey'!P973</f>
        <v>0</v>
      </c>
      <c r="X563" s="49"/>
      <c r="Y563" s="47"/>
      <c r="Z563" s="175" t="str">
        <f ca="1">IFERROR(__xludf.DUMMYFUNCTION("QUERY('Volunteer Survey'!A562)"),"")</f>
        <v/>
      </c>
      <c r="AA563" s="175" t="str">
        <f ca="1">IFERROR(__xludf.DUMMYFUNCTION("QUERY('Volunteer Survey'!B562)"),"")</f>
        <v/>
      </c>
      <c r="AB563" s="175" t="str">
        <f ca="1">IFERROR(__xludf.DUMMYFUNCTION("QUERY('Volunteer Survey'!C562)"),"")</f>
        <v/>
      </c>
      <c r="AC563" s="175" t="str">
        <f ca="1">IFERROR(__xludf.DUMMYFUNCTION("QUERY('Volunteer Survey'!D562)"),"")</f>
        <v/>
      </c>
      <c r="AD563" s="175" t="str">
        <f ca="1">IFERROR(__xludf.DUMMYFUNCTION("QUERY('Volunteer Survey'!E562)"),"")</f>
        <v/>
      </c>
      <c r="AE563" s="175" t="str">
        <f ca="1">IFERROR(__xludf.DUMMYFUNCTION("QUERY('Volunteer Survey'!F562)"),"")</f>
        <v/>
      </c>
      <c r="AF563" s="175" t="str">
        <f ca="1">IFERROR(__xludf.DUMMYFUNCTION("QUERY('Volunteer Survey'!G562)"),"")</f>
        <v/>
      </c>
      <c r="AG563" s="175" t="str">
        <f ca="1">IFERROR(__xludf.DUMMYFUNCTION("QUERY('Volunteer Survey'!H562)"),"")</f>
        <v/>
      </c>
      <c r="AH563" s="175" t="str">
        <f ca="1">IFERROR(__xludf.DUMMYFUNCTION("QUERY('Volunteer Survey'!I562)"),"")</f>
        <v/>
      </c>
      <c r="AI563" s="175" t="str">
        <f ca="1">IFERROR(__xludf.DUMMYFUNCTION("QUERY('Volunteer Survey'!J562)"),"")</f>
        <v/>
      </c>
      <c r="AJ563" s="175" t="str">
        <f ca="1">IFERROR(__xludf.DUMMYFUNCTION("QUERY('Volunteer Survey'!K562)"),"")</f>
        <v/>
      </c>
      <c r="AK563" s="175" t="str">
        <f ca="1">IFERROR(__xludf.DUMMYFUNCTION("QUERY('Volunteer Survey'!L562)"),"")</f>
        <v/>
      </c>
      <c r="AL563" s="175" t="str">
        <f ca="1">IFERROR(__xludf.DUMMYFUNCTION("QUERY('Volunteer Survey'!M562)"),"")</f>
        <v/>
      </c>
      <c r="AM563" s="175" t="str">
        <f ca="1">IFERROR(__xludf.DUMMYFUNCTION("QUERY('Volunteer Survey'!N562)"),"")</f>
        <v/>
      </c>
      <c r="AN563" s="175" t="str">
        <f ca="1">IFERROR(__xludf.DUMMYFUNCTION("QUERY('Volunteer Survey'!O562)"),"")</f>
        <v/>
      </c>
      <c r="AO563" s="175" t="str">
        <f ca="1">IFERROR(__xludf.DUMMYFUNCTION("QUERY('Volunteer Survey'!P562)"),"")</f>
        <v/>
      </c>
    </row>
    <row r="564" spans="1:41" ht="14">
      <c r="A564" s="49">
        <f>'Volunteer Survey'!A974</f>
        <v>0</v>
      </c>
      <c r="B564" s="49"/>
      <c r="C564" s="47"/>
      <c r="D564" s="49"/>
      <c r="E564" s="49"/>
      <c r="F564" s="49" t="b">
        <v>0</v>
      </c>
      <c r="G564" s="49"/>
      <c r="H564" s="47"/>
      <c r="I564" s="47"/>
      <c r="J564" s="49"/>
      <c r="K564" s="49"/>
      <c r="L564" s="49">
        <f>'Volunteer Survey'!B974</f>
        <v>0</v>
      </c>
      <c r="M564" s="49">
        <f>'Volunteer Survey'!E974</f>
        <v>0</v>
      </c>
      <c r="N564" s="49"/>
      <c r="O564" s="49" t="b">
        <v>0</v>
      </c>
      <c r="P564" s="49"/>
      <c r="Q564" s="54">
        <f>'Volunteer Survey'!J974</f>
        <v>0</v>
      </c>
      <c r="R564" s="49"/>
      <c r="S564" s="49"/>
      <c r="T564" s="49">
        <f>'Volunteer Survey'!M974</f>
        <v>0</v>
      </c>
      <c r="U564" s="58"/>
      <c r="V564" s="49"/>
      <c r="W564" s="60">
        <f>'Volunteer Survey'!P974</f>
        <v>0</v>
      </c>
      <c r="X564" s="49"/>
      <c r="Y564" s="47"/>
      <c r="Z564" s="175" t="str">
        <f ca="1">IFERROR(__xludf.DUMMYFUNCTION("QUERY('Volunteer Survey'!A563)"),"")</f>
        <v/>
      </c>
      <c r="AA564" s="175" t="str">
        <f ca="1">IFERROR(__xludf.DUMMYFUNCTION("QUERY('Volunteer Survey'!B563)"),"")</f>
        <v/>
      </c>
      <c r="AB564" s="175" t="str">
        <f ca="1">IFERROR(__xludf.DUMMYFUNCTION("QUERY('Volunteer Survey'!C563)"),"")</f>
        <v/>
      </c>
      <c r="AC564" s="175" t="str">
        <f ca="1">IFERROR(__xludf.DUMMYFUNCTION("QUERY('Volunteer Survey'!D563)"),"")</f>
        <v/>
      </c>
      <c r="AD564" s="175" t="str">
        <f ca="1">IFERROR(__xludf.DUMMYFUNCTION("QUERY('Volunteer Survey'!E563)"),"")</f>
        <v/>
      </c>
      <c r="AE564" s="175" t="str">
        <f ca="1">IFERROR(__xludf.DUMMYFUNCTION("QUERY('Volunteer Survey'!F563)"),"")</f>
        <v/>
      </c>
      <c r="AF564" s="175" t="str">
        <f ca="1">IFERROR(__xludf.DUMMYFUNCTION("QUERY('Volunteer Survey'!G563)"),"")</f>
        <v/>
      </c>
      <c r="AG564" s="175" t="str">
        <f ca="1">IFERROR(__xludf.DUMMYFUNCTION("QUERY('Volunteer Survey'!H563)"),"")</f>
        <v/>
      </c>
      <c r="AH564" s="175" t="str">
        <f ca="1">IFERROR(__xludf.DUMMYFUNCTION("QUERY('Volunteer Survey'!I563)"),"")</f>
        <v/>
      </c>
      <c r="AI564" s="175" t="str">
        <f ca="1">IFERROR(__xludf.DUMMYFUNCTION("QUERY('Volunteer Survey'!J563)"),"")</f>
        <v/>
      </c>
      <c r="AJ564" s="175" t="str">
        <f ca="1">IFERROR(__xludf.DUMMYFUNCTION("QUERY('Volunteer Survey'!K563)"),"")</f>
        <v/>
      </c>
      <c r="AK564" s="175" t="str">
        <f ca="1">IFERROR(__xludf.DUMMYFUNCTION("QUERY('Volunteer Survey'!L563)"),"")</f>
        <v/>
      </c>
      <c r="AL564" s="175" t="str">
        <f ca="1">IFERROR(__xludf.DUMMYFUNCTION("QUERY('Volunteer Survey'!M563)"),"")</f>
        <v/>
      </c>
      <c r="AM564" s="175" t="str">
        <f ca="1">IFERROR(__xludf.DUMMYFUNCTION("QUERY('Volunteer Survey'!N563)"),"")</f>
        <v/>
      </c>
      <c r="AN564" s="175" t="str">
        <f ca="1">IFERROR(__xludf.DUMMYFUNCTION("QUERY('Volunteer Survey'!O563)"),"")</f>
        <v/>
      </c>
      <c r="AO564" s="175" t="str">
        <f ca="1">IFERROR(__xludf.DUMMYFUNCTION("QUERY('Volunteer Survey'!P563)"),"")</f>
        <v/>
      </c>
    </row>
    <row r="565" spans="1:41" ht="14">
      <c r="A565" s="49">
        <f>'Volunteer Survey'!A975</f>
        <v>0</v>
      </c>
      <c r="B565" s="49"/>
      <c r="C565" s="47"/>
      <c r="D565" s="49"/>
      <c r="E565" s="49"/>
      <c r="F565" s="49" t="b">
        <v>0</v>
      </c>
      <c r="G565" s="49"/>
      <c r="H565" s="47"/>
      <c r="I565" s="47"/>
      <c r="J565" s="49"/>
      <c r="K565" s="49"/>
      <c r="L565" s="49">
        <f>'Volunteer Survey'!B975</f>
        <v>0</v>
      </c>
      <c r="M565" s="49">
        <f>'Volunteer Survey'!E975</f>
        <v>0</v>
      </c>
      <c r="N565" s="49"/>
      <c r="O565" s="49" t="b">
        <v>0</v>
      </c>
      <c r="P565" s="49"/>
      <c r="Q565" s="54">
        <f>'Volunteer Survey'!J975</f>
        <v>0</v>
      </c>
      <c r="R565" s="49"/>
      <c r="S565" s="49"/>
      <c r="T565" s="49">
        <f>'Volunteer Survey'!M975</f>
        <v>0</v>
      </c>
      <c r="U565" s="58"/>
      <c r="V565" s="49"/>
      <c r="W565" s="60">
        <f>'Volunteer Survey'!P975</f>
        <v>0</v>
      </c>
      <c r="X565" s="49"/>
      <c r="Y565" s="47"/>
      <c r="Z565" s="175" t="str">
        <f ca="1">IFERROR(__xludf.DUMMYFUNCTION("QUERY('Volunteer Survey'!A564)"),"")</f>
        <v/>
      </c>
      <c r="AA565" s="175" t="str">
        <f ca="1">IFERROR(__xludf.DUMMYFUNCTION("QUERY('Volunteer Survey'!B564)"),"")</f>
        <v/>
      </c>
      <c r="AB565" s="175" t="str">
        <f ca="1">IFERROR(__xludf.DUMMYFUNCTION("QUERY('Volunteer Survey'!C564)"),"")</f>
        <v/>
      </c>
      <c r="AC565" s="175" t="str">
        <f ca="1">IFERROR(__xludf.DUMMYFUNCTION("QUERY('Volunteer Survey'!D564)"),"")</f>
        <v/>
      </c>
      <c r="AD565" s="175" t="str">
        <f ca="1">IFERROR(__xludf.DUMMYFUNCTION("QUERY('Volunteer Survey'!E564)"),"")</f>
        <v/>
      </c>
      <c r="AE565" s="175" t="str">
        <f ca="1">IFERROR(__xludf.DUMMYFUNCTION("QUERY('Volunteer Survey'!F564)"),"")</f>
        <v/>
      </c>
      <c r="AF565" s="175" t="str">
        <f ca="1">IFERROR(__xludf.DUMMYFUNCTION("QUERY('Volunteer Survey'!G564)"),"")</f>
        <v/>
      </c>
      <c r="AG565" s="175" t="str">
        <f ca="1">IFERROR(__xludf.DUMMYFUNCTION("QUERY('Volunteer Survey'!H564)"),"")</f>
        <v/>
      </c>
      <c r="AH565" s="175" t="str">
        <f ca="1">IFERROR(__xludf.DUMMYFUNCTION("QUERY('Volunteer Survey'!I564)"),"")</f>
        <v/>
      </c>
      <c r="AI565" s="175" t="str">
        <f ca="1">IFERROR(__xludf.DUMMYFUNCTION("QUERY('Volunteer Survey'!J564)"),"")</f>
        <v/>
      </c>
      <c r="AJ565" s="175" t="str">
        <f ca="1">IFERROR(__xludf.DUMMYFUNCTION("QUERY('Volunteer Survey'!K564)"),"")</f>
        <v/>
      </c>
      <c r="AK565" s="175" t="str">
        <f ca="1">IFERROR(__xludf.DUMMYFUNCTION("QUERY('Volunteer Survey'!L564)"),"")</f>
        <v/>
      </c>
      <c r="AL565" s="175" t="str">
        <f ca="1">IFERROR(__xludf.DUMMYFUNCTION("QUERY('Volunteer Survey'!M564)"),"")</f>
        <v/>
      </c>
      <c r="AM565" s="175" t="str">
        <f ca="1">IFERROR(__xludf.DUMMYFUNCTION("QUERY('Volunteer Survey'!N564)"),"")</f>
        <v/>
      </c>
      <c r="AN565" s="175" t="str">
        <f ca="1">IFERROR(__xludf.DUMMYFUNCTION("QUERY('Volunteer Survey'!O564)"),"")</f>
        <v/>
      </c>
      <c r="AO565" s="175" t="str">
        <f ca="1">IFERROR(__xludf.DUMMYFUNCTION("QUERY('Volunteer Survey'!P564)"),"")</f>
        <v/>
      </c>
    </row>
    <row r="566" spans="1:41" ht="14">
      <c r="A566" s="49">
        <f>'Volunteer Survey'!A976</f>
        <v>0</v>
      </c>
      <c r="B566" s="49"/>
      <c r="C566" s="47"/>
      <c r="D566" s="49"/>
      <c r="E566" s="49"/>
      <c r="F566" s="49" t="b">
        <v>0</v>
      </c>
      <c r="G566" s="49"/>
      <c r="H566" s="47"/>
      <c r="I566" s="47"/>
      <c r="J566" s="49"/>
      <c r="K566" s="49"/>
      <c r="L566" s="49">
        <f>'Volunteer Survey'!B976</f>
        <v>0</v>
      </c>
      <c r="M566" s="49">
        <f>'Volunteer Survey'!E976</f>
        <v>0</v>
      </c>
      <c r="N566" s="49"/>
      <c r="O566" s="49" t="b">
        <v>0</v>
      </c>
      <c r="P566" s="49"/>
      <c r="Q566" s="54">
        <f>'Volunteer Survey'!J976</f>
        <v>0</v>
      </c>
      <c r="R566" s="49"/>
      <c r="S566" s="49"/>
      <c r="T566" s="49">
        <f>'Volunteer Survey'!M976</f>
        <v>0</v>
      </c>
      <c r="U566" s="58"/>
      <c r="V566" s="49"/>
      <c r="W566" s="60">
        <f>'Volunteer Survey'!P976</f>
        <v>0</v>
      </c>
      <c r="X566" s="49"/>
      <c r="Y566" s="47"/>
      <c r="Z566" s="175" t="str">
        <f ca="1">IFERROR(__xludf.DUMMYFUNCTION("QUERY('Volunteer Survey'!A565)"),"")</f>
        <v/>
      </c>
      <c r="AA566" s="175" t="str">
        <f ca="1">IFERROR(__xludf.DUMMYFUNCTION("QUERY('Volunteer Survey'!B565)"),"")</f>
        <v/>
      </c>
      <c r="AB566" s="175" t="str">
        <f ca="1">IFERROR(__xludf.DUMMYFUNCTION("QUERY('Volunteer Survey'!C565)"),"")</f>
        <v/>
      </c>
      <c r="AC566" s="175" t="str">
        <f ca="1">IFERROR(__xludf.DUMMYFUNCTION("QUERY('Volunteer Survey'!D565)"),"")</f>
        <v/>
      </c>
      <c r="AD566" s="175" t="str">
        <f ca="1">IFERROR(__xludf.DUMMYFUNCTION("QUERY('Volunteer Survey'!E565)"),"")</f>
        <v/>
      </c>
      <c r="AE566" s="175" t="str">
        <f ca="1">IFERROR(__xludf.DUMMYFUNCTION("QUERY('Volunteer Survey'!F565)"),"")</f>
        <v/>
      </c>
      <c r="AF566" s="175" t="str">
        <f ca="1">IFERROR(__xludf.DUMMYFUNCTION("QUERY('Volunteer Survey'!G565)"),"")</f>
        <v/>
      </c>
      <c r="AG566" s="175" t="str">
        <f ca="1">IFERROR(__xludf.DUMMYFUNCTION("QUERY('Volunteer Survey'!H565)"),"")</f>
        <v/>
      </c>
      <c r="AH566" s="175" t="str">
        <f ca="1">IFERROR(__xludf.DUMMYFUNCTION("QUERY('Volunteer Survey'!I565)"),"")</f>
        <v/>
      </c>
      <c r="AI566" s="175" t="str">
        <f ca="1">IFERROR(__xludf.DUMMYFUNCTION("QUERY('Volunteer Survey'!J565)"),"")</f>
        <v/>
      </c>
      <c r="AJ566" s="175" t="str">
        <f ca="1">IFERROR(__xludf.DUMMYFUNCTION("QUERY('Volunteer Survey'!K565)"),"")</f>
        <v/>
      </c>
      <c r="AK566" s="175" t="str">
        <f ca="1">IFERROR(__xludf.DUMMYFUNCTION("QUERY('Volunteer Survey'!L565)"),"")</f>
        <v/>
      </c>
      <c r="AL566" s="175" t="str">
        <f ca="1">IFERROR(__xludf.DUMMYFUNCTION("QUERY('Volunteer Survey'!M565)"),"")</f>
        <v/>
      </c>
      <c r="AM566" s="175" t="str">
        <f ca="1">IFERROR(__xludf.DUMMYFUNCTION("QUERY('Volunteer Survey'!N565)"),"")</f>
        <v/>
      </c>
      <c r="AN566" s="175" t="str">
        <f ca="1">IFERROR(__xludf.DUMMYFUNCTION("QUERY('Volunteer Survey'!O565)"),"")</f>
        <v/>
      </c>
      <c r="AO566" s="175" t="str">
        <f ca="1">IFERROR(__xludf.DUMMYFUNCTION("QUERY('Volunteer Survey'!P565)"),"")</f>
        <v/>
      </c>
    </row>
    <row r="567" spans="1:41" ht="14">
      <c r="A567" s="49">
        <f>'Volunteer Survey'!A977</f>
        <v>0</v>
      </c>
      <c r="B567" s="49"/>
      <c r="C567" s="47"/>
      <c r="D567" s="49"/>
      <c r="E567" s="49"/>
      <c r="F567" s="49" t="b">
        <v>0</v>
      </c>
      <c r="G567" s="49"/>
      <c r="H567" s="47"/>
      <c r="I567" s="47"/>
      <c r="J567" s="49"/>
      <c r="K567" s="49"/>
      <c r="L567" s="49">
        <f>'Volunteer Survey'!B977</f>
        <v>0</v>
      </c>
      <c r="M567" s="49">
        <f>'Volunteer Survey'!E977</f>
        <v>0</v>
      </c>
      <c r="N567" s="49"/>
      <c r="O567" s="49" t="b">
        <v>0</v>
      </c>
      <c r="P567" s="49"/>
      <c r="Q567" s="54">
        <f>'Volunteer Survey'!J977</f>
        <v>0</v>
      </c>
      <c r="R567" s="49"/>
      <c r="S567" s="49"/>
      <c r="T567" s="49">
        <f>'Volunteer Survey'!M977</f>
        <v>0</v>
      </c>
      <c r="U567" s="58"/>
      <c r="V567" s="49"/>
      <c r="W567" s="60">
        <f>'Volunteer Survey'!P977</f>
        <v>0</v>
      </c>
      <c r="X567" s="49"/>
      <c r="Y567" s="47"/>
      <c r="Z567" s="175" t="str">
        <f ca="1">IFERROR(__xludf.DUMMYFUNCTION("QUERY('Volunteer Survey'!A566)"),"")</f>
        <v/>
      </c>
      <c r="AA567" s="175" t="str">
        <f ca="1">IFERROR(__xludf.DUMMYFUNCTION("QUERY('Volunteer Survey'!B566)"),"")</f>
        <v/>
      </c>
      <c r="AB567" s="175" t="str">
        <f ca="1">IFERROR(__xludf.DUMMYFUNCTION("QUERY('Volunteer Survey'!C566)"),"")</f>
        <v/>
      </c>
      <c r="AC567" s="175" t="str">
        <f ca="1">IFERROR(__xludf.DUMMYFUNCTION("QUERY('Volunteer Survey'!D566)"),"")</f>
        <v/>
      </c>
      <c r="AD567" s="175" t="str">
        <f ca="1">IFERROR(__xludf.DUMMYFUNCTION("QUERY('Volunteer Survey'!E566)"),"")</f>
        <v/>
      </c>
      <c r="AE567" s="175" t="str">
        <f ca="1">IFERROR(__xludf.DUMMYFUNCTION("QUERY('Volunteer Survey'!F566)"),"")</f>
        <v/>
      </c>
      <c r="AF567" s="175" t="str">
        <f ca="1">IFERROR(__xludf.DUMMYFUNCTION("QUERY('Volunteer Survey'!G566)"),"")</f>
        <v/>
      </c>
      <c r="AG567" s="175" t="str">
        <f ca="1">IFERROR(__xludf.DUMMYFUNCTION("QUERY('Volunteer Survey'!H566)"),"")</f>
        <v/>
      </c>
      <c r="AH567" s="175" t="str">
        <f ca="1">IFERROR(__xludf.DUMMYFUNCTION("QUERY('Volunteer Survey'!I566)"),"")</f>
        <v/>
      </c>
      <c r="AI567" s="175" t="str">
        <f ca="1">IFERROR(__xludf.DUMMYFUNCTION("QUERY('Volunteer Survey'!J566)"),"")</f>
        <v/>
      </c>
      <c r="AJ567" s="175" t="str">
        <f ca="1">IFERROR(__xludf.DUMMYFUNCTION("QUERY('Volunteer Survey'!K566)"),"")</f>
        <v/>
      </c>
      <c r="AK567" s="175" t="str">
        <f ca="1">IFERROR(__xludf.DUMMYFUNCTION("QUERY('Volunteer Survey'!L566)"),"")</f>
        <v/>
      </c>
      <c r="AL567" s="175" t="str">
        <f ca="1">IFERROR(__xludf.DUMMYFUNCTION("QUERY('Volunteer Survey'!M566)"),"")</f>
        <v/>
      </c>
      <c r="AM567" s="175" t="str">
        <f ca="1">IFERROR(__xludf.DUMMYFUNCTION("QUERY('Volunteer Survey'!N566)"),"")</f>
        <v/>
      </c>
      <c r="AN567" s="175" t="str">
        <f ca="1">IFERROR(__xludf.DUMMYFUNCTION("QUERY('Volunteer Survey'!O566)"),"")</f>
        <v/>
      </c>
      <c r="AO567" s="175" t="str">
        <f ca="1">IFERROR(__xludf.DUMMYFUNCTION("QUERY('Volunteer Survey'!P566)"),"")</f>
        <v/>
      </c>
    </row>
    <row r="568" spans="1:41" ht="14">
      <c r="A568" s="49">
        <f>'Volunteer Survey'!A978</f>
        <v>0</v>
      </c>
      <c r="B568" s="49"/>
      <c r="C568" s="47"/>
      <c r="D568" s="49"/>
      <c r="E568" s="49"/>
      <c r="F568" s="49" t="b">
        <v>0</v>
      </c>
      <c r="G568" s="49"/>
      <c r="H568" s="47"/>
      <c r="I568" s="47"/>
      <c r="J568" s="49"/>
      <c r="K568" s="49"/>
      <c r="L568" s="49">
        <f>'Volunteer Survey'!B978</f>
        <v>0</v>
      </c>
      <c r="M568" s="49">
        <f>'Volunteer Survey'!E978</f>
        <v>0</v>
      </c>
      <c r="N568" s="49"/>
      <c r="O568" s="49" t="b">
        <v>0</v>
      </c>
      <c r="P568" s="49"/>
      <c r="Q568" s="54">
        <f>'Volunteer Survey'!J978</f>
        <v>0</v>
      </c>
      <c r="R568" s="49"/>
      <c r="S568" s="49"/>
      <c r="T568" s="49">
        <f>'Volunteer Survey'!M978</f>
        <v>0</v>
      </c>
      <c r="U568" s="58"/>
      <c r="V568" s="49"/>
      <c r="W568" s="60">
        <f>'Volunteer Survey'!P978</f>
        <v>0</v>
      </c>
      <c r="X568" s="49"/>
      <c r="Y568" s="47"/>
      <c r="Z568" s="175" t="str">
        <f ca="1">IFERROR(__xludf.DUMMYFUNCTION("QUERY('Volunteer Survey'!A567)"),"")</f>
        <v/>
      </c>
      <c r="AA568" s="175" t="str">
        <f ca="1">IFERROR(__xludf.DUMMYFUNCTION("QUERY('Volunteer Survey'!B567)"),"")</f>
        <v/>
      </c>
      <c r="AB568" s="175" t="str">
        <f ca="1">IFERROR(__xludf.DUMMYFUNCTION("QUERY('Volunteer Survey'!C567)"),"")</f>
        <v/>
      </c>
      <c r="AC568" s="175" t="str">
        <f ca="1">IFERROR(__xludf.DUMMYFUNCTION("QUERY('Volunteer Survey'!D567)"),"")</f>
        <v/>
      </c>
      <c r="AD568" s="175" t="str">
        <f ca="1">IFERROR(__xludf.DUMMYFUNCTION("QUERY('Volunteer Survey'!E567)"),"")</f>
        <v/>
      </c>
      <c r="AE568" s="175" t="str">
        <f ca="1">IFERROR(__xludf.DUMMYFUNCTION("QUERY('Volunteer Survey'!F567)"),"")</f>
        <v/>
      </c>
      <c r="AF568" s="175" t="str">
        <f ca="1">IFERROR(__xludf.DUMMYFUNCTION("QUERY('Volunteer Survey'!G567)"),"")</f>
        <v/>
      </c>
      <c r="AG568" s="175" t="str">
        <f ca="1">IFERROR(__xludf.DUMMYFUNCTION("QUERY('Volunteer Survey'!H567)"),"")</f>
        <v/>
      </c>
      <c r="AH568" s="175" t="str">
        <f ca="1">IFERROR(__xludf.DUMMYFUNCTION("QUERY('Volunteer Survey'!I567)"),"")</f>
        <v/>
      </c>
      <c r="AI568" s="175" t="str">
        <f ca="1">IFERROR(__xludf.DUMMYFUNCTION("QUERY('Volunteer Survey'!J567)"),"")</f>
        <v/>
      </c>
      <c r="AJ568" s="175" t="str">
        <f ca="1">IFERROR(__xludf.DUMMYFUNCTION("QUERY('Volunteer Survey'!K567)"),"")</f>
        <v/>
      </c>
      <c r="AK568" s="175" t="str">
        <f ca="1">IFERROR(__xludf.DUMMYFUNCTION("QUERY('Volunteer Survey'!L567)"),"")</f>
        <v/>
      </c>
      <c r="AL568" s="175" t="str">
        <f ca="1">IFERROR(__xludf.DUMMYFUNCTION("QUERY('Volunteer Survey'!M567)"),"")</f>
        <v/>
      </c>
      <c r="AM568" s="175" t="str">
        <f ca="1">IFERROR(__xludf.DUMMYFUNCTION("QUERY('Volunteer Survey'!N567)"),"")</f>
        <v/>
      </c>
      <c r="AN568" s="175" t="str">
        <f ca="1">IFERROR(__xludf.DUMMYFUNCTION("QUERY('Volunteer Survey'!O567)"),"")</f>
        <v/>
      </c>
      <c r="AO568" s="175" t="str">
        <f ca="1">IFERROR(__xludf.DUMMYFUNCTION("QUERY('Volunteer Survey'!P567)"),"")</f>
        <v/>
      </c>
    </row>
    <row r="569" spans="1:41" ht="14">
      <c r="A569" s="49">
        <f>'Volunteer Survey'!A979</f>
        <v>0</v>
      </c>
      <c r="B569" s="49"/>
      <c r="C569" s="47"/>
      <c r="D569" s="49"/>
      <c r="E569" s="49"/>
      <c r="F569" s="49" t="b">
        <v>0</v>
      </c>
      <c r="G569" s="49"/>
      <c r="H569" s="47"/>
      <c r="I569" s="47"/>
      <c r="J569" s="49"/>
      <c r="K569" s="49"/>
      <c r="L569" s="49">
        <f>'Volunteer Survey'!B979</f>
        <v>0</v>
      </c>
      <c r="M569" s="49">
        <f>'Volunteer Survey'!E979</f>
        <v>0</v>
      </c>
      <c r="N569" s="49"/>
      <c r="O569" s="49" t="b">
        <v>0</v>
      </c>
      <c r="P569" s="49"/>
      <c r="Q569" s="54">
        <f>'Volunteer Survey'!J979</f>
        <v>0</v>
      </c>
      <c r="R569" s="49"/>
      <c r="S569" s="49"/>
      <c r="T569" s="49">
        <f>'Volunteer Survey'!M979</f>
        <v>0</v>
      </c>
      <c r="U569" s="58"/>
      <c r="V569" s="49"/>
      <c r="W569" s="60">
        <f>'Volunteer Survey'!P979</f>
        <v>0</v>
      </c>
      <c r="X569" s="49"/>
      <c r="Y569" s="47"/>
      <c r="Z569" s="175" t="str">
        <f ca="1">IFERROR(__xludf.DUMMYFUNCTION("QUERY('Volunteer Survey'!A568)"),"")</f>
        <v/>
      </c>
      <c r="AA569" s="175" t="str">
        <f ca="1">IFERROR(__xludf.DUMMYFUNCTION("QUERY('Volunteer Survey'!B568)"),"")</f>
        <v/>
      </c>
      <c r="AB569" s="175" t="str">
        <f ca="1">IFERROR(__xludf.DUMMYFUNCTION("QUERY('Volunteer Survey'!C568)"),"")</f>
        <v/>
      </c>
      <c r="AC569" s="175" t="str">
        <f ca="1">IFERROR(__xludf.DUMMYFUNCTION("QUERY('Volunteer Survey'!D568)"),"")</f>
        <v/>
      </c>
      <c r="AD569" s="175" t="str">
        <f ca="1">IFERROR(__xludf.DUMMYFUNCTION("QUERY('Volunteer Survey'!E568)"),"")</f>
        <v/>
      </c>
      <c r="AE569" s="175" t="str">
        <f ca="1">IFERROR(__xludf.DUMMYFUNCTION("QUERY('Volunteer Survey'!F568)"),"")</f>
        <v/>
      </c>
      <c r="AF569" s="175" t="str">
        <f ca="1">IFERROR(__xludf.DUMMYFUNCTION("QUERY('Volunteer Survey'!G568)"),"")</f>
        <v/>
      </c>
      <c r="AG569" s="175" t="str">
        <f ca="1">IFERROR(__xludf.DUMMYFUNCTION("QUERY('Volunteer Survey'!H568)"),"")</f>
        <v/>
      </c>
      <c r="AH569" s="175" t="str">
        <f ca="1">IFERROR(__xludf.DUMMYFUNCTION("QUERY('Volunteer Survey'!I568)"),"")</f>
        <v/>
      </c>
      <c r="AI569" s="175" t="str">
        <f ca="1">IFERROR(__xludf.DUMMYFUNCTION("QUERY('Volunteer Survey'!J568)"),"")</f>
        <v/>
      </c>
      <c r="AJ569" s="175" t="str">
        <f ca="1">IFERROR(__xludf.DUMMYFUNCTION("QUERY('Volunteer Survey'!K568)"),"")</f>
        <v/>
      </c>
      <c r="AK569" s="175" t="str">
        <f ca="1">IFERROR(__xludf.DUMMYFUNCTION("QUERY('Volunteer Survey'!L568)"),"")</f>
        <v/>
      </c>
      <c r="AL569" s="175" t="str">
        <f ca="1">IFERROR(__xludf.DUMMYFUNCTION("QUERY('Volunteer Survey'!M568)"),"")</f>
        <v/>
      </c>
      <c r="AM569" s="175" t="str">
        <f ca="1">IFERROR(__xludf.DUMMYFUNCTION("QUERY('Volunteer Survey'!N568)"),"")</f>
        <v/>
      </c>
      <c r="AN569" s="175" t="str">
        <f ca="1">IFERROR(__xludf.DUMMYFUNCTION("QUERY('Volunteer Survey'!O568)"),"")</f>
        <v/>
      </c>
      <c r="AO569" s="175" t="str">
        <f ca="1">IFERROR(__xludf.DUMMYFUNCTION("QUERY('Volunteer Survey'!P568)"),"")</f>
        <v/>
      </c>
    </row>
    <row r="570" spans="1:41" ht="14">
      <c r="A570" s="49">
        <f>'Volunteer Survey'!A980</f>
        <v>0</v>
      </c>
      <c r="B570" s="49"/>
      <c r="C570" s="47"/>
      <c r="D570" s="49"/>
      <c r="E570" s="49"/>
      <c r="F570" s="49" t="b">
        <v>0</v>
      </c>
      <c r="G570" s="49"/>
      <c r="H570" s="47"/>
      <c r="I570" s="47"/>
      <c r="J570" s="49"/>
      <c r="K570" s="49"/>
      <c r="L570" s="49">
        <f>'Volunteer Survey'!B980</f>
        <v>0</v>
      </c>
      <c r="M570" s="49">
        <f>'Volunteer Survey'!E980</f>
        <v>0</v>
      </c>
      <c r="N570" s="49"/>
      <c r="O570" s="49" t="b">
        <v>0</v>
      </c>
      <c r="P570" s="49"/>
      <c r="Q570" s="54">
        <f>'Volunteer Survey'!J980</f>
        <v>0</v>
      </c>
      <c r="R570" s="49"/>
      <c r="S570" s="49"/>
      <c r="T570" s="49">
        <f>'Volunteer Survey'!M980</f>
        <v>0</v>
      </c>
      <c r="U570" s="58"/>
      <c r="V570" s="49"/>
      <c r="W570" s="60">
        <f>'Volunteer Survey'!P980</f>
        <v>0</v>
      </c>
      <c r="X570" s="49"/>
      <c r="Y570" s="47"/>
      <c r="Z570" s="175" t="str">
        <f ca="1">IFERROR(__xludf.DUMMYFUNCTION("QUERY('Volunteer Survey'!A569)"),"")</f>
        <v/>
      </c>
      <c r="AA570" s="175" t="str">
        <f ca="1">IFERROR(__xludf.DUMMYFUNCTION("QUERY('Volunteer Survey'!B569)"),"")</f>
        <v/>
      </c>
      <c r="AB570" s="175" t="str">
        <f ca="1">IFERROR(__xludf.DUMMYFUNCTION("QUERY('Volunteer Survey'!C569)"),"")</f>
        <v/>
      </c>
      <c r="AC570" s="175" t="str">
        <f ca="1">IFERROR(__xludf.DUMMYFUNCTION("QUERY('Volunteer Survey'!D569)"),"")</f>
        <v/>
      </c>
      <c r="AD570" s="175" t="str">
        <f ca="1">IFERROR(__xludf.DUMMYFUNCTION("QUERY('Volunteer Survey'!E569)"),"")</f>
        <v/>
      </c>
      <c r="AE570" s="175" t="str">
        <f ca="1">IFERROR(__xludf.DUMMYFUNCTION("QUERY('Volunteer Survey'!F569)"),"")</f>
        <v/>
      </c>
      <c r="AF570" s="175" t="str">
        <f ca="1">IFERROR(__xludf.DUMMYFUNCTION("QUERY('Volunteer Survey'!G569)"),"")</f>
        <v/>
      </c>
      <c r="AG570" s="175" t="str">
        <f ca="1">IFERROR(__xludf.DUMMYFUNCTION("QUERY('Volunteer Survey'!H569)"),"")</f>
        <v/>
      </c>
      <c r="AH570" s="175" t="str">
        <f ca="1">IFERROR(__xludf.DUMMYFUNCTION("QUERY('Volunteer Survey'!I569)"),"")</f>
        <v/>
      </c>
      <c r="AI570" s="175" t="str">
        <f ca="1">IFERROR(__xludf.DUMMYFUNCTION("QUERY('Volunteer Survey'!J569)"),"")</f>
        <v/>
      </c>
      <c r="AJ570" s="175" t="str">
        <f ca="1">IFERROR(__xludf.DUMMYFUNCTION("QUERY('Volunteer Survey'!K569)"),"")</f>
        <v/>
      </c>
      <c r="AK570" s="175" t="str">
        <f ca="1">IFERROR(__xludf.DUMMYFUNCTION("QUERY('Volunteer Survey'!L569)"),"")</f>
        <v/>
      </c>
      <c r="AL570" s="175" t="str">
        <f ca="1">IFERROR(__xludf.DUMMYFUNCTION("QUERY('Volunteer Survey'!M569)"),"")</f>
        <v/>
      </c>
      <c r="AM570" s="175" t="str">
        <f ca="1">IFERROR(__xludf.DUMMYFUNCTION("QUERY('Volunteer Survey'!N569)"),"")</f>
        <v/>
      </c>
      <c r="AN570" s="175" t="str">
        <f ca="1">IFERROR(__xludf.DUMMYFUNCTION("QUERY('Volunteer Survey'!O569)"),"")</f>
        <v/>
      </c>
      <c r="AO570" s="175" t="str">
        <f ca="1">IFERROR(__xludf.DUMMYFUNCTION("QUERY('Volunteer Survey'!P569)"),"")</f>
        <v/>
      </c>
    </row>
    <row r="571" spans="1:41" ht="14">
      <c r="A571" s="49">
        <f>'Volunteer Survey'!A981</f>
        <v>0</v>
      </c>
      <c r="B571" s="49"/>
      <c r="C571" s="47"/>
      <c r="D571" s="49"/>
      <c r="E571" s="49"/>
      <c r="F571" s="49" t="b">
        <v>0</v>
      </c>
      <c r="G571" s="49"/>
      <c r="H571" s="47"/>
      <c r="I571" s="47"/>
      <c r="J571" s="49"/>
      <c r="K571" s="49"/>
      <c r="L571" s="49">
        <f>'Volunteer Survey'!B981</f>
        <v>0</v>
      </c>
      <c r="M571" s="49"/>
      <c r="N571" s="49"/>
      <c r="O571" s="49" t="b">
        <v>0</v>
      </c>
      <c r="P571" s="49"/>
      <c r="Q571" s="54">
        <f>'Volunteer Survey'!J981</f>
        <v>0</v>
      </c>
      <c r="R571" s="49"/>
      <c r="S571" s="49"/>
      <c r="T571" s="49">
        <f>'Volunteer Survey'!M981</f>
        <v>0</v>
      </c>
      <c r="U571" s="58"/>
      <c r="V571" s="49"/>
      <c r="W571" s="60">
        <f>'Volunteer Survey'!P981</f>
        <v>0</v>
      </c>
      <c r="X571" s="49"/>
      <c r="Y571" s="47"/>
      <c r="Z571" s="175" t="str">
        <f ca="1">IFERROR(__xludf.DUMMYFUNCTION("QUERY('Volunteer Survey'!A570)"),"")</f>
        <v/>
      </c>
      <c r="AA571" s="175" t="str">
        <f ca="1">IFERROR(__xludf.DUMMYFUNCTION("QUERY('Volunteer Survey'!B570)"),"")</f>
        <v/>
      </c>
      <c r="AB571" s="175" t="str">
        <f ca="1">IFERROR(__xludf.DUMMYFUNCTION("QUERY('Volunteer Survey'!C570)"),"")</f>
        <v/>
      </c>
      <c r="AC571" s="175" t="str">
        <f ca="1">IFERROR(__xludf.DUMMYFUNCTION("QUERY('Volunteer Survey'!D570)"),"")</f>
        <v/>
      </c>
      <c r="AD571" s="175" t="str">
        <f ca="1">IFERROR(__xludf.DUMMYFUNCTION("QUERY('Volunteer Survey'!E570)"),"")</f>
        <v/>
      </c>
      <c r="AE571" s="175" t="str">
        <f ca="1">IFERROR(__xludf.DUMMYFUNCTION("QUERY('Volunteer Survey'!F570)"),"")</f>
        <v/>
      </c>
      <c r="AF571" s="175" t="str">
        <f ca="1">IFERROR(__xludf.DUMMYFUNCTION("QUERY('Volunteer Survey'!G570)"),"")</f>
        <v/>
      </c>
      <c r="AG571" s="175" t="str">
        <f ca="1">IFERROR(__xludf.DUMMYFUNCTION("QUERY('Volunteer Survey'!H570)"),"")</f>
        <v/>
      </c>
      <c r="AH571" s="175" t="str">
        <f ca="1">IFERROR(__xludf.DUMMYFUNCTION("QUERY('Volunteer Survey'!I570)"),"")</f>
        <v/>
      </c>
      <c r="AI571" s="175" t="str">
        <f ca="1">IFERROR(__xludf.DUMMYFUNCTION("QUERY('Volunteer Survey'!J570)"),"")</f>
        <v/>
      </c>
      <c r="AJ571" s="175" t="str">
        <f ca="1">IFERROR(__xludf.DUMMYFUNCTION("QUERY('Volunteer Survey'!K570)"),"")</f>
        <v/>
      </c>
      <c r="AK571" s="175" t="str">
        <f ca="1">IFERROR(__xludf.DUMMYFUNCTION("QUERY('Volunteer Survey'!L570)"),"")</f>
        <v/>
      </c>
      <c r="AL571" s="175" t="str">
        <f ca="1">IFERROR(__xludf.DUMMYFUNCTION("QUERY('Volunteer Survey'!M570)"),"")</f>
        <v/>
      </c>
      <c r="AM571" s="175" t="str">
        <f ca="1">IFERROR(__xludf.DUMMYFUNCTION("QUERY('Volunteer Survey'!N570)"),"")</f>
        <v/>
      </c>
      <c r="AN571" s="175" t="str">
        <f ca="1">IFERROR(__xludf.DUMMYFUNCTION("QUERY('Volunteer Survey'!O570)"),"")</f>
        <v/>
      </c>
      <c r="AO571" s="175" t="str">
        <f ca="1">IFERROR(__xludf.DUMMYFUNCTION("QUERY('Volunteer Survey'!P570)"),"")</f>
        <v/>
      </c>
    </row>
    <row r="572" spans="1:41" ht="14">
      <c r="A572" s="49">
        <f>'Volunteer Survey'!A982</f>
        <v>0</v>
      </c>
      <c r="B572" s="49"/>
      <c r="C572" s="47"/>
      <c r="D572" s="49"/>
      <c r="E572" s="49"/>
      <c r="F572" s="49" t="b">
        <v>0</v>
      </c>
      <c r="G572" s="49"/>
      <c r="H572" s="47"/>
      <c r="I572" s="47"/>
      <c r="J572" s="49"/>
      <c r="K572" s="49"/>
      <c r="L572" s="49">
        <f>'Volunteer Survey'!B982</f>
        <v>0</v>
      </c>
      <c r="M572" s="49"/>
      <c r="N572" s="49"/>
      <c r="O572" s="49" t="b">
        <v>0</v>
      </c>
      <c r="P572" s="49"/>
      <c r="Q572" s="54">
        <f>'Volunteer Survey'!J982</f>
        <v>0</v>
      </c>
      <c r="R572" s="49"/>
      <c r="S572" s="49"/>
      <c r="T572" s="49">
        <f>'Volunteer Survey'!M982</f>
        <v>0</v>
      </c>
      <c r="U572" s="58"/>
      <c r="V572" s="49"/>
      <c r="W572" s="60">
        <f>'Volunteer Survey'!P982</f>
        <v>0</v>
      </c>
      <c r="X572" s="49"/>
      <c r="Y572" s="47"/>
      <c r="Z572" s="175" t="str">
        <f ca="1">IFERROR(__xludf.DUMMYFUNCTION("QUERY('Volunteer Survey'!A571)"),"")</f>
        <v/>
      </c>
      <c r="AA572" s="175" t="str">
        <f ca="1">IFERROR(__xludf.DUMMYFUNCTION("QUERY('Volunteer Survey'!B571)"),"")</f>
        <v/>
      </c>
      <c r="AB572" s="175" t="str">
        <f ca="1">IFERROR(__xludf.DUMMYFUNCTION("QUERY('Volunteer Survey'!C571)"),"")</f>
        <v/>
      </c>
      <c r="AC572" s="175" t="str">
        <f ca="1">IFERROR(__xludf.DUMMYFUNCTION("QUERY('Volunteer Survey'!D571)"),"")</f>
        <v/>
      </c>
      <c r="AD572" s="175" t="str">
        <f ca="1">IFERROR(__xludf.DUMMYFUNCTION("QUERY('Volunteer Survey'!E571)"),"")</f>
        <v/>
      </c>
      <c r="AE572" s="175" t="str">
        <f ca="1">IFERROR(__xludf.DUMMYFUNCTION("QUERY('Volunteer Survey'!F571)"),"")</f>
        <v/>
      </c>
      <c r="AF572" s="175" t="str">
        <f ca="1">IFERROR(__xludf.DUMMYFUNCTION("QUERY('Volunteer Survey'!G571)"),"")</f>
        <v/>
      </c>
      <c r="AG572" s="175" t="str">
        <f ca="1">IFERROR(__xludf.DUMMYFUNCTION("QUERY('Volunteer Survey'!H571)"),"")</f>
        <v/>
      </c>
      <c r="AH572" s="175" t="str">
        <f ca="1">IFERROR(__xludf.DUMMYFUNCTION("QUERY('Volunteer Survey'!I571)"),"")</f>
        <v/>
      </c>
      <c r="AI572" s="175" t="str">
        <f ca="1">IFERROR(__xludf.DUMMYFUNCTION("QUERY('Volunteer Survey'!J571)"),"")</f>
        <v/>
      </c>
      <c r="AJ572" s="175" t="str">
        <f ca="1">IFERROR(__xludf.DUMMYFUNCTION("QUERY('Volunteer Survey'!K571)"),"")</f>
        <v/>
      </c>
      <c r="AK572" s="175" t="str">
        <f ca="1">IFERROR(__xludf.DUMMYFUNCTION("QUERY('Volunteer Survey'!L571)"),"")</f>
        <v/>
      </c>
      <c r="AL572" s="175" t="str">
        <f ca="1">IFERROR(__xludf.DUMMYFUNCTION("QUERY('Volunteer Survey'!M571)"),"")</f>
        <v/>
      </c>
      <c r="AM572" s="175" t="str">
        <f ca="1">IFERROR(__xludf.DUMMYFUNCTION("QUERY('Volunteer Survey'!N571)"),"")</f>
        <v/>
      </c>
      <c r="AN572" s="175" t="str">
        <f ca="1">IFERROR(__xludf.DUMMYFUNCTION("QUERY('Volunteer Survey'!O571)"),"")</f>
        <v/>
      </c>
      <c r="AO572" s="175" t="str">
        <f ca="1">IFERROR(__xludf.DUMMYFUNCTION("QUERY('Volunteer Survey'!P571)"),"")</f>
        <v/>
      </c>
    </row>
    <row r="573" spans="1:41" ht="14">
      <c r="A573" s="49">
        <f>'Volunteer Survey'!A983</f>
        <v>0</v>
      </c>
      <c r="B573" s="49"/>
      <c r="C573" s="47"/>
      <c r="D573" s="49"/>
      <c r="E573" s="49"/>
      <c r="F573" s="49" t="b">
        <v>0</v>
      </c>
      <c r="G573" s="49"/>
      <c r="H573" s="47"/>
      <c r="I573" s="47"/>
      <c r="J573" s="49"/>
      <c r="K573" s="49"/>
      <c r="L573" s="49">
        <f>'Volunteer Survey'!B983</f>
        <v>0</v>
      </c>
      <c r="M573" s="49"/>
      <c r="N573" s="49"/>
      <c r="O573" s="49" t="b">
        <v>0</v>
      </c>
      <c r="P573" s="49"/>
      <c r="Q573" s="54">
        <f>'Volunteer Survey'!J983</f>
        <v>0</v>
      </c>
      <c r="R573" s="49"/>
      <c r="S573" s="49"/>
      <c r="T573" s="49">
        <f>'Volunteer Survey'!M983</f>
        <v>0</v>
      </c>
      <c r="U573" s="58"/>
      <c r="V573" s="49"/>
      <c r="W573" s="60">
        <f>'Volunteer Survey'!P983</f>
        <v>0</v>
      </c>
      <c r="X573" s="49"/>
      <c r="Y573" s="47"/>
      <c r="Z573" s="175" t="str">
        <f ca="1">IFERROR(__xludf.DUMMYFUNCTION("QUERY('Volunteer Survey'!A572)"),"")</f>
        <v/>
      </c>
      <c r="AA573" s="175" t="str">
        <f ca="1">IFERROR(__xludf.DUMMYFUNCTION("QUERY('Volunteer Survey'!B572)"),"")</f>
        <v/>
      </c>
      <c r="AB573" s="175" t="str">
        <f ca="1">IFERROR(__xludf.DUMMYFUNCTION("QUERY('Volunteer Survey'!C572)"),"")</f>
        <v/>
      </c>
      <c r="AC573" s="175" t="str">
        <f ca="1">IFERROR(__xludf.DUMMYFUNCTION("QUERY('Volunteer Survey'!D572)"),"")</f>
        <v/>
      </c>
      <c r="AD573" s="175" t="str">
        <f ca="1">IFERROR(__xludf.DUMMYFUNCTION("QUERY('Volunteer Survey'!E572)"),"")</f>
        <v/>
      </c>
      <c r="AE573" s="175" t="str">
        <f ca="1">IFERROR(__xludf.DUMMYFUNCTION("QUERY('Volunteer Survey'!F572)"),"")</f>
        <v/>
      </c>
      <c r="AF573" s="175" t="str">
        <f ca="1">IFERROR(__xludf.DUMMYFUNCTION("QUERY('Volunteer Survey'!G572)"),"")</f>
        <v/>
      </c>
      <c r="AG573" s="175" t="str">
        <f ca="1">IFERROR(__xludf.DUMMYFUNCTION("QUERY('Volunteer Survey'!H572)"),"")</f>
        <v/>
      </c>
      <c r="AH573" s="175" t="str">
        <f ca="1">IFERROR(__xludf.DUMMYFUNCTION("QUERY('Volunteer Survey'!I572)"),"")</f>
        <v/>
      </c>
      <c r="AI573" s="175" t="str">
        <f ca="1">IFERROR(__xludf.DUMMYFUNCTION("QUERY('Volunteer Survey'!J572)"),"")</f>
        <v/>
      </c>
      <c r="AJ573" s="175" t="str">
        <f ca="1">IFERROR(__xludf.DUMMYFUNCTION("QUERY('Volunteer Survey'!K572)"),"")</f>
        <v/>
      </c>
      <c r="AK573" s="175" t="str">
        <f ca="1">IFERROR(__xludf.DUMMYFUNCTION("QUERY('Volunteer Survey'!L572)"),"")</f>
        <v/>
      </c>
      <c r="AL573" s="175" t="str">
        <f ca="1">IFERROR(__xludf.DUMMYFUNCTION("QUERY('Volunteer Survey'!M572)"),"")</f>
        <v/>
      </c>
      <c r="AM573" s="175" t="str">
        <f ca="1">IFERROR(__xludf.DUMMYFUNCTION("QUERY('Volunteer Survey'!N572)"),"")</f>
        <v/>
      </c>
      <c r="AN573" s="175" t="str">
        <f ca="1">IFERROR(__xludf.DUMMYFUNCTION("QUERY('Volunteer Survey'!O572)"),"")</f>
        <v/>
      </c>
      <c r="AO573" s="175" t="str">
        <f ca="1">IFERROR(__xludf.DUMMYFUNCTION("QUERY('Volunteer Survey'!P572)"),"")</f>
        <v/>
      </c>
    </row>
    <row r="574" spans="1:41" ht="14">
      <c r="A574" s="49">
        <f>'Volunteer Survey'!A984</f>
        <v>0</v>
      </c>
      <c r="B574" s="49"/>
      <c r="C574" s="47"/>
      <c r="D574" s="49"/>
      <c r="E574" s="49"/>
      <c r="F574" s="49" t="b">
        <v>0</v>
      </c>
      <c r="G574" s="49"/>
      <c r="H574" s="47"/>
      <c r="I574" s="47"/>
      <c r="J574" s="49"/>
      <c r="K574" s="49"/>
      <c r="L574" s="49">
        <f>'Volunteer Survey'!B984</f>
        <v>0</v>
      </c>
      <c r="M574" s="49"/>
      <c r="N574" s="49"/>
      <c r="O574" s="49" t="b">
        <v>0</v>
      </c>
      <c r="P574" s="49"/>
      <c r="Q574" s="54">
        <f>'Volunteer Survey'!J984</f>
        <v>0</v>
      </c>
      <c r="R574" s="49"/>
      <c r="S574" s="49"/>
      <c r="T574" s="49">
        <f>'Volunteer Survey'!M984</f>
        <v>0</v>
      </c>
      <c r="U574" s="58"/>
      <c r="V574" s="49"/>
      <c r="W574" s="60">
        <f>'Volunteer Survey'!P984</f>
        <v>0</v>
      </c>
      <c r="X574" s="49"/>
      <c r="Y574" s="47"/>
      <c r="Z574" s="175" t="str">
        <f ca="1">IFERROR(__xludf.DUMMYFUNCTION("QUERY('Volunteer Survey'!A573)"),"")</f>
        <v/>
      </c>
      <c r="AA574" s="175" t="str">
        <f ca="1">IFERROR(__xludf.DUMMYFUNCTION("QUERY('Volunteer Survey'!B573)"),"")</f>
        <v/>
      </c>
      <c r="AB574" s="175" t="str">
        <f ca="1">IFERROR(__xludf.DUMMYFUNCTION("QUERY('Volunteer Survey'!C573)"),"")</f>
        <v/>
      </c>
      <c r="AC574" s="175" t="str">
        <f ca="1">IFERROR(__xludf.DUMMYFUNCTION("QUERY('Volunteer Survey'!D573)"),"")</f>
        <v/>
      </c>
      <c r="AD574" s="175" t="str">
        <f ca="1">IFERROR(__xludf.DUMMYFUNCTION("QUERY('Volunteer Survey'!E573)"),"")</f>
        <v/>
      </c>
      <c r="AE574" s="175" t="str">
        <f ca="1">IFERROR(__xludf.DUMMYFUNCTION("QUERY('Volunteer Survey'!F573)"),"")</f>
        <v/>
      </c>
      <c r="AF574" s="175" t="str">
        <f ca="1">IFERROR(__xludf.DUMMYFUNCTION("QUERY('Volunteer Survey'!G573)"),"")</f>
        <v/>
      </c>
      <c r="AG574" s="175" t="str">
        <f ca="1">IFERROR(__xludf.DUMMYFUNCTION("QUERY('Volunteer Survey'!H573)"),"")</f>
        <v/>
      </c>
      <c r="AH574" s="175" t="str">
        <f ca="1">IFERROR(__xludf.DUMMYFUNCTION("QUERY('Volunteer Survey'!I573)"),"")</f>
        <v/>
      </c>
      <c r="AI574" s="175" t="str">
        <f ca="1">IFERROR(__xludf.DUMMYFUNCTION("QUERY('Volunteer Survey'!J573)"),"")</f>
        <v/>
      </c>
      <c r="AJ574" s="175" t="str">
        <f ca="1">IFERROR(__xludf.DUMMYFUNCTION("QUERY('Volunteer Survey'!K573)"),"")</f>
        <v/>
      </c>
      <c r="AK574" s="175" t="str">
        <f ca="1">IFERROR(__xludf.DUMMYFUNCTION("QUERY('Volunteer Survey'!L573)"),"")</f>
        <v/>
      </c>
      <c r="AL574" s="175" t="str">
        <f ca="1">IFERROR(__xludf.DUMMYFUNCTION("QUERY('Volunteer Survey'!M573)"),"")</f>
        <v/>
      </c>
      <c r="AM574" s="175" t="str">
        <f ca="1">IFERROR(__xludf.DUMMYFUNCTION("QUERY('Volunteer Survey'!N573)"),"")</f>
        <v/>
      </c>
      <c r="AN574" s="175" t="str">
        <f ca="1">IFERROR(__xludf.DUMMYFUNCTION("QUERY('Volunteer Survey'!O573)"),"")</f>
        <v/>
      </c>
      <c r="AO574" s="175" t="str">
        <f ca="1">IFERROR(__xludf.DUMMYFUNCTION("QUERY('Volunteer Survey'!P573)"),"")</f>
        <v/>
      </c>
    </row>
    <row r="575" spans="1:41" ht="14">
      <c r="A575" s="49">
        <f>'Volunteer Survey'!A985</f>
        <v>0</v>
      </c>
      <c r="B575" s="49"/>
      <c r="C575" s="47"/>
      <c r="D575" s="49"/>
      <c r="E575" s="49"/>
      <c r="F575" s="49" t="b">
        <v>0</v>
      </c>
      <c r="G575" s="49"/>
      <c r="H575" s="47"/>
      <c r="I575" s="47"/>
      <c r="J575" s="49"/>
      <c r="K575" s="49"/>
      <c r="L575" s="49">
        <f>'Volunteer Survey'!B985</f>
        <v>0</v>
      </c>
      <c r="M575" s="49"/>
      <c r="N575" s="49"/>
      <c r="O575" s="49" t="b">
        <v>0</v>
      </c>
      <c r="P575" s="49"/>
      <c r="Q575" s="54">
        <f>'Volunteer Survey'!J985</f>
        <v>0</v>
      </c>
      <c r="R575" s="49"/>
      <c r="S575" s="49"/>
      <c r="T575" s="49">
        <f>'Volunteer Survey'!M985</f>
        <v>0</v>
      </c>
      <c r="U575" s="58"/>
      <c r="V575" s="49"/>
      <c r="W575" s="60">
        <f>'Volunteer Survey'!P985</f>
        <v>0</v>
      </c>
      <c r="X575" s="49"/>
      <c r="Y575" s="47"/>
      <c r="Z575" s="175" t="str">
        <f ca="1">IFERROR(__xludf.DUMMYFUNCTION("QUERY('Volunteer Survey'!A574)"),"")</f>
        <v/>
      </c>
      <c r="AA575" s="175" t="str">
        <f ca="1">IFERROR(__xludf.DUMMYFUNCTION("QUERY('Volunteer Survey'!B574)"),"")</f>
        <v/>
      </c>
      <c r="AB575" s="175" t="str">
        <f ca="1">IFERROR(__xludf.DUMMYFUNCTION("QUERY('Volunteer Survey'!C574)"),"")</f>
        <v/>
      </c>
      <c r="AC575" s="175" t="str">
        <f ca="1">IFERROR(__xludf.DUMMYFUNCTION("QUERY('Volunteer Survey'!D574)"),"")</f>
        <v/>
      </c>
      <c r="AD575" s="175" t="str">
        <f ca="1">IFERROR(__xludf.DUMMYFUNCTION("QUERY('Volunteer Survey'!E574)"),"")</f>
        <v/>
      </c>
      <c r="AE575" s="175" t="str">
        <f ca="1">IFERROR(__xludf.DUMMYFUNCTION("QUERY('Volunteer Survey'!F574)"),"")</f>
        <v/>
      </c>
      <c r="AF575" s="175" t="str">
        <f ca="1">IFERROR(__xludf.DUMMYFUNCTION("QUERY('Volunteer Survey'!G574)"),"")</f>
        <v/>
      </c>
      <c r="AG575" s="175" t="str">
        <f ca="1">IFERROR(__xludf.DUMMYFUNCTION("QUERY('Volunteer Survey'!H574)"),"")</f>
        <v/>
      </c>
      <c r="AH575" s="175" t="str">
        <f ca="1">IFERROR(__xludf.DUMMYFUNCTION("QUERY('Volunteer Survey'!I574)"),"")</f>
        <v/>
      </c>
      <c r="AI575" s="175" t="str">
        <f ca="1">IFERROR(__xludf.DUMMYFUNCTION("QUERY('Volunteer Survey'!J574)"),"")</f>
        <v/>
      </c>
      <c r="AJ575" s="175" t="str">
        <f ca="1">IFERROR(__xludf.DUMMYFUNCTION("QUERY('Volunteer Survey'!K574)"),"")</f>
        <v/>
      </c>
      <c r="AK575" s="175" t="str">
        <f ca="1">IFERROR(__xludf.DUMMYFUNCTION("QUERY('Volunteer Survey'!L574)"),"")</f>
        <v/>
      </c>
      <c r="AL575" s="175" t="str">
        <f ca="1">IFERROR(__xludf.DUMMYFUNCTION("QUERY('Volunteer Survey'!M574)"),"")</f>
        <v/>
      </c>
      <c r="AM575" s="175" t="str">
        <f ca="1">IFERROR(__xludf.DUMMYFUNCTION("QUERY('Volunteer Survey'!N574)"),"")</f>
        <v/>
      </c>
      <c r="AN575" s="175" t="str">
        <f ca="1">IFERROR(__xludf.DUMMYFUNCTION("QUERY('Volunteer Survey'!O574)"),"")</f>
        <v/>
      </c>
      <c r="AO575" s="175" t="str">
        <f ca="1">IFERROR(__xludf.DUMMYFUNCTION("QUERY('Volunteer Survey'!P574)"),"")</f>
        <v/>
      </c>
    </row>
    <row r="576" spans="1:41" ht="14">
      <c r="A576" s="49">
        <f>'Volunteer Survey'!A986</f>
        <v>0</v>
      </c>
      <c r="B576" s="49"/>
      <c r="C576" s="47"/>
      <c r="D576" s="49"/>
      <c r="E576" s="49"/>
      <c r="F576" s="49" t="b">
        <v>0</v>
      </c>
      <c r="G576" s="49"/>
      <c r="H576" s="47"/>
      <c r="I576" s="47"/>
      <c r="J576" s="49"/>
      <c r="K576" s="49"/>
      <c r="L576" s="49">
        <f>'Volunteer Survey'!B986</f>
        <v>0</v>
      </c>
      <c r="M576" s="49"/>
      <c r="N576" s="49"/>
      <c r="O576" s="49" t="b">
        <v>0</v>
      </c>
      <c r="P576" s="49"/>
      <c r="Q576" s="54">
        <f>'Volunteer Survey'!J986</f>
        <v>0</v>
      </c>
      <c r="R576" s="49"/>
      <c r="S576" s="49"/>
      <c r="T576" s="49">
        <f>'Volunteer Survey'!M986</f>
        <v>0</v>
      </c>
      <c r="U576" s="58"/>
      <c r="V576" s="49"/>
      <c r="W576" s="60">
        <f>'Volunteer Survey'!P986</f>
        <v>0</v>
      </c>
      <c r="X576" s="49"/>
      <c r="Y576" s="47"/>
      <c r="Z576" s="175" t="str">
        <f ca="1">IFERROR(__xludf.DUMMYFUNCTION("QUERY('Volunteer Survey'!A575)"),"")</f>
        <v/>
      </c>
      <c r="AA576" s="175" t="str">
        <f ca="1">IFERROR(__xludf.DUMMYFUNCTION("QUERY('Volunteer Survey'!B575)"),"")</f>
        <v/>
      </c>
      <c r="AB576" s="175" t="str">
        <f ca="1">IFERROR(__xludf.DUMMYFUNCTION("QUERY('Volunteer Survey'!C575)"),"")</f>
        <v/>
      </c>
      <c r="AC576" s="175" t="str">
        <f ca="1">IFERROR(__xludf.DUMMYFUNCTION("QUERY('Volunteer Survey'!D575)"),"")</f>
        <v/>
      </c>
      <c r="AD576" s="175" t="str">
        <f ca="1">IFERROR(__xludf.DUMMYFUNCTION("QUERY('Volunteer Survey'!E575)"),"")</f>
        <v/>
      </c>
      <c r="AE576" s="175" t="str">
        <f ca="1">IFERROR(__xludf.DUMMYFUNCTION("QUERY('Volunteer Survey'!F575)"),"")</f>
        <v/>
      </c>
      <c r="AF576" s="175" t="str">
        <f ca="1">IFERROR(__xludf.DUMMYFUNCTION("QUERY('Volunteer Survey'!G575)"),"")</f>
        <v/>
      </c>
      <c r="AG576" s="175" t="str">
        <f ca="1">IFERROR(__xludf.DUMMYFUNCTION("QUERY('Volunteer Survey'!H575)"),"")</f>
        <v/>
      </c>
      <c r="AH576" s="175" t="str">
        <f ca="1">IFERROR(__xludf.DUMMYFUNCTION("QUERY('Volunteer Survey'!I575)"),"")</f>
        <v/>
      </c>
      <c r="AI576" s="175" t="str">
        <f ca="1">IFERROR(__xludf.DUMMYFUNCTION("QUERY('Volunteer Survey'!J575)"),"")</f>
        <v/>
      </c>
      <c r="AJ576" s="175" t="str">
        <f ca="1">IFERROR(__xludf.DUMMYFUNCTION("QUERY('Volunteer Survey'!K575)"),"")</f>
        <v/>
      </c>
      <c r="AK576" s="175" t="str">
        <f ca="1">IFERROR(__xludf.DUMMYFUNCTION("QUERY('Volunteer Survey'!L575)"),"")</f>
        <v/>
      </c>
      <c r="AL576" s="175" t="str">
        <f ca="1">IFERROR(__xludf.DUMMYFUNCTION("QUERY('Volunteer Survey'!M575)"),"")</f>
        <v/>
      </c>
      <c r="AM576" s="175" t="str">
        <f ca="1">IFERROR(__xludf.DUMMYFUNCTION("QUERY('Volunteer Survey'!N575)"),"")</f>
        <v/>
      </c>
      <c r="AN576" s="175" t="str">
        <f ca="1">IFERROR(__xludf.DUMMYFUNCTION("QUERY('Volunteer Survey'!O575)"),"")</f>
        <v/>
      </c>
      <c r="AO576" s="175" t="str">
        <f ca="1">IFERROR(__xludf.DUMMYFUNCTION("QUERY('Volunteer Survey'!P575)"),"")</f>
        <v/>
      </c>
    </row>
    <row r="577" spans="1:41" ht="14">
      <c r="A577" s="49">
        <f>'Volunteer Survey'!A987</f>
        <v>0</v>
      </c>
      <c r="B577" s="49"/>
      <c r="C577" s="47"/>
      <c r="D577" s="49"/>
      <c r="E577" s="49"/>
      <c r="F577" s="49" t="b">
        <v>0</v>
      </c>
      <c r="G577" s="49"/>
      <c r="H577" s="47"/>
      <c r="I577" s="47"/>
      <c r="J577" s="49"/>
      <c r="K577" s="49"/>
      <c r="L577" s="49">
        <f>'Volunteer Survey'!B987</f>
        <v>0</v>
      </c>
      <c r="M577" s="49"/>
      <c r="N577" s="49"/>
      <c r="O577" s="49" t="b">
        <v>0</v>
      </c>
      <c r="P577" s="49"/>
      <c r="Q577" s="54">
        <f>'Volunteer Survey'!J987</f>
        <v>0</v>
      </c>
      <c r="R577" s="49"/>
      <c r="S577" s="49"/>
      <c r="T577" s="49">
        <f>'Volunteer Survey'!M987</f>
        <v>0</v>
      </c>
      <c r="U577" s="58"/>
      <c r="V577" s="49"/>
      <c r="W577" s="60">
        <f>'Volunteer Survey'!P987</f>
        <v>0</v>
      </c>
      <c r="X577" s="49"/>
      <c r="Y577" s="47"/>
      <c r="Z577" s="175" t="str">
        <f ca="1">IFERROR(__xludf.DUMMYFUNCTION("QUERY('Volunteer Survey'!A576)"),"")</f>
        <v/>
      </c>
      <c r="AA577" s="175" t="str">
        <f ca="1">IFERROR(__xludf.DUMMYFUNCTION("QUERY('Volunteer Survey'!B576)"),"")</f>
        <v/>
      </c>
      <c r="AB577" s="175" t="str">
        <f ca="1">IFERROR(__xludf.DUMMYFUNCTION("QUERY('Volunteer Survey'!C576)"),"")</f>
        <v/>
      </c>
      <c r="AC577" s="175" t="str">
        <f ca="1">IFERROR(__xludf.DUMMYFUNCTION("QUERY('Volunteer Survey'!D576)"),"")</f>
        <v/>
      </c>
      <c r="AD577" s="175" t="str">
        <f ca="1">IFERROR(__xludf.DUMMYFUNCTION("QUERY('Volunteer Survey'!E576)"),"")</f>
        <v/>
      </c>
      <c r="AE577" s="175" t="str">
        <f ca="1">IFERROR(__xludf.DUMMYFUNCTION("QUERY('Volunteer Survey'!F576)"),"")</f>
        <v/>
      </c>
      <c r="AF577" s="175" t="str">
        <f ca="1">IFERROR(__xludf.DUMMYFUNCTION("QUERY('Volunteer Survey'!G576)"),"")</f>
        <v/>
      </c>
      <c r="AG577" s="175" t="str">
        <f ca="1">IFERROR(__xludf.DUMMYFUNCTION("QUERY('Volunteer Survey'!H576)"),"")</f>
        <v/>
      </c>
      <c r="AH577" s="175" t="str">
        <f ca="1">IFERROR(__xludf.DUMMYFUNCTION("QUERY('Volunteer Survey'!I576)"),"")</f>
        <v/>
      </c>
      <c r="AI577" s="175" t="str">
        <f ca="1">IFERROR(__xludf.DUMMYFUNCTION("QUERY('Volunteer Survey'!J576)"),"")</f>
        <v/>
      </c>
      <c r="AJ577" s="175" t="str">
        <f ca="1">IFERROR(__xludf.DUMMYFUNCTION("QUERY('Volunteer Survey'!K576)"),"")</f>
        <v/>
      </c>
      <c r="AK577" s="175" t="str">
        <f ca="1">IFERROR(__xludf.DUMMYFUNCTION("QUERY('Volunteer Survey'!L576)"),"")</f>
        <v/>
      </c>
      <c r="AL577" s="175" t="str">
        <f ca="1">IFERROR(__xludf.DUMMYFUNCTION("QUERY('Volunteer Survey'!M576)"),"")</f>
        <v/>
      </c>
      <c r="AM577" s="175" t="str">
        <f ca="1">IFERROR(__xludf.DUMMYFUNCTION("QUERY('Volunteer Survey'!N576)"),"")</f>
        <v/>
      </c>
      <c r="AN577" s="175" t="str">
        <f ca="1">IFERROR(__xludf.DUMMYFUNCTION("QUERY('Volunteer Survey'!O576)"),"")</f>
        <v/>
      </c>
      <c r="AO577" s="175" t="str">
        <f ca="1">IFERROR(__xludf.DUMMYFUNCTION("QUERY('Volunteer Survey'!P576)"),"")</f>
        <v/>
      </c>
    </row>
    <row r="578" spans="1:41" ht="14">
      <c r="A578" s="49">
        <f>'Volunteer Survey'!A988</f>
        <v>0</v>
      </c>
      <c r="B578" s="49"/>
      <c r="C578" s="47"/>
      <c r="D578" s="49"/>
      <c r="E578" s="49"/>
      <c r="F578" s="49" t="b">
        <v>0</v>
      </c>
      <c r="G578" s="49"/>
      <c r="H578" s="47"/>
      <c r="I578" s="47"/>
      <c r="J578" s="49"/>
      <c r="K578" s="49"/>
      <c r="L578" s="49">
        <f>'Volunteer Survey'!B988</f>
        <v>0</v>
      </c>
      <c r="M578" s="49"/>
      <c r="N578" s="49"/>
      <c r="O578" s="49" t="b">
        <v>0</v>
      </c>
      <c r="P578" s="49"/>
      <c r="Q578" s="54">
        <f>'Volunteer Survey'!J988</f>
        <v>0</v>
      </c>
      <c r="R578" s="49"/>
      <c r="S578" s="49"/>
      <c r="T578" s="49">
        <f>'Volunteer Survey'!M988</f>
        <v>0</v>
      </c>
      <c r="U578" s="58"/>
      <c r="V578" s="49"/>
      <c r="W578" s="60">
        <f>'Volunteer Survey'!P988</f>
        <v>0</v>
      </c>
      <c r="X578" s="49"/>
      <c r="Y578" s="47"/>
      <c r="Z578" s="175" t="str">
        <f ca="1">IFERROR(__xludf.DUMMYFUNCTION("QUERY('Volunteer Survey'!A577)"),"")</f>
        <v/>
      </c>
      <c r="AA578" s="175" t="str">
        <f ca="1">IFERROR(__xludf.DUMMYFUNCTION("QUERY('Volunteer Survey'!B577)"),"")</f>
        <v/>
      </c>
      <c r="AB578" s="175" t="str">
        <f ca="1">IFERROR(__xludf.DUMMYFUNCTION("QUERY('Volunteer Survey'!C577)"),"")</f>
        <v/>
      </c>
      <c r="AC578" s="175" t="str">
        <f ca="1">IFERROR(__xludf.DUMMYFUNCTION("QUERY('Volunteer Survey'!D577)"),"")</f>
        <v/>
      </c>
      <c r="AD578" s="175" t="str">
        <f ca="1">IFERROR(__xludf.DUMMYFUNCTION("QUERY('Volunteer Survey'!E577)"),"")</f>
        <v/>
      </c>
      <c r="AE578" s="175" t="str">
        <f ca="1">IFERROR(__xludf.DUMMYFUNCTION("QUERY('Volunteer Survey'!F577)"),"")</f>
        <v/>
      </c>
      <c r="AF578" s="175" t="str">
        <f ca="1">IFERROR(__xludf.DUMMYFUNCTION("QUERY('Volunteer Survey'!G577)"),"")</f>
        <v/>
      </c>
      <c r="AG578" s="175" t="str">
        <f ca="1">IFERROR(__xludf.DUMMYFUNCTION("QUERY('Volunteer Survey'!H577)"),"")</f>
        <v/>
      </c>
      <c r="AH578" s="175" t="str">
        <f ca="1">IFERROR(__xludf.DUMMYFUNCTION("QUERY('Volunteer Survey'!I577)"),"")</f>
        <v/>
      </c>
      <c r="AI578" s="175" t="str">
        <f ca="1">IFERROR(__xludf.DUMMYFUNCTION("QUERY('Volunteer Survey'!J577)"),"")</f>
        <v/>
      </c>
      <c r="AJ578" s="175" t="str">
        <f ca="1">IFERROR(__xludf.DUMMYFUNCTION("QUERY('Volunteer Survey'!K577)"),"")</f>
        <v/>
      </c>
      <c r="AK578" s="175" t="str">
        <f ca="1">IFERROR(__xludf.DUMMYFUNCTION("QUERY('Volunteer Survey'!L577)"),"")</f>
        <v/>
      </c>
      <c r="AL578" s="175" t="str">
        <f ca="1">IFERROR(__xludf.DUMMYFUNCTION("QUERY('Volunteer Survey'!M577)"),"")</f>
        <v/>
      </c>
      <c r="AM578" s="175" t="str">
        <f ca="1">IFERROR(__xludf.DUMMYFUNCTION("QUERY('Volunteer Survey'!N577)"),"")</f>
        <v/>
      </c>
      <c r="AN578" s="175" t="str">
        <f ca="1">IFERROR(__xludf.DUMMYFUNCTION("QUERY('Volunteer Survey'!O577)"),"")</f>
        <v/>
      </c>
      <c r="AO578" s="175" t="str">
        <f ca="1">IFERROR(__xludf.DUMMYFUNCTION("QUERY('Volunteer Survey'!P577)"),"")</f>
        <v/>
      </c>
    </row>
    <row r="579" spans="1:41" ht="14">
      <c r="A579" s="49">
        <f>'Volunteer Survey'!A989</f>
        <v>0</v>
      </c>
      <c r="B579" s="49"/>
      <c r="C579" s="47"/>
      <c r="D579" s="49"/>
      <c r="E579" s="49"/>
      <c r="F579" s="49" t="b">
        <v>0</v>
      </c>
      <c r="G579" s="49"/>
      <c r="H579" s="47"/>
      <c r="I579" s="47"/>
      <c r="J579" s="49"/>
      <c r="K579" s="49"/>
      <c r="L579" s="49">
        <f>'Volunteer Survey'!B989</f>
        <v>0</v>
      </c>
      <c r="M579" s="49"/>
      <c r="N579" s="49"/>
      <c r="O579" s="49" t="b">
        <v>0</v>
      </c>
      <c r="P579" s="49"/>
      <c r="Q579" s="54">
        <f>'Volunteer Survey'!J989</f>
        <v>0</v>
      </c>
      <c r="R579" s="49"/>
      <c r="S579" s="49"/>
      <c r="T579" s="49">
        <f>'Volunteer Survey'!M989</f>
        <v>0</v>
      </c>
      <c r="U579" s="58"/>
      <c r="V579" s="49"/>
      <c r="W579" s="60">
        <f>'Volunteer Survey'!P989</f>
        <v>0</v>
      </c>
      <c r="X579" s="49"/>
      <c r="Y579" s="47"/>
      <c r="Z579" s="175" t="str">
        <f ca="1">IFERROR(__xludf.DUMMYFUNCTION("QUERY('Volunteer Survey'!A578)"),"")</f>
        <v/>
      </c>
      <c r="AA579" s="175" t="str">
        <f ca="1">IFERROR(__xludf.DUMMYFUNCTION("QUERY('Volunteer Survey'!B578)"),"")</f>
        <v/>
      </c>
      <c r="AB579" s="175" t="str">
        <f ca="1">IFERROR(__xludf.DUMMYFUNCTION("QUERY('Volunteer Survey'!C578)"),"")</f>
        <v/>
      </c>
      <c r="AC579" s="175" t="str">
        <f ca="1">IFERROR(__xludf.DUMMYFUNCTION("QUERY('Volunteer Survey'!D578)"),"")</f>
        <v/>
      </c>
      <c r="AD579" s="175" t="str">
        <f ca="1">IFERROR(__xludf.DUMMYFUNCTION("QUERY('Volunteer Survey'!E578)"),"")</f>
        <v/>
      </c>
      <c r="AE579" s="175" t="str">
        <f ca="1">IFERROR(__xludf.DUMMYFUNCTION("QUERY('Volunteer Survey'!F578)"),"")</f>
        <v/>
      </c>
      <c r="AF579" s="175" t="str">
        <f ca="1">IFERROR(__xludf.DUMMYFUNCTION("QUERY('Volunteer Survey'!G578)"),"")</f>
        <v/>
      </c>
      <c r="AG579" s="175" t="str">
        <f ca="1">IFERROR(__xludf.DUMMYFUNCTION("QUERY('Volunteer Survey'!H578)"),"")</f>
        <v/>
      </c>
      <c r="AH579" s="175" t="str">
        <f ca="1">IFERROR(__xludf.DUMMYFUNCTION("QUERY('Volunteer Survey'!I578)"),"")</f>
        <v/>
      </c>
      <c r="AI579" s="175" t="str">
        <f ca="1">IFERROR(__xludf.DUMMYFUNCTION("QUERY('Volunteer Survey'!J578)"),"")</f>
        <v/>
      </c>
      <c r="AJ579" s="175" t="str">
        <f ca="1">IFERROR(__xludf.DUMMYFUNCTION("QUERY('Volunteer Survey'!K578)"),"")</f>
        <v/>
      </c>
      <c r="AK579" s="175" t="str">
        <f ca="1">IFERROR(__xludf.DUMMYFUNCTION("QUERY('Volunteer Survey'!L578)"),"")</f>
        <v/>
      </c>
      <c r="AL579" s="175" t="str">
        <f ca="1">IFERROR(__xludf.DUMMYFUNCTION("QUERY('Volunteer Survey'!M578)"),"")</f>
        <v/>
      </c>
      <c r="AM579" s="175" t="str">
        <f ca="1">IFERROR(__xludf.DUMMYFUNCTION("QUERY('Volunteer Survey'!N578)"),"")</f>
        <v/>
      </c>
      <c r="AN579" s="175" t="str">
        <f ca="1">IFERROR(__xludf.DUMMYFUNCTION("QUERY('Volunteer Survey'!O578)"),"")</f>
        <v/>
      </c>
      <c r="AO579" s="175" t="str">
        <f ca="1">IFERROR(__xludf.DUMMYFUNCTION("QUERY('Volunteer Survey'!P578)"),"")</f>
        <v/>
      </c>
    </row>
    <row r="580" spans="1:41" ht="14">
      <c r="A580" s="49">
        <f>'Volunteer Survey'!A990</f>
        <v>0</v>
      </c>
      <c r="B580" s="49"/>
      <c r="C580" s="47"/>
      <c r="D580" s="49"/>
      <c r="E580" s="49"/>
      <c r="F580" s="49" t="b">
        <v>0</v>
      </c>
      <c r="G580" s="49"/>
      <c r="H580" s="47"/>
      <c r="I580" s="47"/>
      <c r="J580" s="49"/>
      <c r="K580" s="49"/>
      <c r="L580" s="49">
        <f>'Volunteer Survey'!B990</f>
        <v>0</v>
      </c>
      <c r="M580" s="49"/>
      <c r="N580" s="49"/>
      <c r="O580" s="49" t="b">
        <v>0</v>
      </c>
      <c r="P580" s="49"/>
      <c r="Q580" s="54">
        <f>'Volunteer Survey'!J990</f>
        <v>0</v>
      </c>
      <c r="R580" s="49"/>
      <c r="S580" s="49"/>
      <c r="T580" s="49">
        <f>'Volunteer Survey'!M990</f>
        <v>0</v>
      </c>
      <c r="U580" s="58"/>
      <c r="V580" s="49"/>
      <c r="W580" s="60">
        <f>'Volunteer Survey'!P990</f>
        <v>0</v>
      </c>
      <c r="X580" s="49"/>
      <c r="Y580" s="47"/>
      <c r="Z580" s="175" t="str">
        <f ca="1">IFERROR(__xludf.DUMMYFUNCTION("QUERY('Volunteer Survey'!A579)"),"")</f>
        <v/>
      </c>
      <c r="AA580" s="175" t="str">
        <f ca="1">IFERROR(__xludf.DUMMYFUNCTION("QUERY('Volunteer Survey'!B579)"),"")</f>
        <v/>
      </c>
      <c r="AB580" s="175" t="str">
        <f ca="1">IFERROR(__xludf.DUMMYFUNCTION("QUERY('Volunteer Survey'!C579)"),"")</f>
        <v/>
      </c>
      <c r="AC580" s="175" t="str">
        <f ca="1">IFERROR(__xludf.DUMMYFUNCTION("QUERY('Volunteer Survey'!D579)"),"")</f>
        <v/>
      </c>
      <c r="AD580" s="175" t="str">
        <f ca="1">IFERROR(__xludf.DUMMYFUNCTION("QUERY('Volunteer Survey'!E579)"),"")</f>
        <v/>
      </c>
      <c r="AE580" s="175" t="str">
        <f ca="1">IFERROR(__xludf.DUMMYFUNCTION("QUERY('Volunteer Survey'!F579)"),"")</f>
        <v/>
      </c>
      <c r="AF580" s="175" t="str">
        <f ca="1">IFERROR(__xludf.DUMMYFUNCTION("QUERY('Volunteer Survey'!G579)"),"")</f>
        <v/>
      </c>
      <c r="AG580" s="175" t="str">
        <f ca="1">IFERROR(__xludf.DUMMYFUNCTION("QUERY('Volunteer Survey'!H579)"),"")</f>
        <v/>
      </c>
      <c r="AH580" s="175" t="str">
        <f ca="1">IFERROR(__xludf.DUMMYFUNCTION("QUERY('Volunteer Survey'!I579)"),"")</f>
        <v/>
      </c>
      <c r="AI580" s="175" t="str">
        <f ca="1">IFERROR(__xludf.DUMMYFUNCTION("QUERY('Volunteer Survey'!J579)"),"")</f>
        <v/>
      </c>
      <c r="AJ580" s="175" t="str">
        <f ca="1">IFERROR(__xludf.DUMMYFUNCTION("QUERY('Volunteer Survey'!K579)"),"")</f>
        <v/>
      </c>
      <c r="AK580" s="175" t="str">
        <f ca="1">IFERROR(__xludf.DUMMYFUNCTION("QUERY('Volunteer Survey'!L579)"),"")</f>
        <v/>
      </c>
      <c r="AL580" s="175" t="str">
        <f ca="1">IFERROR(__xludf.DUMMYFUNCTION("QUERY('Volunteer Survey'!M579)"),"")</f>
        <v/>
      </c>
      <c r="AM580" s="175" t="str">
        <f ca="1">IFERROR(__xludf.DUMMYFUNCTION("QUERY('Volunteer Survey'!N579)"),"")</f>
        <v/>
      </c>
      <c r="AN580" s="175" t="str">
        <f ca="1">IFERROR(__xludf.DUMMYFUNCTION("QUERY('Volunteer Survey'!O579)"),"")</f>
        <v/>
      </c>
      <c r="AO580" s="175" t="str">
        <f ca="1">IFERROR(__xludf.DUMMYFUNCTION("QUERY('Volunteer Survey'!P579)"),"")</f>
        <v/>
      </c>
    </row>
    <row r="581" spans="1:41" ht="14">
      <c r="A581" s="49">
        <f>'Volunteer Survey'!A991</f>
        <v>0</v>
      </c>
      <c r="B581" s="49"/>
      <c r="C581" s="47"/>
      <c r="D581" s="49"/>
      <c r="E581" s="49"/>
      <c r="F581" s="49" t="b">
        <v>0</v>
      </c>
      <c r="G581" s="49"/>
      <c r="H581" s="47"/>
      <c r="I581" s="47"/>
      <c r="J581" s="49"/>
      <c r="K581" s="49"/>
      <c r="L581" s="49">
        <f>'Volunteer Survey'!B991</f>
        <v>0</v>
      </c>
      <c r="M581" s="49"/>
      <c r="N581" s="49"/>
      <c r="O581" s="49" t="b">
        <v>0</v>
      </c>
      <c r="P581" s="49"/>
      <c r="Q581" s="54">
        <f>'Volunteer Survey'!J991</f>
        <v>0</v>
      </c>
      <c r="R581" s="49"/>
      <c r="S581" s="49"/>
      <c r="T581" s="49">
        <f>'Volunteer Survey'!M991</f>
        <v>0</v>
      </c>
      <c r="U581" s="58"/>
      <c r="V581" s="49"/>
      <c r="W581" s="60">
        <f>'Volunteer Survey'!P991</f>
        <v>0</v>
      </c>
      <c r="X581" s="49"/>
      <c r="Y581" s="47"/>
      <c r="Z581" s="175" t="str">
        <f ca="1">IFERROR(__xludf.DUMMYFUNCTION("QUERY('Volunteer Survey'!A580)"),"")</f>
        <v/>
      </c>
      <c r="AA581" s="175" t="str">
        <f ca="1">IFERROR(__xludf.DUMMYFUNCTION("QUERY('Volunteer Survey'!B580)"),"")</f>
        <v/>
      </c>
      <c r="AB581" s="175" t="str">
        <f ca="1">IFERROR(__xludf.DUMMYFUNCTION("QUERY('Volunteer Survey'!C580)"),"")</f>
        <v/>
      </c>
      <c r="AC581" s="175" t="str">
        <f ca="1">IFERROR(__xludf.DUMMYFUNCTION("QUERY('Volunteer Survey'!D580)"),"")</f>
        <v/>
      </c>
      <c r="AD581" s="175" t="str">
        <f ca="1">IFERROR(__xludf.DUMMYFUNCTION("QUERY('Volunteer Survey'!E580)"),"")</f>
        <v/>
      </c>
      <c r="AE581" s="175" t="str">
        <f ca="1">IFERROR(__xludf.DUMMYFUNCTION("QUERY('Volunteer Survey'!F580)"),"")</f>
        <v/>
      </c>
      <c r="AF581" s="175" t="str">
        <f ca="1">IFERROR(__xludf.DUMMYFUNCTION("QUERY('Volunteer Survey'!G580)"),"")</f>
        <v/>
      </c>
      <c r="AG581" s="175" t="str">
        <f ca="1">IFERROR(__xludf.DUMMYFUNCTION("QUERY('Volunteer Survey'!H580)"),"")</f>
        <v/>
      </c>
      <c r="AH581" s="175" t="str">
        <f ca="1">IFERROR(__xludf.DUMMYFUNCTION("QUERY('Volunteer Survey'!I580)"),"")</f>
        <v/>
      </c>
      <c r="AI581" s="175" t="str">
        <f ca="1">IFERROR(__xludf.DUMMYFUNCTION("QUERY('Volunteer Survey'!J580)"),"")</f>
        <v/>
      </c>
      <c r="AJ581" s="175" t="str">
        <f ca="1">IFERROR(__xludf.DUMMYFUNCTION("QUERY('Volunteer Survey'!K580)"),"")</f>
        <v/>
      </c>
      <c r="AK581" s="175" t="str">
        <f ca="1">IFERROR(__xludf.DUMMYFUNCTION("QUERY('Volunteer Survey'!L580)"),"")</f>
        <v/>
      </c>
      <c r="AL581" s="175" t="str">
        <f ca="1">IFERROR(__xludf.DUMMYFUNCTION("QUERY('Volunteer Survey'!M580)"),"")</f>
        <v/>
      </c>
      <c r="AM581" s="175" t="str">
        <f ca="1">IFERROR(__xludf.DUMMYFUNCTION("QUERY('Volunteer Survey'!N580)"),"")</f>
        <v/>
      </c>
      <c r="AN581" s="175" t="str">
        <f ca="1">IFERROR(__xludf.DUMMYFUNCTION("QUERY('Volunteer Survey'!O580)"),"")</f>
        <v/>
      </c>
      <c r="AO581" s="175" t="str">
        <f ca="1">IFERROR(__xludf.DUMMYFUNCTION("QUERY('Volunteer Survey'!P580)"),"")</f>
        <v/>
      </c>
    </row>
    <row r="582" spans="1:41" ht="14">
      <c r="A582" s="49">
        <f>'Volunteer Survey'!A992</f>
        <v>0</v>
      </c>
      <c r="B582" s="49"/>
      <c r="C582" s="47"/>
      <c r="D582" s="49"/>
      <c r="E582" s="49"/>
      <c r="F582" s="49" t="b">
        <v>0</v>
      </c>
      <c r="G582" s="49"/>
      <c r="H582" s="47"/>
      <c r="I582" s="47"/>
      <c r="J582" s="49"/>
      <c r="K582" s="49"/>
      <c r="L582" s="49">
        <f>'Volunteer Survey'!B992</f>
        <v>0</v>
      </c>
      <c r="M582" s="49"/>
      <c r="N582" s="49"/>
      <c r="O582" s="49" t="b">
        <v>0</v>
      </c>
      <c r="P582" s="49"/>
      <c r="Q582" s="54">
        <f>'Volunteer Survey'!J992</f>
        <v>0</v>
      </c>
      <c r="R582" s="49"/>
      <c r="S582" s="49"/>
      <c r="T582" s="49">
        <f>'Volunteer Survey'!M992</f>
        <v>0</v>
      </c>
      <c r="U582" s="58"/>
      <c r="V582" s="49"/>
      <c r="W582" s="60">
        <f>'Volunteer Survey'!P992</f>
        <v>0</v>
      </c>
      <c r="X582" s="49"/>
      <c r="Y582" s="47"/>
      <c r="Z582" s="175" t="str">
        <f ca="1">IFERROR(__xludf.DUMMYFUNCTION("QUERY('Volunteer Survey'!A581)"),"")</f>
        <v/>
      </c>
      <c r="AA582" s="175" t="str">
        <f ca="1">IFERROR(__xludf.DUMMYFUNCTION("QUERY('Volunteer Survey'!B581)"),"")</f>
        <v/>
      </c>
      <c r="AB582" s="175" t="str">
        <f ca="1">IFERROR(__xludf.DUMMYFUNCTION("QUERY('Volunteer Survey'!C581)"),"")</f>
        <v/>
      </c>
      <c r="AC582" s="175" t="str">
        <f ca="1">IFERROR(__xludf.DUMMYFUNCTION("QUERY('Volunteer Survey'!D581)"),"")</f>
        <v/>
      </c>
      <c r="AD582" s="175" t="str">
        <f ca="1">IFERROR(__xludf.DUMMYFUNCTION("QUERY('Volunteer Survey'!E581)"),"")</f>
        <v/>
      </c>
      <c r="AE582" s="175" t="str">
        <f ca="1">IFERROR(__xludf.DUMMYFUNCTION("QUERY('Volunteer Survey'!F581)"),"")</f>
        <v/>
      </c>
      <c r="AF582" s="175" t="str">
        <f ca="1">IFERROR(__xludf.DUMMYFUNCTION("QUERY('Volunteer Survey'!G581)"),"")</f>
        <v/>
      </c>
      <c r="AG582" s="175" t="str">
        <f ca="1">IFERROR(__xludf.DUMMYFUNCTION("QUERY('Volunteer Survey'!H581)"),"")</f>
        <v/>
      </c>
      <c r="AH582" s="175" t="str">
        <f ca="1">IFERROR(__xludf.DUMMYFUNCTION("QUERY('Volunteer Survey'!I581)"),"")</f>
        <v/>
      </c>
      <c r="AI582" s="175" t="str">
        <f ca="1">IFERROR(__xludf.DUMMYFUNCTION("QUERY('Volunteer Survey'!J581)"),"")</f>
        <v/>
      </c>
      <c r="AJ582" s="175" t="str">
        <f ca="1">IFERROR(__xludf.DUMMYFUNCTION("QUERY('Volunteer Survey'!K581)"),"")</f>
        <v/>
      </c>
      <c r="AK582" s="175" t="str">
        <f ca="1">IFERROR(__xludf.DUMMYFUNCTION("QUERY('Volunteer Survey'!L581)"),"")</f>
        <v/>
      </c>
      <c r="AL582" s="175" t="str">
        <f ca="1">IFERROR(__xludf.DUMMYFUNCTION("QUERY('Volunteer Survey'!M581)"),"")</f>
        <v/>
      </c>
      <c r="AM582" s="175" t="str">
        <f ca="1">IFERROR(__xludf.DUMMYFUNCTION("QUERY('Volunteer Survey'!N581)"),"")</f>
        <v/>
      </c>
      <c r="AN582" s="175" t="str">
        <f ca="1">IFERROR(__xludf.DUMMYFUNCTION("QUERY('Volunteer Survey'!O581)"),"")</f>
        <v/>
      </c>
      <c r="AO582" s="175" t="str">
        <f ca="1">IFERROR(__xludf.DUMMYFUNCTION("QUERY('Volunteer Survey'!P581)"),"")</f>
        <v/>
      </c>
    </row>
    <row r="583" spans="1:41" ht="14">
      <c r="A583" s="49">
        <f>'Volunteer Survey'!A993</f>
        <v>0</v>
      </c>
      <c r="B583" s="49"/>
      <c r="C583" s="47"/>
      <c r="D583" s="49"/>
      <c r="E583" s="49"/>
      <c r="F583" s="49" t="b">
        <v>0</v>
      </c>
      <c r="G583" s="49"/>
      <c r="H583" s="47"/>
      <c r="I583" s="47"/>
      <c r="J583" s="49"/>
      <c r="K583" s="49"/>
      <c r="L583" s="49">
        <f>'Volunteer Survey'!B993</f>
        <v>0</v>
      </c>
      <c r="M583" s="49"/>
      <c r="N583" s="49"/>
      <c r="O583" s="49" t="b">
        <v>0</v>
      </c>
      <c r="P583" s="49"/>
      <c r="Q583" s="54">
        <f>'Volunteer Survey'!J993</f>
        <v>0</v>
      </c>
      <c r="R583" s="49"/>
      <c r="S583" s="49"/>
      <c r="T583" s="49">
        <f>'Volunteer Survey'!M993</f>
        <v>0</v>
      </c>
      <c r="U583" s="58"/>
      <c r="V583" s="49"/>
      <c r="W583" s="60">
        <f>'Volunteer Survey'!P993</f>
        <v>0</v>
      </c>
      <c r="X583" s="49"/>
      <c r="Y583" s="47"/>
      <c r="Z583" s="175" t="str">
        <f ca="1">IFERROR(__xludf.DUMMYFUNCTION("QUERY('Volunteer Survey'!A582)"),"")</f>
        <v/>
      </c>
      <c r="AA583" s="175" t="str">
        <f ca="1">IFERROR(__xludf.DUMMYFUNCTION("QUERY('Volunteer Survey'!B582)"),"")</f>
        <v/>
      </c>
      <c r="AB583" s="175" t="str">
        <f ca="1">IFERROR(__xludf.DUMMYFUNCTION("QUERY('Volunteer Survey'!C582)"),"")</f>
        <v/>
      </c>
      <c r="AC583" s="175" t="str">
        <f ca="1">IFERROR(__xludf.DUMMYFUNCTION("QUERY('Volunteer Survey'!D582)"),"")</f>
        <v/>
      </c>
      <c r="AD583" s="175" t="str">
        <f ca="1">IFERROR(__xludf.DUMMYFUNCTION("QUERY('Volunteer Survey'!E582)"),"")</f>
        <v/>
      </c>
      <c r="AE583" s="175" t="str">
        <f ca="1">IFERROR(__xludf.DUMMYFUNCTION("QUERY('Volunteer Survey'!F582)"),"")</f>
        <v/>
      </c>
      <c r="AF583" s="175" t="str">
        <f ca="1">IFERROR(__xludf.DUMMYFUNCTION("QUERY('Volunteer Survey'!G582)"),"")</f>
        <v/>
      </c>
      <c r="AG583" s="175" t="str">
        <f ca="1">IFERROR(__xludf.DUMMYFUNCTION("QUERY('Volunteer Survey'!H582)"),"")</f>
        <v/>
      </c>
      <c r="AH583" s="175" t="str">
        <f ca="1">IFERROR(__xludf.DUMMYFUNCTION("QUERY('Volunteer Survey'!I582)"),"")</f>
        <v/>
      </c>
      <c r="AI583" s="175" t="str">
        <f ca="1">IFERROR(__xludf.DUMMYFUNCTION("QUERY('Volunteer Survey'!J582)"),"")</f>
        <v/>
      </c>
      <c r="AJ583" s="175" t="str">
        <f ca="1">IFERROR(__xludf.DUMMYFUNCTION("QUERY('Volunteer Survey'!K582)"),"")</f>
        <v/>
      </c>
      <c r="AK583" s="175" t="str">
        <f ca="1">IFERROR(__xludf.DUMMYFUNCTION("QUERY('Volunteer Survey'!L582)"),"")</f>
        <v/>
      </c>
      <c r="AL583" s="175" t="str">
        <f ca="1">IFERROR(__xludf.DUMMYFUNCTION("QUERY('Volunteer Survey'!M582)"),"")</f>
        <v/>
      </c>
      <c r="AM583" s="175" t="str">
        <f ca="1">IFERROR(__xludf.DUMMYFUNCTION("QUERY('Volunteer Survey'!N582)"),"")</f>
        <v/>
      </c>
      <c r="AN583" s="175" t="str">
        <f ca="1">IFERROR(__xludf.DUMMYFUNCTION("QUERY('Volunteer Survey'!O582)"),"")</f>
        <v/>
      </c>
      <c r="AO583" s="175" t="str">
        <f ca="1">IFERROR(__xludf.DUMMYFUNCTION("QUERY('Volunteer Survey'!P582)"),"")</f>
        <v/>
      </c>
    </row>
    <row r="584" spans="1:41" ht="14">
      <c r="A584" s="49">
        <f>'Volunteer Survey'!A994</f>
        <v>0</v>
      </c>
      <c r="B584" s="49"/>
      <c r="C584" s="47"/>
      <c r="D584" s="49"/>
      <c r="E584" s="49"/>
      <c r="F584" s="49" t="b">
        <v>0</v>
      </c>
      <c r="G584" s="49"/>
      <c r="H584" s="47"/>
      <c r="I584" s="47"/>
      <c r="J584" s="49"/>
      <c r="K584" s="49"/>
      <c r="L584" s="49">
        <f>'Volunteer Survey'!B994</f>
        <v>0</v>
      </c>
      <c r="M584" s="49"/>
      <c r="N584" s="49"/>
      <c r="O584" s="49" t="b">
        <v>0</v>
      </c>
      <c r="P584" s="49"/>
      <c r="Q584" s="54">
        <f>'Volunteer Survey'!J994</f>
        <v>0</v>
      </c>
      <c r="R584" s="49"/>
      <c r="S584" s="49"/>
      <c r="T584" s="49">
        <f>'Volunteer Survey'!M994</f>
        <v>0</v>
      </c>
      <c r="U584" s="58"/>
      <c r="V584" s="49"/>
      <c r="W584" s="60">
        <f>'Volunteer Survey'!P994</f>
        <v>0</v>
      </c>
      <c r="X584" s="49"/>
      <c r="Y584" s="47"/>
      <c r="Z584" s="175" t="str">
        <f ca="1">IFERROR(__xludf.DUMMYFUNCTION("QUERY('Volunteer Survey'!A583)"),"")</f>
        <v/>
      </c>
      <c r="AA584" s="175" t="str">
        <f ca="1">IFERROR(__xludf.DUMMYFUNCTION("QUERY('Volunteer Survey'!B583)"),"")</f>
        <v/>
      </c>
      <c r="AB584" s="175" t="str">
        <f ca="1">IFERROR(__xludf.DUMMYFUNCTION("QUERY('Volunteer Survey'!C583)"),"")</f>
        <v/>
      </c>
      <c r="AC584" s="175" t="str">
        <f ca="1">IFERROR(__xludf.DUMMYFUNCTION("QUERY('Volunteer Survey'!D583)"),"")</f>
        <v/>
      </c>
      <c r="AD584" s="175" t="str">
        <f ca="1">IFERROR(__xludf.DUMMYFUNCTION("QUERY('Volunteer Survey'!E583)"),"")</f>
        <v/>
      </c>
      <c r="AE584" s="175" t="str">
        <f ca="1">IFERROR(__xludf.DUMMYFUNCTION("QUERY('Volunteer Survey'!F583)"),"")</f>
        <v/>
      </c>
      <c r="AF584" s="175" t="str">
        <f ca="1">IFERROR(__xludf.DUMMYFUNCTION("QUERY('Volunteer Survey'!G583)"),"")</f>
        <v/>
      </c>
      <c r="AG584" s="175" t="str">
        <f ca="1">IFERROR(__xludf.DUMMYFUNCTION("QUERY('Volunteer Survey'!H583)"),"")</f>
        <v/>
      </c>
      <c r="AH584" s="175" t="str">
        <f ca="1">IFERROR(__xludf.DUMMYFUNCTION("QUERY('Volunteer Survey'!I583)"),"")</f>
        <v/>
      </c>
      <c r="AI584" s="175" t="str">
        <f ca="1">IFERROR(__xludf.DUMMYFUNCTION("QUERY('Volunteer Survey'!J583)"),"")</f>
        <v/>
      </c>
      <c r="AJ584" s="175" t="str">
        <f ca="1">IFERROR(__xludf.DUMMYFUNCTION("QUERY('Volunteer Survey'!K583)"),"")</f>
        <v/>
      </c>
      <c r="AK584" s="175" t="str">
        <f ca="1">IFERROR(__xludf.DUMMYFUNCTION("QUERY('Volunteer Survey'!L583)"),"")</f>
        <v/>
      </c>
      <c r="AL584" s="175" t="str">
        <f ca="1">IFERROR(__xludf.DUMMYFUNCTION("QUERY('Volunteer Survey'!M583)"),"")</f>
        <v/>
      </c>
      <c r="AM584" s="175" t="str">
        <f ca="1">IFERROR(__xludf.DUMMYFUNCTION("QUERY('Volunteer Survey'!N583)"),"")</f>
        <v/>
      </c>
      <c r="AN584" s="175" t="str">
        <f ca="1">IFERROR(__xludf.DUMMYFUNCTION("QUERY('Volunteer Survey'!O583)"),"")</f>
        <v/>
      </c>
      <c r="AO584" s="175" t="str">
        <f ca="1">IFERROR(__xludf.DUMMYFUNCTION("QUERY('Volunteer Survey'!P583)"),"")</f>
        <v/>
      </c>
    </row>
    <row r="585" spans="1:41" ht="14">
      <c r="A585" s="49">
        <f>'Volunteer Survey'!A995</f>
        <v>0</v>
      </c>
      <c r="B585" s="49"/>
      <c r="C585" s="47"/>
      <c r="D585" s="49"/>
      <c r="E585" s="49"/>
      <c r="F585" s="49" t="b">
        <v>0</v>
      </c>
      <c r="G585" s="49"/>
      <c r="H585" s="47"/>
      <c r="I585" s="47"/>
      <c r="J585" s="49"/>
      <c r="K585" s="49"/>
      <c r="L585" s="49">
        <f>'Volunteer Survey'!B995</f>
        <v>0</v>
      </c>
      <c r="M585" s="49"/>
      <c r="N585" s="49"/>
      <c r="O585" s="49" t="b">
        <v>0</v>
      </c>
      <c r="P585" s="49"/>
      <c r="Q585" s="54">
        <f>'Volunteer Survey'!J995</f>
        <v>0</v>
      </c>
      <c r="R585" s="49"/>
      <c r="S585" s="49"/>
      <c r="T585" s="49">
        <f>'Volunteer Survey'!M995</f>
        <v>0</v>
      </c>
      <c r="U585" s="58"/>
      <c r="V585" s="49"/>
      <c r="W585" s="60">
        <f>'Volunteer Survey'!P995</f>
        <v>0</v>
      </c>
      <c r="X585" s="49"/>
      <c r="Y585" s="47"/>
      <c r="Z585" s="175" t="str">
        <f ca="1">IFERROR(__xludf.DUMMYFUNCTION("QUERY('Volunteer Survey'!A584)"),"")</f>
        <v/>
      </c>
      <c r="AA585" s="175" t="str">
        <f ca="1">IFERROR(__xludf.DUMMYFUNCTION("QUERY('Volunteer Survey'!B584)"),"")</f>
        <v/>
      </c>
      <c r="AB585" s="175" t="str">
        <f ca="1">IFERROR(__xludf.DUMMYFUNCTION("QUERY('Volunteer Survey'!C584)"),"")</f>
        <v/>
      </c>
      <c r="AC585" s="175" t="str">
        <f ca="1">IFERROR(__xludf.DUMMYFUNCTION("QUERY('Volunteer Survey'!D584)"),"")</f>
        <v/>
      </c>
      <c r="AD585" s="175" t="str">
        <f ca="1">IFERROR(__xludf.DUMMYFUNCTION("QUERY('Volunteer Survey'!E584)"),"")</f>
        <v/>
      </c>
      <c r="AE585" s="175" t="str">
        <f ca="1">IFERROR(__xludf.DUMMYFUNCTION("QUERY('Volunteer Survey'!F584)"),"")</f>
        <v/>
      </c>
      <c r="AF585" s="175" t="str">
        <f ca="1">IFERROR(__xludf.DUMMYFUNCTION("QUERY('Volunteer Survey'!G584)"),"")</f>
        <v/>
      </c>
      <c r="AG585" s="175" t="str">
        <f ca="1">IFERROR(__xludf.DUMMYFUNCTION("QUERY('Volunteer Survey'!H584)"),"")</f>
        <v/>
      </c>
      <c r="AH585" s="175" t="str">
        <f ca="1">IFERROR(__xludf.DUMMYFUNCTION("QUERY('Volunteer Survey'!I584)"),"")</f>
        <v/>
      </c>
      <c r="AI585" s="175" t="str">
        <f ca="1">IFERROR(__xludf.DUMMYFUNCTION("QUERY('Volunteer Survey'!J584)"),"")</f>
        <v/>
      </c>
      <c r="AJ585" s="175" t="str">
        <f ca="1">IFERROR(__xludf.DUMMYFUNCTION("QUERY('Volunteer Survey'!K584)"),"")</f>
        <v/>
      </c>
      <c r="AK585" s="175" t="str">
        <f ca="1">IFERROR(__xludf.DUMMYFUNCTION("QUERY('Volunteer Survey'!L584)"),"")</f>
        <v/>
      </c>
      <c r="AL585" s="175" t="str">
        <f ca="1">IFERROR(__xludf.DUMMYFUNCTION("QUERY('Volunteer Survey'!M584)"),"")</f>
        <v/>
      </c>
      <c r="AM585" s="175" t="str">
        <f ca="1">IFERROR(__xludf.DUMMYFUNCTION("QUERY('Volunteer Survey'!N584)"),"")</f>
        <v/>
      </c>
      <c r="AN585" s="175" t="str">
        <f ca="1">IFERROR(__xludf.DUMMYFUNCTION("QUERY('Volunteer Survey'!O584)"),"")</f>
        <v/>
      </c>
      <c r="AO585" s="175" t="str">
        <f ca="1">IFERROR(__xludf.DUMMYFUNCTION("QUERY('Volunteer Survey'!P584)"),"")</f>
        <v/>
      </c>
    </row>
    <row r="586" spans="1:41" ht="14">
      <c r="A586" s="49">
        <f>'Volunteer Survey'!A996</f>
        <v>0</v>
      </c>
      <c r="B586" s="49"/>
      <c r="C586" s="47"/>
      <c r="D586" s="49"/>
      <c r="E586" s="49"/>
      <c r="F586" s="49" t="b">
        <v>0</v>
      </c>
      <c r="G586" s="49"/>
      <c r="H586" s="47"/>
      <c r="I586" s="47"/>
      <c r="J586" s="49"/>
      <c r="K586" s="49"/>
      <c r="L586" s="49">
        <f>'Volunteer Survey'!B996</f>
        <v>0</v>
      </c>
      <c r="M586" s="49"/>
      <c r="N586" s="49"/>
      <c r="O586" s="49" t="b">
        <v>0</v>
      </c>
      <c r="P586" s="49"/>
      <c r="Q586" s="54">
        <f>'Volunteer Survey'!J996</f>
        <v>0</v>
      </c>
      <c r="R586" s="49"/>
      <c r="S586" s="49"/>
      <c r="T586" s="49">
        <f>'Volunteer Survey'!M996</f>
        <v>0</v>
      </c>
      <c r="U586" s="58"/>
      <c r="V586" s="49"/>
      <c r="W586" s="60">
        <f>'Volunteer Survey'!P996</f>
        <v>0</v>
      </c>
      <c r="X586" s="49"/>
      <c r="Y586" s="47"/>
      <c r="Z586" s="175" t="str">
        <f ca="1">IFERROR(__xludf.DUMMYFUNCTION("QUERY('Volunteer Survey'!A585)"),"")</f>
        <v/>
      </c>
      <c r="AA586" s="175" t="str">
        <f ca="1">IFERROR(__xludf.DUMMYFUNCTION("QUERY('Volunteer Survey'!B585)"),"")</f>
        <v/>
      </c>
      <c r="AB586" s="175" t="str">
        <f ca="1">IFERROR(__xludf.DUMMYFUNCTION("QUERY('Volunteer Survey'!C585)"),"")</f>
        <v/>
      </c>
      <c r="AC586" s="175" t="str">
        <f ca="1">IFERROR(__xludf.DUMMYFUNCTION("QUERY('Volunteer Survey'!D585)"),"")</f>
        <v/>
      </c>
      <c r="AD586" s="175" t="str">
        <f ca="1">IFERROR(__xludf.DUMMYFUNCTION("QUERY('Volunteer Survey'!E585)"),"")</f>
        <v/>
      </c>
      <c r="AE586" s="175" t="str">
        <f ca="1">IFERROR(__xludf.DUMMYFUNCTION("QUERY('Volunteer Survey'!F585)"),"")</f>
        <v/>
      </c>
      <c r="AF586" s="175" t="str">
        <f ca="1">IFERROR(__xludf.DUMMYFUNCTION("QUERY('Volunteer Survey'!G585)"),"")</f>
        <v/>
      </c>
      <c r="AG586" s="175" t="str">
        <f ca="1">IFERROR(__xludf.DUMMYFUNCTION("QUERY('Volunteer Survey'!H585)"),"")</f>
        <v/>
      </c>
      <c r="AH586" s="175" t="str">
        <f ca="1">IFERROR(__xludf.DUMMYFUNCTION("QUERY('Volunteer Survey'!I585)"),"")</f>
        <v/>
      </c>
      <c r="AI586" s="175" t="str">
        <f ca="1">IFERROR(__xludf.DUMMYFUNCTION("QUERY('Volunteer Survey'!J585)"),"")</f>
        <v/>
      </c>
      <c r="AJ586" s="175" t="str">
        <f ca="1">IFERROR(__xludf.DUMMYFUNCTION("QUERY('Volunteer Survey'!K585)"),"")</f>
        <v/>
      </c>
      <c r="AK586" s="175" t="str">
        <f ca="1">IFERROR(__xludf.DUMMYFUNCTION("QUERY('Volunteer Survey'!L585)"),"")</f>
        <v/>
      </c>
      <c r="AL586" s="175" t="str">
        <f ca="1">IFERROR(__xludf.DUMMYFUNCTION("QUERY('Volunteer Survey'!M585)"),"")</f>
        <v/>
      </c>
      <c r="AM586" s="175" t="str">
        <f ca="1">IFERROR(__xludf.DUMMYFUNCTION("QUERY('Volunteer Survey'!N585)"),"")</f>
        <v/>
      </c>
      <c r="AN586" s="175" t="str">
        <f ca="1">IFERROR(__xludf.DUMMYFUNCTION("QUERY('Volunteer Survey'!O585)"),"")</f>
        <v/>
      </c>
      <c r="AO586" s="175" t="str">
        <f ca="1">IFERROR(__xludf.DUMMYFUNCTION("QUERY('Volunteer Survey'!P585)"),"")</f>
        <v/>
      </c>
    </row>
    <row r="587" spans="1:41" ht="14">
      <c r="A587" s="49">
        <f>'Volunteer Survey'!A997</f>
        <v>0</v>
      </c>
      <c r="B587" s="49"/>
      <c r="C587" s="47"/>
      <c r="D587" s="49"/>
      <c r="E587" s="49"/>
      <c r="F587" s="49" t="b">
        <v>0</v>
      </c>
      <c r="G587" s="49"/>
      <c r="H587" s="47"/>
      <c r="I587" s="47"/>
      <c r="J587" s="49"/>
      <c r="K587" s="49"/>
      <c r="L587" s="49">
        <f>'Volunteer Survey'!B997</f>
        <v>0</v>
      </c>
      <c r="M587" s="49"/>
      <c r="N587" s="49"/>
      <c r="O587" s="49" t="b">
        <v>0</v>
      </c>
      <c r="P587" s="49"/>
      <c r="Q587" s="54">
        <f>'Volunteer Survey'!J997</f>
        <v>0</v>
      </c>
      <c r="R587" s="49"/>
      <c r="S587" s="49"/>
      <c r="T587" s="49">
        <f>'Volunteer Survey'!M997</f>
        <v>0</v>
      </c>
      <c r="U587" s="58"/>
      <c r="V587" s="49"/>
      <c r="W587" s="60">
        <f>'Volunteer Survey'!P997</f>
        <v>0</v>
      </c>
      <c r="X587" s="49"/>
      <c r="Y587" s="47"/>
      <c r="Z587" s="175" t="str">
        <f ca="1">IFERROR(__xludf.DUMMYFUNCTION("QUERY('Volunteer Survey'!A586)"),"")</f>
        <v/>
      </c>
      <c r="AA587" s="175" t="str">
        <f ca="1">IFERROR(__xludf.DUMMYFUNCTION("QUERY('Volunteer Survey'!B586)"),"")</f>
        <v/>
      </c>
      <c r="AB587" s="175" t="str">
        <f ca="1">IFERROR(__xludf.DUMMYFUNCTION("QUERY('Volunteer Survey'!C586)"),"")</f>
        <v/>
      </c>
      <c r="AC587" s="175" t="str">
        <f ca="1">IFERROR(__xludf.DUMMYFUNCTION("QUERY('Volunteer Survey'!D586)"),"")</f>
        <v/>
      </c>
      <c r="AD587" s="175" t="str">
        <f ca="1">IFERROR(__xludf.DUMMYFUNCTION("QUERY('Volunteer Survey'!E586)"),"")</f>
        <v/>
      </c>
      <c r="AE587" s="175" t="str">
        <f ca="1">IFERROR(__xludf.DUMMYFUNCTION("QUERY('Volunteer Survey'!F586)"),"")</f>
        <v/>
      </c>
      <c r="AF587" s="175" t="str">
        <f ca="1">IFERROR(__xludf.DUMMYFUNCTION("QUERY('Volunteer Survey'!G586)"),"")</f>
        <v/>
      </c>
      <c r="AG587" s="175" t="str">
        <f ca="1">IFERROR(__xludf.DUMMYFUNCTION("QUERY('Volunteer Survey'!H586)"),"")</f>
        <v/>
      </c>
      <c r="AH587" s="175" t="str">
        <f ca="1">IFERROR(__xludf.DUMMYFUNCTION("QUERY('Volunteer Survey'!I586)"),"")</f>
        <v/>
      </c>
      <c r="AI587" s="175" t="str">
        <f ca="1">IFERROR(__xludf.DUMMYFUNCTION("QUERY('Volunteer Survey'!J586)"),"")</f>
        <v/>
      </c>
      <c r="AJ587" s="175" t="str">
        <f ca="1">IFERROR(__xludf.DUMMYFUNCTION("QUERY('Volunteer Survey'!K586)"),"")</f>
        <v/>
      </c>
      <c r="AK587" s="175" t="str">
        <f ca="1">IFERROR(__xludf.DUMMYFUNCTION("QUERY('Volunteer Survey'!L586)"),"")</f>
        <v/>
      </c>
      <c r="AL587" s="175" t="str">
        <f ca="1">IFERROR(__xludf.DUMMYFUNCTION("QUERY('Volunteer Survey'!M586)"),"")</f>
        <v/>
      </c>
      <c r="AM587" s="175" t="str">
        <f ca="1">IFERROR(__xludf.DUMMYFUNCTION("QUERY('Volunteer Survey'!N586)"),"")</f>
        <v/>
      </c>
      <c r="AN587" s="175" t="str">
        <f ca="1">IFERROR(__xludf.DUMMYFUNCTION("QUERY('Volunteer Survey'!O586)"),"")</f>
        <v/>
      </c>
      <c r="AO587" s="175" t="str">
        <f ca="1">IFERROR(__xludf.DUMMYFUNCTION("QUERY('Volunteer Survey'!P586)"),"")</f>
        <v/>
      </c>
    </row>
    <row r="588" spans="1:41" ht="14">
      <c r="A588" s="49">
        <f>'Volunteer Survey'!A998</f>
        <v>0</v>
      </c>
      <c r="B588" s="49"/>
      <c r="C588" s="47"/>
      <c r="D588" s="49"/>
      <c r="E588" s="49"/>
      <c r="F588" s="49" t="b">
        <v>0</v>
      </c>
      <c r="G588" s="49"/>
      <c r="H588" s="47"/>
      <c r="I588" s="47"/>
      <c r="J588" s="49"/>
      <c r="K588" s="49"/>
      <c r="L588" s="49">
        <f>'Volunteer Survey'!B998</f>
        <v>0</v>
      </c>
      <c r="M588" s="49"/>
      <c r="N588" s="49"/>
      <c r="O588" s="49" t="b">
        <v>0</v>
      </c>
      <c r="P588" s="49"/>
      <c r="Q588" s="54">
        <f>'Volunteer Survey'!J998</f>
        <v>0</v>
      </c>
      <c r="R588" s="49"/>
      <c r="S588" s="49"/>
      <c r="T588" s="49">
        <f>'Volunteer Survey'!M998</f>
        <v>0</v>
      </c>
      <c r="U588" s="58"/>
      <c r="V588" s="49"/>
      <c r="W588" s="60">
        <f>'Volunteer Survey'!P998</f>
        <v>0</v>
      </c>
      <c r="X588" s="49"/>
      <c r="Y588" s="47"/>
      <c r="Z588" s="175" t="str">
        <f ca="1">IFERROR(__xludf.DUMMYFUNCTION("QUERY('Volunteer Survey'!A587)"),"")</f>
        <v/>
      </c>
      <c r="AA588" s="175" t="str">
        <f ca="1">IFERROR(__xludf.DUMMYFUNCTION("QUERY('Volunteer Survey'!B587)"),"")</f>
        <v/>
      </c>
      <c r="AB588" s="175" t="str">
        <f ca="1">IFERROR(__xludf.DUMMYFUNCTION("QUERY('Volunteer Survey'!C587)"),"")</f>
        <v/>
      </c>
      <c r="AC588" s="175" t="str">
        <f ca="1">IFERROR(__xludf.DUMMYFUNCTION("QUERY('Volunteer Survey'!D587)"),"")</f>
        <v/>
      </c>
      <c r="AD588" s="175" t="str">
        <f ca="1">IFERROR(__xludf.DUMMYFUNCTION("QUERY('Volunteer Survey'!E587)"),"")</f>
        <v/>
      </c>
      <c r="AE588" s="175" t="str">
        <f ca="1">IFERROR(__xludf.DUMMYFUNCTION("QUERY('Volunteer Survey'!F587)"),"")</f>
        <v/>
      </c>
      <c r="AF588" s="175" t="str">
        <f ca="1">IFERROR(__xludf.DUMMYFUNCTION("QUERY('Volunteer Survey'!G587)"),"")</f>
        <v/>
      </c>
      <c r="AG588" s="175" t="str">
        <f ca="1">IFERROR(__xludf.DUMMYFUNCTION("QUERY('Volunteer Survey'!H587)"),"")</f>
        <v/>
      </c>
      <c r="AH588" s="175" t="str">
        <f ca="1">IFERROR(__xludf.DUMMYFUNCTION("QUERY('Volunteer Survey'!I587)"),"")</f>
        <v/>
      </c>
      <c r="AI588" s="175" t="str">
        <f ca="1">IFERROR(__xludf.DUMMYFUNCTION("QUERY('Volunteer Survey'!J587)"),"")</f>
        <v/>
      </c>
      <c r="AJ588" s="175" t="str">
        <f ca="1">IFERROR(__xludf.DUMMYFUNCTION("QUERY('Volunteer Survey'!K587)"),"")</f>
        <v/>
      </c>
      <c r="AK588" s="175" t="str">
        <f ca="1">IFERROR(__xludf.DUMMYFUNCTION("QUERY('Volunteer Survey'!L587)"),"")</f>
        <v/>
      </c>
      <c r="AL588" s="175" t="str">
        <f ca="1">IFERROR(__xludf.DUMMYFUNCTION("QUERY('Volunteer Survey'!M587)"),"")</f>
        <v/>
      </c>
      <c r="AM588" s="175" t="str">
        <f ca="1">IFERROR(__xludf.DUMMYFUNCTION("QUERY('Volunteer Survey'!N587)"),"")</f>
        <v/>
      </c>
      <c r="AN588" s="175" t="str">
        <f ca="1">IFERROR(__xludf.DUMMYFUNCTION("QUERY('Volunteer Survey'!O587)"),"")</f>
        <v/>
      </c>
      <c r="AO588" s="175" t="str">
        <f ca="1">IFERROR(__xludf.DUMMYFUNCTION("QUERY('Volunteer Survey'!P587)"),"")</f>
        <v/>
      </c>
    </row>
    <row r="589" spans="1:41" ht="14">
      <c r="A589" s="49">
        <f>'Volunteer Survey'!A999</f>
        <v>0</v>
      </c>
      <c r="B589" s="49"/>
      <c r="C589" s="47"/>
      <c r="D589" s="49"/>
      <c r="E589" s="49"/>
      <c r="F589" s="49" t="b">
        <v>0</v>
      </c>
      <c r="G589" s="49"/>
      <c r="H589" s="47"/>
      <c r="I589" s="47"/>
      <c r="J589" s="49"/>
      <c r="K589" s="49"/>
      <c r="L589" s="49">
        <f>'Volunteer Survey'!B999</f>
        <v>0</v>
      </c>
      <c r="M589" s="49"/>
      <c r="N589" s="49"/>
      <c r="O589" s="49" t="b">
        <v>0</v>
      </c>
      <c r="P589" s="49"/>
      <c r="Q589" s="54">
        <f>'Volunteer Survey'!J999</f>
        <v>0</v>
      </c>
      <c r="R589" s="49"/>
      <c r="S589" s="49"/>
      <c r="T589" s="49">
        <f>'Volunteer Survey'!M999</f>
        <v>0</v>
      </c>
      <c r="U589" s="58"/>
      <c r="V589" s="49"/>
      <c r="W589" s="60">
        <f>'Volunteer Survey'!P999</f>
        <v>0</v>
      </c>
      <c r="X589" s="49"/>
      <c r="Y589" s="47"/>
      <c r="Z589" s="175" t="str">
        <f ca="1">IFERROR(__xludf.DUMMYFUNCTION("QUERY('Volunteer Survey'!A588)"),"")</f>
        <v/>
      </c>
      <c r="AA589" s="175" t="str">
        <f ca="1">IFERROR(__xludf.DUMMYFUNCTION("QUERY('Volunteer Survey'!B588)"),"")</f>
        <v/>
      </c>
      <c r="AB589" s="175" t="str">
        <f ca="1">IFERROR(__xludf.DUMMYFUNCTION("QUERY('Volunteer Survey'!C588)"),"")</f>
        <v/>
      </c>
      <c r="AC589" s="175" t="str">
        <f ca="1">IFERROR(__xludf.DUMMYFUNCTION("QUERY('Volunteer Survey'!D588)"),"")</f>
        <v/>
      </c>
      <c r="AD589" s="175" t="str">
        <f ca="1">IFERROR(__xludf.DUMMYFUNCTION("QUERY('Volunteer Survey'!E588)"),"")</f>
        <v/>
      </c>
      <c r="AE589" s="175" t="str">
        <f ca="1">IFERROR(__xludf.DUMMYFUNCTION("QUERY('Volunteer Survey'!F588)"),"")</f>
        <v/>
      </c>
      <c r="AF589" s="175" t="str">
        <f ca="1">IFERROR(__xludf.DUMMYFUNCTION("QUERY('Volunteer Survey'!G588)"),"")</f>
        <v/>
      </c>
      <c r="AG589" s="175" t="str">
        <f ca="1">IFERROR(__xludf.DUMMYFUNCTION("QUERY('Volunteer Survey'!H588)"),"")</f>
        <v/>
      </c>
      <c r="AH589" s="175" t="str">
        <f ca="1">IFERROR(__xludf.DUMMYFUNCTION("QUERY('Volunteer Survey'!I588)"),"")</f>
        <v/>
      </c>
      <c r="AI589" s="175" t="str">
        <f ca="1">IFERROR(__xludf.DUMMYFUNCTION("QUERY('Volunteer Survey'!J588)"),"")</f>
        <v/>
      </c>
      <c r="AJ589" s="175" t="str">
        <f ca="1">IFERROR(__xludf.DUMMYFUNCTION("QUERY('Volunteer Survey'!K588)"),"")</f>
        <v/>
      </c>
      <c r="AK589" s="175" t="str">
        <f ca="1">IFERROR(__xludf.DUMMYFUNCTION("QUERY('Volunteer Survey'!L588)"),"")</f>
        <v/>
      </c>
      <c r="AL589" s="175" t="str">
        <f ca="1">IFERROR(__xludf.DUMMYFUNCTION("QUERY('Volunteer Survey'!M588)"),"")</f>
        <v/>
      </c>
      <c r="AM589" s="175" t="str">
        <f ca="1">IFERROR(__xludf.DUMMYFUNCTION("QUERY('Volunteer Survey'!N588)"),"")</f>
        <v/>
      </c>
      <c r="AN589" s="175" t="str">
        <f ca="1">IFERROR(__xludf.DUMMYFUNCTION("QUERY('Volunteer Survey'!O588)"),"")</f>
        <v/>
      </c>
      <c r="AO589" s="175" t="str">
        <f ca="1">IFERROR(__xludf.DUMMYFUNCTION("QUERY('Volunteer Survey'!P588)"),"")</f>
        <v/>
      </c>
    </row>
    <row r="590" spans="1:41" ht="14">
      <c r="A590" s="49">
        <f>'Volunteer Survey'!A1000</f>
        <v>0</v>
      </c>
      <c r="B590" s="49"/>
      <c r="C590" s="47"/>
      <c r="D590" s="49"/>
      <c r="E590" s="49"/>
      <c r="F590" s="49" t="b">
        <v>0</v>
      </c>
      <c r="G590" s="49"/>
      <c r="H590" s="47"/>
      <c r="I590" s="47"/>
      <c r="J590" s="49"/>
      <c r="K590" s="49"/>
      <c r="L590" s="49">
        <f>'Volunteer Survey'!B1000</f>
        <v>0</v>
      </c>
      <c r="M590" s="49"/>
      <c r="N590" s="49"/>
      <c r="O590" s="49" t="b">
        <v>0</v>
      </c>
      <c r="P590" s="49"/>
      <c r="Q590" s="54">
        <f>'Volunteer Survey'!J1000</f>
        <v>0</v>
      </c>
      <c r="R590" s="49"/>
      <c r="S590" s="49"/>
      <c r="T590" s="49">
        <f>'Volunteer Survey'!M1000</f>
        <v>0</v>
      </c>
      <c r="U590" s="58"/>
      <c r="V590" s="49"/>
      <c r="W590" s="60">
        <f>'Volunteer Survey'!P1000</f>
        <v>0</v>
      </c>
      <c r="X590" s="49"/>
      <c r="Y590" s="47"/>
      <c r="Z590" s="175" t="str">
        <f ca="1">IFERROR(__xludf.DUMMYFUNCTION("QUERY('Volunteer Survey'!A589)"),"")</f>
        <v/>
      </c>
      <c r="AA590" s="175" t="str">
        <f ca="1">IFERROR(__xludf.DUMMYFUNCTION("QUERY('Volunteer Survey'!B589)"),"")</f>
        <v/>
      </c>
      <c r="AB590" s="175" t="str">
        <f ca="1">IFERROR(__xludf.DUMMYFUNCTION("QUERY('Volunteer Survey'!C589)"),"")</f>
        <v/>
      </c>
      <c r="AC590" s="175" t="str">
        <f ca="1">IFERROR(__xludf.DUMMYFUNCTION("QUERY('Volunteer Survey'!D589)"),"")</f>
        <v/>
      </c>
      <c r="AD590" s="175" t="str">
        <f ca="1">IFERROR(__xludf.DUMMYFUNCTION("QUERY('Volunteer Survey'!E589)"),"")</f>
        <v/>
      </c>
      <c r="AE590" s="175" t="str">
        <f ca="1">IFERROR(__xludf.DUMMYFUNCTION("QUERY('Volunteer Survey'!F589)"),"")</f>
        <v/>
      </c>
      <c r="AF590" s="175" t="str">
        <f ca="1">IFERROR(__xludf.DUMMYFUNCTION("QUERY('Volunteer Survey'!G589)"),"")</f>
        <v/>
      </c>
      <c r="AG590" s="175" t="str">
        <f ca="1">IFERROR(__xludf.DUMMYFUNCTION("QUERY('Volunteer Survey'!H589)"),"")</f>
        <v/>
      </c>
      <c r="AH590" s="175" t="str">
        <f ca="1">IFERROR(__xludf.DUMMYFUNCTION("QUERY('Volunteer Survey'!I589)"),"")</f>
        <v/>
      </c>
      <c r="AI590" s="175" t="str">
        <f ca="1">IFERROR(__xludf.DUMMYFUNCTION("QUERY('Volunteer Survey'!J589)"),"")</f>
        <v/>
      </c>
      <c r="AJ590" s="175" t="str">
        <f ca="1">IFERROR(__xludf.DUMMYFUNCTION("QUERY('Volunteer Survey'!K589)"),"")</f>
        <v/>
      </c>
      <c r="AK590" s="175" t="str">
        <f ca="1">IFERROR(__xludf.DUMMYFUNCTION("QUERY('Volunteer Survey'!L589)"),"")</f>
        <v/>
      </c>
      <c r="AL590" s="175" t="str">
        <f ca="1">IFERROR(__xludf.DUMMYFUNCTION("QUERY('Volunteer Survey'!M589)"),"")</f>
        <v/>
      </c>
      <c r="AM590" s="175" t="str">
        <f ca="1">IFERROR(__xludf.DUMMYFUNCTION("QUERY('Volunteer Survey'!N589)"),"")</f>
        <v/>
      </c>
      <c r="AN590" s="175" t="str">
        <f ca="1">IFERROR(__xludf.DUMMYFUNCTION("QUERY('Volunteer Survey'!O589)"),"")</f>
        <v/>
      </c>
      <c r="AO590" s="175" t="str">
        <f ca="1">IFERROR(__xludf.DUMMYFUNCTION("QUERY('Volunteer Survey'!P589)"),"")</f>
        <v/>
      </c>
    </row>
    <row r="591" spans="1:41" ht="14">
      <c r="A591" s="49">
        <f>'Volunteer Survey'!A1001</f>
        <v>0</v>
      </c>
      <c r="B591" s="49"/>
      <c r="C591" s="47"/>
      <c r="D591" s="49"/>
      <c r="E591" s="49"/>
      <c r="F591" s="49" t="b">
        <v>0</v>
      </c>
      <c r="G591" s="49"/>
      <c r="H591" s="47"/>
      <c r="I591" s="47"/>
      <c r="J591" s="49"/>
      <c r="K591" s="49"/>
      <c r="L591" s="49">
        <f>'Volunteer Survey'!B1001</f>
        <v>0</v>
      </c>
      <c r="M591" s="49"/>
      <c r="N591" s="49"/>
      <c r="O591" s="49" t="b">
        <v>0</v>
      </c>
      <c r="P591" s="49"/>
      <c r="Q591" s="54">
        <f>'Volunteer Survey'!J1001</f>
        <v>0</v>
      </c>
      <c r="R591" s="49"/>
      <c r="S591" s="49"/>
      <c r="T591" s="49">
        <f>'Volunteer Survey'!M1001</f>
        <v>0</v>
      </c>
      <c r="U591" s="58"/>
      <c r="V591" s="49"/>
      <c r="W591" s="60">
        <f>'Volunteer Survey'!P1001</f>
        <v>0</v>
      </c>
      <c r="X591" s="49"/>
      <c r="Y591" s="47"/>
      <c r="Z591" s="175" t="str">
        <f ca="1">IFERROR(__xludf.DUMMYFUNCTION("QUERY('Volunteer Survey'!A590)"),"")</f>
        <v/>
      </c>
      <c r="AA591" s="175" t="str">
        <f ca="1">IFERROR(__xludf.DUMMYFUNCTION("QUERY('Volunteer Survey'!B590)"),"")</f>
        <v/>
      </c>
      <c r="AB591" s="175" t="str">
        <f ca="1">IFERROR(__xludf.DUMMYFUNCTION("QUERY('Volunteer Survey'!C590)"),"")</f>
        <v/>
      </c>
      <c r="AC591" s="175" t="str">
        <f ca="1">IFERROR(__xludf.DUMMYFUNCTION("QUERY('Volunteer Survey'!D590)"),"")</f>
        <v/>
      </c>
      <c r="AD591" s="175" t="str">
        <f ca="1">IFERROR(__xludf.DUMMYFUNCTION("QUERY('Volunteer Survey'!E590)"),"")</f>
        <v/>
      </c>
      <c r="AE591" s="175" t="str">
        <f ca="1">IFERROR(__xludf.DUMMYFUNCTION("QUERY('Volunteer Survey'!F590)"),"")</f>
        <v/>
      </c>
      <c r="AF591" s="175" t="str">
        <f ca="1">IFERROR(__xludf.DUMMYFUNCTION("QUERY('Volunteer Survey'!G590)"),"")</f>
        <v/>
      </c>
      <c r="AG591" s="175" t="str">
        <f ca="1">IFERROR(__xludf.DUMMYFUNCTION("QUERY('Volunteer Survey'!H590)"),"")</f>
        <v/>
      </c>
      <c r="AH591" s="175" t="str">
        <f ca="1">IFERROR(__xludf.DUMMYFUNCTION("QUERY('Volunteer Survey'!I590)"),"")</f>
        <v/>
      </c>
      <c r="AI591" s="175" t="str">
        <f ca="1">IFERROR(__xludf.DUMMYFUNCTION("QUERY('Volunteer Survey'!J590)"),"")</f>
        <v/>
      </c>
      <c r="AJ591" s="175" t="str">
        <f ca="1">IFERROR(__xludf.DUMMYFUNCTION("QUERY('Volunteer Survey'!K590)"),"")</f>
        <v/>
      </c>
      <c r="AK591" s="175" t="str">
        <f ca="1">IFERROR(__xludf.DUMMYFUNCTION("QUERY('Volunteer Survey'!L590)"),"")</f>
        <v/>
      </c>
      <c r="AL591" s="175" t="str">
        <f ca="1">IFERROR(__xludf.DUMMYFUNCTION("QUERY('Volunteer Survey'!M590)"),"")</f>
        <v/>
      </c>
      <c r="AM591" s="175" t="str">
        <f ca="1">IFERROR(__xludf.DUMMYFUNCTION("QUERY('Volunteer Survey'!N590)"),"")</f>
        <v/>
      </c>
      <c r="AN591" s="175" t="str">
        <f ca="1">IFERROR(__xludf.DUMMYFUNCTION("QUERY('Volunteer Survey'!O590)"),"")</f>
        <v/>
      </c>
      <c r="AO591" s="175" t="str">
        <f ca="1">IFERROR(__xludf.DUMMYFUNCTION("QUERY('Volunteer Survey'!P590)"),"")</f>
        <v/>
      </c>
    </row>
    <row r="592" spans="1:41" ht="14">
      <c r="A592" s="49">
        <f>'Volunteer Survey'!A1002</f>
        <v>0</v>
      </c>
      <c r="B592" s="49"/>
      <c r="C592" s="47"/>
      <c r="D592" s="49"/>
      <c r="E592" s="49"/>
      <c r="F592" s="49" t="b">
        <v>0</v>
      </c>
      <c r="G592" s="49"/>
      <c r="H592" s="47"/>
      <c r="I592" s="47"/>
      <c r="J592" s="49"/>
      <c r="K592" s="49"/>
      <c r="L592" s="49">
        <f>'Volunteer Survey'!B1002</f>
        <v>0</v>
      </c>
      <c r="M592" s="49"/>
      <c r="N592" s="49"/>
      <c r="O592" s="49" t="b">
        <v>0</v>
      </c>
      <c r="P592" s="49"/>
      <c r="Q592" s="54">
        <f>'Volunteer Survey'!J1002</f>
        <v>0</v>
      </c>
      <c r="R592" s="49"/>
      <c r="S592" s="49"/>
      <c r="T592" s="49">
        <f>'Volunteer Survey'!M1002</f>
        <v>0</v>
      </c>
      <c r="U592" s="58"/>
      <c r="V592" s="49"/>
      <c r="W592" s="60">
        <f>'Volunteer Survey'!P1002</f>
        <v>0</v>
      </c>
      <c r="X592" s="49"/>
      <c r="Y592" s="47"/>
      <c r="Z592" s="175" t="str">
        <f ca="1">IFERROR(__xludf.DUMMYFUNCTION("QUERY('Volunteer Survey'!A591)"),"")</f>
        <v/>
      </c>
      <c r="AA592" s="175" t="str">
        <f ca="1">IFERROR(__xludf.DUMMYFUNCTION("QUERY('Volunteer Survey'!B591)"),"")</f>
        <v/>
      </c>
      <c r="AB592" s="175" t="str">
        <f ca="1">IFERROR(__xludf.DUMMYFUNCTION("QUERY('Volunteer Survey'!C591)"),"")</f>
        <v/>
      </c>
      <c r="AC592" s="175" t="str">
        <f ca="1">IFERROR(__xludf.DUMMYFUNCTION("QUERY('Volunteer Survey'!D591)"),"")</f>
        <v/>
      </c>
      <c r="AD592" s="175" t="str">
        <f ca="1">IFERROR(__xludf.DUMMYFUNCTION("QUERY('Volunteer Survey'!E591)"),"")</f>
        <v/>
      </c>
      <c r="AE592" s="175" t="str">
        <f ca="1">IFERROR(__xludf.DUMMYFUNCTION("QUERY('Volunteer Survey'!F591)"),"")</f>
        <v/>
      </c>
      <c r="AF592" s="175" t="str">
        <f ca="1">IFERROR(__xludf.DUMMYFUNCTION("QUERY('Volunteer Survey'!G591)"),"")</f>
        <v/>
      </c>
      <c r="AG592" s="175" t="str">
        <f ca="1">IFERROR(__xludf.DUMMYFUNCTION("QUERY('Volunteer Survey'!H591)"),"")</f>
        <v/>
      </c>
      <c r="AH592" s="175" t="str">
        <f ca="1">IFERROR(__xludf.DUMMYFUNCTION("QUERY('Volunteer Survey'!I591)"),"")</f>
        <v/>
      </c>
      <c r="AI592" s="175" t="str">
        <f ca="1">IFERROR(__xludf.DUMMYFUNCTION("QUERY('Volunteer Survey'!J591)"),"")</f>
        <v/>
      </c>
      <c r="AJ592" s="175" t="str">
        <f ca="1">IFERROR(__xludf.DUMMYFUNCTION("QUERY('Volunteer Survey'!K591)"),"")</f>
        <v/>
      </c>
      <c r="AK592" s="175" t="str">
        <f ca="1">IFERROR(__xludf.DUMMYFUNCTION("QUERY('Volunteer Survey'!L591)"),"")</f>
        <v/>
      </c>
      <c r="AL592" s="175" t="str">
        <f ca="1">IFERROR(__xludf.DUMMYFUNCTION("QUERY('Volunteer Survey'!M591)"),"")</f>
        <v/>
      </c>
      <c r="AM592" s="175" t="str">
        <f ca="1">IFERROR(__xludf.DUMMYFUNCTION("QUERY('Volunteer Survey'!N591)"),"")</f>
        <v/>
      </c>
      <c r="AN592" s="175" t="str">
        <f ca="1">IFERROR(__xludf.DUMMYFUNCTION("QUERY('Volunteer Survey'!O591)"),"")</f>
        <v/>
      </c>
      <c r="AO592" s="175" t="str">
        <f ca="1">IFERROR(__xludf.DUMMYFUNCTION("QUERY('Volunteer Survey'!P591)"),"")</f>
        <v/>
      </c>
    </row>
    <row r="593" spans="1:41" ht="14">
      <c r="A593" s="49">
        <f>'Volunteer Survey'!A1003</f>
        <v>0</v>
      </c>
      <c r="B593" s="49"/>
      <c r="C593" s="47"/>
      <c r="D593" s="49"/>
      <c r="E593" s="49"/>
      <c r="F593" s="49" t="b">
        <v>0</v>
      </c>
      <c r="G593" s="49"/>
      <c r="H593" s="47"/>
      <c r="I593" s="47"/>
      <c r="J593" s="49"/>
      <c r="K593" s="49"/>
      <c r="L593" s="49"/>
      <c r="M593" s="49"/>
      <c r="N593" s="49"/>
      <c r="O593" s="49" t="b">
        <v>0</v>
      </c>
      <c r="P593" s="49"/>
      <c r="Q593" s="54">
        <f>'Volunteer Survey'!J1003</f>
        <v>0</v>
      </c>
      <c r="R593" s="49"/>
      <c r="S593" s="49"/>
      <c r="T593" s="49"/>
      <c r="U593" s="58"/>
      <c r="V593" s="49"/>
      <c r="W593" s="60">
        <f>'Volunteer Survey'!P1003</f>
        <v>0</v>
      </c>
      <c r="X593" s="49"/>
      <c r="Y593" s="47"/>
      <c r="Z593" s="175" t="str">
        <f ca="1">IFERROR(__xludf.DUMMYFUNCTION("QUERY('Volunteer Survey'!A592)"),"")</f>
        <v/>
      </c>
      <c r="AA593" s="175" t="str">
        <f ca="1">IFERROR(__xludf.DUMMYFUNCTION("QUERY('Volunteer Survey'!B592)"),"")</f>
        <v/>
      </c>
      <c r="AB593" s="175" t="str">
        <f ca="1">IFERROR(__xludf.DUMMYFUNCTION("QUERY('Volunteer Survey'!C592)"),"")</f>
        <v/>
      </c>
      <c r="AC593" s="175" t="str">
        <f ca="1">IFERROR(__xludf.DUMMYFUNCTION("QUERY('Volunteer Survey'!D592)"),"")</f>
        <v/>
      </c>
      <c r="AD593" s="175" t="str">
        <f ca="1">IFERROR(__xludf.DUMMYFUNCTION("QUERY('Volunteer Survey'!E592)"),"")</f>
        <v/>
      </c>
      <c r="AE593" s="175" t="str">
        <f ca="1">IFERROR(__xludf.DUMMYFUNCTION("QUERY('Volunteer Survey'!F592)"),"")</f>
        <v/>
      </c>
      <c r="AF593" s="175" t="str">
        <f ca="1">IFERROR(__xludf.DUMMYFUNCTION("QUERY('Volunteer Survey'!G592)"),"")</f>
        <v/>
      </c>
      <c r="AG593" s="175" t="str">
        <f ca="1">IFERROR(__xludf.DUMMYFUNCTION("QUERY('Volunteer Survey'!H592)"),"")</f>
        <v/>
      </c>
      <c r="AH593" s="175" t="str">
        <f ca="1">IFERROR(__xludf.DUMMYFUNCTION("QUERY('Volunteer Survey'!I592)"),"")</f>
        <v/>
      </c>
      <c r="AI593" s="175" t="str">
        <f ca="1">IFERROR(__xludf.DUMMYFUNCTION("QUERY('Volunteer Survey'!J592)"),"")</f>
        <v/>
      </c>
      <c r="AJ593" s="175" t="str">
        <f ca="1">IFERROR(__xludf.DUMMYFUNCTION("QUERY('Volunteer Survey'!K592)"),"")</f>
        <v/>
      </c>
      <c r="AK593" s="175" t="str">
        <f ca="1">IFERROR(__xludf.DUMMYFUNCTION("QUERY('Volunteer Survey'!L592)"),"")</f>
        <v/>
      </c>
      <c r="AL593" s="175" t="str">
        <f ca="1">IFERROR(__xludf.DUMMYFUNCTION("QUERY('Volunteer Survey'!M592)"),"")</f>
        <v/>
      </c>
      <c r="AM593" s="175" t="str">
        <f ca="1">IFERROR(__xludf.DUMMYFUNCTION("QUERY('Volunteer Survey'!N592)"),"")</f>
        <v/>
      </c>
      <c r="AN593" s="175" t="str">
        <f ca="1">IFERROR(__xludf.DUMMYFUNCTION("QUERY('Volunteer Survey'!O592)"),"")</f>
        <v/>
      </c>
      <c r="AO593" s="175" t="str">
        <f ca="1">IFERROR(__xludf.DUMMYFUNCTION("QUERY('Volunteer Survey'!P592)"),"")</f>
        <v/>
      </c>
    </row>
    <row r="594" spans="1:41" ht="14">
      <c r="A594" s="49">
        <f>'Volunteer Survey'!A1004</f>
        <v>0</v>
      </c>
      <c r="B594" s="49"/>
      <c r="C594" s="47"/>
      <c r="D594" s="49"/>
      <c r="E594" s="49"/>
      <c r="F594" s="49" t="b">
        <v>0</v>
      </c>
      <c r="G594" s="49"/>
      <c r="H594" s="47"/>
      <c r="I594" s="47"/>
      <c r="J594" s="49"/>
      <c r="K594" s="49"/>
      <c r="L594" s="49"/>
      <c r="M594" s="49"/>
      <c r="N594" s="49"/>
      <c r="O594" s="49" t="b">
        <v>0</v>
      </c>
      <c r="P594" s="49"/>
      <c r="Q594" s="54">
        <f>'Volunteer Survey'!J1004</f>
        <v>0</v>
      </c>
      <c r="R594" s="49"/>
      <c r="S594" s="49"/>
      <c r="T594" s="49"/>
      <c r="U594" s="58"/>
      <c r="V594" s="49"/>
      <c r="W594" s="60">
        <f>'Volunteer Survey'!P1004</f>
        <v>0</v>
      </c>
      <c r="X594" s="49"/>
      <c r="Y594" s="47"/>
      <c r="Z594" s="175" t="str">
        <f ca="1">IFERROR(__xludf.DUMMYFUNCTION("QUERY('Volunteer Survey'!A593)"),"")</f>
        <v/>
      </c>
      <c r="AA594" s="175" t="str">
        <f ca="1">IFERROR(__xludf.DUMMYFUNCTION("QUERY('Volunteer Survey'!B593)"),"")</f>
        <v/>
      </c>
      <c r="AB594" s="175" t="str">
        <f ca="1">IFERROR(__xludf.DUMMYFUNCTION("QUERY('Volunteer Survey'!C593)"),"")</f>
        <v/>
      </c>
      <c r="AC594" s="175" t="str">
        <f ca="1">IFERROR(__xludf.DUMMYFUNCTION("QUERY('Volunteer Survey'!D593)"),"")</f>
        <v/>
      </c>
      <c r="AD594" s="175" t="str">
        <f ca="1">IFERROR(__xludf.DUMMYFUNCTION("QUERY('Volunteer Survey'!E593)"),"")</f>
        <v/>
      </c>
      <c r="AE594" s="175" t="str">
        <f ca="1">IFERROR(__xludf.DUMMYFUNCTION("QUERY('Volunteer Survey'!F593)"),"")</f>
        <v/>
      </c>
      <c r="AF594" s="175" t="str">
        <f ca="1">IFERROR(__xludf.DUMMYFUNCTION("QUERY('Volunteer Survey'!G593)"),"")</f>
        <v/>
      </c>
      <c r="AG594" s="175" t="str">
        <f ca="1">IFERROR(__xludf.DUMMYFUNCTION("QUERY('Volunteer Survey'!H593)"),"")</f>
        <v/>
      </c>
      <c r="AH594" s="175" t="str">
        <f ca="1">IFERROR(__xludf.DUMMYFUNCTION("QUERY('Volunteer Survey'!I593)"),"")</f>
        <v/>
      </c>
      <c r="AI594" s="175" t="str">
        <f ca="1">IFERROR(__xludf.DUMMYFUNCTION("QUERY('Volunteer Survey'!J593)"),"")</f>
        <v/>
      </c>
      <c r="AJ594" s="175" t="str">
        <f ca="1">IFERROR(__xludf.DUMMYFUNCTION("QUERY('Volunteer Survey'!K593)"),"")</f>
        <v/>
      </c>
      <c r="AK594" s="175" t="str">
        <f ca="1">IFERROR(__xludf.DUMMYFUNCTION("QUERY('Volunteer Survey'!L593)"),"")</f>
        <v/>
      </c>
      <c r="AL594" s="175" t="str">
        <f ca="1">IFERROR(__xludf.DUMMYFUNCTION("QUERY('Volunteer Survey'!M593)"),"")</f>
        <v/>
      </c>
      <c r="AM594" s="175" t="str">
        <f ca="1">IFERROR(__xludf.DUMMYFUNCTION("QUERY('Volunteer Survey'!N593)"),"")</f>
        <v/>
      </c>
      <c r="AN594" s="175" t="str">
        <f ca="1">IFERROR(__xludf.DUMMYFUNCTION("QUERY('Volunteer Survey'!O593)"),"")</f>
        <v/>
      </c>
      <c r="AO594" s="175" t="str">
        <f ca="1">IFERROR(__xludf.DUMMYFUNCTION("QUERY('Volunteer Survey'!P593)"),"")</f>
        <v/>
      </c>
    </row>
    <row r="595" spans="1:41" ht="14">
      <c r="A595" s="49"/>
      <c r="B595" s="49"/>
      <c r="C595" s="47"/>
      <c r="D595" s="49"/>
      <c r="E595" s="49"/>
      <c r="F595" s="49" t="b">
        <v>0</v>
      </c>
      <c r="G595" s="49"/>
      <c r="H595" s="47"/>
      <c r="I595" s="47"/>
      <c r="J595" s="49"/>
      <c r="K595" s="49"/>
      <c r="L595" s="49"/>
      <c r="M595" s="49"/>
      <c r="N595" s="49"/>
      <c r="O595" s="49" t="b">
        <v>0</v>
      </c>
      <c r="P595" s="49"/>
      <c r="Q595" s="54">
        <f>'Volunteer Survey'!J1005</f>
        <v>0</v>
      </c>
      <c r="R595" s="49"/>
      <c r="S595" s="49"/>
      <c r="T595" s="49"/>
      <c r="U595" s="58"/>
      <c r="V595" s="49"/>
      <c r="W595" s="60">
        <f>'Volunteer Survey'!P1005</f>
        <v>0</v>
      </c>
      <c r="X595" s="49"/>
      <c r="Y595" s="47"/>
      <c r="Z595" s="175" t="str">
        <f ca="1">IFERROR(__xludf.DUMMYFUNCTION("QUERY('Volunteer Survey'!A594)"),"")</f>
        <v/>
      </c>
      <c r="AA595" s="175" t="str">
        <f ca="1">IFERROR(__xludf.DUMMYFUNCTION("QUERY('Volunteer Survey'!B594)"),"")</f>
        <v/>
      </c>
      <c r="AB595" s="175" t="str">
        <f ca="1">IFERROR(__xludf.DUMMYFUNCTION("QUERY('Volunteer Survey'!C594)"),"")</f>
        <v/>
      </c>
      <c r="AC595" s="175" t="str">
        <f ca="1">IFERROR(__xludf.DUMMYFUNCTION("QUERY('Volunteer Survey'!D594)"),"")</f>
        <v/>
      </c>
      <c r="AD595" s="175" t="str">
        <f ca="1">IFERROR(__xludf.DUMMYFUNCTION("QUERY('Volunteer Survey'!E594)"),"")</f>
        <v/>
      </c>
      <c r="AE595" s="175" t="str">
        <f ca="1">IFERROR(__xludf.DUMMYFUNCTION("QUERY('Volunteer Survey'!F594)"),"")</f>
        <v/>
      </c>
      <c r="AF595" s="175" t="str">
        <f ca="1">IFERROR(__xludf.DUMMYFUNCTION("QUERY('Volunteer Survey'!G594)"),"")</f>
        <v/>
      </c>
      <c r="AG595" s="175" t="str">
        <f ca="1">IFERROR(__xludf.DUMMYFUNCTION("QUERY('Volunteer Survey'!H594)"),"")</f>
        <v/>
      </c>
      <c r="AH595" s="175" t="str">
        <f ca="1">IFERROR(__xludf.DUMMYFUNCTION("QUERY('Volunteer Survey'!I594)"),"")</f>
        <v/>
      </c>
      <c r="AI595" s="175" t="str">
        <f ca="1">IFERROR(__xludf.DUMMYFUNCTION("QUERY('Volunteer Survey'!J594)"),"")</f>
        <v/>
      </c>
      <c r="AJ595" s="175" t="str">
        <f ca="1">IFERROR(__xludf.DUMMYFUNCTION("QUERY('Volunteer Survey'!K594)"),"")</f>
        <v/>
      </c>
      <c r="AK595" s="175" t="str">
        <f ca="1">IFERROR(__xludf.DUMMYFUNCTION("QUERY('Volunteer Survey'!L594)"),"")</f>
        <v/>
      </c>
      <c r="AL595" s="175" t="str">
        <f ca="1">IFERROR(__xludf.DUMMYFUNCTION("QUERY('Volunteer Survey'!M594)"),"")</f>
        <v/>
      </c>
      <c r="AM595" s="175" t="str">
        <f ca="1">IFERROR(__xludf.DUMMYFUNCTION("QUERY('Volunteer Survey'!N594)"),"")</f>
        <v/>
      </c>
      <c r="AN595" s="175" t="str">
        <f ca="1">IFERROR(__xludf.DUMMYFUNCTION("QUERY('Volunteer Survey'!O594)"),"")</f>
        <v/>
      </c>
      <c r="AO595" s="175" t="str">
        <f ca="1">IFERROR(__xludf.DUMMYFUNCTION("QUERY('Volunteer Survey'!P594)"),"")</f>
        <v/>
      </c>
    </row>
    <row r="596" spans="1:41" ht="14">
      <c r="A596" s="49"/>
      <c r="B596" s="49"/>
      <c r="C596" s="47"/>
      <c r="D596" s="49"/>
      <c r="E596" s="49"/>
      <c r="F596" s="49" t="b">
        <v>0</v>
      </c>
      <c r="G596" s="49"/>
      <c r="H596" s="47"/>
      <c r="I596" s="47"/>
      <c r="J596" s="49"/>
      <c r="K596" s="49"/>
      <c r="L596" s="49"/>
      <c r="M596" s="49"/>
      <c r="N596" s="49"/>
      <c r="O596" s="49" t="b">
        <v>0</v>
      </c>
      <c r="P596" s="49"/>
      <c r="Q596" s="54">
        <f>'Volunteer Survey'!J1006</f>
        <v>0</v>
      </c>
      <c r="R596" s="49"/>
      <c r="S596" s="49"/>
      <c r="T596" s="49"/>
      <c r="U596" s="58"/>
      <c r="V596" s="49"/>
      <c r="W596" s="60">
        <f>'Volunteer Survey'!P1006</f>
        <v>0</v>
      </c>
      <c r="X596" s="49"/>
      <c r="Y596" s="47"/>
      <c r="Z596" s="175" t="str">
        <f ca="1">IFERROR(__xludf.DUMMYFUNCTION("QUERY('Volunteer Survey'!A595)"),"")</f>
        <v/>
      </c>
      <c r="AA596" s="175" t="str">
        <f ca="1">IFERROR(__xludf.DUMMYFUNCTION("QUERY('Volunteer Survey'!B595)"),"")</f>
        <v/>
      </c>
      <c r="AB596" s="175" t="str">
        <f ca="1">IFERROR(__xludf.DUMMYFUNCTION("QUERY('Volunteer Survey'!C595)"),"")</f>
        <v/>
      </c>
      <c r="AC596" s="175" t="str">
        <f ca="1">IFERROR(__xludf.DUMMYFUNCTION("QUERY('Volunteer Survey'!D595)"),"")</f>
        <v/>
      </c>
      <c r="AD596" s="175" t="str">
        <f ca="1">IFERROR(__xludf.DUMMYFUNCTION("QUERY('Volunteer Survey'!E595)"),"")</f>
        <v/>
      </c>
      <c r="AE596" s="175" t="str">
        <f ca="1">IFERROR(__xludf.DUMMYFUNCTION("QUERY('Volunteer Survey'!F595)"),"")</f>
        <v/>
      </c>
      <c r="AF596" s="175" t="str">
        <f ca="1">IFERROR(__xludf.DUMMYFUNCTION("QUERY('Volunteer Survey'!G595)"),"")</f>
        <v/>
      </c>
      <c r="AG596" s="175" t="str">
        <f ca="1">IFERROR(__xludf.DUMMYFUNCTION("QUERY('Volunteer Survey'!H595)"),"")</f>
        <v/>
      </c>
      <c r="AH596" s="175" t="str">
        <f ca="1">IFERROR(__xludf.DUMMYFUNCTION("QUERY('Volunteer Survey'!I595)"),"")</f>
        <v/>
      </c>
      <c r="AI596" s="175" t="str">
        <f ca="1">IFERROR(__xludf.DUMMYFUNCTION("QUERY('Volunteer Survey'!J595)"),"")</f>
        <v/>
      </c>
      <c r="AJ596" s="175" t="str">
        <f ca="1">IFERROR(__xludf.DUMMYFUNCTION("QUERY('Volunteer Survey'!K595)"),"")</f>
        <v/>
      </c>
      <c r="AK596" s="175" t="str">
        <f ca="1">IFERROR(__xludf.DUMMYFUNCTION("QUERY('Volunteer Survey'!L595)"),"")</f>
        <v/>
      </c>
      <c r="AL596" s="175" t="str">
        <f ca="1">IFERROR(__xludf.DUMMYFUNCTION("QUERY('Volunteer Survey'!M595)"),"")</f>
        <v/>
      </c>
      <c r="AM596" s="175" t="str">
        <f ca="1">IFERROR(__xludf.DUMMYFUNCTION("QUERY('Volunteer Survey'!N595)"),"")</f>
        <v/>
      </c>
      <c r="AN596" s="175" t="str">
        <f ca="1">IFERROR(__xludf.DUMMYFUNCTION("QUERY('Volunteer Survey'!O595)"),"")</f>
        <v/>
      </c>
      <c r="AO596" s="175" t="str">
        <f ca="1">IFERROR(__xludf.DUMMYFUNCTION("QUERY('Volunteer Survey'!P595)"),"")</f>
        <v/>
      </c>
    </row>
    <row r="597" spans="1:41" ht="14">
      <c r="A597" s="49"/>
      <c r="B597" s="49"/>
      <c r="C597" s="47"/>
      <c r="D597" s="49"/>
      <c r="E597" s="49"/>
      <c r="F597" s="49" t="b">
        <v>0</v>
      </c>
      <c r="G597" s="49"/>
      <c r="H597" s="47"/>
      <c r="I597" s="47"/>
      <c r="J597" s="49"/>
      <c r="K597" s="49"/>
      <c r="L597" s="49"/>
      <c r="M597" s="49"/>
      <c r="N597" s="49"/>
      <c r="O597" s="49" t="b">
        <v>0</v>
      </c>
      <c r="P597" s="49"/>
      <c r="Q597" s="54">
        <f>'Volunteer Survey'!J1007</f>
        <v>0</v>
      </c>
      <c r="R597" s="49"/>
      <c r="S597" s="49"/>
      <c r="T597" s="49"/>
      <c r="U597" s="58"/>
      <c r="V597" s="49"/>
      <c r="W597" s="60">
        <f>'Volunteer Survey'!P1007</f>
        <v>0</v>
      </c>
      <c r="X597" s="49"/>
      <c r="Y597" s="47"/>
      <c r="Z597" s="175" t="str">
        <f ca="1">IFERROR(__xludf.DUMMYFUNCTION("QUERY('Volunteer Survey'!A596)"),"")</f>
        <v/>
      </c>
      <c r="AA597" s="175" t="str">
        <f ca="1">IFERROR(__xludf.DUMMYFUNCTION("QUERY('Volunteer Survey'!B596)"),"")</f>
        <v/>
      </c>
      <c r="AB597" s="175" t="str">
        <f ca="1">IFERROR(__xludf.DUMMYFUNCTION("QUERY('Volunteer Survey'!C596)"),"")</f>
        <v/>
      </c>
      <c r="AC597" s="175" t="str">
        <f ca="1">IFERROR(__xludf.DUMMYFUNCTION("QUERY('Volunteer Survey'!D596)"),"")</f>
        <v/>
      </c>
      <c r="AD597" s="175" t="str">
        <f ca="1">IFERROR(__xludf.DUMMYFUNCTION("QUERY('Volunteer Survey'!E596)"),"")</f>
        <v/>
      </c>
      <c r="AE597" s="175" t="str">
        <f ca="1">IFERROR(__xludf.DUMMYFUNCTION("QUERY('Volunteer Survey'!F596)"),"")</f>
        <v/>
      </c>
      <c r="AF597" s="175" t="str">
        <f ca="1">IFERROR(__xludf.DUMMYFUNCTION("QUERY('Volunteer Survey'!G596)"),"")</f>
        <v/>
      </c>
      <c r="AG597" s="175" t="str">
        <f ca="1">IFERROR(__xludf.DUMMYFUNCTION("QUERY('Volunteer Survey'!H596)"),"")</f>
        <v/>
      </c>
      <c r="AH597" s="175" t="str">
        <f ca="1">IFERROR(__xludf.DUMMYFUNCTION("QUERY('Volunteer Survey'!I596)"),"")</f>
        <v/>
      </c>
      <c r="AI597" s="175" t="str">
        <f ca="1">IFERROR(__xludf.DUMMYFUNCTION("QUERY('Volunteer Survey'!J596)"),"")</f>
        <v/>
      </c>
      <c r="AJ597" s="175" t="str">
        <f ca="1">IFERROR(__xludf.DUMMYFUNCTION("QUERY('Volunteer Survey'!K596)"),"")</f>
        <v/>
      </c>
      <c r="AK597" s="175" t="str">
        <f ca="1">IFERROR(__xludf.DUMMYFUNCTION("QUERY('Volunteer Survey'!L596)"),"")</f>
        <v/>
      </c>
      <c r="AL597" s="175" t="str">
        <f ca="1">IFERROR(__xludf.DUMMYFUNCTION("QUERY('Volunteer Survey'!M596)"),"")</f>
        <v/>
      </c>
      <c r="AM597" s="175" t="str">
        <f ca="1">IFERROR(__xludf.DUMMYFUNCTION("QUERY('Volunteer Survey'!N596)"),"")</f>
        <v/>
      </c>
      <c r="AN597" s="175" t="str">
        <f ca="1">IFERROR(__xludf.DUMMYFUNCTION("QUERY('Volunteer Survey'!O596)"),"")</f>
        <v/>
      </c>
      <c r="AO597" s="175" t="str">
        <f ca="1">IFERROR(__xludf.DUMMYFUNCTION("QUERY('Volunteer Survey'!P596)"),"")</f>
        <v/>
      </c>
    </row>
    <row r="598" spans="1:41" ht="14">
      <c r="A598" s="49"/>
      <c r="B598" s="49"/>
      <c r="C598" s="47"/>
      <c r="D598" s="49"/>
      <c r="E598" s="49"/>
      <c r="F598" s="49" t="b">
        <v>0</v>
      </c>
      <c r="G598" s="49"/>
      <c r="H598" s="47"/>
      <c r="I598" s="47"/>
      <c r="J598" s="49"/>
      <c r="K598" s="49"/>
      <c r="L598" s="49"/>
      <c r="M598" s="49"/>
      <c r="N598" s="49"/>
      <c r="O598" s="49" t="b">
        <v>0</v>
      </c>
      <c r="P598" s="49"/>
      <c r="Q598" s="54">
        <f>'Volunteer Survey'!J1008</f>
        <v>0</v>
      </c>
      <c r="R598" s="49"/>
      <c r="S598" s="49"/>
      <c r="T598" s="49"/>
      <c r="U598" s="58"/>
      <c r="V598" s="49"/>
      <c r="W598" s="60">
        <f>'Volunteer Survey'!P1008</f>
        <v>0</v>
      </c>
      <c r="X598" s="49"/>
      <c r="Y598" s="47"/>
      <c r="Z598" s="175" t="str">
        <f ca="1">IFERROR(__xludf.DUMMYFUNCTION("QUERY('Volunteer Survey'!A597)"),"")</f>
        <v/>
      </c>
      <c r="AA598" s="175" t="str">
        <f ca="1">IFERROR(__xludf.DUMMYFUNCTION("QUERY('Volunteer Survey'!B597)"),"")</f>
        <v/>
      </c>
      <c r="AB598" s="175" t="str">
        <f ca="1">IFERROR(__xludf.DUMMYFUNCTION("QUERY('Volunteer Survey'!C597)"),"")</f>
        <v/>
      </c>
      <c r="AC598" s="175" t="str">
        <f ca="1">IFERROR(__xludf.DUMMYFUNCTION("QUERY('Volunteer Survey'!D597)"),"")</f>
        <v/>
      </c>
      <c r="AD598" s="175" t="str">
        <f ca="1">IFERROR(__xludf.DUMMYFUNCTION("QUERY('Volunteer Survey'!E597)"),"")</f>
        <v/>
      </c>
      <c r="AE598" s="175" t="str">
        <f ca="1">IFERROR(__xludf.DUMMYFUNCTION("QUERY('Volunteer Survey'!F597)"),"")</f>
        <v/>
      </c>
      <c r="AF598" s="175" t="str">
        <f ca="1">IFERROR(__xludf.DUMMYFUNCTION("QUERY('Volunteer Survey'!G597)"),"")</f>
        <v/>
      </c>
      <c r="AG598" s="175" t="str">
        <f ca="1">IFERROR(__xludf.DUMMYFUNCTION("QUERY('Volunteer Survey'!H597)"),"")</f>
        <v/>
      </c>
      <c r="AH598" s="175" t="str">
        <f ca="1">IFERROR(__xludf.DUMMYFUNCTION("QUERY('Volunteer Survey'!I597)"),"")</f>
        <v/>
      </c>
      <c r="AI598" s="175" t="str">
        <f ca="1">IFERROR(__xludf.DUMMYFUNCTION("QUERY('Volunteer Survey'!J597)"),"")</f>
        <v/>
      </c>
      <c r="AJ598" s="175" t="str">
        <f ca="1">IFERROR(__xludf.DUMMYFUNCTION("QUERY('Volunteer Survey'!K597)"),"")</f>
        <v/>
      </c>
      <c r="AK598" s="175" t="str">
        <f ca="1">IFERROR(__xludf.DUMMYFUNCTION("QUERY('Volunteer Survey'!L597)"),"")</f>
        <v/>
      </c>
      <c r="AL598" s="175" t="str">
        <f ca="1">IFERROR(__xludf.DUMMYFUNCTION("QUERY('Volunteer Survey'!M597)"),"")</f>
        <v/>
      </c>
      <c r="AM598" s="175" t="str">
        <f ca="1">IFERROR(__xludf.DUMMYFUNCTION("QUERY('Volunteer Survey'!N597)"),"")</f>
        <v/>
      </c>
      <c r="AN598" s="175" t="str">
        <f ca="1">IFERROR(__xludf.DUMMYFUNCTION("QUERY('Volunteer Survey'!O597)"),"")</f>
        <v/>
      </c>
      <c r="AO598" s="175" t="str">
        <f ca="1">IFERROR(__xludf.DUMMYFUNCTION("QUERY('Volunteer Survey'!P597)"),"")</f>
        <v/>
      </c>
    </row>
    <row r="599" spans="1:41" ht="14">
      <c r="A599" s="49"/>
      <c r="B599" s="49"/>
      <c r="C599" s="47"/>
      <c r="D599" s="49"/>
      <c r="E599" s="49"/>
      <c r="F599" s="49" t="b">
        <v>0</v>
      </c>
      <c r="G599" s="49"/>
      <c r="H599" s="47"/>
      <c r="I599" s="47"/>
      <c r="J599" s="49"/>
      <c r="K599" s="49"/>
      <c r="L599" s="49"/>
      <c r="M599" s="49"/>
      <c r="N599" s="49"/>
      <c r="O599" s="49" t="b">
        <v>0</v>
      </c>
      <c r="P599" s="49"/>
      <c r="Q599" s="54">
        <f>'Volunteer Survey'!J1009</f>
        <v>0</v>
      </c>
      <c r="R599" s="49"/>
      <c r="S599" s="49"/>
      <c r="T599" s="49"/>
      <c r="U599" s="58"/>
      <c r="V599" s="49"/>
      <c r="W599" s="60">
        <f>'Volunteer Survey'!P1009</f>
        <v>0</v>
      </c>
      <c r="X599" s="49"/>
      <c r="Y599" s="47"/>
      <c r="Z599" s="175" t="str">
        <f ca="1">IFERROR(__xludf.DUMMYFUNCTION("QUERY('Volunteer Survey'!A598)"),"")</f>
        <v/>
      </c>
      <c r="AA599" s="175" t="str">
        <f ca="1">IFERROR(__xludf.DUMMYFUNCTION("QUERY('Volunteer Survey'!B598)"),"")</f>
        <v/>
      </c>
      <c r="AB599" s="175" t="str">
        <f ca="1">IFERROR(__xludf.DUMMYFUNCTION("QUERY('Volunteer Survey'!C598)"),"")</f>
        <v/>
      </c>
      <c r="AC599" s="175" t="str">
        <f ca="1">IFERROR(__xludf.DUMMYFUNCTION("QUERY('Volunteer Survey'!D598)"),"")</f>
        <v/>
      </c>
      <c r="AD599" s="175" t="str">
        <f ca="1">IFERROR(__xludf.DUMMYFUNCTION("QUERY('Volunteer Survey'!E598)"),"")</f>
        <v/>
      </c>
      <c r="AE599" s="175" t="str">
        <f ca="1">IFERROR(__xludf.DUMMYFUNCTION("QUERY('Volunteer Survey'!F598)"),"")</f>
        <v/>
      </c>
      <c r="AF599" s="175" t="str">
        <f ca="1">IFERROR(__xludf.DUMMYFUNCTION("QUERY('Volunteer Survey'!G598)"),"")</f>
        <v/>
      </c>
      <c r="AG599" s="175" t="str">
        <f ca="1">IFERROR(__xludf.DUMMYFUNCTION("QUERY('Volunteer Survey'!H598)"),"")</f>
        <v/>
      </c>
      <c r="AH599" s="175" t="str">
        <f ca="1">IFERROR(__xludf.DUMMYFUNCTION("QUERY('Volunteer Survey'!I598)"),"")</f>
        <v/>
      </c>
      <c r="AI599" s="175" t="str">
        <f ca="1">IFERROR(__xludf.DUMMYFUNCTION("QUERY('Volunteer Survey'!J598)"),"")</f>
        <v/>
      </c>
      <c r="AJ599" s="175" t="str">
        <f ca="1">IFERROR(__xludf.DUMMYFUNCTION("QUERY('Volunteer Survey'!K598)"),"")</f>
        <v/>
      </c>
      <c r="AK599" s="175" t="str">
        <f ca="1">IFERROR(__xludf.DUMMYFUNCTION("QUERY('Volunteer Survey'!L598)"),"")</f>
        <v/>
      </c>
      <c r="AL599" s="175" t="str">
        <f ca="1">IFERROR(__xludf.DUMMYFUNCTION("QUERY('Volunteer Survey'!M598)"),"")</f>
        <v/>
      </c>
      <c r="AM599" s="175" t="str">
        <f ca="1">IFERROR(__xludf.DUMMYFUNCTION("QUERY('Volunteer Survey'!N598)"),"")</f>
        <v/>
      </c>
      <c r="AN599" s="175" t="str">
        <f ca="1">IFERROR(__xludf.DUMMYFUNCTION("QUERY('Volunteer Survey'!O598)"),"")</f>
        <v/>
      </c>
      <c r="AO599" s="175" t="str">
        <f ca="1">IFERROR(__xludf.DUMMYFUNCTION("QUERY('Volunteer Survey'!P598)"),"")</f>
        <v/>
      </c>
    </row>
    <row r="600" spans="1:41" ht="14">
      <c r="A600" s="49"/>
      <c r="B600" s="49"/>
      <c r="C600" s="47"/>
      <c r="D600" s="49"/>
      <c r="E600" s="49"/>
      <c r="F600" s="49" t="b">
        <v>0</v>
      </c>
      <c r="G600" s="49"/>
      <c r="H600" s="47"/>
      <c r="I600" s="47"/>
      <c r="J600" s="49"/>
      <c r="K600" s="49"/>
      <c r="L600" s="49"/>
      <c r="M600" s="49"/>
      <c r="N600" s="49"/>
      <c r="O600" s="49" t="b">
        <v>0</v>
      </c>
      <c r="P600" s="49"/>
      <c r="Q600" s="54">
        <f>'Volunteer Survey'!J1010</f>
        <v>0</v>
      </c>
      <c r="R600" s="49"/>
      <c r="S600" s="49"/>
      <c r="T600" s="49"/>
      <c r="U600" s="58"/>
      <c r="V600" s="49"/>
      <c r="W600" s="60">
        <f>'Volunteer Survey'!P1010</f>
        <v>0</v>
      </c>
      <c r="X600" s="49"/>
      <c r="Y600" s="47"/>
      <c r="Z600" s="175" t="str">
        <f ca="1">IFERROR(__xludf.DUMMYFUNCTION("QUERY('Volunteer Survey'!A599)"),"")</f>
        <v/>
      </c>
      <c r="AA600" s="175" t="str">
        <f ca="1">IFERROR(__xludf.DUMMYFUNCTION("QUERY('Volunteer Survey'!B599)"),"")</f>
        <v/>
      </c>
      <c r="AB600" s="175" t="str">
        <f ca="1">IFERROR(__xludf.DUMMYFUNCTION("QUERY('Volunteer Survey'!C599)"),"")</f>
        <v/>
      </c>
      <c r="AC600" s="175" t="str">
        <f ca="1">IFERROR(__xludf.DUMMYFUNCTION("QUERY('Volunteer Survey'!D599)"),"")</f>
        <v/>
      </c>
      <c r="AD600" s="175" t="str">
        <f ca="1">IFERROR(__xludf.DUMMYFUNCTION("QUERY('Volunteer Survey'!E599)"),"")</f>
        <v/>
      </c>
      <c r="AE600" s="175" t="str">
        <f ca="1">IFERROR(__xludf.DUMMYFUNCTION("QUERY('Volunteer Survey'!F599)"),"")</f>
        <v/>
      </c>
      <c r="AF600" s="175" t="str">
        <f ca="1">IFERROR(__xludf.DUMMYFUNCTION("QUERY('Volunteer Survey'!G599)"),"")</f>
        <v/>
      </c>
      <c r="AG600" s="175" t="str">
        <f ca="1">IFERROR(__xludf.DUMMYFUNCTION("QUERY('Volunteer Survey'!H599)"),"")</f>
        <v/>
      </c>
      <c r="AH600" s="175" t="str">
        <f ca="1">IFERROR(__xludf.DUMMYFUNCTION("QUERY('Volunteer Survey'!I599)"),"")</f>
        <v/>
      </c>
      <c r="AI600" s="175" t="str">
        <f ca="1">IFERROR(__xludf.DUMMYFUNCTION("QUERY('Volunteer Survey'!J599)"),"")</f>
        <v/>
      </c>
      <c r="AJ600" s="175" t="str">
        <f ca="1">IFERROR(__xludf.DUMMYFUNCTION("QUERY('Volunteer Survey'!K599)"),"")</f>
        <v/>
      </c>
      <c r="AK600" s="175" t="str">
        <f ca="1">IFERROR(__xludf.DUMMYFUNCTION("QUERY('Volunteer Survey'!L599)"),"")</f>
        <v/>
      </c>
      <c r="AL600" s="175" t="str">
        <f ca="1">IFERROR(__xludf.DUMMYFUNCTION("QUERY('Volunteer Survey'!M599)"),"")</f>
        <v/>
      </c>
      <c r="AM600" s="175" t="str">
        <f ca="1">IFERROR(__xludf.DUMMYFUNCTION("QUERY('Volunteer Survey'!N599)"),"")</f>
        <v/>
      </c>
      <c r="AN600" s="175" t="str">
        <f ca="1">IFERROR(__xludf.DUMMYFUNCTION("QUERY('Volunteer Survey'!O599)"),"")</f>
        <v/>
      </c>
      <c r="AO600" s="175" t="str">
        <f ca="1">IFERROR(__xludf.DUMMYFUNCTION("QUERY('Volunteer Survey'!P599)"),"")</f>
        <v/>
      </c>
    </row>
    <row r="601" spans="1:41" ht="14">
      <c r="A601" s="49"/>
      <c r="B601" s="49"/>
      <c r="C601" s="47"/>
      <c r="D601" s="49"/>
      <c r="E601" s="49"/>
      <c r="F601" s="49" t="b">
        <v>0</v>
      </c>
      <c r="G601" s="49"/>
      <c r="H601" s="47"/>
      <c r="I601" s="47"/>
      <c r="J601" s="49"/>
      <c r="K601" s="49"/>
      <c r="L601" s="49"/>
      <c r="M601" s="49"/>
      <c r="N601" s="49"/>
      <c r="O601" s="49" t="b">
        <v>0</v>
      </c>
      <c r="P601" s="49"/>
      <c r="Q601" s="54">
        <f>'Volunteer Survey'!J1011</f>
        <v>0</v>
      </c>
      <c r="R601" s="49"/>
      <c r="S601" s="49"/>
      <c r="T601" s="49"/>
      <c r="U601" s="58"/>
      <c r="V601" s="49"/>
      <c r="W601" s="60">
        <f>'Volunteer Survey'!P1011</f>
        <v>0</v>
      </c>
      <c r="X601" s="49"/>
      <c r="Y601" s="47"/>
      <c r="Z601" s="175" t="str">
        <f ca="1">IFERROR(__xludf.DUMMYFUNCTION("QUERY('Volunteer Survey'!A600)"),"")</f>
        <v/>
      </c>
      <c r="AA601" s="175" t="str">
        <f ca="1">IFERROR(__xludf.DUMMYFUNCTION("QUERY('Volunteer Survey'!B600)"),"")</f>
        <v/>
      </c>
      <c r="AB601" s="175" t="str">
        <f ca="1">IFERROR(__xludf.DUMMYFUNCTION("QUERY('Volunteer Survey'!C600)"),"")</f>
        <v/>
      </c>
      <c r="AC601" s="175" t="str">
        <f ca="1">IFERROR(__xludf.DUMMYFUNCTION("QUERY('Volunteer Survey'!D600)"),"")</f>
        <v/>
      </c>
      <c r="AD601" s="175" t="str">
        <f ca="1">IFERROR(__xludf.DUMMYFUNCTION("QUERY('Volunteer Survey'!E600)"),"")</f>
        <v/>
      </c>
      <c r="AE601" s="175" t="str">
        <f ca="1">IFERROR(__xludf.DUMMYFUNCTION("QUERY('Volunteer Survey'!F600)"),"")</f>
        <v/>
      </c>
      <c r="AF601" s="175" t="str">
        <f ca="1">IFERROR(__xludf.DUMMYFUNCTION("QUERY('Volunteer Survey'!G600)"),"")</f>
        <v/>
      </c>
      <c r="AG601" s="175" t="str">
        <f ca="1">IFERROR(__xludf.DUMMYFUNCTION("QUERY('Volunteer Survey'!H600)"),"")</f>
        <v/>
      </c>
      <c r="AH601" s="175" t="str">
        <f ca="1">IFERROR(__xludf.DUMMYFUNCTION("QUERY('Volunteer Survey'!I600)"),"")</f>
        <v/>
      </c>
      <c r="AI601" s="175" t="str">
        <f ca="1">IFERROR(__xludf.DUMMYFUNCTION("QUERY('Volunteer Survey'!J600)"),"")</f>
        <v/>
      </c>
      <c r="AJ601" s="175" t="str">
        <f ca="1">IFERROR(__xludf.DUMMYFUNCTION("QUERY('Volunteer Survey'!K600)"),"")</f>
        <v/>
      </c>
      <c r="AK601" s="175" t="str">
        <f ca="1">IFERROR(__xludf.DUMMYFUNCTION("QUERY('Volunteer Survey'!L600)"),"")</f>
        <v/>
      </c>
      <c r="AL601" s="175" t="str">
        <f ca="1">IFERROR(__xludf.DUMMYFUNCTION("QUERY('Volunteer Survey'!M600)"),"")</f>
        <v/>
      </c>
      <c r="AM601" s="175" t="str">
        <f ca="1">IFERROR(__xludf.DUMMYFUNCTION("QUERY('Volunteer Survey'!N600)"),"")</f>
        <v/>
      </c>
      <c r="AN601" s="175" t="str">
        <f ca="1">IFERROR(__xludf.DUMMYFUNCTION("QUERY('Volunteer Survey'!O600)"),"")</f>
        <v/>
      </c>
      <c r="AO601" s="175" t="str">
        <f ca="1">IFERROR(__xludf.DUMMYFUNCTION("QUERY('Volunteer Survey'!P600)"),"")</f>
        <v/>
      </c>
    </row>
    <row r="602" spans="1:41" ht="14">
      <c r="A602" s="49"/>
      <c r="B602" s="49"/>
      <c r="C602" s="47"/>
      <c r="D602" s="49"/>
      <c r="E602" s="49"/>
      <c r="F602" s="49" t="b">
        <v>0</v>
      </c>
      <c r="G602" s="49"/>
      <c r="H602" s="47"/>
      <c r="I602" s="47"/>
      <c r="J602" s="49"/>
      <c r="K602" s="49"/>
      <c r="L602" s="49"/>
      <c r="M602" s="49"/>
      <c r="N602" s="49"/>
      <c r="O602" s="49" t="b">
        <v>0</v>
      </c>
      <c r="P602" s="49"/>
      <c r="Q602" s="54">
        <f>'Volunteer Survey'!J1012</f>
        <v>0</v>
      </c>
      <c r="R602" s="49"/>
      <c r="S602" s="49"/>
      <c r="T602" s="49"/>
      <c r="U602" s="58"/>
      <c r="V602" s="49"/>
      <c r="W602" s="60">
        <f>'Volunteer Survey'!P1012</f>
        <v>0</v>
      </c>
      <c r="X602" s="49"/>
      <c r="Y602" s="47"/>
      <c r="Z602" s="175" t="str">
        <f ca="1">IFERROR(__xludf.DUMMYFUNCTION("QUERY('Volunteer Survey'!A601)"),"")</f>
        <v/>
      </c>
      <c r="AA602" s="175" t="str">
        <f ca="1">IFERROR(__xludf.DUMMYFUNCTION("QUERY('Volunteer Survey'!B601)"),"")</f>
        <v/>
      </c>
      <c r="AB602" s="175" t="str">
        <f ca="1">IFERROR(__xludf.DUMMYFUNCTION("QUERY('Volunteer Survey'!C601)"),"")</f>
        <v/>
      </c>
      <c r="AC602" s="175" t="str">
        <f ca="1">IFERROR(__xludf.DUMMYFUNCTION("QUERY('Volunteer Survey'!D601)"),"")</f>
        <v/>
      </c>
      <c r="AD602" s="175" t="str">
        <f ca="1">IFERROR(__xludf.DUMMYFUNCTION("QUERY('Volunteer Survey'!E601)"),"")</f>
        <v/>
      </c>
      <c r="AE602" s="175" t="str">
        <f ca="1">IFERROR(__xludf.DUMMYFUNCTION("QUERY('Volunteer Survey'!F601)"),"")</f>
        <v/>
      </c>
      <c r="AF602" s="175" t="str">
        <f ca="1">IFERROR(__xludf.DUMMYFUNCTION("QUERY('Volunteer Survey'!G601)"),"")</f>
        <v/>
      </c>
      <c r="AG602" s="175" t="str">
        <f ca="1">IFERROR(__xludf.DUMMYFUNCTION("QUERY('Volunteer Survey'!H601)"),"")</f>
        <v/>
      </c>
      <c r="AH602" s="175" t="str">
        <f ca="1">IFERROR(__xludf.DUMMYFUNCTION("QUERY('Volunteer Survey'!I601)"),"")</f>
        <v/>
      </c>
      <c r="AI602" s="175" t="str">
        <f ca="1">IFERROR(__xludf.DUMMYFUNCTION("QUERY('Volunteer Survey'!J601)"),"")</f>
        <v/>
      </c>
      <c r="AJ602" s="175" t="str">
        <f ca="1">IFERROR(__xludf.DUMMYFUNCTION("QUERY('Volunteer Survey'!K601)"),"")</f>
        <v/>
      </c>
      <c r="AK602" s="175" t="str">
        <f ca="1">IFERROR(__xludf.DUMMYFUNCTION("QUERY('Volunteer Survey'!L601)"),"")</f>
        <v/>
      </c>
      <c r="AL602" s="175" t="str">
        <f ca="1">IFERROR(__xludf.DUMMYFUNCTION("QUERY('Volunteer Survey'!M601)"),"")</f>
        <v/>
      </c>
      <c r="AM602" s="175" t="str">
        <f ca="1">IFERROR(__xludf.DUMMYFUNCTION("QUERY('Volunteer Survey'!N601)"),"")</f>
        <v/>
      </c>
      <c r="AN602" s="175" t="str">
        <f ca="1">IFERROR(__xludf.DUMMYFUNCTION("QUERY('Volunteer Survey'!O601)"),"")</f>
        <v/>
      </c>
      <c r="AO602" s="175" t="str">
        <f ca="1">IFERROR(__xludf.DUMMYFUNCTION("QUERY('Volunteer Survey'!P601)"),"")</f>
        <v/>
      </c>
    </row>
    <row r="603" spans="1:41" ht="14">
      <c r="A603" s="49"/>
      <c r="B603" s="49"/>
      <c r="C603" s="47"/>
      <c r="D603" s="49"/>
      <c r="E603" s="49"/>
      <c r="F603" s="49" t="b">
        <v>0</v>
      </c>
      <c r="G603" s="49"/>
      <c r="H603" s="47"/>
      <c r="I603" s="47"/>
      <c r="J603" s="49"/>
      <c r="K603" s="49"/>
      <c r="L603" s="49"/>
      <c r="M603" s="49"/>
      <c r="N603" s="49"/>
      <c r="O603" s="49" t="b">
        <v>0</v>
      </c>
      <c r="P603" s="49"/>
      <c r="Q603" s="54">
        <f>'Volunteer Survey'!J1013</f>
        <v>0</v>
      </c>
      <c r="R603" s="49"/>
      <c r="S603" s="49"/>
      <c r="T603" s="49"/>
      <c r="U603" s="58"/>
      <c r="V603" s="49"/>
      <c r="W603" s="60">
        <f>'Volunteer Survey'!P1013</f>
        <v>0</v>
      </c>
      <c r="X603" s="49"/>
      <c r="Y603" s="47"/>
      <c r="Z603" s="175" t="str">
        <f ca="1">IFERROR(__xludf.DUMMYFUNCTION("QUERY('Volunteer Survey'!A602)"),"")</f>
        <v/>
      </c>
      <c r="AA603" s="175" t="str">
        <f ca="1">IFERROR(__xludf.DUMMYFUNCTION("QUERY('Volunteer Survey'!B602)"),"")</f>
        <v/>
      </c>
      <c r="AB603" s="175" t="str">
        <f ca="1">IFERROR(__xludf.DUMMYFUNCTION("QUERY('Volunteer Survey'!C602)"),"")</f>
        <v/>
      </c>
      <c r="AC603" s="175" t="str">
        <f ca="1">IFERROR(__xludf.DUMMYFUNCTION("QUERY('Volunteer Survey'!D602)"),"")</f>
        <v/>
      </c>
      <c r="AD603" s="175" t="str">
        <f ca="1">IFERROR(__xludf.DUMMYFUNCTION("QUERY('Volunteer Survey'!E602)"),"")</f>
        <v/>
      </c>
      <c r="AE603" s="175" t="str">
        <f ca="1">IFERROR(__xludf.DUMMYFUNCTION("QUERY('Volunteer Survey'!F602)"),"")</f>
        <v/>
      </c>
      <c r="AF603" s="175" t="str">
        <f ca="1">IFERROR(__xludf.DUMMYFUNCTION("QUERY('Volunteer Survey'!G602)"),"")</f>
        <v/>
      </c>
      <c r="AG603" s="175" t="str">
        <f ca="1">IFERROR(__xludf.DUMMYFUNCTION("QUERY('Volunteer Survey'!H602)"),"")</f>
        <v/>
      </c>
      <c r="AH603" s="175" t="str">
        <f ca="1">IFERROR(__xludf.DUMMYFUNCTION("QUERY('Volunteer Survey'!I602)"),"")</f>
        <v/>
      </c>
      <c r="AI603" s="175" t="str">
        <f ca="1">IFERROR(__xludf.DUMMYFUNCTION("QUERY('Volunteer Survey'!J602)"),"")</f>
        <v/>
      </c>
      <c r="AJ603" s="175" t="str">
        <f ca="1">IFERROR(__xludf.DUMMYFUNCTION("QUERY('Volunteer Survey'!K602)"),"")</f>
        <v/>
      </c>
      <c r="AK603" s="175" t="str">
        <f ca="1">IFERROR(__xludf.DUMMYFUNCTION("QUERY('Volunteer Survey'!L602)"),"")</f>
        <v/>
      </c>
      <c r="AL603" s="175" t="str">
        <f ca="1">IFERROR(__xludf.DUMMYFUNCTION("QUERY('Volunteer Survey'!M602)"),"")</f>
        <v/>
      </c>
      <c r="AM603" s="175" t="str">
        <f ca="1">IFERROR(__xludf.DUMMYFUNCTION("QUERY('Volunteer Survey'!N602)"),"")</f>
        <v/>
      </c>
      <c r="AN603" s="175" t="str">
        <f ca="1">IFERROR(__xludf.DUMMYFUNCTION("QUERY('Volunteer Survey'!O602)"),"")</f>
        <v/>
      </c>
      <c r="AO603" s="175" t="str">
        <f ca="1">IFERROR(__xludf.DUMMYFUNCTION("QUERY('Volunteer Survey'!P602)"),"")</f>
        <v/>
      </c>
    </row>
    <row r="604" spans="1:41" ht="14">
      <c r="A604" s="49"/>
      <c r="B604" s="49"/>
      <c r="C604" s="47"/>
      <c r="D604" s="49"/>
      <c r="E604" s="49"/>
      <c r="F604" s="49" t="b">
        <v>0</v>
      </c>
      <c r="G604" s="49"/>
      <c r="H604" s="47"/>
      <c r="I604" s="47"/>
      <c r="J604" s="49"/>
      <c r="K604" s="49"/>
      <c r="L604" s="49"/>
      <c r="M604" s="49"/>
      <c r="N604" s="49"/>
      <c r="O604" s="49" t="b">
        <v>0</v>
      </c>
      <c r="P604" s="49"/>
      <c r="Q604" s="54">
        <f>'Volunteer Survey'!J1014</f>
        <v>0</v>
      </c>
      <c r="R604" s="49"/>
      <c r="S604" s="49"/>
      <c r="T604" s="49"/>
      <c r="U604" s="58"/>
      <c r="V604" s="49"/>
      <c r="W604" s="60">
        <f>'Volunteer Survey'!P1014</f>
        <v>0</v>
      </c>
      <c r="X604" s="49"/>
      <c r="Y604" s="47"/>
      <c r="Z604" s="175" t="str">
        <f ca="1">IFERROR(__xludf.DUMMYFUNCTION("QUERY('Volunteer Survey'!A603)"),"")</f>
        <v/>
      </c>
      <c r="AA604" s="175" t="str">
        <f ca="1">IFERROR(__xludf.DUMMYFUNCTION("QUERY('Volunteer Survey'!B603)"),"")</f>
        <v/>
      </c>
      <c r="AB604" s="175" t="str">
        <f ca="1">IFERROR(__xludf.DUMMYFUNCTION("QUERY('Volunteer Survey'!C603)"),"")</f>
        <v/>
      </c>
      <c r="AC604" s="175" t="str">
        <f ca="1">IFERROR(__xludf.DUMMYFUNCTION("QUERY('Volunteer Survey'!D603)"),"")</f>
        <v/>
      </c>
      <c r="AD604" s="175" t="str">
        <f ca="1">IFERROR(__xludf.DUMMYFUNCTION("QUERY('Volunteer Survey'!E603)"),"")</f>
        <v/>
      </c>
      <c r="AE604" s="175" t="str">
        <f ca="1">IFERROR(__xludf.DUMMYFUNCTION("QUERY('Volunteer Survey'!F603)"),"")</f>
        <v/>
      </c>
      <c r="AF604" s="175" t="str">
        <f ca="1">IFERROR(__xludf.DUMMYFUNCTION("QUERY('Volunteer Survey'!G603)"),"")</f>
        <v/>
      </c>
      <c r="AG604" s="175" t="str">
        <f ca="1">IFERROR(__xludf.DUMMYFUNCTION("QUERY('Volunteer Survey'!H603)"),"")</f>
        <v/>
      </c>
      <c r="AH604" s="175" t="str">
        <f ca="1">IFERROR(__xludf.DUMMYFUNCTION("QUERY('Volunteer Survey'!I603)"),"")</f>
        <v/>
      </c>
      <c r="AI604" s="175" t="str">
        <f ca="1">IFERROR(__xludf.DUMMYFUNCTION("QUERY('Volunteer Survey'!J603)"),"")</f>
        <v/>
      </c>
      <c r="AJ604" s="175" t="str">
        <f ca="1">IFERROR(__xludf.DUMMYFUNCTION("QUERY('Volunteer Survey'!K603)"),"")</f>
        <v/>
      </c>
      <c r="AK604" s="175" t="str">
        <f ca="1">IFERROR(__xludf.DUMMYFUNCTION("QUERY('Volunteer Survey'!L603)"),"")</f>
        <v/>
      </c>
      <c r="AL604" s="175" t="str">
        <f ca="1">IFERROR(__xludf.DUMMYFUNCTION("QUERY('Volunteer Survey'!M603)"),"")</f>
        <v/>
      </c>
      <c r="AM604" s="175" t="str">
        <f ca="1">IFERROR(__xludf.DUMMYFUNCTION("QUERY('Volunteer Survey'!N603)"),"")</f>
        <v/>
      </c>
      <c r="AN604" s="175" t="str">
        <f ca="1">IFERROR(__xludf.DUMMYFUNCTION("QUERY('Volunteer Survey'!O603)"),"")</f>
        <v/>
      </c>
      <c r="AO604" s="175" t="str">
        <f ca="1">IFERROR(__xludf.DUMMYFUNCTION("QUERY('Volunteer Survey'!P603)"),"")</f>
        <v/>
      </c>
    </row>
    <row r="605" spans="1:41" ht="14">
      <c r="A605" s="49"/>
      <c r="B605" s="49"/>
      <c r="C605" s="47"/>
      <c r="D605" s="49"/>
      <c r="E605" s="49"/>
      <c r="F605" s="49" t="b">
        <v>0</v>
      </c>
      <c r="G605" s="49"/>
      <c r="H605" s="47"/>
      <c r="I605" s="47"/>
      <c r="J605" s="49"/>
      <c r="K605" s="49"/>
      <c r="L605" s="49"/>
      <c r="M605" s="49"/>
      <c r="N605" s="49"/>
      <c r="O605" s="49" t="b">
        <v>0</v>
      </c>
      <c r="P605" s="49"/>
      <c r="Q605" s="54">
        <f>'Volunteer Survey'!J1015</f>
        <v>0</v>
      </c>
      <c r="R605" s="49"/>
      <c r="S605" s="49"/>
      <c r="T605" s="49"/>
      <c r="U605" s="58"/>
      <c r="V605" s="49"/>
      <c r="W605" s="60">
        <f>'Volunteer Survey'!P1015</f>
        <v>0</v>
      </c>
      <c r="X605" s="49"/>
      <c r="Y605" s="47"/>
      <c r="Z605" s="175" t="str">
        <f ca="1">IFERROR(__xludf.DUMMYFUNCTION("QUERY('Volunteer Survey'!A604)"),"")</f>
        <v/>
      </c>
      <c r="AA605" s="175" t="str">
        <f ca="1">IFERROR(__xludf.DUMMYFUNCTION("QUERY('Volunteer Survey'!B604)"),"")</f>
        <v/>
      </c>
      <c r="AB605" s="175" t="str">
        <f ca="1">IFERROR(__xludf.DUMMYFUNCTION("QUERY('Volunteer Survey'!C604)"),"")</f>
        <v/>
      </c>
      <c r="AC605" s="175" t="str">
        <f ca="1">IFERROR(__xludf.DUMMYFUNCTION("QUERY('Volunteer Survey'!D604)"),"")</f>
        <v/>
      </c>
      <c r="AD605" s="175" t="str">
        <f ca="1">IFERROR(__xludf.DUMMYFUNCTION("QUERY('Volunteer Survey'!E604)"),"")</f>
        <v/>
      </c>
      <c r="AE605" s="175" t="str">
        <f ca="1">IFERROR(__xludf.DUMMYFUNCTION("QUERY('Volunteer Survey'!F604)"),"")</f>
        <v/>
      </c>
      <c r="AF605" s="175" t="str">
        <f ca="1">IFERROR(__xludf.DUMMYFUNCTION("QUERY('Volunteer Survey'!G604)"),"")</f>
        <v/>
      </c>
      <c r="AG605" s="175" t="str">
        <f ca="1">IFERROR(__xludf.DUMMYFUNCTION("QUERY('Volunteer Survey'!H604)"),"")</f>
        <v/>
      </c>
      <c r="AH605" s="175" t="str">
        <f ca="1">IFERROR(__xludf.DUMMYFUNCTION("QUERY('Volunteer Survey'!I604)"),"")</f>
        <v/>
      </c>
      <c r="AI605" s="175" t="str">
        <f ca="1">IFERROR(__xludf.DUMMYFUNCTION("QUERY('Volunteer Survey'!J604)"),"")</f>
        <v/>
      </c>
      <c r="AJ605" s="175" t="str">
        <f ca="1">IFERROR(__xludf.DUMMYFUNCTION("QUERY('Volunteer Survey'!K604)"),"")</f>
        <v/>
      </c>
      <c r="AK605" s="175" t="str">
        <f ca="1">IFERROR(__xludf.DUMMYFUNCTION("QUERY('Volunteer Survey'!L604)"),"")</f>
        <v/>
      </c>
      <c r="AL605" s="175" t="str">
        <f ca="1">IFERROR(__xludf.DUMMYFUNCTION("QUERY('Volunteer Survey'!M604)"),"")</f>
        <v/>
      </c>
      <c r="AM605" s="175" t="str">
        <f ca="1">IFERROR(__xludf.DUMMYFUNCTION("QUERY('Volunteer Survey'!N604)"),"")</f>
        <v/>
      </c>
      <c r="AN605" s="175" t="str">
        <f ca="1">IFERROR(__xludf.DUMMYFUNCTION("QUERY('Volunteer Survey'!O604)"),"")</f>
        <v/>
      </c>
      <c r="AO605" s="175" t="str">
        <f ca="1">IFERROR(__xludf.DUMMYFUNCTION("QUERY('Volunteer Survey'!P604)"),"")</f>
        <v/>
      </c>
    </row>
    <row r="606" spans="1:41" ht="14">
      <c r="A606" s="49"/>
      <c r="B606" s="49"/>
      <c r="C606" s="47"/>
      <c r="D606" s="49"/>
      <c r="E606" s="49"/>
      <c r="F606" s="49" t="b">
        <v>0</v>
      </c>
      <c r="G606" s="49"/>
      <c r="H606" s="47"/>
      <c r="I606" s="47"/>
      <c r="J606" s="49"/>
      <c r="K606" s="49"/>
      <c r="L606" s="49"/>
      <c r="M606" s="49"/>
      <c r="N606" s="49"/>
      <c r="O606" s="49" t="b">
        <v>0</v>
      </c>
      <c r="P606" s="49"/>
      <c r="Q606" s="54">
        <f>'Volunteer Survey'!J1016</f>
        <v>0</v>
      </c>
      <c r="R606" s="49"/>
      <c r="S606" s="49"/>
      <c r="T606" s="49"/>
      <c r="U606" s="58"/>
      <c r="V606" s="49"/>
      <c r="W606" s="60">
        <f>'Volunteer Survey'!P1016</f>
        <v>0</v>
      </c>
      <c r="X606" s="49"/>
      <c r="Y606" s="47"/>
      <c r="Z606" s="175" t="str">
        <f ca="1">IFERROR(__xludf.DUMMYFUNCTION("QUERY('Volunteer Survey'!A605)"),"")</f>
        <v/>
      </c>
      <c r="AA606" s="175" t="str">
        <f ca="1">IFERROR(__xludf.DUMMYFUNCTION("QUERY('Volunteer Survey'!B605)"),"")</f>
        <v/>
      </c>
      <c r="AB606" s="175" t="str">
        <f ca="1">IFERROR(__xludf.DUMMYFUNCTION("QUERY('Volunteer Survey'!C605)"),"")</f>
        <v/>
      </c>
      <c r="AC606" s="175" t="str">
        <f ca="1">IFERROR(__xludf.DUMMYFUNCTION("QUERY('Volunteer Survey'!D605)"),"")</f>
        <v/>
      </c>
      <c r="AD606" s="175" t="str">
        <f ca="1">IFERROR(__xludf.DUMMYFUNCTION("QUERY('Volunteer Survey'!E605)"),"")</f>
        <v/>
      </c>
      <c r="AE606" s="175" t="str">
        <f ca="1">IFERROR(__xludf.DUMMYFUNCTION("QUERY('Volunteer Survey'!F605)"),"")</f>
        <v/>
      </c>
      <c r="AF606" s="175" t="str">
        <f ca="1">IFERROR(__xludf.DUMMYFUNCTION("QUERY('Volunteer Survey'!G605)"),"")</f>
        <v/>
      </c>
      <c r="AG606" s="175" t="str">
        <f ca="1">IFERROR(__xludf.DUMMYFUNCTION("QUERY('Volunteer Survey'!H605)"),"")</f>
        <v/>
      </c>
      <c r="AH606" s="175" t="str">
        <f ca="1">IFERROR(__xludf.DUMMYFUNCTION("QUERY('Volunteer Survey'!I605)"),"")</f>
        <v/>
      </c>
      <c r="AI606" s="175" t="str">
        <f ca="1">IFERROR(__xludf.DUMMYFUNCTION("QUERY('Volunteer Survey'!J605)"),"")</f>
        <v/>
      </c>
      <c r="AJ606" s="175" t="str">
        <f ca="1">IFERROR(__xludf.DUMMYFUNCTION("QUERY('Volunteer Survey'!K605)"),"")</f>
        <v/>
      </c>
      <c r="AK606" s="175" t="str">
        <f ca="1">IFERROR(__xludf.DUMMYFUNCTION("QUERY('Volunteer Survey'!L605)"),"")</f>
        <v/>
      </c>
      <c r="AL606" s="175" t="str">
        <f ca="1">IFERROR(__xludf.DUMMYFUNCTION("QUERY('Volunteer Survey'!M605)"),"")</f>
        <v/>
      </c>
      <c r="AM606" s="175" t="str">
        <f ca="1">IFERROR(__xludf.DUMMYFUNCTION("QUERY('Volunteer Survey'!N605)"),"")</f>
        <v/>
      </c>
      <c r="AN606" s="175" t="str">
        <f ca="1">IFERROR(__xludf.DUMMYFUNCTION("QUERY('Volunteer Survey'!O605)"),"")</f>
        <v/>
      </c>
      <c r="AO606" s="175" t="str">
        <f ca="1">IFERROR(__xludf.DUMMYFUNCTION("QUERY('Volunteer Survey'!P605)"),"")</f>
        <v/>
      </c>
    </row>
    <row r="607" spans="1:41" ht="14">
      <c r="A607" s="49"/>
      <c r="B607" s="49"/>
      <c r="C607" s="47"/>
      <c r="D607" s="49"/>
      <c r="E607" s="49"/>
      <c r="F607" s="49" t="b">
        <v>0</v>
      </c>
      <c r="G607" s="49"/>
      <c r="H607" s="47"/>
      <c r="I607" s="47"/>
      <c r="J607" s="49"/>
      <c r="K607" s="49"/>
      <c r="L607" s="49"/>
      <c r="M607" s="49"/>
      <c r="N607" s="49"/>
      <c r="O607" s="49" t="b">
        <v>0</v>
      </c>
      <c r="P607" s="49"/>
      <c r="Q607" s="54">
        <f>'Volunteer Survey'!J1017</f>
        <v>0</v>
      </c>
      <c r="R607" s="49"/>
      <c r="S607" s="49"/>
      <c r="T607" s="49"/>
      <c r="U607" s="58"/>
      <c r="V607" s="49"/>
      <c r="W607" s="60">
        <f>'Volunteer Survey'!P1017</f>
        <v>0</v>
      </c>
      <c r="X607" s="49"/>
      <c r="Y607" s="47"/>
      <c r="Z607" s="175" t="str">
        <f ca="1">IFERROR(__xludf.DUMMYFUNCTION("QUERY('Volunteer Survey'!A606)"),"")</f>
        <v/>
      </c>
      <c r="AA607" s="175" t="str">
        <f ca="1">IFERROR(__xludf.DUMMYFUNCTION("QUERY('Volunteer Survey'!B606)"),"")</f>
        <v/>
      </c>
      <c r="AB607" s="175" t="str">
        <f ca="1">IFERROR(__xludf.DUMMYFUNCTION("QUERY('Volunteer Survey'!C606)"),"")</f>
        <v/>
      </c>
      <c r="AC607" s="175" t="str">
        <f ca="1">IFERROR(__xludf.DUMMYFUNCTION("QUERY('Volunteer Survey'!D606)"),"")</f>
        <v/>
      </c>
      <c r="AD607" s="175" t="str">
        <f ca="1">IFERROR(__xludf.DUMMYFUNCTION("QUERY('Volunteer Survey'!E606)"),"")</f>
        <v/>
      </c>
      <c r="AE607" s="175" t="str">
        <f ca="1">IFERROR(__xludf.DUMMYFUNCTION("QUERY('Volunteer Survey'!F606)"),"")</f>
        <v/>
      </c>
      <c r="AF607" s="175" t="str">
        <f ca="1">IFERROR(__xludf.DUMMYFUNCTION("QUERY('Volunteer Survey'!G606)"),"")</f>
        <v/>
      </c>
      <c r="AG607" s="175" t="str">
        <f ca="1">IFERROR(__xludf.DUMMYFUNCTION("QUERY('Volunteer Survey'!H606)"),"")</f>
        <v/>
      </c>
      <c r="AH607" s="175" t="str">
        <f ca="1">IFERROR(__xludf.DUMMYFUNCTION("QUERY('Volunteer Survey'!I606)"),"")</f>
        <v/>
      </c>
      <c r="AI607" s="175" t="str">
        <f ca="1">IFERROR(__xludf.DUMMYFUNCTION("QUERY('Volunteer Survey'!J606)"),"")</f>
        <v/>
      </c>
      <c r="AJ607" s="175" t="str">
        <f ca="1">IFERROR(__xludf.DUMMYFUNCTION("QUERY('Volunteer Survey'!K606)"),"")</f>
        <v/>
      </c>
      <c r="AK607" s="175" t="str">
        <f ca="1">IFERROR(__xludf.DUMMYFUNCTION("QUERY('Volunteer Survey'!L606)"),"")</f>
        <v/>
      </c>
      <c r="AL607" s="175" t="str">
        <f ca="1">IFERROR(__xludf.DUMMYFUNCTION("QUERY('Volunteer Survey'!M606)"),"")</f>
        <v/>
      </c>
      <c r="AM607" s="175" t="str">
        <f ca="1">IFERROR(__xludf.DUMMYFUNCTION("QUERY('Volunteer Survey'!N606)"),"")</f>
        <v/>
      </c>
      <c r="AN607" s="175" t="str">
        <f ca="1">IFERROR(__xludf.DUMMYFUNCTION("QUERY('Volunteer Survey'!O606)"),"")</f>
        <v/>
      </c>
      <c r="AO607" s="175" t="str">
        <f ca="1">IFERROR(__xludf.DUMMYFUNCTION("QUERY('Volunteer Survey'!P606)"),"")</f>
        <v/>
      </c>
    </row>
    <row r="608" spans="1:41" ht="14">
      <c r="A608" s="49"/>
      <c r="B608" s="49"/>
      <c r="C608" s="47"/>
      <c r="D608" s="49"/>
      <c r="E608" s="49"/>
      <c r="F608" s="49" t="b">
        <v>0</v>
      </c>
      <c r="G608" s="49"/>
      <c r="H608" s="47"/>
      <c r="I608" s="47"/>
      <c r="J608" s="49"/>
      <c r="K608" s="49"/>
      <c r="L608" s="49"/>
      <c r="M608" s="49"/>
      <c r="N608" s="49"/>
      <c r="O608" s="49" t="b">
        <v>0</v>
      </c>
      <c r="P608" s="49"/>
      <c r="Q608" s="54">
        <f>'Volunteer Survey'!J1018</f>
        <v>0</v>
      </c>
      <c r="R608" s="49"/>
      <c r="S608" s="49"/>
      <c r="T608" s="49"/>
      <c r="U608" s="58"/>
      <c r="V608" s="49"/>
      <c r="W608" s="60">
        <f>'Volunteer Survey'!P1018</f>
        <v>0</v>
      </c>
      <c r="X608" s="49"/>
      <c r="Y608" s="47"/>
      <c r="Z608" s="175" t="str">
        <f ca="1">IFERROR(__xludf.DUMMYFUNCTION("QUERY('Volunteer Survey'!A607)"),"")</f>
        <v/>
      </c>
      <c r="AA608" s="175" t="str">
        <f ca="1">IFERROR(__xludf.DUMMYFUNCTION("QUERY('Volunteer Survey'!B607)"),"")</f>
        <v/>
      </c>
      <c r="AB608" s="175" t="str">
        <f ca="1">IFERROR(__xludf.DUMMYFUNCTION("QUERY('Volunteer Survey'!C607)"),"")</f>
        <v/>
      </c>
      <c r="AC608" s="175" t="str">
        <f ca="1">IFERROR(__xludf.DUMMYFUNCTION("QUERY('Volunteer Survey'!D607)"),"")</f>
        <v/>
      </c>
      <c r="AD608" s="175" t="str">
        <f ca="1">IFERROR(__xludf.DUMMYFUNCTION("QUERY('Volunteer Survey'!E607)"),"")</f>
        <v/>
      </c>
      <c r="AE608" s="175" t="str">
        <f ca="1">IFERROR(__xludf.DUMMYFUNCTION("QUERY('Volunteer Survey'!F607)"),"")</f>
        <v/>
      </c>
      <c r="AF608" s="175" t="str">
        <f ca="1">IFERROR(__xludf.DUMMYFUNCTION("QUERY('Volunteer Survey'!G607)"),"")</f>
        <v/>
      </c>
      <c r="AG608" s="175" t="str">
        <f ca="1">IFERROR(__xludf.DUMMYFUNCTION("QUERY('Volunteer Survey'!H607)"),"")</f>
        <v/>
      </c>
      <c r="AH608" s="175" t="str">
        <f ca="1">IFERROR(__xludf.DUMMYFUNCTION("QUERY('Volunteer Survey'!I607)"),"")</f>
        <v/>
      </c>
      <c r="AI608" s="175" t="str">
        <f ca="1">IFERROR(__xludf.DUMMYFUNCTION("QUERY('Volunteer Survey'!J607)"),"")</f>
        <v/>
      </c>
      <c r="AJ608" s="175" t="str">
        <f ca="1">IFERROR(__xludf.DUMMYFUNCTION("QUERY('Volunteer Survey'!K607)"),"")</f>
        <v/>
      </c>
      <c r="AK608" s="175" t="str">
        <f ca="1">IFERROR(__xludf.DUMMYFUNCTION("QUERY('Volunteer Survey'!L607)"),"")</f>
        <v/>
      </c>
      <c r="AL608" s="175" t="str">
        <f ca="1">IFERROR(__xludf.DUMMYFUNCTION("QUERY('Volunteer Survey'!M607)"),"")</f>
        <v/>
      </c>
      <c r="AM608" s="175" t="str">
        <f ca="1">IFERROR(__xludf.DUMMYFUNCTION("QUERY('Volunteer Survey'!N607)"),"")</f>
        <v/>
      </c>
      <c r="AN608" s="175" t="str">
        <f ca="1">IFERROR(__xludf.DUMMYFUNCTION("QUERY('Volunteer Survey'!O607)"),"")</f>
        <v/>
      </c>
      <c r="AO608" s="175" t="str">
        <f ca="1">IFERROR(__xludf.DUMMYFUNCTION("QUERY('Volunteer Survey'!P607)"),"")</f>
        <v/>
      </c>
    </row>
    <row r="609" spans="1:41" ht="14">
      <c r="A609" s="49"/>
      <c r="B609" s="49"/>
      <c r="C609" s="47"/>
      <c r="D609" s="49"/>
      <c r="E609" s="49"/>
      <c r="F609" s="49" t="b">
        <v>0</v>
      </c>
      <c r="G609" s="49"/>
      <c r="H609" s="47"/>
      <c r="I609" s="47"/>
      <c r="J609" s="49"/>
      <c r="K609" s="49"/>
      <c r="L609" s="49"/>
      <c r="M609" s="49"/>
      <c r="N609" s="49"/>
      <c r="O609" s="49" t="b">
        <v>0</v>
      </c>
      <c r="P609" s="49"/>
      <c r="Q609" s="54">
        <f>'Volunteer Survey'!J1019</f>
        <v>0</v>
      </c>
      <c r="R609" s="49"/>
      <c r="S609" s="49"/>
      <c r="T609" s="49"/>
      <c r="U609" s="58"/>
      <c r="V609" s="49"/>
      <c r="W609" s="60">
        <f>'Volunteer Survey'!P1019</f>
        <v>0</v>
      </c>
      <c r="X609" s="49"/>
      <c r="Y609" s="47"/>
      <c r="Z609" s="175" t="str">
        <f ca="1">IFERROR(__xludf.DUMMYFUNCTION("QUERY('Volunteer Survey'!A608)"),"")</f>
        <v/>
      </c>
      <c r="AA609" s="175" t="str">
        <f ca="1">IFERROR(__xludf.DUMMYFUNCTION("QUERY('Volunteer Survey'!B608)"),"")</f>
        <v/>
      </c>
      <c r="AB609" s="175" t="str">
        <f ca="1">IFERROR(__xludf.DUMMYFUNCTION("QUERY('Volunteer Survey'!C608)"),"")</f>
        <v/>
      </c>
      <c r="AC609" s="175" t="str">
        <f ca="1">IFERROR(__xludf.DUMMYFUNCTION("QUERY('Volunteer Survey'!D608)"),"")</f>
        <v/>
      </c>
      <c r="AD609" s="175" t="str">
        <f ca="1">IFERROR(__xludf.DUMMYFUNCTION("QUERY('Volunteer Survey'!E608)"),"")</f>
        <v/>
      </c>
      <c r="AE609" s="175" t="str">
        <f ca="1">IFERROR(__xludf.DUMMYFUNCTION("QUERY('Volunteer Survey'!F608)"),"")</f>
        <v/>
      </c>
      <c r="AF609" s="175" t="str">
        <f ca="1">IFERROR(__xludf.DUMMYFUNCTION("QUERY('Volunteer Survey'!G608)"),"")</f>
        <v/>
      </c>
      <c r="AG609" s="175" t="str">
        <f ca="1">IFERROR(__xludf.DUMMYFUNCTION("QUERY('Volunteer Survey'!H608)"),"")</f>
        <v/>
      </c>
      <c r="AH609" s="175" t="str">
        <f ca="1">IFERROR(__xludf.DUMMYFUNCTION("QUERY('Volunteer Survey'!I608)"),"")</f>
        <v/>
      </c>
      <c r="AI609" s="175" t="str">
        <f ca="1">IFERROR(__xludf.DUMMYFUNCTION("QUERY('Volunteer Survey'!J608)"),"")</f>
        <v/>
      </c>
      <c r="AJ609" s="175" t="str">
        <f ca="1">IFERROR(__xludf.DUMMYFUNCTION("QUERY('Volunteer Survey'!K608)"),"")</f>
        <v/>
      </c>
      <c r="AK609" s="175" t="str">
        <f ca="1">IFERROR(__xludf.DUMMYFUNCTION("QUERY('Volunteer Survey'!L608)"),"")</f>
        <v/>
      </c>
      <c r="AL609" s="175" t="str">
        <f ca="1">IFERROR(__xludf.DUMMYFUNCTION("QUERY('Volunteer Survey'!M608)"),"")</f>
        <v/>
      </c>
      <c r="AM609" s="175" t="str">
        <f ca="1">IFERROR(__xludf.DUMMYFUNCTION("QUERY('Volunteer Survey'!N608)"),"")</f>
        <v/>
      </c>
      <c r="AN609" s="175" t="str">
        <f ca="1">IFERROR(__xludf.DUMMYFUNCTION("QUERY('Volunteer Survey'!O608)"),"")</f>
        <v/>
      </c>
      <c r="AO609" s="175" t="str">
        <f ca="1">IFERROR(__xludf.DUMMYFUNCTION("QUERY('Volunteer Survey'!P608)"),"")</f>
        <v/>
      </c>
    </row>
    <row r="610" spans="1:41" ht="14">
      <c r="A610" s="49"/>
      <c r="B610" s="49"/>
      <c r="C610" s="47"/>
      <c r="D610" s="49"/>
      <c r="E610" s="49"/>
      <c r="F610" s="49" t="b">
        <v>0</v>
      </c>
      <c r="G610" s="49"/>
      <c r="H610" s="47"/>
      <c r="I610" s="47"/>
      <c r="J610" s="49"/>
      <c r="K610" s="49"/>
      <c r="L610" s="49"/>
      <c r="M610" s="49"/>
      <c r="N610" s="49"/>
      <c r="O610" s="49" t="b">
        <v>0</v>
      </c>
      <c r="P610" s="49"/>
      <c r="Q610" s="54">
        <f>'Volunteer Survey'!J1020</f>
        <v>0</v>
      </c>
      <c r="R610" s="49"/>
      <c r="S610" s="49"/>
      <c r="T610" s="49"/>
      <c r="U610" s="58"/>
      <c r="V610" s="49"/>
      <c r="W610" s="60">
        <f>'Volunteer Survey'!P1020</f>
        <v>0</v>
      </c>
      <c r="X610" s="49"/>
      <c r="Y610" s="47"/>
      <c r="Z610" s="175" t="str">
        <f ca="1">IFERROR(__xludf.DUMMYFUNCTION("QUERY('Volunteer Survey'!A609)"),"")</f>
        <v/>
      </c>
      <c r="AA610" s="175" t="str">
        <f ca="1">IFERROR(__xludf.DUMMYFUNCTION("QUERY('Volunteer Survey'!B609)"),"")</f>
        <v/>
      </c>
      <c r="AB610" s="175" t="str">
        <f ca="1">IFERROR(__xludf.DUMMYFUNCTION("QUERY('Volunteer Survey'!C609)"),"")</f>
        <v/>
      </c>
      <c r="AC610" s="175" t="str">
        <f ca="1">IFERROR(__xludf.DUMMYFUNCTION("QUERY('Volunteer Survey'!D609)"),"")</f>
        <v/>
      </c>
      <c r="AD610" s="175" t="str">
        <f ca="1">IFERROR(__xludf.DUMMYFUNCTION("QUERY('Volunteer Survey'!E609)"),"")</f>
        <v/>
      </c>
      <c r="AE610" s="175" t="str">
        <f ca="1">IFERROR(__xludf.DUMMYFUNCTION("QUERY('Volunteer Survey'!F609)"),"")</f>
        <v/>
      </c>
      <c r="AF610" s="175" t="str">
        <f ca="1">IFERROR(__xludf.DUMMYFUNCTION("QUERY('Volunteer Survey'!G609)"),"")</f>
        <v/>
      </c>
      <c r="AG610" s="175" t="str">
        <f ca="1">IFERROR(__xludf.DUMMYFUNCTION("QUERY('Volunteer Survey'!H609)"),"")</f>
        <v/>
      </c>
      <c r="AH610" s="175" t="str">
        <f ca="1">IFERROR(__xludf.DUMMYFUNCTION("QUERY('Volunteer Survey'!I609)"),"")</f>
        <v/>
      </c>
      <c r="AI610" s="175" t="str">
        <f ca="1">IFERROR(__xludf.DUMMYFUNCTION("QUERY('Volunteer Survey'!J609)"),"")</f>
        <v/>
      </c>
      <c r="AJ610" s="175" t="str">
        <f ca="1">IFERROR(__xludf.DUMMYFUNCTION("QUERY('Volunteer Survey'!K609)"),"")</f>
        <v/>
      </c>
      <c r="AK610" s="175" t="str">
        <f ca="1">IFERROR(__xludf.DUMMYFUNCTION("QUERY('Volunteer Survey'!L609)"),"")</f>
        <v/>
      </c>
      <c r="AL610" s="175" t="str">
        <f ca="1">IFERROR(__xludf.DUMMYFUNCTION("QUERY('Volunteer Survey'!M609)"),"")</f>
        <v/>
      </c>
      <c r="AM610" s="175" t="str">
        <f ca="1">IFERROR(__xludf.DUMMYFUNCTION("QUERY('Volunteer Survey'!N609)"),"")</f>
        <v/>
      </c>
      <c r="AN610" s="175" t="str">
        <f ca="1">IFERROR(__xludf.DUMMYFUNCTION("QUERY('Volunteer Survey'!O609)"),"")</f>
        <v/>
      </c>
      <c r="AO610" s="175" t="str">
        <f ca="1">IFERROR(__xludf.DUMMYFUNCTION("QUERY('Volunteer Survey'!P609)"),"")</f>
        <v/>
      </c>
    </row>
    <row r="611" spans="1:41" ht="14">
      <c r="A611" s="49"/>
      <c r="B611" s="49"/>
      <c r="C611" s="47"/>
      <c r="D611" s="49"/>
      <c r="E611" s="49"/>
      <c r="F611" s="49" t="b">
        <v>0</v>
      </c>
      <c r="G611" s="49"/>
      <c r="H611" s="47"/>
      <c r="I611" s="47"/>
      <c r="J611" s="49"/>
      <c r="K611" s="49"/>
      <c r="L611" s="49"/>
      <c r="M611" s="49"/>
      <c r="N611" s="49"/>
      <c r="O611" s="49" t="b">
        <v>0</v>
      </c>
      <c r="P611" s="49"/>
      <c r="Q611" s="49"/>
      <c r="R611" s="49"/>
      <c r="S611" s="49"/>
      <c r="T611" s="49"/>
      <c r="U611" s="58"/>
      <c r="V611" s="49"/>
      <c r="W611" s="60">
        <f>'Volunteer Survey'!P1021</f>
        <v>0</v>
      </c>
      <c r="X611" s="49"/>
      <c r="Y611" s="47"/>
      <c r="Z611" s="175" t="str">
        <f ca="1">IFERROR(__xludf.DUMMYFUNCTION("QUERY('Volunteer Survey'!A610)"),"")</f>
        <v/>
      </c>
      <c r="AA611" s="175" t="str">
        <f ca="1">IFERROR(__xludf.DUMMYFUNCTION("QUERY('Volunteer Survey'!B610)"),"")</f>
        <v/>
      </c>
      <c r="AB611" s="175" t="str">
        <f ca="1">IFERROR(__xludf.DUMMYFUNCTION("QUERY('Volunteer Survey'!C610)"),"")</f>
        <v/>
      </c>
      <c r="AC611" s="175" t="str">
        <f ca="1">IFERROR(__xludf.DUMMYFUNCTION("QUERY('Volunteer Survey'!D610)"),"")</f>
        <v/>
      </c>
      <c r="AD611" s="175" t="str">
        <f ca="1">IFERROR(__xludf.DUMMYFUNCTION("QUERY('Volunteer Survey'!E610)"),"")</f>
        <v/>
      </c>
      <c r="AE611" s="175" t="str">
        <f ca="1">IFERROR(__xludf.DUMMYFUNCTION("QUERY('Volunteer Survey'!F610)"),"")</f>
        <v/>
      </c>
      <c r="AF611" s="175" t="str">
        <f ca="1">IFERROR(__xludf.DUMMYFUNCTION("QUERY('Volunteer Survey'!G610)"),"")</f>
        <v/>
      </c>
      <c r="AG611" s="175" t="str">
        <f ca="1">IFERROR(__xludf.DUMMYFUNCTION("QUERY('Volunteer Survey'!H610)"),"")</f>
        <v/>
      </c>
      <c r="AH611" s="175" t="str">
        <f ca="1">IFERROR(__xludf.DUMMYFUNCTION("QUERY('Volunteer Survey'!I610)"),"")</f>
        <v/>
      </c>
      <c r="AI611" s="175" t="str">
        <f ca="1">IFERROR(__xludf.DUMMYFUNCTION("QUERY('Volunteer Survey'!J610)"),"")</f>
        <v/>
      </c>
      <c r="AJ611" s="175" t="str">
        <f ca="1">IFERROR(__xludf.DUMMYFUNCTION("QUERY('Volunteer Survey'!K610)"),"")</f>
        <v/>
      </c>
      <c r="AK611" s="175" t="str">
        <f ca="1">IFERROR(__xludf.DUMMYFUNCTION("QUERY('Volunteer Survey'!L610)"),"")</f>
        <v/>
      </c>
      <c r="AL611" s="175" t="str">
        <f ca="1">IFERROR(__xludf.DUMMYFUNCTION("QUERY('Volunteer Survey'!M610)"),"")</f>
        <v/>
      </c>
      <c r="AM611" s="175" t="str">
        <f ca="1">IFERROR(__xludf.DUMMYFUNCTION("QUERY('Volunteer Survey'!N610)"),"")</f>
        <v/>
      </c>
      <c r="AN611" s="175" t="str">
        <f ca="1">IFERROR(__xludf.DUMMYFUNCTION("QUERY('Volunteer Survey'!O610)"),"")</f>
        <v/>
      </c>
      <c r="AO611" s="175" t="str">
        <f ca="1">IFERROR(__xludf.DUMMYFUNCTION("QUERY('Volunteer Survey'!P610)"),"")</f>
        <v/>
      </c>
    </row>
    <row r="612" spans="1:41" ht="14">
      <c r="A612" s="49"/>
      <c r="B612" s="49"/>
      <c r="C612" s="47"/>
      <c r="D612" s="49"/>
      <c r="E612" s="49"/>
      <c r="F612" s="49" t="b">
        <v>0</v>
      </c>
      <c r="G612" s="49"/>
      <c r="H612" s="47"/>
      <c r="I612" s="47"/>
      <c r="J612" s="49"/>
      <c r="K612" s="49"/>
      <c r="L612" s="49"/>
      <c r="M612" s="49"/>
      <c r="N612" s="49"/>
      <c r="O612" s="49" t="b">
        <v>0</v>
      </c>
      <c r="P612" s="49"/>
      <c r="Q612" s="49"/>
      <c r="R612" s="49"/>
      <c r="S612" s="49"/>
      <c r="T612" s="49"/>
      <c r="U612" s="58"/>
      <c r="V612" s="49"/>
      <c r="W612" s="60">
        <f>'Volunteer Survey'!P1022</f>
        <v>0</v>
      </c>
      <c r="X612" s="49"/>
      <c r="Y612" s="47"/>
      <c r="Z612" s="175" t="str">
        <f ca="1">IFERROR(__xludf.DUMMYFUNCTION("QUERY('Volunteer Survey'!A611)"),"")</f>
        <v/>
      </c>
      <c r="AA612" s="175" t="str">
        <f ca="1">IFERROR(__xludf.DUMMYFUNCTION("QUERY('Volunteer Survey'!B611)"),"")</f>
        <v/>
      </c>
      <c r="AB612" s="175" t="str">
        <f ca="1">IFERROR(__xludf.DUMMYFUNCTION("QUERY('Volunteer Survey'!C611)"),"")</f>
        <v/>
      </c>
      <c r="AC612" s="175" t="str">
        <f ca="1">IFERROR(__xludf.DUMMYFUNCTION("QUERY('Volunteer Survey'!D611)"),"")</f>
        <v/>
      </c>
      <c r="AD612" s="175" t="str">
        <f ca="1">IFERROR(__xludf.DUMMYFUNCTION("QUERY('Volunteer Survey'!E611)"),"")</f>
        <v/>
      </c>
      <c r="AE612" s="175" t="str">
        <f ca="1">IFERROR(__xludf.DUMMYFUNCTION("QUERY('Volunteer Survey'!F611)"),"")</f>
        <v/>
      </c>
      <c r="AF612" s="175" t="str">
        <f ca="1">IFERROR(__xludf.DUMMYFUNCTION("QUERY('Volunteer Survey'!G611)"),"")</f>
        <v/>
      </c>
      <c r="AG612" s="175" t="str">
        <f ca="1">IFERROR(__xludf.DUMMYFUNCTION("QUERY('Volunteer Survey'!H611)"),"")</f>
        <v/>
      </c>
      <c r="AH612" s="175" t="str">
        <f ca="1">IFERROR(__xludf.DUMMYFUNCTION("QUERY('Volunteer Survey'!I611)"),"")</f>
        <v/>
      </c>
      <c r="AI612" s="175" t="str">
        <f ca="1">IFERROR(__xludf.DUMMYFUNCTION("QUERY('Volunteer Survey'!J611)"),"")</f>
        <v/>
      </c>
      <c r="AJ612" s="175" t="str">
        <f ca="1">IFERROR(__xludf.DUMMYFUNCTION("QUERY('Volunteer Survey'!K611)"),"")</f>
        <v/>
      </c>
      <c r="AK612" s="175" t="str">
        <f ca="1">IFERROR(__xludf.DUMMYFUNCTION("QUERY('Volunteer Survey'!L611)"),"")</f>
        <v/>
      </c>
      <c r="AL612" s="175" t="str">
        <f ca="1">IFERROR(__xludf.DUMMYFUNCTION("QUERY('Volunteer Survey'!M611)"),"")</f>
        <v/>
      </c>
      <c r="AM612" s="175" t="str">
        <f ca="1">IFERROR(__xludf.DUMMYFUNCTION("QUERY('Volunteer Survey'!N611)"),"")</f>
        <v/>
      </c>
      <c r="AN612" s="175" t="str">
        <f ca="1">IFERROR(__xludf.DUMMYFUNCTION("QUERY('Volunteer Survey'!O611)"),"")</f>
        <v/>
      </c>
      <c r="AO612" s="175" t="str">
        <f ca="1">IFERROR(__xludf.DUMMYFUNCTION("QUERY('Volunteer Survey'!P611)"),"")</f>
        <v/>
      </c>
    </row>
    <row r="613" spans="1:41" ht="14">
      <c r="A613" s="49"/>
      <c r="B613" s="49"/>
      <c r="C613" s="47"/>
      <c r="D613" s="49"/>
      <c r="E613" s="49"/>
      <c r="F613" s="49" t="b">
        <v>0</v>
      </c>
      <c r="G613" s="49"/>
      <c r="H613" s="47"/>
      <c r="I613" s="47"/>
      <c r="J613" s="49"/>
      <c r="K613" s="49"/>
      <c r="L613" s="49"/>
      <c r="M613" s="49"/>
      <c r="N613" s="49"/>
      <c r="O613" s="49" t="b">
        <v>0</v>
      </c>
      <c r="P613" s="49"/>
      <c r="Q613" s="49"/>
      <c r="R613" s="49"/>
      <c r="S613" s="49"/>
      <c r="T613" s="49"/>
      <c r="U613" s="58"/>
      <c r="V613" s="49"/>
      <c r="W613" s="60">
        <f>'Volunteer Survey'!P1023</f>
        <v>0</v>
      </c>
      <c r="X613" s="49"/>
      <c r="Y613" s="47"/>
      <c r="Z613" s="175" t="str">
        <f ca="1">IFERROR(__xludf.DUMMYFUNCTION("QUERY('Volunteer Survey'!A612)"),"")</f>
        <v/>
      </c>
      <c r="AA613" s="175" t="str">
        <f ca="1">IFERROR(__xludf.DUMMYFUNCTION("QUERY('Volunteer Survey'!B612)"),"")</f>
        <v/>
      </c>
      <c r="AB613" s="175" t="str">
        <f ca="1">IFERROR(__xludf.DUMMYFUNCTION("QUERY('Volunteer Survey'!C612)"),"")</f>
        <v/>
      </c>
      <c r="AC613" s="175" t="str">
        <f ca="1">IFERROR(__xludf.DUMMYFUNCTION("QUERY('Volunteer Survey'!D612)"),"")</f>
        <v/>
      </c>
      <c r="AD613" s="175" t="str">
        <f ca="1">IFERROR(__xludf.DUMMYFUNCTION("QUERY('Volunteer Survey'!E612)"),"")</f>
        <v/>
      </c>
      <c r="AE613" s="175" t="str">
        <f ca="1">IFERROR(__xludf.DUMMYFUNCTION("QUERY('Volunteer Survey'!F612)"),"")</f>
        <v/>
      </c>
      <c r="AF613" s="175" t="str">
        <f ca="1">IFERROR(__xludf.DUMMYFUNCTION("QUERY('Volunteer Survey'!G612)"),"")</f>
        <v/>
      </c>
      <c r="AG613" s="175" t="str">
        <f ca="1">IFERROR(__xludf.DUMMYFUNCTION("QUERY('Volunteer Survey'!H612)"),"")</f>
        <v/>
      </c>
      <c r="AH613" s="175" t="str">
        <f ca="1">IFERROR(__xludf.DUMMYFUNCTION("QUERY('Volunteer Survey'!I612)"),"")</f>
        <v/>
      </c>
      <c r="AI613" s="175" t="str">
        <f ca="1">IFERROR(__xludf.DUMMYFUNCTION("QUERY('Volunteer Survey'!J612)"),"")</f>
        <v/>
      </c>
      <c r="AJ613" s="175" t="str">
        <f ca="1">IFERROR(__xludf.DUMMYFUNCTION("QUERY('Volunteer Survey'!K612)"),"")</f>
        <v/>
      </c>
      <c r="AK613" s="175" t="str">
        <f ca="1">IFERROR(__xludf.DUMMYFUNCTION("QUERY('Volunteer Survey'!L612)"),"")</f>
        <v/>
      </c>
      <c r="AL613" s="175" t="str">
        <f ca="1">IFERROR(__xludf.DUMMYFUNCTION("QUERY('Volunteer Survey'!M612)"),"")</f>
        <v/>
      </c>
      <c r="AM613" s="175" t="str">
        <f ca="1">IFERROR(__xludf.DUMMYFUNCTION("QUERY('Volunteer Survey'!N612)"),"")</f>
        <v/>
      </c>
      <c r="AN613" s="175" t="str">
        <f ca="1">IFERROR(__xludf.DUMMYFUNCTION("QUERY('Volunteer Survey'!O612)"),"")</f>
        <v/>
      </c>
      <c r="AO613" s="175" t="str">
        <f ca="1">IFERROR(__xludf.DUMMYFUNCTION("QUERY('Volunteer Survey'!P612)"),"")</f>
        <v/>
      </c>
    </row>
    <row r="614" spans="1:41" ht="14">
      <c r="A614" s="49"/>
      <c r="B614" s="49"/>
      <c r="C614" s="47"/>
      <c r="D614" s="49"/>
      <c r="E614" s="49"/>
      <c r="F614" s="49" t="b">
        <v>0</v>
      </c>
      <c r="G614" s="49"/>
      <c r="H614" s="47"/>
      <c r="I614" s="47"/>
      <c r="J614" s="49"/>
      <c r="K614" s="49"/>
      <c r="L614" s="49"/>
      <c r="M614" s="49"/>
      <c r="N614" s="49"/>
      <c r="O614" s="49" t="b">
        <v>0</v>
      </c>
      <c r="P614" s="49"/>
      <c r="Q614" s="49"/>
      <c r="R614" s="49"/>
      <c r="S614" s="49"/>
      <c r="T614" s="49"/>
      <c r="U614" s="58"/>
      <c r="V614" s="49"/>
      <c r="W614" s="60">
        <f>'Volunteer Survey'!P1024</f>
        <v>0</v>
      </c>
      <c r="X614" s="49"/>
      <c r="Y614" s="47"/>
      <c r="Z614" s="175" t="str">
        <f ca="1">IFERROR(__xludf.DUMMYFUNCTION("QUERY('Volunteer Survey'!A613)"),"")</f>
        <v/>
      </c>
      <c r="AA614" s="175" t="str">
        <f ca="1">IFERROR(__xludf.DUMMYFUNCTION("QUERY('Volunteer Survey'!B613)"),"")</f>
        <v/>
      </c>
      <c r="AB614" s="175" t="str">
        <f ca="1">IFERROR(__xludf.DUMMYFUNCTION("QUERY('Volunteer Survey'!C613)"),"")</f>
        <v/>
      </c>
      <c r="AC614" s="175" t="str">
        <f ca="1">IFERROR(__xludf.DUMMYFUNCTION("QUERY('Volunteer Survey'!D613)"),"")</f>
        <v/>
      </c>
      <c r="AD614" s="175" t="str">
        <f ca="1">IFERROR(__xludf.DUMMYFUNCTION("QUERY('Volunteer Survey'!E613)"),"")</f>
        <v/>
      </c>
      <c r="AE614" s="175" t="str">
        <f ca="1">IFERROR(__xludf.DUMMYFUNCTION("QUERY('Volunteer Survey'!F613)"),"")</f>
        <v/>
      </c>
      <c r="AF614" s="175" t="str">
        <f ca="1">IFERROR(__xludf.DUMMYFUNCTION("QUERY('Volunteer Survey'!G613)"),"")</f>
        <v/>
      </c>
      <c r="AG614" s="175" t="str">
        <f ca="1">IFERROR(__xludf.DUMMYFUNCTION("QUERY('Volunteer Survey'!H613)"),"")</f>
        <v/>
      </c>
      <c r="AH614" s="175" t="str">
        <f ca="1">IFERROR(__xludf.DUMMYFUNCTION("QUERY('Volunteer Survey'!I613)"),"")</f>
        <v/>
      </c>
      <c r="AI614" s="175" t="str">
        <f ca="1">IFERROR(__xludf.DUMMYFUNCTION("QUERY('Volunteer Survey'!J613)"),"")</f>
        <v/>
      </c>
      <c r="AJ614" s="175" t="str">
        <f ca="1">IFERROR(__xludf.DUMMYFUNCTION("QUERY('Volunteer Survey'!K613)"),"")</f>
        <v/>
      </c>
      <c r="AK614" s="175" t="str">
        <f ca="1">IFERROR(__xludf.DUMMYFUNCTION("QUERY('Volunteer Survey'!L613)"),"")</f>
        <v/>
      </c>
      <c r="AL614" s="175" t="str">
        <f ca="1">IFERROR(__xludf.DUMMYFUNCTION("QUERY('Volunteer Survey'!M613)"),"")</f>
        <v/>
      </c>
      <c r="AM614" s="175" t="str">
        <f ca="1">IFERROR(__xludf.DUMMYFUNCTION("QUERY('Volunteer Survey'!N613)"),"")</f>
        <v/>
      </c>
      <c r="AN614" s="175" t="str">
        <f ca="1">IFERROR(__xludf.DUMMYFUNCTION("QUERY('Volunteer Survey'!O613)"),"")</f>
        <v/>
      </c>
      <c r="AO614" s="175" t="str">
        <f ca="1">IFERROR(__xludf.DUMMYFUNCTION("QUERY('Volunteer Survey'!P613)"),"")</f>
        <v/>
      </c>
    </row>
    <row r="615" spans="1:41" ht="14">
      <c r="A615" s="49"/>
      <c r="B615" s="49"/>
      <c r="C615" s="47"/>
      <c r="D615" s="49"/>
      <c r="E615" s="49"/>
      <c r="F615" s="49" t="b">
        <v>0</v>
      </c>
      <c r="G615" s="49"/>
      <c r="H615" s="47"/>
      <c r="I615" s="47"/>
      <c r="J615" s="49"/>
      <c r="K615" s="49"/>
      <c r="L615" s="49"/>
      <c r="M615" s="49"/>
      <c r="N615" s="49"/>
      <c r="O615" s="49" t="b">
        <v>0</v>
      </c>
      <c r="P615" s="49"/>
      <c r="Q615" s="49"/>
      <c r="R615" s="49"/>
      <c r="S615" s="49"/>
      <c r="T615" s="49"/>
      <c r="U615" s="58"/>
      <c r="V615" s="49"/>
      <c r="W615" s="60">
        <f>'Volunteer Survey'!P1025</f>
        <v>0</v>
      </c>
      <c r="X615" s="49"/>
      <c r="Y615" s="47"/>
      <c r="Z615" s="175" t="str">
        <f ca="1">IFERROR(__xludf.DUMMYFUNCTION("QUERY('Volunteer Survey'!A614)"),"")</f>
        <v/>
      </c>
      <c r="AA615" s="175" t="str">
        <f ca="1">IFERROR(__xludf.DUMMYFUNCTION("QUERY('Volunteer Survey'!B614)"),"")</f>
        <v/>
      </c>
      <c r="AB615" s="175" t="str">
        <f ca="1">IFERROR(__xludf.DUMMYFUNCTION("QUERY('Volunteer Survey'!C614)"),"")</f>
        <v/>
      </c>
      <c r="AC615" s="175" t="str">
        <f ca="1">IFERROR(__xludf.DUMMYFUNCTION("QUERY('Volunteer Survey'!D614)"),"")</f>
        <v/>
      </c>
      <c r="AD615" s="175" t="str">
        <f ca="1">IFERROR(__xludf.DUMMYFUNCTION("QUERY('Volunteer Survey'!E614)"),"")</f>
        <v/>
      </c>
      <c r="AE615" s="175" t="str">
        <f ca="1">IFERROR(__xludf.DUMMYFUNCTION("QUERY('Volunteer Survey'!F614)"),"")</f>
        <v/>
      </c>
      <c r="AF615" s="175" t="str">
        <f ca="1">IFERROR(__xludf.DUMMYFUNCTION("QUERY('Volunteer Survey'!G614)"),"")</f>
        <v/>
      </c>
      <c r="AG615" s="175" t="str">
        <f ca="1">IFERROR(__xludf.DUMMYFUNCTION("QUERY('Volunteer Survey'!H614)"),"")</f>
        <v/>
      </c>
      <c r="AH615" s="175" t="str">
        <f ca="1">IFERROR(__xludf.DUMMYFUNCTION("QUERY('Volunteer Survey'!I614)"),"")</f>
        <v/>
      </c>
      <c r="AI615" s="175" t="str">
        <f ca="1">IFERROR(__xludf.DUMMYFUNCTION("QUERY('Volunteer Survey'!J614)"),"")</f>
        <v/>
      </c>
      <c r="AJ615" s="175" t="str">
        <f ca="1">IFERROR(__xludf.DUMMYFUNCTION("QUERY('Volunteer Survey'!K614)"),"")</f>
        <v/>
      </c>
      <c r="AK615" s="175" t="str">
        <f ca="1">IFERROR(__xludf.DUMMYFUNCTION("QUERY('Volunteer Survey'!L614)"),"")</f>
        <v/>
      </c>
      <c r="AL615" s="175" t="str">
        <f ca="1">IFERROR(__xludf.DUMMYFUNCTION("QUERY('Volunteer Survey'!M614)"),"")</f>
        <v/>
      </c>
      <c r="AM615" s="175" t="str">
        <f ca="1">IFERROR(__xludf.DUMMYFUNCTION("QUERY('Volunteer Survey'!N614)"),"")</f>
        <v/>
      </c>
      <c r="AN615" s="175" t="str">
        <f ca="1">IFERROR(__xludf.DUMMYFUNCTION("QUERY('Volunteer Survey'!O614)"),"")</f>
        <v/>
      </c>
      <c r="AO615" s="175" t="str">
        <f ca="1">IFERROR(__xludf.DUMMYFUNCTION("QUERY('Volunteer Survey'!P614)"),"")</f>
        <v/>
      </c>
    </row>
    <row r="616" spans="1:41" ht="14">
      <c r="A616" s="49"/>
      <c r="B616" s="49"/>
      <c r="C616" s="47"/>
      <c r="D616" s="49"/>
      <c r="E616" s="49"/>
      <c r="F616" s="49" t="b">
        <v>0</v>
      </c>
      <c r="G616" s="49"/>
      <c r="H616" s="47"/>
      <c r="I616" s="47"/>
      <c r="J616" s="49"/>
      <c r="K616" s="49"/>
      <c r="L616" s="49"/>
      <c r="M616" s="49"/>
      <c r="N616" s="49"/>
      <c r="O616" s="49" t="b">
        <v>0</v>
      </c>
      <c r="P616" s="49"/>
      <c r="Q616" s="49"/>
      <c r="R616" s="49"/>
      <c r="S616" s="49"/>
      <c r="T616" s="49"/>
      <c r="U616" s="58"/>
      <c r="V616" s="49"/>
      <c r="W616" s="60">
        <f>'Volunteer Survey'!P1026</f>
        <v>0</v>
      </c>
      <c r="X616" s="49"/>
      <c r="Y616" s="47"/>
      <c r="Z616" s="175" t="str">
        <f ca="1">IFERROR(__xludf.DUMMYFUNCTION("QUERY('Volunteer Survey'!A615)"),"")</f>
        <v/>
      </c>
      <c r="AA616" s="175" t="str">
        <f ca="1">IFERROR(__xludf.DUMMYFUNCTION("QUERY('Volunteer Survey'!B615)"),"")</f>
        <v/>
      </c>
      <c r="AB616" s="175" t="str">
        <f ca="1">IFERROR(__xludf.DUMMYFUNCTION("QUERY('Volunteer Survey'!C615)"),"")</f>
        <v/>
      </c>
      <c r="AC616" s="175" t="str">
        <f ca="1">IFERROR(__xludf.DUMMYFUNCTION("QUERY('Volunteer Survey'!D615)"),"")</f>
        <v/>
      </c>
      <c r="AD616" s="175" t="str">
        <f ca="1">IFERROR(__xludf.DUMMYFUNCTION("QUERY('Volunteer Survey'!E615)"),"")</f>
        <v/>
      </c>
      <c r="AE616" s="175" t="str">
        <f ca="1">IFERROR(__xludf.DUMMYFUNCTION("QUERY('Volunteer Survey'!F615)"),"")</f>
        <v/>
      </c>
      <c r="AF616" s="175" t="str">
        <f ca="1">IFERROR(__xludf.DUMMYFUNCTION("QUERY('Volunteer Survey'!G615)"),"")</f>
        <v/>
      </c>
      <c r="AG616" s="175" t="str">
        <f ca="1">IFERROR(__xludf.DUMMYFUNCTION("QUERY('Volunteer Survey'!H615)"),"")</f>
        <v/>
      </c>
      <c r="AH616" s="175" t="str">
        <f ca="1">IFERROR(__xludf.DUMMYFUNCTION("QUERY('Volunteer Survey'!I615)"),"")</f>
        <v/>
      </c>
      <c r="AI616" s="175" t="str">
        <f ca="1">IFERROR(__xludf.DUMMYFUNCTION("QUERY('Volunteer Survey'!J615)"),"")</f>
        <v/>
      </c>
      <c r="AJ616" s="175" t="str">
        <f ca="1">IFERROR(__xludf.DUMMYFUNCTION("QUERY('Volunteer Survey'!K615)"),"")</f>
        <v/>
      </c>
      <c r="AK616" s="175" t="str">
        <f ca="1">IFERROR(__xludf.DUMMYFUNCTION("QUERY('Volunteer Survey'!L615)"),"")</f>
        <v/>
      </c>
      <c r="AL616" s="175" t="str">
        <f ca="1">IFERROR(__xludf.DUMMYFUNCTION("QUERY('Volunteer Survey'!M615)"),"")</f>
        <v/>
      </c>
      <c r="AM616" s="175" t="str">
        <f ca="1">IFERROR(__xludf.DUMMYFUNCTION("QUERY('Volunteer Survey'!N615)"),"")</f>
        <v/>
      </c>
      <c r="AN616" s="175" t="str">
        <f ca="1">IFERROR(__xludf.DUMMYFUNCTION("QUERY('Volunteer Survey'!O615)"),"")</f>
        <v/>
      </c>
      <c r="AO616" s="175" t="str">
        <f ca="1">IFERROR(__xludf.DUMMYFUNCTION("QUERY('Volunteer Survey'!P615)"),"")</f>
        <v/>
      </c>
    </row>
    <row r="617" spans="1:41" ht="14">
      <c r="A617" s="49"/>
      <c r="B617" s="49"/>
      <c r="C617" s="47"/>
      <c r="D617" s="49"/>
      <c r="E617" s="49"/>
      <c r="F617" s="49" t="b">
        <v>0</v>
      </c>
      <c r="G617" s="49"/>
      <c r="H617" s="47"/>
      <c r="I617" s="47"/>
      <c r="J617" s="49"/>
      <c r="K617" s="49"/>
      <c r="L617" s="49"/>
      <c r="M617" s="49"/>
      <c r="N617" s="49"/>
      <c r="O617" s="49" t="b">
        <v>0</v>
      </c>
      <c r="P617" s="49"/>
      <c r="Q617" s="49"/>
      <c r="R617" s="49"/>
      <c r="S617" s="49"/>
      <c r="T617" s="49"/>
      <c r="U617" s="58"/>
      <c r="V617" s="49"/>
      <c r="W617" s="60">
        <f>'Volunteer Survey'!P1027</f>
        <v>0</v>
      </c>
      <c r="X617" s="49"/>
      <c r="Y617" s="47"/>
      <c r="Z617" s="175" t="str">
        <f ca="1">IFERROR(__xludf.DUMMYFUNCTION("QUERY('Volunteer Survey'!A616)"),"")</f>
        <v/>
      </c>
      <c r="AA617" s="175" t="str">
        <f ca="1">IFERROR(__xludf.DUMMYFUNCTION("QUERY('Volunteer Survey'!B616)"),"")</f>
        <v/>
      </c>
      <c r="AB617" s="175" t="str">
        <f ca="1">IFERROR(__xludf.DUMMYFUNCTION("QUERY('Volunteer Survey'!C616)"),"")</f>
        <v/>
      </c>
      <c r="AC617" s="175" t="str">
        <f ca="1">IFERROR(__xludf.DUMMYFUNCTION("QUERY('Volunteer Survey'!D616)"),"")</f>
        <v/>
      </c>
      <c r="AD617" s="175" t="str">
        <f ca="1">IFERROR(__xludf.DUMMYFUNCTION("QUERY('Volunteer Survey'!E616)"),"")</f>
        <v/>
      </c>
      <c r="AE617" s="175" t="str">
        <f ca="1">IFERROR(__xludf.DUMMYFUNCTION("QUERY('Volunteer Survey'!F616)"),"")</f>
        <v/>
      </c>
      <c r="AF617" s="175" t="str">
        <f ca="1">IFERROR(__xludf.DUMMYFUNCTION("QUERY('Volunteer Survey'!G616)"),"")</f>
        <v/>
      </c>
      <c r="AG617" s="175" t="str">
        <f ca="1">IFERROR(__xludf.DUMMYFUNCTION("QUERY('Volunteer Survey'!H616)"),"")</f>
        <v/>
      </c>
      <c r="AH617" s="175" t="str">
        <f ca="1">IFERROR(__xludf.DUMMYFUNCTION("QUERY('Volunteer Survey'!I616)"),"")</f>
        <v/>
      </c>
      <c r="AI617" s="175" t="str">
        <f ca="1">IFERROR(__xludf.DUMMYFUNCTION("QUERY('Volunteer Survey'!J616)"),"")</f>
        <v/>
      </c>
      <c r="AJ617" s="175" t="str">
        <f ca="1">IFERROR(__xludf.DUMMYFUNCTION("QUERY('Volunteer Survey'!K616)"),"")</f>
        <v/>
      </c>
      <c r="AK617" s="175" t="str">
        <f ca="1">IFERROR(__xludf.DUMMYFUNCTION("QUERY('Volunteer Survey'!L616)"),"")</f>
        <v/>
      </c>
      <c r="AL617" s="175" t="str">
        <f ca="1">IFERROR(__xludf.DUMMYFUNCTION("QUERY('Volunteer Survey'!M616)"),"")</f>
        <v/>
      </c>
      <c r="AM617" s="175" t="str">
        <f ca="1">IFERROR(__xludf.DUMMYFUNCTION("QUERY('Volunteer Survey'!N616)"),"")</f>
        <v/>
      </c>
      <c r="AN617" s="175" t="str">
        <f ca="1">IFERROR(__xludf.DUMMYFUNCTION("QUERY('Volunteer Survey'!O616)"),"")</f>
        <v/>
      </c>
      <c r="AO617" s="175" t="str">
        <f ca="1">IFERROR(__xludf.DUMMYFUNCTION("QUERY('Volunteer Survey'!P616)"),"")</f>
        <v/>
      </c>
    </row>
    <row r="618" spans="1:41" ht="14">
      <c r="A618" s="49"/>
      <c r="B618" s="49"/>
      <c r="C618" s="47"/>
      <c r="D618" s="49"/>
      <c r="E618" s="49"/>
      <c r="F618" s="49" t="b">
        <v>0</v>
      </c>
      <c r="G618" s="49"/>
      <c r="H618" s="47"/>
      <c r="I618" s="47"/>
      <c r="J618" s="49"/>
      <c r="K618" s="49"/>
      <c r="L618" s="49"/>
      <c r="M618" s="49"/>
      <c r="N618" s="49"/>
      <c r="O618" s="49" t="b">
        <v>0</v>
      </c>
      <c r="P618" s="49"/>
      <c r="Q618" s="49"/>
      <c r="R618" s="49"/>
      <c r="S618" s="49"/>
      <c r="T618" s="49"/>
      <c r="U618" s="58"/>
      <c r="V618" s="49"/>
      <c r="W618" s="60">
        <f>'Volunteer Survey'!P1028</f>
        <v>0</v>
      </c>
      <c r="X618" s="49"/>
      <c r="Y618" s="47"/>
      <c r="Z618" s="175" t="str">
        <f ca="1">IFERROR(__xludf.DUMMYFUNCTION("QUERY('Volunteer Survey'!A617)"),"")</f>
        <v/>
      </c>
      <c r="AA618" s="175" t="str">
        <f ca="1">IFERROR(__xludf.DUMMYFUNCTION("QUERY('Volunteer Survey'!B617)"),"")</f>
        <v/>
      </c>
      <c r="AB618" s="175" t="str">
        <f ca="1">IFERROR(__xludf.DUMMYFUNCTION("QUERY('Volunteer Survey'!C617)"),"")</f>
        <v/>
      </c>
      <c r="AC618" s="175" t="str">
        <f ca="1">IFERROR(__xludf.DUMMYFUNCTION("QUERY('Volunteer Survey'!D617)"),"")</f>
        <v/>
      </c>
      <c r="AD618" s="175" t="str">
        <f ca="1">IFERROR(__xludf.DUMMYFUNCTION("QUERY('Volunteer Survey'!E617)"),"")</f>
        <v/>
      </c>
      <c r="AE618" s="175" t="str">
        <f ca="1">IFERROR(__xludf.DUMMYFUNCTION("QUERY('Volunteer Survey'!F617)"),"")</f>
        <v/>
      </c>
      <c r="AF618" s="175" t="str">
        <f ca="1">IFERROR(__xludf.DUMMYFUNCTION("QUERY('Volunteer Survey'!G617)"),"")</f>
        <v/>
      </c>
      <c r="AG618" s="175" t="str">
        <f ca="1">IFERROR(__xludf.DUMMYFUNCTION("QUERY('Volunteer Survey'!H617)"),"")</f>
        <v/>
      </c>
      <c r="AH618" s="175" t="str">
        <f ca="1">IFERROR(__xludf.DUMMYFUNCTION("QUERY('Volunteer Survey'!I617)"),"")</f>
        <v/>
      </c>
      <c r="AI618" s="175" t="str">
        <f ca="1">IFERROR(__xludf.DUMMYFUNCTION("QUERY('Volunteer Survey'!J617)"),"")</f>
        <v/>
      </c>
      <c r="AJ618" s="175" t="str">
        <f ca="1">IFERROR(__xludf.DUMMYFUNCTION("QUERY('Volunteer Survey'!K617)"),"")</f>
        <v/>
      </c>
      <c r="AK618" s="175" t="str">
        <f ca="1">IFERROR(__xludf.DUMMYFUNCTION("QUERY('Volunteer Survey'!L617)"),"")</f>
        <v/>
      </c>
      <c r="AL618" s="175" t="str">
        <f ca="1">IFERROR(__xludf.DUMMYFUNCTION("QUERY('Volunteer Survey'!M617)"),"")</f>
        <v/>
      </c>
      <c r="AM618" s="175" t="str">
        <f ca="1">IFERROR(__xludf.DUMMYFUNCTION("QUERY('Volunteer Survey'!N617)"),"")</f>
        <v/>
      </c>
      <c r="AN618" s="175" t="str">
        <f ca="1">IFERROR(__xludf.DUMMYFUNCTION("QUERY('Volunteer Survey'!O617)"),"")</f>
        <v/>
      </c>
      <c r="AO618" s="175" t="str">
        <f ca="1">IFERROR(__xludf.DUMMYFUNCTION("QUERY('Volunteer Survey'!P617)"),"")</f>
        <v/>
      </c>
    </row>
    <row r="619" spans="1:41" ht="14">
      <c r="A619" s="49"/>
      <c r="B619" s="49"/>
      <c r="C619" s="47"/>
      <c r="D619" s="49"/>
      <c r="E619" s="49"/>
      <c r="F619" s="49" t="b">
        <v>0</v>
      </c>
      <c r="G619" s="49"/>
      <c r="H619" s="47"/>
      <c r="I619" s="47"/>
      <c r="J619" s="49"/>
      <c r="K619" s="49"/>
      <c r="L619" s="49"/>
      <c r="M619" s="49"/>
      <c r="N619" s="49"/>
      <c r="O619" s="49" t="b">
        <v>0</v>
      </c>
      <c r="P619" s="49"/>
      <c r="Q619" s="49"/>
      <c r="R619" s="49"/>
      <c r="S619" s="49"/>
      <c r="T619" s="49"/>
      <c r="U619" s="58"/>
      <c r="V619" s="49"/>
      <c r="W619" s="60">
        <f>'Volunteer Survey'!P1029</f>
        <v>0</v>
      </c>
      <c r="X619" s="49"/>
      <c r="Y619" s="47"/>
      <c r="Z619" s="175" t="str">
        <f ca="1">IFERROR(__xludf.DUMMYFUNCTION("QUERY('Volunteer Survey'!A618)"),"")</f>
        <v/>
      </c>
      <c r="AA619" s="175" t="str">
        <f ca="1">IFERROR(__xludf.DUMMYFUNCTION("QUERY('Volunteer Survey'!B618)"),"")</f>
        <v/>
      </c>
      <c r="AB619" s="175" t="str">
        <f ca="1">IFERROR(__xludf.DUMMYFUNCTION("QUERY('Volunteer Survey'!C618)"),"")</f>
        <v/>
      </c>
      <c r="AC619" s="175" t="str">
        <f ca="1">IFERROR(__xludf.DUMMYFUNCTION("QUERY('Volunteer Survey'!D618)"),"")</f>
        <v/>
      </c>
      <c r="AD619" s="175" t="str">
        <f ca="1">IFERROR(__xludf.DUMMYFUNCTION("QUERY('Volunteer Survey'!E618)"),"")</f>
        <v/>
      </c>
      <c r="AE619" s="175" t="str">
        <f ca="1">IFERROR(__xludf.DUMMYFUNCTION("QUERY('Volunteer Survey'!F618)"),"")</f>
        <v/>
      </c>
      <c r="AF619" s="175" t="str">
        <f ca="1">IFERROR(__xludf.DUMMYFUNCTION("QUERY('Volunteer Survey'!G618)"),"")</f>
        <v/>
      </c>
      <c r="AG619" s="175" t="str">
        <f ca="1">IFERROR(__xludf.DUMMYFUNCTION("QUERY('Volunteer Survey'!H618)"),"")</f>
        <v/>
      </c>
      <c r="AH619" s="175" t="str">
        <f ca="1">IFERROR(__xludf.DUMMYFUNCTION("QUERY('Volunteer Survey'!I618)"),"")</f>
        <v/>
      </c>
      <c r="AI619" s="175" t="str">
        <f ca="1">IFERROR(__xludf.DUMMYFUNCTION("QUERY('Volunteer Survey'!J618)"),"")</f>
        <v/>
      </c>
      <c r="AJ619" s="175" t="str">
        <f ca="1">IFERROR(__xludf.DUMMYFUNCTION("QUERY('Volunteer Survey'!K618)"),"")</f>
        <v/>
      </c>
      <c r="AK619" s="175" t="str">
        <f ca="1">IFERROR(__xludf.DUMMYFUNCTION("QUERY('Volunteer Survey'!L618)"),"")</f>
        <v/>
      </c>
      <c r="AL619" s="175" t="str">
        <f ca="1">IFERROR(__xludf.DUMMYFUNCTION("QUERY('Volunteer Survey'!M618)"),"")</f>
        <v/>
      </c>
      <c r="AM619" s="175" t="str">
        <f ca="1">IFERROR(__xludf.DUMMYFUNCTION("QUERY('Volunteer Survey'!N618)"),"")</f>
        <v/>
      </c>
      <c r="AN619" s="175" t="str">
        <f ca="1">IFERROR(__xludf.DUMMYFUNCTION("QUERY('Volunteer Survey'!O618)"),"")</f>
        <v/>
      </c>
      <c r="AO619" s="175" t="str">
        <f ca="1">IFERROR(__xludf.DUMMYFUNCTION("QUERY('Volunteer Survey'!P618)"),"")</f>
        <v/>
      </c>
    </row>
    <row r="620" spans="1:41" ht="14">
      <c r="A620" s="49"/>
      <c r="B620" s="49"/>
      <c r="C620" s="47"/>
      <c r="D620" s="49"/>
      <c r="E620" s="49"/>
      <c r="F620" s="49" t="b">
        <v>0</v>
      </c>
      <c r="G620" s="49"/>
      <c r="H620" s="47"/>
      <c r="I620" s="47"/>
      <c r="J620" s="49"/>
      <c r="K620" s="49"/>
      <c r="L620" s="49"/>
      <c r="M620" s="49"/>
      <c r="N620" s="49"/>
      <c r="O620" s="49" t="b">
        <v>0</v>
      </c>
      <c r="P620" s="49"/>
      <c r="Q620" s="49"/>
      <c r="R620" s="49"/>
      <c r="S620" s="49"/>
      <c r="T620" s="49"/>
      <c r="U620" s="58"/>
      <c r="V620" s="49"/>
      <c r="W620" s="58"/>
      <c r="X620" s="49"/>
      <c r="Y620" s="47"/>
      <c r="Z620" s="175" t="str">
        <f ca="1">IFERROR(__xludf.DUMMYFUNCTION("QUERY('Volunteer Survey'!A619)"),"")</f>
        <v/>
      </c>
      <c r="AA620" s="175" t="str">
        <f ca="1">IFERROR(__xludf.DUMMYFUNCTION("QUERY('Volunteer Survey'!B619)"),"")</f>
        <v/>
      </c>
      <c r="AB620" s="175" t="str">
        <f ca="1">IFERROR(__xludf.DUMMYFUNCTION("QUERY('Volunteer Survey'!C619)"),"")</f>
        <v/>
      </c>
      <c r="AC620" s="175" t="str">
        <f ca="1">IFERROR(__xludf.DUMMYFUNCTION("QUERY('Volunteer Survey'!D619)"),"")</f>
        <v/>
      </c>
      <c r="AD620" s="175" t="str">
        <f ca="1">IFERROR(__xludf.DUMMYFUNCTION("QUERY('Volunteer Survey'!E619)"),"")</f>
        <v/>
      </c>
      <c r="AE620" s="175" t="str">
        <f ca="1">IFERROR(__xludf.DUMMYFUNCTION("QUERY('Volunteer Survey'!F619)"),"")</f>
        <v/>
      </c>
      <c r="AF620" s="175" t="str">
        <f ca="1">IFERROR(__xludf.DUMMYFUNCTION("QUERY('Volunteer Survey'!G619)"),"")</f>
        <v/>
      </c>
      <c r="AG620" s="175" t="str">
        <f ca="1">IFERROR(__xludf.DUMMYFUNCTION("QUERY('Volunteer Survey'!H619)"),"")</f>
        <v/>
      </c>
      <c r="AH620" s="175" t="str">
        <f ca="1">IFERROR(__xludf.DUMMYFUNCTION("QUERY('Volunteer Survey'!I619)"),"")</f>
        <v/>
      </c>
      <c r="AI620" s="175" t="str">
        <f ca="1">IFERROR(__xludf.DUMMYFUNCTION("QUERY('Volunteer Survey'!J619)"),"")</f>
        <v/>
      </c>
      <c r="AJ620" s="175" t="str">
        <f ca="1">IFERROR(__xludf.DUMMYFUNCTION("QUERY('Volunteer Survey'!K619)"),"")</f>
        <v/>
      </c>
      <c r="AK620" s="175" t="str">
        <f ca="1">IFERROR(__xludf.DUMMYFUNCTION("QUERY('Volunteer Survey'!L619)"),"")</f>
        <v/>
      </c>
      <c r="AL620" s="175" t="str">
        <f ca="1">IFERROR(__xludf.DUMMYFUNCTION("QUERY('Volunteer Survey'!M619)"),"")</f>
        <v/>
      </c>
      <c r="AM620" s="175" t="str">
        <f ca="1">IFERROR(__xludf.DUMMYFUNCTION("QUERY('Volunteer Survey'!N619)"),"")</f>
        <v/>
      </c>
      <c r="AN620" s="175" t="str">
        <f ca="1">IFERROR(__xludf.DUMMYFUNCTION("QUERY('Volunteer Survey'!O619)"),"")</f>
        <v/>
      </c>
      <c r="AO620" s="175" t="str">
        <f ca="1">IFERROR(__xludf.DUMMYFUNCTION("QUERY('Volunteer Survey'!P619)"),"")</f>
        <v/>
      </c>
    </row>
    <row r="621" spans="1:41" ht="14">
      <c r="A621" s="49"/>
      <c r="B621" s="49"/>
      <c r="C621" s="47"/>
      <c r="D621" s="49"/>
      <c r="E621" s="49"/>
      <c r="F621" s="49" t="b">
        <v>0</v>
      </c>
      <c r="G621" s="49"/>
      <c r="H621" s="47"/>
      <c r="I621" s="47"/>
      <c r="J621" s="49"/>
      <c r="K621" s="49"/>
      <c r="L621" s="49"/>
      <c r="M621" s="49"/>
      <c r="N621" s="49"/>
      <c r="O621" s="49" t="b">
        <v>0</v>
      </c>
      <c r="P621" s="49"/>
      <c r="Q621" s="49"/>
      <c r="R621" s="49"/>
      <c r="S621" s="49"/>
      <c r="T621" s="49"/>
      <c r="U621" s="58"/>
      <c r="V621" s="49"/>
      <c r="W621" s="58"/>
      <c r="X621" s="49"/>
      <c r="Y621" s="47"/>
      <c r="Z621" s="175" t="str">
        <f ca="1">IFERROR(__xludf.DUMMYFUNCTION("QUERY('Volunteer Survey'!A620)"),"")</f>
        <v/>
      </c>
      <c r="AA621" s="175" t="str">
        <f ca="1">IFERROR(__xludf.DUMMYFUNCTION("QUERY('Volunteer Survey'!B620)"),"")</f>
        <v/>
      </c>
      <c r="AB621" s="175" t="str">
        <f ca="1">IFERROR(__xludf.DUMMYFUNCTION("QUERY('Volunteer Survey'!C620)"),"")</f>
        <v/>
      </c>
      <c r="AC621" s="175" t="str">
        <f ca="1">IFERROR(__xludf.DUMMYFUNCTION("QUERY('Volunteer Survey'!D620)"),"")</f>
        <v/>
      </c>
      <c r="AD621" s="175" t="str">
        <f ca="1">IFERROR(__xludf.DUMMYFUNCTION("QUERY('Volunteer Survey'!E620)"),"")</f>
        <v/>
      </c>
      <c r="AE621" s="175" t="str">
        <f ca="1">IFERROR(__xludf.DUMMYFUNCTION("QUERY('Volunteer Survey'!F620)"),"")</f>
        <v/>
      </c>
      <c r="AF621" s="175" t="str">
        <f ca="1">IFERROR(__xludf.DUMMYFUNCTION("QUERY('Volunteer Survey'!G620)"),"")</f>
        <v/>
      </c>
      <c r="AG621" s="175" t="str">
        <f ca="1">IFERROR(__xludf.DUMMYFUNCTION("QUERY('Volunteer Survey'!H620)"),"")</f>
        <v/>
      </c>
      <c r="AH621" s="175" t="str">
        <f ca="1">IFERROR(__xludf.DUMMYFUNCTION("QUERY('Volunteer Survey'!I620)"),"")</f>
        <v/>
      </c>
      <c r="AI621" s="175" t="str">
        <f ca="1">IFERROR(__xludf.DUMMYFUNCTION("QUERY('Volunteer Survey'!J620)"),"")</f>
        <v/>
      </c>
      <c r="AJ621" s="175" t="str">
        <f ca="1">IFERROR(__xludf.DUMMYFUNCTION("QUERY('Volunteer Survey'!K620)"),"")</f>
        <v/>
      </c>
      <c r="AK621" s="175" t="str">
        <f ca="1">IFERROR(__xludf.DUMMYFUNCTION("QUERY('Volunteer Survey'!L620)"),"")</f>
        <v/>
      </c>
      <c r="AL621" s="175" t="str">
        <f ca="1">IFERROR(__xludf.DUMMYFUNCTION("QUERY('Volunteer Survey'!M620)"),"")</f>
        <v/>
      </c>
      <c r="AM621" s="175" t="str">
        <f ca="1">IFERROR(__xludf.DUMMYFUNCTION("QUERY('Volunteer Survey'!N620)"),"")</f>
        <v/>
      </c>
      <c r="AN621" s="175" t="str">
        <f ca="1">IFERROR(__xludf.DUMMYFUNCTION("QUERY('Volunteer Survey'!O620)"),"")</f>
        <v/>
      </c>
      <c r="AO621" s="175" t="str">
        <f ca="1">IFERROR(__xludf.DUMMYFUNCTION("QUERY('Volunteer Survey'!P620)"),"")</f>
        <v/>
      </c>
    </row>
    <row r="622" spans="1:41" ht="14">
      <c r="A622" s="49"/>
      <c r="B622" s="49"/>
      <c r="C622" s="47"/>
      <c r="D622" s="49"/>
      <c r="E622" s="49"/>
      <c r="F622" s="49" t="b">
        <v>0</v>
      </c>
      <c r="G622" s="49"/>
      <c r="H622" s="47"/>
      <c r="I622" s="47"/>
      <c r="J622" s="49"/>
      <c r="K622" s="49"/>
      <c r="L622" s="49"/>
      <c r="M622" s="49"/>
      <c r="N622" s="49"/>
      <c r="O622" s="49" t="b">
        <v>0</v>
      </c>
      <c r="P622" s="49"/>
      <c r="Q622" s="49"/>
      <c r="R622" s="49"/>
      <c r="S622" s="49"/>
      <c r="T622" s="49"/>
      <c r="U622" s="58"/>
      <c r="V622" s="49"/>
      <c r="W622" s="58"/>
      <c r="X622" s="49"/>
      <c r="Y622" s="47"/>
      <c r="Z622" s="175" t="str">
        <f ca="1">IFERROR(__xludf.DUMMYFUNCTION("QUERY('Volunteer Survey'!A621)"),"")</f>
        <v/>
      </c>
      <c r="AA622" s="175" t="str">
        <f ca="1">IFERROR(__xludf.DUMMYFUNCTION("QUERY('Volunteer Survey'!B621)"),"")</f>
        <v/>
      </c>
      <c r="AB622" s="175" t="str">
        <f ca="1">IFERROR(__xludf.DUMMYFUNCTION("QUERY('Volunteer Survey'!C621)"),"")</f>
        <v/>
      </c>
      <c r="AC622" s="175" t="str">
        <f ca="1">IFERROR(__xludf.DUMMYFUNCTION("QUERY('Volunteer Survey'!D621)"),"")</f>
        <v/>
      </c>
      <c r="AD622" s="175" t="str">
        <f ca="1">IFERROR(__xludf.DUMMYFUNCTION("QUERY('Volunteer Survey'!E621)"),"")</f>
        <v/>
      </c>
      <c r="AE622" s="175" t="str">
        <f ca="1">IFERROR(__xludf.DUMMYFUNCTION("QUERY('Volunteer Survey'!F621)"),"")</f>
        <v/>
      </c>
      <c r="AF622" s="175" t="str">
        <f ca="1">IFERROR(__xludf.DUMMYFUNCTION("QUERY('Volunteer Survey'!G621)"),"")</f>
        <v/>
      </c>
      <c r="AG622" s="175" t="str">
        <f ca="1">IFERROR(__xludf.DUMMYFUNCTION("QUERY('Volunteer Survey'!H621)"),"")</f>
        <v/>
      </c>
      <c r="AH622" s="175" t="str">
        <f ca="1">IFERROR(__xludf.DUMMYFUNCTION("QUERY('Volunteer Survey'!I621)"),"")</f>
        <v/>
      </c>
      <c r="AI622" s="175" t="str">
        <f ca="1">IFERROR(__xludf.DUMMYFUNCTION("QUERY('Volunteer Survey'!J621)"),"")</f>
        <v/>
      </c>
      <c r="AJ622" s="175" t="str">
        <f ca="1">IFERROR(__xludf.DUMMYFUNCTION("QUERY('Volunteer Survey'!K621)"),"")</f>
        <v/>
      </c>
      <c r="AK622" s="175" t="str">
        <f ca="1">IFERROR(__xludf.DUMMYFUNCTION("QUERY('Volunteer Survey'!L621)"),"")</f>
        <v/>
      </c>
      <c r="AL622" s="175" t="str">
        <f ca="1">IFERROR(__xludf.DUMMYFUNCTION("QUERY('Volunteer Survey'!M621)"),"")</f>
        <v/>
      </c>
      <c r="AM622" s="175" t="str">
        <f ca="1">IFERROR(__xludf.DUMMYFUNCTION("QUERY('Volunteer Survey'!N621)"),"")</f>
        <v/>
      </c>
      <c r="AN622" s="175" t="str">
        <f ca="1">IFERROR(__xludf.DUMMYFUNCTION("QUERY('Volunteer Survey'!O621)"),"")</f>
        <v/>
      </c>
      <c r="AO622" s="175" t="str">
        <f ca="1">IFERROR(__xludf.DUMMYFUNCTION("QUERY('Volunteer Survey'!P621)"),"")</f>
        <v/>
      </c>
    </row>
    <row r="623" spans="1:41" ht="14">
      <c r="A623" s="49"/>
      <c r="B623" s="49"/>
      <c r="C623" s="47"/>
      <c r="D623" s="49"/>
      <c r="E623" s="49"/>
      <c r="F623" s="49" t="b">
        <v>0</v>
      </c>
      <c r="G623" s="49"/>
      <c r="H623" s="47"/>
      <c r="I623" s="47"/>
      <c r="J623" s="49"/>
      <c r="K623" s="49"/>
      <c r="L623" s="49"/>
      <c r="M623" s="49"/>
      <c r="N623" s="49"/>
      <c r="O623" s="49" t="b">
        <v>0</v>
      </c>
      <c r="P623" s="49"/>
      <c r="Q623" s="49"/>
      <c r="R623" s="49"/>
      <c r="S623" s="49"/>
      <c r="T623" s="49"/>
      <c r="U623" s="58"/>
      <c r="V623" s="49"/>
      <c r="W623" s="58"/>
      <c r="X623" s="49"/>
      <c r="Y623" s="47"/>
      <c r="Z623" s="175" t="str">
        <f ca="1">IFERROR(__xludf.DUMMYFUNCTION("QUERY('Volunteer Survey'!A622)"),"")</f>
        <v/>
      </c>
      <c r="AA623" s="175" t="str">
        <f ca="1">IFERROR(__xludf.DUMMYFUNCTION("QUERY('Volunteer Survey'!B622)"),"")</f>
        <v/>
      </c>
      <c r="AB623" s="175" t="str">
        <f ca="1">IFERROR(__xludf.DUMMYFUNCTION("QUERY('Volunteer Survey'!C622)"),"")</f>
        <v/>
      </c>
      <c r="AC623" s="175" t="str">
        <f ca="1">IFERROR(__xludf.DUMMYFUNCTION("QUERY('Volunteer Survey'!D622)"),"")</f>
        <v/>
      </c>
      <c r="AD623" s="175" t="str">
        <f ca="1">IFERROR(__xludf.DUMMYFUNCTION("QUERY('Volunteer Survey'!E622)"),"")</f>
        <v/>
      </c>
      <c r="AE623" s="175" t="str">
        <f ca="1">IFERROR(__xludf.DUMMYFUNCTION("QUERY('Volunteer Survey'!F622)"),"")</f>
        <v/>
      </c>
      <c r="AF623" s="175" t="str">
        <f ca="1">IFERROR(__xludf.DUMMYFUNCTION("QUERY('Volunteer Survey'!G622)"),"")</f>
        <v/>
      </c>
      <c r="AG623" s="175" t="str">
        <f ca="1">IFERROR(__xludf.DUMMYFUNCTION("QUERY('Volunteer Survey'!H622)"),"")</f>
        <v/>
      </c>
      <c r="AH623" s="175" t="str">
        <f ca="1">IFERROR(__xludf.DUMMYFUNCTION("QUERY('Volunteer Survey'!I622)"),"")</f>
        <v/>
      </c>
      <c r="AI623" s="175" t="str">
        <f ca="1">IFERROR(__xludf.DUMMYFUNCTION("QUERY('Volunteer Survey'!J622)"),"")</f>
        <v/>
      </c>
      <c r="AJ623" s="175" t="str">
        <f ca="1">IFERROR(__xludf.DUMMYFUNCTION("QUERY('Volunteer Survey'!K622)"),"")</f>
        <v/>
      </c>
      <c r="AK623" s="175" t="str">
        <f ca="1">IFERROR(__xludf.DUMMYFUNCTION("QUERY('Volunteer Survey'!L622)"),"")</f>
        <v/>
      </c>
      <c r="AL623" s="175" t="str">
        <f ca="1">IFERROR(__xludf.DUMMYFUNCTION("QUERY('Volunteer Survey'!M622)"),"")</f>
        <v/>
      </c>
      <c r="AM623" s="175" t="str">
        <f ca="1">IFERROR(__xludf.DUMMYFUNCTION("QUERY('Volunteer Survey'!N622)"),"")</f>
        <v/>
      </c>
      <c r="AN623" s="175" t="str">
        <f ca="1">IFERROR(__xludf.DUMMYFUNCTION("QUERY('Volunteer Survey'!O622)"),"")</f>
        <v/>
      </c>
      <c r="AO623" s="175" t="str">
        <f ca="1">IFERROR(__xludf.DUMMYFUNCTION("QUERY('Volunteer Survey'!P622)"),"")</f>
        <v/>
      </c>
    </row>
    <row r="624" spans="1:41" ht="14">
      <c r="A624" s="49"/>
      <c r="B624" s="49"/>
      <c r="C624" s="47"/>
      <c r="D624" s="49"/>
      <c r="E624" s="49"/>
      <c r="F624" s="49" t="b">
        <v>0</v>
      </c>
      <c r="G624" s="49"/>
      <c r="H624" s="47"/>
      <c r="I624" s="47"/>
      <c r="J624" s="49"/>
      <c r="K624" s="49"/>
      <c r="L624" s="49"/>
      <c r="M624" s="49"/>
      <c r="N624" s="49"/>
      <c r="O624" s="49" t="b">
        <v>0</v>
      </c>
      <c r="P624" s="49"/>
      <c r="Q624" s="49"/>
      <c r="R624" s="49"/>
      <c r="S624" s="49"/>
      <c r="T624" s="49"/>
      <c r="U624" s="58"/>
      <c r="V624" s="49"/>
      <c r="W624" s="58"/>
      <c r="X624" s="49"/>
      <c r="Y624" s="47"/>
      <c r="Z624" s="175" t="str">
        <f ca="1">IFERROR(__xludf.DUMMYFUNCTION("QUERY('Volunteer Survey'!A623)"),"")</f>
        <v/>
      </c>
      <c r="AA624" s="175" t="str">
        <f ca="1">IFERROR(__xludf.DUMMYFUNCTION("QUERY('Volunteer Survey'!B623)"),"")</f>
        <v/>
      </c>
      <c r="AB624" s="175" t="str">
        <f ca="1">IFERROR(__xludf.DUMMYFUNCTION("QUERY('Volunteer Survey'!C623)"),"")</f>
        <v/>
      </c>
      <c r="AC624" s="175" t="str">
        <f ca="1">IFERROR(__xludf.DUMMYFUNCTION("QUERY('Volunteer Survey'!D623)"),"")</f>
        <v/>
      </c>
      <c r="AD624" s="175" t="str">
        <f ca="1">IFERROR(__xludf.DUMMYFUNCTION("QUERY('Volunteer Survey'!E623)"),"")</f>
        <v/>
      </c>
      <c r="AE624" s="175" t="str">
        <f ca="1">IFERROR(__xludf.DUMMYFUNCTION("QUERY('Volunteer Survey'!F623)"),"")</f>
        <v/>
      </c>
      <c r="AF624" s="175" t="str">
        <f ca="1">IFERROR(__xludf.DUMMYFUNCTION("QUERY('Volunteer Survey'!G623)"),"")</f>
        <v/>
      </c>
      <c r="AG624" s="175" t="str">
        <f ca="1">IFERROR(__xludf.DUMMYFUNCTION("QUERY('Volunteer Survey'!H623)"),"")</f>
        <v/>
      </c>
      <c r="AH624" s="175" t="str">
        <f ca="1">IFERROR(__xludf.DUMMYFUNCTION("QUERY('Volunteer Survey'!I623)"),"")</f>
        <v/>
      </c>
      <c r="AI624" s="175" t="str">
        <f ca="1">IFERROR(__xludf.DUMMYFUNCTION("QUERY('Volunteer Survey'!J623)"),"")</f>
        <v/>
      </c>
      <c r="AJ624" s="175" t="str">
        <f ca="1">IFERROR(__xludf.DUMMYFUNCTION("QUERY('Volunteer Survey'!K623)"),"")</f>
        <v/>
      </c>
      <c r="AK624" s="175" t="str">
        <f ca="1">IFERROR(__xludf.DUMMYFUNCTION("QUERY('Volunteer Survey'!L623)"),"")</f>
        <v/>
      </c>
      <c r="AL624" s="175" t="str">
        <f ca="1">IFERROR(__xludf.DUMMYFUNCTION("QUERY('Volunteer Survey'!M623)"),"")</f>
        <v/>
      </c>
      <c r="AM624" s="175" t="str">
        <f ca="1">IFERROR(__xludf.DUMMYFUNCTION("QUERY('Volunteer Survey'!N623)"),"")</f>
        <v/>
      </c>
      <c r="AN624" s="175" t="str">
        <f ca="1">IFERROR(__xludf.DUMMYFUNCTION("QUERY('Volunteer Survey'!O623)"),"")</f>
        <v/>
      </c>
      <c r="AO624" s="175" t="str">
        <f ca="1">IFERROR(__xludf.DUMMYFUNCTION("QUERY('Volunteer Survey'!P623)"),"")</f>
        <v/>
      </c>
    </row>
    <row r="625" spans="1:41" ht="14">
      <c r="A625" s="49"/>
      <c r="B625" s="49"/>
      <c r="C625" s="47"/>
      <c r="D625" s="49"/>
      <c r="E625" s="49"/>
      <c r="F625" s="49" t="b">
        <v>0</v>
      </c>
      <c r="G625" s="49"/>
      <c r="H625" s="47"/>
      <c r="I625" s="47"/>
      <c r="J625" s="49"/>
      <c r="K625" s="49"/>
      <c r="L625" s="49"/>
      <c r="M625" s="49"/>
      <c r="N625" s="49"/>
      <c r="O625" s="49" t="b">
        <v>0</v>
      </c>
      <c r="P625" s="49"/>
      <c r="Q625" s="49"/>
      <c r="R625" s="49"/>
      <c r="S625" s="49"/>
      <c r="T625" s="49"/>
      <c r="U625" s="58"/>
      <c r="V625" s="49"/>
      <c r="W625" s="58"/>
      <c r="X625" s="49"/>
      <c r="Y625" s="47"/>
      <c r="Z625" s="175" t="str">
        <f ca="1">IFERROR(__xludf.DUMMYFUNCTION("QUERY('Volunteer Survey'!A624)"),"")</f>
        <v/>
      </c>
      <c r="AA625" s="175" t="str">
        <f ca="1">IFERROR(__xludf.DUMMYFUNCTION("QUERY('Volunteer Survey'!B624)"),"")</f>
        <v/>
      </c>
      <c r="AB625" s="175" t="str">
        <f ca="1">IFERROR(__xludf.DUMMYFUNCTION("QUERY('Volunteer Survey'!C624)"),"")</f>
        <v/>
      </c>
      <c r="AC625" s="175" t="str">
        <f ca="1">IFERROR(__xludf.DUMMYFUNCTION("QUERY('Volunteer Survey'!D624)"),"")</f>
        <v/>
      </c>
      <c r="AD625" s="175" t="str">
        <f ca="1">IFERROR(__xludf.DUMMYFUNCTION("QUERY('Volunteer Survey'!E624)"),"")</f>
        <v/>
      </c>
      <c r="AE625" s="175" t="str">
        <f ca="1">IFERROR(__xludf.DUMMYFUNCTION("QUERY('Volunteer Survey'!F624)"),"")</f>
        <v/>
      </c>
      <c r="AF625" s="175" t="str">
        <f ca="1">IFERROR(__xludf.DUMMYFUNCTION("QUERY('Volunteer Survey'!G624)"),"")</f>
        <v/>
      </c>
      <c r="AG625" s="175" t="str">
        <f ca="1">IFERROR(__xludf.DUMMYFUNCTION("QUERY('Volunteer Survey'!H624)"),"")</f>
        <v/>
      </c>
      <c r="AH625" s="175" t="str">
        <f ca="1">IFERROR(__xludf.DUMMYFUNCTION("QUERY('Volunteer Survey'!I624)"),"")</f>
        <v/>
      </c>
      <c r="AI625" s="175" t="str">
        <f ca="1">IFERROR(__xludf.DUMMYFUNCTION("QUERY('Volunteer Survey'!J624)"),"")</f>
        <v/>
      </c>
      <c r="AJ625" s="175" t="str">
        <f ca="1">IFERROR(__xludf.DUMMYFUNCTION("QUERY('Volunteer Survey'!K624)"),"")</f>
        <v/>
      </c>
      <c r="AK625" s="175" t="str">
        <f ca="1">IFERROR(__xludf.DUMMYFUNCTION("QUERY('Volunteer Survey'!L624)"),"")</f>
        <v/>
      </c>
      <c r="AL625" s="175" t="str">
        <f ca="1">IFERROR(__xludf.DUMMYFUNCTION("QUERY('Volunteer Survey'!M624)"),"")</f>
        <v/>
      </c>
      <c r="AM625" s="175" t="str">
        <f ca="1">IFERROR(__xludf.DUMMYFUNCTION("QUERY('Volunteer Survey'!N624)"),"")</f>
        <v/>
      </c>
      <c r="AN625" s="175" t="str">
        <f ca="1">IFERROR(__xludf.DUMMYFUNCTION("QUERY('Volunteer Survey'!O624)"),"")</f>
        <v/>
      </c>
      <c r="AO625" s="175" t="str">
        <f ca="1">IFERROR(__xludf.DUMMYFUNCTION("QUERY('Volunteer Survey'!P624)"),"")</f>
        <v/>
      </c>
    </row>
    <row r="626" spans="1:41" ht="14">
      <c r="A626" s="49"/>
      <c r="B626" s="49"/>
      <c r="C626" s="47"/>
      <c r="D626" s="49"/>
      <c r="E626" s="49"/>
      <c r="F626" s="49" t="b">
        <v>0</v>
      </c>
      <c r="G626" s="49"/>
      <c r="H626" s="47"/>
      <c r="I626" s="47"/>
      <c r="J626" s="49"/>
      <c r="K626" s="49"/>
      <c r="L626" s="49"/>
      <c r="M626" s="49"/>
      <c r="N626" s="49"/>
      <c r="O626" s="49" t="b">
        <v>0</v>
      </c>
      <c r="P626" s="49"/>
      <c r="Q626" s="49"/>
      <c r="R626" s="49"/>
      <c r="S626" s="49"/>
      <c r="T626" s="49"/>
      <c r="U626" s="58"/>
      <c r="V626" s="49"/>
      <c r="W626" s="58"/>
      <c r="X626" s="49"/>
      <c r="Y626" s="47"/>
      <c r="Z626" s="175" t="str">
        <f ca="1">IFERROR(__xludf.DUMMYFUNCTION("QUERY('Volunteer Survey'!A625)"),"")</f>
        <v/>
      </c>
      <c r="AA626" s="175" t="str">
        <f ca="1">IFERROR(__xludf.DUMMYFUNCTION("QUERY('Volunteer Survey'!B625)"),"")</f>
        <v/>
      </c>
      <c r="AB626" s="175" t="str">
        <f ca="1">IFERROR(__xludf.DUMMYFUNCTION("QUERY('Volunteer Survey'!C625)"),"")</f>
        <v/>
      </c>
      <c r="AC626" s="175" t="str">
        <f ca="1">IFERROR(__xludf.DUMMYFUNCTION("QUERY('Volunteer Survey'!D625)"),"")</f>
        <v/>
      </c>
      <c r="AD626" s="175" t="str">
        <f ca="1">IFERROR(__xludf.DUMMYFUNCTION("QUERY('Volunteer Survey'!E625)"),"")</f>
        <v/>
      </c>
      <c r="AE626" s="175" t="str">
        <f ca="1">IFERROR(__xludf.DUMMYFUNCTION("QUERY('Volunteer Survey'!F625)"),"")</f>
        <v/>
      </c>
      <c r="AF626" s="175" t="str">
        <f ca="1">IFERROR(__xludf.DUMMYFUNCTION("QUERY('Volunteer Survey'!G625)"),"")</f>
        <v/>
      </c>
      <c r="AG626" s="175" t="str">
        <f ca="1">IFERROR(__xludf.DUMMYFUNCTION("QUERY('Volunteer Survey'!H625)"),"")</f>
        <v/>
      </c>
      <c r="AH626" s="175" t="str">
        <f ca="1">IFERROR(__xludf.DUMMYFUNCTION("QUERY('Volunteer Survey'!I625)"),"")</f>
        <v/>
      </c>
      <c r="AI626" s="175" t="str">
        <f ca="1">IFERROR(__xludf.DUMMYFUNCTION("QUERY('Volunteer Survey'!J625)"),"")</f>
        <v/>
      </c>
      <c r="AJ626" s="175" t="str">
        <f ca="1">IFERROR(__xludf.DUMMYFUNCTION("QUERY('Volunteer Survey'!K625)"),"")</f>
        <v/>
      </c>
      <c r="AK626" s="175" t="str">
        <f ca="1">IFERROR(__xludf.DUMMYFUNCTION("QUERY('Volunteer Survey'!L625)"),"")</f>
        <v/>
      </c>
      <c r="AL626" s="175" t="str">
        <f ca="1">IFERROR(__xludf.DUMMYFUNCTION("QUERY('Volunteer Survey'!M625)"),"")</f>
        <v/>
      </c>
      <c r="AM626" s="175" t="str">
        <f ca="1">IFERROR(__xludf.DUMMYFUNCTION("QUERY('Volunteer Survey'!N625)"),"")</f>
        <v/>
      </c>
      <c r="AN626" s="175" t="str">
        <f ca="1">IFERROR(__xludf.DUMMYFUNCTION("QUERY('Volunteer Survey'!O625)"),"")</f>
        <v/>
      </c>
      <c r="AO626" s="175" t="str">
        <f ca="1">IFERROR(__xludf.DUMMYFUNCTION("QUERY('Volunteer Survey'!P625)"),"")</f>
        <v/>
      </c>
    </row>
    <row r="627" spans="1:41" ht="14">
      <c r="A627" s="49"/>
      <c r="B627" s="49"/>
      <c r="C627" s="47"/>
      <c r="D627" s="49"/>
      <c r="E627" s="49"/>
      <c r="F627" s="49" t="b">
        <v>0</v>
      </c>
      <c r="G627" s="49"/>
      <c r="H627" s="47"/>
      <c r="I627" s="47"/>
      <c r="J627" s="49"/>
      <c r="K627" s="49"/>
      <c r="L627" s="49"/>
      <c r="M627" s="49"/>
      <c r="N627" s="49"/>
      <c r="O627" s="49" t="b">
        <v>0</v>
      </c>
      <c r="P627" s="49"/>
      <c r="Q627" s="49"/>
      <c r="R627" s="49"/>
      <c r="S627" s="49"/>
      <c r="T627" s="49"/>
      <c r="U627" s="58"/>
      <c r="V627" s="49"/>
      <c r="W627" s="58"/>
      <c r="X627" s="49"/>
      <c r="Y627" s="47"/>
      <c r="Z627" s="175" t="str">
        <f ca="1">IFERROR(__xludf.DUMMYFUNCTION("QUERY('Volunteer Survey'!A626)"),"")</f>
        <v/>
      </c>
      <c r="AA627" s="175" t="str">
        <f ca="1">IFERROR(__xludf.DUMMYFUNCTION("QUERY('Volunteer Survey'!B626)"),"")</f>
        <v/>
      </c>
      <c r="AB627" s="175" t="str">
        <f ca="1">IFERROR(__xludf.DUMMYFUNCTION("QUERY('Volunteer Survey'!C626)"),"")</f>
        <v/>
      </c>
      <c r="AC627" s="175" t="str">
        <f ca="1">IFERROR(__xludf.DUMMYFUNCTION("QUERY('Volunteer Survey'!D626)"),"")</f>
        <v/>
      </c>
      <c r="AD627" s="175" t="str">
        <f ca="1">IFERROR(__xludf.DUMMYFUNCTION("QUERY('Volunteer Survey'!E626)"),"")</f>
        <v/>
      </c>
      <c r="AE627" s="175" t="str">
        <f ca="1">IFERROR(__xludf.DUMMYFUNCTION("QUERY('Volunteer Survey'!F626)"),"")</f>
        <v/>
      </c>
      <c r="AF627" s="175" t="str">
        <f ca="1">IFERROR(__xludf.DUMMYFUNCTION("QUERY('Volunteer Survey'!G626)"),"")</f>
        <v/>
      </c>
      <c r="AG627" s="175" t="str">
        <f ca="1">IFERROR(__xludf.DUMMYFUNCTION("QUERY('Volunteer Survey'!H626)"),"")</f>
        <v/>
      </c>
      <c r="AH627" s="175" t="str">
        <f ca="1">IFERROR(__xludf.DUMMYFUNCTION("QUERY('Volunteer Survey'!I626)"),"")</f>
        <v/>
      </c>
      <c r="AI627" s="175" t="str">
        <f ca="1">IFERROR(__xludf.DUMMYFUNCTION("QUERY('Volunteer Survey'!J626)"),"")</f>
        <v/>
      </c>
      <c r="AJ627" s="175" t="str">
        <f ca="1">IFERROR(__xludf.DUMMYFUNCTION("QUERY('Volunteer Survey'!K626)"),"")</f>
        <v/>
      </c>
      <c r="AK627" s="175" t="str">
        <f ca="1">IFERROR(__xludf.DUMMYFUNCTION("QUERY('Volunteer Survey'!L626)"),"")</f>
        <v/>
      </c>
      <c r="AL627" s="175" t="str">
        <f ca="1">IFERROR(__xludf.DUMMYFUNCTION("QUERY('Volunteer Survey'!M626)"),"")</f>
        <v/>
      </c>
      <c r="AM627" s="175" t="str">
        <f ca="1">IFERROR(__xludf.DUMMYFUNCTION("QUERY('Volunteer Survey'!N626)"),"")</f>
        <v/>
      </c>
      <c r="AN627" s="175" t="str">
        <f ca="1">IFERROR(__xludf.DUMMYFUNCTION("QUERY('Volunteer Survey'!O626)"),"")</f>
        <v/>
      </c>
      <c r="AO627" s="175" t="str">
        <f ca="1">IFERROR(__xludf.DUMMYFUNCTION("QUERY('Volunteer Survey'!P626)"),"")</f>
        <v/>
      </c>
    </row>
    <row r="628" spans="1:41" ht="14">
      <c r="A628" s="49"/>
      <c r="B628" s="49"/>
      <c r="C628" s="47"/>
      <c r="D628" s="49"/>
      <c r="E628" s="49"/>
      <c r="F628" s="49" t="b">
        <v>0</v>
      </c>
      <c r="G628" s="49"/>
      <c r="H628" s="47"/>
      <c r="I628" s="47"/>
      <c r="J628" s="49"/>
      <c r="K628" s="49"/>
      <c r="L628" s="49"/>
      <c r="M628" s="49"/>
      <c r="N628" s="49"/>
      <c r="O628" s="49" t="b">
        <v>0</v>
      </c>
      <c r="P628" s="49"/>
      <c r="Q628" s="49"/>
      <c r="R628" s="49"/>
      <c r="S628" s="49"/>
      <c r="T628" s="49"/>
      <c r="U628" s="58"/>
      <c r="V628" s="49"/>
      <c r="W628" s="58"/>
      <c r="X628" s="49"/>
      <c r="Y628" s="47"/>
      <c r="Z628" s="175" t="str">
        <f ca="1">IFERROR(__xludf.DUMMYFUNCTION("QUERY('Volunteer Survey'!A627)"),"")</f>
        <v/>
      </c>
      <c r="AA628" s="175" t="str">
        <f ca="1">IFERROR(__xludf.DUMMYFUNCTION("QUERY('Volunteer Survey'!B627)"),"")</f>
        <v/>
      </c>
      <c r="AB628" s="175" t="str">
        <f ca="1">IFERROR(__xludf.DUMMYFUNCTION("QUERY('Volunteer Survey'!C627)"),"")</f>
        <v/>
      </c>
      <c r="AC628" s="175" t="str">
        <f ca="1">IFERROR(__xludf.DUMMYFUNCTION("QUERY('Volunteer Survey'!D627)"),"")</f>
        <v/>
      </c>
      <c r="AD628" s="175" t="str">
        <f ca="1">IFERROR(__xludf.DUMMYFUNCTION("QUERY('Volunteer Survey'!E627)"),"")</f>
        <v/>
      </c>
      <c r="AE628" s="175" t="str">
        <f ca="1">IFERROR(__xludf.DUMMYFUNCTION("QUERY('Volunteer Survey'!F627)"),"")</f>
        <v/>
      </c>
      <c r="AF628" s="175" t="str">
        <f ca="1">IFERROR(__xludf.DUMMYFUNCTION("QUERY('Volunteer Survey'!G627)"),"")</f>
        <v/>
      </c>
      <c r="AG628" s="175" t="str">
        <f ca="1">IFERROR(__xludf.DUMMYFUNCTION("QUERY('Volunteer Survey'!H627)"),"")</f>
        <v/>
      </c>
      <c r="AH628" s="175" t="str">
        <f ca="1">IFERROR(__xludf.DUMMYFUNCTION("QUERY('Volunteer Survey'!I627)"),"")</f>
        <v/>
      </c>
      <c r="AI628" s="175" t="str">
        <f ca="1">IFERROR(__xludf.DUMMYFUNCTION("QUERY('Volunteer Survey'!J627)"),"")</f>
        <v/>
      </c>
      <c r="AJ628" s="175" t="str">
        <f ca="1">IFERROR(__xludf.DUMMYFUNCTION("QUERY('Volunteer Survey'!K627)"),"")</f>
        <v/>
      </c>
      <c r="AK628" s="175" t="str">
        <f ca="1">IFERROR(__xludf.DUMMYFUNCTION("QUERY('Volunteer Survey'!L627)"),"")</f>
        <v/>
      </c>
      <c r="AL628" s="175" t="str">
        <f ca="1">IFERROR(__xludf.DUMMYFUNCTION("QUERY('Volunteer Survey'!M627)"),"")</f>
        <v/>
      </c>
      <c r="AM628" s="175" t="str">
        <f ca="1">IFERROR(__xludf.DUMMYFUNCTION("QUERY('Volunteer Survey'!N627)"),"")</f>
        <v/>
      </c>
      <c r="AN628" s="175" t="str">
        <f ca="1">IFERROR(__xludf.DUMMYFUNCTION("QUERY('Volunteer Survey'!O627)"),"")</f>
        <v/>
      </c>
      <c r="AO628" s="175" t="str">
        <f ca="1">IFERROR(__xludf.DUMMYFUNCTION("QUERY('Volunteer Survey'!P627)"),"")</f>
        <v/>
      </c>
    </row>
    <row r="629" spans="1:41" ht="14">
      <c r="A629" s="49"/>
      <c r="B629" s="49"/>
      <c r="C629" s="47"/>
      <c r="D629" s="49"/>
      <c r="E629" s="49"/>
      <c r="F629" s="49" t="b">
        <v>0</v>
      </c>
      <c r="G629" s="49"/>
      <c r="H629" s="47"/>
      <c r="I629" s="47"/>
      <c r="J629" s="49"/>
      <c r="K629" s="49"/>
      <c r="L629" s="49"/>
      <c r="M629" s="49"/>
      <c r="N629" s="49"/>
      <c r="O629" s="49" t="b">
        <v>0</v>
      </c>
      <c r="P629" s="49"/>
      <c r="Q629" s="49"/>
      <c r="R629" s="49"/>
      <c r="S629" s="49"/>
      <c r="T629" s="49"/>
      <c r="U629" s="58"/>
      <c r="V629" s="49"/>
      <c r="W629" s="58"/>
      <c r="X629" s="49"/>
      <c r="Y629" s="47"/>
      <c r="Z629" s="175" t="str">
        <f ca="1">IFERROR(__xludf.DUMMYFUNCTION("QUERY('Volunteer Survey'!A628)"),"")</f>
        <v/>
      </c>
      <c r="AA629" s="175" t="str">
        <f ca="1">IFERROR(__xludf.DUMMYFUNCTION("QUERY('Volunteer Survey'!B628)"),"")</f>
        <v/>
      </c>
      <c r="AB629" s="175" t="str">
        <f ca="1">IFERROR(__xludf.DUMMYFUNCTION("QUERY('Volunteer Survey'!C628)"),"")</f>
        <v/>
      </c>
      <c r="AC629" s="175" t="str">
        <f ca="1">IFERROR(__xludf.DUMMYFUNCTION("QUERY('Volunteer Survey'!D628)"),"")</f>
        <v/>
      </c>
      <c r="AD629" s="175" t="str">
        <f ca="1">IFERROR(__xludf.DUMMYFUNCTION("QUERY('Volunteer Survey'!E628)"),"")</f>
        <v/>
      </c>
      <c r="AE629" s="175" t="str">
        <f ca="1">IFERROR(__xludf.DUMMYFUNCTION("QUERY('Volunteer Survey'!F628)"),"")</f>
        <v/>
      </c>
      <c r="AF629" s="175" t="str">
        <f ca="1">IFERROR(__xludf.DUMMYFUNCTION("QUERY('Volunteer Survey'!G628)"),"")</f>
        <v/>
      </c>
      <c r="AG629" s="175" t="str">
        <f ca="1">IFERROR(__xludf.DUMMYFUNCTION("QUERY('Volunteer Survey'!H628)"),"")</f>
        <v/>
      </c>
      <c r="AH629" s="175" t="str">
        <f ca="1">IFERROR(__xludf.DUMMYFUNCTION("QUERY('Volunteer Survey'!I628)"),"")</f>
        <v/>
      </c>
      <c r="AI629" s="175" t="str">
        <f ca="1">IFERROR(__xludf.DUMMYFUNCTION("QUERY('Volunteer Survey'!J628)"),"")</f>
        <v/>
      </c>
      <c r="AJ629" s="175" t="str">
        <f ca="1">IFERROR(__xludf.DUMMYFUNCTION("QUERY('Volunteer Survey'!K628)"),"")</f>
        <v/>
      </c>
      <c r="AK629" s="175" t="str">
        <f ca="1">IFERROR(__xludf.DUMMYFUNCTION("QUERY('Volunteer Survey'!L628)"),"")</f>
        <v/>
      </c>
      <c r="AL629" s="175" t="str">
        <f ca="1">IFERROR(__xludf.DUMMYFUNCTION("QUERY('Volunteer Survey'!M628)"),"")</f>
        <v/>
      </c>
      <c r="AM629" s="175" t="str">
        <f ca="1">IFERROR(__xludf.DUMMYFUNCTION("QUERY('Volunteer Survey'!N628)"),"")</f>
        <v/>
      </c>
      <c r="AN629" s="175" t="str">
        <f ca="1">IFERROR(__xludf.DUMMYFUNCTION("QUERY('Volunteer Survey'!O628)"),"")</f>
        <v/>
      </c>
      <c r="AO629" s="175" t="str">
        <f ca="1">IFERROR(__xludf.DUMMYFUNCTION("QUERY('Volunteer Survey'!P628)"),"")</f>
        <v/>
      </c>
    </row>
    <row r="630" spans="1:41" ht="14">
      <c r="A630" s="49"/>
      <c r="B630" s="49"/>
      <c r="C630" s="47"/>
      <c r="D630" s="49"/>
      <c r="E630" s="49"/>
      <c r="F630" s="49" t="b">
        <v>0</v>
      </c>
      <c r="G630" s="49"/>
      <c r="H630" s="47"/>
      <c r="I630" s="47"/>
      <c r="J630" s="49"/>
      <c r="K630" s="49"/>
      <c r="L630" s="49"/>
      <c r="M630" s="49"/>
      <c r="N630" s="49"/>
      <c r="O630" s="49" t="b">
        <v>0</v>
      </c>
      <c r="P630" s="49"/>
      <c r="Q630" s="49"/>
      <c r="R630" s="49"/>
      <c r="S630" s="49"/>
      <c r="T630" s="49"/>
      <c r="U630" s="58"/>
      <c r="V630" s="49"/>
      <c r="W630" s="58"/>
      <c r="X630" s="49"/>
      <c r="Y630" s="47"/>
      <c r="Z630" s="175" t="str">
        <f ca="1">IFERROR(__xludf.DUMMYFUNCTION("QUERY('Volunteer Survey'!A629)"),"")</f>
        <v/>
      </c>
      <c r="AA630" s="175" t="str">
        <f ca="1">IFERROR(__xludf.DUMMYFUNCTION("QUERY('Volunteer Survey'!B629)"),"")</f>
        <v/>
      </c>
      <c r="AB630" s="175" t="str">
        <f ca="1">IFERROR(__xludf.DUMMYFUNCTION("QUERY('Volunteer Survey'!C629)"),"")</f>
        <v/>
      </c>
      <c r="AC630" s="175" t="str">
        <f ca="1">IFERROR(__xludf.DUMMYFUNCTION("QUERY('Volunteer Survey'!D629)"),"")</f>
        <v/>
      </c>
      <c r="AD630" s="175" t="str">
        <f ca="1">IFERROR(__xludf.DUMMYFUNCTION("QUERY('Volunteer Survey'!E629)"),"")</f>
        <v/>
      </c>
      <c r="AE630" s="175" t="str">
        <f ca="1">IFERROR(__xludf.DUMMYFUNCTION("QUERY('Volunteer Survey'!F629)"),"")</f>
        <v/>
      </c>
      <c r="AF630" s="175" t="str">
        <f ca="1">IFERROR(__xludf.DUMMYFUNCTION("QUERY('Volunteer Survey'!G629)"),"")</f>
        <v/>
      </c>
      <c r="AG630" s="175" t="str">
        <f ca="1">IFERROR(__xludf.DUMMYFUNCTION("QUERY('Volunteer Survey'!H629)"),"")</f>
        <v/>
      </c>
      <c r="AH630" s="175" t="str">
        <f ca="1">IFERROR(__xludf.DUMMYFUNCTION("QUERY('Volunteer Survey'!I629)"),"")</f>
        <v/>
      </c>
      <c r="AI630" s="175" t="str">
        <f ca="1">IFERROR(__xludf.DUMMYFUNCTION("QUERY('Volunteer Survey'!J629)"),"")</f>
        <v/>
      </c>
      <c r="AJ630" s="175" t="str">
        <f ca="1">IFERROR(__xludf.DUMMYFUNCTION("QUERY('Volunteer Survey'!K629)"),"")</f>
        <v/>
      </c>
      <c r="AK630" s="175" t="str">
        <f ca="1">IFERROR(__xludf.DUMMYFUNCTION("QUERY('Volunteer Survey'!L629)"),"")</f>
        <v/>
      </c>
      <c r="AL630" s="175" t="str">
        <f ca="1">IFERROR(__xludf.DUMMYFUNCTION("QUERY('Volunteer Survey'!M629)"),"")</f>
        <v/>
      </c>
      <c r="AM630" s="175" t="str">
        <f ca="1">IFERROR(__xludf.DUMMYFUNCTION("QUERY('Volunteer Survey'!N629)"),"")</f>
        <v/>
      </c>
      <c r="AN630" s="175" t="str">
        <f ca="1">IFERROR(__xludf.DUMMYFUNCTION("QUERY('Volunteer Survey'!O629)"),"")</f>
        <v/>
      </c>
      <c r="AO630" s="175" t="str">
        <f ca="1">IFERROR(__xludf.DUMMYFUNCTION("QUERY('Volunteer Survey'!P629)"),"")</f>
        <v/>
      </c>
    </row>
    <row r="631" spans="1:41" ht="14">
      <c r="A631" s="49"/>
      <c r="B631" s="49"/>
      <c r="C631" s="47"/>
      <c r="D631" s="49"/>
      <c r="E631" s="49"/>
      <c r="F631" s="49" t="b">
        <v>0</v>
      </c>
      <c r="G631" s="49"/>
      <c r="H631" s="47"/>
      <c r="I631" s="47"/>
      <c r="J631" s="49"/>
      <c r="K631" s="49"/>
      <c r="L631" s="49"/>
      <c r="M631" s="49"/>
      <c r="N631" s="49"/>
      <c r="O631" s="49" t="b">
        <v>0</v>
      </c>
      <c r="P631" s="49"/>
      <c r="Q631" s="49"/>
      <c r="R631" s="49"/>
      <c r="S631" s="49"/>
      <c r="T631" s="49"/>
      <c r="U631" s="58"/>
      <c r="V631" s="49"/>
      <c r="W631" s="58"/>
      <c r="X631" s="49"/>
      <c r="Y631" s="47"/>
      <c r="Z631" s="175" t="str">
        <f ca="1">IFERROR(__xludf.DUMMYFUNCTION("QUERY('Volunteer Survey'!A630)"),"")</f>
        <v/>
      </c>
      <c r="AA631" s="175" t="str">
        <f ca="1">IFERROR(__xludf.DUMMYFUNCTION("QUERY('Volunteer Survey'!B630)"),"")</f>
        <v/>
      </c>
      <c r="AB631" s="175" t="str">
        <f ca="1">IFERROR(__xludf.DUMMYFUNCTION("QUERY('Volunteer Survey'!C630)"),"")</f>
        <v/>
      </c>
      <c r="AC631" s="175" t="str">
        <f ca="1">IFERROR(__xludf.DUMMYFUNCTION("QUERY('Volunteer Survey'!D630)"),"")</f>
        <v/>
      </c>
      <c r="AD631" s="175" t="str">
        <f ca="1">IFERROR(__xludf.DUMMYFUNCTION("QUERY('Volunteer Survey'!E630)"),"")</f>
        <v/>
      </c>
      <c r="AE631" s="175" t="str">
        <f ca="1">IFERROR(__xludf.DUMMYFUNCTION("QUERY('Volunteer Survey'!F630)"),"")</f>
        <v/>
      </c>
      <c r="AF631" s="175" t="str">
        <f ca="1">IFERROR(__xludf.DUMMYFUNCTION("QUERY('Volunteer Survey'!G630)"),"")</f>
        <v/>
      </c>
      <c r="AG631" s="175" t="str">
        <f ca="1">IFERROR(__xludf.DUMMYFUNCTION("QUERY('Volunteer Survey'!H630)"),"")</f>
        <v/>
      </c>
      <c r="AH631" s="175" t="str">
        <f ca="1">IFERROR(__xludf.DUMMYFUNCTION("QUERY('Volunteer Survey'!I630)"),"")</f>
        <v/>
      </c>
      <c r="AI631" s="175" t="str">
        <f ca="1">IFERROR(__xludf.DUMMYFUNCTION("QUERY('Volunteer Survey'!J630)"),"")</f>
        <v/>
      </c>
      <c r="AJ631" s="175" t="str">
        <f ca="1">IFERROR(__xludf.DUMMYFUNCTION("QUERY('Volunteer Survey'!K630)"),"")</f>
        <v/>
      </c>
      <c r="AK631" s="175" t="str">
        <f ca="1">IFERROR(__xludf.DUMMYFUNCTION("QUERY('Volunteer Survey'!L630)"),"")</f>
        <v/>
      </c>
      <c r="AL631" s="175" t="str">
        <f ca="1">IFERROR(__xludf.DUMMYFUNCTION("QUERY('Volunteer Survey'!M630)"),"")</f>
        <v/>
      </c>
      <c r="AM631" s="175" t="str">
        <f ca="1">IFERROR(__xludf.DUMMYFUNCTION("QUERY('Volunteer Survey'!N630)"),"")</f>
        <v/>
      </c>
      <c r="AN631" s="175" t="str">
        <f ca="1">IFERROR(__xludf.DUMMYFUNCTION("QUERY('Volunteer Survey'!O630)"),"")</f>
        <v/>
      </c>
      <c r="AO631" s="175" t="str">
        <f ca="1">IFERROR(__xludf.DUMMYFUNCTION("QUERY('Volunteer Survey'!P630)"),"")</f>
        <v/>
      </c>
    </row>
    <row r="632" spans="1:41" ht="14">
      <c r="A632" s="49"/>
      <c r="B632" s="49"/>
      <c r="C632" s="47"/>
      <c r="D632" s="49"/>
      <c r="E632" s="49"/>
      <c r="F632" s="49" t="b">
        <v>0</v>
      </c>
      <c r="G632" s="49"/>
      <c r="H632" s="47"/>
      <c r="I632" s="47"/>
      <c r="J632" s="49"/>
      <c r="K632" s="49"/>
      <c r="L632" s="49"/>
      <c r="M632" s="49"/>
      <c r="N632" s="49"/>
      <c r="O632" s="49" t="b">
        <v>0</v>
      </c>
      <c r="P632" s="49"/>
      <c r="Q632" s="49"/>
      <c r="R632" s="49"/>
      <c r="S632" s="49"/>
      <c r="T632" s="49"/>
      <c r="U632" s="58"/>
      <c r="V632" s="49"/>
      <c r="W632" s="58"/>
      <c r="X632" s="49"/>
      <c r="Y632" s="47"/>
      <c r="Z632" s="175" t="str">
        <f ca="1">IFERROR(__xludf.DUMMYFUNCTION("QUERY('Volunteer Survey'!A631)"),"")</f>
        <v/>
      </c>
      <c r="AA632" s="175" t="str">
        <f ca="1">IFERROR(__xludf.DUMMYFUNCTION("QUERY('Volunteer Survey'!B631)"),"")</f>
        <v/>
      </c>
      <c r="AB632" s="175" t="str">
        <f ca="1">IFERROR(__xludf.DUMMYFUNCTION("QUERY('Volunteer Survey'!C631)"),"")</f>
        <v/>
      </c>
      <c r="AC632" s="175" t="str">
        <f ca="1">IFERROR(__xludf.DUMMYFUNCTION("QUERY('Volunteer Survey'!D631)"),"")</f>
        <v/>
      </c>
      <c r="AD632" s="175" t="str">
        <f ca="1">IFERROR(__xludf.DUMMYFUNCTION("QUERY('Volunteer Survey'!E631)"),"")</f>
        <v/>
      </c>
      <c r="AE632" s="175" t="str">
        <f ca="1">IFERROR(__xludf.DUMMYFUNCTION("QUERY('Volunteer Survey'!F631)"),"")</f>
        <v/>
      </c>
      <c r="AF632" s="175" t="str">
        <f ca="1">IFERROR(__xludf.DUMMYFUNCTION("QUERY('Volunteer Survey'!G631)"),"")</f>
        <v/>
      </c>
      <c r="AG632" s="175" t="str">
        <f ca="1">IFERROR(__xludf.DUMMYFUNCTION("QUERY('Volunteer Survey'!H631)"),"")</f>
        <v/>
      </c>
      <c r="AH632" s="175" t="str">
        <f ca="1">IFERROR(__xludf.DUMMYFUNCTION("QUERY('Volunteer Survey'!I631)"),"")</f>
        <v/>
      </c>
      <c r="AI632" s="175" t="str">
        <f ca="1">IFERROR(__xludf.DUMMYFUNCTION("QUERY('Volunteer Survey'!J631)"),"")</f>
        <v/>
      </c>
      <c r="AJ632" s="175" t="str">
        <f ca="1">IFERROR(__xludf.DUMMYFUNCTION("QUERY('Volunteer Survey'!K631)"),"")</f>
        <v/>
      </c>
      <c r="AK632" s="175" t="str">
        <f ca="1">IFERROR(__xludf.DUMMYFUNCTION("QUERY('Volunteer Survey'!L631)"),"")</f>
        <v/>
      </c>
      <c r="AL632" s="175" t="str">
        <f ca="1">IFERROR(__xludf.DUMMYFUNCTION("QUERY('Volunteer Survey'!M631)"),"")</f>
        <v/>
      </c>
      <c r="AM632" s="175" t="str">
        <f ca="1">IFERROR(__xludf.DUMMYFUNCTION("QUERY('Volunteer Survey'!N631)"),"")</f>
        <v/>
      </c>
      <c r="AN632" s="175" t="str">
        <f ca="1">IFERROR(__xludf.DUMMYFUNCTION("QUERY('Volunteer Survey'!O631)"),"")</f>
        <v/>
      </c>
      <c r="AO632" s="175" t="str">
        <f ca="1">IFERROR(__xludf.DUMMYFUNCTION("QUERY('Volunteer Survey'!P631)"),"")</f>
        <v/>
      </c>
    </row>
    <row r="633" spans="1:41" ht="14">
      <c r="A633" s="49"/>
      <c r="B633" s="49"/>
      <c r="C633" s="47"/>
      <c r="D633" s="49"/>
      <c r="E633" s="49"/>
      <c r="F633" s="49" t="b">
        <v>0</v>
      </c>
      <c r="G633" s="49"/>
      <c r="H633" s="47"/>
      <c r="I633" s="47"/>
      <c r="J633" s="49"/>
      <c r="K633" s="49"/>
      <c r="L633" s="49"/>
      <c r="M633" s="49"/>
      <c r="N633" s="49"/>
      <c r="O633" s="49" t="b">
        <v>0</v>
      </c>
      <c r="P633" s="49"/>
      <c r="Q633" s="49"/>
      <c r="R633" s="49"/>
      <c r="S633" s="49"/>
      <c r="T633" s="49"/>
      <c r="U633" s="58"/>
      <c r="V633" s="49"/>
      <c r="W633" s="58"/>
      <c r="X633" s="49"/>
      <c r="Y633" s="47"/>
      <c r="Z633" s="175" t="str">
        <f ca="1">IFERROR(__xludf.DUMMYFUNCTION("QUERY('Volunteer Survey'!A632)"),"")</f>
        <v/>
      </c>
      <c r="AA633" s="175" t="str">
        <f ca="1">IFERROR(__xludf.DUMMYFUNCTION("QUERY('Volunteer Survey'!B632)"),"")</f>
        <v/>
      </c>
      <c r="AB633" s="175" t="str">
        <f ca="1">IFERROR(__xludf.DUMMYFUNCTION("QUERY('Volunteer Survey'!C632)"),"")</f>
        <v/>
      </c>
      <c r="AC633" s="175" t="str">
        <f ca="1">IFERROR(__xludf.DUMMYFUNCTION("QUERY('Volunteer Survey'!D632)"),"")</f>
        <v/>
      </c>
      <c r="AD633" s="175" t="str">
        <f ca="1">IFERROR(__xludf.DUMMYFUNCTION("QUERY('Volunteer Survey'!E632)"),"")</f>
        <v/>
      </c>
      <c r="AE633" s="175" t="str">
        <f ca="1">IFERROR(__xludf.DUMMYFUNCTION("QUERY('Volunteer Survey'!F632)"),"")</f>
        <v/>
      </c>
      <c r="AF633" s="175" t="str">
        <f ca="1">IFERROR(__xludf.DUMMYFUNCTION("QUERY('Volunteer Survey'!G632)"),"")</f>
        <v/>
      </c>
      <c r="AG633" s="175" t="str">
        <f ca="1">IFERROR(__xludf.DUMMYFUNCTION("QUERY('Volunteer Survey'!H632)"),"")</f>
        <v/>
      </c>
      <c r="AH633" s="175" t="str">
        <f ca="1">IFERROR(__xludf.DUMMYFUNCTION("QUERY('Volunteer Survey'!I632)"),"")</f>
        <v/>
      </c>
      <c r="AI633" s="175" t="str">
        <f ca="1">IFERROR(__xludf.DUMMYFUNCTION("QUERY('Volunteer Survey'!J632)"),"")</f>
        <v/>
      </c>
      <c r="AJ633" s="175" t="str">
        <f ca="1">IFERROR(__xludf.DUMMYFUNCTION("QUERY('Volunteer Survey'!K632)"),"")</f>
        <v/>
      </c>
      <c r="AK633" s="175" t="str">
        <f ca="1">IFERROR(__xludf.DUMMYFUNCTION("QUERY('Volunteer Survey'!L632)"),"")</f>
        <v/>
      </c>
      <c r="AL633" s="175" t="str">
        <f ca="1">IFERROR(__xludf.DUMMYFUNCTION("QUERY('Volunteer Survey'!M632)"),"")</f>
        <v/>
      </c>
      <c r="AM633" s="175" t="str">
        <f ca="1">IFERROR(__xludf.DUMMYFUNCTION("QUERY('Volunteer Survey'!N632)"),"")</f>
        <v/>
      </c>
      <c r="AN633" s="175" t="str">
        <f ca="1">IFERROR(__xludf.DUMMYFUNCTION("QUERY('Volunteer Survey'!O632)"),"")</f>
        <v/>
      </c>
      <c r="AO633" s="175" t="str">
        <f ca="1">IFERROR(__xludf.DUMMYFUNCTION("QUERY('Volunteer Survey'!P632)"),"")</f>
        <v/>
      </c>
    </row>
    <row r="634" spans="1:41" ht="14">
      <c r="A634" s="49"/>
      <c r="B634" s="49"/>
      <c r="C634" s="47"/>
      <c r="D634" s="49"/>
      <c r="E634" s="49"/>
      <c r="F634" s="49" t="b">
        <v>0</v>
      </c>
      <c r="G634" s="49"/>
      <c r="H634" s="47"/>
      <c r="I634" s="47"/>
      <c r="J634" s="49"/>
      <c r="K634" s="49"/>
      <c r="L634" s="49"/>
      <c r="M634" s="49"/>
      <c r="N634" s="49"/>
      <c r="O634" s="49" t="b">
        <v>0</v>
      </c>
      <c r="P634" s="49"/>
      <c r="Q634" s="49"/>
      <c r="R634" s="49"/>
      <c r="S634" s="49"/>
      <c r="T634" s="49"/>
      <c r="U634" s="58"/>
      <c r="V634" s="49"/>
      <c r="W634" s="58"/>
      <c r="X634" s="49"/>
      <c r="Y634" s="47"/>
      <c r="Z634" s="175" t="str">
        <f ca="1">IFERROR(__xludf.DUMMYFUNCTION("QUERY('Volunteer Survey'!A633)"),"")</f>
        <v/>
      </c>
      <c r="AA634" s="175" t="str">
        <f ca="1">IFERROR(__xludf.DUMMYFUNCTION("QUERY('Volunteer Survey'!B633)"),"")</f>
        <v/>
      </c>
      <c r="AB634" s="175" t="str">
        <f ca="1">IFERROR(__xludf.DUMMYFUNCTION("QUERY('Volunteer Survey'!C633)"),"")</f>
        <v/>
      </c>
      <c r="AC634" s="175" t="str">
        <f ca="1">IFERROR(__xludf.DUMMYFUNCTION("QUERY('Volunteer Survey'!D633)"),"")</f>
        <v/>
      </c>
      <c r="AD634" s="175" t="str">
        <f ca="1">IFERROR(__xludf.DUMMYFUNCTION("QUERY('Volunteer Survey'!E633)"),"")</f>
        <v/>
      </c>
      <c r="AE634" s="175" t="str">
        <f ca="1">IFERROR(__xludf.DUMMYFUNCTION("QUERY('Volunteer Survey'!F633)"),"")</f>
        <v/>
      </c>
      <c r="AF634" s="175" t="str">
        <f ca="1">IFERROR(__xludf.DUMMYFUNCTION("QUERY('Volunteer Survey'!G633)"),"")</f>
        <v/>
      </c>
      <c r="AG634" s="175" t="str">
        <f ca="1">IFERROR(__xludf.DUMMYFUNCTION("QUERY('Volunteer Survey'!H633)"),"")</f>
        <v/>
      </c>
      <c r="AH634" s="175" t="str">
        <f ca="1">IFERROR(__xludf.DUMMYFUNCTION("QUERY('Volunteer Survey'!I633)"),"")</f>
        <v/>
      </c>
      <c r="AI634" s="175" t="str">
        <f ca="1">IFERROR(__xludf.DUMMYFUNCTION("QUERY('Volunteer Survey'!J633)"),"")</f>
        <v/>
      </c>
      <c r="AJ634" s="175" t="str">
        <f ca="1">IFERROR(__xludf.DUMMYFUNCTION("QUERY('Volunteer Survey'!K633)"),"")</f>
        <v/>
      </c>
      <c r="AK634" s="175" t="str">
        <f ca="1">IFERROR(__xludf.DUMMYFUNCTION("QUERY('Volunteer Survey'!L633)"),"")</f>
        <v/>
      </c>
      <c r="AL634" s="175" t="str">
        <f ca="1">IFERROR(__xludf.DUMMYFUNCTION("QUERY('Volunteer Survey'!M633)"),"")</f>
        <v/>
      </c>
      <c r="AM634" s="175" t="str">
        <f ca="1">IFERROR(__xludf.DUMMYFUNCTION("QUERY('Volunteer Survey'!N633)"),"")</f>
        <v/>
      </c>
      <c r="AN634" s="175" t="str">
        <f ca="1">IFERROR(__xludf.DUMMYFUNCTION("QUERY('Volunteer Survey'!O633)"),"")</f>
        <v/>
      </c>
      <c r="AO634" s="175" t="str">
        <f ca="1">IFERROR(__xludf.DUMMYFUNCTION("QUERY('Volunteer Survey'!P633)"),"")</f>
        <v/>
      </c>
    </row>
    <row r="635" spans="1:41" ht="14">
      <c r="A635" s="49"/>
      <c r="B635" s="49"/>
      <c r="C635" s="47"/>
      <c r="D635" s="49"/>
      <c r="E635" s="49"/>
      <c r="F635" s="49" t="b">
        <v>0</v>
      </c>
      <c r="G635" s="49"/>
      <c r="H635" s="47"/>
      <c r="I635" s="47"/>
      <c r="J635" s="49"/>
      <c r="K635" s="49"/>
      <c r="L635" s="49"/>
      <c r="M635" s="49"/>
      <c r="N635" s="49"/>
      <c r="O635" s="49" t="b">
        <v>0</v>
      </c>
      <c r="P635" s="49"/>
      <c r="Q635" s="49"/>
      <c r="R635" s="49"/>
      <c r="S635" s="49"/>
      <c r="T635" s="49"/>
      <c r="U635" s="58"/>
      <c r="V635" s="49"/>
      <c r="W635" s="58"/>
      <c r="X635" s="49"/>
      <c r="Y635" s="47"/>
      <c r="Z635" s="175" t="str">
        <f ca="1">IFERROR(__xludf.DUMMYFUNCTION("QUERY('Volunteer Survey'!A634)"),"")</f>
        <v/>
      </c>
      <c r="AA635" s="175" t="str">
        <f ca="1">IFERROR(__xludf.DUMMYFUNCTION("QUERY('Volunteer Survey'!B634)"),"")</f>
        <v/>
      </c>
      <c r="AB635" s="175" t="str">
        <f ca="1">IFERROR(__xludf.DUMMYFUNCTION("QUERY('Volunteer Survey'!C634)"),"")</f>
        <v/>
      </c>
      <c r="AC635" s="175" t="str">
        <f ca="1">IFERROR(__xludf.DUMMYFUNCTION("QUERY('Volunteer Survey'!D634)"),"")</f>
        <v/>
      </c>
      <c r="AD635" s="175" t="str">
        <f ca="1">IFERROR(__xludf.DUMMYFUNCTION("QUERY('Volunteer Survey'!E634)"),"")</f>
        <v/>
      </c>
      <c r="AE635" s="175" t="str">
        <f ca="1">IFERROR(__xludf.DUMMYFUNCTION("QUERY('Volunteer Survey'!F634)"),"")</f>
        <v/>
      </c>
      <c r="AF635" s="175" t="str">
        <f ca="1">IFERROR(__xludf.DUMMYFUNCTION("QUERY('Volunteer Survey'!G634)"),"")</f>
        <v/>
      </c>
      <c r="AG635" s="175" t="str">
        <f ca="1">IFERROR(__xludf.DUMMYFUNCTION("QUERY('Volunteer Survey'!H634)"),"")</f>
        <v/>
      </c>
      <c r="AH635" s="175" t="str">
        <f ca="1">IFERROR(__xludf.DUMMYFUNCTION("QUERY('Volunteer Survey'!I634)"),"")</f>
        <v/>
      </c>
      <c r="AI635" s="175" t="str">
        <f ca="1">IFERROR(__xludf.DUMMYFUNCTION("QUERY('Volunteer Survey'!J634)"),"")</f>
        <v/>
      </c>
      <c r="AJ635" s="175" t="str">
        <f ca="1">IFERROR(__xludf.DUMMYFUNCTION("QUERY('Volunteer Survey'!K634)"),"")</f>
        <v/>
      </c>
      <c r="AK635" s="175" t="str">
        <f ca="1">IFERROR(__xludf.DUMMYFUNCTION("QUERY('Volunteer Survey'!L634)"),"")</f>
        <v/>
      </c>
      <c r="AL635" s="175" t="str">
        <f ca="1">IFERROR(__xludf.DUMMYFUNCTION("QUERY('Volunteer Survey'!M634)"),"")</f>
        <v/>
      </c>
      <c r="AM635" s="175" t="str">
        <f ca="1">IFERROR(__xludf.DUMMYFUNCTION("QUERY('Volunteer Survey'!N634)"),"")</f>
        <v/>
      </c>
      <c r="AN635" s="175" t="str">
        <f ca="1">IFERROR(__xludf.DUMMYFUNCTION("QUERY('Volunteer Survey'!O634)"),"")</f>
        <v/>
      </c>
      <c r="AO635" s="175" t="str">
        <f ca="1">IFERROR(__xludf.DUMMYFUNCTION("QUERY('Volunteer Survey'!P634)"),"")</f>
        <v/>
      </c>
    </row>
    <row r="636" spans="1:41" ht="14">
      <c r="A636" s="49"/>
      <c r="B636" s="49"/>
      <c r="C636" s="47"/>
      <c r="D636" s="49"/>
      <c r="E636" s="49"/>
      <c r="F636" s="49" t="b">
        <v>0</v>
      </c>
      <c r="G636" s="49"/>
      <c r="H636" s="47"/>
      <c r="I636" s="47"/>
      <c r="J636" s="49"/>
      <c r="K636" s="49"/>
      <c r="L636" s="49"/>
      <c r="M636" s="49"/>
      <c r="N636" s="49"/>
      <c r="O636" s="49" t="b">
        <v>0</v>
      </c>
      <c r="P636" s="49"/>
      <c r="Q636" s="49"/>
      <c r="R636" s="49"/>
      <c r="S636" s="49"/>
      <c r="T636" s="49"/>
      <c r="U636" s="58"/>
      <c r="V636" s="49"/>
      <c r="W636" s="58"/>
      <c r="X636" s="49"/>
      <c r="Y636" s="47"/>
      <c r="Z636" s="175" t="str">
        <f ca="1">IFERROR(__xludf.DUMMYFUNCTION("QUERY('Volunteer Survey'!A635)"),"")</f>
        <v/>
      </c>
      <c r="AA636" s="175" t="str">
        <f ca="1">IFERROR(__xludf.DUMMYFUNCTION("QUERY('Volunteer Survey'!B635)"),"")</f>
        <v/>
      </c>
      <c r="AB636" s="175" t="str">
        <f ca="1">IFERROR(__xludf.DUMMYFUNCTION("QUERY('Volunteer Survey'!C635)"),"")</f>
        <v/>
      </c>
      <c r="AC636" s="175" t="str">
        <f ca="1">IFERROR(__xludf.DUMMYFUNCTION("QUERY('Volunteer Survey'!D635)"),"")</f>
        <v/>
      </c>
      <c r="AD636" s="175" t="str">
        <f ca="1">IFERROR(__xludf.DUMMYFUNCTION("QUERY('Volunteer Survey'!E635)"),"")</f>
        <v/>
      </c>
      <c r="AE636" s="175" t="str">
        <f ca="1">IFERROR(__xludf.DUMMYFUNCTION("QUERY('Volunteer Survey'!F635)"),"")</f>
        <v/>
      </c>
      <c r="AF636" s="175" t="str">
        <f ca="1">IFERROR(__xludf.DUMMYFUNCTION("QUERY('Volunteer Survey'!G635)"),"")</f>
        <v/>
      </c>
      <c r="AG636" s="175" t="str">
        <f ca="1">IFERROR(__xludf.DUMMYFUNCTION("QUERY('Volunteer Survey'!H635)"),"")</f>
        <v/>
      </c>
      <c r="AH636" s="175" t="str">
        <f ca="1">IFERROR(__xludf.DUMMYFUNCTION("QUERY('Volunteer Survey'!I635)"),"")</f>
        <v/>
      </c>
      <c r="AI636" s="175" t="str">
        <f ca="1">IFERROR(__xludf.DUMMYFUNCTION("QUERY('Volunteer Survey'!J635)"),"")</f>
        <v/>
      </c>
      <c r="AJ636" s="175" t="str">
        <f ca="1">IFERROR(__xludf.DUMMYFUNCTION("QUERY('Volunteer Survey'!K635)"),"")</f>
        <v/>
      </c>
      <c r="AK636" s="175" t="str">
        <f ca="1">IFERROR(__xludf.DUMMYFUNCTION("QUERY('Volunteer Survey'!L635)"),"")</f>
        <v/>
      </c>
      <c r="AL636" s="175" t="str">
        <f ca="1">IFERROR(__xludf.DUMMYFUNCTION("QUERY('Volunteer Survey'!M635)"),"")</f>
        <v/>
      </c>
      <c r="AM636" s="175" t="str">
        <f ca="1">IFERROR(__xludf.DUMMYFUNCTION("QUERY('Volunteer Survey'!N635)"),"")</f>
        <v/>
      </c>
      <c r="AN636" s="175" t="str">
        <f ca="1">IFERROR(__xludf.DUMMYFUNCTION("QUERY('Volunteer Survey'!O635)"),"")</f>
        <v/>
      </c>
      <c r="AO636" s="175" t="str">
        <f ca="1">IFERROR(__xludf.DUMMYFUNCTION("QUERY('Volunteer Survey'!P635)"),"")</f>
        <v/>
      </c>
    </row>
    <row r="637" spans="1:41" ht="14">
      <c r="A637" s="49"/>
      <c r="B637" s="49"/>
      <c r="C637" s="47"/>
      <c r="D637" s="49"/>
      <c r="E637" s="49"/>
      <c r="F637" s="49" t="b">
        <v>0</v>
      </c>
      <c r="G637" s="49"/>
      <c r="H637" s="47"/>
      <c r="I637" s="47"/>
      <c r="J637" s="49"/>
      <c r="K637" s="49"/>
      <c r="L637" s="49"/>
      <c r="M637" s="49"/>
      <c r="N637" s="49"/>
      <c r="O637" s="49" t="b">
        <v>0</v>
      </c>
      <c r="P637" s="49"/>
      <c r="Q637" s="49"/>
      <c r="R637" s="49"/>
      <c r="S637" s="49"/>
      <c r="T637" s="49"/>
      <c r="U637" s="58"/>
      <c r="V637" s="49"/>
      <c r="W637" s="58"/>
      <c r="X637" s="49"/>
      <c r="Y637" s="47"/>
      <c r="Z637" s="175" t="str">
        <f ca="1">IFERROR(__xludf.DUMMYFUNCTION("QUERY('Volunteer Survey'!A636)"),"")</f>
        <v/>
      </c>
      <c r="AA637" s="175" t="str">
        <f ca="1">IFERROR(__xludf.DUMMYFUNCTION("QUERY('Volunteer Survey'!B636)"),"")</f>
        <v/>
      </c>
      <c r="AB637" s="175" t="str">
        <f ca="1">IFERROR(__xludf.DUMMYFUNCTION("QUERY('Volunteer Survey'!C636)"),"")</f>
        <v/>
      </c>
      <c r="AC637" s="175" t="str">
        <f ca="1">IFERROR(__xludf.DUMMYFUNCTION("QUERY('Volunteer Survey'!D636)"),"")</f>
        <v/>
      </c>
      <c r="AD637" s="175" t="str">
        <f ca="1">IFERROR(__xludf.DUMMYFUNCTION("QUERY('Volunteer Survey'!E636)"),"")</f>
        <v/>
      </c>
      <c r="AE637" s="175" t="str">
        <f ca="1">IFERROR(__xludf.DUMMYFUNCTION("QUERY('Volunteer Survey'!F636)"),"")</f>
        <v/>
      </c>
      <c r="AF637" s="175" t="str">
        <f ca="1">IFERROR(__xludf.DUMMYFUNCTION("QUERY('Volunteer Survey'!G636)"),"")</f>
        <v/>
      </c>
      <c r="AG637" s="175" t="str">
        <f ca="1">IFERROR(__xludf.DUMMYFUNCTION("QUERY('Volunteer Survey'!H636)"),"")</f>
        <v/>
      </c>
      <c r="AH637" s="175" t="str">
        <f ca="1">IFERROR(__xludf.DUMMYFUNCTION("QUERY('Volunteer Survey'!I636)"),"")</f>
        <v/>
      </c>
      <c r="AI637" s="175" t="str">
        <f ca="1">IFERROR(__xludf.DUMMYFUNCTION("QUERY('Volunteer Survey'!J636)"),"")</f>
        <v/>
      </c>
      <c r="AJ637" s="175" t="str">
        <f ca="1">IFERROR(__xludf.DUMMYFUNCTION("QUERY('Volunteer Survey'!K636)"),"")</f>
        <v/>
      </c>
      <c r="AK637" s="175" t="str">
        <f ca="1">IFERROR(__xludf.DUMMYFUNCTION("QUERY('Volunteer Survey'!L636)"),"")</f>
        <v/>
      </c>
      <c r="AL637" s="175" t="str">
        <f ca="1">IFERROR(__xludf.DUMMYFUNCTION("QUERY('Volunteer Survey'!M636)"),"")</f>
        <v/>
      </c>
      <c r="AM637" s="175" t="str">
        <f ca="1">IFERROR(__xludf.DUMMYFUNCTION("QUERY('Volunteer Survey'!N636)"),"")</f>
        <v/>
      </c>
      <c r="AN637" s="175" t="str">
        <f ca="1">IFERROR(__xludf.DUMMYFUNCTION("QUERY('Volunteer Survey'!O636)"),"")</f>
        <v/>
      </c>
      <c r="AO637" s="175" t="str">
        <f ca="1">IFERROR(__xludf.DUMMYFUNCTION("QUERY('Volunteer Survey'!P636)"),"")</f>
        <v/>
      </c>
    </row>
    <row r="638" spans="1:41" ht="14">
      <c r="A638" s="49"/>
      <c r="B638" s="49"/>
      <c r="C638" s="47"/>
      <c r="D638" s="49"/>
      <c r="E638" s="49"/>
      <c r="F638" s="49" t="b">
        <v>0</v>
      </c>
      <c r="G638" s="49"/>
      <c r="H638" s="47"/>
      <c r="I638" s="47"/>
      <c r="J638" s="49"/>
      <c r="K638" s="49"/>
      <c r="L638" s="49"/>
      <c r="M638" s="49"/>
      <c r="N638" s="49"/>
      <c r="O638" s="49" t="b">
        <v>0</v>
      </c>
      <c r="P638" s="49"/>
      <c r="Q638" s="49"/>
      <c r="R638" s="49"/>
      <c r="S638" s="49"/>
      <c r="T638" s="49"/>
      <c r="U638" s="58"/>
      <c r="V638" s="49"/>
      <c r="W638" s="58"/>
      <c r="X638" s="49"/>
      <c r="Y638" s="47"/>
      <c r="Z638" s="175" t="str">
        <f ca="1">IFERROR(__xludf.DUMMYFUNCTION("QUERY('Volunteer Survey'!A637)"),"")</f>
        <v/>
      </c>
      <c r="AA638" s="175" t="str">
        <f ca="1">IFERROR(__xludf.DUMMYFUNCTION("QUERY('Volunteer Survey'!B637)"),"")</f>
        <v/>
      </c>
      <c r="AB638" s="175" t="str">
        <f ca="1">IFERROR(__xludf.DUMMYFUNCTION("QUERY('Volunteer Survey'!C637)"),"")</f>
        <v/>
      </c>
      <c r="AC638" s="175" t="str">
        <f ca="1">IFERROR(__xludf.DUMMYFUNCTION("QUERY('Volunteer Survey'!D637)"),"")</f>
        <v/>
      </c>
      <c r="AD638" s="175" t="str">
        <f ca="1">IFERROR(__xludf.DUMMYFUNCTION("QUERY('Volunteer Survey'!E637)"),"")</f>
        <v/>
      </c>
      <c r="AE638" s="175" t="str">
        <f ca="1">IFERROR(__xludf.DUMMYFUNCTION("QUERY('Volunteer Survey'!F637)"),"")</f>
        <v/>
      </c>
      <c r="AF638" s="175" t="str">
        <f ca="1">IFERROR(__xludf.DUMMYFUNCTION("QUERY('Volunteer Survey'!G637)"),"")</f>
        <v/>
      </c>
      <c r="AG638" s="175" t="str">
        <f ca="1">IFERROR(__xludf.DUMMYFUNCTION("QUERY('Volunteer Survey'!H637)"),"")</f>
        <v/>
      </c>
      <c r="AH638" s="175" t="str">
        <f ca="1">IFERROR(__xludf.DUMMYFUNCTION("QUERY('Volunteer Survey'!I637)"),"")</f>
        <v/>
      </c>
      <c r="AI638" s="175" t="str">
        <f ca="1">IFERROR(__xludf.DUMMYFUNCTION("QUERY('Volunteer Survey'!J637)"),"")</f>
        <v/>
      </c>
      <c r="AJ638" s="175" t="str">
        <f ca="1">IFERROR(__xludf.DUMMYFUNCTION("QUERY('Volunteer Survey'!K637)"),"")</f>
        <v/>
      </c>
      <c r="AK638" s="175" t="str">
        <f ca="1">IFERROR(__xludf.DUMMYFUNCTION("QUERY('Volunteer Survey'!L637)"),"")</f>
        <v/>
      </c>
      <c r="AL638" s="175" t="str">
        <f ca="1">IFERROR(__xludf.DUMMYFUNCTION("QUERY('Volunteer Survey'!M637)"),"")</f>
        <v/>
      </c>
      <c r="AM638" s="175" t="str">
        <f ca="1">IFERROR(__xludf.DUMMYFUNCTION("QUERY('Volunteer Survey'!N637)"),"")</f>
        <v/>
      </c>
      <c r="AN638" s="175" t="str">
        <f ca="1">IFERROR(__xludf.DUMMYFUNCTION("QUERY('Volunteer Survey'!O637)"),"")</f>
        <v/>
      </c>
      <c r="AO638" s="175" t="str">
        <f ca="1">IFERROR(__xludf.DUMMYFUNCTION("QUERY('Volunteer Survey'!P637)"),"")</f>
        <v/>
      </c>
    </row>
    <row r="639" spans="1:41" ht="14">
      <c r="A639" s="49"/>
      <c r="B639" s="49"/>
      <c r="C639" s="47"/>
      <c r="D639" s="49"/>
      <c r="E639" s="49"/>
      <c r="F639" s="49" t="b">
        <v>0</v>
      </c>
      <c r="G639" s="49"/>
      <c r="H639" s="47"/>
      <c r="I639" s="47"/>
      <c r="J639" s="49"/>
      <c r="K639" s="49"/>
      <c r="L639" s="49"/>
      <c r="M639" s="49"/>
      <c r="N639" s="49"/>
      <c r="O639" s="49" t="b">
        <v>0</v>
      </c>
      <c r="P639" s="49"/>
      <c r="Q639" s="49"/>
      <c r="R639" s="49"/>
      <c r="S639" s="49"/>
      <c r="T639" s="49"/>
      <c r="U639" s="58"/>
      <c r="V639" s="49"/>
      <c r="W639" s="58"/>
      <c r="X639" s="49"/>
      <c r="Y639" s="47"/>
      <c r="Z639" s="175" t="str">
        <f ca="1">IFERROR(__xludf.DUMMYFUNCTION("QUERY('Volunteer Survey'!A638)"),"")</f>
        <v/>
      </c>
      <c r="AA639" s="175" t="str">
        <f ca="1">IFERROR(__xludf.DUMMYFUNCTION("QUERY('Volunteer Survey'!B638)"),"")</f>
        <v/>
      </c>
      <c r="AB639" s="175" t="str">
        <f ca="1">IFERROR(__xludf.DUMMYFUNCTION("QUERY('Volunteer Survey'!C638)"),"")</f>
        <v/>
      </c>
      <c r="AC639" s="175" t="str">
        <f ca="1">IFERROR(__xludf.DUMMYFUNCTION("QUERY('Volunteer Survey'!D638)"),"")</f>
        <v/>
      </c>
      <c r="AD639" s="175" t="str">
        <f ca="1">IFERROR(__xludf.DUMMYFUNCTION("QUERY('Volunteer Survey'!E638)"),"")</f>
        <v/>
      </c>
      <c r="AE639" s="175" t="str">
        <f ca="1">IFERROR(__xludf.DUMMYFUNCTION("QUERY('Volunteer Survey'!F638)"),"")</f>
        <v/>
      </c>
      <c r="AF639" s="175" t="str">
        <f ca="1">IFERROR(__xludf.DUMMYFUNCTION("QUERY('Volunteer Survey'!G638)"),"")</f>
        <v/>
      </c>
      <c r="AG639" s="175" t="str">
        <f ca="1">IFERROR(__xludf.DUMMYFUNCTION("QUERY('Volunteer Survey'!H638)"),"")</f>
        <v/>
      </c>
      <c r="AH639" s="175" t="str">
        <f ca="1">IFERROR(__xludf.DUMMYFUNCTION("QUERY('Volunteer Survey'!I638)"),"")</f>
        <v/>
      </c>
      <c r="AI639" s="175" t="str">
        <f ca="1">IFERROR(__xludf.DUMMYFUNCTION("QUERY('Volunteer Survey'!J638)"),"")</f>
        <v/>
      </c>
      <c r="AJ639" s="175" t="str">
        <f ca="1">IFERROR(__xludf.DUMMYFUNCTION("QUERY('Volunteer Survey'!K638)"),"")</f>
        <v/>
      </c>
      <c r="AK639" s="175" t="str">
        <f ca="1">IFERROR(__xludf.DUMMYFUNCTION("QUERY('Volunteer Survey'!L638)"),"")</f>
        <v/>
      </c>
      <c r="AL639" s="175" t="str">
        <f ca="1">IFERROR(__xludf.DUMMYFUNCTION("QUERY('Volunteer Survey'!M638)"),"")</f>
        <v/>
      </c>
      <c r="AM639" s="175" t="str">
        <f ca="1">IFERROR(__xludf.DUMMYFUNCTION("QUERY('Volunteer Survey'!N638)"),"")</f>
        <v/>
      </c>
      <c r="AN639" s="175" t="str">
        <f ca="1">IFERROR(__xludf.DUMMYFUNCTION("QUERY('Volunteer Survey'!O638)"),"")</f>
        <v/>
      </c>
      <c r="AO639" s="175" t="str">
        <f ca="1">IFERROR(__xludf.DUMMYFUNCTION("QUERY('Volunteer Survey'!P638)"),"")</f>
        <v/>
      </c>
    </row>
    <row r="640" spans="1:41" ht="14">
      <c r="A640" s="49"/>
      <c r="B640" s="49"/>
      <c r="C640" s="47"/>
      <c r="D640" s="49"/>
      <c r="E640" s="49"/>
      <c r="F640" s="49" t="b">
        <v>0</v>
      </c>
      <c r="G640" s="49"/>
      <c r="H640" s="47"/>
      <c r="I640" s="47"/>
      <c r="J640" s="49"/>
      <c r="K640" s="49"/>
      <c r="L640" s="49"/>
      <c r="M640" s="49"/>
      <c r="N640" s="49"/>
      <c r="O640" s="49" t="b">
        <v>0</v>
      </c>
      <c r="P640" s="49"/>
      <c r="Q640" s="49"/>
      <c r="R640" s="49"/>
      <c r="S640" s="49"/>
      <c r="T640" s="49"/>
      <c r="U640" s="58"/>
      <c r="V640" s="49"/>
      <c r="W640" s="58"/>
      <c r="X640" s="49"/>
      <c r="Y640" s="47"/>
      <c r="Z640" s="175" t="str">
        <f ca="1">IFERROR(__xludf.DUMMYFUNCTION("QUERY('Volunteer Survey'!A639)"),"")</f>
        <v/>
      </c>
      <c r="AA640" s="175" t="str">
        <f ca="1">IFERROR(__xludf.DUMMYFUNCTION("QUERY('Volunteer Survey'!B639)"),"")</f>
        <v/>
      </c>
      <c r="AB640" s="175" t="str">
        <f ca="1">IFERROR(__xludf.DUMMYFUNCTION("QUERY('Volunteer Survey'!C639)"),"")</f>
        <v/>
      </c>
      <c r="AC640" s="175" t="str">
        <f ca="1">IFERROR(__xludf.DUMMYFUNCTION("QUERY('Volunteer Survey'!D639)"),"")</f>
        <v/>
      </c>
      <c r="AD640" s="175" t="str">
        <f ca="1">IFERROR(__xludf.DUMMYFUNCTION("QUERY('Volunteer Survey'!E639)"),"")</f>
        <v/>
      </c>
      <c r="AE640" s="175" t="str">
        <f ca="1">IFERROR(__xludf.DUMMYFUNCTION("QUERY('Volunteer Survey'!F639)"),"")</f>
        <v/>
      </c>
      <c r="AF640" s="175" t="str">
        <f ca="1">IFERROR(__xludf.DUMMYFUNCTION("QUERY('Volunteer Survey'!G639)"),"")</f>
        <v/>
      </c>
      <c r="AG640" s="175" t="str">
        <f ca="1">IFERROR(__xludf.DUMMYFUNCTION("QUERY('Volunteer Survey'!H639)"),"")</f>
        <v/>
      </c>
      <c r="AH640" s="175" t="str">
        <f ca="1">IFERROR(__xludf.DUMMYFUNCTION("QUERY('Volunteer Survey'!I639)"),"")</f>
        <v/>
      </c>
      <c r="AI640" s="175" t="str">
        <f ca="1">IFERROR(__xludf.DUMMYFUNCTION("QUERY('Volunteer Survey'!J639)"),"")</f>
        <v/>
      </c>
      <c r="AJ640" s="175" t="str">
        <f ca="1">IFERROR(__xludf.DUMMYFUNCTION("QUERY('Volunteer Survey'!K639)"),"")</f>
        <v/>
      </c>
      <c r="AK640" s="175" t="str">
        <f ca="1">IFERROR(__xludf.DUMMYFUNCTION("QUERY('Volunteer Survey'!L639)"),"")</f>
        <v/>
      </c>
      <c r="AL640" s="175" t="str">
        <f ca="1">IFERROR(__xludf.DUMMYFUNCTION("QUERY('Volunteer Survey'!M639)"),"")</f>
        <v/>
      </c>
      <c r="AM640" s="175" t="str">
        <f ca="1">IFERROR(__xludf.DUMMYFUNCTION("QUERY('Volunteer Survey'!N639)"),"")</f>
        <v/>
      </c>
      <c r="AN640" s="175" t="str">
        <f ca="1">IFERROR(__xludf.DUMMYFUNCTION("QUERY('Volunteer Survey'!O639)"),"")</f>
        <v/>
      </c>
      <c r="AO640" s="175" t="str">
        <f ca="1">IFERROR(__xludf.DUMMYFUNCTION("QUERY('Volunteer Survey'!P639)"),"")</f>
        <v/>
      </c>
    </row>
    <row r="641" spans="1:41" ht="14">
      <c r="A641" s="49"/>
      <c r="B641" s="49"/>
      <c r="C641" s="47"/>
      <c r="D641" s="49"/>
      <c r="E641" s="49"/>
      <c r="F641" s="49" t="b">
        <v>0</v>
      </c>
      <c r="G641" s="49"/>
      <c r="H641" s="47"/>
      <c r="I641" s="47"/>
      <c r="J641" s="49"/>
      <c r="K641" s="49"/>
      <c r="L641" s="49"/>
      <c r="M641" s="49"/>
      <c r="N641" s="49"/>
      <c r="O641" s="49" t="b">
        <v>0</v>
      </c>
      <c r="P641" s="49"/>
      <c r="Q641" s="49"/>
      <c r="R641" s="49"/>
      <c r="S641" s="49"/>
      <c r="T641" s="49"/>
      <c r="U641" s="58"/>
      <c r="V641" s="49"/>
      <c r="W641" s="58"/>
      <c r="X641" s="49"/>
      <c r="Y641" s="47"/>
      <c r="Z641" s="175" t="str">
        <f ca="1">IFERROR(__xludf.DUMMYFUNCTION("QUERY('Volunteer Survey'!A640)"),"")</f>
        <v/>
      </c>
      <c r="AA641" s="175" t="str">
        <f ca="1">IFERROR(__xludf.DUMMYFUNCTION("QUERY('Volunteer Survey'!B640)"),"")</f>
        <v/>
      </c>
      <c r="AB641" s="175" t="str">
        <f ca="1">IFERROR(__xludf.DUMMYFUNCTION("QUERY('Volunteer Survey'!C640)"),"")</f>
        <v/>
      </c>
      <c r="AC641" s="175" t="str">
        <f ca="1">IFERROR(__xludf.DUMMYFUNCTION("QUERY('Volunteer Survey'!D640)"),"")</f>
        <v/>
      </c>
      <c r="AD641" s="175" t="str">
        <f ca="1">IFERROR(__xludf.DUMMYFUNCTION("QUERY('Volunteer Survey'!E640)"),"")</f>
        <v/>
      </c>
      <c r="AE641" s="175" t="str">
        <f ca="1">IFERROR(__xludf.DUMMYFUNCTION("QUERY('Volunteer Survey'!F640)"),"")</f>
        <v/>
      </c>
      <c r="AF641" s="175" t="str">
        <f ca="1">IFERROR(__xludf.DUMMYFUNCTION("QUERY('Volunteer Survey'!G640)"),"")</f>
        <v/>
      </c>
      <c r="AG641" s="175" t="str">
        <f ca="1">IFERROR(__xludf.DUMMYFUNCTION("QUERY('Volunteer Survey'!H640)"),"")</f>
        <v/>
      </c>
      <c r="AH641" s="175" t="str">
        <f ca="1">IFERROR(__xludf.DUMMYFUNCTION("QUERY('Volunteer Survey'!I640)"),"")</f>
        <v/>
      </c>
      <c r="AI641" s="175" t="str">
        <f ca="1">IFERROR(__xludf.DUMMYFUNCTION("QUERY('Volunteer Survey'!J640)"),"")</f>
        <v/>
      </c>
      <c r="AJ641" s="175" t="str">
        <f ca="1">IFERROR(__xludf.DUMMYFUNCTION("QUERY('Volunteer Survey'!K640)"),"")</f>
        <v/>
      </c>
      <c r="AK641" s="175" t="str">
        <f ca="1">IFERROR(__xludf.DUMMYFUNCTION("QUERY('Volunteer Survey'!L640)"),"")</f>
        <v/>
      </c>
      <c r="AL641" s="175" t="str">
        <f ca="1">IFERROR(__xludf.DUMMYFUNCTION("QUERY('Volunteer Survey'!M640)"),"")</f>
        <v/>
      </c>
      <c r="AM641" s="175" t="str">
        <f ca="1">IFERROR(__xludf.DUMMYFUNCTION("QUERY('Volunteer Survey'!N640)"),"")</f>
        <v/>
      </c>
      <c r="AN641" s="175" t="str">
        <f ca="1">IFERROR(__xludf.DUMMYFUNCTION("QUERY('Volunteer Survey'!O640)"),"")</f>
        <v/>
      </c>
      <c r="AO641" s="175" t="str">
        <f ca="1">IFERROR(__xludf.DUMMYFUNCTION("QUERY('Volunteer Survey'!P640)"),"")</f>
        <v/>
      </c>
    </row>
    <row r="642" spans="1:41" ht="14">
      <c r="A642" s="49"/>
      <c r="B642" s="49"/>
      <c r="C642" s="47"/>
      <c r="D642" s="49"/>
      <c r="E642" s="49"/>
      <c r="F642" s="49" t="b">
        <v>0</v>
      </c>
      <c r="G642" s="49"/>
      <c r="H642" s="47"/>
      <c r="I642" s="47"/>
      <c r="J642" s="49"/>
      <c r="K642" s="49"/>
      <c r="L642" s="49"/>
      <c r="M642" s="49"/>
      <c r="N642" s="49"/>
      <c r="O642" s="49" t="b">
        <v>0</v>
      </c>
      <c r="P642" s="49"/>
      <c r="Q642" s="49"/>
      <c r="R642" s="49"/>
      <c r="S642" s="49"/>
      <c r="T642" s="49"/>
      <c r="U642" s="58"/>
      <c r="V642" s="49"/>
      <c r="W642" s="58"/>
      <c r="X642" s="49"/>
      <c r="Y642" s="47"/>
      <c r="Z642" s="175" t="str">
        <f ca="1">IFERROR(__xludf.DUMMYFUNCTION("QUERY('Volunteer Survey'!A641)"),"")</f>
        <v/>
      </c>
      <c r="AA642" s="175" t="str">
        <f ca="1">IFERROR(__xludf.DUMMYFUNCTION("QUERY('Volunteer Survey'!B641)"),"")</f>
        <v/>
      </c>
      <c r="AB642" s="175" t="str">
        <f ca="1">IFERROR(__xludf.DUMMYFUNCTION("QUERY('Volunteer Survey'!C641)"),"")</f>
        <v/>
      </c>
      <c r="AC642" s="175" t="str">
        <f ca="1">IFERROR(__xludf.DUMMYFUNCTION("QUERY('Volunteer Survey'!D641)"),"")</f>
        <v/>
      </c>
      <c r="AD642" s="175" t="str">
        <f ca="1">IFERROR(__xludf.DUMMYFUNCTION("QUERY('Volunteer Survey'!E641)"),"")</f>
        <v/>
      </c>
      <c r="AE642" s="175" t="str">
        <f ca="1">IFERROR(__xludf.DUMMYFUNCTION("QUERY('Volunteer Survey'!F641)"),"")</f>
        <v/>
      </c>
      <c r="AF642" s="175" t="str">
        <f ca="1">IFERROR(__xludf.DUMMYFUNCTION("QUERY('Volunteer Survey'!G641)"),"")</f>
        <v/>
      </c>
      <c r="AG642" s="175" t="str">
        <f ca="1">IFERROR(__xludf.DUMMYFUNCTION("QUERY('Volunteer Survey'!H641)"),"")</f>
        <v/>
      </c>
      <c r="AH642" s="175" t="str">
        <f ca="1">IFERROR(__xludf.DUMMYFUNCTION("QUERY('Volunteer Survey'!I641)"),"")</f>
        <v/>
      </c>
      <c r="AI642" s="175" t="str">
        <f ca="1">IFERROR(__xludf.DUMMYFUNCTION("QUERY('Volunteer Survey'!J641)"),"")</f>
        <v/>
      </c>
      <c r="AJ642" s="175" t="str">
        <f ca="1">IFERROR(__xludf.DUMMYFUNCTION("QUERY('Volunteer Survey'!K641)"),"")</f>
        <v/>
      </c>
      <c r="AK642" s="175" t="str">
        <f ca="1">IFERROR(__xludf.DUMMYFUNCTION("QUERY('Volunteer Survey'!L641)"),"")</f>
        <v/>
      </c>
      <c r="AL642" s="175" t="str">
        <f ca="1">IFERROR(__xludf.DUMMYFUNCTION("QUERY('Volunteer Survey'!M641)"),"")</f>
        <v/>
      </c>
      <c r="AM642" s="175" t="str">
        <f ca="1">IFERROR(__xludf.DUMMYFUNCTION("QUERY('Volunteer Survey'!N641)"),"")</f>
        <v/>
      </c>
      <c r="AN642" s="175" t="str">
        <f ca="1">IFERROR(__xludf.DUMMYFUNCTION("QUERY('Volunteer Survey'!O641)"),"")</f>
        <v/>
      </c>
      <c r="AO642" s="175" t="str">
        <f ca="1">IFERROR(__xludf.DUMMYFUNCTION("QUERY('Volunteer Survey'!P641)"),"")</f>
        <v/>
      </c>
    </row>
    <row r="643" spans="1:41" ht="14">
      <c r="A643" s="49"/>
      <c r="B643" s="49"/>
      <c r="C643" s="47"/>
      <c r="D643" s="49"/>
      <c r="E643" s="49"/>
      <c r="F643" s="49" t="b">
        <v>0</v>
      </c>
      <c r="G643" s="49"/>
      <c r="H643" s="47"/>
      <c r="I643" s="47"/>
      <c r="J643" s="49"/>
      <c r="K643" s="49"/>
      <c r="L643" s="49"/>
      <c r="M643" s="49"/>
      <c r="N643" s="49"/>
      <c r="O643" s="49" t="b">
        <v>0</v>
      </c>
      <c r="P643" s="49"/>
      <c r="Q643" s="49"/>
      <c r="R643" s="49"/>
      <c r="S643" s="49"/>
      <c r="T643" s="49"/>
      <c r="U643" s="58"/>
      <c r="V643" s="49"/>
      <c r="W643" s="58"/>
      <c r="X643" s="49"/>
      <c r="Y643" s="47"/>
      <c r="Z643" s="175" t="str">
        <f ca="1">IFERROR(__xludf.DUMMYFUNCTION("QUERY('Volunteer Survey'!A642)"),"")</f>
        <v/>
      </c>
      <c r="AA643" s="175" t="str">
        <f ca="1">IFERROR(__xludf.DUMMYFUNCTION("QUERY('Volunteer Survey'!B642)"),"")</f>
        <v/>
      </c>
      <c r="AB643" s="175" t="str">
        <f ca="1">IFERROR(__xludf.DUMMYFUNCTION("QUERY('Volunteer Survey'!C642)"),"")</f>
        <v/>
      </c>
      <c r="AC643" s="175" t="str">
        <f ca="1">IFERROR(__xludf.DUMMYFUNCTION("QUERY('Volunteer Survey'!D642)"),"")</f>
        <v/>
      </c>
      <c r="AD643" s="175" t="str">
        <f ca="1">IFERROR(__xludf.DUMMYFUNCTION("QUERY('Volunteer Survey'!E642)"),"")</f>
        <v/>
      </c>
      <c r="AE643" s="175" t="str">
        <f ca="1">IFERROR(__xludf.DUMMYFUNCTION("QUERY('Volunteer Survey'!F642)"),"")</f>
        <v/>
      </c>
      <c r="AF643" s="175" t="str">
        <f ca="1">IFERROR(__xludf.DUMMYFUNCTION("QUERY('Volunteer Survey'!G642)"),"")</f>
        <v/>
      </c>
      <c r="AG643" s="175" t="str">
        <f ca="1">IFERROR(__xludf.DUMMYFUNCTION("QUERY('Volunteer Survey'!H642)"),"")</f>
        <v/>
      </c>
      <c r="AH643" s="175" t="str">
        <f ca="1">IFERROR(__xludf.DUMMYFUNCTION("QUERY('Volunteer Survey'!I642)"),"")</f>
        <v/>
      </c>
      <c r="AI643" s="175" t="str">
        <f ca="1">IFERROR(__xludf.DUMMYFUNCTION("QUERY('Volunteer Survey'!J642)"),"")</f>
        <v/>
      </c>
      <c r="AJ643" s="175" t="str">
        <f ca="1">IFERROR(__xludf.DUMMYFUNCTION("QUERY('Volunteer Survey'!K642)"),"")</f>
        <v/>
      </c>
      <c r="AK643" s="175" t="str">
        <f ca="1">IFERROR(__xludf.DUMMYFUNCTION("QUERY('Volunteer Survey'!L642)"),"")</f>
        <v/>
      </c>
      <c r="AL643" s="175" t="str">
        <f ca="1">IFERROR(__xludf.DUMMYFUNCTION("QUERY('Volunteer Survey'!M642)"),"")</f>
        <v/>
      </c>
      <c r="AM643" s="175" t="str">
        <f ca="1">IFERROR(__xludf.DUMMYFUNCTION("QUERY('Volunteer Survey'!N642)"),"")</f>
        <v/>
      </c>
      <c r="AN643" s="175" t="str">
        <f ca="1">IFERROR(__xludf.DUMMYFUNCTION("QUERY('Volunteer Survey'!O642)"),"")</f>
        <v/>
      </c>
      <c r="AO643" s="175" t="str">
        <f ca="1">IFERROR(__xludf.DUMMYFUNCTION("QUERY('Volunteer Survey'!P642)"),"")</f>
        <v/>
      </c>
    </row>
    <row r="644" spans="1:41" ht="14">
      <c r="A644" s="49"/>
      <c r="B644" s="49"/>
      <c r="C644" s="47"/>
      <c r="D644" s="49"/>
      <c r="E644" s="49"/>
      <c r="F644" s="49" t="b">
        <v>0</v>
      </c>
      <c r="G644" s="49"/>
      <c r="H644" s="47"/>
      <c r="I644" s="47"/>
      <c r="J644" s="49"/>
      <c r="K644" s="49"/>
      <c r="L644" s="49"/>
      <c r="M644" s="49"/>
      <c r="N644" s="49"/>
      <c r="O644" s="49" t="b">
        <v>0</v>
      </c>
      <c r="P644" s="49"/>
      <c r="Q644" s="49"/>
      <c r="R644" s="49"/>
      <c r="S644" s="49"/>
      <c r="T644" s="49"/>
      <c r="U644" s="58"/>
      <c r="V644" s="49"/>
      <c r="W644" s="58"/>
      <c r="X644" s="49"/>
      <c r="Y644" s="47"/>
      <c r="Z644" s="175" t="str">
        <f ca="1">IFERROR(__xludf.DUMMYFUNCTION("QUERY('Volunteer Survey'!A643)"),"")</f>
        <v/>
      </c>
      <c r="AA644" s="175" t="str">
        <f ca="1">IFERROR(__xludf.DUMMYFUNCTION("QUERY('Volunteer Survey'!B643)"),"")</f>
        <v/>
      </c>
      <c r="AB644" s="175" t="str">
        <f ca="1">IFERROR(__xludf.DUMMYFUNCTION("QUERY('Volunteer Survey'!C643)"),"")</f>
        <v/>
      </c>
      <c r="AC644" s="175" t="str">
        <f ca="1">IFERROR(__xludf.DUMMYFUNCTION("QUERY('Volunteer Survey'!D643)"),"")</f>
        <v/>
      </c>
      <c r="AD644" s="175" t="str">
        <f ca="1">IFERROR(__xludf.DUMMYFUNCTION("QUERY('Volunteer Survey'!E643)"),"")</f>
        <v/>
      </c>
      <c r="AE644" s="175" t="str">
        <f ca="1">IFERROR(__xludf.DUMMYFUNCTION("QUERY('Volunteer Survey'!F643)"),"")</f>
        <v/>
      </c>
      <c r="AF644" s="175" t="str">
        <f ca="1">IFERROR(__xludf.DUMMYFUNCTION("QUERY('Volunteer Survey'!G643)"),"")</f>
        <v/>
      </c>
      <c r="AG644" s="175" t="str">
        <f ca="1">IFERROR(__xludf.DUMMYFUNCTION("QUERY('Volunteer Survey'!H643)"),"")</f>
        <v/>
      </c>
      <c r="AH644" s="175" t="str">
        <f ca="1">IFERROR(__xludf.DUMMYFUNCTION("QUERY('Volunteer Survey'!I643)"),"")</f>
        <v/>
      </c>
      <c r="AI644" s="175" t="str">
        <f ca="1">IFERROR(__xludf.DUMMYFUNCTION("QUERY('Volunteer Survey'!J643)"),"")</f>
        <v/>
      </c>
      <c r="AJ644" s="175" t="str">
        <f ca="1">IFERROR(__xludf.DUMMYFUNCTION("QUERY('Volunteer Survey'!K643)"),"")</f>
        <v/>
      </c>
      <c r="AK644" s="175" t="str">
        <f ca="1">IFERROR(__xludf.DUMMYFUNCTION("QUERY('Volunteer Survey'!L643)"),"")</f>
        <v/>
      </c>
      <c r="AL644" s="175" t="str">
        <f ca="1">IFERROR(__xludf.DUMMYFUNCTION("QUERY('Volunteer Survey'!M643)"),"")</f>
        <v/>
      </c>
      <c r="AM644" s="175" t="str">
        <f ca="1">IFERROR(__xludf.DUMMYFUNCTION("QUERY('Volunteer Survey'!N643)"),"")</f>
        <v/>
      </c>
      <c r="AN644" s="175" t="str">
        <f ca="1">IFERROR(__xludf.DUMMYFUNCTION("QUERY('Volunteer Survey'!O643)"),"")</f>
        <v/>
      </c>
      <c r="AO644" s="175" t="str">
        <f ca="1">IFERROR(__xludf.DUMMYFUNCTION("QUERY('Volunteer Survey'!P643)"),"")</f>
        <v/>
      </c>
    </row>
    <row r="645" spans="1:41" ht="14">
      <c r="A645" s="49"/>
      <c r="B645" s="49"/>
      <c r="C645" s="47"/>
      <c r="D645" s="49"/>
      <c r="E645" s="49"/>
      <c r="F645" s="49" t="b">
        <v>0</v>
      </c>
      <c r="G645" s="49"/>
      <c r="H645" s="47"/>
      <c r="I645" s="47"/>
      <c r="J645" s="49"/>
      <c r="K645" s="49"/>
      <c r="L645" s="49"/>
      <c r="M645" s="49"/>
      <c r="N645" s="49"/>
      <c r="O645" s="49" t="b">
        <v>0</v>
      </c>
      <c r="P645" s="49"/>
      <c r="Q645" s="49"/>
      <c r="R645" s="49"/>
      <c r="S645" s="49"/>
      <c r="T645" s="49"/>
      <c r="U645" s="58"/>
      <c r="V645" s="49"/>
      <c r="W645" s="58"/>
      <c r="X645" s="49"/>
      <c r="Y645" s="47"/>
      <c r="Z645" s="175" t="str">
        <f ca="1">IFERROR(__xludf.DUMMYFUNCTION("QUERY('Volunteer Survey'!A644)"),"")</f>
        <v/>
      </c>
      <c r="AA645" s="175" t="str">
        <f ca="1">IFERROR(__xludf.DUMMYFUNCTION("QUERY('Volunteer Survey'!B644)"),"")</f>
        <v/>
      </c>
      <c r="AB645" s="175" t="str">
        <f ca="1">IFERROR(__xludf.DUMMYFUNCTION("QUERY('Volunteer Survey'!C644)"),"")</f>
        <v/>
      </c>
      <c r="AC645" s="175" t="str">
        <f ca="1">IFERROR(__xludf.DUMMYFUNCTION("QUERY('Volunteer Survey'!D644)"),"")</f>
        <v/>
      </c>
      <c r="AD645" s="175" t="str">
        <f ca="1">IFERROR(__xludf.DUMMYFUNCTION("QUERY('Volunteer Survey'!E644)"),"")</f>
        <v/>
      </c>
      <c r="AE645" s="175" t="str">
        <f ca="1">IFERROR(__xludf.DUMMYFUNCTION("QUERY('Volunteer Survey'!F644)"),"")</f>
        <v/>
      </c>
      <c r="AF645" s="175" t="str">
        <f ca="1">IFERROR(__xludf.DUMMYFUNCTION("QUERY('Volunteer Survey'!G644)"),"")</f>
        <v/>
      </c>
      <c r="AG645" s="175" t="str">
        <f ca="1">IFERROR(__xludf.DUMMYFUNCTION("QUERY('Volunteer Survey'!H644)"),"")</f>
        <v/>
      </c>
      <c r="AH645" s="175" t="str">
        <f ca="1">IFERROR(__xludf.DUMMYFUNCTION("QUERY('Volunteer Survey'!I644)"),"")</f>
        <v/>
      </c>
      <c r="AI645" s="175" t="str">
        <f ca="1">IFERROR(__xludf.DUMMYFUNCTION("QUERY('Volunteer Survey'!J644)"),"")</f>
        <v/>
      </c>
      <c r="AJ645" s="175" t="str">
        <f ca="1">IFERROR(__xludf.DUMMYFUNCTION("QUERY('Volunteer Survey'!K644)"),"")</f>
        <v/>
      </c>
      <c r="AK645" s="175" t="str">
        <f ca="1">IFERROR(__xludf.DUMMYFUNCTION("QUERY('Volunteer Survey'!L644)"),"")</f>
        <v/>
      </c>
      <c r="AL645" s="175" t="str">
        <f ca="1">IFERROR(__xludf.DUMMYFUNCTION("QUERY('Volunteer Survey'!M644)"),"")</f>
        <v/>
      </c>
      <c r="AM645" s="175" t="str">
        <f ca="1">IFERROR(__xludf.DUMMYFUNCTION("QUERY('Volunteer Survey'!N644)"),"")</f>
        <v/>
      </c>
      <c r="AN645" s="175" t="str">
        <f ca="1">IFERROR(__xludf.DUMMYFUNCTION("QUERY('Volunteer Survey'!O644)"),"")</f>
        <v/>
      </c>
      <c r="AO645" s="175" t="str">
        <f ca="1">IFERROR(__xludf.DUMMYFUNCTION("QUERY('Volunteer Survey'!P644)"),"")</f>
        <v/>
      </c>
    </row>
    <row r="646" spans="1:41" ht="14">
      <c r="A646" s="49"/>
      <c r="B646" s="49"/>
      <c r="C646" s="47"/>
      <c r="D646" s="49"/>
      <c r="E646" s="49"/>
      <c r="F646" s="49" t="b">
        <v>0</v>
      </c>
      <c r="G646" s="49"/>
      <c r="H646" s="47"/>
      <c r="I646" s="47"/>
      <c r="J646" s="49"/>
      <c r="K646" s="49"/>
      <c r="L646" s="49"/>
      <c r="M646" s="49"/>
      <c r="N646" s="49"/>
      <c r="O646" s="49" t="b">
        <v>0</v>
      </c>
      <c r="P646" s="49"/>
      <c r="Q646" s="49"/>
      <c r="R646" s="49"/>
      <c r="S646" s="49"/>
      <c r="T646" s="49"/>
      <c r="U646" s="58"/>
      <c r="V646" s="49"/>
      <c r="W646" s="58"/>
      <c r="X646" s="49"/>
      <c r="Y646" s="47"/>
      <c r="Z646" s="175" t="str">
        <f ca="1">IFERROR(__xludf.DUMMYFUNCTION("QUERY('Volunteer Survey'!A645)"),"")</f>
        <v/>
      </c>
      <c r="AA646" s="175" t="str">
        <f ca="1">IFERROR(__xludf.DUMMYFUNCTION("QUERY('Volunteer Survey'!B645)"),"")</f>
        <v/>
      </c>
      <c r="AB646" s="175" t="str">
        <f ca="1">IFERROR(__xludf.DUMMYFUNCTION("QUERY('Volunteer Survey'!C645)"),"")</f>
        <v/>
      </c>
      <c r="AC646" s="175" t="str">
        <f ca="1">IFERROR(__xludf.DUMMYFUNCTION("QUERY('Volunteer Survey'!D645)"),"")</f>
        <v/>
      </c>
      <c r="AD646" s="175" t="str">
        <f ca="1">IFERROR(__xludf.DUMMYFUNCTION("QUERY('Volunteer Survey'!E645)"),"")</f>
        <v/>
      </c>
      <c r="AE646" s="175" t="str">
        <f ca="1">IFERROR(__xludf.DUMMYFUNCTION("QUERY('Volunteer Survey'!F645)"),"")</f>
        <v/>
      </c>
      <c r="AF646" s="175" t="str">
        <f ca="1">IFERROR(__xludf.DUMMYFUNCTION("QUERY('Volunteer Survey'!G645)"),"")</f>
        <v/>
      </c>
      <c r="AG646" s="175" t="str">
        <f ca="1">IFERROR(__xludf.DUMMYFUNCTION("QUERY('Volunteer Survey'!H645)"),"")</f>
        <v/>
      </c>
      <c r="AH646" s="175" t="str">
        <f ca="1">IFERROR(__xludf.DUMMYFUNCTION("QUERY('Volunteer Survey'!I645)"),"")</f>
        <v/>
      </c>
      <c r="AI646" s="175" t="str">
        <f ca="1">IFERROR(__xludf.DUMMYFUNCTION("QUERY('Volunteer Survey'!J645)"),"")</f>
        <v/>
      </c>
      <c r="AJ646" s="175" t="str">
        <f ca="1">IFERROR(__xludf.DUMMYFUNCTION("QUERY('Volunteer Survey'!K645)"),"")</f>
        <v/>
      </c>
      <c r="AK646" s="175" t="str">
        <f ca="1">IFERROR(__xludf.DUMMYFUNCTION("QUERY('Volunteer Survey'!L645)"),"")</f>
        <v/>
      </c>
      <c r="AL646" s="175" t="str">
        <f ca="1">IFERROR(__xludf.DUMMYFUNCTION("QUERY('Volunteer Survey'!M645)"),"")</f>
        <v/>
      </c>
      <c r="AM646" s="175" t="str">
        <f ca="1">IFERROR(__xludf.DUMMYFUNCTION("QUERY('Volunteer Survey'!N645)"),"")</f>
        <v/>
      </c>
      <c r="AN646" s="175" t="str">
        <f ca="1">IFERROR(__xludf.DUMMYFUNCTION("QUERY('Volunteer Survey'!O645)"),"")</f>
        <v/>
      </c>
      <c r="AO646" s="175" t="str">
        <f ca="1">IFERROR(__xludf.DUMMYFUNCTION("QUERY('Volunteer Survey'!P645)"),"")</f>
        <v/>
      </c>
    </row>
    <row r="647" spans="1:41" ht="14">
      <c r="A647" s="49"/>
      <c r="B647" s="49"/>
      <c r="C647" s="47"/>
      <c r="D647" s="49"/>
      <c r="E647" s="49"/>
      <c r="F647" s="49" t="b">
        <v>0</v>
      </c>
      <c r="G647" s="49"/>
      <c r="H647" s="47"/>
      <c r="I647" s="47"/>
      <c r="J647" s="49"/>
      <c r="K647" s="49"/>
      <c r="L647" s="49"/>
      <c r="M647" s="49"/>
      <c r="N647" s="49"/>
      <c r="O647" s="49" t="b">
        <v>0</v>
      </c>
      <c r="P647" s="49"/>
      <c r="Q647" s="49"/>
      <c r="R647" s="49"/>
      <c r="S647" s="49"/>
      <c r="T647" s="49"/>
      <c r="U647" s="58"/>
      <c r="V647" s="49"/>
      <c r="W647" s="58"/>
      <c r="X647" s="49"/>
      <c r="Y647" s="47"/>
      <c r="Z647" s="175" t="str">
        <f ca="1">IFERROR(__xludf.DUMMYFUNCTION("QUERY('Volunteer Survey'!A646)"),"")</f>
        <v/>
      </c>
      <c r="AA647" s="175" t="str">
        <f ca="1">IFERROR(__xludf.DUMMYFUNCTION("QUERY('Volunteer Survey'!B646)"),"")</f>
        <v/>
      </c>
      <c r="AB647" s="175" t="str">
        <f ca="1">IFERROR(__xludf.DUMMYFUNCTION("QUERY('Volunteer Survey'!C646)"),"")</f>
        <v/>
      </c>
      <c r="AC647" s="175" t="str">
        <f ca="1">IFERROR(__xludf.DUMMYFUNCTION("QUERY('Volunteer Survey'!D646)"),"")</f>
        <v/>
      </c>
      <c r="AD647" s="175" t="str">
        <f ca="1">IFERROR(__xludf.DUMMYFUNCTION("QUERY('Volunteer Survey'!E646)"),"")</f>
        <v/>
      </c>
      <c r="AE647" s="175" t="str">
        <f ca="1">IFERROR(__xludf.DUMMYFUNCTION("QUERY('Volunteer Survey'!F646)"),"")</f>
        <v/>
      </c>
      <c r="AF647" s="175" t="str">
        <f ca="1">IFERROR(__xludf.DUMMYFUNCTION("QUERY('Volunteer Survey'!G646)"),"")</f>
        <v/>
      </c>
      <c r="AG647" s="175" t="str">
        <f ca="1">IFERROR(__xludf.DUMMYFUNCTION("QUERY('Volunteer Survey'!H646)"),"")</f>
        <v/>
      </c>
      <c r="AH647" s="175" t="str">
        <f ca="1">IFERROR(__xludf.DUMMYFUNCTION("QUERY('Volunteer Survey'!I646)"),"")</f>
        <v/>
      </c>
      <c r="AI647" s="175" t="str">
        <f ca="1">IFERROR(__xludf.DUMMYFUNCTION("QUERY('Volunteer Survey'!J646)"),"")</f>
        <v/>
      </c>
      <c r="AJ647" s="175" t="str">
        <f ca="1">IFERROR(__xludf.DUMMYFUNCTION("QUERY('Volunteer Survey'!K646)"),"")</f>
        <v/>
      </c>
      <c r="AK647" s="175" t="str">
        <f ca="1">IFERROR(__xludf.DUMMYFUNCTION("QUERY('Volunteer Survey'!L646)"),"")</f>
        <v/>
      </c>
      <c r="AL647" s="175" t="str">
        <f ca="1">IFERROR(__xludf.DUMMYFUNCTION("QUERY('Volunteer Survey'!M646)"),"")</f>
        <v/>
      </c>
      <c r="AM647" s="175" t="str">
        <f ca="1">IFERROR(__xludf.DUMMYFUNCTION("QUERY('Volunteer Survey'!N646)"),"")</f>
        <v/>
      </c>
      <c r="AN647" s="175" t="str">
        <f ca="1">IFERROR(__xludf.DUMMYFUNCTION("QUERY('Volunteer Survey'!O646)"),"")</f>
        <v/>
      </c>
      <c r="AO647" s="175" t="str">
        <f ca="1">IFERROR(__xludf.DUMMYFUNCTION("QUERY('Volunteer Survey'!P646)"),"")</f>
        <v/>
      </c>
    </row>
    <row r="648" spans="1:41" ht="14">
      <c r="A648" s="49"/>
      <c r="B648" s="49"/>
      <c r="C648" s="47"/>
      <c r="D648" s="49"/>
      <c r="E648" s="49"/>
      <c r="F648" s="49" t="b">
        <v>0</v>
      </c>
      <c r="G648" s="49"/>
      <c r="H648" s="47"/>
      <c r="I648" s="47"/>
      <c r="J648" s="49"/>
      <c r="K648" s="49"/>
      <c r="L648" s="49"/>
      <c r="M648" s="49"/>
      <c r="N648" s="49"/>
      <c r="O648" s="49" t="b">
        <v>0</v>
      </c>
      <c r="P648" s="49"/>
      <c r="Q648" s="49"/>
      <c r="R648" s="49"/>
      <c r="S648" s="49"/>
      <c r="T648" s="49"/>
      <c r="U648" s="58"/>
      <c r="V648" s="49"/>
      <c r="W648" s="58"/>
      <c r="X648" s="49"/>
      <c r="Y648" s="47"/>
      <c r="Z648" s="175" t="str">
        <f ca="1">IFERROR(__xludf.DUMMYFUNCTION("QUERY('Volunteer Survey'!A647)"),"")</f>
        <v/>
      </c>
      <c r="AA648" s="175" t="str">
        <f ca="1">IFERROR(__xludf.DUMMYFUNCTION("QUERY('Volunteer Survey'!B647)"),"")</f>
        <v/>
      </c>
      <c r="AB648" s="175" t="str">
        <f ca="1">IFERROR(__xludf.DUMMYFUNCTION("QUERY('Volunteer Survey'!C647)"),"")</f>
        <v/>
      </c>
      <c r="AC648" s="175" t="str">
        <f ca="1">IFERROR(__xludf.DUMMYFUNCTION("QUERY('Volunteer Survey'!D647)"),"")</f>
        <v/>
      </c>
      <c r="AD648" s="175" t="str">
        <f ca="1">IFERROR(__xludf.DUMMYFUNCTION("QUERY('Volunteer Survey'!E647)"),"")</f>
        <v/>
      </c>
      <c r="AE648" s="175" t="str">
        <f ca="1">IFERROR(__xludf.DUMMYFUNCTION("QUERY('Volunteer Survey'!F647)"),"")</f>
        <v/>
      </c>
      <c r="AF648" s="175" t="str">
        <f ca="1">IFERROR(__xludf.DUMMYFUNCTION("QUERY('Volunteer Survey'!G647)"),"")</f>
        <v/>
      </c>
      <c r="AG648" s="175" t="str">
        <f ca="1">IFERROR(__xludf.DUMMYFUNCTION("QUERY('Volunteer Survey'!H647)"),"")</f>
        <v/>
      </c>
      <c r="AH648" s="175" t="str">
        <f ca="1">IFERROR(__xludf.DUMMYFUNCTION("QUERY('Volunteer Survey'!I647)"),"")</f>
        <v/>
      </c>
      <c r="AI648" s="175" t="str">
        <f ca="1">IFERROR(__xludf.DUMMYFUNCTION("QUERY('Volunteer Survey'!J647)"),"")</f>
        <v/>
      </c>
      <c r="AJ648" s="175" t="str">
        <f ca="1">IFERROR(__xludf.DUMMYFUNCTION("QUERY('Volunteer Survey'!K647)"),"")</f>
        <v/>
      </c>
      <c r="AK648" s="175" t="str">
        <f ca="1">IFERROR(__xludf.DUMMYFUNCTION("QUERY('Volunteer Survey'!L647)"),"")</f>
        <v/>
      </c>
      <c r="AL648" s="175" t="str">
        <f ca="1">IFERROR(__xludf.DUMMYFUNCTION("QUERY('Volunteer Survey'!M647)"),"")</f>
        <v/>
      </c>
      <c r="AM648" s="175" t="str">
        <f ca="1">IFERROR(__xludf.DUMMYFUNCTION("QUERY('Volunteer Survey'!N647)"),"")</f>
        <v/>
      </c>
      <c r="AN648" s="175" t="str">
        <f ca="1">IFERROR(__xludf.DUMMYFUNCTION("QUERY('Volunteer Survey'!O647)"),"")</f>
        <v/>
      </c>
      <c r="AO648" s="175" t="str">
        <f ca="1">IFERROR(__xludf.DUMMYFUNCTION("QUERY('Volunteer Survey'!P647)"),"")</f>
        <v/>
      </c>
    </row>
    <row r="649" spans="1:41" ht="14">
      <c r="A649" s="49"/>
      <c r="B649" s="49"/>
      <c r="C649" s="47"/>
      <c r="D649" s="49"/>
      <c r="E649" s="49"/>
      <c r="F649" s="49" t="b">
        <v>0</v>
      </c>
      <c r="G649" s="49"/>
      <c r="H649" s="47"/>
      <c r="I649" s="47"/>
      <c r="J649" s="49"/>
      <c r="K649" s="49"/>
      <c r="L649" s="49"/>
      <c r="M649" s="49"/>
      <c r="N649" s="49"/>
      <c r="O649" s="49" t="b">
        <v>0</v>
      </c>
      <c r="P649" s="49"/>
      <c r="Q649" s="49"/>
      <c r="R649" s="49"/>
      <c r="S649" s="49"/>
      <c r="T649" s="49"/>
      <c r="U649" s="58"/>
      <c r="V649" s="49"/>
      <c r="W649" s="58"/>
      <c r="X649" s="49"/>
      <c r="Y649" s="47"/>
      <c r="Z649" s="175" t="str">
        <f ca="1">IFERROR(__xludf.DUMMYFUNCTION("QUERY('Volunteer Survey'!A648)"),"")</f>
        <v/>
      </c>
      <c r="AA649" s="175" t="str">
        <f ca="1">IFERROR(__xludf.DUMMYFUNCTION("QUERY('Volunteer Survey'!B648)"),"")</f>
        <v/>
      </c>
      <c r="AB649" s="175" t="str">
        <f ca="1">IFERROR(__xludf.DUMMYFUNCTION("QUERY('Volunteer Survey'!C648)"),"")</f>
        <v/>
      </c>
      <c r="AC649" s="175" t="str">
        <f ca="1">IFERROR(__xludf.DUMMYFUNCTION("QUERY('Volunteer Survey'!D648)"),"")</f>
        <v/>
      </c>
      <c r="AD649" s="175" t="str">
        <f ca="1">IFERROR(__xludf.DUMMYFUNCTION("QUERY('Volunteer Survey'!E648)"),"")</f>
        <v/>
      </c>
      <c r="AE649" s="175" t="str">
        <f ca="1">IFERROR(__xludf.DUMMYFUNCTION("QUERY('Volunteer Survey'!F648)"),"")</f>
        <v/>
      </c>
      <c r="AF649" s="175" t="str">
        <f ca="1">IFERROR(__xludf.DUMMYFUNCTION("QUERY('Volunteer Survey'!G648)"),"")</f>
        <v/>
      </c>
      <c r="AG649" s="175" t="str">
        <f ca="1">IFERROR(__xludf.DUMMYFUNCTION("QUERY('Volunteer Survey'!H648)"),"")</f>
        <v/>
      </c>
      <c r="AH649" s="175" t="str">
        <f ca="1">IFERROR(__xludf.DUMMYFUNCTION("QUERY('Volunteer Survey'!I648)"),"")</f>
        <v/>
      </c>
      <c r="AI649" s="175" t="str">
        <f ca="1">IFERROR(__xludf.DUMMYFUNCTION("QUERY('Volunteer Survey'!J648)"),"")</f>
        <v/>
      </c>
      <c r="AJ649" s="175" t="str">
        <f ca="1">IFERROR(__xludf.DUMMYFUNCTION("QUERY('Volunteer Survey'!K648)"),"")</f>
        <v/>
      </c>
      <c r="AK649" s="175" t="str">
        <f ca="1">IFERROR(__xludf.DUMMYFUNCTION("QUERY('Volunteer Survey'!L648)"),"")</f>
        <v/>
      </c>
      <c r="AL649" s="175" t="str">
        <f ca="1">IFERROR(__xludf.DUMMYFUNCTION("QUERY('Volunteer Survey'!M648)"),"")</f>
        <v/>
      </c>
      <c r="AM649" s="175" t="str">
        <f ca="1">IFERROR(__xludf.DUMMYFUNCTION("QUERY('Volunteer Survey'!N648)"),"")</f>
        <v/>
      </c>
      <c r="AN649" s="175" t="str">
        <f ca="1">IFERROR(__xludf.DUMMYFUNCTION("QUERY('Volunteer Survey'!O648)"),"")</f>
        <v/>
      </c>
      <c r="AO649" s="175" t="str">
        <f ca="1">IFERROR(__xludf.DUMMYFUNCTION("QUERY('Volunteer Survey'!P648)"),"")</f>
        <v/>
      </c>
    </row>
    <row r="650" spans="1:41" ht="14">
      <c r="A650" s="49"/>
      <c r="B650" s="49"/>
      <c r="C650" s="47"/>
      <c r="D650" s="49"/>
      <c r="E650" s="49"/>
      <c r="F650" s="49" t="b">
        <v>0</v>
      </c>
      <c r="G650" s="49"/>
      <c r="H650" s="47"/>
      <c r="I650" s="47"/>
      <c r="J650" s="49"/>
      <c r="K650" s="49"/>
      <c r="L650" s="49"/>
      <c r="M650" s="49"/>
      <c r="N650" s="49"/>
      <c r="O650" s="49" t="b">
        <v>0</v>
      </c>
      <c r="P650" s="49"/>
      <c r="Q650" s="49"/>
      <c r="R650" s="49"/>
      <c r="S650" s="49"/>
      <c r="T650" s="49"/>
      <c r="U650" s="58"/>
      <c r="V650" s="49"/>
      <c r="W650" s="58"/>
      <c r="X650" s="49"/>
      <c r="Y650" s="47"/>
      <c r="Z650" s="175" t="str">
        <f ca="1">IFERROR(__xludf.DUMMYFUNCTION("QUERY('Volunteer Survey'!A649)"),"")</f>
        <v/>
      </c>
      <c r="AA650" s="175" t="str">
        <f ca="1">IFERROR(__xludf.DUMMYFUNCTION("QUERY('Volunteer Survey'!B649)"),"")</f>
        <v/>
      </c>
      <c r="AB650" s="175" t="str">
        <f ca="1">IFERROR(__xludf.DUMMYFUNCTION("QUERY('Volunteer Survey'!C649)"),"")</f>
        <v/>
      </c>
      <c r="AC650" s="175" t="str">
        <f ca="1">IFERROR(__xludf.DUMMYFUNCTION("QUERY('Volunteer Survey'!D649)"),"")</f>
        <v/>
      </c>
      <c r="AD650" s="175" t="str">
        <f ca="1">IFERROR(__xludf.DUMMYFUNCTION("QUERY('Volunteer Survey'!E649)"),"")</f>
        <v/>
      </c>
      <c r="AE650" s="175" t="str">
        <f ca="1">IFERROR(__xludf.DUMMYFUNCTION("QUERY('Volunteer Survey'!F649)"),"")</f>
        <v/>
      </c>
      <c r="AF650" s="175" t="str">
        <f ca="1">IFERROR(__xludf.DUMMYFUNCTION("QUERY('Volunteer Survey'!G649)"),"")</f>
        <v/>
      </c>
      <c r="AG650" s="175" t="str">
        <f ca="1">IFERROR(__xludf.DUMMYFUNCTION("QUERY('Volunteer Survey'!H649)"),"")</f>
        <v/>
      </c>
      <c r="AH650" s="175" t="str">
        <f ca="1">IFERROR(__xludf.DUMMYFUNCTION("QUERY('Volunteer Survey'!I649)"),"")</f>
        <v/>
      </c>
      <c r="AI650" s="175" t="str">
        <f ca="1">IFERROR(__xludf.DUMMYFUNCTION("QUERY('Volunteer Survey'!J649)"),"")</f>
        <v/>
      </c>
      <c r="AJ650" s="175" t="str">
        <f ca="1">IFERROR(__xludf.DUMMYFUNCTION("QUERY('Volunteer Survey'!K649)"),"")</f>
        <v/>
      </c>
      <c r="AK650" s="175" t="str">
        <f ca="1">IFERROR(__xludf.DUMMYFUNCTION("QUERY('Volunteer Survey'!L649)"),"")</f>
        <v/>
      </c>
      <c r="AL650" s="175" t="str">
        <f ca="1">IFERROR(__xludf.DUMMYFUNCTION("QUERY('Volunteer Survey'!M649)"),"")</f>
        <v/>
      </c>
      <c r="AM650" s="175" t="str">
        <f ca="1">IFERROR(__xludf.DUMMYFUNCTION("QUERY('Volunteer Survey'!N649)"),"")</f>
        <v/>
      </c>
      <c r="AN650" s="175" t="str">
        <f ca="1">IFERROR(__xludf.DUMMYFUNCTION("QUERY('Volunteer Survey'!O649)"),"")</f>
        <v/>
      </c>
      <c r="AO650" s="175" t="str">
        <f ca="1">IFERROR(__xludf.DUMMYFUNCTION("QUERY('Volunteer Survey'!P649)"),"")</f>
        <v/>
      </c>
    </row>
    <row r="651" spans="1:41" ht="14">
      <c r="A651" s="49"/>
      <c r="B651" s="49"/>
      <c r="C651" s="47"/>
      <c r="D651" s="49"/>
      <c r="E651" s="49"/>
      <c r="F651" s="49" t="b">
        <v>0</v>
      </c>
      <c r="G651" s="49"/>
      <c r="H651" s="47"/>
      <c r="I651" s="47"/>
      <c r="J651" s="49"/>
      <c r="K651" s="49"/>
      <c r="L651" s="49"/>
      <c r="M651" s="49"/>
      <c r="N651" s="49"/>
      <c r="O651" s="49" t="b">
        <v>0</v>
      </c>
      <c r="P651" s="49"/>
      <c r="Q651" s="49"/>
      <c r="R651" s="49"/>
      <c r="S651" s="49"/>
      <c r="T651" s="49"/>
      <c r="U651" s="58"/>
      <c r="V651" s="49"/>
      <c r="W651" s="58"/>
      <c r="X651" s="49"/>
      <c r="Y651" s="47"/>
      <c r="Z651" s="175" t="str">
        <f ca="1">IFERROR(__xludf.DUMMYFUNCTION("QUERY('Volunteer Survey'!A650)"),"")</f>
        <v/>
      </c>
      <c r="AA651" s="175" t="str">
        <f ca="1">IFERROR(__xludf.DUMMYFUNCTION("QUERY('Volunteer Survey'!B650)"),"")</f>
        <v/>
      </c>
      <c r="AB651" s="175" t="str">
        <f ca="1">IFERROR(__xludf.DUMMYFUNCTION("QUERY('Volunteer Survey'!C650)"),"")</f>
        <v/>
      </c>
      <c r="AC651" s="175" t="str">
        <f ca="1">IFERROR(__xludf.DUMMYFUNCTION("QUERY('Volunteer Survey'!D650)"),"")</f>
        <v/>
      </c>
      <c r="AD651" s="175" t="str">
        <f ca="1">IFERROR(__xludf.DUMMYFUNCTION("QUERY('Volunteer Survey'!E650)"),"")</f>
        <v/>
      </c>
      <c r="AE651" s="175" t="str">
        <f ca="1">IFERROR(__xludf.DUMMYFUNCTION("QUERY('Volunteer Survey'!F650)"),"")</f>
        <v/>
      </c>
      <c r="AF651" s="175" t="str">
        <f ca="1">IFERROR(__xludf.DUMMYFUNCTION("QUERY('Volunteer Survey'!G650)"),"")</f>
        <v/>
      </c>
      <c r="AG651" s="175" t="str">
        <f ca="1">IFERROR(__xludf.DUMMYFUNCTION("QUERY('Volunteer Survey'!H650)"),"")</f>
        <v/>
      </c>
      <c r="AH651" s="175" t="str">
        <f ca="1">IFERROR(__xludf.DUMMYFUNCTION("QUERY('Volunteer Survey'!I650)"),"")</f>
        <v/>
      </c>
      <c r="AI651" s="175" t="str">
        <f ca="1">IFERROR(__xludf.DUMMYFUNCTION("QUERY('Volunteer Survey'!J650)"),"")</f>
        <v/>
      </c>
      <c r="AJ651" s="175" t="str">
        <f ca="1">IFERROR(__xludf.DUMMYFUNCTION("QUERY('Volunteer Survey'!K650)"),"")</f>
        <v/>
      </c>
      <c r="AK651" s="175" t="str">
        <f ca="1">IFERROR(__xludf.DUMMYFUNCTION("QUERY('Volunteer Survey'!L650)"),"")</f>
        <v/>
      </c>
      <c r="AL651" s="175" t="str">
        <f ca="1">IFERROR(__xludf.DUMMYFUNCTION("QUERY('Volunteer Survey'!M650)"),"")</f>
        <v/>
      </c>
      <c r="AM651" s="175" t="str">
        <f ca="1">IFERROR(__xludf.DUMMYFUNCTION("QUERY('Volunteer Survey'!N650)"),"")</f>
        <v/>
      </c>
      <c r="AN651" s="175" t="str">
        <f ca="1">IFERROR(__xludf.DUMMYFUNCTION("QUERY('Volunteer Survey'!O650)"),"")</f>
        <v/>
      </c>
      <c r="AO651" s="175" t="str">
        <f ca="1">IFERROR(__xludf.DUMMYFUNCTION("QUERY('Volunteer Survey'!P650)"),"")</f>
        <v/>
      </c>
    </row>
    <row r="652" spans="1:41" ht="14">
      <c r="A652" s="49"/>
      <c r="B652" s="49"/>
      <c r="C652" s="47"/>
      <c r="D652" s="49"/>
      <c r="E652" s="49"/>
      <c r="F652" s="49" t="b">
        <v>0</v>
      </c>
      <c r="G652" s="49"/>
      <c r="H652" s="47"/>
      <c r="I652" s="47"/>
      <c r="J652" s="49"/>
      <c r="K652" s="49"/>
      <c r="L652" s="49"/>
      <c r="M652" s="49"/>
      <c r="N652" s="49"/>
      <c r="O652" s="49" t="b">
        <v>0</v>
      </c>
      <c r="P652" s="49"/>
      <c r="Q652" s="49"/>
      <c r="R652" s="49"/>
      <c r="S652" s="49"/>
      <c r="T652" s="49"/>
      <c r="U652" s="58"/>
      <c r="V652" s="49"/>
      <c r="W652" s="58"/>
      <c r="X652" s="49"/>
      <c r="Y652" s="47"/>
      <c r="Z652" s="175" t="str">
        <f ca="1">IFERROR(__xludf.DUMMYFUNCTION("QUERY('Volunteer Survey'!A651)"),"")</f>
        <v/>
      </c>
      <c r="AA652" s="175" t="str">
        <f ca="1">IFERROR(__xludf.DUMMYFUNCTION("QUERY('Volunteer Survey'!B651)"),"")</f>
        <v/>
      </c>
      <c r="AB652" s="175" t="str">
        <f ca="1">IFERROR(__xludf.DUMMYFUNCTION("QUERY('Volunteer Survey'!C651)"),"")</f>
        <v/>
      </c>
      <c r="AC652" s="175" t="str">
        <f ca="1">IFERROR(__xludf.DUMMYFUNCTION("QUERY('Volunteer Survey'!D651)"),"")</f>
        <v/>
      </c>
      <c r="AD652" s="175" t="str">
        <f ca="1">IFERROR(__xludf.DUMMYFUNCTION("QUERY('Volunteer Survey'!E651)"),"")</f>
        <v/>
      </c>
      <c r="AE652" s="175" t="str">
        <f ca="1">IFERROR(__xludf.DUMMYFUNCTION("QUERY('Volunteer Survey'!F651)"),"")</f>
        <v/>
      </c>
      <c r="AF652" s="175" t="str">
        <f ca="1">IFERROR(__xludf.DUMMYFUNCTION("QUERY('Volunteer Survey'!G651)"),"")</f>
        <v/>
      </c>
      <c r="AG652" s="175" t="str">
        <f ca="1">IFERROR(__xludf.DUMMYFUNCTION("QUERY('Volunteer Survey'!H651)"),"")</f>
        <v/>
      </c>
      <c r="AH652" s="175" t="str">
        <f ca="1">IFERROR(__xludf.DUMMYFUNCTION("QUERY('Volunteer Survey'!I651)"),"")</f>
        <v/>
      </c>
      <c r="AI652" s="175" t="str">
        <f ca="1">IFERROR(__xludf.DUMMYFUNCTION("QUERY('Volunteer Survey'!J651)"),"")</f>
        <v/>
      </c>
      <c r="AJ652" s="175" t="str">
        <f ca="1">IFERROR(__xludf.DUMMYFUNCTION("QUERY('Volunteer Survey'!K651)"),"")</f>
        <v/>
      </c>
      <c r="AK652" s="175" t="str">
        <f ca="1">IFERROR(__xludf.DUMMYFUNCTION("QUERY('Volunteer Survey'!L651)"),"")</f>
        <v/>
      </c>
      <c r="AL652" s="175" t="str">
        <f ca="1">IFERROR(__xludf.DUMMYFUNCTION("QUERY('Volunteer Survey'!M651)"),"")</f>
        <v/>
      </c>
      <c r="AM652" s="175" t="str">
        <f ca="1">IFERROR(__xludf.DUMMYFUNCTION("QUERY('Volunteer Survey'!N651)"),"")</f>
        <v/>
      </c>
      <c r="AN652" s="175" t="str">
        <f ca="1">IFERROR(__xludf.DUMMYFUNCTION("QUERY('Volunteer Survey'!O651)"),"")</f>
        <v/>
      </c>
      <c r="AO652" s="175" t="str">
        <f ca="1">IFERROR(__xludf.DUMMYFUNCTION("QUERY('Volunteer Survey'!P651)"),"")</f>
        <v/>
      </c>
    </row>
    <row r="653" spans="1:41" ht="14">
      <c r="A653" s="49"/>
      <c r="B653" s="49"/>
      <c r="C653" s="47"/>
      <c r="D653" s="49"/>
      <c r="E653" s="49"/>
      <c r="F653" s="49" t="b">
        <v>0</v>
      </c>
      <c r="G653" s="49"/>
      <c r="H653" s="47"/>
      <c r="I653" s="47"/>
      <c r="J653" s="49"/>
      <c r="K653" s="49"/>
      <c r="L653" s="49"/>
      <c r="M653" s="49"/>
      <c r="N653" s="49"/>
      <c r="O653" s="49" t="b">
        <v>0</v>
      </c>
      <c r="P653" s="49"/>
      <c r="Q653" s="49"/>
      <c r="R653" s="49"/>
      <c r="S653" s="49"/>
      <c r="T653" s="49"/>
      <c r="U653" s="58"/>
      <c r="V653" s="49"/>
      <c r="W653" s="58"/>
      <c r="X653" s="49"/>
      <c r="Y653" s="47"/>
      <c r="Z653" s="175" t="str">
        <f ca="1">IFERROR(__xludf.DUMMYFUNCTION("QUERY('Volunteer Survey'!A652)"),"")</f>
        <v/>
      </c>
      <c r="AA653" s="175" t="str">
        <f ca="1">IFERROR(__xludf.DUMMYFUNCTION("QUERY('Volunteer Survey'!B652)"),"")</f>
        <v/>
      </c>
      <c r="AB653" s="175" t="str">
        <f ca="1">IFERROR(__xludf.DUMMYFUNCTION("QUERY('Volunteer Survey'!C652)"),"")</f>
        <v/>
      </c>
      <c r="AC653" s="175" t="str">
        <f ca="1">IFERROR(__xludf.DUMMYFUNCTION("QUERY('Volunteer Survey'!D652)"),"")</f>
        <v/>
      </c>
      <c r="AD653" s="175" t="str">
        <f ca="1">IFERROR(__xludf.DUMMYFUNCTION("QUERY('Volunteer Survey'!E652)"),"")</f>
        <v/>
      </c>
      <c r="AE653" s="175" t="str">
        <f ca="1">IFERROR(__xludf.DUMMYFUNCTION("QUERY('Volunteer Survey'!F652)"),"")</f>
        <v/>
      </c>
      <c r="AF653" s="175" t="str">
        <f ca="1">IFERROR(__xludf.DUMMYFUNCTION("QUERY('Volunteer Survey'!G652)"),"")</f>
        <v/>
      </c>
      <c r="AG653" s="175" t="str">
        <f ca="1">IFERROR(__xludf.DUMMYFUNCTION("QUERY('Volunteer Survey'!H652)"),"")</f>
        <v/>
      </c>
      <c r="AH653" s="175" t="str">
        <f ca="1">IFERROR(__xludf.DUMMYFUNCTION("QUERY('Volunteer Survey'!I652)"),"")</f>
        <v/>
      </c>
      <c r="AI653" s="175" t="str">
        <f ca="1">IFERROR(__xludf.DUMMYFUNCTION("QUERY('Volunteer Survey'!J652)"),"")</f>
        <v/>
      </c>
      <c r="AJ653" s="175" t="str">
        <f ca="1">IFERROR(__xludf.DUMMYFUNCTION("QUERY('Volunteer Survey'!K652)"),"")</f>
        <v/>
      </c>
      <c r="AK653" s="175" t="str">
        <f ca="1">IFERROR(__xludf.DUMMYFUNCTION("QUERY('Volunteer Survey'!L652)"),"")</f>
        <v/>
      </c>
      <c r="AL653" s="175" t="str">
        <f ca="1">IFERROR(__xludf.DUMMYFUNCTION("QUERY('Volunteer Survey'!M652)"),"")</f>
        <v/>
      </c>
      <c r="AM653" s="175" t="str">
        <f ca="1">IFERROR(__xludf.DUMMYFUNCTION("QUERY('Volunteer Survey'!N652)"),"")</f>
        <v/>
      </c>
      <c r="AN653" s="175" t="str">
        <f ca="1">IFERROR(__xludf.DUMMYFUNCTION("QUERY('Volunteer Survey'!O652)"),"")</f>
        <v/>
      </c>
      <c r="AO653" s="175" t="str">
        <f ca="1">IFERROR(__xludf.DUMMYFUNCTION("QUERY('Volunteer Survey'!P652)"),"")</f>
        <v/>
      </c>
    </row>
    <row r="654" spans="1:41" ht="14">
      <c r="A654" s="49"/>
      <c r="B654" s="49"/>
      <c r="C654" s="47"/>
      <c r="D654" s="49"/>
      <c r="E654" s="49"/>
      <c r="F654" s="49" t="b">
        <v>0</v>
      </c>
      <c r="G654" s="49"/>
      <c r="H654" s="47"/>
      <c r="I654" s="47"/>
      <c r="J654" s="49"/>
      <c r="K654" s="49"/>
      <c r="L654" s="49"/>
      <c r="M654" s="49"/>
      <c r="N654" s="49"/>
      <c r="O654" s="49" t="b">
        <v>0</v>
      </c>
      <c r="P654" s="49"/>
      <c r="Q654" s="49"/>
      <c r="R654" s="49"/>
      <c r="S654" s="49"/>
      <c r="T654" s="49"/>
      <c r="U654" s="58"/>
      <c r="V654" s="49"/>
      <c r="W654" s="58"/>
      <c r="X654" s="49"/>
      <c r="Y654" s="47"/>
      <c r="Z654" s="175" t="str">
        <f ca="1">IFERROR(__xludf.DUMMYFUNCTION("QUERY('Volunteer Survey'!A653)"),"")</f>
        <v/>
      </c>
      <c r="AA654" s="175" t="str">
        <f ca="1">IFERROR(__xludf.DUMMYFUNCTION("QUERY('Volunteer Survey'!B653)"),"")</f>
        <v/>
      </c>
      <c r="AB654" s="175" t="str">
        <f ca="1">IFERROR(__xludf.DUMMYFUNCTION("QUERY('Volunteer Survey'!C653)"),"")</f>
        <v/>
      </c>
      <c r="AC654" s="175" t="str">
        <f ca="1">IFERROR(__xludf.DUMMYFUNCTION("QUERY('Volunteer Survey'!D653)"),"")</f>
        <v/>
      </c>
      <c r="AD654" s="175" t="str">
        <f ca="1">IFERROR(__xludf.DUMMYFUNCTION("QUERY('Volunteer Survey'!E653)"),"")</f>
        <v/>
      </c>
      <c r="AE654" s="175" t="str">
        <f ca="1">IFERROR(__xludf.DUMMYFUNCTION("QUERY('Volunteer Survey'!F653)"),"")</f>
        <v/>
      </c>
      <c r="AF654" s="175" t="str">
        <f ca="1">IFERROR(__xludf.DUMMYFUNCTION("QUERY('Volunteer Survey'!G653)"),"")</f>
        <v/>
      </c>
      <c r="AG654" s="175" t="str">
        <f ca="1">IFERROR(__xludf.DUMMYFUNCTION("QUERY('Volunteer Survey'!H653)"),"")</f>
        <v/>
      </c>
      <c r="AH654" s="175" t="str">
        <f ca="1">IFERROR(__xludf.DUMMYFUNCTION("QUERY('Volunteer Survey'!I653)"),"")</f>
        <v/>
      </c>
      <c r="AI654" s="175" t="str">
        <f ca="1">IFERROR(__xludf.DUMMYFUNCTION("QUERY('Volunteer Survey'!J653)"),"")</f>
        <v/>
      </c>
      <c r="AJ654" s="175" t="str">
        <f ca="1">IFERROR(__xludf.DUMMYFUNCTION("QUERY('Volunteer Survey'!K653)"),"")</f>
        <v/>
      </c>
      <c r="AK654" s="175" t="str">
        <f ca="1">IFERROR(__xludf.DUMMYFUNCTION("QUERY('Volunteer Survey'!L653)"),"")</f>
        <v/>
      </c>
      <c r="AL654" s="175" t="str">
        <f ca="1">IFERROR(__xludf.DUMMYFUNCTION("QUERY('Volunteer Survey'!M653)"),"")</f>
        <v/>
      </c>
      <c r="AM654" s="175" t="str">
        <f ca="1">IFERROR(__xludf.DUMMYFUNCTION("QUERY('Volunteer Survey'!N653)"),"")</f>
        <v/>
      </c>
      <c r="AN654" s="175" t="str">
        <f ca="1">IFERROR(__xludf.DUMMYFUNCTION("QUERY('Volunteer Survey'!O653)"),"")</f>
        <v/>
      </c>
      <c r="AO654" s="175" t="str">
        <f ca="1">IFERROR(__xludf.DUMMYFUNCTION("QUERY('Volunteer Survey'!P653)"),"")</f>
        <v/>
      </c>
    </row>
    <row r="655" spans="1:41" ht="14">
      <c r="A655" s="49"/>
      <c r="B655" s="49"/>
      <c r="C655" s="47"/>
      <c r="D655" s="49"/>
      <c r="E655" s="49"/>
      <c r="F655" s="49" t="b">
        <v>0</v>
      </c>
      <c r="G655" s="49"/>
      <c r="H655" s="47"/>
      <c r="I655" s="47"/>
      <c r="J655" s="49"/>
      <c r="K655" s="49"/>
      <c r="L655" s="49"/>
      <c r="M655" s="49"/>
      <c r="N655" s="49"/>
      <c r="O655" s="49" t="b">
        <v>0</v>
      </c>
      <c r="P655" s="49"/>
      <c r="Q655" s="49"/>
      <c r="R655" s="49"/>
      <c r="S655" s="49"/>
      <c r="T655" s="49"/>
      <c r="U655" s="58"/>
      <c r="V655" s="49"/>
      <c r="W655" s="58"/>
      <c r="X655" s="49"/>
      <c r="Y655" s="47"/>
      <c r="Z655" s="175" t="str">
        <f ca="1">IFERROR(__xludf.DUMMYFUNCTION("QUERY('Volunteer Survey'!A654)"),"")</f>
        <v/>
      </c>
      <c r="AA655" s="175" t="str">
        <f ca="1">IFERROR(__xludf.DUMMYFUNCTION("QUERY('Volunteer Survey'!B654)"),"")</f>
        <v/>
      </c>
      <c r="AB655" s="175" t="str">
        <f ca="1">IFERROR(__xludf.DUMMYFUNCTION("QUERY('Volunteer Survey'!C654)"),"")</f>
        <v/>
      </c>
      <c r="AC655" s="175" t="str">
        <f ca="1">IFERROR(__xludf.DUMMYFUNCTION("QUERY('Volunteer Survey'!D654)"),"")</f>
        <v/>
      </c>
      <c r="AD655" s="175" t="str">
        <f ca="1">IFERROR(__xludf.DUMMYFUNCTION("QUERY('Volunteer Survey'!E654)"),"")</f>
        <v/>
      </c>
      <c r="AE655" s="175" t="str">
        <f ca="1">IFERROR(__xludf.DUMMYFUNCTION("QUERY('Volunteer Survey'!F654)"),"")</f>
        <v/>
      </c>
      <c r="AF655" s="175" t="str">
        <f ca="1">IFERROR(__xludf.DUMMYFUNCTION("QUERY('Volunteer Survey'!G654)"),"")</f>
        <v/>
      </c>
      <c r="AG655" s="175" t="str">
        <f ca="1">IFERROR(__xludf.DUMMYFUNCTION("QUERY('Volunteer Survey'!H654)"),"")</f>
        <v/>
      </c>
      <c r="AH655" s="175" t="str">
        <f ca="1">IFERROR(__xludf.DUMMYFUNCTION("QUERY('Volunteer Survey'!I654)"),"")</f>
        <v/>
      </c>
      <c r="AI655" s="175" t="str">
        <f ca="1">IFERROR(__xludf.DUMMYFUNCTION("QUERY('Volunteer Survey'!J654)"),"")</f>
        <v/>
      </c>
      <c r="AJ655" s="175" t="str">
        <f ca="1">IFERROR(__xludf.DUMMYFUNCTION("QUERY('Volunteer Survey'!K654)"),"")</f>
        <v/>
      </c>
      <c r="AK655" s="175" t="str">
        <f ca="1">IFERROR(__xludf.DUMMYFUNCTION("QUERY('Volunteer Survey'!L654)"),"")</f>
        <v/>
      </c>
      <c r="AL655" s="175" t="str">
        <f ca="1">IFERROR(__xludf.DUMMYFUNCTION("QUERY('Volunteer Survey'!M654)"),"")</f>
        <v/>
      </c>
      <c r="AM655" s="175" t="str">
        <f ca="1">IFERROR(__xludf.DUMMYFUNCTION("QUERY('Volunteer Survey'!N654)"),"")</f>
        <v/>
      </c>
      <c r="AN655" s="175" t="str">
        <f ca="1">IFERROR(__xludf.DUMMYFUNCTION("QUERY('Volunteer Survey'!O654)"),"")</f>
        <v/>
      </c>
      <c r="AO655" s="175" t="str">
        <f ca="1">IFERROR(__xludf.DUMMYFUNCTION("QUERY('Volunteer Survey'!P654)"),"")</f>
        <v/>
      </c>
    </row>
    <row r="656" spans="1:41" ht="14">
      <c r="A656" s="49"/>
      <c r="B656" s="49"/>
      <c r="C656" s="47"/>
      <c r="D656" s="49"/>
      <c r="E656" s="49"/>
      <c r="F656" s="49" t="b">
        <v>0</v>
      </c>
      <c r="G656" s="49"/>
      <c r="H656" s="47"/>
      <c r="I656" s="47"/>
      <c r="J656" s="49"/>
      <c r="K656" s="49"/>
      <c r="L656" s="49"/>
      <c r="M656" s="49"/>
      <c r="N656" s="49"/>
      <c r="O656" s="49" t="b">
        <v>0</v>
      </c>
      <c r="P656" s="49"/>
      <c r="Q656" s="49"/>
      <c r="R656" s="49"/>
      <c r="S656" s="49"/>
      <c r="T656" s="49"/>
      <c r="U656" s="58"/>
      <c r="V656" s="49"/>
      <c r="W656" s="58"/>
      <c r="X656" s="49"/>
      <c r="Y656" s="47"/>
      <c r="Z656" s="175" t="str">
        <f ca="1">IFERROR(__xludf.DUMMYFUNCTION("QUERY('Volunteer Survey'!A655)"),"")</f>
        <v/>
      </c>
      <c r="AA656" s="175" t="str">
        <f ca="1">IFERROR(__xludf.DUMMYFUNCTION("QUERY('Volunteer Survey'!B655)"),"")</f>
        <v/>
      </c>
      <c r="AB656" s="175" t="str">
        <f ca="1">IFERROR(__xludf.DUMMYFUNCTION("QUERY('Volunteer Survey'!C655)"),"")</f>
        <v/>
      </c>
      <c r="AC656" s="175" t="str">
        <f ca="1">IFERROR(__xludf.DUMMYFUNCTION("QUERY('Volunteer Survey'!D655)"),"")</f>
        <v/>
      </c>
      <c r="AD656" s="175" t="str">
        <f ca="1">IFERROR(__xludf.DUMMYFUNCTION("QUERY('Volunteer Survey'!E655)"),"")</f>
        <v/>
      </c>
      <c r="AE656" s="175" t="str">
        <f ca="1">IFERROR(__xludf.DUMMYFUNCTION("QUERY('Volunteer Survey'!F655)"),"")</f>
        <v/>
      </c>
      <c r="AF656" s="175" t="str">
        <f ca="1">IFERROR(__xludf.DUMMYFUNCTION("QUERY('Volunteer Survey'!G655)"),"")</f>
        <v/>
      </c>
      <c r="AG656" s="175" t="str">
        <f ca="1">IFERROR(__xludf.DUMMYFUNCTION("QUERY('Volunteer Survey'!H655)"),"")</f>
        <v/>
      </c>
      <c r="AH656" s="175" t="str">
        <f ca="1">IFERROR(__xludf.DUMMYFUNCTION("QUERY('Volunteer Survey'!I655)"),"")</f>
        <v/>
      </c>
      <c r="AI656" s="175" t="str">
        <f ca="1">IFERROR(__xludf.DUMMYFUNCTION("QUERY('Volunteer Survey'!J655)"),"")</f>
        <v/>
      </c>
      <c r="AJ656" s="175" t="str">
        <f ca="1">IFERROR(__xludf.DUMMYFUNCTION("QUERY('Volunteer Survey'!K655)"),"")</f>
        <v/>
      </c>
      <c r="AK656" s="175" t="str">
        <f ca="1">IFERROR(__xludf.DUMMYFUNCTION("QUERY('Volunteer Survey'!L655)"),"")</f>
        <v/>
      </c>
      <c r="AL656" s="175" t="str">
        <f ca="1">IFERROR(__xludf.DUMMYFUNCTION("QUERY('Volunteer Survey'!M655)"),"")</f>
        <v/>
      </c>
      <c r="AM656" s="175" t="str">
        <f ca="1">IFERROR(__xludf.DUMMYFUNCTION("QUERY('Volunteer Survey'!N655)"),"")</f>
        <v/>
      </c>
      <c r="AN656" s="175" t="str">
        <f ca="1">IFERROR(__xludf.DUMMYFUNCTION("QUERY('Volunteer Survey'!O655)"),"")</f>
        <v/>
      </c>
      <c r="AO656" s="175" t="str">
        <f ca="1">IFERROR(__xludf.DUMMYFUNCTION("QUERY('Volunteer Survey'!P655)"),"")</f>
        <v/>
      </c>
    </row>
    <row r="657" spans="1:41" ht="14">
      <c r="A657" s="49"/>
      <c r="B657" s="49"/>
      <c r="C657" s="47"/>
      <c r="D657" s="49"/>
      <c r="E657" s="49"/>
      <c r="F657" s="49" t="b">
        <v>0</v>
      </c>
      <c r="G657" s="49"/>
      <c r="H657" s="47"/>
      <c r="I657" s="47"/>
      <c r="J657" s="49"/>
      <c r="K657" s="49"/>
      <c r="L657" s="49"/>
      <c r="M657" s="49"/>
      <c r="N657" s="49"/>
      <c r="O657" s="49" t="b">
        <v>0</v>
      </c>
      <c r="P657" s="49"/>
      <c r="Q657" s="49"/>
      <c r="R657" s="49"/>
      <c r="S657" s="49"/>
      <c r="T657" s="49"/>
      <c r="U657" s="58"/>
      <c r="V657" s="49"/>
      <c r="W657" s="58"/>
      <c r="X657" s="49"/>
      <c r="Y657" s="47"/>
      <c r="Z657" s="175" t="str">
        <f ca="1">IFERROR(__xludf.DUMMYFUNCTION("QUERY('Volunteer Survey'!A656)"),"")</f>
        <v/>
      </c>
      <c r="AA657" s="175" t="str">
        <f ca="1">IFERROR(__xludf.DUMMYFUNCTION("QUERY('Volunteer Survey'!B656)"),"")</f>
        <v/>
      </c>
      <c r="AB657" s="175" t="str">
        <f ca="1">IFERROR(__xludf.DUMMYFUNCTION("QUERY('Volunteer Survey'!C656)"),"")</f>
        <v/>
      </c>
      <c r="AC657" s="175" t="str">
        <f ca="1">IFERROR(__xludf.DUMMYFUNCTION("QUERY('Volunteer Survey'!D656)"),"")</f>
        <v/>
      </c>
      <c r="AD657" s="175" t="str">
        <f ca="1">IFERROR(__xludf.DUMMYFUNCTION("QUERY('Volunteer Survey'!E656)"),"")</f>
        <v/>
      </c>
      <c r="AE657" s="175" t="str">
        <f ca="1">IFERROR(__xludf.DUMMYFUNCTION("QUERY('Volunteer Survey'!F656)"),"")</f>
        <v/>
      </c>
      <c r="AF657" s="175" t="str">
        <f ca="1">IFERROR(__xludf.DUMMYFUNCTION("QUERY('Volunteer Survey'!G656)"),"")</f>
        <v/>
      </c>
      <c r="AG657" s="175" t="str">
        <f ca="1">IFERROR(__xludf.DUMMYFUNCTION("QUERY('Volunteer Survey'!H656)"),"")</f>
        <v/>
      </c>
      <c r="AH657" s="175" t="str">
        <f ca="1">IFERROR(__xludf.DUMMYFUNCTION("QUERY('Volunteer Survey'!I656)"),"")</f>
        <v/>
      </c>
      <c r="AI657" s="175" t="str">
        <f ca="1">IFERROR(__xludf.DUMMYFUNCTION("QUERY('Volunteer Survey'!J656)"),"")</f>
        <v/>
      </c>
      <c r="AJ657" s="175" t="str">
        <f ca="1">IFERROR(__xludf.DUMMYFUNCTION("QUERY('Volunteer Survey'!K656)"),"")</f>
        <v/>
      </c>
      <c r="AK657" s="175" t="str">
        <f ca="1">IFERROR(__xludf.DUMMYFUNCTION("QUERY('Volunteer Survey'!L656)"),"")</f>
        <v/>
      </c>
      <c r="AL657" s="175" t="str">
        <f ca="1">IFERROR(__xludf.DUMMYFUNCTION("QUERY('Volunteer Survey'!M656)"),"")</f>
        <v/>
      </c>
      <c r="AM657" s="175" t="str">
        <f ca="1">IFERROR(__xludf.DUMMYFUNCTION("QUERY('Volunteer Survey'!N656)"),"")</f>
        <v/>
      </c>
      <c r="AN657" s="175" t="str">
        <f ca="1">IFERROR(__xludf.DUMMYFUNCTION("QUERY('Volunteer Survey'!O656)"),"")</f>
        <v/>
      </c>
      <c r="AO657" s="175" t="str">
        <f ca="1">IFERROR(__xludf.DUMMYFUNCTION("QUERY('Volunteer Survey'!P656)"),"")</f>
        <v/>
      </c>
    </row>
    <row r="658" spans="1:41" ht="14">
      <c r="A658" s="49"/>
      <c r="B658" s="49"/>
      <c r="C658" s="47"/>
      <c r="D658" s="49"/>
      <c r="E658" s="49"/>
      <c r="F658" s="49" t="b">
        <v>0</v>
      </c>
      <c r="G658" s="49"/>
      <c r="H658" s="47"/>
      <c r="I658" s="47"/>
      <c r="J658" s="49"/>
      <c r="K658" s="49"/>
      <c r="L658" s="49"/>
      <c r="M658" s="49"/>
      <c r="N658" s="49"/>
      <c r="O658" s="49" t="b">
        <v>0</v>
      </c>
      <c r="P658" s="49"/>
      <c r="Q658" s="49"/>
      <c r="R658" s="49"/>
      <c r="S658" s="49"/>
      <c r="T658" s="49"/>
      <c r="U658" s="58"/>
      <c r="V658" s="49"/>
      <c r="W658" s="58"/>
      <c r="X658" s="49"/>
      <c r="Y658" s="47"/>
      <c r="Z658" s="175" t="str">
        <f ca="1">IFERROR(__xludf.DUMMYFUNCTION("QUERY('Volunteer Survey'!A657)"),"")</f>
        <v/>
      </c>
      <c r="AA658" s="175" t="str">
        <f ca="1">IFERROR(__xludf.DUMMYFUNCTION("QUERY('Volunteer Survey'!B657)"),"")</f>
        <v/>
      </c>
      <c r="AB658" s="175" t="str">
        <f ca="1">IFERROR(__xludf.DUMMYFUNCTION("QUERY('Volunteer Survey'!C657)"),"")</f>
        <v/>
      </c>
      <c r="AC658" s="175" t="str">
        <f ca="1">IFERROR(__xludf.DUMMYFUNCTION("QUERY('Volunteer Survey'!D657)"),"")</f>
        <v/>
      </c>
      <c r="AD658" s="175" t="str">
        <f ca="1">IFERROR(__xludf.DUMMYFUNCTION("QUERY('Volunteer Survey'!E657)"),"")</f>
        <v/>
      </c>
      <c r="AE658" s="175" t="str">
        <f ca="1">IFERROR(__xludf.DUMMYFUNCTION("QUERY('Volunteer Survey'!F657)"),"")</f>
        <v/>
      </c>
      <c r="AF658" s="175" t="str">
        <f ca="1">IFERROR(__xludf.DUMMYFUNCTION("QUERY('Volunteer Survey'!G657)"),"")</f>
        <v/>
      </c>
      <c r="AG658" s="175" t="str">
        <f ca="1">IFERROR(__xludf.DUMMYFUNCTION("QUERY('Volunteer Survey'!H657)"),"")</f>
        <v/>
      </c>
      <c r="AH658" s="175" t="str">
        <f ca="1">IFERROR(__xludf.DUMMYFUNCTION("QUERY('Volunteer Survey'!I657)"),"")</f>
        <v/>
      </c>
      <c r="AI658" s="175" t="str">
        <f ca="1">IFERROR(__xludf.DUMMYFUNCTION("QUERY('Volunteer Survey'!J657)"),"")</f>
        <v/>
      </c>
      <c r="AJ658" s="175" t="str">
        <f ca="1">IFERROR(__xludf.DUMMYFUNCTION("QUERY('Volunteer Survey'!K657)"),"")</f>
        <v/>
      </c>
      <c r="AK658" s="175" t="str">
        <f ca="1">IFERROR(__xludf.DUMMYFUNCTION("QUERY('Volunteer Survey'!L657)"),"")</f>
        <v/>
      </c>
      <c r="AL658" s="175" t="str">
        <f ca="1">IFERROR(__xludf.DUMMYFUNCTION("QUERY('Volunteer Survey'!M657)"),"")</f>
        <v/>
      </c>
      <c r="AM658" s="175" t="str">
        <f ca="1">IFERROR(__xludf.DUMMYFUNCTION("QUERY('Volunteer Survey'!N657)"),"")</f>
        <v/>
      </c>
      <c r="AN658" s="175" t="str">
        <f ca="1">IFERROR(__xludf.DUMMYFUNCTION("QUERY('Volunteer Survey'!O657)"),"")</f>
        <v/>
      </c>
      <c r="AO658" s="175" t="str">
        <f ca="1">IFERROR(__xludf.DUMMYFUNCTION("QUERY('Volunteer Survey'!P657)"),"")</f>
        <v/>
      </c>
    </row>
    <row r="659" spans="1:41" ht="14">
      <c r="A659" s="49"/>
      <c r="B659" s="49"/>
      <c r="C659" s="47"/>
      <c r="D659" s="49"/>
      <c r="E659" s="49"/>
      <c r="F659" s="49" t="b">
        <v>0</v>
      </c>
      <c r="G659" s="49"/>
      <c r="H659" s="47"/>
      <c r="I659" s="47"/>
      <c r="J659" s="49"/>
      <c r="K659" s="49"/>
      <c r="L659" s="49"/>
      <c r="M659" s="49"/>
      <c r="N659" s="49"/>
      <c r="O659" s="49" t="b">
        <v>0</v>
      </c>
      <c r="P659" s="49"/>
      <c r="Q659" s="49"/>
      <c r="R659" s="49"/>
      <c r="S659" s="49"/>
      <c r="T659" s="49"/>
      <c r="U659" s="58"/>
      <c r="V659" s="49"/>
      <c r="W659" s="58"/>
      <c r="X659" s="49"/>
      <c r="Y659" s="47"/>
      <c r="Z659" s="175" t="str">
        <f ca="1">IFERROR(__xludf.DUMMYFUNCTION("QUERY('Volunteer Survey'!A658)"),"")</f>
        <v/>
      </c>
      <c r="AA659" s="175" t="str">
        <f ca="1">IFERROR(__xludf.DUMMYFUNCTION("QUERY('Volunteer Survey'!B658)"),"")</f>
        <v/>
      </c>
      <c r="AB659" s="175" t="str">
        <f ca="1">IFERROR(__xludf.DUMMYFUNCTION("QUERY('Volunteer Survey'!C658)"),"")</f>
        <v/>
      </c>
      <c r="AC659" s="175" t="str">
        <f ca="1">IFERROR(__xludf.DUMMYFUNCTION("QUERY('Volunteer Survey'!D658)"),"")</f>
        <v/>
      </c>
      <c r="AD659" s="175" t="str">
        <f ca="1">IFERROR(__xludf.DUMMYFUNCTION("QUERY('Volunteer Survey'!E658)"),"")</f>
        <v/>
      </c>
      <c r="AE659" s="175" t="str">
        <f ca="1">IFERROR(__xludf.DUMMYFUNCTION("QUERY('Volunteer Survey'!F658)"),"")</f>
        <v/>
      </c>
      <c r="AF659" s="175" t="str">
        <f ca="1">IFERROR(__xludf.DUMMYFUNCTION("QUERY('Volunteer Survey'!G658)"),"")</f>
        <v/>
      </c>
      <c r="AG659" s="175" t="str">
        <f ca="1">IFERROR(__xludf.DUMMYFUNCTION("QUERY('Volunteer Survey'!H658)"),"")</f>
        <v/>
      </c>
      <c r="AH659" s="175" t="str">
        <f ca="1">IFERROR(__xludf.DUMMYFUNCTION("QUERY('Volunteer Survey'!I658)"),"")</f>
        <v/>
      </c>
      <c r="AI659" s="175" t="str">
        <f ca="1">IFERROR(__xludf.DUMMYFUNCTION("QUERY('Volunteer Survey'!J658)"),"")</f>
        <v/>
      </c>
      <c r="AJ659" s="175" t="str">
        <f ca="1">IFERROR(__xludf.DUMMYFUNCTION("QUERY('Volunteer Survey'!K658)"),"")</f>
        <v/>
      </c>
      <c r="AK659" s="175" t="str">
        <f ca="1">IFERROR(__xludf.DUMMYFUNCTION("QUERY('Volunteer Survey'!L658)"),"")</f>
        <v/>
      </c>
      <c r="AL659" s="175" t="str">
        <f ca="1">IFERROR(__xludf.DUMMYFUNCTION("QUERY('Volunteer Survey'!M658)"),"")</f>
        <v/>
      </c>
      <c r="AM659" s="175" t="str">
        <f ca="1">IFERROR(__xludf.DUMMYFUNCTION("QUERY('Volunteer Survey'!N658)"),"")</f>
        <v/>
      </c>
      <c r="AN659" s="175" t="str">
        <f ca="1">IFERROR(__xludf.DUMMYFUNCTION("QUERY('Volunteer Survey'!O658)"),"")</f>
        <v/>
      </c>
      <c r="AO659" s="175" t="str">
        <f ca="1">IFERROR(__xludf.DUMMYFUNCTION("QUERY('Volunteer Survey'!P658)"),"")</f>
        <v/>
      </c>
    </row>
    <row r="660" spans="1:41" ht="14">
      <c r="A660" s="49"/>
      <c r="B660" s="49"/>
      <c r="C660" s="47"/>
      <c r="D660" s="49"/>
      <c r="E660" s="49"/>
      <c r="F660" s="49" t="b">
        <v>0</v>
      </c>
      <c r="G660" s="49"/>
      <c r="H660" s="47"/>
      <c r="I660" s="47"/>
      <c r="J660" s="49"/>
      <c r="K660" s="49"/>
      <c r="L660" s="49"/>
      <c r="M660" s="49"/>
      <c r="N660" s="49"/>
      <c r="O660" s="49" t="b">
        <v>0</v>
      </c>
      <c r="P660" s="49"/>
      <c r="Q660" s="49"/>
      <c r="R660" s="49"/>
      <c r="S660" s="49"/>
      <c r="T660" s="49"/>
      <c r="U660" s="58"/>
      <c r="V660" s="49"/>
      <c r="W660" s="58"/>
      <c r="X660" s="49"/>
      <c r="Y660" s="47"/>
      <c r="Z660" s="175" t="str">
        <f ca="1">IFERROR(__xludf.DUMMYFUNCTION("QUERY('Volunteer Survey'!A659)"),"")</f>
        <v/>
      </c>
      <c r="AA660" s="175" t="str">
        <f ca="1">IFERROR(__xludf.DUMMYFUNCTION("QUERY('Volunteer Survey'!B659)"),"")</f>
        <v/>
      </c>
      <c r="AB660" s="175" t="str">
        <f ca="1">IFERROR(__xludf.DUMMYFUNCTION("QUERY('Volunteer Survey'!C659)"),"")</f>
        <v/>
      </c>
      <c r="AC660" s="175" t="str">
        <f ca="1">IFERROR(__xludf.DUMMYFUNCTION("QUERY('Volunteer Survey'!D659)"),"")</f>
        <v/>
      </c>
      <c r="AD660" s="175" t="str">
        <f ca="1">IFERROR(__xludf.DUMMYFUNCTION("QUERY('Volunteer Survey'!E659)"),"")</f>
        <v/>
      </c>
      <c r="AE660" s="175" t="str">
        <f ca="1">IFERROR(__xludf.DUMMYFUNCTION("QUERY('Volunteer Survey'!F659)"),"")</f>
        <v/>
      </c>
      <c r="AF660" s="175" t="str">
        <f ca="1">IFERROR(__xludf.DUMMYFUNCTION("QUERY('Volunteer Survey'!G659)"),"")</f>
        <v/>
      </c>
      <c r="AG660" s="175" t="str">
        <f ca="1">IFERROR(__xludf.DUMMYFUNCTION("QUERY('Volunteer Survey'!H659)"),"")</f>
        <v/>
      </c>
      <c r="AH660" s="175" t="str">
        <f ca="1">IFERROR(__xludf.DUMMYFUNCTION("QUERY('Volunteer Survey'!I659)"),"")</f>
        <v/>
      </c>
      <c r="AI660" s="175" t="str">
        <f ca="1">IFERROR(__xludf.DUMMYFUNCTION("QUERY('Volunteer Survey'!J659)"),"")</f>
        <v/>
      </c>
      <c r="AJ660" s="175" t="str">
        <f ca="1">IFERROR(__xludf.DUMMYFUNCTION("QUERY('Volunteer Survey'!K659)"),"")</f>
        <v/>
      </c>
      <c r="AK660" s="175" t="str">
        <f ca="1">IFERROR(__xludf.DUMMYFUNCTION("QUERY('Volunteer Survey'!L659)"),"")</f>
        <v/>
      </c>
      <c r="AL660" s="175" t="str">
        <f ca="1">IFERROR(__xludf.DUMMYFUNCTION("QUERY('Volunteer Survey'!M659)"),"")</f>
        <v/>
      </c>
      <c r="AM660" s="175" t="str">
        <f ca="1">IFERROR(__xludf.DUMMYFUNCTION("QUERY('Volunteer Survey'!N659)"),"")</f>
        <v/>
      </c>
      <c r="AN660" s="175" t="str">
        <f ca="1">IFERROR(__xludf.DUMMYFUNCTION("QUERY('Volunteer Survey'!O659)"),"")</f>
        <v/>
      </c>
      <c r="AO660" s="175" t="str">
        <f ca="1">IFERROR(__xludf.DUMMYFUNCTION("QUERY('Volunteer Survey'!P659)"),"")</f>
        <v/>
      </c>
    </row>
    <row r="661" spans="1:41" ht="14">
      <c r="A661" s="49"/>
      <c r="B661" s="49"/>
      <c r="C661" s="47"/>
      <c r="D661" s="49"/>
      <c r="E661" s="49"/>
      <c r="F661" s="49" t="b">
        <v>0</v>
      </c>
      <c r="G661" s="49"/>
      <c r="H661" s="47"/>
      <c r="I661" s="47"/>
      <c r="J661" s="49"/>
      <c r="K661" s="49"/>
      <c r="L661" s="49"/>
      <c r="M661" s="49"/>
      <c r="N661" s="49"/>
      <c r="O661" s="49" t="b">
        <v>0</v>
      </c>
      <c r="P661" s="49"/>
      <c r="Q661" s="49"/>
      <c r="R661" s="49"/>
      <c r="S661" s="49"/>
      <c r="T661" s="49"/>
      <c r="U661" s="58"/>
      <c r="V661" s="49"/>
      <c r="W661" s="58"/>
      <c r="X661" s="49"/>
      <c r="Y661" s="47"/>
      <c r="Z661" s="175" t="str">
        <f ca="1">IFERROR(__xludf.DUMMYFUNCTION("QUERY('Volunteer Survey'!A660)"),"")</f>
        <v/>
      </c>
      <c r="AA661" s="175" t="str">
        <f ca="1">IFERROR(__xludf.DUMMYFUNCTION("QUERY('Volunteer Survey'!B660)"),"")</f>
        <v/>
      </c>
      <c r="AB661" s="175" t="str">
        <f ca="1">IFERROR(__xludf.DUMMYFUNCTION("QUERY('Volunteer Survey'!C660)"),"")</f>
        <v/>
      </c>
      <c r="AC661" s="175" t="str">
        <f ca="1">IFERROR(__xludf.DUMMYFUNCTION("QUERY('Volunteer Survey'!D660)"),"")</f>
        <v/>
      </c>
      <c r="AD661" s="175" t="str">
        <f ca="1">IFERROR(__xludf.DUMMYFUNCTION("QUERY('Volunteer Survey'!E660)"),"")</f>
        <v/>
      </c>
      <c r="AE661" s="175" t="str">
        <f ca="1">IFERROR(__xludf.DUMMYFUNCTION("QUERY('Volunteer Survey'!F660)"),"")</f>
        <v/>
      </c>
      <c r="AF661" s="175" t="str">
        <f ca="1">IFERROR(__xludf.DUMMYFUNCTION("QUERY('Volunteer Survey'!G660)"),"")</f>
        <v/>
      </c>
      <c r="AG661" s="175" t="str">
        <f ca="1">IFERROR(__xludf.DUMMYFUNCTION("QUERY('Volunteer Survey'!H660)"),"")</f>
        <v/>
      </c>
      <c r="AH661" s="175" t="str">
        <f ca="1">IFERROR(__xludf.DUMMYFUNCTION("QUERY('Volunteer Survey'!I660)"),"")</f>
        <v/>
      </c>
      <c r="AI661" s="175" t="str">
        <f ca="1">IFERROR(__xludf.DUMMYFUNCTION("QUERY('Volunteer Survey'!J660)"),"")</f>
        <v/>
      </c>
      <c r="AJ661" s="175" t="str">
        <f ca="1">IFERROR(__xludf.DUMMYFUNCTION("QUERY('Volunteer Survey'!K660)"),"")</f>
        <v/>
      </c>
      <c r="AK661" s="175" t="str">
        <f ca="1">IFERROR(__xludf.DUMMYFUNCTION("QUERY('Volunteer Survey'!L660)"),"")</f>
        <v/>
      </c>
      <c r="AL661" s="175" t="str">
        <f ca="1">IFERROR(__xludf.DUMMYFUNCTION("QUERY('Volunteer Survey'!M660)"),"")</f>
        <v/>
      </c>
      <c r="AM661" s="175" t="str">
        <f ca="1">IFERROR(__xludf.DUMMYFUNCTION("QUERY('Volunteer Survey'!N660)"),"")</f>
        <v/>
      </c>
      <c r="AN661" s="175" t="str">
        <f ca="1">IFERROR(__xludf.DUMMYFUNCTION("QUERY('Volunteer Survey'!O660)"),"")</f>
        <v/>
      </c>
      <c r="AO661" s="175" t="str">
        <f ca="1">IFERROR(__xludf.DUMMYFUNCTION("QUERY('Volunteer Survey'!P660)"),"")</f>
        <v/>
      </c>
    </row>
    <row r="662" spans="1:41" ht="14">
      <c r="A662" s="49"/>
      <c r="B662" s="49"/>
      <c r="C662" s="47"/>
      <c r="D662" s="49"/>
      <c r="E662" s="49"/>
      <c r="F662" s="49" t="b">
        <v>0</v>
      </c>
      <c r="G662" s="49"/>
      <c r="H662" s="47"/>
      <c r="I662" s="47"/>
      <c r="J662" s="49"/>
      <c r="K662" s="49"/>
      <c r="L662" s="49"/>
      <c r="M662" s="49"/>
      <c r="N662" s="49"/>
      <c r="O662" s="49" t="b">
        <v>0</v>
      </c>
      <c r="P662" s="49"/>
      <c r="Q662" s="49"/>
      <c r="R662" s="49"/>
      <c r="S662" s="49"/>
      <c r="T662" s="49"/>
      <c r="U662" s="58"/>
      <c r="V662" s="49"/>
      <c r="W662" s="58"/>
      <c r="X662" s="49"/>
      <c r="Y662" s="47"/>
      <c r="Z662" s="175" t="str">
        <f ca="1">IFERROR(__xludf.DUMMYFUNCTION("QUERY('Volunteer Survey'!A661)"),"")</f>
        <v/>
      </c>
      <c r="AA662" s="175" t="str">
        <f ca="1">IFERROR(__xludf.DUMMYFUNCTION("QUERY('Volunteer Survey'!B661)"),"")</f>
        <v/>
      </c>
      <c r="AB662" s="175" t="str">
        <f ca="1">IFERROR(__xludf.DUMMYFUNCTION("QUERY('Volunteer Survey'!C661)"),"")</f>
        <v/>
      </c>
      <c r="AC662" s="175" t="str">
        <f ca="1">IFERROR(__xludf.DUMMYFUNCTION("QUERY('Volunteer Survey'!D661)"),"")</f>
        <v/>
      </c>
      <c r="AD662" s="175" t="str">
        <f ca="1">IFERROR(__xludf.DUMMYFUNCTION("QUERY('Volunteer Survey'!E661)"),"")</f>
        <v/>
      </c>
      <c r="AE662" s="175" t="str">
        <f ca="1">IFERROR(__xludf.DUMMYFUNCTION("QUERY('Volunteer Survey'!F661)"),"")</f>
        <v/>
      </c>
      <c r="AF662" s="175" t="str">
        <f ca="1">IFERROR(__xludf.DUMMYFUNCTION("QUERY('Volunteer Survey'!G661)"),"")</f>
        <v/>
      </c>
      <c r="AG662" s="175" t="str">
        <f ca="1">IFERROR(__xludf.DUMMYFUNCTION("QUERY('Volunteer Survey'!H661)"),"")</f>
        <v/>
      </c>
      <c r="AH662" s="175" t="str">
        <f ca="1">IFERROR(__xludf.DUMMYFUNCTION("QUERY('Volunteer Survey'!I661)"),"")</f>
        <v/>
      </c>
      <c r="AI662" s="175" t="str">
        <f ca="1">IFERROR(__xludf.DUMMYFUNCTION("QUERY('Volunteer Survey'!J661)"),"")</f>
        <v/>
      </c>
      <c r="AJ662" s="175" t="str">
        <f ca="1">IFERROR(__xludf.DUMMYFUNCTION("QUERY('Volunteer Survey'!K661)"),"")</f>
        <v/>
      </c>
      <c r="AK662" s="175" t="str">
        <f ca="1">IFERROR(__xludf.DUMMYFUNCTION("QUERY('Volunteer Survey'!L661)"),"")</f>
        <v/>
      </c>
      <c r="AL662" s="175" t="str">
        <f ca="1">IFERROR(__xludf.DUMMYFUNCTION("QUERY('Volunteer Survey'!M661)"),"")</f>
        <v/>
      </c>
      <c r="AM662" s="175" t="str">
        <f ca="1">IFERROR(__xludf.DUMMYFUNCTION("QUERY('Volunteer Survey'!N661)"),"")</f>
        <v/>
      </c>
      <c r="AN662" s="175" t="str">
        <f ca="1">IFERROR(__xludf.DUMMYFUNCTION("QUERY('Volunteer Survey'!O661)"),"")</f>
        <v/>
      </c>
      <c r="AO662" s="175" t="str">
        <f ca="1">IFERROR(__xludf.DUMMYFUNCTION("QUERY('Volunteer Survey'!P661)"),"")</f>
        <v/>
      </c>
    </row>
    <row r="663" spans="1:41" ht="14">
      <c r="A663" s="49"/>
      <c r="B663" s="49"/>
      <c r="C663" s="47"/>
      <c r="D663" s="49"/>
      <c r="E663" s="49"/>
      <c r="F663" s="49" t="b">
        <v>0</v>
      </c>
      <c r="G663" s="49"/>
      <c r="H663" s="47"/>
      <c r="I663" s="47"/>
      <c r="J663" s="49"/>
      <c r="K663" s="49"/>
      <c r="L663" s="49"/>
      <c r="M663" s="49"/>
      <c r="N663" s="49"/>
      <c r="O663" s="49" t="b">
        <v>0</v>
      </c>
      <c r="P663" s="49"/>
      <c r="Q663" s="49"/>
      <c r="R663" s="49"/>
      <c r="S663" s="49"/>
      <c r="T663" s="49"/>
      <c r="U663" s="58"/>
      <c r="V663" s="49"/>
      <c r="W663" s="58"/>
      <c r="X663" s="49"/>
      <c r="Y663" s="47"/>
      <c r="Z663" s="175" t="str">
        <f ca="1">IFERROR(__xludf.DUMMYFUNCTION("QUERY('Volunteer Survey'!A662)"),"")</f>
        <v/>
      </c>
      <c r="AA663" s="175" t="str">
        <f ca="1">IFERROR(__xludf.DUMMYFUNCTION("QUERY('Volunteer Survey'!B662)"),"")</f>
        <v/>
      </c>
      <c r="AB663" s="175" t="str">
        <f ca="1">IFERROR(__xludf.DUMMYFUNCTION("QUERY('Volunteer Survey'!C662)"),"")</f>
        <v/>
      </c>
      <c r="AC663" s="175" t="str">
        <f ca="1">IFERROR(__xludf.DUMMYFUNCTION("QUERY('Volunteer Survey'!D662)"),"")</f>
        <v/>
      </c>
      <c r="AD663" s="175" t="str">
        <f ca="1">IFERROR(__xludf.DUMMYFUNCTION("QUERY('Volunteer Survey'!E662)"),"")</f>
        <v/>
      </c>
      <c r="AE663" s="175" t="str">
        <f ca="1">IFERROR(__xludf.DUMMYFUNCTION("QUERY('Volunteer Survey'!F662)"),"")</f>
        <v/>
      </c>
      <c r="AF663" s="175" t="str">
        <f ca="1">IFERROR(__xludf.DUMMYFUNCTION("QUERY('Volunteer Survey'!G662)"),"")</f>
        <v/>
      </c>
      <c r="AG663" s="175" t="str">
        <f ca="1">IFERROR(__xludf.DUMMYFUNCTION("QUERY('Volunteer Survey'!H662)"),"")</f>
        <v/>
      </c>
      <c r="AH663" s="175" t="str">
        <f ca="1">IFERROR(__xludf.DUMMYFUNCTION("QUERY('Volunteer Survey'!I662)"),"")</f>
        <v/>
      </c>
      <c r="AI663" s="175" t="str">
        <f ca="1">IFERROR(__xludf.DUMMYFUNCTION("QUERY('Volunteer Survey'!J662)"),"")</f>
        <v/>
      </c>
      <c r="AJ663" s="175" t="str">
        <f ca="1">IFERROR(__xludf.DUMMYFUNCTION("QUERY('Volunteer Survey'!K662)"),"")</f>
        <v/>
      </c>
      <c r="AK663" s="175" t="str">
        <f ca="1">IFERROR(__xludf.DUMMYFUNCTION("QUERY('Volunteer Survey'!L662)"),"")</f>
        <v/>
      </c>
      <c r="AL663" s="175" t="str">
        <f ca="1">IFERROR(__xludf.DUMMYFUNCTION("QUERY('Volunteer Survey'!M662)"),"")</f>
        <v/>
      </c>
      <c r="AM663" s="175" t="str">
        <f ca="1">IFERROR(__xludf.DUMMYFUNCTION("QUERY('Volunteer Survey'!N662)"),"")</f>
        <v/>
      </c>
      <c r="AN663" s="175" t="str">
        <f ca="1">IFERROR(__xludf.DUMMYFUNCTION("QUERY('Volunteer Survey'!O662)"),"")</f>
        <v/>
      </c>
      <c r="AO663" s="175" t="str">
        <f ca="1">IFERROR(__xludf.DUMMYFUNCTION("QUERY('Volunteer Survey'!P662)"),"")</f>
        <v/>
      </c>
    </row>
    <row r="664" spans="1:41" ht="14">
      <c r="A664" s="49"/>
      <c r="B664" s="49"/>
      <c r="C664" s="47"/>
      <c r="D664" s="49"/>
      <c r="E664" s="49"/>
      <c r="F664" s="49" t="b">
        <v>0</v>
      </c>
      <c r="G664" s="49"/>
      <c r="H664" s="47"/>
      <c r="I664" s="47"/>
      <c r="J664" s="49"/>
      <c r="K664" s="49"/>
      <c r="L664" s="49"/>
      <c r="M664" s="49"/>
      <c r="N664" s="49"/>
      <c r="O664" s="49" t="b">
        <v>0</v>
      </c>
      <c r="P664" s="49"/>
      <c r="Q664" s="49"/>
      <c r="R664" s="49"/>
      <c r="S664" s="49"/>
      <c r="T664" s="49"/>
      <c r="U664" s="58"/>
      <c r="V664" s="49"/>
      <c r="W664" s="58"/>
      <c r="X664" s="49"/>
      <c r="Y664" s="47"/>
      <c r="Z664" s="175" t="str">
        <f ca="1">IFERROR(__xludf.DUMMYFUNCTION("QUERY('Volunteer Survey'!A663)"),"")</f>
        <v/>
      </c>
      <c r="AA664" s="175" t="str">
        <f ca="1">IFERROR(__xludf.DUMMYFUNCTION("QUERY('Volunteer Survey'!B663)"),"")</f>
        <v/>
      </c>
      <c r="AB664" s="175" t="str">
        <f ca="1">IFERROR(__xludf.DUMMYFUNCTION("QUERY('Volunteer Survey'!C663)"),"")</f>
        <v/>
      </c>
      <c r="AC664" s="175" t="str">
        <f ca="1">IFERROR(__xludf.DUMMYFUNCTION("QUERY('Volunteer Survey'!D663)"),"")</f>
        <v/>
      </c>
      <c r="AD664" s="175" t="str">
        <f ca="1">IFERROR(__xludf.DUMMYFUNCTION("QUERY('Volunteer Survey'!E663)"),"")</f>
        <v/>
      </c>
      <c r="AE664" s="175" t="str">
        <f ca="1">IFERROR(__xludf.DUMMYFUNCTION("QUERY('Volunteer Survey'!F663)"),"")</f>
        <v/>
      </c>
      <c r="AF664" s="175" t="str">
        <f ca="1">IFERROR(__xludf.DUMMYFUNCTION("QUERY('Volunteer Survey'!G663)"),"")</f>
        <v/>
      </c>
      <c r="AG664" s="175" t="str">
        <f ca="1">IFERROR(__xludf.DUMMYFUNCTION("QUERY('Volunteer Survey'!H663)"),"")</f>
        <v/>
      </c>
      <c r="AH664" s="175" t="str">
        <f ca="1">IFERROR(__xludf.DUMMYFUNCTION("QUERY('Volunteer Survey'!I663)"),"")</f>
        <v/>
      </c>
      <c r="AI664" s="175" t="str">
        <f ca="1">IFERROR(__xludf.DUMMYFUNCTION("QUERY('Volunteer Survey'!J663)"),"")</f>
        <v/>
      </c>
      <c r="AJ664" s="175" t="str">
        <f ca="1">IFERROR(__xludf.DUMMYFUNCTION("QUERY('Volunteer Survey'!K663)"),"")</f>
        <v/>
      </c>
      <c r="AK664" s="175" t="str">
        <f ca="1">IFERROR(__xludf.DUMMYFUNCTION("QUERY('Volunteer Survey'!L663)"),"")</f>
        <v/>
      </c>
      <c r="AL664" s="175" t="str">
        <f ca="1">IFERROR(__xludf.DUMMYFUNCTION("QUERY('Volunteer Survey'!M663)"),"")</f>
        <v/>
      </c>
      <c r="AM664" s="175" t="str">
        <f ca="1">IFERROR(__xludf.DUMMYFUNCTION("QUERY('Volunteer Survey'!N663)"),"")</f>
        <v/>
      </c>
      <c r="AN664" s="175" t="str">
        <f ca="1">IFERROR(__xludf.DUMMYFUNCTION("QUERY('Volunteer Survey'!O663)"),"")</f>
        <v/>
      </c>
      <c r="AO664" s="175" t="str">
        <f ca="1">IFERROR(__xludf.DUMMYFUNCTION("QUERY('Volunteer Survey'!P663)"),"")</f>
        <v/>
      </c>
    </row>
    <row r="665" spans="1:41" ht="14">
      <c r="A665" s="49"/>
      <c r="B665" s="49"/>
      <c r="C665" s="47"/>
      <c r="D665" s="49"/>
      <c r="E665" s="49"/>
      <c r="F665" s="49" t="b">
        <v>0</v>
      </c>
      <c r="G665" s="49"/>
      <c r="H665" s="47"/>
      <c r="I665" s="47"/>
      <c r="J665" s="49"/>
      <c r="K665" s="49"/>
      <c r="L665" s="49"/>
      <c r="M665" s="49"/>
      <c r="N665" s="49"/>
      <c r="O665" s="49" t="b">
        <v>0</v>
      </c>
      <c r="P665" s="49"/>
      <c r="Q665" s="49"/>
      <c r="R665" s="49"/>
      <c r="S665" s="49"/>
      <c r="T665" s="49"/>
      <c r="U665" s="58"/>
      <c r="V665" s="49"/>
      <c r="W665" s="58"/>
      <c r="X665" s="49"/>
      <c r="Y665" s="47"/>
      <c r="Z665" s="175" t="str">
        <f ca="1">IFERROR(__xludf.DUMMYFUNCTION("QUERY('Volunteer Survey'!A664)"),"")</f>
        <v/>
      </c>
      <c r="AA665" s="175" t="str">
        <f ca="1">IFERROR(__xludf.DUMMYFUNCTION("QUERY('Volunteer Survey'!B664)"),"")</f>
        <v/>
      </c>
      <c r="AB665" s="175" t="str">
        <f ca="1">IFERROR(__xludf.DUMMYFUNCTION("QUERY('Volunteer Survey'!C664)"),"")</f>
        <v/>
      </c>
      <c r="AC665" s="175" t="str">
        <f ca="1">IFERROR(__xludf.DUMMYFUNCTION("QUERY('Volunteer Survey'!D664)"),"")</f>
        <v/>
      </c>
      <c r="AD665" s="175" t="str">
        <f ca="1">IFERROR(__xludf.DUMMYFUNCTION("QUERY('Volunteer Survey'!E664)"),"")</f>
        <v/>
      </c>
      <c r="AE665" s="175" t="str">
        <f ca="1">IFERROR(__xludf.DUMMYFUNCTION("QUERY('Volunteer Survey'!F664)"),"")</f>
        <v/>
      </c>
      <c r="AF665" s="175" t="str">
        <f ca="1">IFERROR(__xludf.DUMMYFUNCTION("QUERY('Volunteer Survey'!G664)"),"")</f>
        <v/>
      </c>
      <c r="AG665" s="175" t="str">
        <f ca="1">IFERROR(__xludf.DUMMYFUNCTION("QUERY('Volunteer Survey'!H664)"),"")</f>
        <v/>
      </c>
      <c r="AH665" s="175" t="str">
        <f ca="1">IFERROR(__xludf.DUMMYFUNCTION("QUERY('Volunteer Survey'!I664)"),"")</f>
        <v/>
      </c>
      <c r="AI665" s="175" t="str">
        <f ca="1">IFERROR(__xludf.DUMMYFUNCTION("QUERY('Volunteer Survey'!J664)"),"")</f>
        <v/>
      </c>
      <c r="AJ665" s="175" t="str">
        <f ca="1">IFERROR(__xludf.DUMMYFUNCTION("QUERY('Volunteer Survey'!K664)"),"")</f>
        <v/>
      </c>
      <c r="AK665" s="175" t="str">
        <f ca="1">IFERROR(__xludf.DUMMYFUNCTION("QUERY('Volunteer Survey'!L664)"),"")</f>
        <v/>
      </c>
      <c r="AL665" s="175" t="str">
        <f ca="1">IFERROR(__xludf.DUMMYFUNCTION("QUERY('Volunteer Survey'!M664)"),"")</f>
        <v/>
      </c>
      <c r="AM665" s="175" t="str">
        <f ca="1">IFERROR(__xludf.DUMMYFUNCTION("QUERY('Volunteer Survey'!N664)"),"")</f>
        <v/>
      </c>
      <c r="AN665" s="175" t="str">
        <f ca="1">IFERROR(__xludf.DUMMYFUNCTION("QUERY('Volunteer Survey'!O664)"),"")</f>
        <v/>
      </c>
      <c r="AO665" s="175" t="str">
        <f ca="1">IFERROR(__xludf.DUMMYFUNCTION("QUERY('Volunteer Survey'!P664)"),"")</f>
        <v/>
      </c>
    </row>
    <row r="666" spans="1:41" ht="14">
      <c r="A666" s="49"/>
      <c r="B666" s="49"/>
      <c r="C666" s="47"/>
      <c r="D666" s="49"/>
      <c r="E666" s="49"/>
      <c r="F666" s="49" t="b">
        <v>0</v>
      </c>
      <c r="G666" s="49"/>
      <c r="H666" s="47"/>
      <c r="I666" s="47"/>
      <c r="J666" s="49"/>
      <c r="K666" s="49"/>
      <c r="L666" s="49"/>
      <c r="M666" s="49"/>
      <c r="N666" s="49"/>
      <c r="O666" s="49" t="b">
        <v>0</v>
      </c>
      <c r="P666" s="49"/>
      <c r="Q666" s="49"/>
      <c r="R666" s="49"/>
      <c r="S666" s="49"/>
      <c r="T666" s="49"/>
      <c r="U666" s="58"/>
      <c r="V666" s="49"/>
      <c r="W666" s="58"/>
      <c r="X666" s="49"/>
      <c r="Y666" s="47"/>
      <c r="Z666" s="175" t="str">
        <f ca="1">IFERROR(__xludf.DUMMYFUNCTION("QUERY('Volunteer Survey'!A665)"),"")</f>
        <v/>
      </c>
      <c r="AA666" s="175" t="str">
        <f ca="1">IFERROR(__xludf.DUMMYFUNCTION("QUERY('Volunteer Survey'!B665)"),"")</f>
        <v/>
      </c>
      <c r="AB666" s="175" t="str">
        <f ca="1">IFERROR(__xludf.DUMMYFUNCTION("QUERY('Volunteer Survey'!C665)"),"")</f>
        <v/>
      </c>
      <c r="AC666" s="175" t="str">
        <f ca="1">IFERROR(__xludf.DUMMYFUNCTION("QUERY('Volunteer Survey'!D665)"),"")</f>
        <v/>
      </c>
      <c r="AD666" s="175" t="str">
        <f ca="1">IFERROR(__xludf.DUMMYFUNCTION("QUERY('Volunteer Survey'!E665)"),"")</f>
        <v/>
      </c>
      <c r="AE666" s="175" t="str">
        <f ca="1">IFERROR(__xludf.DUMMYFUNCTION("QUERY('Volunteer Survey'!F665)"),"")</f>
        <v/>
      </c>
      <c r="AF666" s="175" t="str">
        <f ca="1">IFERROR(__xludf.DUMMYFUNCTION("QUERY('Volunteer Survey'!G665)"),"")</f>
        <v/>
      </c>
      <c r="AG666" s="175" t="str">
        <f ca="1">IFERROR(__xludf.DUMMYFUNCTION("QUERY('Volunteer Survey'!H665)"),"")</f>
        <v/>
      </c>
      <c r="AH666" s="175" t="str">
        <f ca="1">IFERROR(__xludf.DUMMYFUNCTION("QUERY('Volunteer Survey'!I665)"),"")</f>
        <v/>
      </c>
      <c r="AI666" s="175" t="str">
        <f ca="1">IFERROR(__xludf.DUMMYFUNCTION("QUERY('Volunteer Survey'!J665)"),"")</f>
        <v/>
      </c>
      <c r="AJ666" s="175" t="str">
        <f ca="1">IFERROR(__xludf.DUMMYFUNCTION("QUERY('Volunteer Survey'!K665)"),"")</f>
        <v/>
      </c>
      <c r="AK666" s="175" t="str">
        <f ca="1">IFERROR(__xludf.DUMMYFUNCTION("QUERY('Volunteer Survey'!L665)"),"")</f>
        <v/>
      </c>
      <c r="AL666" s="175" t="str">
        <f ca="1">IFERROR(__xludf.DUMMYFUNCTION("QUERY('Volunteer Survey'!M665)"),"")</f>
        <v/>
      </c>
      <c r="AM666" s="175" t="str">
        <f ca="1">IFERROR(__xludf.DUMMYFUNCTION("QUERY('Volunteer Survey'!N665)"),"")</f>
        <v/>
      </c>
      <c r="AN666" s="175" t="str">
        <f ca="1">IFERROR(__xludf.DUMMYFUNCTION("QUERY('Volunteer Survey'!O665)"),"")</f>
        <v/>
      </c>
      <c r="AO666" s="175" t="str">
        <f ca="1">IFERROR(__xludf.DUMMYFUNCTION("QUERY('Volunteer Survey'!P665)"),"")</f>
        <v/>
      </c>
    </row>
    <row r="667" spans="1:41" ht="14">
      <c r="A667" s="49"/>
      <c r="B667" s="49"/>
      <c r="C667" s="47"/>
      <c r="D667" s="49"/>
      <c r="E667" s="49"/>
      <c r="F667" s="49" t="b">
        <v>0</v>
      </c>
      <c r="G667" s="49"/>
      <c r="H667" s="47"/>
      <c r="I667" s="47"/>
      <c r="J667" s="49"/>
      <c r="K667" s="49"/>
      <c r="L667" s="49"/>
      <c r="M667" s="49"/>
      <c r="N667" s="49"/>
      <c r="O667" s="49" t="b">
        <v>0</v>
      </c>
      <c r="P667" s="49"/>
      <c r="Q667" s="49"/>
      <c r="R667" s="49"/>
      <c r="S667" s="49"/>
      <c r="T667" s="49"/>
      <c r="U667" s="58"/>
      <c r="V667" s="49"/>
      <c r="W667" s="58"/>
      <c r="X667" s="49"/>
      <c r="Y667" s="47"/>
      <c r="Z667" s="175" t="str">
        <f ca="1">IFERROR(__xludf.DUMMYFUNCTION("QUERY('Volunteer Survey'!A666)"),"")</f>
        <v/>
      </c>
      <c r="AA667" s="175" t="str">
        <f ca="1">IFERROR(__xludf.DUMMYFUNCTION("QUERY('Volunteer Survey'!B666)"),"")</f>
        <v/>
      </c>
      <c r="AB667" s="175" t="str">
        <f ca="1">IFERROR(__xludf.DUMMYFUNCTION("QUERY('Volunteer Survey'!C666)"),"")</f>
        <v/>
      </c>
      <c r="AC667" s="175" t="str">
        <f ca="1">IFERROR(__xludf.DUMMYFUNCTION("QUERY('Volunteer Survey'!D666)"),"")</f>
        <v/>
      </c>
      <c r="AD667" s="175" t="str">
        <f ca="1">IFERROR(__xludf.DUMMYFUNCTION("QUERY('Volunteer Survey'!E666)"),"")</f>
        <v/>
      </c>
      <c r="AE667" s="175" t="str">
        <f ca="1">IFERROR(__xludf.DUMMYFUNCTION("QUERY('Volunteer Survey'!F666)"),"")</f>
        <v/>
      </c>
      <c r="AF667" s="175" t="str">
        <f ca="1">IFERROR(__xludf.DUMMYFUNCTION("QUERY('Volunteer Survey'!G666)"),"")</f>
        <v/>
      </c>
      <c r="AG667" s="175" t="str">
        <f ca="1">IFERROR(__xludf.DUMMYFUNCTION("QUERY('Volunteer Survey'!H666)"),"")</f>
        <v/>
      </c>
      <c r="AH667" s="175" t="str">
        <f ca="1">IFERROR(__xludf.DUMMYFUNCTION("QUERY('Volunteer Survey'!I666)"),"")</f>
        <v/>
      </c>
      <c r="AI667" s="175" t="str">
        <f ca="1">IFERROR(__xludf.DUMMYFUNCTION("QUERY('Volunteer Survey'!J666)"),"")</f>
        <v/>
      </c>
      <c r="AJ667" s="175" t="str">
        <f ca="1">IFERROR(__xludf.DUMMYFUNCTION("QUERY('Volunteer Survey'!K666)"),"")</f>
        <v/>
      </c>
      <c r="AK667" s="175" t="str">
        <f ca="1">IFERROR(__xludf.DUMMYFUNCTION("QUERY('Volunteer Survey'!L666)"),"")</f>
        <v/>
      </c>
      <c r="AL667" s="175" t="str">
        <f ca="1">IFERROR(__xludf.DUMMYFUNCTION("QUERY('Volunteer Survey'!M666)"),"")</f>
        <v/>
      </c>
      <c r="AM667" s="175" t="str">
        <f ca="1">IFERROR(__xludf.DUMMYFUNCTION("QUERY('Volunteer Survey'!N666)"),"")</f>
        <v/>
      </c>
      <c r="AN667" s="175" t="str">
        <f ca="1">IFERROR(__xludf.DUMMYFUNCTION("QUERY('Volunteer Survey'!O666)"),"")</f>
        <v/>
      </c>
      <c r="AO667" s="175" t="str">
        <f ca="1">IFERROR(__xludf.DUMMYFUNCTION("QUERY('Volunteer Survey'!P666)"),"")</f>
        <v/>
      </c>
    </row>
    <row r="668" spans="1:41" ht="14">
      <c r="A668" s="49"/>
      <c r="B668" s="49"/>
      <c r="C668" s="47"/>
      <c r="D668" s="49"/>
      <c r="E668" s="49"/>
      <c r="F668" s="49" t="b">
        <v>0</v>
      </c>
      <c r="G668" s="49"/>
      <c r="H668" s="47"/>
      <c r="I668" s="47"/>
      <c r="J668" s="49"/>
      <c r="K668" s="49"/>
      <c r="L668" s="49"/>
      <c r="M668" s="49"/>
      <c r="N668" s="49"/>
      <c r="O668" s="49" t="b">
        <v>0</v>
      </c>
      <c r="P668" s="49"/>
      <c r="Q668" s="49"/>
      <c r="R668" s="49"/>
      <c r="S668" s="49"/>
      <c r="T668" s="49"/>
      <c r="U668" s="58"/>
      <c r="V668" s="49"/>
      <c r="W668" s="58"/>
      <c r="X668" s="49"/>
      <c r="Y668" s="47"/>
      <c r="Z668" s="175" t="str">
        <f ca="1">IFERROR(__xludf.DUMMYFUNCTION("QUERY('Volunteer Survey'!A667)"),"")</f>
        <v/>
      </c>
      <c r="AA668" s="175" t="str">
        <f ca="1">IFERROR(__xludf.DUMMYFUNCTION("QUERY('Volunteer Survey'!B667)"),"")</f>
        <v/>
      </c>
      <c r="AB668" s="175" t="str">
        <f ca="1">IFERROR(__xludf.DUMMYFUNCTION("QUERY('Volunteer Survey'!C667)"),"")</f>
        <v/>
      </c>
      <c r="AC668" s="175" t="str">
        <f ca="1">IFERROR(__xludf.DUMMYFUNCTION("QUERY('Volunteer Survey'!D667)"),"")</f>
        <v/>
      </c>
      <c r="AD668" s="175" t="str">
        <f ca="1">IFERROR(__xludf.DUMMYFUNCTION("QUERY('Volunteer Survey'!E667)"),"")</f>
        <v/>
      </c>
      <c r="AE668" s="175" t="str">
        <f ca="1">IFERROR(__xludf.DUMMYFUNCTION("QUERY('Volunteer Survey'!F667)"),"")</f>
        <v/>
      </c>
      <c r="AF668" s="175" t="str">
        <f ca="1">IFERROR(__xludf.DUMMYFUNCTION("QUERY('Volunteer Survey'!G667)"),"")</f>
        <v/>
      </c>
      <c r="AG668" s="175" t="str">
        <f ca="1">IFERROR(__xludf.DUMMYFUNCTION("QUERY('Volunteer Survey'!H667)"),"")</f>
        <v/>
      </c>
      <c r="AH668" s="175" t="str">
        <f ca="1">IFERROR(__xludf.DUMMYFUNCTION("QUERY('Volunteer Survey'!I667)"),"")</f>
        <v/>
      </c>
      <c r="AI668" s="175" t="str">
        <f ca="1">IFERROR(__xludf.DUMMYFUNCTION("QUERY('Volunteer Survey'!J667)"),"")</f>
        <v/>
      </c>
      <c r="AJ668" s="175" t="str">
        <f ca="1">IFERROR(__xludf.DUMMYFUNCTION("QUERY('Volunteer Survey'!K667)"),"")</f>
        <v/>
      </c>
      <c r="AK668" s="175" t="str">
        <f ca="1">IFERROR(__xludf.DUMMYFUNCTION("QUERY('Volunteer Survey'!L667)"),"")</f>
        <v/>
      </c>
      <c r="AL668" s="175" t="str">
        <f ca="1">IFERROR(__xludf.DUMMYFUNCTION("QUERY('Volunteer Survey'!M667)"),"")</f>
        <v/>
      </c>
      <c r="AM668" s="175" t="str">
        <f ca="1">IFERROR(__xludf.DUMMYFUNCTION("QUERY('Volunteer Survey'!N667)"),"")</f>
        <v/>
      </c>
      <c r="AN668" s="175" t="str">
        <f ca="1">IFERROR(__xludf.DUMMYFUNCTION("QUERY('Volunteer Survey'!O667)"),"")</f>
        <v/>
      </c>
      <c r="AO668" s="175" t="str">
        <f ca="1">IFERROR(__xludf.DUMMYFUNCTION("QUERY('Volunteer Survey'!P667)"),"")</f>
        <v/>
      </c>
    </row>
    <row r="669" spans="1:41" ht="14">
      <c r="A669" s="49"/>
      <c r="B669" s="49"/>
      <c r="C669" s="47"/>
      <c r="D669" s="49"/>
      <c r="E669" s="49"/>
      <c r="F669" s="49" t="b">
        <v>0</v>
      </c>
      <c r="G669" s="49"/>
      <c r="H669" s="47"/>
      <c r="I669" s="47"/>
      <c r="J669" s="49"/>
      <c r="K669" s="49"/>
      <c r="L669" s="49"/>
      <c r="M669" s="49"/>
      <c r="N669" s="49"/>
      <c r="O669" s="49" t="b">
        <v>0</v>
      </c>
      <c r="P669" s="49"/>
      <c r="Q669" s="49"/>
      <c r="R669" s="49"/>
      <c r="S669" s="49"/>
      <c r="T669" s="49"/>
      <c r="U669" s="58"/>
      <c r="V669" s="49"/>
      <c r="W669" s="58"/>
      <c r="X669" s="49"/>
      <c r="Y669" s="47"/>
      <c r="Z669" s="175" t="str">
        <f ca="1">IFERROR(__xludf.DUMMYFUNCTION("QUERY('Volunteer Survey'!A668)"),"")</f>
        <v/>
      </c>
      <c r="AA669" s="175" t="str">
        <f ca="1">IFERROR(__xludf.DUMMYFUNCTION("QUERY('Volunteer Survey'!B668)"),"")</f>
        <v/>
      </c>
      <c r="AB669" s="175" t="str">
        <f ca="1">IFERROR(__xludf.DUMMYFUNCTION("QUERY('Volunteer Survey'!C668)"),"")</f>
        <v/>
      </c>
      <c r="AC669" s="175" t="str">
        <f ca="1">IFERROR(__xludf.DUMMYFUNCTION("QUERY('Volunteer Survey'!D668)"),"")</f>
        <v/>
      </c>
      <c r="AD669" s="175" t="str">
        <f ca="1">IFERROR(__xludf.DUMMYFUNCTION("QUERY('Volunteer Survey'!E668)"),"")</f>
        <v/>
      </c>
      <c r="AE669" s="175" t="str">
        <f ca="1">IFERROR(__xludf.DUMMYFUNCTION("QUERY('Volunteer Survey'!F668)"),"")</f>
        <v/>
      </c>
      <c r="AF669" s="175" t="str">
        <f ca="1">IFERROR(__xludf.DUMMYFUNCTION("QUERY('Volunteer Survey'!G668)"),"")</f>
        <v/>
      </c>
      <c r="AG669" s="175" t="str">
        <f ca="1">IFERROR(__xludf.DUMMYFUNCTION("QUERY('Volunteer Survey'!H668)"),"")</f>
        <v/>
      </c>
      <c r="AH669" s="175" t="str">
        <f ca="1">IFERROR(__xludf.DUMMYFUNCTION("QUERY('Volunteer Survey'!I668)"),"")</f>
        <v/>
      </c>
      <c r="AI669" s="175" t="str">
        <f ca="1">IFERROR(__xludf.DUMMYFUNCTION("QUERY('Volunteer Survey'!J668)"),"")</f>
        <v/>
      </c>
      <c r="AJ669" s="175" t="str">
        <f ca="1">IFERROR(__xludf.DUMMYFUNCTION("QUERY('Volunteer Survey'!K668)"),"")</f>
        <v/>
      </c>
      <c r="AK669" s="175" t="str">
        <f ca="1">IFERROR(__xludf.DUMMYFUNCTION("QUERY('Volunteer Survey'!L668)"),"")</f>
        <v/>
      </c>
      <c r="AL669" s="175" t="str">
        <f ca="1">IFERROR(__xludf.DUMMYFUNCTION("QUERY('Volunteer Survey'!M668)"),"")</f>
        <v/>
      </c>
      <c r="AM669" s="175" t="str">
        <f ca="1">IFERROR(__xludf.DUMMYFUNCTION("QUERY('Volunteer Survey'!N668)"),"")</f>
        <v/>
      </c>
      <c r="AN669" s="175" t="str">
        <f ca="1">IFERROR(__xludf.DUMMYFUNCTION("QUERY('Volunteer Survey'!O668)"),"")</f>
        <v/>
      </c>
      <c r="AO669" s="175" t="str">
        <f ca="1">IFERROR(__xludf.DUMMYFUNCTION("QUERY('Volunteer Survey'!P668)"),"")</f>
        <v/>
      </c>
    </row>
    <row r="670" spans="1:41" ht="14">
      <c r="A670" s="49"/>
      <c r="B670" s="49"/>
      <c r="C670" s="47"/>
      <c r="D670" s="49"/>
      <c r="E670" s="49"/>
      <c r="F670" s="49" t="b">
        <v>0</v>
      </c>
      <c r="G670" s="49"/>
      <c r="H670" s="47"/>
      <c r="I670" s="47"/>
      <c r="J670" s="49"/>
      <c r="K670" s="49"/>
      <c r="L670" s="49"/>
      <c r="M670" s="49"/>
      <c r="N670" s="49"/>
      <c r="O670" s="49" t="b">
        <v>0</v>
      </c>
      <c r="P670" s="49"/>
      <c r="Q670" s="49"/>
      <c r="R670" s="49"/>
      <c r="S670" s="49"/>
      <c r="T670" s="49"/>
      <c r="U670" s="58"/>
      <c r="V670" s="49"/>
      <c r="W670" s="58"/>
      <c r="X670" s="49"/>
      <c r="Y670" s="47"/>
      <c r="Z670" s="175" t="str">
        <f ca="1">IFERROR(__xludf.DUMMYFUNCTION("QUERY('Volunteer Survey'!A669)"),"")</f>
        <v/>
      </c>
      <c r="AA670" s="175" t="str">
        <f ca="1">IFERROR(__xludf.DUMMYFUNCTION("QUERY('Volunteer Survey'!B669)"),"")</f>
        <v/>
      </c>
      <c r="AB670" s="175" t="str">
        <f ca="1">IFERROR(__xludf.DUMMYFUNCTION("QUERY('Volunteer Survey'!C669)"),"")</f>
        <v/>
      </c>
      <c r="AC670" s="175" t="str">
        <f ca="1">IFERROR(__xludf.DUMMYFUNCTION("QUERY('Volunteer Survey'!D669)"),"")</f>
        <v/>
      </c>
      <c r="AD670" s="175" t="str">
        <f ca="1">IFERROR(__xludf.DUMMYFUNCTION("QUERY('Volunteer Survey'!E669)"),"")</f>
        <v/>
      </c>
      <c r="AE670" s="175" t="str">
        <f ca="1">IFERROR(__xludf.DUMMYFUNCTION("QUERY('Volunteer Survey'!F669)"),"")</f>
        <v/>
      </c>
      <c r="AF670" s="175" t="str">
        <f ca="1">IFERROR(__xludf.DUMMYFUNCTION("QUERY('Volunteer Survey'!G669)"),"")</f>
        <v/>
      </c>
      <c r="AG670" s="175" t="str">
        <f ca="1">IFERROR(__xludf.DUMMYFUNCTION("QUERY('Volunteer Survey'!H669)"),"")</f>
        <v/>
      </c>
      <c r="AH670" s="175" t="str">
        <f ca="1">IFERROR(__xludf.DUMMYFUNCTION("QUERY('Volunteer Survey'!I669)"),"")</f>
        <v/>
      </c>
      <c r="AI670" s="175" t="str">
        <f ca="1">IFERROR(__xludf.DUMMYFUNCTION("QUERY('Volunteer Survey'!J669)"),"")</f>
        <v/>
      </c>
      <c r="AJ670" s="175" t="str">
        <f ca="1">IFERROR(__xludf.DUMMYFUNCTION("QUERY('Volunteer Survey'!K669)"),"")</f>
        <v/>
      </c>
      <c r="AK670" s="175" t="str">
        <f ca="1">IFERROR(__xludf.DUMMYFUNCTION("QUERY('Volunteer Survey'!L669)"),"")</f>
        <v/>
      </c>
      <c r="AL670" s="175" t="str">
        <f ca="1">IFERROR(__xludf.DUMMYFUNCTION("QUERY('Volunteer Survey'!M669)"),"")</f>
        <v/>
      </c>
      <c r="AM670" s="175" t="str">
        <f ca="1">IFERROR(__xludf.DUMMYFUNCTION("QUERY('Volunteer Survey'!N669)"),"")</f>
        <v/>
      </c>
      <c r="AN670" s="175" t="str">
        <f ca="1">IFERROR(__xludf.DUMMYFUNCTION("QUERY('Volunteer Survey'!O669)"),"")</f>
        <v/>
      </c>
      <c r="AO670" s="175" t="str">
        <f ca="1">IFERROR(__xludf.DUMMYFUNCTION("QUERY('Volunteer Survey'!P669)"),"")</f>
        <v/>
      </c>
    </row>
    <row r="671" spans="1:41" ht="14">
      <c r="A671" s="49"/>
      <c r="B671" s="49"/>
      <c r="C671" s="47"/>
      <c r="D671" s="49"/>
      <c r="E671" s="49"/>
      <c r="F671" s="49" t="b">
        <v>0</v>
      </c>
      <c r="G671" s="49"/>
      <c r="H671" s="47"/>
      <c r="I671" s="47"/>
      <c r="J671" s="49"/>
      <c r="K671" s="49"/>
      <c r="L671" s="49"/>
      <c r="M671" s="49"/>
      <c r="N671" s="49"/>
      <c r="O671" s="49" t="b">
        <v>0</v>
      </c>
      <c r="P671" s="49"/>
      <c r="Q671" s="49"/>
      <c r="R671" s="49"/>
      <c r="S671" s="49"/>
      <c r="T671" s="49"/>
      <c r="U671" s="58"/>
      <c r="V671" s="49"/>
      <c r="W671" s="58"/>
      <c r="X671" s="49"/>
      <c r="Y671" s="47"/>
      <c r="Z671" s="175" t="str">
        <f ca="1">IFERROR(__xludf.DUMMYFUNCTION("QUERY('Volunteer Survey'!A670)"),"")</f>
        <v/>
      </c>
      <c r="AA671" s="175" t="str">
        <f ca="1">IFERROR(__xludf.DUMMYFUNCTION("QUERY('Volunteer Survey'!B670)"),"")</f>
        <v/>
      </c>
      <c r="AB671" s="175" t="str">
        <f ca="1">IFERROR(__xludf.DUMMYFUNCTION("QUERY('Volunteer Survey'!C670)"),"")</f>
        <v/>
      </c>
      <c r="AC671" s="175" t="str">
        <f ca="1">IFERROR(__xludf.DUMMYFUNCTION("QUERY('Volunteer Survey'!D670)"),"")</f>
        <v/>
      </c>
      <c r="AD671" s="175" t="str">
        <f ca="1">IFERROR(__xludf.DUMMYFUNCTION("QUERY('Volunteer Survey'!E670)"),"")</f>
        <v/>
      </c>
      <c r="AE671" s="175" t="str">
        <f ca="1">IFERROR(__xludf.DUMMYFUNCTION("QUERY('Volunteer Survey'!F670)"),"")</f>
        <v/>
      </c>
      <c r="AF671" s="175" t="str">
        <f ca="1">IFERROR(__xludf.DUMMYFUNCTION("QUERY('Volunteer Survey'!G670)"),"")</f>
        <v/>
      </c>
      <c r="AG671" s="175" t="str">
        <f ca="1">IFERROR(__xludf.DUMMYFUNCTION("QUERY('Volunteer Survey'!H670)"),"")</f>
        <v/>
      </c>
      <c r="AH671" s="175" t="str">
        <f ca="1">IFERROR(__xludf.DUMMYFUNCTION("QUERY('Volunteer Survey'!I670)"),"")</f>
        <v/>
      </c>
      <c r="AI671" s="175" t="str">
        <f ca="1">IFERROR(__xludf.DUMMYFUNCTION("QUERY('Volunteer Survey'!J670)"),"")</f>
        <v/>
      </c>
      <c r="AJ671" s="175" t="str">
        <f ca="1">IFERROR(__xludf.DUMMYFUNCTION("QUERY('Volunteer Survey'!K670)"),"")</f>
        <v/>
      </c>
      <c r="AK671" s="175" t="str">
        <f ca="1">IFERROR(__xludf.DUMMYFUNCTION("QUERY('Volunteer Survey'!L670)"),"")</f>
        <v/>
      </c>
      <c r="AL671" s="175" t="str">
        <f ca="1">IFERROR(__xludf.DUMMYFUNCTION("QUERY('Volunteer Survey'!M670)"),"")</f>
        <v/>
      </c>
      <c r="AM671" s="175" t="str">
        <f ca="1">IFERROR(__xludf.DUMMYFUNCTION("QUERY('Volunteer Survey'!N670)"),"")</f>
        <v/>
      </c>
      <c r="AN671" s="175" t="str">
        <f ca="1">IFERROR(__xludf.DUMMYFUNCTION("QUERY('Volunteer Survey'!O670)"),"")</f>
        <v/>
      </c>
      <c r="AO671" s="175" t="str">
        <f ca="1">IFERROR(__xludf.DUMMYFUNCTION("QUERY('Volunteer Survey'!P670)"),"")</f>
        <v/>
      </c>
    </row>
    <row r="672" spans="1:41" ht="14">
      <c r="A672" s="49"/>
      <c r="B672" s="49"/>
      <c r="C672" s="47"/>
      <c r="D672" s="49"/>
      <c r="E672" s="49"/>
      <c r="F672" s="49" t="b">
        <v>0</v>
      </c>
      <c r="G672" s="49"/>
      <c r="H672" s="47"/>
      <c r="I672" s="47"/>
      <c r="J672" s="49"/>
      <c r="K672" s="49"/>
      <c r="L672" s="49"/>
      <c r="M672" s="49"/>
      <c r="N672" s="49"/>
      <c r="O672" s="49" t="b">
        <v>0</v>
      </c>
      <c r="P672" s="49"/>
      <c r="Q672" s="49"/>
      <c r="R672" s="49"/>
      <c r="S672" s="49"/>
      <c r="T672" s="49"/>
      <c r="U672" s="58"/>
      <c r="V672" s="49"/>
      <c r="W672" s="58"/>
      <c r="X672" s="49"/>
      <c r="Y672" s="47"/>
      <c r="Z672" s="175" t="str">
        <f ca="1">IFERROR(__xludf.DUMMYFUNCTION("QUERY('Volunteer Survey'!A671)"),"")</f>
        <v/>
      </c>
      <c r="AA672" s="175" t="str">
        <f ca="1">IFERROR(__xludf.DUMMYFUNCTION("QUERY('Volunteer Survey'!B671)"),"")</f>
        <v/>
      </c>
      <c r="AB672" s="175" t="str">
        <f ca="1">IFERROR(__xludf.DUMMYFUNCTION("QUERY('Volunteer Survey'!C671)"),"")</f>
        <v/>
      </c>
      <c r="AC672" s="175" t="str">
        <f ca="1">IFERROR(__xludf.DUMMYFUNCTION("QUERY('Volunteer Survey'!D671)"),"")</f>
        <v/>
      </c>
      <c r="AD672" s="175" t="str">
        <f ca="1">IFERROR(__xludf.DUMMYFUNCTION("QUERY('Volunteer Survey'!E671)"),"")</f>
        <v/>
      </c>
      <c r="AE672" s="175" t="str">
        <f ca="1">IFERROR(__xludf.DUMMYFUNCTION("QUERY('Volunteer Survey'!F671)"),"")</f>
        <v/>
      </c>
      <c r="AF672" s="175" t="str">
        <f ca="1">IFERROR(__xludf.DUMMYFUNCTION("QUERY('Volunteer Survey'!G671)"),"")</f>
        <v/>
      </c>
      <c r="AG672" s="175" t="str">
        <f ca="1">IFERROR(__xludf.DUMMYFUNCTION("QUERY('Volunteer Survey'!H671)"),"")</f>
        <v/>
      </c>
      <c r="AH672" s="175" t="str">
        <f ca="1">IFERROR(__xludf.DUMMYFUNCTION("QUERY('Volunteer Survey'!I671)"),"")</f>
        <v/>
      </c>
      <c r="AI672" s="175" t="str">
        <f ca="1">IFERROR(__xludf.DUMMYFUNCTION("QUERY('Volunteer Survey'!J671)"),"")</f>
        <v/>
      </c>
      <c r="AJ672" s="175" t="str">
        <f ca="1">IFERROR(__xludf.DUMMYFUNCTION("QUERY('Volunteer Survey'!K671)"),"")</f>
        <v/>
      </c>
      <c r="AK672" s="175" t="str">
        <f ca="1">IFERROR(__xludf.DUMMYFUNCTION("QUERY('Volunteer Survey'!L671)"),"")</f>
        <v/>
      </c>
      <c r="AL672" s="175" t="str">
        <f ca="1">IFERROR(__xludf.DUMMYFUNCTION("QUERY('Volunteer Survey'!M671)"),"")</f>
        <v/>
      </c>
      <c r="AM672" s="175" t="str">
        <f ca="1">IFERROR(__xludf.DUMMYFUNCTION("QUERY('Volunteer Survey'!N671)"),"")</f>
        <v/>
      </c>
      <c r="AN672" s="175" t="str">
        <f ca="1">IFERROR(__xludf.DUMMYFUNCTION("QUERY('Volunteer Survey'!O671)"),"")</f>
        <v/>
      </c>
      <c r="AO672" s="175" t="str">
        <f ca="1">IFERROR(__xludf.DUMMYFUNCTION("QUERY('Volunteer Survey'!P671)"),"")</f>
        <v/>
      </c>
    </row>
    <row r="673" spans="1:41" ht="14">
      <c r="A673" s="49"/>
      <c r="B673" s="49"/>
      <c r="C673" s="47"/>
      <c r="D673" s="49"/>
      <c r="E673" s="49"/>
      <c r="F673" s="49" t="b">
        <v>0</v>
      </c>
      <c r="G673" s="49"/>
      <c r="H673" s="47"/>
      <c r="I673" s="47"/>
      <c r="J673" s="49"/>
      <c r="K673" s="49"/>
      <c r="L673" s="49"/>
      <c r="M673" s="49"/>
      <c r="N673" s="49"/>
      <c r="O673" s="49" t="b">
        <v>0</v>
      </c>
      <c r="P673" s="49"/>
      <c r="Q673" s="49"/>
      <c r="R673" s="49"/>
      <c r="S673" s="49"/>
      <c r="T673" s="49"/>
      <c r="U673" s="58"/>
      <c r="V673" s="49"/>
      <c r="W673" s="58"/>
      <c r="X673" s="49"/>
      <c r="Y673" s="47"/>
      <c r="Z673" s="175" t="str">
        <f ca="1">IFERROR(__xludf.DUMMYFUNCTION("QUERY('Volunteer Survey'!A672)"),"")</f>
        <v/>
      </c>
      <c r="AA673" s="175" t="str">
        <f ca="1">IFERROR(__xludf.DUMMYFUNCTION("QUERY('Volunteer Survey'!B672)"),"")</f>
        <v/>
      </c>
      <c r="AB673" s="175" t="str">
        <f ca="1">IFERROR(__xludf.DUMMYFUNCTION("QUERY('Volunteer Survey'!C672)"),"")</f>
        <v/>
      </c>
      <c r="AC673" s="175" t="str">
        <f ca="1">IFERROR(__xludf.DUMMYFUNCTION("QUERY('Volunteer Survey'!D672)"),"")</f>
        <v/>
      </c>
      <c r="AD673" s="175" t="str">
        <f ca="1">IFERROR(__xludf.DUMMYFUNCTION("QUERY('Volunteer Survey'!E672)"),"")</f>
        <v/>
      </c>
      <c r="AE673" s="175" t="str">
        <f ca="1">IFERROR(__xludf.DUMMYFUNCTION("QUERY('Volunteer Survey'!F672)"),"")</f>
        <v/>
      </c>
      <c r="AF673" s="175" t="str">
        <f ca="1">IFERROR(__xludf.DUMMYFUNCTION("QUERY('Volunteer Survey'!G672)"),"")</f>
        <v/>
      </c>
      <c r="AG673" s="175" t="str">
        <f ca="1">IFERROR(__xludf.DUMMYFUNCTION("QUERY('Volunteer Survey'!H672)"),"")</f>
        <v/>
      </c>
      <c r="AH673" s="175" t="str">
        <f ca="1">IFERROR(__xludf.DUMMYFUNCTION("QUERY('Volunteer Survey'!I672)"),"")</f>
        <v/>
      </c>
      <c r="AI673" s="175" t="str">
        <f ca="1">IFERROR(__xludf.DUMMYFUNCTION("QUERY('Volunteer Survey'!J672)"),"")</f>
        <v/>
      </c>
      <c r="AJ673" s="175" t="str">
        <f ca="1">IFERROR(__xludf.DUMMYFUNCTION("QUERY('Volunteer Survey'!K672)"),"")</f>
        <v/>
      </c>
      <c r="AK673" s="175" t="str">
        <f ca="1">IFERROR(__xludf.DUMMYFUNCTION("QUERY('Volunteer Survey'!L672)"),"")</f>
        <v/>
      </c>
      <c r="AL673" s="175" t="str">
        <f ca="1">IFERROR(__xludf.DUMMYFUNCTION("QUERY('Volunteer Survey'!M672)"),"")</f>
        <v/>
      </c>
      <c r="AM673" s="175" t="str">
        <f ca="1">IFERROR(__xludf.DUMMYFUNCTION("QUERY('Volunteer Survey'!N672)"),"")</f>
        <v/>
      </c>
      <c r="AN673" s="175" t="str">
        <f ca="1">IFERROR(__xludf.DUMMYFUNCTION("QUERY('Volunteer Survey'!O672)"),"")</f>
        <v/>
      </c>
      <c r="AO673" s="175" t="str">
        <f ca="1">IFERROR(__xludf.DUMMYFUNCTION("QUERY('Volunteer Survey'!P672)"),"")</f>
        <v/>
      </c>
    </row>
    <row r="674" spans="1:41" ht="14">
      <c r="A674" s="49"/>
      <c r="B674" s="49"/>
      <c r="C674" s="47"/>
      <c r="D674" s="49"/>
      <c r="E674" s="49"/>
      <c r="F674" s="49" t="b">
        <v>0</v>
      </c>
      <c r="G674" s="49"/>
      <c r="H674" s="47"/>
      <c r="I674" s="47"/>
      <c r="J674" s="49"/>
      <c r="K674" s="49"/>
      <c r="L674" s="49"/>
      <c r="M674" s="49"/>
      <c r="N674" s="49"/>
      <c r="O674" s="49" t="b">
        <v>0</v>
      </c>
      <c r="P674" s="49"/>
      <c r="Q674" s="49"/>
      <c r="R674" s="49"/>
      <c r="S674" s="49"/>
      <c r="T674" s="49"/>
      <c r="U674" s="58"/>
      <c r="V674" s="49"/>
      <c r="W674" s="58"/>
      <c r="X674" s="49"/>
      <c r="Y674" s="47"/>
      <c r="Z674" s="175" t="str">
        <f ca="1">IFERROR(__xludf.DUMMYFUNCTION("QUERY('Volunteer Survey'!A673)"),"")</f>
        <v/>
      </c>
      <c r="AA674" s="175" t="str">
        <f ca="1">IFERROR(__xludf.DUMMYFUNCTION("QUERY('Volunteer Survey'!B673)"),"")</f>
        <v/>
      </c>
      <c r="AB674" s="175" t="str">
        <f ca="1">IFERROR(__xludf.DUMMYFUNCTION("QUERY('Volunteer Survey'!C673)"),"")</f>
        <v/>
      </c>
      <c r="AC674" s="175" t="str">
        <f ca="1">IFERROR(__xludf.DUMMYFUNCTION("QUERY('Volunteer Survey'!D673)"),"")</f>
        <v/>
      </c>
      <c r="AD674" s="175" t="str">
        <f ca="1">IFERROR(__xludf.DUMMYFUNCTION("QUERY('Volunteer Survey'!E673)"),"")</f>
        <v/>
      </c>
      <c r="AE674" s="175" t="str">
        <f ca="1">IFERROR(__xludf.DUMMYFUNCTION("QUERY('Volunteer Survey'!F673)"),"")</f>
        <v/>
      </c>
      <c r="AF674" s="175" t="str">
        <f ca="1">IFERROR(__xludf.DUMMYFUNCTION("QUERY('Volunteer Survey'!G673)"),"")</f>
        <v/>
      </c>
      <c r="AG674" s="175" t="str">
        <f ca="1">IFERROR(__xludf.DUMMYFUNCTION("QUERY('Volunteer Survey'!H673)"),"")</f>
        <v/>
      </c>
      <c r="AH674" s="175" t="str">
        <f ca="1">IFERROR(__xludf.DUMMYFUNCTION("QUERY('Volunteer Survey'!I673)"),"")</f>
        <v/>
      </c>
      <c r="AI674" s="175" t="str">
        <f ca="1">IFERROR(__xludf.DUMMYFUNCTION("QUERY('Volunteer Survey'!J673)"),"")</f>
        <v/>
      </c>
      <c r="AJ674" s="175" t="str">
        <f ca="1">IFERROR(__xludf.DUMMYFUNCTION("QUERY('Volunteer Survey'!K673)"),"")</f>
        <v/>
      </c>
      <c r="AK674" s="175" t="str">
        <f ca="1">IFERROR(__xludf.DUMMYFUNCTION("QUERY('Volunteer Survey'!L673)"),"")</f>
        <v/>
      </c>
      <c r="AL674" s="175" t="str">
        <f ca="1">IFERROR(__xludf.DUMMYFUNCTION("QUERY('Volunteer Survey'!M673)"),"")</f>
        <v/>
      </c>
      <c r="AM674" s="175" t="str">
        <f ca="1">IFERROR(__xludf.DUMMYFUNCTION("QUERY('Volunteer Survey'!N673)"),"")</f>
        <v/>
      </c>
      <c r="AN674" s="175" t="str">
        <f ca="1">IFERROR(__xludf.DUMMYFUNCTION("QUERY('Volunteer Survey'!O673)"),"")</f>
        <v/>
      </c>
      <c r="AO674" s="175" t="str">
        <f ca="1">IFERROR(__xludf.DUMMYFUNCTION("QUERY('Volunteer Survey'!P673)"),"")</f>
        <v/>
      </c>
    </row>
    <row r="675" spans="1:41" ht="14">
      <c r="A675" s="49"/>
      <c r="B675" s="49"/>
      <c r="C675" s="47"/>
      <c r="D675" s="49"/>
      <c r="E675" s="49"/>
      <c r="F675" s="49" t="b">
        <v>0</v>
      </c>
      <c r="G675" s="49"/>
      <c r="H675" s="47"/>
      <c r="I675" s="47"/>
      <c r="J675" s="49"/>
      <c r="K675" s="49"/>
      <c r="L675" s="49"/>
      <c r="M675" s="49"/>
      <c r="N675" s="49"/>
      <c r="O675" s="49" t="b">
        <v>0</v>
      </c>
      <c r="P675" s="49"/>
      <c r="Q675" s="49"/>
      <c r="R675" s="49"/>
      <c r="S675" s="49"/>
      <c r="T675" s="49"/>
      <c r="U675" s="58"/>
      <c r="V675" s="49"/>
      <c r="W675" s="58"/>
      <c r="X675" s="49"/>
      <c r="Y675" s="47"/>
      <c r="Z675" s="175" t="str">
        <f ca="1">IFERROR(__xludf.DUMMYFUNCTION("QUERY('Volunteer Survey'!A674)"),"")</f>
        <v/>
      </c>
      <c r="AA675" s="175" t="str">
        <f ca="1">IFERROR(__xludf.DUMMYFUNCTION("QUERY('Volunteer Survey'!B674)"),"")</f>
        <v/>
      </c>
      <c r="AB675" s="175" t="str">
        <f ca="1">IFERROR(__xludf.DUMMYFUNCTION("QUERY('Volunteer Survey'!C674)"),"")</f>
        <v/>
      </c>
      <c r="AC675" s="175" t="str">
        <f ca="1">IFERROR(__xludf.DUMMYFUNCTION("QUERY('Volunteer Survey'!D674)"),"")</f>
        <v/>
      </c>
      <c r="AD675" s="175" t="str">
        <f ca="1">IFERROR(__xludf.DUMMYFUNCTION("QUERY('Volunteer Survey'!E674)"),"")</f>
        <v/>
      </c>
      <c r="AE675" s="175" t="str">
        <f ca="1">IFERROR(__xludf.DUMMYFUNCTION("QUERY('Volunteer Survey'!F674)"),"")</f>
        <v/>
      </c>
      <c r="AF675" s="175" t="str">
        <f ca="1">IFERROR(__xludf.DUMMYFUNCTION("QUERY('Volunteer Survey'!G674)"),"")</f>
        <v/>
      </c>
      <c r="AG675" s="175" t="str">
        <f ca="1">IFERROR(__xludf.DUMMYFUNCTION("QUERY('Volunteer Survey'!H674)"),"")</f>
        <v/>
      </c>
      <c r="AH675" s="175" t="str">
        <f ca="1">IFERROR(__xludf.DUMMYFUNCTION("QUERY('Volunteer Survey'!I674)"),"")</f>
        <v/>
      </c>
      <c r="AI675" s="175" t="str">
        <f ca="1">IFERROR(__xludf.DUMMYFUNCTION("QUERY('Volunteer Survey'!J674)"),"")</f>
        <v/>
      </c>
      <c r="AJ675" s="175" t="str">
        <f ca="1">IFERROR(__xludf.DUMMYFUNCTION("QUERY('Volunteer Survey'!K674)"),"")</f>
        <v/>
      </c>
      <c r="AK675" s="175" t="str">
        <f ca="1">IFERROR(__xludf.DUMMYFUNCTION("QUERY('Volunteer Survey'!L674)"),"")</f>
        <v/>
      </c>
      <c r="AL675" s="175" t="str">
        <f ca="1">IFERROR(__xludf.DUMMYFUNCTION("QUERY('Volunteer Survey'!M674)"),"")</f>
        <v/>
      </c>
      <c r="AM675" s="175" t="str">
        <f ca="1">IFERROR(__xludf.DUMMYFUNCTION("QUERY('Volunteer Survey'!N674)"),"")</f>
        <v/>
      </c>
      <c r="AN675" s="175" t="str">
        <f ca="1">IFERROR(__xludf.DUMMYFUNCTION("QUERY('Volunteer Survey'!O674)"),"")</f>
        <v/>
      </c>
      <c r="AO675" s="175" t="str">
        <f ca="1">IFERROR(__xludf.DUMMYFUNCTION("QUERY('Volunteer Survey'!P674)"),"")</f>
        <v/>
      </c>
    </row>
    <row r="676" spans="1:41" ht="14">
      <c r="A676" s="49"/>
      <c r="B676" s="49"/>
      <c r="C676" s="47"/>
      <c r="D676" s="49"/>
      <c r="E676" s="49"/>
      <c r="F676" s="49" t="b">
        <v>0</v>
      </c>
      <c r="G676" s="49"/>
      <c r="H676" s="47"/>
      <c r="I676" s="47"/>
      <c r="J676" s="49"/>
      <c r="K676" s="49"/>
      <c r="L676" s="49"/>
      <c r="M676" s="49"/>
      <c r="N676" s="49"/>
      <c r="O676" s="49" t="b">
        <v>0</v>
      </c>
      <c r="P676" s="49"/>
      <c r="Q676" s="49"/>
      <c r="R676" s="49"/>
      <c r="S676" s="49"/>
      <c r="T676" s="49"/>
      <c r="U676" s="58"/>
      <c r="V676" s="49"/>
      <c r="W676" s="58"/>
      <c r="X676" s="49"/>
      <c r="Y676" s="47"/>
      <c r="Z676" s="175" t="str">
        <f ca="1">IFERROR(__xludf.DUMMYFUNCTION("QUERY('Volunteer Survey'!A675)"),"")</f>
        <v/>
      </c>
      <c r="AA676" s="175" t="str">
        <f ca="1">IFERROR(__xludf.DUMMYFUNCTION("QUERY('Volunteer Survey'!B675)"),"")</f>
        <v/>
      </c>
      <c r="AB676" s="175" t="str">
        <f ca="1">IFERROR(__xludf.DUMMYFUNCTION("QUERY('Volunteer Survey'!C675)"),"")</f>
        <v/>
      </c>
      <c r="AC676" s="175" t="str">
        <f ca="1">IFERROR(__xludf.DUMMYFUNCTION("QUERY('Volunteer Survey'!D675)"),"")</f>
        <v/>
      </c>
      <c r="AD676" s="175" t="str">
        <f ca="1">IFERROR(__xludf.DUMMYFUNCTION("QUERY('Volunteer Survey'!E675)"),"")</f>
        <v/>
      </c>
      <c r="AE676" s="175" t="str">
        <f ca="1">IFERROR(__xludf.DUMMYFUNCTION("QUERY('Volunteer Survey'!F675)"),"")</f>
        <v/>
      </c>
      <c r="AF676" s="175" t="str">
        <f ca="1">IFERROR(__xludf.DUMMYFUNCTION("QUERY('Volunteer Survey'!G675)"),"")</f>
        <v/>
      </c>
      <c r="AG676" s="175" t="str">
        <f ca="1">IFERROR(__xludf.DUMMYFUNCTION("QUERY('Volunteer Survey'!H675)"),"")</f>
        <v/>
      </c>
      <c r="AH676" s="175" t="str">
        <f ca="1">IFERROR(__xludf.DUMMYFUNCTION("QUERY('Volunteer Survey'!I675)"),"")</f>
        <v/>
      </c>
      <c r="AI676" s="175" t="str">
        <f ca="1">IFERROR(__xludf.DUMMYFUNCTION("QUERY('Volunteer Survey'!J675)"),"")</f>
        <v/>
      </c>
      <c r="AJ676" s="175" t="str">
        <f ca="1">IFERROR(__xludf.DUMMYFUNCTION("QUERY('Volunteer Survey'!K675)"),"")</f>
        <v/>
      </c>
      <c r="AK676" s="175" t="str">
        <f ca="1">IFERROR(__xludf.DUMMYFUNCTION("QUERY('Volunteer Survey'!L675)"),"")</f>
        <v/>
      </c>
      <c r="AL676" s="175" t="str">
        <f ca="1">IFERROR(__xludf.DUMMYFUNCTION("QUERY('Volunteer Survey'!M675)"),"")</f>
        <v/>
      </c>
      <c r="AM676" s="175" t="str">
        <f ca="1">IFERROR(__xludf.DUMMYFUNCTION("QUERY('Volunteer Survey'!N675)"),"")</f>
        <v/>
      </c>
      <c r="AN676" s="175" t="str">
        <f ca="1">IFERROR(__xludf.DUMMYFUNCTION("QUERY('Volunteer Survey'!O675)"),"")</f>
        <v/>
      </c>
      <c r="AO676" s="175" t="str">
        <f ca="1">IFERROR(__xludf.DUMMYFUNCTION("QUERY('Volunteer Survey'!P675)"),"")</f>
        <v/>
      </c>
    </row>
    <row r="677" spans="1:41" ht="14">
      <c r="A677" s="49"/>
      <c r="B677" s="49"/>
      <c r="C677" s="47"/>
      <c r="D677" s="49"/>
      <c r="E677" s="49"/>
      <c r="F677" s="49" t="b">
        <v>0</v>
      </c>
      <c r="G677" s="49"/>
      <c r="H677" s="47"/>
      <c r="I677" s="47"/>
      <c r="J677" s="49"/>
      <c r="K677" s="49"/>
      <c r="L677" s="49"/>
      <c r="M677" s="49"/>
      <c r="N677" s="49"/>
      <c r="O677" s="49" t="b">
        <v>0</v>
      </c>
      <c r="P677" s="49"/>
      <c r="Q677" s="49"/>
      <c r="R677" s="49"/>
      <c r="S677" s="49"/>
      <c r="T677" s="49"/>
      <c r="U677" s="58"/>
      <c r="V677" s="49"/>
      <c r="W677" s="58"/>
      <c r="X677" s="49"/>
      <c r="Y677" s="47"/>
      <c r="Z677" s="175" t="str">
        <f ca="1">IFERROR(__xludf.DUMMYFUNCTION("QUERY('Volunteer Survey'!A676)"),"")</f>
        <v/>
      </c>
      <c r="AA677" s="175" t="str">
        <f ca="1">IFERROR(__xludf.DUMMYFUNCTION("QUERY('Volunteer Survey'!B676)"),"")</f>
        <v/>
      </c>
      <c r="AB677" s="175" t="str">
        <f ca="1">IFERROR(__xludf.DUMMYFUNCTION("QUERY('Volunteer Survey'!C676)"),"")</f>
        <v/>
      </c>
      <c r="AC677" s="175" t="str">
        <f ca="1">IFERROR(__xludf.DUMMYFUNCTION("QUERY('Volunteer Survey'!D676)"),"")</f>
        <v/>
      </c>
      <c r="AD677" s="175" t="str">
        <f ca="1">IFERROR(__xludf.DUMMYFUNCTION("QUERY('Volunteer Survey'!E676)"),"")</f>
        <v/>
      </c>
      <c r="AE677" s="175" t="str">
        <f ca="1">IFERROR(__xludf.DUMMYFUNCTION("QUERY('Volunteer Survey'!F676)"),"")</f>
        <v/>
      </c>
      <c r="AF677" s="175" t="str">
        <f ca="1">IFERROR(__xludf.DUMMYFUNCTION("QUERY('Volunteer Survey'!G676)"),"")</f>
        <v/>
      </c>
      <c r="AG677" s="175" t="str">
        <f ca="1">IFERROR(__xludf.DUMMYFUNCTION("QUERY('Volunteer Survey'!H676)"),"")</f>
        <v/>
      </c>
      <c r="AH677" s="175" t="str">
        <f ca="1">IFERROR(__xludf.DUMMYFUNCTION("QUERY('Volunteer Survey'!I676)"),"")</f>
        <v/>
      </c>
      <c r="AI677" s="175" t="str">
        <f ca="1">IFERROR(__xludf.DUMMYFUNCTION("QUERY('Volunteer Survey'!J676)"),"")</f>
        <v/>
      </c>
      <c r="AJ677" s="175" t="str">
        <f ca="1">IFERROR(__xludf.DUMMYFUNCTION("QUERY('Volunteer Survey'!K676)"),"")</f>
        <v/>
      </c>
      <c r="AK677" s="175" t="str">
        <f ca="1">IFERROR(__xludf.DUMMYFUNCTION("QUERY('Volunteer Survey'!L676)"),"")</f>
        <v/>
      </c>
      <c r="AL677" s="175" t="str">
        <f ca="1">IFERROR(__xludf.DUMMYFUNCTION("QUERY('Volunteer Survey'!M676)"),"")</f>
        <v/>
      </c>
      <c r="AM677" s="175" t="str">
        <f ca="1">IFERROR(__xludf.DUMMYFUNCTION("QUERY('Volunteer Survey'!N676)"),"")</f>
        <v/>
      </c>
      <c r="AN677" s="175" t="str">
        <f ca="1">IFERROR(__xludf.DUMMYFUNCTION("QUERY('Volunteer Survey'!O676)"),"")</f>
        <v/>
      </c>
      <c r="AO677" s="175" t="str">
        <f ca="1">IFERROR(__xludf.DUMMYFUNCTION("QUERY('Volunteer Survey'!P676)"),"")</f>
        <v/>
      </c>
    </row>
    <row r="678" spans="1:41" ht="14">
      <c r="A678" s="49"/>
      <c r="B678" s="49"/>
      <c r="C678" s="47"/>
      <c r="D678" s="49"/>
      <c r="E678" s="49"/>
      <c r="F678" s="49" t="b">
        <v>0</v>
      </c>
      <c r="G678" s="49"/>
      <c r="H678" s="47"/>
      <c r="I678" s="47"/>
      <c r="J678" s="49"/>
      <c r="K678" s="49"/>
      <c r="L678" s="49"/>
      <c r="M678" s="49"/>
      <c r="N678" s="49"/>
      <c r="O678" s="49" t="b">
        <v>0</v>
      </c>
      <c r="P678" s="49"/>
      <c r="Q678" s="49"/>
      <c r="R678" s="49"/>
      <c r="S678" s="49"/>
      <c r="T678" s="49"/>
      <c r="U678" s="58"/>
      <c r="V678" s="49"/>
      <c r="W678" s="58"/>
      <c r="X678" s="49"/>
      <c r="Y678" s="47"/>
      <c r="Z678" s="175" t="str">
        <f ca="1">IFERROR(__xludf.DUMMYFUNCTION("QUERY('Volunteer Survey'!A677)"),"")</f>
        <v/>
      </c>
      <c r="AA678" s="175" t="str">
        <f ca="1">IFERROR(__xludf.DUMMYFUNCTION("QUERY('Volunteer Survey'!B677)"),"")</f>
        <v/>
      </c>
      <c r="AB678" s="175" t="str">
        <f ca="1">IFERROR(__xludf.DUMMYFUNCTION("QUERY('Volunteer Survey'!C677)"),"")</f>
        <v/>
      </c>
      <c r="AC678" s="175" t="str">
        <f ca="1">IFERROR(__xludf.DUMMYFUNCTION("QUERY('Volunteer Survey'!D677)"),"")</f>
        <v/>
      </c>
      <c r="AD678" s="175" t="str">
        <f ca="1">IFERROR(__xludf.DUMMYFUNCTION("QUERY('Volunteer Survey'!E677)"),"")</f>
        <v/>
      </c>
      <c r="AE678" s="175" t="str">
        <f ca="1">IFERROR(__xludf.DUMMYFUNCTION("QUERY('Volunteer Survey'!F677)"),"")</f>
        <v/>
      </c>
      <c r="AF678" s="175" t="str">
        <f ca="1">IFERROR(__xludf.DUMMYFUNCTION("QUERY('Volunteer Survey'!G677)"),"")</f>
        <v/>
      </c>
      <c r="AG678" s="175" t="str">
        <f ca="1">IFERROR(__xludf.DUMMYFUNCTION("QUERY('Volunteer Survey'!H677)"),"")</f>
        <v/>
      </c>
      <c r="AH678" s="175" t="str">
        <f ca="1">IFERROR(__xludf.DUMMYFUNCTION("QUERY('Volunteer Survey'!I677)"),"")</f>
        <v/>
      </c>
      <c r="AI678" s="175" t="str">
        <f ca="1">IFERROR(__xludf.DUMMYFUNCTION("QUERY('Volunteer Survey'!J677)"),"")</f>
        <v/>
      </c>
      <c r="AJ678" s="175" t="str">
        <f ca="1">IFERROR(__xludf.DUMMYFUNCTION("QUERY('Volunteer Survey'!K677)"),"")</f>
        <v/>
      </c>
      <c r="AK678" s="175" t="str">
        <f ca="1">IFERROR(__xludf.DUMMYFUNCTION("QUERY('Volunteer Survey'!L677)"),"")</f>
        <v/>
      </c>
      <c r="AL678" s="175" t="str">
        <f ca="1">IFERROR(__xludf.DUMMYFUNCTION("QUERY('Volunteer Survey'!M677)"),"")</f>
        <v/>
      </c>
      <c r="AM678" s="175" t="str">
        <f ca="1">IFERROR(__xludf.DUMMYFUNCTION("QUERY('Volunteer Survey'!N677)"),"")</f>
        <v/>
      </c>
      <c r="AN678" s="175" t="str">
        <f ca="1">IFERROR(__xludf.DUMMYFUNCTION("QUERY('Volunteer Survey'!O677)"),"")</f>
        <v/>
      </c>
      <c r="AO678" s="175" t="str">
        <f ca="1">IFERROR(__xludf.DUMMYFUNCTION("QUERY('Volunteer Survey'!P677)"),"")</f>
        <v/>
      </c>
    </row>
    <row r="679" spans="1:41" ht="14">
      <c r="A679" s="49"/>
      <c r="B679" s="49"/>
      <c r="C679" s="47"/>
      <c r="D679" s="49"/>
      <c r="E679" s="49"/>
      <c r="F679" s="49" t="b">
        <v>0</v>
      </c>
      <c r="G679" s="49"/>
      <c r="H679" s="47"/>
      <c r="I679" s="47"/>
      <c r="J679" s="49"/>
      <c r="K679" s="49"/>
      <c r="L679" s="49"/>
      <c r="M679" s="49"/>
      <c r="N679" s="49"/>
      <c r="O679" s="49" t="b">
        <v>0</v>
      </c>
      <c r="P679" s="49"/>
      <c r="Q679" s="49"/>
      <c r="R679" s="49"/>
      <c r="S679" s="49"/>
      <c r="T679" s="49"/>
      <c r="U679" s="58"/>
      <c r="V679" s="49"/>
      <c r="W679" s="58"/>
      <c r="X679" s="49"/>
      <c r="Y679" s="47"/>
      <c r="Z679" s="175" t="str">
        <f ca="1">IFERROR(__xludf.DUMMYFUNCTION("QUERY('Volunteer Survey'!A678)"),"")</f>
        <v/>
      </c>
      <c r="AA679" s="175" t="str">
        <f ca="1">IFERROR(__xludf.DUMMYFUNCTION("QUERY('Volunteer Survey'!B678)"),"")</f>
        <v/>
      </c>
      <c r="AB679" s="175" t="str">
        <f ca="1">IFERROR(__xludf.DUMMYFUNCTION("QUERY('Volunteer Survey'!C678)"),"")</f>
        <v/>
      </c>
      <c r="AC679" s="175" t="str">
        <f ca="1">IFERROR(__xludf.DUMMYFUNCTION("QUERY('Volunteer Survey'!D678)"),"")</f>
        <v/>
      </c>
      <c r="AD679" s="175" t="str">
        <f ca="1">IFERROR(__xludf.DUMMYFUNCTION("QUERY('Volunteer Survey'!E678)"),"")</f>
        <v/>
      </c>
      <c r="AE679" s="175" t="str">
        <f ca="1">IFERROR(__xludf.DUMMYFUNCTION("QUERY('Volunteer Survey'!F678)"),"")</f>
        <v/>
      </c>
      <c r="AF679" s="175" t="str">
        <f ca="1">IFERROR(__xludf.DUMMYFUNCTION("QUERY('Volunteer Survey'!G678)"),"")</f>
        <v/>
      </c>
      <c r="AG679" s="175" t="str">
        <f ca="1">IFERROR(__xludf.DUMMYFUNCTION("QUERY('Volunteer Survey'!H678)"),"")</f>
        <v/>
      </c>
      <c r="AH679" s="175" t="str">
        <f ca="1">IFERROR(__xludf.DUMMYFUNCTION("QUERY('Volunteer Survey'!I678)"),"")</f>
        <v/>
      </c>
      <c r="AI679" s="175" t="str">
        <f ca="1">IFERROR(__xludf.DUMMYFUNCTION("QUERY('Volunteer Survey'!J678)"),"")</f>
        <v/>
      </c>
      <c r="AJ679" s="175" t="str">
        <f ca="1">IFERROR(__xludf.DUMMYFUNCTION("QUERY('Volunteer Survey'!K678)"),"")</f>
        <v/>
      </c>
      <c r="AK679" s="175" t="str">
        <f ca="1">IFERROR(__xludf.DUMMYFUNCTION("QUERY('Volunteer Survey'!L678)"),"")</f>
        <v/>
      </c>
      <c r="AL679" s="175" t="str">
        <f ca="1">IFERROR(__xludf.DUMMYFUNCTION("QUERY('Volunteer Survey'!M678)"),"")</f>
        <v/>
      </c>
      <c r="AM679" s="175" t="str">
        <f ca="1">IFERROR(__xludf.DUMMYFUNCTION("QUERY('Volunteer Survey'!N678)"),"")</f>
        <v/>
      </c>
      <c r="AN679" s="175" t="str">
        <f ca="1">IFERROR(__xludf.DUMMYFUNCTION("QUERY('Volunteer Survey'!O678)"),"")</f>
        <v/>
      </c>
      <c r="AO679" s="175" t="str">
        <f ca="1">IFERROR(__xludf.DUMMYFUNCTION("QUERY('Volunteer Survey'!P678)"),"")</f>
        <v/>
      </c>
    </row>
    <row r="680" spans="1:41" ht="14">
      <c r="A680" s="49"/>
      <c r="B680" s="49"/>
      <c r="C680" s="47"/>
      <c r="D680" s="49"/>
      <c r="E680" s="49"/>
      <c r="F680" s="49" t="b">
        <v>0</v>
      </c>
      <c r="G680" s="49"/>
      <c r="H680" s="47"/>
      <c r="I680" s="47"/>
      <c r="J680" s="49"/>
      <c r="K680" s="49"/>
      <c r="L680" s="49"/>
      <c r="M680" s="49"/>
      <c r="N680" s="49"/>
      <c r="O680" s="49" t="b">
        <v>0</v>
      </c>
      <c r="P680" s="49"/>
      <c r="Q680" s="49"/>
      <c r="R680" s="49"/>
      <c r="S680" s="49"/>
      <c r="T680" s="49"/>
      <c r="U680" s="58"/>
      <c r="V680" s="49"/>
      <c r="W680" s="58"/>
      <c r="X680" s="49"/>
      <c r="Y680" s="47"/>
      <c r="Z680" s="175" t="str">
        <f ca="1">IFERROR(__xludf.DUMMYFUNCTION("QUERY('Volunteer Survey'!A679)"),"")</f>
        <v/>
      </c>
      <c r="AA680" s="175" t="str">
        <f ca="1">IFERROR(__xludf.DUMMYFUNCTION("QUERY('Volunteer Survey'!B679)"),"")</f>
        <v/>
      </c>
      <c r="AB680" s="175" t="str">
        <f ca="1">IFERROR(__xludf.DUMMYFUNCTION("QUERY('Volunteer Survey'!C679)"),"")</f>
        <v/>
      </c>
      <c r="AC680" s="175" t="str">
        <f ca="1">IFERROR(__xludf.DUMMYFUNCTION("QUERY('Volunteer Survey'!D679)"),"")</f>
        <v/>
      </c>
      <c r="AD680" s="175" t="str">
        <f ca="1">IFERROR(__xludf.DUMMYFUNCTION("QUERY('Volunteer Survey'!E679)"),"")</f>
        <v/>
      </c>
      <c r="AE680" s="175" t="str">
        <f ca="1">IFERROR(__xludf.DUMMYFUNCTION("QUERY('Volunteer Survey'!F679)"),"")</f>
        <v/>
      </c>
      <c r="AF680" s="175" t="str">
        <f ca="1">IFERROR(__xludf.DUMMYFUNCTION("QUERY('Volunteer Survey'!G679)"),"")</f>
        <v/>
      </c>
      <c r="AG680" s="175" t="str">
        <f ca="1">IFERROR(__xludf.DUMMYFUNCTION("QUERY('Volunteer Survey'!H679)"),"")</f>
        <v/>
      </c>
      <c r="AH680" s="175" t="str">
        <f ca="1">IFERROR(__xludf.DUMMYFUNCTION("QUERY('Volunteer Survey'!I679)"),"")</f>
        <v/>
      </c>
      <c r="AI680" s="175" t="str">
        <f ca="1">IFERROR(__xludf.DUMMYFUNCTION("QUERY('Volunteer Survey'!J679)"),"")</f>
        <v/>
      </c>
      <c r="AJ680" s="175" t="str">
        <f ca="1">IFERROR(__xludf.DUMMYFUNCTION("QUERY('Volunteer Survey'!K679)"),"")</f>
        <v/>
      </c>
      <c r="AK680" s="175" t="str">
        <f ca="1">IFERROR(__xludf.DUMMYFUNCTION("QUERY('Volunteer Survey'!L679)"),"")</f>
        <v/>
      </c>
      <c r="AL680" s="175" t="str">
        <f ca="1">IFERROR(__xludf.DUMMYFUNCTION("QUERY('Volunteer Survey'!M679)"),"")</f>
        <v/>
      </c>
      <c r="AM680" s="175" t="str">
        <f ca="1">IFERROR(__xludf.DUMMYFUNCTION("QUERY('Volunteer Survey'!N679)"),"")</f>
        <v/>
      </c>
      <c r="AN680" s="175" t="str">
        <f ca="1">IFERROR(__xludf.DUMMYFUNCTION("QUERY('Volunteer Survey'!O679)"),"")</f>
        <v/>
      </c>
      <c r="AO680" s="175" t="str">
        <f ca="1">IFERROR(__xludf.DUMMYFUNCTION("QUERY('Volunteer Survey'!P679)"),"")</f>
        <v/>
      </c>
    </row>
    <row r="681" spans="1:41" ht="14">
      <c r="A681" s="49"/>
      <c r="B681" s="49"/>
      <c r="C681" s="47"/>
      <c r="D681" s="49"/>
      <c r="E681" s="49"/>
      <c r="F681" s="49" t="b">
        <v>0</v>
      </c>
      <c r="G681" s="49"/>
      <c r="H681" s="47"/>
      <c r="I681" s="47"/>
      <c r="J681" s="49"/>
      <c r="K681" s="49"/>
      <c r="L681" s="49"/>
      <c r="M681" s="49"/>
      <c r="N681" s="49"/>
      <c r="O681" s="49" t="b">
        <v>0</v>
      </c>
      <c r="P681" s="49"/>
      <c r="Q681" s="49"/>
      <c r="R681" s="49"/>
      <c r="S681" s="49"/>
      <c r="T681" s="49"/>
      <c r="U681" s="58"/>
      <c r="V681" s="49"/>
      <c r="W681" s="58"/>
      <c r="X681" s="49"/>
      <c r="Y681" s="47"/>
      <c r="Z681" s="175" t="str">
        <f ca="1">IFERROR(__xludf.DUMMYFUNCTION("QUERY('Volunteer Survey'!A680)"),"")</f>
        <v/>
      </c>
      <c r="AA681" s="175" t="str">
        <f ca="1">IFERROR(__xludf.DUMMYFUNCTION("QUERY('Volunteer Survey'!B680)"),"")</f>
        <v/>
      </c>
      <c r="AB681" s="175" t="str">
        <f ca="1">IFERROR(__xludf.DUMMYFUNCTION("QUERY('Volunteer Survey'!C680)"),"")</f>
        <v/>
      </c>
      <c r="AC681" s="175" t="str">
        <f ca="1">IFERROR(__xludf.DUMMYFUNCTION("QUERY('Volunteer Survey'!D680)"),"")</f>
        <v/>
      </c>
      <c r="AD681" s="175" t="str">
        <f ca="1">IFERROR(__xludf.DUMMYFUNCTION("QUERY('Volunteer Survey'!E680)"),"")</f>
        <v/>
      </c>
      <c r="AE681" s="175" t="str">
        <f ca="1">IFERROR(__xludf.DUMMYFUNCTION("QUERY('Volunteer Survey'!F680)"),"")</f>
        <v/>
      </c>
      <c r="AF681" s="175" t="str">
        <f ca="1">IFERROR(__xludf.DUMMYFUNCTION("QUERY('Volunteer Survey'!G680)"),"")</f>
        <v/>
      </c>
      <c r="AG681" s="175" t="str">
        <f ca="1">IFERROR(__xludf.DUMMYFUNCTION("QUERY('Volunteer Survey'!H680)"),"")</f>
        <v/>
      </c>
      <c r="AH681" s="175" t="str">
        <f ca="1">IFERROR(__xludf.DUMMYFUNCTION("QUERY('Volunteer Survey'!I680)"),"")</f>
        <v/>
      </c>
      <c r="AI681" s="175" t="str">
        <f ca="1">IFERROR(__xludf.DUMMYFUNCTION("QUERY('Volunteer Survey'!J680)"),"")</f>
        <v/>
      </c>
      <c r="AJ681" s="175" t="str">
        <f ca="1">IFERROR(__xludf.DUMMYFUNCTION("QUERY('Volunteer Survey'!K680)"),"")</f>
        <v/>
      </c>
      <c r="AK681" s="175" t="str">
        <f ca="1">IFERROR(__xludf.DUMMYFUNCTION("QUERY('Volunteer Survey'!L680)"),"")</f>
        <v/>
      </c>
      <c r="AL681" s="175" t="str">
        <f ca="1">IFERROR(__xludf.DUMMYFUNCTION("QUERY('Volunteer Survey'!M680)"),"")</f>
        <v/>
      </c>
      <c r="AM681" s="175" t="str">
        <f ca="1">IFERROR(__xludf.DUMMYFUNCTION("QUERY('Volunteer Survey'!N680)"),"")</f>
        <v/>
      </c>
      <c r="AN681" s="175" t="str">
        <f ca="1">IFERROR(__xludf.DUMMYFUNCTION("QUERY('Volunteer Survey'!O680)"),"")</f>
        <v/>
      </c>
      <c r="AO681" s="175" t="str">
        <f ca="1">IFERROR(__xludf.DUMMYFUNCTION("QUERY('Volunteer Survey'!P680)"),"")</f>
        <v/>
      </c>
    </row>
    <row r="682" spans="1:41" ht="14">
      <c r="A682" s="49"/>
      <c r="B682" s="49"/>
      <c r="C682" s="47"/>
      <c r="D682" s="49"/>
      <c r="E682" s="49"/>
      <c r="F682" s="49" t="b">
        <v>0</v>
      </c>
      <c r="G682" s="49"/>
      <c r="H682" s="47"/>
      <c r="I682" s="47"/>
      <c r="J682" s="49"/>
      <c r="K682" s="49"/>
      <c r="L682" s="49"/>
      <c r="M682" s="49"/>
      <c r="N682" s="49"/>
      <c r="O682" s="49" t="b">
        <v>0</v>
      </c>
      <c r="P682" s="49"/>
      <c r="Q682" s="49"/>
      <c r="R682" s="49"/>
      <c r="S682" s="49"/>
      <c r="T682" s="49"/>
      <c r="U682" s="58"/>
      <c r="V682" s="49"/>
      <c r="W682" s="58"/>
      <c r="X682" s="49"/>
      <c r="Y682" s="47"/>
      <c r="Z682" s="175" t="str">
        <f ca="1">IFERROR(__xludf.DUMMYFUNCTION("QUERY('Volunteer Survey'!A681)"),"")</f>
        <v/>
      </c>
      <c r="AA682" s="175" t="str">
        <f ca="1">IFERROR(__xludf.DUMMYFUNCTION("QUERY('Volunteer Survey'!B681)"),"")</f>
        <v/>
      </c>
      <c r="AB682" s="175" t="str">
        <f ca="1">IFERROR(__xludf.DUMMYFUNCTION("QUERY('Volunteer Survey'!C681)"),"")</f>
        <v/>
      </c>
      <c r="AC682" s="175" t="str">
        <f ca="1">IFERROR(__xludf.DUMMYFUNCTION("QUERY('Volunteer Survey'!D681)"),"")</f>
        <v/>
      </c>
      <c r="AD682" s="175" t="str">
        <f ca="1">IFERROR(__xludf.DUMMYFUNCTION("QUERY('Volunteer Survey'!E681)"),"")</f>
        <v/>
      </c>
      <c r="AE682" s="175" t="str">
        <f ca="1">IFERROR(__xludf.DUMMYFUNCTION("QUERY('Volunteer Survey'!F681)"),"")</f>
        <v/>
      </c>
      <c r="AF682" s="175" t="str">
        <f ca="1">IFERROR(__xludf.DUMMYFUNCTION("QUERY('Volunteer Survey'!G681)"),"")</f>
        <v/>
      </c>
      <c r="AG682" s="175" t="str">
        <f ca="1">IFERROR(__xludf.DUMMYFUNCTION("QUERY('Volunteer Survey'!H681)"),"")</f>
        <v/>
      </c>
      <c r="AH682" s="175" t="str">
        <f ca="1">IFERROR(__xludf.DUMMYFUNCTION("QUERY('Volunteer Survey'!I681)"),"")</f>
        <v/>
      </c>
      <c r="AI682" s="175" t="str">
        <f ca="1">IFERROR(__xludf.DUMMYFUNCTION("QUERY('Volunteer Survey'!J681)"),"")</f>
        <v/>
      </c>
      <c r="AJ682" s="175" t="str">
        <f ca="1">IFERROR(__xludf.DUMMYFUNCTION("QUERY('Volunteer Survey'!K681)"),"")</f>
        <v/>
      </c>
      <c r="AK682" s="175" t="str">
        <f ca="1">IFERROR(__xludf.DUMMYFUNCTION("QUERY('Volunteer Survey'!L681)"),"")</f>
        <v/>
      </c>
      <c r="AL682" s="175" t="str">
        <f ca="1">IFERROR(__xludf.DUMMYFUNCTION("QUERY('Volunteer Survey'!M681)"),"")</f>
        <v/>
      </c>
      <c r="AM682" s="175" t="str">
        <f ca="1">IFERROR(__xludf.DUMMYFUNCTION("QUERY('Volunteer Survey'!N681)"),"")</f>
        <v/>
      </c>
      <c r="AN682" s="175" t="str">
        <f ca="1">IFERROR(__xludf.DUMMYFUNCTION("QUERY('Volunteer Survey'!O681)"),"")</f>
        <v/>
      </c>
      <c r="AO682" s="175" t="str">
        <f ca="1">IFERROR(__xludf.DUMMYFUNCTION("QUERY('Volunteer Survey'!P681)"),"")</f>
        <v/>
      </c>
    </row>
    <row r="683" spans="1:41" ht="14">
      <c r="A683" s="49"/>
      <c r="B683" s="49"/>
      <c r="C683" s="47"/>
      <c r="D683" s="49"/>
      <c r="E683" s="49"/>
      <c r="F683" s="49" t="b">
        <v>0</v>
      </c>
      <c r="G683" s="49"/>
      <c r="H683" s="47"/>
      <c r="I683" s="47"/>
      <c r="J683" s="49"/>
      <c r="K683" s="49"/>
      <c r="L683" s="49"/>
      <c r="M683" s="49"/>
      <c r="N683" s="49"/>
      <c r="O683" s="49" t="b">
        <v>0</v>
      </c>
      <c r="P683" s="49"/>
      <c r="Q683" s="49"/>
      <c r="R683" s="49"/>
      <c r="S683" s="49"/>
      <c r="T683" s="49"/>
      <c r="U683" s="58"/>
      <c r="V683" s="49"/>
      <c r="W683" s="58"/>
      <c r="X683" s="49"/>
      <c r="Y683" s="47"/>
      <c r="Z683" s="175" t="str">
        <f ca="1">IFERROR(__xludf.DUMMYFUNCTION("QUERY('Volunteer Survey'!A682)"),"")</f>
        <v/>
      </c>
      <c r="AA683" s="175" t="str">
        <f ca="1">IFERROR(__xludf.DUMMYFUNCTION("QUERY('Volunteer Survey'!B682)"),"")</f>
        <v/>
      </c>
      <c r="AB683" s="175" t="str">
        <f ca="1">IFERROR(__xludf.DUMMYFUNCTION("QUERY('Volunteer Survey'!C682)"),"")</f>
        <v/>
      </c>
      <c r="AC683" s="175" t="str">
        <f ca="1">IFERROR(__xludf.DUMMYFUNCTION("QUERY('Volunteer Survey'!D682)"),"")</f>
        <v/>
      </c>
      <c r="AD683" s="175" t="str">
        <f ca="1">IFERROR(__xludf.DUMMYFUNCTION("QUERY('Volunteer Survey'!E682)"),"")</f>
        <v/>
      </c>
      <c r="AE683" s="175" t="str">
        <f ca="1">IFERROR(__xludf.DUMMYFUNCTION("QUERY('Volunteer Survey'!F682)"),"")</f>
        <v/>
      </c>
      <c r="AF683" s="175" t="str">
        <f ca="1">IFERROR(__xludf.DUMMYFUNCTION("QUERY('Volunteer Survey'!G682)"),"")</f>
        <v/>
      </c>
      <c r="AG683" s="175" t="str">
        <f ca="1">IFERROR(__xludf.DUMMYFUNCTION("QUERY('Volunteer Survey'!H682)"),"")</f>
        <v/>
      </c>
      <c r="AH683" s="175" t="str">
        <f ca="1">IFERROR(__xludf.DUMMYFUNCTION("QUERY('Volunteer Survey'!I682)"),"")</f>
        <v/>
      </c>
      <c r="AI683" s="175" t="str">
        <f ca="1">IFERROR(__xludf.DUMMYFUNCTION("QUERY('Volunteer Survey'!J682)"),"")</f>
        <v/>
      </c>
      <c r="AJ683" s="175" t="str">
        <f ca="1">IFERROR(__xludf.DUMMYFUNCTION("QUERY('Volunteer Survey'!K682)"),"")</f>
        <v/>
      </c>
      <c r="AK683" s="175" t="str">
        <f ca="1">IFERROR(__xludf.DUMMYFUNCTION("QUERY('Volunteer Survey'!L682)"),"")</f>
        <v/>
      </c>
      <c r="AL683" s="175" t="str">
        <f ca="1">IFERROR(__xludf.DUMMYFUNCTION("QUERY('Volunteer Survey'!M682)"),"")</f>
        <v/>
      </c>
      <c r="AM683" s="175" t="str">
        <f ca="1">IFERROR(__xludf.DUMMYFUNCTION("QUERY('Volunteer Survey'!N682)"),"")</f>
        <v/>
      </c>
      <c r="AN683" s="175" t="str">
        <f ca="1">IFERROR(__xludf.DUMMYFUNCTION("QUERY('Volunteer Survey'!O682)"),"")</f>
        <v/>
      </c>
      <c r="AO683" s="175" t="str">
        <f ca="1">IFERROR(__xludf.DUMMYFUNCTION("QUERY('Volunteer Survey'!P682)"),"")</f>
        <v/>
      </c>
    </row>
    <row r="684" spans="1:41" ht="14">
      <c r="A684" s="49"/>
      <c r="B684" s="49"/>
      <c r="C684" s="47"/>
      <c r="D684" s="49"/>
      <c r="E684" s="49"/>
      <c r="F684" s="49" t="b">
        <v>0</v>
      </c>
      <c r="G684" s="49"/>
      <c r="H684" s="47"/>
      <c r="I684" s="47"/>
      <c r="J684" s="49"/>
      <c r="K684" s="49"/>
      <c r="L684" s="49"/>
      <c r="M684" s="49"/>
      <c r="N684" s="49"/>
      <c r="O684" s="49" t="b">
        <v>0</v>
      </c>
      <c r="P684" s="49"/>
      <c r="Q684" s="49"/>
      <c r="R684" s="49"/>
      <c r="S684" s="49"/>
      <c r="T684" s="49"/>
      <c r="U684" s="58"/>
      <c r="V684" s="49"/>
      <c r="W684" s="58"/>
      <c r="X684" s="49"/>
      <c r="Y684" s="47"/>
      <c r="Z684" s="175" t="str">
        <f ca="1">IFERROR(__xludf.DUMMYFUNCTION("QUERY('Volunteer Survey'!A683)"),"")</f>
        <v/>
      </c>
      <c r="AA684" s="175" t="str">
        <f ca="1">IFERROR(__xludf.DUMMYFUNCTION("QUERY('Volunteer Survey'!B683)"),"")</f>
        <v/>
      </c>
      <c r="AB684" s="175" t="str">
        <f ca="1">IFERROR(__xludf.DUMMYFUNCTION("QUERY('Volunteer Survey'!C683)"),"")</f>
        <v/>
      </c>
      <c r="AC684" s="175" t="str">
        <f ca="1">IFERROR(__xludf.DUMMYFUNCTION("QUERY('Volunteer Survey'!D683)"),"")</f>
        <v/>
      </c>
      <c r="AD684" s="175" t="str">
        <f ca="1">IFERROR(__xludf.DUMMYFUNCTION("QUERY('Volunteer Survey'!E683)"),"")</f>
        <v/>
      </c>
      <c r="AE684" s="175" t="str">
        <f ca="1">IFERROR(__xludf.DUMMYFUNCTION("QUERY('Volunteer Survey'!F683)"),"")</f>
        <v/>
      </c>
      <c r="AF684" s="175" t="str">
        <f ca="1">IFERROR(__xludf.DUMMYFUNCTION("QUERY('Volunteer Survey'!G683)"),"")</f>
        <v/>
      </c>
      <c r="AG684" s="175" t="str">
        <f ca="1">IFERROR(__xludf.DUMMYFUNCTION("QUERY('Volunteer Survey'!H683)"),"")</f>
        <v/>
      </c>
      <c r="AH684" s="175" t="str">
        <f ca="1">IFERROR(__xludf.DUMMYFUNCTION("QUERY('Volunteer Survey'!I683)"),"")</f>
        <v/>
      </c>
      <c r="AI684" s="175" t="str">
        <f ca="1">IFERROR(__xludf.DUMMYFUNCTION("QUERY('Volunteer Survey'!J683)"),"")</f>
        <v/>
      </c>
      <c r="AJ684" s="175" t="str">
        <f ca="1">IFERROR(__xludf.DUMMYFUNCTION("QUERY('Volunteer Survey'!K683)"),"")</f>
        <v/>
      </c>
      <c r="AK684" s="175" t="str">
        <f ca="1">IFERROR(__xludf.DUMMYFUNCTION("QUERY('Volunteer Survey'!L683)"),"")</f>
        <v/>
      </c>
      <c r="AL684" s="175" t="str">
        <f ca="1">IFERROR(__xludf.DUMMYFUNCTION("QUERY('Volunteer Survey'!M683)"),"")</f>
        <v/>
      </c>
      <c r="AM684" s="175" t="str">
        <f ca="1">IFERROR(__xludf.DUMMYFUNCTION("QUERY('Volunteer Survey'!N683)"),"")</f>
        <v/>
      </c>
      <c r="AN684" s="175" t="str">
        <f ca="1">IFERROR(__xludf.DUMMYFUNCTION("QUERY('Volunteer Survey'!O683)"),"")</f>
        <v/>
      </c>
      <c r="AO684" s="175" t="str">
        <f ca="1">IFERROR(__xludf.DUMMYFUNCTION("QUERY('Volunteer Survey'!P683)"),"")</f>
        <v/>
      </c>
    </row>
    <row r="685" spans="1:41" ht="14">
      <c r="A685" s="49"/>
      <c r="B685" s="49"/>
      <c r="C685" s="47"/>
      <c r="D685" s="49"/>
      <c r="E685" s="49"/>
      <c r="F685" s="49" t="b">
        <v>0</v>
      </c>
      <c r="G685" s="49"/>
      <c r="H685" s="47"/>
      <c r="I685" s="47"/>
      <c r="J685" s="49"/>
      <c r="K685" s="49"/>
      <c r="L685" s="49"/>
      <c r="M685" s="49"/>
      <c r="N685" s="49"/>
      <c r="O685" s="49" t="b">
        <v>0</v>
      </c>
      <c r="P685" s="49"/>
      <c r="Q685" s="49"/>
      <c r="R685" s="49"/>
      <c r="S685" s="49"/>
      <c r="T685" s="49"/>
      <c r="U685" s="58"/>
      <c r="V685" s="49"/>
      <c r="W685" s="58"/>
      <c r="X685" s="49"/>
      <c r="Y685" s="47"/>
      <c r="Z685" s="175" t="str">
        <f ca="1">IFERROR(__xludf.DUMMYFUNCTION("QUERY('Volunteer Survey'!A684)"),"")</f>
        <v/>
      </c>
      <c r="AA685" s="175" t="str">
        <f ca="1">IFERROR(__xludf.DUMMYFUNCTION("QUERY('Volunteer Survey'!B684)"),"")</f>
        <v/>
      </c>
      <c r="AB685" s="175" t="str">
        <f ca="1">IFERROR(__xludf.DUMMYFUNCTION("QUERY('Volunteer Survey'!C684)"),"")</f>
        <v/>
      </c>
      <c r="AC685" s="175" t="str">
        <f ca="1">IFERROR(__xludf.DUMMYFUNCTION("QUERY('Volunteer Survey'!D684)"),"")</f>
        <v/>
      </c>
      <c r="AD685" s="175" t="str">
        <f ca="1">IFERROR(__xludf.DUMMYFUNCTION("QUERY('Volunteer Survey'!E684)"),"")</f>
        <v/>
      </c>
      <c r="AE685" s="175" t="str">
        <f ca="1">IFERROR(__xludf.DUMMYFUNCTION("QUERY('Volunteer Survey'!F684)"),"")</f>
        <v/>
      </c>
      <c r="AF685" s="175" t="str">
        <f ca="1">IFERROR(__xludf.DUMMYFUNCTION("QUERY('Volunteer Survey'!G684)"),"")</f>
        <v/>
      </c>
      <c r="AG685" s="175" t="str">
        <f ca="1">IFERROR(__xludf.DUMMYFUNCTION("QUERY('Volunteer Survey'!H684)"),"")</f>
        <v/>
      </c>
      <c r="AH685" s="175" t="str">
        <f ca="1">IFERROR(__xludf.DUMMYFUNCTION("QUERY('Volunteer Survey'!I684)"),"")</f>
        <v/>
      </c>
      <c r="AI685" s="175" t="str">
        <f ca="1">IFERROR(__xludf.DUMMYFUNCTION("QUERY('Volunteer Survey'!J684)"),"")</f>
        <v/>
      </c>
      <c r="AJ685" s="175" t="str">
        <f ca="1">IFERROR(__xludf.DUMMYFUNCTION("QUERY('Volunteer Survey'!K684)"),"")</f>
        <v/>
      </c>
      <c r="AK685" s="175" t="str">
        <f ca="1">IFERROR(__xludf.DUMMYFUNCTION("QUERY('Volunteer Survey'!L684)"),"")</f>
        <v/>
      </c>
      <c r="AL685" s="175" t="str">
        <f ca="1">IFERROR(__xludf.DUMMYFUNCTION("QUERY('Volunteer Survey'!M684)"),"")</f>
        <v/>
      </c>
      <c r="AM685" s="175" t="str">
        <f ca="1">IFERROR(__xludf.DUMMYFUNCTION("QUERY('Volunteer Survey'!N684)"),"")</f>
        <v/>
      </c>
      <c r="AN685" s="175" t="str">
        <f ca="1">IFERROR(__xludf.DUMMYFUNCTION("QUERY('Volunteer Survey'!O684)"),"")</f>
        <v/>
      </c>
      <c r="AO685" s="175" t="str">
        <f ca="1">IFERROR(__xludf.DUMMYFUNCTION("QUERY('Volunteer Survey'!P684)"),"")</f>
        <v/>
      </c>
    </row>
    <row r="686" spans="1:41" ht="14">
      <c r="A686" s="49"/>
      <c r="B686" s="49"/>
      <c r="C686" s="47"/>
      <c r="D686" s="49"/>
      <c r="E686" s="49"/>
      <c r="F686" s="49" t="b">
        <v>0</v>
      </c>
      <c r="G686" s="49"/>
      <c r="H686" s="47"/>
      <c r="I686" s="47"/>
      <c r="J686" s="49"/>
      <c r="K686" s="49"/>
      <c r="L686" s="49"/>
      <c r="M686" s="49"/>
      <c r="N686" s="49"/>
      <c r="O686" s="49" t="b">
        <v>0</v>
      </c>
      <c r="P686" s="49"/>
      <c r="Q686" s="49"/>
      <c r="R686" s="49"/>
      <c r="S686" s="49"/>
      <c r="T686" s="49"/>
      <c r="U686" s="58"/>
      <c r="V686" s="49"/>
      <c r="W686" s="58"/>
      <c r="X686" s="49"/>
      <c r="Y686" s="47"/>
      <c r="Z686" s="175" t="str">
        <f ca="1">IFERROR(__xludf.DUMMYFUNCTION("QUERY('Volunteer Survey'!A685)"),"")</f>
        <v/>
      </c>
      <c r="AA686" s="175" t="str">
        <f ca="1">IFERROR(__xludf.DUMMYFUNCTION("QUERY('Volunteer Survey'!B685)"),"")</f>
        <v/>
      </c>
      <c r="AB686" s="175" t="str">
        <f ca="1">IFERROR(__xludf.DUMMYFUNCTION("QUERY('Volunteer Survey'!C685)"),"")</f>
        <v/>
      </c>
      <c r="AC686" s="175" t="str">
        <f ca="1">IFERROR(__xludf.DUMMYFUNCTION("QUERY('Volunteer Survey'!D685)"),"")</f>
        <v/>
      </c>
      <c r="AD686" s="175" t="str">
        <f ca="1">IFERROR(__xludf.DUMMYFUNCTION("QUERY('Volunteer Survey'!E685)"),"")</f>
        <v/>
      </c>
      <c r="AE686" s="175" t="str">
        <f ca="1">IFERROR(__xludf.DUMMYFUNCTION("QUERY('Volunteer Survey'!F685)"),"")</f>
        <v/>
      </c>
      <c r="AF686" s="175" t="str">
        <f ca="1">IFERROR(__xludf.DUMMYFUNCTION("QUERY('Volunteer Survey'!G685)"),"")</f>
        <v/>
      </c>
      <c r="AG686" s="175" t="str">
        <f ca="1">IFERROR(__xludf.DUMMYFUNCTION("QUERY('Volunteer Survey'!H685)"),"")</f>
        <v/>
      </c>
      <c r="AH686" s="175" t="str">
        <f ca="1">IFERROR(__xludf.DUMMYFUNCTION("QUERY('Volunteer Survey'!I685)"),"")</f>
        <v/>
      </c>
      <c r="AI686" s="175" t="str">
        <f ca="1">IFERROR(__xludf.DUMMYFUNCTION("QUERY('Volunteer Survey'!J685)"),"")</f>
        <v/>
      </c>
      <c r="AJ686" s="175" t="str">
        <f ca="1">IFERROR(__xludf.DUMMYFUNCTION("QUERY('Volunteer Survey'!K685)"),"")</f>
        <v/>
      </c>
      <c r="AK686" s="175" t="str">
        <f ca="1">IFERROR(__xludf.DUMMYFUNCTION("QUERY('Volunteer Survey'!L685)"),"")</f>
        <v/>
      </c>
      <c r="AL686" s="175" t="str">
        <f ca="1">IFERROR(__xludf.DUMMYFUNCTION("QUERY('Volunteer Survey'!M685)"),"")</f>
        <v/>
      </c>
      <c r="AM686" s="175" t="str">
        <f ca="1">IFERROR(__xludf.DUMMYFUNCTION("QUERY('Volunteer Survey'!N685)"),"")</f>
        <v/>
      </c>
      <c r="AN686" s="175" t="str">
        <f ca="1">IFERROR(__xludf.DUMMYFUNCTION("QUERY('Volunteer Survey'!O685)"),"")</f>
        <v/>
      </c>
      <c r="AO686" s="175" t="str">
        <f ca="1">IFERROR(__xludf.DUMMYFUNCTION("QUERY('Volunteer Survey'!P685)"),"")</f>
        <v/>
      </c>
    </row>
    <row r="687" spans="1:41" ht="14">
      <c r="A687" s="49"/>
      <c r="B687" s="49"/>
      <c r="C687" s="47"/>
      <c r="D687" s="49"/>
      <c r="E687" s="49"/>
      <c r="F687" s="49" t="b">
        <v>0</v>
      </c>
      <c r="G687" s="49"/>
      <c r="H687" s="47"/>
      <c r="I687" s="47"/>
      <c r="J687" s="49"/>
      <c r="K687" s="49"/>
      <c r="L687" s="49"/>
      <c r="M687" s="49"/>
      <c r="N687" s="49"/>
      <c r="O687" s="49" t="b">
        <v>0</v>
      </c>
      <c r="P687" s="49"/>
      <c r="Q687" s="49"/>
      <c r="R687" s="49"/>
      <c r="S687" s="49"/>
      <c r="T687" s="49"/>
      <c r="U687" s="58"/>
      <c r="V687" s="49"/>
      <c r="W687" s="58"/>
      <c r="X687" s="49"/>
      <c r="Y687" s="47"/>
      <c r="Z687" s="175" t="str">
        <f ca="1">IFERROR(__xludf.DUMMYFUNCTION("QUERY('Volunteer Survey'!A686)"),"")</f>
        <v/>
      </c>
      <c r="AA687" s="175" t="str">
        <f ca="1">IFERROR(__xludf.DUMMYFUNCTION("QUERY('Volunteer Survey'!B686)"),"")</f>
        <v/>
      </c>
      <c r="AB687" s="175" t="str">
        <f ca="1">IFERROR(__xludf.DUMMYFUNCTION("QUERY('Volunteer Survey'!C686)"),"")</f>
        <v/>
      </c>
      <c r="AC687" s="175" t="str">
        <f ca="1">IFERROR(__xludf.DUMMYFUNCTION("QUERY('Volunteer Survey'!D686)"),"")</f>
        <v/>
      </c>
      <c r="AD687" s="175" t="str">
        <f ca="1">IFERROR(__xludf.DUMMYFUNCTION("QUERY('Volunteer Survey'!E686)"),"")</f>
        <v/>
      </c>
      <c r="AE687" s="175" t="str">
        <f ca="1">IFERROR(__xludf.DUMMYFUNCTION("QUERY('Volunteer Survey'!F686)"),"")</f>
        <v/>
      </c>
      <c r="AF687" s="175" t="str">
        <f ca="1">IFERROR(__xludf.DUMMYFUNCTION("QUERY('Volunteer Survey'!G686)"),"")</f>
        <v/>
      </c>
      <c r="AG687" s="175" t="str">
        <f ca="1">IFERROR(__xludf.DUMMYFUNCTION("QUERY('Volunteer Survey'!H686)"),"")</f>
        <v/>
      </c>
      <c r="AH687" s="175" t="str">
        <f ca="1">IFERROR(__xludf.DUMMYFUNCTION("QUERY('Volunteer Survey'!I686)"),"")</f>
        <v/>
      </c>
      <c r="AI687" s="175" t="str">
        <f ca="1">IFERROR(__xludf.DUMMYFUNCTION("QUERY('Volunteer Survey'!J686)"),"")</f>
        <v/>
      </c>
      <c r="AJ687" s="175" t="str">
        <f ca="1">IFERROR(__xludf.DUMMYFUNCTION("QUERY('Volunteer Survey'!K686)"),"")</f>
        <v/>
      </c>
      <c r="AK687" s="175" t="str">
        <f ca="1">IFERROR(__xludf.DUMMYFUNCTION("QUERY('Volunteer Survey'!L686)"),"")</f>
        <v/>
      </c>
      <c r="AL687" s="175" t="str">
        <f ca="1">IFERROR(__xludf.DUMMYFUNCTION("QUERY('Volunteer Survey'!M686)"),"")</f>
        <v/>
      </c>
      <c r="AM687" s="175" t="str">
        <f ca="1">IFERROR(__xludf.DUMMYFUNCTION("QUERY('Volunteer Survey'!N686)"),"")</f>
        <v/>
      </c>
      <c r="AN687" s="175" t="str">
        <f ca="1">IFERROR(__xludf.DUMMYFUNCTION("QUERY('Volunteer Survey'!O686)"),"")</f>
        <v/>
      </c>
      <c r="AO687" s="175" t="str">
        <f ca="1">IFERROR(__xludf.DUMMYFUNCTION("QUERY('Volunteer Survey'!P686)"),"")</f>
        <v/>
      </c>
    </row>
    <row r="688" spans="1:41" ht="14">
      <c r="A688" s="49"/>
      <c r="B688" s="49"/>
      <c r="C688" s="47"/>
      <c r="D688" s="49"/>
      <c r="E688" s="49"/>
      <c r="F688" s="49" t="b">
        <v>0</v>
      </c>
      <c r="G688" s="49"/>
      <c r="H688" s="47"/>
      <c r="I688" s="47"/>
      <c r="J688" s="49"/>
      <c r="K688" s="49"/>
      <c r="L688" s="49"/>
      <c r="M688" s="49"/>
      <c r="N688" s="49"/>
      <c r="O688" s="49" t="b">
        <v>0</v>
      </c>
      <c r="P688" s="49"/>
      <c r="Q688" s="49"/>
      <c r="R688" s="49"/>
      <c r="S688" s="49"/>
      <c r="T688" s="49"/>
      <c r="U688" s="58"/>
      <c r="V688" s="49"/>
      <c r="W688" s="58"/>
      <c r="X688" s="49"/>
      <c r="Y688" s="47"/>
      <c r="Z688" s="175" t="str">
        <f ca="1">IFERROR(__xludf.DUMMYFUNCTION("QUERY('Volunteer Survey'!A687)"),"")</f>
        <v/>
      </c>
      <c r="AA688" s="175" t="str">
        <f ca="1">IFERROR(__xludf.DUMMYFUNCTION("QUERY('Volunteer Survey'!B687)"),"")</f>
        <v/>
      </c>
      <c r="AB688" s="175" t="str">
        <f ca="1">IFERROR(__xludf.DUMMYFUNCTION("QUERY('Volunteer Survey'!C687)"),"")</f>
        <v/>
      </c>
      <c r="AC688" s="175" t="str">
        <f ca="1">IFERROR(__xludf.DUMMYFUNCTION("QUERY('Volunteer Survey'!D687)"),"")</f>
        <v/>
      </c>
      <c r="AD688" s="175" t="str">
        <f ca="1">IFERROR(__xludf.DUMMYFUNCTION("QUERY('Volunteer Survey'!E687)"),"")</f>
        <v/>
      </c>
      <c r="AE688" s="175" t="str">
        <f ca="1">IFERROR(__xludf.DUMMYFUNCTION("QUERY('Volunteer Survey'!F687)"),"")</f>
        <v/>
      </c>
      <c r="AF688" s="175" t="str">
        <f ca="1">IFERROR(__xludf.DUMMYFUNCTION("QUERY('Volunteer Survey'!G687)"),"")</f>
        <v/>
      </c>
      <c r="AG688" s="175" t="str">
        <f ca="1">IFERROR(__xludf.DUMMYFUNCTION("QUERY('Volunteer Survey'!H687)"),"")</f>
        <v/>
      </c>
      <c r="AH688" s="175" t="str">
        <f ca="1">IFERROR(__xludf.DUMMYFUNCTION("QUERY('Volunteer Survey'!I687)"),"")</f>
        <v/>
      </c>
      <c r="AI688" s="175" t="str">
        <f ca="1">IFERROR(__xludf.DUMMYFUNCTION("QUERY('Volunteer Survey'!J687)"),"")</f>
        <v/>
      </c>
      <c r="AJ688" s="175" t="str">
        <f ca="1">IFERROR(__xludf.DUMMYFUNCTION("QUERY('Volunteer Survey'!K687)"),"")</f>
        <v/>
      </c>
      <c r="AK688" s="175" t="str">
        <f ca="1">IFERROR(__xludf.DUMMYFUNCTION("QUERY('Volunteer Survey'!L687)"),"")</f>
        <v/>
      </c>
      <c r="AL688" s="175" t="str">
        <f ca="1">IFERROR(__xludf.DUMMYFUNCTION("QUERY('Volunteer Survey'!M687)"),"")</f>
        <v/>
      </c>
      <c r="AM688" s="175" t="str">
        <f ca="1">IFERROR(__xludf.DUMMYFUNCTION("QUERY('Volunteer Survey'!N687)"),"")</f>
        <v/>
      </c>
      <c r="AN688" s="175" t="str">
        <f ca="1">IFERROR(__xludf.DUMMYFUNCTION("QUERY('Volunteer Survey'!O687)"),"")</f>
        <v/>
      </c>
      <c r="AO688" s="175" t="str">
        <f ca="1">IFERROR(__xludf.DUMMYFUNCTION("QUERY('Volunteer Survey'!P687)"),"")</f>
        <v/>
      </c>
    </row>
    <row r="689" spans="1:41" ht="14">
      <c r="A689" s="49"/>
      <c r="B689" s="49"/>
      <c r="C689" s="47"/>
      <c r="D689" s="49"/>
      <c r="E689" s="49"/>
      <c r="F689" s="49" t="b">
        <v>0</v>
      </c>
      <c r="G689" s="49"/>
      <c r="H689" s="47"/>
      <c r="I689" s="47"/>
      <c r="J689" s="49"/>
      <c r="K689" s="49"/>
      <c r="L689" s="49"/>
      <c r="M689" s="49"/>
      <c r="N689" s="49"/>
      <c r="O689" s="49" t="b">
        <v>0</v>
      </c>
      <c r="P689" s="49"/>
      <c r="Q689" s="49"/>
      <c r="R689" s="49"/>
      <c r="S689" s="49"/>
      <c r="T689" s="49"/>
      <c r="U689" s="58"/>
      <c r="V689" s="49"/>
      <c r="W689" s="58"/>
      <c r="X689" s="49"/>
      <c r="Y689" s="47"/>
      <c r="Z689" s="175" t="str">
        <f ca="1">IFERROR(__xludf.DUMMYFUNCTION("QUERY('Volunteer Survey'!A688)"),"")</f>
        <v/>
      </c>
      <c r="AA689" s="175" t="str">
        <f ca="1">IFERROR(__xludf.DUMMYFUNCTION("QUERY('Volunteer Survey'!B688)"),"")</f>
        <v/>
      </c>
      <c r="AB689" s="175" t="str">
        <f ca="1">IFERROR(__xludf.DUMMYFUNCTION("QUERY('Volunteer Survey'!C688)"),"")</f>
        <v/>
      </c>
      <c r="AC689" s="175" t="str">
        <f ca="1">IFERROR(__xludf.DUMMYFUNCTION("QUERY('Volunteer Survey'!D688)"),"")</f>
        <v/>
      </c>
      <c r="AD689" s="175" t="str">
        <f ca="1">IFERROR(__xludf.DUMMYFUNCTION("QUERY('Volunteer Survey'!E688)"),"")</f>
        <v/>
      </c>
      <c r="AE689" s="175" t="str">
        <f ca="1">IFERROR(__xludf.DUMMYFUNCTION("QUERY('Volunteer Survey'!F688)"),"")</f>
        <v/>
      </c>
      <c r="AF689" s="175" t="str">
        <f ca="1">IFERROR(__xludf.DUMMYFUNCTION("QUERY('Volunteer Survey'!G688)"),"")</f>
        <v/>
      </c>
      <c r="AG689" s="175" t="str">
        <f ca="1">IFERROR(__xludf.DUMMYFUNCTION("QUERY('Volunteer Survey'!H688)"),"")</f>
        <v/>
      </c>
      <c r="AH689" s="175" t="str">
        <f ca="1">IFERROR(__xludf.DUMMYFUNCTION("QUERY('Volunteer Survey'!I688)"),"")</f>
        <v/>
      </c>
      <c r="AI689" s="175" t="str">
        <f ca="1">IFERROR(__xludf.DUMMYFUNCTION("QUERY('Volunteer Survey'!J688)"),"")</f>
        <v/>
      </c>
      <c r="AJ689" s="175" t="str">
        <f ca="1">IFERROR(__xludf.DUMMYFUNCTION("QUERY('Volunteer Survey'!K688)"),"")</f>
        <v/>
      </c>
      <c r="AK689" s="175" t="str">
        <f ca="1">IFERROR(__xludf.DUMMYFUNCTION("QUERY('Volunteer Survey'!L688)"),"")</f>
        <v/>
      </c>
      <c r="AL689" s="175" t="str">
        <f ca="1">IFERROR(__xludf.DUMMYFUNCTION("QUERY('Volunteer Survey'!M688)"),"")</f>
        <v/>
      </c>
      <c r="AM689" s="175" t="str">
        <f ca="1">IFERROR(__xludf.DUMMYFUNCTION("QUERY('Volunteer Survey'!N688)"),"")</f>
        <v/>
      </c>
      <c r="AN689" s="175" t="str">
        <f ca="1">IFERROR(__xludf.DUMMYFUNCTION("QUERY('Volunteer Survey'!O688)"),"")</f>
        <v/>
      </c>
      <c r="AO689" s="175" t="str">
        <f ca="1">IFERROR(__xludf.DUMMYFUNCTION("QUERY('Volunteer Survey'!P688)"),"")</f>
        <v/>
      </c>
    </row>
    <row r="690" spans="1:41" ht="14">
      <c r="A690" s="49"/>
      <c r="B690" s="49"/>
      <c r="C690" s="47"/>
      <c r="D690" s="49"/>
      <c r="E690" s="49"/>
      <c r="F690" s="49" t="b">
        <v>0</v>
      </c>
      <c r="G690" s="49"/>
      <c r="H690" s="47"/>
      <c r="I690" s="47"/>
      <c r="J690" s="49"/>
      <c r="K690" s="49"/>
      <c r="L690" s="49"/>
      <c r="M690" s="49"/>
      <c r="N690" s="49"/>
      <c r="O690" s="49" t="b">
        <v>0</v>
      </c>
      <c r="P690" s="49"/>
      <c r="Q690" s="49"/>
      <c r="R690" s="49"/>
      <c r="S690" s="49"/>
      <c r="T690" s="49"/>
      <c r="U690" s="58"/>
      <c r="V690" s="49"/>
      <c r="W690" s="58"/>
      <c r="X690" s="49"/>
      <c r="Y690" s="47"/>
      <c r="Z690" s="175" t="str">
        <f ca="1">IFERROR(__xludf.DUMMYFUNCTION("QUERY('Volunteer Survey'!A689)"),"")</f>
        <v/>
      </c>
      <c r="AA690" s="175" t="str">
        <f ca="1">IFERROR(__xludf.DUMMYFUNCTION("QUERY('Volunteer Survey'!B689)"),"")</f>
        <v/>
      </c>
      <c r="AB690" s="175" t="str">
        <f ca="1">IFERROR(__xludf.DUMMYFUNCTION("QUERY('Volunteer Survey'!C689)"),"")</f>
        <v/>
      </c>
      <c r="AC690" s="175" t="str">
        <f ca="1">IFERROR(__xludf.DUMMYFUNCTION("QUERY('Volunteer Survey'!D689)"),"")</f>
        <v/>
      </c>
      <c r="AD690" s="175" t="str">
        <f ca="1">IFERROR(__xludf.DUMMYFUNCTION("QUERY('Volunteer Survey'!E689)"),"")</f>
        <v/>
      </c>
      <c r="AE690" s="175" t="str">
        <f ca="1">IFERROR(__xludf.DUMMYFUNCTION("QUERY('Volunteer Survey'!F689)"),"")</f>
        <v/>
      </c>
      <c r="AF690" s="175" t="str">
        <f ca="1">IFERROR(__xludf.DUMMYFUNCTION("QUERY('Volunteer Survey'!G689)"),"")</f>
        <v/>
      </c>
      <c r="AG690" s="175" t="str">
        <f ca="1">IFERROR(__xludf.DUMMYFUNCTION("QUERY('Volunteer Survey'!H689)"),"")</f>
        <v/>
      </c>
      <c r="AH690" s="175" t="str">
        <f ca="1">IFERROR(__xludf.DUMMYFUNCTION("QUERY('Volunteer Survey'!I689)"),"")</f>
        <v/>
      </c>
      <c r="AI690" s="175" t="str">
        <f ca="1">IFERROR(__xludf.DUMMYFUNCTION("QUERY('Volunteer Survey'!J689)"),"")</f>
        <v/>
      </c>
      <c r="AJ690" s="175" t="str">
        <f ca="1">IFERROR(__xludf.DUMMYFUNCTION("QUERY('Volunteer Survey'!K689)"),"")</f>
        <v/>
      </c>
      <c r="AK690" s="175" t="str">
        <f ca="1">IFERROR(__xludf.DUMMYFUNCTION("QUERY('Volunteer Survey'!L689)"),"")</f>
        <v/>
      </c>
      <c r="AL690" s="175" t="str">
        <f ca="1">IFERROR(__xludf.DUMMYFUNCTION("QUERY('Volunteer Survey'!M689)"),"")</f>
        <v/>
      </c>
      <c r="AM690" s="175" t="str">
        <f ca="1">IFERROR(__xludf.DUMMYFUNCTION("QUERY('Volunteer Survey'!N689)"),"")</f>
        <v/>
      </c>
      <c r="AN690" s="175" t="str">
        <f ca="1">IFERROR(__xludf.DUMMYFUNCTION("QUERY('Volunteer Survey'!O689)"),"")</f>
        <v/>
      </c>
      <c r="AO690" s="175" t="str">
        <f ca="1">IFERROR(__xludf.DUMMYFUNCTION("QUERY('Volunteer Survey'!P689)"),"")</f>
        <v/>
      </c>
    </row>
    <row r="691" spans="1:41" ht="14">
      <c r="A691" s="49"/>
      <c r="B691" s="49"/>
      <c r="C691" s="47"/>
      <c r="D691" s="49"/>
      <c r="E691" s="49"/>
      <c r="F691" s="49" t="b">
        <v>0</v>
      </c>
      <c r="G691" s="49"/>
      <c r="H691" s="47"/>
      <c r="I691" s="47"/>
      <c r="J691" s="49"/>
      <c r="K691" s="49"/>
      <c r="L691" s="49"/>
      <c r="M691" s="49"/>
      <c r="N691" s="49"/>
      <c r="O691" s="49" t="b">
        <v>0</v>
      </c>
      <c r="P691" s="49"/>
      <c r="Q691" s="49"/>
      <c r="R691" s="49"/>
      <c r="S691" s="49"/>
      <c r="T691" s="49"/>
      <c r="U691" s="58"/>
      <c r="V691" s="49"/>
      <c r="W691" s="58"/>
      <c r="X691" s="49"/>
      <c r="Y691" s="47"/>
      <c r="Z691" s="175" t="str">
        <f ca="1">IFERROR(__xludf.DUMMYFUNCTION("QUERY('Volunteer Survey'!A690)"),"")</f>
        <v/>
      </c>
      <c r="AA691" s="175" t="str">
        <f ca="1">IFERROR(__xludf.DUMMYFUNCTION("QUERY('Volunteer Survey'!B690)"),"")</f>
        <v/>
      </c>
      <c r="AB691" s="175" t="str">
        <f ca="1">IFERROR(__xludf.DUMMYFUNCTION("QUERY('Volunteer Survey'!C690)"),"")</f>
        <v/>
      </c>
      <c r="AC691" s="175" t="str">
        <f ca="1">IFERROR(__xludf.DUMMYFUNCTION("QUERY('Volunteer Survey'!D690)"),"")</f>
        <v/>
      </c>
      <c r="AD691" s="175" t="str">
        <f ca="1">IFERROR(__xludf.DUMMYFUNCTION("QUERY('Volunteer Survey'!E690)"),"")</f>
        <v/>
      </c>
      <c r="AE691" s="175" t="str">
        <f ca="1">IFERROR(__xludf.DUMMYFUNCTION("QUERY('Volunteer Survey'!F690)"),"")</f>
        <v/>
      </c>
      <c r="AF691" s="175" t="str">
        <f ca="1">IFERROR(__xludf.DUMMYFUNCTION("QUERY('Volunteer Survey'!G690)"),"")</f>
        <v/>
      </c>
      <c r="AG691" s="175" t="str">
        <f ca="1">IFERROR(__xludf.DUMMYFUNCTION("QUERY('Volunteer Survey'!H690)"),"")</f>
        <v/>
      </c>
      <c r="AH691" s="175" t="str">
        <f ca="1">IFERROR(__xludf.DUMMYFUNCTION("QUERY('Volunteer Survey'!I690)"),"")</f>
        <v/>
      </c>
      <c r="AI691" s="175" t="str">
        <f ca="1">IFERROR(__xludf.DUMMYFUNCTION("QUERY('Volunteer Survey'!J690)"),"")</f>
        <v/>
      </c>
      <c r="AJ691" s="175" t="str">
        <f ca="1">IFERROR(__xludf.DUMMYFUNCTION("QUERY('Volunteer Survey'!K690)"),"")</f>
        <v/>
      </c>
      <c r="AK691" s="175" t="str">
        <f ca="1">IFERROR(__xludf.DUMMYFUNCTION("QUERY('Volunteer Survey'!L690)"),"")</f>
        <v/>
      </c>
      <c r="AL691" s="175" t="str">
        <f ca="1">IFERROR(__xludf.DUMMYFUNCTION("QUERY('Volunteer Survey'!M690)"),"")</f>
        <v/>
      </c>
      <c r="AM691" s="175" t="str">
        <f ca="1">IFERROR(__xludf.DUMMYFUNCTION("QUERY('Volunteer Survey'!N690)"),"")</f>
        <v/>
      </c>
      <c r="AN691" s="175" t="str">
        <f ca="1">IFERROR(__xludf.DUMMYFUNCTION("QUERY('Volunteer Survey'!O690)"),"")</f>
        <v/>
      </c>
      <c r="AO691" s="175" t="str">
        <f ca="1">IFERROR(__xludf.DUMMYFUNCTION("QUERY('Volunteer Survey'!P690)"),"")</f>
        <v/>
      </c>
    </row>
    <row r="692" spans="1:41" ht="14">
      <c r="A692" s="49"/>
      <c r="B692" s="49"/>
      <c r="C692" s="47"/>
      <c r="D692" s="49"/>
      <c r="E692" s="49"/>
      <c r="F692" s="49" t="b">
        <v>0</v>
      </c>
      <c r="G692" s="49"/>
      <c r="H692" s="47"/>
      <c r="I692" s="47"/>
      <c r="J692" s="49"/>
      <c r="K692" s="49"/>
      <c r="L692" s="49"/>
      <c r="M692" s="49"/>
      <c r="N692" s="49"/>
      <c r="O692" s="49" t="b">
        <v>0</v>
      </c>
      <c r="P692" s="49"/>
      <c r="Q692" s="49"/>
      <c r="R692" s="49"/>
      <c r="S692" s="49"/>
      <c r="T692" s="49"/>
      <c r="U692" s="58"/>
      <c r="V692" s="49"/>
      <c r="W692" s="58"/>
      <c r="X692" s="49"/>
      <c r="Y692" s="47"/>
      <c r="Z692" s="175" t="str">
        <f ca="1">IFERROR(__xludf.DUMMYFUNCTION("QUERY('Volunteer Survey'!A691)"),"")</f>
        <v/>
      </c>
      <c r="AA692" s="175" t="str">
        <f ca="1">IFERROR(__xludf.DUMMYFUNCTION("QUERY('Volunteer Survey'!B691)"),"")</f>
        <v/>
      </c>
      <c r="AB692" s="175" t="str">
        <f ca="1">IFERROR(__xludf.DUMMYFUNCTION("QUERY('Volunteer Survey'!C691)"),"")</f>
        <v/>
      </c>
      <c r="AC692" s="175" t="str">
        <f ca="1">IFERROR(__xludf.DUMMYFUNCTION("QUERY('Volunteer Survey'!D691)"),"")</f>
        <v/>
      </c>
      <c r="AD692" s="175" t="str">
        <f ca="1">IFERROR(__xludf.DUMMYFUNCTION("QUERY('Volunteer Survey'!E691)"),"")</f>
        <v/>
      </c>
      <c r="AE692" s="175" t="str">
        <f ca="1">IFERROR(__xludf.DUMMYFUNCTION("QUERY('Volunteer Survey'!F691)"),"")</f>
        <v/>
      </c>
      <c r="AF692" s="175" t="str">
        <f ca="1">IFERROR(__xludf.DUMMYFUNCTION("QUERY('Volunteer Survey'!G691)"),"")</f>
        <v/>
      </c>
      <c r="AG692" s="175" t="str">
        <f ca="1">IFERROR(__xludf.DUMMYFUNCTION("QUERY('Volunteer Survey'!H691)"),"")</f>
        <v/>
      </c>
      <c r="AH692" s="175" t="str">
        <f ca="1">IFERROR(__xludf.DUMMYFUNCTION("QUERY('Volunteer Survey'!I691)"),"")</f>
        <v/>
      </c>
      <c r="AI692" s="175" t="str">
        <f ca="1">IFERROR(__xludf.DUMMYFUNCTION("QUERY('Volunteer Survey'!J691)"),"")</f>
        <v/>
      </c>
      <c r="AJ692" s="175" t="str">
        <f ca="1">IFERROR(__xludf.DUMMYFUNCTION("QUERY('Volunteer Survey'!K691)"),"")</f>
        <v/>
      </c>
      <c r="AK692" s="175" t="str">
        <f ca="1">IFERROR(__xludf.DUMMYFUNCTION("QUERY('Volunteer Survey'!L691)"),"")</f>
        <v/>
      </c>
      <c r="AL692" s="175" t="str">
        <f ca="1">IFERROR(__xludf.DUMMYFUNCTION("QUERY('Volunteer Survey'!M691)"),"")</f>
        <v/>
      </c>
      <c r="AM692" s="175" t="str">
        <f ca="1">IFERROR(__xludf.DUMMYFUNCTION("QUERY('Volunteer Survey'!N691)"),"")</f>
        <v/>
      </c>
      <c r="AN692" s="175" t="str">
        <f ca="1">IFERROR(__xludf.DUMMYFUNCTION("QUERY('Volunteer Survey'!O691)"),"")</f>
        <v/>
      </c>
      <c r="AO692" s="175" t="str">
        <f ca="1">IFERROR(__xludf.DUMMYFUNCTION("QUERY('Volunteer Survey'!P691)"),"")</f>
        <v/>
      </c>
    </row>
    <row r="693" spans="1:41" ht="14">
      <c r="A693" s="49"/>
      <c r="B693" s="49"/>
      <c r="C693" s="47"/>
      <c r="D693" s="49"/>
      <c r="E693" s="49"/>
      <c r="F693" s="49" t="b">
        <v>0</v>
      </c>
      <c r="G693" s="49"/>
      <c r="H693" s="47"/>
      <c r="I693" s="47"/>
      <c r="J693" s="49"/>
      <c r="K693" s="49"/>
      <c r="L693" s="49"/>
      <c r="M693" s="49"/>
      <c r="N693" s="49"/>
      <c r="O693" s="49" t="b">
        <v>0</v>
      </c>
      <c r="P693" s="49"/>
      <c r="Q693" s="49"/>
      <c r="R693" s="49"/>
      <c r="S693" s="49"/>
      <c r="T693" s="49"/>
      <c r="U693" s="58"/>
      <c r="V693" s="49"/>
      <c r="W693" s="58"/>
      <c r="X693" s="49"/>
      <c r="Y693" s="47"/>
      <c r="Z693" s="175" t="str">
        <f ca="1">IFERROR(__xludf.DUMMYFUNCTION("QUERY('Volunteer Survey'!A692)"),"")</f>
        <v/>
      </c>
      <c r="AA693" s="175" t="str">
        <f ca="1">IFERROR(__xludf.DUMMYFUNCTION("QUERY('Volunteer Survey'!B692)"),"")</f>
        <v/>
      </c>
      <c r="AB693" s="175" t="str">
        <f ca="1">IFERROR(__xludf.DUMMYFUNCTION("QUERY('Volunteer Survey'!C692)"),"")</f>
        <v/>
      </c>
      <c r="AC693" s="175" t="str">
        <f ca="1">IFERROR(__xludf.DUMMYFUNCTION("QUERY('Volunteer Survey'!D692)"),"")</f>
        <v/>
      </c>
      <c r="AD693" s="175" t="str">
        <f ca="1">IFERROR(__xludf.DUMMYFUNCTION("QUERY('Volunteer Survey'!E692)"),"")</f>
        <v/>
      </c>
      <c r="AE693" s="175" t="str">
        <f ca="1">IFERROR(__xludf.DUMMYFUNCTION("QUERY('Volunteer Survey'!F692)"),"")</f>
        <v/>
      </c>
      <c r="AF693" s="175" t="str">
        <f ca="1">IFERROR(__xludf.DUMMYFUNCTION("QUERY('Volunteer Survey'!G692)"),"")</f>
        <v/>
      </c>
      <c r="AG693" s="175" t="str">
        <f ca="1">IFERROR(__xludf.DUMMYFUNCTION("QUERY('Volunteer Survey'!H692)"),"")</f>
        <v/>
      </c>
      <c r="AH693" s="175" t="str">
        <f ca="1">IFERROR(__xludf.DUMMYFUNCTION("QUERY('Volunteer Survey'!I692)"),"")</f>
        <v/>
      </c>
      <c r="AI693" s="175" t="str">
        <f ca="1">IFERROR(__xludf.DUMMYFUNCTION("QUERY('Volunteer Survey'!J692)"),"")</f>
        <v/>
      </c>
      <c r="AJ693" s="175" t="str">
        <f ca="1">IFERROR(__xludf.DUMMYFUNCTION("QUERY('Volunteer Survey'!K692)"),"")</f>
        <v/>
      </c>
      <c r="AK693" s="175" t="str">
        <f ca="1">IFERROR(__xludf.DUMMYFUNCTION("QUERY('Volunteer Survey'!L692)"),"")</f>
        <v/>
      </c>
      <c r="AL693" s="175" t="str">
        <f ca="1">IFERROR(__xludf.DUMMYFUNCTION("QUERY('Volunteer Survey'!M692)"),"")</f>
        <v/>
      </c>
      <c r="AM693" s="175" t="str">
        <f ca="1">IFERROR(__xludf.DUMMYFUNCTION("QUERY('Volunteer Survey'!N692)"),"")</f>
        <v/>
      </c>
      <c r="AN693" s="175" t="str">
        <f ca="1">IFERROR(__xludf.DUMMYFUNCTION("QUERY('Volunteer Survey'!O692)"),"")</f>
        <v/>
      </c>
      <c r="AO693" s="175" t="str">
        <f ca="1">IFERROR(__xludf.DUMMYFUNCTION("QUERY('Volunteer Survey'!P692)"),"")</f>
        <v/>
      </c>
    </row>
    <row r="694" spans="1:41" ht="14">
      <c r="A694" s="49"/>
      <c r="B694" s="49"/>
      <c r="C694" s="47"/>
      <c r="D694" s="49"/>
      <c r="E694" s="49"/>
      <c r="F694" s="49" t="b">
        <v>0</v>
      </c>
      <c r="G694" s="49"/>
      <c r="H694" s="47"/>
      <c r="I694" s="47"/>
      <c r="J694" s="49"/>
      <c r="K694" s="49"/>
      <c r="L694" s="49"/>
      <c r="M694" s="49"/>
      <c r="N694" s="49"/>
      <c r="O694" s="49" t="b">
        <v>0</v>
      </c>
      <c r="P694" s="49"/>
      <c r="Q694" s="49"/>
      <c r="R694" s="49"/>
      <c r="S694" s="49"/>
      <c r="T694" s="49"/>
      <c r="U694" s="58"/>
      <c r="V694" s="49"/>
      <c r="W694" s="58"/>
      <c r="X694" s="49"/>
      <c r="Y694" s="47"/>
      <c r="Z694" s="175" t="str">
        <f ca="1">IFERROR(__xludf.DUMMYFUNCTION("QUERY('Volunteer Survey'!A693)"),"")</f>
        <v/>
      </c>
      <c r="AA694" s="175" t="str">
        <f ca="1">IFERROR(__xludf.DUMMYFUNCTION("QUERY('Volunteer Survey'!B693)"),"")</f>
        <v/>
      </c>
      <c r="AB694" s="175" t="str">
        <f ca="1">IFERROR(__xludf.DUMMYFUNCTION("QUERY('Volunteer Survey'!C693)"),"")</f>
        <v/>
      </c>
      <c r="AC694" s="175" t="str">
        <f ca="1">IFERROR(__xludf.DUMMYFUNCTION("QUERY('Volunteer Survey'!D693)"),"")</f>
        <v/>
      </c>
      <c r="AD694" s="175" t="str">
        <f ca="1">IFERROR(__xludf.DUMMYFUNCTION("QUERY('Volunteer Survey'!E693)"),"")</f>
        <v/>
      </c>
      <c r="AE694" s="175" t="str">
        <f ca="1">IFERROR(__xludf.DUMMYFUNCTION("QUERY('Volunteer Survey'!F693)"),"")</f>
        <v/>
      </c>
      <c r="AF694" s="175" t="str">
        <f ca="1">IFERROR(__xludf.DUMMYFUNCTION("QUERY('Volunteer Survey'!G693)"),"")</f>
        <v/>
      </c>
      <c r="AG694" s="175" t="str">
        <f ca="1">IFERROR(__xludf.DUMMYFUNCTION("QUERY('Volunteer Survey'!H693)"),"")</f>
        <v/>
      </c>
      <c r="AH694" s="175" t="str">
        <f ca="1">IFERROR(__xludf.DUMMYFUNCTION("QUERY('Volunteer Survey'!I693)"),"")</f>
        <v/>
      </c>
      <c r="AI694" s="175" t="str">
        <f ca="1">IFERROR(__xludf.DUMMYFUNCTION("QUERY('Volunteer Survey'!J693)"),"")</f>
        <v/>
      </c>
      <c r="AJ694" s="175" t="str">
        <f ca="1">IFERROR(__xludf.DUMMYFUNCTION("QUERY('Volunteer Survey'!K693)"),"")</f>
        <v/>
      </c>
      <c r="AK694" s="175" t="str">
        <f ca="1">IFERROR(__xludf.DUMMYFUNCTION("QUERY('Volunteer Survey'!L693)"),"")</f>
        <v/>
      </c>
      <c r="AL694" s="175" t="str">
        <f ca="1">IFERROR(__xludf.DUMMYFUNCTION("QUERY('Volunteer Survey'!M693)"),"")</f>
        <v/>
      </c>
      <c r="AM694" s="175" t="str">
        <f ca="1">IFERROR(__xludf.DUMMYFUNCTION("QUERY('Volunteer Survey'!N693)"),"")</f>
        <v/>
      </c>
      <c r="AN694" s="175" t="str">
        <f ca="1">IFERROR(__xludf.DUMMYFUNCTION("QUERY('Volunteer Survey'!O693)"),"")</f>
        <v/>
      </c>
      <c r="AO694" s="175" t="str">
        <f ca="1">IFERROR(__xludf.DUMMYFUNCTION("QUERY('Volunteer Survey'!P693)"),"")</f>
        <v/>
      </c>
    </row>
    <row r="695" spans="1:41" ht="14">
      <c r="A695" s="49"/>
      <c r="B695" s="49"/>
      <c r="C695" s="47"/>
      <c r="D695" s="49"/>
      <c r="E695" s="49"/>
      <c r="F695" s="49" t="b">
        <v>0</v>
      </c>
      <c r="G695" s="49"/>
      <c r="H695" s="47"/>
      <c r="I695" s="47"/>
      <c r="J695" s="49"/>
      <c r="K695" s="49"/>
      <c r="L695" s="49"/>
      <c r="M695" s="49"/>
      <c r="N695" s="49"/>
      <c r="O695" s="49" t="b">
        <v>0</v>
      </c>
      <c r="P695" s="49"/>
      <c r="Q695" s="49"/>
      <c r="R695" s="49"/>
      <c r="S695" s="49"/>
      <c r="T695" s="49"/>
      <c r="U695" s="58"/>
      <c r="V695" s="49"/>
      <c r="W695" s="58"/>
      <c r="X695" s="49"/>
      <c r="Y695" s="47"/>
      <c r="Z695" s="175" t="str">
        <f ca="1">IFERROR(__xludf.DUMMYFUNCTION("QUERY('Volunteer Survey'!A694)"),"")</f>
        <v/>
      </c>
      <c r="AA695" s="175" t="str">
        <f ca="1">IFERROR(__xludf.DUMMYFUNCTION("QUERY('Volunteer Survey'!B694)"),"")</f>
        <v/>
      </c>
      <c r="AB695" s="175" t="str">
        <f ca="1">IFERROR(__xludf.DUMMYFUNCTION("QUERY('Volunteer Survey'!C694)"),"")</f>
        <v/>
      </c>
      <c r="AC695" s="175" t="str">
        <f ca="1">IFERROR(__xludf.DUMMYFUNCTION("QUERY('Volunteer Survey'!D694)"),"")</f>
        <v/>
      </c>
      <c r="AD695" s="175" t="str">
        <f ca="1">IFERROR(__xludf.DUMMYFUNCTION("QUERY('Volunteer Survey'!E694)"),"")</f>
        <v/>
      </c>
      <c r="AE695" s="175" t="str">
        <f ca="1">IFERROR(__xludf.DUMMYFUNCTION("QUERY('Volunteer Survey'!F694)"),"")</f>
        <v/>
      </c>
      <c r="AF695" s="175" t="str">
        <f ca="1">IFERROR(__xludf.DUMMYFUNCTION("QUERY('Volunteer Survey'!G694)"),"")</f>
        <v/>
      </c>
      <c r="AG695" s="175" t="str">
        <f ca="1">IFERROR(__xludf.DUMMYFUNCTION("QUERY('Volunteer Survey'!H694)"),"")</f>
        <v/>
      </c>
      <c r="AH695" s="175" t="str">
        <f ca="1">IFERROR(__xludf.DUMMYFUNCTION("QUERY('Volunteer Survey'!I694)"),"")</f>
        <v/>
      </c>
      <c r="AI695" s="175" t="str">
        <f ca="1">IFERROR(__xludf.DUMMYFUNCTION("QUERY('Volunteer Survey'!J694)"),"")</f>
        <v/>
      </c>
      <c r="AJ695" s="175" t="str">
        <f ca="1">IFERROR(__xludf.DUMMYFUNCTION("QUERY('Volunteer Survey'!K694)"),"")</f>
        <v/>
      </c>
      <c r="AK695" s="175" t="str">
        <f ca="1">IFERROR(__xludf.DUMMYFUNCTION("QUERY('Volunteer Survey'!L694)"),"")</f>
        <v/>
      </c>
      <c r="AL695" s="175" t="str">
        <f ca="1">IFERROR(__xludf.DUMMYFUNCTION("QUERY('Volunteer Survey'!M694)"),"")</f>
        <v/>
      </c>
      <c r="AM695" s="175" t="str">
        <f ca="1">IFERROR(__xludf.DUMMYFUNCTION("QUERY('Volunteer Survey'!N694)"),"")</f>
        <v/>
      </c>
      <c r="AN695" s="175" t="str">
        <f ca="1">IFERROR(__xludf.DUMMYFUNCTION("QUERY('Volunteer Survey'!O694)"),"")</f>
        <v/>
      </c>
      <c r="AO695" s="175" t="str">
        <f ca="1">IFERROR(__xludf.DUMMYFUNCTION("QUERY('Volunteer Survey'!P694)"),"")</f>
        <v/>
      </c>
    </row>
    <row r="696" spans="1:41" ht="14">
      <c r="A696" s="49"/>
      <c r="B696" s="49"/>
      <c r="C696" s="47"/>
      <c r="D696" s="49"/>
      <c r="E696" s="49"/>
      <c r="F696" s="49" t="b">
        <v>0</v>
      </c>
      <c r="G696" s="49"/>
      <c r="H696" s="47"/>
      <c r="I696" s="47"/>
      <c r="J696" s="49"/>
      <c r="K696" s="49"/>
      <c r="L696" s="49"/>
      <c r="M696" s="49"/>
      <c r="N696" s="49"/>
      <c r="O696" s="49" t="b">
        <v>0</v>
      </c>
      <c r="P696" s="49"/>
      <c r="Q696" s="49"/>
      <c r="R696" s="49"/>
      <c r="S696" s="49"/>
      <c r="T696" s="49"/>
      <c r="U696" s="58"/>
      <c r="V696" s="49"/>
      <c r="W696" s="58"/>
      <c r="X696" s="49"/>
      <c r="Y696" s="47"/>
      <c r="Z696" s="175" t="str">
        <f ca="1">IFERROR(__xludf.DUMMYFUNCTION("QUERY('Volunteer Survey'!A695)"),"")</f>
        <v/>
      </c>
      <c r="AA696" s="175" t="str">
        <f ca="1">IFERROR(__xludf.DUMMYFUNCTION("QUERY('Volunteer Survey'!B695)"),"")</f>
        <v/>
      </c>
      <c r="AB696" s="175" t="str">
        <f ca="1">IFERROR(__xludf.DUMMYFUNCTION("QUERY('Volunteer Survey'!C695)"),"")</f>
        <v/>
      </c>
      <c r="AC696" s="175" t="str">
        <f ca="1">IFERROR(__xludf.DUMMYFUNCTION("QUERY('Volunteer Survey'!D695)"),"")</f>
        <v/>
      </c>
      <c r="AD696" s="175" t="str">
        <f ca="1">IFERROR(__xludf.DUMMYFUNCTION("QUERY('Volunteer Survey'!E695)"),"")</f>
        <v/>
      </c>
      <c r="AE696" s="175" t="str">
        <f ca="1">IFERROR(__xludf.DUMMYFUNCTION("QUERY('Volunteer Survey'!F695)"),"")</f>
        <v/>
      </c>
      <c r="AF696" s="175" t="str">
        <f ca="1">IFERROR(__xludf.DUMMYFUNCTION("QUERY('Volunteer Survey'!G695)"),"")</f>
        <v/>
      </c>
      <c r="AG696" s="175" t="str">
        <f ca="1">IFERROR(__xludf.DUMMYFUNCTION("QUERY('Volunteer Survey'!H695)"),"")</f>
        <v/>
      </c>
      <c r="AH696" s="175" t="str">
        <f ca="1">IFERROR(__xludf.DUMMYFUNCTION("QUERY('Volunteer Survey'!I695)"),"")</f>
        <v/>
      </c>
      <c r="AI696" s="175" t="str">
        <f ca="1">IFERROR(__xludf.DUMMYFUNCTION("QUERY('Volunteer Survey'!J695)"),"")</f>
        <v/>
      </c>
      <c r="AJ696" s="175" t="str">
        <f ca="1">IFERROR(__xludf.DUMMYFUNCTION("QUERY('Volunteer Survey'!K695)"),"")</f>
        <v/>
      </c>
      <c r="AK696" s="175" t="str">
        <f ca="1">IFERROR(__xludf.DUMMYFUNCTION("QUERY('Volunteer Survey'!L695)"),"")</f>
        <v/>
      </c>
      <c r="AL696" s="175" t="str">
        <f ca="1">IFERROR(__xludf.DUMMYFUNCTION("QUERY('Volunteer Survey'!M695)"),"")</f>
        <v/>
      </c>
      <c r="AM696" s="175" t="str">
        <f ca="1">IFERROR(__xludf.DUMMYFUNCTION("QUERY('Volunteer Survey'!N695)"),"")</f>
        <v/>
      </c>
      <c r="AN696" s="175" t="str">
        <f ca="1">IFERROR(__xludf.DUMMYFUNCTION("QUERY('Volunteer Survey'!O695)"),"")</f>
        <v/>
      </c>
      <c r="AO696" s="175" t="str">
        <f ca="1">IFERROR(__xludf.DUMMYFUNCTION("QUERY('Volunteer Survey'!P695)"),"")</f>
        <v/>
      </c>
    </row>
    <row r="697" spans="1:41" ht="14">
      <c r="A697" s="49"/>
      <c r="B697" s="49"/>
      <c r="C697" s="47"/>
      <c r="D697" s="49"/>
      <c r="E697" s="49"/>
      <c r="F697" s="49" t="b">
        <v>0</v>
      </c>
      <c r="G697" s="49"/>
      <c r="H697" s="47"/>
      <c r="I697" s="47"/>
      <c r="J697" s="49"/>
      <c r="K697" s="49"/>
      <c r="L697" s="49"/>
      <c r="M697" s="49"/>
      <c r="N697" s="49"/>
      <c r="O697" s="49" t="b">
        <v>0</v>
      </c>
      <c r="P697" s="49"/>
      <c r="Q697" s="49"/>
      <c r="R697" s="49"/>
      <c r="S697" s="49"/>
      <c r="T697" s="49"/>
      <c r="U697" s="58"/>
      <c r="V697" s="49"/>
      <c r="W697" s="58"/>
      <c r="X697" s="49"/>
      <c r="Y697" s="47"/>
      <c r="Z697" s="175" t="str">
        <f ca="1">IFERROR(__xludf.DUMMYFUNCTION("QUERY('Volunteer Survey'!A696)"),"")</f>
        <v/>
      </c>
      <c r="AA697" s="175" t="str">
        <f ca="1">IFERROR(__xludf.DUMMYFUNCTION("QUERY('Volunteer Survey'!B696)"),"")</f>
        <v/>
      </c>
      <c r="AB697" s="175" t="str">
        <f ca="1">IFERROR(__xludf.DUMMYFUNCTION("QUERY('Volunteer Survey'!C696)"),"")</f>
        <v/>
      </c>
      <c r="AC697" s="175" t="str">
        <f ca="1">IFERROR(__xludf.DUMMYFUNCTION("QUERY('Volunteer Survey'!D696)"),"")</f>
        <v/>
      </c>
      <c r="AD697" s="175" t="str">
        <f ca="1">IFERROR(__xludf.DUMMYFUNCTION("QUERY('Volunteer Survey'!E696)"),"")</f>
        <v/>
      </c>
      <c r="AE697" s="175" t="str">
        <f ca="1">IFERROR(__xludf.DUMMYFUNCTION("QUERY('Volunteer Survey'!F696)"),"")</f>
        <v/>
      </c>
      <c r="AF697" s="175" t="str">
        <f ca="1">IFERROR(__xludf.DUMMYFUNCTION("QUERY('Volunteer Survey'!G696)"),"")</f>
        <v/>
      </c>
      <c r="AG697" s="175" t="str">
        <f ca="1">IFERROR(__xludf.DUMMYFUNCTION("QUERY('Volunteer Survey'!H696)"),"")</f>
        <v/>
      </c>
      <c r="AH697" s="175" t="str">
        <f ca="1">IFERROR(__xludf.DUMMYFUNCTION("QUERY('Volunteer Survey'!I696)"),"")</f>
        <v/>
      </c>
      <c r="AI697" s="175" t="str">
        <f ca="1">IFERROR(__xludf.DUMMYFUNCTION("QUERY('Volunteer Survey'!J696)"),"")</f>
        <v/>
      </c>
      <c r="AJ697" s="175" t="str">
        <f ca="1">IFERROR(__xludf.DUMMYFUNCTION("QUERY('Volunteer Survey'!K696)"),"")</f>
        <v/>
      </c>
      <c r="AK697" s="175" t="str">
        <f ca="1">IFERROR(__xludf.DUMMYFUNCTION("QUERY('Volunteer Survey'!L696)"),"")</f>
        <v/>
      </c>
      <c r="AL697" s="175" t="str">
        <f ca="1">IFERROR(__xludf.DUMMYFUNCTION("QUERY('Volunteer Survey'!M696)"),"")</f>
        <v/>
      </c>
      <c r="AM697" s="175" t="str">
        <f ca="1">IFERROR(__xludf.DUMMYFUNCTION("QUERY('Volunteer Survey'!N696)"),"")</f>
        <v/>
      </c>
      <c r="AN697" s="175" t="str">
        <f ca="1">IFERROR(__xludf.DUMMYFUNCTION("QUERY('Volunteer Survey'!O696)"),"")</f>
        <v/>
      </c>
      <c r="AO697" s="175" t="str">
        <f ca="1">IFERROR(__xludf.DUMMYFUNCTION("QUERY('Volunteer Survey'!P696)"),"")</f>
        <v/>
      </c>
    </row>
    <row r="698" spans="1:41" ht="14">
      <c r="A698" s="49"/>
      <c r="B698" s="49"/>
      <c r="C698" s="47"/>
      <c r="D698" s="49"/>
      <c r="E698" s="49"/>
      <c r="F698" s="49" t="b">
        <v>0</v>
      </c>
      <c r="G698" s="49"/>
      <c r="H698" s="47"/>
      <c r="I698" s="47"/>
      <c r="J698" s="49"/>
      <c r="K698" s="49"/>
      <c r="L698" s="49"/>
      <c r="M698" s="49"/>
      <c r="N698" s="49"/>
      <c r="O698" s="49" t="b">
        <v>0</v>
      </c>
      <c r="P698" s="49"/>
      <c r="Q698" s="49"/>
      <c r="R698" s="49"/>
      <c r="S698" s="49"/>
      <c r="T698" s="49"/>
      <c r="U698" s="58"/>
      <c r="V698" s="49"/>
      <c r="W698" s="58"/>
      <c r="X698" s="49"/>
      <c r="Y698" s="47"/>
      <c r="Z698" s="175" t="str">
        <f ca="1">IFERROR(__xludf.DUMMYFUNCTION("QUERY('Volunteer Survey'!A697)"),"")</f>
        <v/>
      </c>
      <c r="AA698" s="175" t="str">
        <f ca="1">IFERROR(__xludf.DUMMYFUNCTION("QUERY('Volunteer Survey'!B697)"),"")</f>
        <v/>
      </c>
      <c r="AB698" s="175" t="str">
        <f ca="1">IFERROR(__xludf.DUMMYFUNCTION("QUERY('Volunteer Survey'!C697)"),"")</f>
        <v/>
      </c>
      <c r="AC698" s="175" t="str">
        <f ca="1">IFERROR(__xludf.DUMMYFUNCTION("QUERY('Volunteer Survey'!D697)"),"")</f>
        <v/>
      </c>
      <c r="AD698" s="175" t="str">
        <f ca="1">IFERROR(__xludf.DUMMYFUNCTION("QUERY('Volunteer Survey'!E697)"),"")</f>
        <v/>
      </c>
      <c r="AE698" s="175" t="str">
        <f ca="1">IFERROR(__xludf.DUMMYFUNCTION("QUERY('Volunteer Survey'!F697)"),"")</f>
        <v/>
      </c>
      <c r="AF698" s="175" t="str">
        <f ca="1">IFERROR(__xludf.DUMMYFUNCTION("QUERY('Volunteer Survey'!G697)"),"")</f>
        <v/>
      </c>
      <c r="AG698" s="175" t="str">
        <f ca="1">IFERROR(__xludf.DUMMYFUNCTION("QUERY('Volunteer Survey'!H697)"),"")</f>
        <v/>
      </c>
      <c r="AH698" s="175" t="str">
        <f ca="1">IFERROR(__xludf.DUMMYFUNCTION("QUERY('Volunteer Survey'!I697)"),"")</f>
        <v/>
      </c>
      <c r="AI698" s="175" t="str">
        <f ca="1">IFERROR(__xludf.DUMMYFUNCTION("QUERY('Volunteer Survey'!J697)"),"")</f>
        <v/>
      </c>
      <c r="AJ698" s="175" t="str">
        <f ca="1">IFERROR(__xludf.DUMMYFUNCTION("QUERY('Volunteer Survey'!K697)"),"")</f>
        <v/>
      </c>
      <c r="AK698" s="175" t="str">
        <f ca="1">IFERROR(__xludf.DUMMYFUNCTION("QUERY('Volunteer Survey'!L697)"),"")</f>
        <v/>
      </c>
      <c r="AL698" s="175" t="str">
        <f ca="1">IFERROR(__xludf.DUMMYFUNCTION("QUERY('Volunteer Survey'!M697)"),"")</f>
        <v/>
      </c>
      <c r="AM698" s="175" t="str">
        <f ca="1">IFERROR(__xludf.DUMMYFUNCTION("QUERY('Volunteer Survey'!N697)"),"")</f>
        <v/>
      </c>
      <c r="AN698" s="175" t="str">
        <f ca="1">IFERROR(__xludf.DUMMYFUNCTION("QUERY('Volunteer Survey'!O697)"),"")</f>
        <v/>
      </c>
      <c r="AO698" s="175" t="str">
        <f ca="1">IFERROR(__xludf.DUMMYFUNCTION("QUERY('Volunteer Survey'!P697)"),"")</f>
        <v/>
      </c>
    </row>
    <row r="699" spans="1:41" ht="14">
      <c r="A699" s="49"/>
      <c r="B699" s="49"/>
      <c r="C699" s="47"/>
      <c r="D699" s="49"/>
      <c r="E699" s="49"/>
      <c r="F699" s="49" t="b">
        <v>0</v>
      </c>
      <c r="G699" s="49"/>
      <c r="H699" s="47"/>
      <c r="I699" s="47"/>
      <c r="J699" s="49"/>
      <c r="K699" s="49"/>
      <c r="L699" s="49"/>
      <c r="M699" s="49"/>
      <c r="N699" s="49"/>
      <c r="O699" s="49" t="b">
        <v>0</v>
      </c>
      <c r="P699" s="49"/>
      <c r="Q699" s="49"/>
      <c r="R699" s="49"/>
      <c r="S699" s="49"/>
      <c r="T699" s="49"/>
      <c r="U699" s="58"/>
      <c r="V699" s="49"/>
      <c r="W699" s="58"/>
      <c r="X699" s="49"/>
      <c r="Y699" s="47"/>
      <c r="Z699" s="175" t="str">
        <f ca="1">IFERROR(__xludf.DUMMYFUNCTION("QUERY('Volunteer Survey'!A698)"),"")</f>
        <v/>
      </c>
      <c r="AA699" s="175" t="str">
        <f ca="1">IFERROR(__xludf.DUMMYFUNCTION("QUERY('Volunteer Survey'!B698)"),"")</f>
        <v/>
      </c>
      <c r="AB699" s="175" t="str">
        <f ca="1">IFERROR(__xludf.DUMMYFUNCTION("QUERY('Volunteer Survey'!C698)"),"")</f>
        <v/>
      </c>
      <c r="AC699" s="175" t="str">
        <f ca="1">IFERROR(__xludf.DUMMYFUNCTION("QUERY('Volunteer Survey'!D698)"),"")</f>
        <v/>
      </c>
      <c r="AD699" s="175" t="str">
        <f ca="1">IFERROR(__xludf.DUMMYFUNCTION("QUERY('Volunteer Survey'!E698)"),"")</f>
        <v/>
      </c>
      <c r="AE699" s="175" t="str">
        <f ca="1">IFERROR(__xludf.DUMMYFUNCTION("QUERY('Volunteer Survey'!F698)"),"")</f>
        <v/>
      </c>
      <c r="AF699" s="175" t="str">
        <f ca="1">IFERROR(__xludf.DUMMYFUNCTION("QUERY('Volunteer Survey'!G698)"),"")</f>
        <v/>
      </c>
      <c r="AG699" s="175" t="str">
        <f ca="1">IFERROR(__xludf.DUMMYFUNCTION("QUERY('Volunteer Survey'!H698)"),"")</f>
        <v/>
      </c>
      <c r="AH699" s="175" t="str">
        <f ca="1">IFERROR(__xludf.DUMMYFUNCTION("QUERY('Volunteer Survey'!I698)"),"")</f>
        <v/>
      </c>
      <c r="AI699" s="175" t="str">
        <f ca="1">IFERROR(__xludf.DUMMYFUNCTION("QUERY('Volunteer Survey'!J698)"),"")</f>
        <v/>
      </c>
      <c r="AJ699" s="175" t="str">
        <f ca="1">IFERROR(__xludf.DUMMYFUNCTION("QUERY('Volunteer Survey'!K698)"),"")</f>
        <v/>
      </c>
      <c r="AK699" s="175" t="str">
        <f ca="1">IFERROR(__xludf.DUMMYFUNCTION("QUERY('Volunteer Survey'!L698)"),"")</f>
        <v/>
      </c>
      <c r="AL699" s="175" t="str">
        <f ca="1">IFERROR(__xludf.DUMMYFUNCTION("QUERY('Volunteer Survey'!M698)"),"")</f>
        <v/>
      </c>
      <c r="AM699" s="175" t="str">
        <f ca="1">IFERROR(__xludf.DUMMYFUNCTION("QUERY('Volunteer Survey'!N698)"),"")</f>
        <v/>
      </c>
      <c r="AN699" s="175" t="str">
        <f ca="1">IFERROR(__xludf.DUMMYFUNCTION("QUERY('Volunteer Survey'!O698)"),"")</f>
        <v/>
      </c>
      <c r="AO699" s="175" t="str">
        <f ca="1">IFERROR(__xludf.DUMMYFUNCTION("QUERY('Volunteer Survey'!P698)"),"")</f>
        <v/>
      </c>
    </row>
    <row r="700" spans="1:41" ht="14">
      <c r="A700" s="49"/>
      <c r="B700" s="49"/>
      <c r="C700" s="47"/>
      <c r="D700" s="49"/>
      <c r="E700" s="49"/>
      <c r="F700" s="49" t="b">
        <v>0</v>
      </c>
      <c r="G700" s="49"/>
      <c r="H700" s="47"/>
      <c r="I700" s="47"/>
      <c r="J700" s="49"/>
      <c r="K700" s="49"/>
      <c r="L700" s="49"/>
      <c r="M700" s="49"/>
      <c r="N700" s="49"/>
      <c r="O700" s="49" t="b">
        <v>0</v>
      </c>
      <c r="P700" s="49"/>
      <c r="Q700" s="49"/>
      <c r="R700" s="49"/>
      <c r="S700" s="49"/>
      <c r="T700" s="49"/>
      <c r="U700" s="58"/>
      <c r="V700" s="49"/>
      <c r="W700" s="58"/>
      <c r="X700" s="49"/>
      <c r="Y700" s="47"/>
      <c r="Z700" s="175" t="str">
        <f ca="1">IFERROR(__xludf.DUMMYFUNCTION("QUERY('Volunteer Survey'!A699)"),"")</f>
        <v/>
      </c>
      <c r="AA700" s="175" t="str">
        <f ca="1">IFERROR(__xludf.DUMMYFUNCTION("QUERY('Volunteer Survey'!B699)"),"")</f>
        <v/>
      </c>
      <c r="AB700" s="175" t="str">
        <f ca="1">IFERROR(__xludf.DUMMYFUNCTION("QUERY('Volunteer Survey'!C699)"),"")</f>
        <v/>
      </c>
      <c r="AC700" s="175" t="str">
        <f ca="1">IFERROR(__xludf.DUMMYFUNCTION("QUERY('Volunteer Survey'!D699)"),"")</f>
        <v/>
      </c>
      <c r="AD700" s="175" t="str">
        <f ca="1">IFERROR(__xludf.DUMMYFUNCTION("QUERY('Volunteer Survey'!E699)"),"")</f>
        <v/>
      </c>
      <c r="AE700" s="175" t="str">
        <f ca="1">IFERROR(__xludf.DUMMYFUNCTION("QUERY('Volunteer Survey'!F699)"),"")</f>
        <v/>
      </c>
      <c r="AF700" s="175" t="str">
        <f ca="1">IFERROR(__xludf.DUMMYFUNCTION("QUERY('Volunteer Survey'!G699)"),"")</f>
        <v/>
      </c>
      <c r="AG700" s="175" t="str">
        <f ca="1">IFERROR(__xludf.DUMMYFUNCTION("QUERY('Volunteer Survey'!H699)"),"")</f>
        <v/>
      </c>
      <c r="AH700" s="175" t="str">
        <f ca="1">IFERROR(__xludf.DUMMYFUNCTION("QUERY('Volunteer Survey'!I699)"),"")</f>
        <v/>
      </c>
      <c r="AI700" s="175" t="str">
        <f ca="1">IFERROR(__xludf.DUMMYFUNCTION("QUERY('Volunteer Survey'!J699)"),"")</f>
        <v/>
      </c>
      <c r="AJ700" s="175" t="str">
        <f ca="1">IFERROR(__xludf.DUMMYFUNCTION("QUERY('Volunteer Survey'!K699)"),"")</f>
        <v/>
      </c>
      <c r="AK700" s="175" t="str">
        <f ca="1">IFERROR(__xludf.DUMMYFUNCTION("QUERY('Volunteer Survey'!L699)"),"")</f>
        <v/>
      </c>
      <c r="AL700" s="175" t="str">
        <f ca="1">IFERROR(__xludf.DUMMYFUNCTION("QUERY('Volunteer Survey'!M699)"),"")</f>
        <v/>
      </c>
      <c r="AM700" s="175" t="str">
        <f ca="1">IFERROR(__xludf.DUMMYFUNCTION("QUERY('Volunteer Survey'!N699)"),"")</f>
        <v/>
      </c>
      <c r="AN700" s="175" t="str">
        <f ca="1">IFERROR(__xludf.DUMMYFUNCTION("QUERY('Volunteer Survey'!O699)"),"")</f>
        <v/>
      </c>
      <c r="AO700" s="175" t="str">
        <f ca="1">IFERROR(__xludf.DUMMYFUNCTION("QUERY('Volunteer Survey'!P699)"),"")</f>
        <v/>
      </c>
    </row>
    <row r="701" spans="1:41" ht="14">
      <c r="A701" s="49"/>
      <c r="B701" s="49"/>
      <c r="C701" s="47"/>
      <c r="D701" s="49"/>
      <c r="E701" s="49"/>
      <c r="F701" s="49" t="b">
        <v>0</v>
      </c>
      <c r="G701" s="49"/>
      <c r="H701" s="47"/>
      <c r="I701" s="47"/>
      <c r="J701" s="49"/>
      <c r="K701" s="49"/>
      <c r="L701" s="49"/>
      <c r="M701" s="49"/>
      <c r="N701" s="49"/>
      <c r="O701" s="49" t="b">
        <v>0</v>
      </c>
      <c r="P701" s="49"/>
      <c r="Q701" s="49"/>
      <c r="R701" s="49"/>
      <c r="S701" s="49"/>
      <c r="T701" s="49"/>
      <c r="U701" s="58"/>
      <c r="V701" s="49"/>
      <c r="W701" s="58"/>
      <c r="X701" s="49"/>
      <c r="Y701" s="47"/>
      <c r="Z701" s="175" t="str">
        <f ca="1">IFERROR(__xludf.DUMMYFUNCTION("QUERY('Volunteer Survey'!A700)"),"")</f>
        <v/>
      </c>
      <c r="AA701" s="175" t="str">
        <f ca="1">IFERROR(__xludf.DUMMYFUNCTION("QUERY('Volunteer Survey'!B700)"),"")</f>
        <v/>
      </c>
      <c r="AB701" s="175" t="str">
        <f ca="1">IFERROR(__xludf.DUMMYFUNCTION("QUERY('Volunteer Survey'!C700)"),"")</f>
        <v/>
      </c>
      <c r="AC701" s="175" t="str">
        <f ca="1">IFERROR(__xludf.DUMMYFUNCTION("QUERY('Volunteer Survey'!D700)"),"")</f>
        <v/>
      </c>
      <c r="AD701" s="175" t="str">
        <f ca="1">IFERROR(__xludf.DUMMYFUNCTION("QUERY('Volunteer Survey'!E700)"),"")</f>
        <v/>
      </c>
      <c r="AE701" s="175" t="str">
        <f ca="1">IFERROR(__xludf.DUMMYFUNCTION("QUERY('Volunteer Survey'!F700)"),"")</f>
        <v/>
      </c>
      <c r="AF701" s="175" t="str">
        <f ca="1">IFERROR(__xludf.DUMMYFUNCTION("QUERY('Volunteer Survey'!G700)"),"")</f>
        <v/>
      </c>
      <c r="AG701" s="175" t="str">
        <f ca="1">IFERROR(__xludf.DUMMYFUNCTION("QUERY('Volunteer Survey'!H700)"),"")</f>
        <v/>
      </c>
      <c r="AH701" s="175" t="str">
        <f ca="1">IFERROR(__xludf.DUMMYFUNCTION("QUERY('Volunteer Survey'!I700)"),"")</f>
        <v/>
      </c>
      <c r="AI701" s="175" t="str">
        <f ca="1">IFERROR(__xludf.DUMMYFUNCTION("QUERY('Volunteer Survey'!J700)"),"")</f>
        <v/>
      </c>
      <c r="AJ701" s="175" t="str">
        <f ca="1">IFERROR(__xludf.DUMMYFUNCTION("QUERY('Volunteer Survey'!K700)"),"")</f>
        <v/>
      </c>
      <c r="AK701" s="175" t="str">
        <f ca="1">IFERROR(__xludf.DUMMYFUNCTION("QUERY('Volunteer Survey'!L700)"),"")</f>
        <v/>
      </c>
      <c r="AL701" s="175" t="str">
        <f ca="1">IFERROR(__xludf.DUMMYFUNCTION("QUERY('Volunteer Survey'!M700)"),"")</f>
        <v/>
      </c>
      <c r="AM701" s="175" t="str">
        <f ca="1">IFERROR(__xludf.DUMMYFUNCTION("QUERY('Volunteer Survey'!N700)"),"")</f>
        <v/>
      </c>
      <c r="AN701" s="175" t="str">
        <f ca="1">IFERROR(__xludf.DUMMYFUNCTION("QUERY('Volunteer Survey'!O700)"),"")</f>
        <v/>
      </c>
      <c r="AO701" s="175" t="str">
        <f ca="1">IFERROR(__xludf.DUMMYFUNCTION("QUERY('Volunteer Survey'!P700)"),"")</f>
        <v/>
      </c>
    </row>
    <row r="702" spans="1:41" ht="14">
      <c r="A702" s="49"/>
      <c r="B702" s="49"/>
      <c r="C702" s="47"/>
      <c r="D702" s="49"/>
      <c r="E702" s="49"/>
      <c r="F702" s="49" t="b">
        <v>0</v>
      </c>
      <c r="G702" s="49"/>
      <c r="H702" s="47"/>
      <c r="I702" s="47"/>
      <c r="J702" s="49"/>
      <c r="K702" s="49"/>
      <c r="L702" s="49"/>
      <c r="M702" s="49"/>
      <c r="N702" s="49"/>
      <c r="O702" s="49" t="b">
        <v>0</v>
      </c>
      <c r="P702" s="49"/>
      <c r="Q702" s="49"/>
      <c r="R702" s="49"/>
      <c r="S702" s="49"/>
      <c r="T702" s="49"/>
      <c r="U702" s="58"/>
      <c r="V702" s="49"/>
      <c r="W702" s="58"/>
      <c r="X702" s="49"/>
      <c r="Y702" s="47"/>
      <c r="Z702" s="175" t="str">
        <f ca="1">IFERROR(__xludf.DUMMYFUNCTION("QUERY('Volunteer Survey'!A701)"),"")</f>
        <v/>
      </c>
      <c r="AA702" s="175" t="str">
        <f ca="1">IFERROR(__xludf.DUMMYFUNCTION("QUERY('Volunteer Survey'!B701)"),"")</f>
        <v/>
      </c>
      <c r="AB702" s="175" t="str">
        <f ca="1">IFERROR(__xludf.DUMMYFUNCTION("QUERY('Volunteer Survey'!C701)"),"")</f>
        <v/>
      </c>
      <c r="AC702" s="175" t="str">
        <f ca="1">IFERROR(__xludf.DUMMYFUNCTION("QUERY('Volunteer Survey'!D701)"),"")</f>
        <v/>
      </c>
      <c r="AD702" s="175" t="str">
        <f ca="1">IFERROR(__xludf.DUMMYFUNCTION("QUERY('Volunteer Survey'!E701)"),"")</f>
        <v/>
      </c>
      <c r="AE702" s="175" t="str">
        <f ca="1">IFERROR(__xludf.DUMMYFUNCTION("QUERY('Volunteer Survey'!F701)"),"")</f>
        <v/>
      </c>
      <c r="AF702" s="175" t="str">
        <f ca="1">IFERROR(__xludf.DUMMYFUNCTION("QUERY('Volunteer Survey'!G701)"),"")</f>
        <v/>
      </c>
      <c r="AG702" s="175" t="str">
        <f ca="1">IFERROR(__xludf.DUMMYFUNCTION("QUERY('Volunteer Survey'!H701)"),"")</f>
        <v/>
      </c>
      <c r="AH702" s="175" t="str">
        <f ca="1">IFERROR(__xludf.DUMMYFUNCTION("QUERY('Volunteer Survey'!I701)"),"")</f>
        <v/>
      </c>
      <c r="AI702" s="175" t="str">
        <f ca="1">IFERROR(__xludf.DUMMYFUNCTION("QUERY('Volunteer Survey'!J701)"),"")</f>
        <v/>
      </c>
      <c r="AJ702" s="175" t="str">
        <f ca="1">IFERROR(__xludf.DUMMYFUNCTION("QUERY('Volunteer Survey'!K701)"),"")</f>
        <v/>
      </c>
      <c r="AK702" s="175" t="str">
        <f ca="1">IFERROR(__xludf.DUMMYFUNCTION("QUERY('Volunteer Survey'!L701)"),"")</f>
        <v/>
      </c>
      <c r="AL702" s="175" t="str">
        <f ca="1">IFERROR(__xludf.DUMMYFUNCTION("QUERY('Volunteer Survey'!M701)"),"")</f>
        <v/>
      </c>
      <c r="AM702" s="175" t="str">
        <f ca="1">IFERROR(__xludf.DUMMYFUNCTION("QUERY('Volunteer Survey'!N701)"),"")</f>
        <v/>
      </c>
      <c r="AN702" s="175" t="str">
        <f ca="1">IFERROR(__xludf.DUMMYFUNCTION("QUERY('Volunteer Survey'!O701)"),"")</f>
        <v/>
      </c>
      <c r="AO702" s="175" t="str">
        <f ca="1">IFERROR(__xludf.DUMMYFUNCTION("QUERY('Volunteer Survey'!P701)"),"")</f>
        <v/>
      </c>
    </row>
    <row r="703" spans="1:41" ht="14">
      <c r="A703" s="49"/>
      <c r="B703" s="49"/>
      <c r="C703" s="47"/>
      <c r="D703" s="49"/>
      <c r="E703" s="49"/>
      <c r="F703" s="49" t="b">
        <v>0</v>
      </c>
      <c r="G703" s="49"/>
      <c r="H703" s="47"/>
      <c r="I703" s="47"/>
      <c r="J703" s="49"/>
      <c r="K703" s="49"/>
      <c r="L703" s="49"/>
      <c r="M703" s="49"/>
      <c r="N703" s="49"/>
      <c r="O703" s="49" t="b">
        <v>0</v>
      </c>
      <c r="P703" s="49"/>
      <c r="Q703" s="49"/>
      <c r="R703" s="49"/>
      <c r="S703" s="49"/>
      <c r="T703" s="49"/>
      <c r="U703" s="58"/>
      <c r="V703" s="49"/>
      <c r="W703" s="58"/>
      <c r="X703" s="49"/>
      <c r="Y703" s="47"/>
      <c r="Z703" s="175" t="str">
        <f ca="1">IFERROR(__xludf.DUMMYFUNCTION("QUERY('Volunteer Survey'!A702)"),"")</f>
        <v/>
      </c>
      <c r="AA703" s="175" t="str">
        <f ca="1">IFERROR(__xludf.DUMMYFUNCTION("QUERY('Volunteer Survey'!B702)"),"")</f>
        <v/>
      </c>
      <c r="AB703" s="175" t="str">
        <f ca="1">IFERROR(__xludf.DUMMYFUNCTION("QUERY('Volunteer Survey'!C702)"),"")</f>
        <v/>
      </c>
      <c r="AC703" s="175" t="str">
        <f ca="1">IFERROR(__xludf.DUMMYFUNCTION("QUERY('Volunteer Survey'!D702)"),"")</f>
        <v/>
      </c>
      <c r="AD703" s="175" t="str">
        <f ca="1">IFERROR(__xludf.DUMMYFUNCTION("QUERY('Volunteer Survey'!E702)"),"")</f>
        <v/>
      </c>
      <c r="AE703" s="175" t="str">
        <f ca="1">IFERROR(__xludf.DUMMYFUNCTION("QUERY('Volunteer Survey'!F702)"),"")</f>
        <v/>
      </c>
      <c r="AF703" s="175" t="str">
        <f ca="1">IFERROR(__xludf.DUMMYFUNCTION("QUERY('Volunteer Survey'!G702)"),"")</f>
        <v/>
      </c>
      <c r="AG703" s="175" t="str">
        <f ca="1">IFERROR(__xludf.DUMMYFUNCTION("QUERY('Volunteer Survey'!H702)"),"")</f>
        <v/>
      </c>
      <c r="AH703" s="175" t="str">
        <f ca="1">IFERROR(__xludf.DUMMYFUNCTION("QUERY('Volunteer Survey'!I702)"),"")</f>
        <v/>
      </c>
      <c r="AI703" s="175" t="str">
        <f ca="1">IFERROR(__xludf.DUMMYFUNCTION("QUERY('Volunteer Survey'!J702)"),"")</f>
        <v/>
      </c>
      <c r="AJ703" s="175" t="str">
        <f ca="1">IFERROR(__xludf.DUMMYFUNCTION("QUERY('Volunteer Survey'!K702)"),"")</f>
        <v/>
      </c>
      <c r="AK703" s="175" t="str">
        <f ca="1">IFERROR(__xludf.DUMMYFUNCTION("QUERY('Volunteer Survey'!L702)"),"")</f>
        <v/>
      </c>
      <c r="AL703" s="175" t="str">
        <f ca="1">IFERROR(__xludf.DUMMYFUNCTION("QUERY('Volunteer Survey'!M702)"),"")</f>
        <v/>
      </c>
      <c r="AM703" s="175" t="str">
        <f ca="1">IFERROR(__xludf.DUMMYFUNCTION("QUERY('Volunteer Survey'!N702)"),"")</f>
        <v/>
      </c>
      <c r="AN703" s="175" t="str">
        <f ca="1">IFERROR(__xludf.DUMMYFUNCTION("QUERY('Volunteer Survey'!O702)"),"")</f>
        <v/>
      </c>
      <c r="AO703" s="175" t="str">
        <f ca="1">IFERROR(__xludf.DUMMYFUNCTION("QUERY('Volunteer Survey'!P702)"),"")</f>
        <v/>
      </c>
    </row>
    <row r="704" spans="1:41" ht="14">
      <c r="A704" s="49"/>
      <c r="B704" s="49"/>
      <c r="C704" s="47"/>
      <c r="D704" s="49"/>
      <c r="E704" s="49"/>
      <c r="F704" s="49" t="b">
        <v>0</v>
      </c>
      <c r="G704" s="49"/>
      <c r="H704" s="47"/>
      <c r="I704" s="47"/>
      <c r="J704" s="49"/>
      <c r="K704" s="49"/>
      <c r="L704" s="49"/>
      <c r="M704" s="49"/>
      <c r="N704" s="49"/>
      <c r="O704" s="49" t="b">
        <v>0</v>
      </c>
      <c r="P704" s="49"/>
      <c r="Q704" s="49"/>
      <c r="R704" s="49"/>
      <c r="S704" s="49"/>
      <c r="T704" s="49"/>
      <c r="U704" s="58"/>
      <c r="V704" s="49"/>
      <c r="W704" s="58"/>
      <c r="X704" s="49"/>
      <c r="Y704" s="47"/>
      <c r="Z704" s="175" t="str">
        <f ca="1">IFERROR(__xludf.DUMMYFUNCTION("QUERY('Volunteer Survey'!A703)"),"")</f>
        <v/>
      </c>
      <c r="AA704" s="175" t="str">
        <f ca="1">IFERROR(__xludf.DUMMYFUNCTION("QUERY('Volunteer Survey'!B703)"),"")</f>
        <v/>
      </c>
      <c r="AB704" s="175" t="str">
        <f ca="1">IFERROR(__xludf.DUMMYFUNCTION("QUERY('Volunteer Survey'!C703)"),"")</f>
        <v/>
      </c>
      <c r="AC704" s="175" t="str">
        <f ca="1">IFERROR(__xludf.DUMMYFUNCTION("QUERY('Volunteer Survey'!D703)"),"")</f>
        <v/>
      </c>
      <c r="AD704" s="175" t="str">
        <f ca="1">IFERROR(__xludf.DUMMYFUNCTION("QUERY('Volunteer Survey'!E703)"),"")</f>
        <v/>
      </c>
      <c r="AE704" s="175" t="str">
        <f ca="1">IFERROR(__xludf.DUMMYFUNCTION("QUERY('Volunteer Survey'!F703)"),"")</f>
        <v/>
      </c>
      <c r="AF704" s="175" t="str">
        <f ca="1">IFERROR(__xludf.DUMMYFUNCTION("QUERY('Volunteer Survey'!G703)"),"")</f>
        <v/>
      </c>
      <c r="AG704" s="175" t="str">
        <f ca="1">IFERROR(__xludf.DUMMYFUNCTION("QUERY('Volunteer Survey'!H703)"),"")</f>
        <v/>
      </c>
      <c r="AH704" s="175" t="str">
        <f ca="1">IFERROR(__xludf.DUMMYFUNCTION("QUERY('Volunteer Survey'!I703)"),"")</f>
        <v/>
      </c>
      <c r="AI704" s="175" t="str">
        <f ca="1">IFERROR(__xludf.DUMMYFUNCTION("QUERY('Volunteer Survey'!J703)"),"")</f>
        <v/>
      </c>
      <c r="AJ704" s="175" t="str">
        <f ca="1">IFERROR(__xludf.DUMMYFUNCTION("QUERY('Volunteer Survey'!K703)"),"")</f>
        <v/>
      </c>
      <c r="AK704" s="175" t="str">
        <f ca="1">IFERROR(__xludf.DUMMYFUNCTION("QUERY('Volunteer Survey'!L703)"),"")</f>
        <v/>
      </c>
      <c r="AL704" s="175" t="str">
        <f ca="1">IFERROR(__xludf.DUMMYFUNCTION("QUERY('Volunteer Survey'!M703)"),"")</f>
        <v/>
      </c>
      <c r="AM704" s="175" t="str">
        <f ca="1">IFERROR(__xludf.DUMMYFUNCTION("QUERY('Volunteer Survey'!N703)"),"")</f>
        <v/>
      </c>
      <c r="AN704" s="175" t="str">
        <f ca="1">IFERROR(__xludf.DUMMYFUNCTION("QUERY('Volunteer Survey'!O703)"),"")</f>
        <v/>
      </c>
      <c r="AO704" s="175" t="str">
        <f ca="1">IFERROR(__xludf.DUMMYFUNCTION("QUERY('Volunteer Survey'!P703)"),"")</f>
        <v/>
      </c>
    </row>
    <row r="705" spans="1:41" ht="14">
      <c r="A705" s="49"/>
      <c r="B705" s="49"/>
      <c r="C705" s="47"/>
      <c r="D705" s="49"/>
      <c r="E705" s="49"/>
      <c r="F705" s="49" t="b">
        <v>0</v>
      </c>
      <c r="G705" s="49"/>
      <c r="H705" s="47"/>
      <c r="I705" s="47"/>
      <c r="J705" s="49"/>
      <c r="K705" s="49"/>
      <c r="L705" s="49"/>
      <c r="M705" s="49"/>
      <c r="N705" s="49"/>
      <c r="O705" s="49" t="b">
        <v>0</v>
      </c>
      <c r="P705" s="49"/>
      <c r="Q705" s="49"/>
      <c r="R705" s="49"/>
      <c r="S705" s="49"/>
      <c r="T705" s="49"/>
      <c r="U705" s="58"/>
      <c r="V705" s="49"/>
      <c r="W705" s="58"/>
      <c r="X705" s="49"/>
      <c r="Y705" s="47"/>
      <c r="Z705" s="175" t="str">
        <f ca="1">IFERROR(__xludf.DUMMYFUNCTION("QUERY('Volunteer Survey'!A704)"),"")</f>
        <v/>
      </c>
      <c r="AA705" s="175" t="str">
        <f ca="1">IFERROR(__xludf.DUMMYFUNCTION("QUERY('Volunteer Survey'!B704)"),"")</f>
        <v/>
      </c>
      <c r="AB705" s="175" t="str">
        <f ca="1">IFERROR(__xludf.DUMMYFUNCTION("QUERY('Volunteer Survey'!C704)"),"")</f>
        <v/>
      </c>
      <c r="AC705" s="175" t="str">
        <f ca="1">IFERROR(__xludf.DUMMYFUNCTION("QUERY('Volunteer Survey'!D704)"),"")</f>
        <v/>
      </c>
      <c r="AD705" s="175" t="str">
        <f ca="1">IFERROR(__xludf.DUMMYFUNCTION("QUERY('Volunteer Survey'!E704)"),"")</f>
        <v/>
      </c>
      <c r="AE705" s="175" t="str">
        <f ca="1">IFERROR(__xludf.DUMMYFUNCTION("QUERY('Volunteer Survey'!F704)"),"")</f>
        <v/>
      </c>
      <c r="AF705" s="175" t="str">
        <f ca="1">IFERROR(__xludf.DUMMYFUNCTION("QUERY('Volunteer Survey'!G704)"),"")</f>
        <v/>
      </c>
      <c r="AG705" s="175" t="str">
        <f ca="1">IFERROR(__xludf.DUMMYFUNCTION("QUERY('Volunteer Survey'!H704)"),"")</f>
        <v/>
      </c>
      <c r="AH705" s="175" t="str">
        <f ca="1">IFERROR(__xludf.DUMMYFUNCTION("QUERY('Volunteer Survey'!I704)"),"")</f>
        <v/>
      </c>
      <c r="AI705" s="175" t="str">
        <f ca="1">IFERROR(__xludf.DUMMYFUNCTION("QUERY('Volunteer Survey'!J704)"),"")</f>
        <v/>
      </c>
      <c r="AJ705" s="175" t="str">
        <f ca="1">IFERROR(__xludf.DUMMYFUNCTION("QUERY('Volunteer Survey'!K704)"),"")</f>
        <v/>
      </c>
      <c r="AK705" s="175" t="str">
        <f ca="1">IFERROR(__xludf.DUMMYFUNCTION("QUERY('Volunteer Survey'!L704)"),"")</f>
        <v/>
      </c>
      <c r="AL705" s="175" t="str">
        <f ca="1">IFERROR(__xludf.DUMMYFUNCTION("QUERY('Volunteer Survey'!M704)"),"")</f>
        <v/>
      </c>
      <c r="AM705" s="175" t="str">
        <f ca="1">IFERROR(__xludf.DUMMYFUNCTION("QUERY('Volunteer Survey'!N704)"),"")</f>
        <v/>
      </c>
      <c r="AN705" s="175" t="str">
        <f ca="1">IFERROR(__xludf.DUMMYFUNCTION("QUERY('Volunteer Survey'!O704)"),"")</f>
        <v/>
      </c>
      <c r="AO705" s="175" t="str">
        <f ca="1">IFERROR(__xludf.DUMMYFUNCTION("QUERY('Volunteer Survey'!P704)"),"")</f>
        <v/>
      </c>
    </row>
    <row r="706" spans="1:41" ht="14">
      <c r="A706" s="49"/>
      <c r="B706" s="49"/>
      <c r="C706" s="47"/>
      <c r="D706" s="49"/>
      <c r="E706" s="49"/>
      <c r="F706" s="49" t="b">
        <v>0</v>
      </c>
      <c r="G706" s="49"/>
      <c r="H706" s="47"/>
      <c r="I706" s="47"/>
      <c r="J706" s="49"/>
      <c r="K706" s="49"/>
      <c r="L706" s="49"/>
      <c r="M706" s="49"/>
      <c r="N706" s="49"/>
      <c r="O706" s="49" t="b">
        <v>0</v>
      </c>
      <c r="P706" s="49"/>
      <c r="Q706" s="49"/>
      <c r="R706" s="49"/>
      <c r="S706" s="49"/>
      <c r="T706" s="49"/>
      <c r="U706" s="58"/>
      <c r="V706" s="49"/>
      <c r="W706" s="58"/>
      <c r="X706" s="49"/>
      <c r="Y706" s="47"/>
      <c r="Z706" s="175" t="str">
        <f ca="1">IFERROR(__xludf.DUMMYFUNCTION("QUERY('Volunteer Survey'!A705)"),"")</f>
        <v/>
      </c>
      <c r="AA706" s="175" t="str">
        <f ca="1">IFERROR(__xludf.DUMMYFUNCTION("QUERY('Volunteer Survey'!B705)"),"")</f>
        <v/>
      </c>
      <c r="AB706" s="175" t="str">
        <f ca="1">IFERROR(__xludf.DUMMYFUNCTION("QUERY('Volunteer Survey'!C705)"),"")</f>
        <v/>
      </c>
      <c r="AC706" s="175" t="str">
        <f ca="1">IFERROR(__xludf.DUMMYFUNCTION("QUERY('Volunteer Survey'!D705)"),"")</f>
        <v/>
      </c>
      <c r="AD706" s="175" t="str">
        <f ca="1">IFERROR(__xludf.DUMMYFUNCTION("QUERY('Volunteer Survey'!E705)"),"")</f>
        <v/>
      </c>
      <c r="AE706" s="175" t="str">
        <f ca="1">IFERROR(__xludf.DUMMYFUNCTION("QUERY('Volunteer Survey'!F705)"),"")</f>
        <v/>
      </c>
      <c r="AF706" s="175" t="str">
        <f ca="1">IFERROR(__xludf.DUMMYFUNCTION("QUERY('Volunteer Survey'!G705)"),"")</f>
        <v/>
      </c>
      <c r="AG706" s="175" t="str">
        <f ca="1">IFERROR(__xludf.DUMMYFUNCTION("QUERY('Volunteer Survey'!H705)"),"")</f>
        <v/>
      </c>
      <c r="AH706" s="175" t="str">
        <f ca="1">IFERROR(__xludf.DUMMYFUNCTION("QUERY('Volunteer Survey'!I705)"),"")</f>
        <v/>
      </c>
      <c r="AI706" s="175" t="str">
        <f ca="1">IFERROR(__xludf.DUMMYFUNCTION("QUERY('Volunteer Survey'!J705)"),"")</f>
        <v/>
      </c>
      <c r="AJ706" s="175" t="str">
        <f ca="1">IFERROR(__xludf.DUMMYFUNCTION("QUERY('Volunteer Survey'!K705)"),"")</f>
        <v/>
      </c>
      <c r="AK706" s="175" t="str">
        <f ca="1">IFERROR(__xludf.DUMMYFUNCTION("QUERY('Volunteer Survey'!L705)"),"")</f>
        <v/>
      </c>
      <c r="AL706" s="175" t="str">
        <f ca="1">IFERROR(__xludf.DUMMYFUNCTION("QUERY('Volunteer Survey'!M705)"),"")</f>
        <v/>
      </c>
      <c r="AM706" s="175" t="str">
        <f ca="1">IFERROR(__xludf.DUMMYFUNCTION("QUERY('Volunteer Survey'!N705)"),"")</f>
        <v/>
      </c>
      <c r="AN706" s="175" t="str">
        <f ca="1">IFERROR(__xludf.DUMMYFUNCTION("QUERY('Volunteer Survey'!O705)"),"")</f>
        <v/>
      </c>
      <c r="AO706" s="175" t="str">
        <f ca="1">IFERROR(__xludf.DUMMYFUNCTION("QUERY('Volunteer Survey'!P705)"),"")</f>
        <v/>
      </c>
    </row>
    <row r="707" spans="1:41" ht="14">
      <c r="A707" s="49"/>
      <c r="B707" s="49"/>
      <c r="C707" s="47"/>
      <c r="D707" s="49"/>
      <c r="E707" s="49"/>
      <c r="F707" s="49" t="b">
        <v>0</v>
      </c>
      <c r="G707" s="49"/>
      <c r="H707" s="47"/>
      <c r="I707" s="47"/>
      <c r="J707" s="49"/>
      <c r="K707" s="49"/>
      <c r="L707" s="49"/>
      <c r="M707" s="49"/>
      <c r="N707" s="49"/>
      <c r="O707" s="49" t="b">
        <v>0</v>
      </c>
      <c r="P707" s="49"/>
      <c r="Q707" s="49"/>
      <c r="R707" s="49"/>
      <c r="S707" s="49"/>
      <c r="T707" s="49"/>
      <c r="U707" s="58"/>
      <c r="V707" s="49"/>
      <c r="W707" s="58"/>
      <c r="X707" s="49"/>
      <c r="Y707" s="47"/>
      <c r="Z707" s="175" t="str">
        <f ca="1">IFERROR(__xludf.DUMMYFUNCTION("QUERY('Volunteer Survey'!A706)"),"")</f>
        <v/>
      </c>
      <c r="AA707" s="175" t="str">
        <f ca="1">IFERROR(__xludf.DUMMYFUNCTION("QUERY('Volunteer Survey'!B706)"),"")</f>
        <v/>
      </c>
      <c r="AB707" s="175" t="str">
        <f ca="1">IFERROR(__xludf.DUMMYFUNCTION("QUERY('Volunteer Survey'!C706)"),"")</f>
        <v/>
      </c>
      <c r="AC707" s="175" t="str">
        <f ca="1">IFERROR(__xludf.DUMMYFUNCTION("QUERY('Volunteer Survey'!D706)"),"")</f>
        <v/>
      </c>
      <c r="AD707" s="175" t="str">
        <f ca="1">IFERROR(__xludf.DUMMYFUNCTION("QUERY('Volunteer Survey'!E706)"),"")</f>
        <v/>
      </c>
      <c r="AE707" s="175" t="str">
        <f ca="1">IFERROR(__xludf.DUMMYFUNCTION("QUERY('Volunteer Survey'!F706)"),"")</f>
        <v/>
      </c>
      <c r="AF707" s="175" t="str">
        <f ca="1">IFERROR(__xludf.DUMMYFUNCTION("QUERY('Volunteer Survey'!G706)"),"")</f>
        <v/>
      </c>
      <c r="AG707" s="175" t="str">
        <f ca="1">IFERROR(__xludf.DUMMYFUNCTION("QUERY('Volunteer Survey'!H706)"),"")</f>
        <v/>
      </c>
      <c r="AH707" s="175" t="str">
        <f ca="1">IFERROR(__xludf.DUMMYFUNCTION("QUERY('Volunteer Survey'!I706)"),"")</f>
        <v/>
      </c>
      <c r="AI707" s="175" t="str">
        <f ca="1">IFERROR(__xludf.DUMMYFUNCTION("QUERY('Volunteer Survey'!J706)"),"")</f>
        <v/>
      </c>
      <c r="AJ707" s="175" t="str">
        <f ca="1">IFERROR(__xludf.DUMMYFUNCTION("QUERY('Volunteer Survey'!K706)"),"")</f>
        <v/>
      </c>
      <c r="AK707" s="175" t="str">
        <f ca="1">IFERROR(__xludf.DUMMYFUNCTION("QUERY('Volunteer Survey'!L706)"),"")</f>
        <v/>
      </c>
      <c r="AL707" s="175" t="str">
        <f ca="1">IFERROR(__xludf.DUMMYFUNCTION("QUERY('Volunteer Survey'!M706)"),"")</f>
        <v/>
      </c>
      <c r="AM707" s="175" t="str">
        <f ca="1">IFERROR(__xludf.DUMMYFUNCTION("QUERY('Volunteer Survey'!N706)"),"")</f>
        <v/>
      </c>
      <c r="AN707" s="175" t="str">
        <f ca="1">IFERROR(__xludf.DUMMYFUNCTION("QUERY('Volunteer Survey'!O706)"),"")</f>
        <v/>
      </c>
      <c r="AO707" s="175" t="str">
        <f ca="1">IFERROR(__xludf.DUMMYFUNCTION("QUERY('Volunteer Survey'!P706)"),"")</f>
        <v/>
      </c>
    </row>
    <row r="708" spans="1:41" ht="14">
      <c r="A708" s="49"/>
      <c r="B708" s="49"/>
      <c r="C708" s="47"/>
      <c r="D708" s="49"/>
      <c r="E708" s="49"/>
      <c r="F708" s="49" t="b">
        <v>0</v>
      </c>
      <c r="G708" s="49"/>
      <c r="H708" s="47"/>
      <c r="I708" s="47"/>
      <c r="J708" s="49"/>
      <c r="K708" s="49"/>
      <c r="L708" s="49"/>
      <c r="M708" s="49"/>
      <c r="N708" s="49"/>
      <c r="O708" s="49" t="b">
        <v>0</v>
      </c>
      <c r="P708" s="49"/>
      <c r="Q708" s="49"/>
      <c r="R708" s="49"/>
      <c r="S708" s="49"/>
      <c r="T708" s="49"/>
      <c r="U708" s="58"/>
      <c r="V708" s="49"/>
      <c r="W708" s="58"/>
      <c r="X708" s="49"/>
      <c r="Y708" s="47"/>
      <c r="Z708" s="175" t="str">
        <f ca="1">IFERROR(__xludf.DUMMYFUNCTION("QUERY('Volunteer Survey'!A707)"),"")</f>
        <v/>
      </c>
      <c r="AA708" s="175" t="str">
        <f ca="1">IFERROR(__xludf.DUMMYFUNCTION("QUERY('Volunteer Survey'!B707)"),"")</f>
        <v/>
      </c>
      <c r="AB708" s="175" t="str">
        <f ca="1">IFERROR(__xludf.DUMMYFUNCTION("QUERY('Volunteer Survey'!C707)"),"")</f>
        <v/>
      </c>
      <c r="AC708" s="175" t="str">
        <f ca="1">IFERROR(__xludf.DUMMYFUNCTION("QUERY('Volunteer Survey'!D707)"),"")</f>
        <v/>
      </c>
      <c r="AD708" s="175" t="str">
        <f ca="1">IFERROR(__xludf.DUMMYFUNCTION("QUERY('Volunteer Survey'!E707)"),"")</f>
        <v/>
      </c>
      <c r="AE708" s="175" t="str">
        <f ca="1">IFERROR(__xludf.DUMMYFUNCTION("QUERY('Volunteer Survey'!F707)"),"")</f>
        <v/>
      </c>
      <c r="AF708" s="175" t="str">
        <f ca="1">IFERROR(__xludf.DUMMYFUNCTION("QUERY('Volunteer Survey'!G707)"),"")</f>
        <v/>
      </c>
      <c r="AG708" s="175" t="str">
        <f ca="1">IFERROR(__xludf.DUMMYFUNCTION("QUERY('Volunteer Survey'!H707)"),"")</f>
        <v/>
      </c>
      <c r="AH708" s="175" t="str">
        <f ca="1">IFERROR(__xludf.DUMMYFUNCTION("QUERY('Volunteer Survey'!I707)"),"")</f>
        <v/>
      </c>
      <c r="AI708" s="175" t="str">
        <f ca="1">IFERROR(__xludf.DUMMYFUNCTION("QUERY('Volunteer Survey'!J707)"),"")</f>
        <v/>
      </c>
      <c r="AJ708" s="175" t="str">
        <f ca="1">IFERROR(__xludf.DUMMYFUNCTION("QUERY('Volunteer Survey'!K707)"),"")</f>
        <v/>
      </c>
      <c r="AK708" s="175" t="str">
        <f ca="1">IFERROR(__xludf.DUMMYFUNCTION("QUERY('Volunteer Survey'!L707)"),"")</f>
        <v/>
      </c>
      <c r="AL708" s="175" t="str">
        <f ca="1">IFERROR(__xludf.DUMMYFUNCTION("QUERY('Volunteer Survey'!M707)"),"")</f>
        <v/>
      </c>
      <c r="AM708" s="175" t="str">
        <f ca="1">IFERROR(__xludf.DUMMYFUNCTION("QUERY('Volunteer Survey'!N707)"),"")</f>
        <v/>
      </c>
      <c r="AN708" s="175" t="str">
        <f ca="1">IFERROR(__xludf.DUMMYFUNCTION("QUERY('Volunteer Survey'!O707)"),"")</f>
        <v/>
      </c>
      <c r="AO708" s="175" t="str">
        <f ca="1">IFERROR(__xludf.DUMMYFUNCTION("QUERY('Volunteer Survey'!P707)"),"")</f>
        <v/>
      </c>
    </row>
    <row r="709" spans="1:41" ht="14">
      <c r="A709" s="49"/>
      <c r="B709" s="49"/>
      <c r="C709" s="47"/>
      <c r="D709" s="49"/>
      <c r="E709" s="49"/>
      <c r="F709" s="49" t="b">
        <v>0</v>
      </c>
      <c r="G709" s="49"/>
      <c r="H709" s="47"/>
      <c r="I709" s="47"/>
      <c r="J709" s="49"/>
      <c r="K709" s="49"/>
      <c r="L709" s="49"/>
      <c r="M709" s="49"/>
      <c r="N709" s="49"/>
      <c r="O709" s="49" t="b">
        <v>0</v>
      </c>
      <c r="P709" s="49"/>
      <c r="Q709" s="49"/>
      <c r="R709" s="49"/>
      <c r="S709" s="49"/>
      <c r="T709" s="49"/>
      <c r="U709" s="58"/>
      <c r="V709" s="49"/>
      <c r="W709" s="58"/>
      <c r="X709" s="49"/>
      <c r="Y709" s="47"/>
      <c r="Z709" s="175" t="str">
        <f ca="1">IFERROR(__xludf.DUMMYFUNCTION("QUERY('Volunteer Survey'!A708)"),"")</f>
        <v/>
      </c>
      <c r="AA709" s="175" t="str">
        <f ca="1">IFERROR(__xludf.DUMMYFUNCTION("QUERY('Volunteer Survey'!B708)"),"")</f>
        <v/>
      </c>
      <c r="AB709" s="175" t="str">
        <f ca="1">IFERROR(__xludf.DUMMYFUNCTION("QUERY('Volunteer Survey'!C708)"),"")</f>
        <v/>
      </c>
      <c r="AC709" s="175" t="str">
        <f ca="1">IFERROR(__xludf.DUMMYFUNCTION("QUERY('Volunteer Survey'!D708)"),"")</f>
        <v/>
      </c>
      <c r="AD709" s="175" t="str">
        <f ca="1">IFERROR(__xludf.DUMMYFUNCTION("QUERY('Volunteer Survey'!E708)"),"")</f>
        <v/>
      </c>
      <c r="AE709" s="175" t="str">
        <f ca="1">IFERROR(__xludf.DUMMYFUNCTION("QUERY('Volunteer Survey'!F708)"),"")</f>
        <v/>
      </c>
      <c r="AF709" s="175" t="str">
        <f ca="1">IFERROR(__xludf.DUMMYFUNCTION("QUERY('Volunteer Survey'!G708)"),"")</f>
        <v/>
      </c>
      <c r="AG709" s="175" t="str">
        <f ca="1">IFERROR(__xludf.DUMMYFUNCTION("QUERY('Volunteer Survey'!H708)"),"")</f>
        <v/>
      </c>
      <c r="AH709" s="175" t="str">
        <f ca="1">IFERROR(__xludf.DUMMYFUNCTION("QUERY('Volunteer Survey'!I708)"),"")</f>
        <v/>
      </c>
      <c r="AI709" s="175" t="str">
        <f ca="1">IFERROR(__xludf.DUMMYFUNCTION("QUERY('Volunteer Survey'!J708)"),"")</f>
        <v/>
      </c>
      <c r="AJ709" s="175" t="str">
        <f ca="1">IFERROR(__xludf.DUMMYFUNCTION("QUERY('Volunteer Survey'!K708)"),"")</f>
        <v/>
      </c>
      <c r="AK709" s="175" t="str">
        <f ca="1">IFERROR(__xludf.DUMMYFUNCTION("QUERY('Volunteer Survey'!L708)"),"")</f>
        <v/>
      </c>
      <c r="AL709" s="175" t="str">
        <f ca="1">IFERROR(__xludf.DUMMYFUNCTION("QUERY('Volunteer Survey'!M708)"),"")</f>
        <v/>
      </c>
      <c r="AM709" s="175" t="str">
        <f ca="1">IFERROR(__xludf.DUMMYFUNCTION("QUERY('Volunteer Survey'!N708)"),"")</f>
        <v/>
      </c>
      <c r="AN709" s="175" t="str">
        <f ca="1">IFERROR(__xludf.DUMMYFUNCTION("QUERY('Volunteer Survey'!O708)"),"")</f>
        <v/>
      </c>
      <c r="AO709" s="175" t="str">
        <f ca="1">IFERROR(__xludf.DUMMYFUNCTION("QUERY('Volunteer Survey'!P708)"),"")</f>
        <v/>
      </c>
    </row>
    <row r="710" spans="1:41" ht="14">
      <c r="A710" s="49"/>
      <c r="B710" s="49"/>
      <c r="C710" s="47"/>
      <c r="D710" s="49"/>
      <c r="E710" s="49"/>
      <c r="F710" s="49" t="b">
        <v>0</v>
      </c>
      <c r="G710" s="49"/>
      <c r="H710" s="47"/>
      <c r="I710" s="47"/>
      <c r="J710" s="49"/>
      <c r="K710" s="49"/>
      <c r="L710" s="49"/>
      <c r="M710" s="49"/>
      <c r="N710" s="49"/>
      <c r="O710" s="49" t="b">
        <v>0</v>
      </c>
      <c r="P710" s="49"/>
      <c r="Q710" s="49"/>
      <c r="R710" s="49"/>
      <c r="S710" s="49"/>
      <c r="T710" s="49"/>
      <c r="U710" s="58"/>
      <c r="V710" s="49"/>
      <c r="W710" s="58"/>
      <c r="X710" s="49"/>
      <c r="Y710" s="47"/>
      <c r="Z710" s="175" t="str">
        <f ca="1">IFERROR(__xludf.DUMMYFUNCTION("QUERY('Volunteer Survey'!A709)"),"")</f>
        <v/>
      </c>
      <c r="AA710" s="175" t="str">
        <f ca="1">IFERROR(__xludf.DUMMYFUNCTION("QUERY('Volunteer Survey'!B709)"),"")</f>
        <v/>
      </c>
      <c r="AB710" s="175" t="str">
        <f ca="1">IFERROR(__xludf.DUMMYFUNCTION("QUERY('Volunteer Survey'!C709)"),"")</f>
        <v/>
      </c>
      <c r="AC710" s="175" t="str">
        <f ca="1">IFERROR(__xludf.DUMMYFUNCTION("QUERY('Volunteer Survey'!D709)"),"")</f>
        <v/>
      </c>
      <c r="AD710" s="175" t="str">
        <f ca="1">IFERROR(__xludf.DUMMYFUNCTION("QUERY('Volunteer Survey'!E709)"),"")</f>
        <v/>
      </c>
      <c r="AE710" s="175" t="str">
        <f ca="1">IFERROR(__xludf.DUMMYFUNCTION("QUERY('Volunteer Survey'!F709)"),"")</f>
        <v/>
      </c>
      <c r="AF710" s="175" t="str">
        <f ca="1">IFERROR(__xludf.DUMMYFUNCTION("QUERY('Volunteer Survey'!G709)"),"")</f>
        <v/>
      </c>
      <c r="AG710" s="175" t="str">
        <f ca="1">IFERROR(__xludf.DUMMYFUNCTION("QUERY('Volunteer Survey'!H709)"),"")</f>
        <v/>
      </c>
      <c r="AH710" s="175" t="str">
        <f ca="1">IFERROR(__xludf.DUMMYFUNCTION("QUERY('Volunteer Survey'!I709)"),"")</f>
        <v/>
      </c>
      <c r="AI710" s="175" t="str">
        <f ca="1">IFERROR(__xludf.DUMMYFUNCTION("QUERY('Volunteer Survey'!J709)"),"")</f>
        <v/>
      </c>
      <c r="AJ710" s="175" t="str">
        <f ca="1">IFERROR(__xludf.DUMMYFUNCTION("QUERY('Volunteer Survey'!K709)"),"")</f>
        <v/>
      </c>
      <c r="AK710" s="175" t="str">
        <f ca="1">IFERROR(__xludf.DUMMYFUNCTION("QUERY('Volunteer Survey'!L709)"),"")</f>
        <v/>
      </c>
      <c r="AL710" s="175" t="str">
        <f ca="1">IFERROR(__xludf.DUMMYFUNCTION("QUERY('Volunteer Survey'!M709)"),"")</f>
        <v/>
      </c>
      <c r="AM710" s="175" t="str">
        <f ca="1">IFERROR(__xludf.DUMMYFUNCTION("QUERY('Volunteer Survey'!N709)"),"")</f>
        <v/>
      </c>
      <c r="AN710" s="175" t="str">
        <f ca="1">IFERROR(__xludf.DUMMYFUNCTION("QUERY('Volunteer Survey'!O709)"),"")</f>
        <v/>
      </c>
      <c r="AO710" s="175" t="str">
        <f ca="1">IFERROR(__xludf.DUMMYFUNCTION("QUERY('Volunteer Survey'!P709)"),"")</f>
        <v/>
      </c>
    </row>
    <row r="711" spans="1:41" ht="14">
      <c r="A711" s="49"/>
      <c r="B711" s="49"/>
      <c r="C711" s="47"/>
      <c r="D711" s="49"/>
      <c r="E711" s="49"/>
      <c r="F711" s="49" t="b">
        <v>0</v>
      </c>
      <c r="G711" s="49"/>
      <c r="H711" s="47"/>
      <c r="I711" s="47"/>
      <c r="J711" s="49"/>
      <c r="K711" s="49"/>
      <c r="L711" s="49"/>
      <c r="M711" s="49"/>
      <c r="N711" s="49"/>
      <c r="O711" s="49" t="b">
        <v>0</v>
      </c>
      <c r="P711" s="49"/>
      <c r="Q711" s="49"/>
      <c r="R711" s="49"/>
      <c r="S711" s="49"/>
      <c r="T711" s="49"/>
      <c r="U711" s="58"/>
      <c r="V711" s="49"/>
      <c r="W711" s="58"/>
      <c r="X711" s="49"/>
      <c r="Y711" s="47"/>
      <c r="Z711" s="175" t="str">
        <f ca="1">IFERROR(__xludf.DUMMYFUNCTION("QUERY('Volunteer Survey'!A710)"),"")</f>
        <v/>
      </c>
      <c r="AA711" s="175" t="str">
        <f ca="1">IFERROR(__xludf.DUMMYFUNCTION("QUERY('Volunteer Survey'!B710)"),"")</f>
        <v/>
      </c>
      <c r="AB711" s="175" t="str">
        <f ca="1">IFERROR(__xludf.DUMMYFUNCTION("QUERY('Volunteer Survey'!C710)"),"")</f>
        <v/>
      </c>
      <c r="AC711" s="175" t="str">
        <f ca="1">IFERROR(__xludf.DUMMYFUNCTION("QUERY('Volunteer Survey'!D710)"),"")</f>
        <v/>
      </c>
      <c r="AD711" s="175" t="str">
        <f ca="1">IFERROR(__xludf.DUMMYFUNCTION("QUERY('Volunteer Survey'!E710)"),"")</f>
        <v/>
      </c>
      <c r="AE711" s="175" t="str">
        <f ca="1">IFERROR(__xludf.DUMMYFUNCTION("QUERY('Volunteer Survey'!F710)"),"")</f>
        <v/>
      </c>
      <c r="AF711" s="175" t="str">
        <f ca="1">IFERROR(__xludf.DUMMYFUNCTION("QUERY('Volunteer Survey'!G710)"),"")</f>
        <v/>
      </c>
      <c r="AG711" s="175" t="str">
        <f ca="1">IFERROR(__xludf.DUMMYFUNCTION("QUERY('Volunteer Survey'!H710)"),"")</f>
        <v/>
      </c>
      <c r="AH711" s="175" t="str">
        <f ca="1">IFERROR(__xludf.DUMMYFUNCTION("QUERY('Volunteer Survey'!I710)"),"")</f>
        <v/>
      </c>
      <c r="AI711" s="175" t="str">
        <f ca="1">IFERROR(__xludf.DUMMYFUNCTION("QUERY('Volunteer Survey'!J710)"),"")</f>
        <v/>
      </c>
      <c r="AJ711" s="175" t="str">
        <f ca="1">IFERROR(__xludf.DUMMYFUNCTION("QUERY('Volunteer Survey'!K710)"),"")</f>
        <v/>
      </c>
      <c r="AK711" s="175" t="str">
        <f ca="1">IFERROR(__xludf.DUMMYFUNCTION("QUERY('Volunteer Survey'!L710)"),"")</f>
        <v/>
      </c>
      <c r="AL711" s="175" t="str">
        <f ca="1">IFERROR(__xludf.DUMMYFUNCTION("QUERY('Volunteer Survey'!M710)"),"")</f>
        <v/>
      </c>
      <c r="AM711" s="175" t="str">
        <f ca="1">IFERROR(__xludf.DUMMYFUNCTION("QUERY('Volunteer Survey'!N710)"),"")</f>
        <v/>
      </c>
      <c r="AN711" s="175" t="str">
        <f ca="1">IFERROR(__xludf.DUMMYFUNCTION("QUERY('Volunteer Survey'!O710)"),"")</f>
        <v/>
      </c>
      <c r="AO711" s="175" t="str">
        <f ca="1">IFERROR(__xludf.DUMMYFUNCTION("QUERY('Volunteer Survey'!P710)"),"")</f>
        <v/>
      </c>
    </row>
    <row r="712" spans="1:41" ht="14">
      <c r="A712" s="49"/>
      <c r="B712" s="49"/>
      <c r="C712" s="47"/>
      <c r="D712" s="49"/>
      <c r="E712" s="49"/>
      <c r="F712" s="49" t="b">
        <v>0</v>
      </c>
      <c r="G712" s="49"/>
      <c r="H712" s="47"/>
      <c r="I712" s="47"/>
      <c r="J712" s="49"/>
      <c r="K712" s="49"/>
      <c r="L712" s="49"/>
      <c r="M712" s="49"/>
      <c r="N712" s="49"/>
      <c r="O712" s="49" t="b">
        <v>0</v>
      </c>
      <c r="P712" s="49"/>
      <c r="Q712" s="49"/>
      <c r="R712" s="49"/>
      <c r="S712" s="49"/>
      <c r="T712" s="49"/>
      <c r="U712" s="58"/>
      <c r="V712" s="49"/>
      <c r="W712" s="58"/>
      <c r="X712" s="49"/>
      <c r="Y712" s="47"/>
      <c r="Z712" s="175" t="str">
        <f ca="1">IFERROR(__xludf.DUMMYFUNCTION("QUERY('Volunteer Survey'!A711)"),"")</f>
        <v/>
      </c>
      <c r="AA712" s="175" t="str">
        <f ca="1">IFERROR(__xludf.DUMMYFUNCTION("QUERY('Volunteer Survey'!B711)"),"")</f>
        <v/>
      </c>
      <c r="AB712" s="175" t="str">
        <f ca="1">IFERROR(__xludf.DUMMYFUNCTION("QUERY('Volunteer Survey'!C711)"),"")</f>
        <v/>
      </c>
      <c r="AC712" s="175" t="str">
        <f ca="1">IFERROR(__xludf.DUMMYFUNCTION("QUERY('Volunteer Survey'!D711)"),"")</f>
        <v/>
      </c>
      <c r="AD712" s="175" t="str">
        <f ca="1">IFERROR(__xludf.DUMMYFUNCTION("QUERY('Volunteer Survey'!E711)"),"")</f>
        <v/>
      </c>
      <c r="AE712" s="175" t="str">
        <f ca="1">IFERROR(__xludf.DUMMYFUNCTION("QUERY('Volunteer Survey'!F711)"),"")</f>
        <v/>
      </c>
      <c r="AF712" s="175" t="str">
        <f ca="1">IFERROR(__xludf.DUMMYFUNCTION("QUERY('Volunteer Survey'!G711)"),"")</f>
        <v/>
      </c>
      <c r="AG712" s="175" t="str">
        <f ca="1">IFERROR(__xludf.DUMMYFUNCTION("QUERY('Volunteer Survey'!H711)"),"")</f>
        <v/>
      </c>
      <c r="AH712" s="175" t="str">
        <f ca="1">IFERROR(__xludf.DUMMYFUNCTION("QUERY('Volunteer Survey'!I711)"),"")</f>
        <v/>
      </c>
      <c r="AI712" s="175" t="str">
        <f ca="1">IFERROR(__xludf.DUMMYFUNCTION("QUERY('Volunteer Survey'!J711)"),"")</f>
        <v/>
      </c>
      <c r="AJ712" s="175" t="str">
        <f ca="1">IFERROR(__xludf.DUMMYFUNCTION("QUERY('Volunteer Survey'!K711)"),"")</f>
        <v/>
      </c>
      <c r="AK712" s="175" t="str">
        <f ca="1">IFERROR(__xludf.DUMMYFUNCTION("QUERY('Volunteer Survey'!L711)"),"")</f>
        <v/>
      </c>
      <c r="AL712" s="175" t="str">
        <f ca="1">IFERROR(__xludf.DUMMYFUNCTION("QUERY('Volunteer Survey'!M711)"),"")</f>
        <v/>
      </c>
      <c r="AM712" s="175" t="str">
        <f ca="1">IFERROR(__xludf.DUMMYFUNCTION("QUERY('Volunteer Survey'!N711)"),"")</f>
        <v/>
      </c>
      <c r="AN712" s="175" t="str">
        <f ca="1">IFERROR(__xludf.DUMMYFUNCTION("QUERY('Volunteer Survey'!O711)"),"")</f>
        <v/>
      </c>
      <c r="AO712" s="175" t="str">
        <f ca="1">IFERROR(__xludf.DUMMYFUNCTION("QUERY('Volunteer Survey'!P711)"),"")</f>
        <v/>
      </c>
    </row>
    <row r="713" spans="1:41" ht="14">
      <c r="A713" s="49"/>
      <c r="B713" s="49"/>
      <c r="C713" s="47"/>
      <c r="D713" s="49"/>
      <c r="E713" s="49"/>
      <c r="F713" s="49" t="b">
        <v>0</v>
      </c>
      <c r="G713" s="49"/>
      <c r="H713" s="47"/>
      <c r="I713" s="47"/>
      <c r="J713" s="49"/>
      <c r="K713" s="49"/>
      <c r="L713" s="49"/>
      <c r="M713" s="49"/>
      <c r="N713" s="49"/>
      <c r="O713" s="49" t="b">
        <v>0</v>
      </c>
      <c r="P713" s="49"/>
      <c r="Q713" s="49"/>
      <c r="R713" s="49"/>
      <c r="S713" s="49"/>
      <c r="T713" s="49"/>
      <c r="U713" s="58"/>
      <c r="V713" s="49"/>
      <c r="W713" s="58"/>
      <c r="X713" s="49"/>
      <c r="Y713" s="47"/>
      <c r="Z713" s="175" t="str">
        <f ca="1">IFERROR(__xludf.DUMMYFUNCTION("QUERY('Volunteer Survey'!A712)"),"")</f>
        <v/>
      </c>
      <c r="AA713" s="175" t="str">
        <f ca="1">IFERROR(__xludf.DUMMYFUNCTION("QUERY('Volunteer Survey'!B712)"),"")</f>
        <v/>
      </c>
      <c r="AB713" s="175" t="str">
        <f ca="1">IFERROR(__xludf.DUMMYFUNCTION("QUERY('Volunteer Survey'!C712)"),"")</f>
        <v/>
      </c>
      <c r="AC713" s="175" t="str">
        <f ca="1">IFERROR(__xludf.DUMMYFUNCTION("QUERY('Volunteer Survey'!D712)"),"")</f>
        <v/>
      </c>
      <c r="AD713" s="175" t="str">
        <f ca="1">IFERROR(__xludf.DUMMYFUNCTION("QUERY('Volunteer Survey'!E712)"),"")</f>
        <v/>
      </c>
      <c r="AE713" s="175" t="str">
        <f ca="1">IFERROR(__xludf.DUMMYFUNCTION("QUERY('Volunteer Survey'!F712)"),"")</f>
        <v/>
      </c>
      <c r="AF713" s="175" t="str">
        <f ca="1">IFERROR(__xludf.DUMMYFUNCTION("QUERY('Volunteer Survey'!G712)"),"")</f>
        <v/>
      </c>
      <c r="AG713" s="175" t="str">
        <f ca="1">IFERROR(__xludf.DUMMYFUNCTION("QUERY('Volunteer Survey'!H712)"),"")</f>
        <v/>
      </c>
      <c r="AH713" s="175" t="str">
        <f ca="1">IFERROR(__xludf.DUMMYFUNCTION("QUERY('Volunteer Survey'!I712)"),"")</f>
        <v/>
      </c>
      <c r="AI713" s="175" t="str">
        <f ca="1">IFERROR(__xludf.DUMMYFUNCTION("QUERY('Volunteer Survey'!J712)"),"")</f>
        <v/>
      </c>
      <c r="AJ713" s="175" t="str">
        <f ca="1">IFERROR(__xludf.DUMMYFUNCTION("QUERY('Volunteer Survey'!K712)"),"")</f>
        <v/>
      </c>
      <c r="AK713" s="175" t="str">
        <f ca="1">IFERROR(__xludf.DUMMYFUNCTION("QUERY('Volunteer Survey'!L712)"),"")</f>
        <v/>
      </c>
      <c r="AL713" s="175" t="str">
        <f ca="1">IFERROR(__xludf.DUMMYFUNCTION("QUERY('Volunteer Survey'!M712)"),"")</f>
        <v/>
      </c>
      <c r="AM713" s="175" t="str">
        <f ca="1">IFERROR(__xludf.DUMMYFUNCTION("QUERY('Volunteer Survey'!N712)"),"")</f>
        <v/>
      </c>
      <c r="AN713" s="175" t="str">
        <f ca="1">IFERROR(__xludf.DUMMYFUNCTION("QUERY('Volunteer Survey'!O712)"),"")</f>
        <v/>
      </c>
      <c r="AO713" s="175" t="str">
        <f ca="1">IFERROR(__xludf.DUMMYFUNCTION("QUERY('Volunteer Survey'!P712)"),"")</f>
        <v/>
      </c>
    </row>
    <row r="714" spans="1:41" ht="14">
      <c r="A714" s="49"/>
      <c r="B714" s="49"/>
      <c r="C714" s="47"/>
      <c r="D714" s="49"/>
      <c r="E714" s="49"/>
      <c r="F714" s="49" t="b">
        <v>0</v>
      </c>
      <c r="G714" s="49"/>
      <c r="H714" s="47"/>
      <c r="I714" s="47"/>
      <c r="J714" s="49"/>
      <c r="K714" s="49"/>
      <c r="L714" s="49"/>
      <c r="M714" s="49"/>
      <c r="N714" s="49"/>
      <c r="O714" s="49" t="b">
        <v>0</v>
      </c>
      <c r="P714" s="49"/>
      <c r="Q714" s="49"/>
      <c r="R714" s="49"/>
      <c r="S714" s="49"/>
      <c r="T714" s="49"/>
      <c r="U714" s="58"/>
      <c r="V714" s="49"/>
      <c r="W714" s="58"/>
      <c r="X714" s="49"/>
      <c r="Y714" s="47"/>
      <c r="Z714" s="175" t="str">
        <f ca="1">IFERROR(__xludf.DUMMYFUNCTION("QUERY('Volunteer Survey'!A713)"),"")</f>
        <v/>
      </c>
      <c r="AA714" s="175" t="str">
        <f ca="1">IFERROR(__xludf.DUMMYFUNCTION("QUERY('Volunteer Survey'!B713)"),"")</f>
        <v/>
      </c>
      <c r="AB714" s="175" t="str">
        <f ca="1">IFERROR(__xludf.DUMMYFUNCTION("QUERY('Volunteer Survey'!C713)"),"")</f>
        <v/>
      </c>
      <c r="AC714" s="175" t="str">
        <f ca="1">IFERROR(__xludf.DUMMYFUNCTION("QUERY('Volunteer Survey'!D713)"),"")</f>
        <v/>
      </c>
      <c r="AD714" s="175" t="str">
        <f ca="1">IFERROR(__xludf.DUMMYFUNCTION("QUERY('Volunteer Survey'!E713)"),"")</f>
        <v/>
      </c>
      <c r="AE714" s="175" t="str">
        <f ca="1">IFERROR(__xludf.DUMMYFUNCTION("QUERY('Volunteer Survey'!F713)"),"")</f>
        <v/>
      </c>
      <c r="AF714" s="175" t="str">
        <f ca="1">IFERROR(__xludf.DUMMYFUNCTION("QUERY('Volunteer Survey'!G713)"),"")</f>
        <v/>
      </c>
      <c r="AG714" s="175" t="str">
        <f ca="1">IFERROR(__xludf.DUMMYFUNCTION("QUERY('Volunteer Survey'!H713)"),"")</f>
        <v/>
      </c>
      <c r="AH714" s="175" t="str">
        <f ca="1">IFERROR(__xludf.DUMMYFUNCTION("QUERY('Volunteer Survey'!I713)"),"")</f>
        <v/>
      </c>
      <c r="AI714" s="175" t="str">
        <f ca="1">IFERROR(__xludf.DUMMYFUNCTION("QUERY('Volunteer Survey'!J713)"),"")</f>
        <v/>
      </c>
      <c r="AJ714" s="175" t="str">
        <f ca="1">IFERROR(__xludf.DUMMYFUNCTION("QUERY('Volunteer Survey'!K713)"),"")</f>
        <v/>
      </c>
      <c r="AK714" s="175" t="str">
        <f ca="1">IFERROR(__xludf.DUMMYFUNCTION("QUERY('Volunteer Survey'!L713)"),"")</f>
        <v/>
      </c>
      <c r="AL714" s="175" t="str">
        <f ca="1">IFERROR(__xludf.DUMMYFUNCTION("QUERY('Volunteer Survey'!M713)"),"")</f>
        <v/>
      </c>
      <c r="AM714" s="175" t="str">
        <f ca="1">IFERROR(__xludf.DUMMYFUNCTION("QUERY('Volunteer Survey'!N713)"),"")</f>
        <v/>
      </c>
      <c r="AN714" s="175" t="str">
        <f ca="1">IFERROR(__xludf.DUMMYFUNCTION("QUERY('Volunteer Survey'!O713)"),"")</f>
        <v/>
      </c>
      <c r="AO714" s="175" t="str">
        <f ca="1">IFERROR(__xludf.DUMMYFUNCTION("QUERY('Volunteer Survey'!P713)"),"")</f>
        <v/>
      </c>
    </row>
    <row r="715" spans="1:41" ht="14">
      <c r="A715" s="49"/>
      <c r="B715" s="49"/>
      <c r="C715" s="47"/>
      <c r="D715" s="49"/>
      <c r="E715" s="49"/>
      <c r="F715" s="49" t="b">
        <v>0</v>
      </c>
      <c r="G715" s="49"/>
      <c r="H715" s="47"/>
      <c r="I715" s="47"/>
      <c r="J715" s="49"/>
      <c r="K715" s="49"/>
      <c r="L715" s="49"/>
      <c r="M715" s="49"/>
      <c r="N715" s="49"/>
      <c r="O715" s="49" t="b">
        <v>0</v>
      </c>
      <c r="P715" s="49"/>
      <c r="Q715" s="49"/>
      <c r="R715" s="49"/>
      <c r="S715" s="49"/>
      <c r="T715" s="49"/>
      <c r="U715" s="58"/>
      <c r="V715" s="49"/>
      <c r="W715" s="58"/>
      <c r="X715" s="49"/>
      <c r="Y715" s="47"/>
      <c r="Z715" s="175" t="str">
        <f ca="1">IFERROR(__xludf.DUMMYFUNCTION("QUERY('Volunteer Survey'!A714)"),"")</f>
        <v/>
      </c>
      <c r="AA715" s="175" t="str">
        <f ca="1">IFERROR(__xludf.DUMMYFUNCTION("QUERY('Volunteer Survey'!B714)"),"")</f>
        <v/>
      </c>
      <c r="AB715" s="175" t="str">
        <f ca="1">IFERROR(__xludf.DUMMYFUNCTION("QUERY('Volunteer Survey'!C714)"),"")</f>
        <v/>
      </c>
      <c r="AC715" s="175" t="str">
        <f ca="1">IFERROR(__xludf.DUMMYFUNCTION("QUERY('Volunteer Survey'!D714)"),"")</f>
        <v/>
      </c>
      <c r="AD715" s="175" t="str">
        <f ca="1">IFERROR(__xludf.DUMMYFUNCTION("QUERY('Volunteer Survey'!E714)"),"")</f>
        <v/>
      </c>
      <c r="AE715" s="175" t="str">
        <f ca="1">IFERROR(__xludf.DUMMYFUNCTION("QUERY('Volunteer Survey'!F714)"),"")</f>
        <v/>
      </c>
      <c r="AF715" s="175" t="str">
        <f ca="1">IFERROR(__xludf.DUMMYFUNCTION("QUERY('Volunteer Survey'!G714)"),"")</f>
        <v/>
      </c>
      <c r="AG715" s="175" t="str">
        <f ca="1">IFERROR(__xludf.DUMMYFUNCTION("QUERY('Volunteer Survey'!H714)"),"")</f>
        <v/>
      </c>
      <c r="AH715" s="175" t="str">
        <f ca="1">IFERROR(__xludf.DUMMYFUNCTION("QUERY('Volunteer Survey'!I714)"),"")</f>
        <v/>
      </c>
      <c r="AI715" s="175" t="str">
        <f ca="1">IFERROR(__xludf.DUMMYFUNCTION("QUERY('Volunteer Survey'!J714)"),"")</f>
        <v/>
      </c>
      <c r="AJ715" s="175" t="str">
        <f ca="1">IFERROR(__xludf.DUMMYFUNCTION("QUERY('Volunteer Survey'!K714)"),"")</f>
        <v/>
      </c>
      <c r="AK715" s="175" t="str">
        <f ca="1">IFERROR(__xludf.DUMMYFUNCTION("QUERY('Volunteer Survey'!L714)"),"")</f>
        <v/>
      </c>
      <c r="AL715" s="175" t="str">
        <f ca="1">IFERROR(__xludf.DUMMYFUNCTION("QUERY('Volunteer Survey'!M714)"),"")</f>
        <v/>
      </c>
      <c r="AM715" s="175" t="str">
        <f ca="1">IFERROR(__xludf.DUMMYFUNCTION("QUERY('Volunteer Survey'!N714)"),"")</f>
        <v/>
      </c>
      <c r="AN715" s="175" t="str">
        <f ca="1">IFERROR(__xludf.DUMMYFUNCTION("QUERY('Volunteer Survey'!O714)"),"")</f>
        <v/>
      </c>
      <c r="AO715" s="175" t="str">
        <f ca="1">IFERROR(__xludf.DUMMYFUNCTION("QUERY('Volunteer Survey'!P714)"),"")</f>
        <v/>
      </c>
    </row>
    <row r="716" spans="1:41" ht="14">
      <c r="A716" s="49"/>
      <c r="B716" s="49"/>
      <c r="C716" s="47"/>
      <c r="D716" s="49"/>
      <c r="E716" s="49"/>
      <c r="F716" s="49" t="b">
        <v>0</v>
      </c>
      <c r="G716" s="49"/>
      <c r="H716" s="47"/>
      <c r="I716" s="47"/>
      <c r="J716" s="49"/>
      <c r="K716" s="49"/>
      <c r="L716" s="49"/>
      <c r="M716" s="49"/>
      <c r="N716" s="49"/>
      <c r="O716" s="49" t="b">
        <v>0</v>
      </c>
      <c r="P716" s="49"/>
      <c r="Q716" s="49"/>
      <c r="R716" s="49"/>
      <c r="S716" s="49"/>
      <c r="T716" s="49"/>
      <c r="U716" s="58"/>
      <c r="V716" s="49"/>
      <c r="W716" s="58"/>
      <c r="X716" s="49"/>
      <c r="Y716" s="47"/>
      <c r="Z716" s="175" t="str">
        <f ca="1">IFERROR(__xludf.DUMMYFUNCTION("QUERY('Volunteer Survey'!A715)"),"")</f>
        <v/>
      </c>
      <c r="AA716" s="175" t="str">
        <f ca="1">IFERROR(__xludf.DUMMYFUNCTION("QUERY('Volunteer Survey'!B715)"),"")</f>
        <v/>
      </c>
      <c r="AB716" s="175" t="str">
        <f ca="1">IFERROR(__xludf.DUMMYFUNCTION("QUERY('Volunteer Survey'!C715)"),"")</f>
        <v/>
      </c>
      <c r="AC716" s="175" t="str">
        <f ca="1">IFERROR(__xludf.DUMMYFUNCTION("QUERY('Volunteer Survey'!D715)"),"")</f>
        <v/>
      </c>
      <c r="AD716" s="175" t="str">
        <f ca="1">IFERROR(__xludf.DUMMYFUNCTION("QUERY('Volunteer Survey'!E715)"),"")</f>
        <v/>
      </c>
      <c r="AE716" s="175" t="str">
        <f ca="1">IFERROR(__xludf.DUMMYFUNCTION("QUERY('Volunteer Survey'!F715)"),"")</f>
        <v/>
      </c>
      <c r="AF716" s="175" t="str">
        <f ca="1">IFERROR(__xludf.DUMMYFUNCTION("QUERY('Volunteer Survey'!G715)"),"")</f>
        <v/>
      </c>
      <c r="AG716" s="175" t="str">
        <f ca="1">IFERROR(__xludf.DUMMYFUNCTION("QUERY('Volunteer Survey'!H715)"),"")</f>
        <v/>
      </c>
      <c r="AH716" s="175" t="str">
        <f ca="1">IFERROR(__xludf.DUMMYFUNCTION("QUERY('Volunteer Survey'!I715)"),"")</f>
        <v/>
      </c>
      <c r="AI716" s="175" t="str">
        <f ca="1">IFERROR(__xludf.DUMMYFUNCTION("QUERY('Volunteer Survey'!J715)"),"")</f>
        <v/>
      </c>
      <c r="AJ716" s="175" t="str">
        <f ca="1">IFERROR(__xludf.DUMMYFUNCTION("QUERY('Volunteer Survey'!K715)"),"")</f>
        <v/>
      </c>
      <c r="AK716" s="175" t="str">
        <f ca="1">IFERROR(__xludf.DUMMYFUNCTION("QUERY('Volunteer Survey'!L715)"),"")</f>
        <v/>
      </c>
      <c r="AL716" s="175" t="str">
        <f ca="1">IFERROR(__xludf.DUMMYFUNCTION("QUERY('Volunteer Survey'!M715)"),"")</f>
        <v/>
      </c>
      <c r="AM716" s="175" t="str">
        <f ca="1">IFERROR(__xludf.DUMMYFUNCTION("QUERY('Volunteer Survey'!N715)"),"")</f>
        <v/>
      </c>
      <c r="AN716" s="175" t="str">
        <f ca="1">IFERROR(__xludf.DUMMYFUNCTION("QUERY('Volunteer Survey'!O715)"),"")</f>
        <v/>
      </c>
      <c r="AO716" s="175" t="str">
        <f ca="1">IFERROR(__xludf.DUMMYFUNCTION("QUERY('Volunteer Survey'!P715)"),"")</f>
        <v/>
      </c>
    </row>
    <row r="717" spans="1:41" ht="14">
      <c r="A717" s="49"/>
      <c r="B717" s="49"/>
      <c r="C717" s="47"/>
      <c r="D717" s="49"/>
      <c r="E717" s="49"/>
      <c r="F717" s="49" t="b">
        <v>0</v>
      </c>
      <c r="G717" s="49"/>
      <c r="H717" s="47"/>
      <c r="I717" s="47"/>
      <c r="J717" s="49"/>
      <c r="K717" s="49"/>
      <c r="L717" s="49"/>
      <c r="M717" s="49"/>
      <c r="N717" s="49"/>
      <c r="O717" s="49" t="b">
        <v>0</v>
      </c>
      <c r="P717" s="49"/>
      <c r="Q717" s="49"/>
      <c r="R717" s="49"/>
      <c r="S717" s="49"/>
      <c r="T717" s="49"/>
      <c r="U717" s="58"/>
      <c r="V717" s="49"/>
      <c r="W717" s="58"/>
      <c r="X717" s="49"/>
      <c r="Y717" s="47"/>
      <c r="Z717" s="175" t="str">
        <f ca="1">IFERROR(__xludf.DUMMYFUNCTION("QUERY('Volunteer Survey'!A716)"),"")</f>
        <v/>
      </c>
      <c r="AA717" s="175" t="str">
        <f ca="1">IFERROR(__xludf.DUMMYFUNCTION("QUERY('Volunteer Survey'!B716)"),"")</f>
        <v/>
      </c>
      <c r="AB717" s="175" t="str">
        <f ca="1">IFERROR(__xludf.DUMMYFUNCTION("QUERY('Volunteer Survey'!C716)"),"")</f>
        <v/>
      </c>
      <c r="AC717" s="175" t="str">
        <f ca="1">IFERROR(__xludf.DUMMYFUNCTION("QUERY('Volunteer Survey'!D716)"),"")</f>
        <v/>
      </c>
      <c r="AD717" s="175" t="str">
        <f ca="1">IFERROR(__xludf.DUMMYFUNCTION("QUERY('Volunteer Survey'!E716)"),"")</f>
        <v/>
      </c>
      <c r="AE717" s="175" t="str">
        <f ca="1">IFERROR(__xludf.DUMMYFUNCTION("QUERY('Volunteer Survey'!F716)"),"")</f>
        <v/>
      </c>
      <c r="AF717" s="175" t="str">
        <f ca="1">IFERROR(__xludf.DUMMYFUNCTION("QUERY('Volunteer Survey'!G716)"),"")</f>
        <v/>
      </c>
      <c r="AG717" s="175" t="str">
        <f ca="1">IFERROR(__xludf.DUMMYFUNCTION("QUERY('Volunteer Survey'!H716)"),"")</f>
        <v/>
      </c>
      <c r="AH717" s="175" t="str">
        <f ca="1">IFERROR(__xludf.DUMMYFUNCTION("QUERY('Volunteer Survey'!I716)"),"")</f>
        <v/>
      </c>
      <c r="AI717" s="175" t="str">
        <f ca="1">IFERROR(__xludf.DUMMYFUNCTION("QUERY('Volunteer Survey'!J716)"),"")</f>
        <v/>
      </c>
      <c r="AJ717" s="175" t="str">
        <f ca="1">IFERROR(__xludf.DUMMYFUNCTION("QUERY('Volunteer Survey'!K716)"),"")</f>
        <v/>
      </c>
      <c r="AK717" s="175" t="str">
        <f ca="1">IFERROR(__xludf.DUMMYFUNCTION("QUERY('Volunteer Survey'!L716)"),"")</f>
        <v/>
      </c>
      <c r="AL717" s="175" t="str">
        <f ca="1">IFERROR(__xludf.DUMMYFUNCTION("QUERY('Volunteer Survey'!M716)"),"")</f>
        <v/>
      </c>
      <c r="AM717" s="175" t="str">
        <f ca="1">IFERROR(__xludf.DUMMYFUNCTION("QUERY('Volunteer Survey'!N716)"),"")</f>
        <v/>
      </c>
      <c r="AN717" s="175" t="str">
        <f ca="1">IFERROR(__xludf.DUMMYFUNCTION("QUERY('Volunteer Survey'!O716)"),"")</f>
        <v/>
      </c>
      <c r="AO717" s="175" t="str">
        <f ca="1">IFERROR(__xludf.DUMMYFUNCTION("QUERY('Volunteer Survey'!P716)"),"")</f>
        <v/>
      </c>
    </row>
    <row r="718" spans="1:41" ht="14">
      <c r="A718" s="49"/>
      <c r="B718" s="49"/>
      <c r="C718" s="47"/>
      <c r="D718" s="49"/>
      <c r="E718" s="49"/>
      <c r="F718" s="49" t="b">
        <v>0</v>
      </c>
      <c r="G718" s="49"/>
      <c r="H718" s="47"/>
      <c r="I718" s="47"/>
      <c r="J718" s="49"/>
      <c r="K718" s="49"/>
      <c r="L718" s="49"/>
      <c r="M718" s="49"/>
      <c r="N718" s="49"/>
      <c r="O718" s="49" t="b">
        <v>0</v>
      </c>
      <c r="P718" s="49"/>
      <c r="Q718" s="49"/>
      <c r="R718" s="49"/>
      <c r="S718" s="49"/>
      <c r="T718" s="49"/>
      <c r="U718" s="58"/>
      <c r="V718" s="49"/>
      <c r="W718" s="58"/>
      <c r="X718" s="49"/>
      <c r="Y718" s="47"/>
      <c r="Z718" s="175" t="str">
        <f ca="1">IFERROR(__xludf.DUMMYFUNCTION("QUERY('Volunteer Survey'!A717)"),"")</f>
        <v/>
      </c>
      <c r="AA718" s="175" t="str">
        <f ca="1">IFERROR(__xludf.DUMMYFUNCTION("QUERY('Volunteer Survey'!B717)"),"")</f>
        <v/>
      </c>
      <c r="AB718" s="175" t="str">
        <f ca="1">IFERROR(__xludf.DUMMYFUNCTION("QUERY('Volunteer Survey'!C717)"),"")</f>
        <v/>
      </c>
      <c r="AC718" s="175" t="str">
        <f ca="1">IFERROR(__xludf.DUMMYFUNCTION("QUERY('Volunteer Survey'!D717)"),"")</f>
        <v/>
      </c>
      <c r="AD718" s="175" t="str">
        <f ca="1">IFERROR(__xludf.DUMMYFUNCTION("QUERY('Volunteer Survey'!E717)"),"")</f>
        <v/>
      </c>
      <c r="AE718" s="175" t="str">
        <f ca="1">IFERROR(__xludf.DUMMYFUNCTION("QUERY('Volunteer Survey'!F717)"),"")</f>
        <v/>
      </c>
      <c r="AF718" s="175" t="str">
        <f ca="1">IFERROR(__xludf.DUMMYFUNCTION("QUERY('Volunteer Survey'!G717)"),"")</f>
        <v/>
      </c>
      <c r="AG718" s="175" t="str">
        <f ca="1">IFERROR(__xludf.DUMMYFUNCTION("QUERY('Volunteer Survey'!H717)"),"")</f>
        <v/>
      </c>
      <c r="AH718" s="175" t="str">
        <f ca="1">IFERROR(__xludf.DUMMYFUNCTION("QUERY('Volunteer Survey'!I717)"),"")</f>
        <v/>
      </c>
      <c r="AI718" s="175" t="str">
        <f ca="1">IFERROR(__xludf.DUMMYFUNCTION("QUERY('Volunteer Survey'!J717)"),"")</f>
        <v/>
      </c>
      <c r="AJ718" s="175" t="str">
        <f ca="1">IFERROR(__xludf.DUMMYFUNCTION("QUERY('Volunteer Survey'!K717)"),"")</f>
        <v/>
      </c>
      <c r="AK718" s="175" t="str">
        <f ca="1">IFERROR(__xludf.DUMMYFUNCTION("QUERY('Volunteer Survey'!L717)"),"")</f>
        <v/>
      </c>
      <c r="AL718" s="175" t="str">
        <f ca="1">IFERROR(__xludf.DUMMYFUNCTION("QUERY('Volunteer Survey'!M717)"),"")</f>
        <v/>
      </c>
      <c r="AM718" s="175" t="str">
        <f ca="1">IFERROR(__xludf.DUMMYFUNCTION("QUERY('Volunteer Survey'!N717)"),"")</f>
        <v/>
      </c>
      <c r="AN718" s="175" t="str">
        <f ca="1">IFERROR(__xludf.DUMMYFUNCTION("QUERY('Volunteer Survey'!O717)"),"")</f>
        <v/>
      </c>
      <c r="AO718" s="175" t="str">
        <f ca="1">IFERROR(__xludf.DUMMYFUNCTION("QUERY('Volunteer Survey'!P717)"),"")</f>
        <v/>
      </c>
    </row>
    <row r="719" spans="1:41" ht="14">
      <c r="A719" s="49"/>
      <c r="B719" s="49"/>
      <c r="C719" s="47"/>
      <c r="D719" s="49"/>
      <c r="E719" s="49"/>
      <c r="F719" s="49" t="b">
        <v>0</v>
      </c>
      <c r="G719" s="49"/>
      <c r="H719" s="47"/>
      <c r="I719" s="47"/>
      <c r="J719" s="49"/>
      <c r="K719" s="49"/>
      <c r="L719" s="49"/>
      <c r="M719" s="49"/>
      <c r="N719" s="49"/>
      <c r="O719" s="49" t="b">
        <v>0</v>
      </c>
      <c r="P719" s="49"/>
      <c r="Q719" s="49"/>
      <c r="R719" s="49"/>
      <c r="S719" s="49"/>
      <c r="T719" s="49"/>
      <c r="U719" s="58"/>
      <c r="V719" s="49"/>
      <c r="W719" s="58"/>
      <c r="X719" s="49"/>
      <c r="Y719" s="47"/>
      <c r="Z719" s="175" t="str">
        <f ca="1">IFERROR(__xludf.DUMMYFUNCTION("QUERY('Volunteer Survey'!A718)"),"")</f>
        <v/>
      </c>
      <c r="AA719" s="175" t="str">
        <f ca="1">IFERROR(__xludf.DUMMYFUNCTION("QUERY('Volunteer Survey'!B718)"),"")</f>
        <v/>
      </c>
      <c r="AB719" s="175" t="str">
        <f ca="1">IFERROR(__xludf.DUMMYFUNCTION("QUERY('Volunteer Survey'!C718)"),"")</f>
        <v/>
      </c>
      <c r="AC719" s="175" t="str">
        <f ca="1">IFERROR(__xludf.DUMMYFUNCTION("QUERY('Volunteer Survey'!D718)"),"")</f>
        <v/>
      </c>
      <c r="AD719" s="175" t="str">
        <f ca="1">IFERROR(__xludf.DUMMYFUNCTION("QUERY('Volunteer Survey'!E718)"),"")</f>
        <v/>
      </c>
      <c r="AE719" s="175" t="str">
        <f ca="1">IFERROR(__xludf.DUMMYFUNCTION("QUERY('Volunteer Survey'!F718)"),"")</f>
        <v/>
      </c>
      <c r="AF719" s="175" t="str">
        <f ca="1">IFERROR(__xludf.DUMMYFUNCTION("QUERY('Volunteer Survey'!G718)"),"")</f>
        <v/>
      </c>
      <c r="AG719" s="175" t="str">
        <f ca="1">IFERROR(__xludf.DUMMYFUNCTION("QUERY('Volunteer Survey'!H718)"),"")</f>
        <v/>
      </c>
      <c r="AH719" s="175" t="str">
        <f ca="1">IFERROR(__xludf.DUMMYFUNCTION("QUERY('Volunteer Survey'!I718)"),"")</f>
        <v/>
      </c>
      <c r="AI719" s="175" t="str">
        <f ca="1">IFERROR(__xludf.DUMMYFUNCTION("QUERY('Volunteer Survey'!J718)"),"")</f>
        <v/>
      </c>
      <c r="AJ719" s="175" t="str">
        <f ca="1">IFERROR(__xludf.DUMMYFUNCTION("QUERY('Volunteer Survey'!K718)"),"")</f>
        <v/>
      </c>
      <c r="AK719" s="175" t="str">
        <f ca="1">IFERROR(__xludf.DUMMYFUNCTION("QUERY('Volunteer Survey'!L718)"),"")</f>
        <v/>
      </c>
      <c r="AL719" s="175" t="str">
        <f ca="1">IFERROR(__xludf.DUMMYFUNCTION("QUERY('Volunteer Survey'!M718)"),"")</f>
        <v/>
      </c>
      <c r="AM719" s="175" t="str">
        <f ca="1">IFERROR(__xludf.DUMMYFUNCTION("QUERY('Volunteer Survey'!N718)"),"")</f>
        <v/>
      </c>
      <c r="AN719" s="175" t="str">
        <f ca="1">IFERROR(__xludf.DUMMYFUNCTION("QUERY('Volunteer Survey'!O718)"),"")</f>
        <v/>
      </c>
      <c r="AO719" s="175" t="str">
        <f ca="1">IFERROR(__xludf.DUMMYFUNCTION("QUERY('Volunteer Survey'!P718)"),"")</f>
        <v/>
      </c>
    </row>
    <row r="720" spans="1:41" ht="14">
      <c r="A720" s="49"/>
      <c r="B720" s="49"/>
      <c r="C720" s="47"/>
      <c r="D720" s="49"/>
      <c r="E720" s="49"/>
      <c r="F720" s="49" t="b">
        <v>0</v>
      </c>
      <c r="G720" s="49"/>
      <c r="H720" s="47"/>
      <c r="I720" s="47"/>
      <c r="J720" s="49"/>
      <c r="K720" s="49"/>
      <c r="L720" s="49"/>
      <c r="M720" s="49"/>
      <c r="N720" s="49"/>
      <c r="O720" s="49" t="b">
        <v>0</v>
      </c>
      <c r="P720" s="49"/>
      <c r="Q720" s="49"/>
      <c r="R720" s="49"/>
      <c r="S720" s="49"/>
      <c r="T720" s="49"/>
      <c r="U720" s="58"/>
      <c r="V720" s="49"/>
      <c r="W720" s="58"/>
      <c r="X720" s="49"/>
      <c r="Y720" s="47"/>
      <c r="Z720" s="175" t="str">
        <f ca="1">IFERROR(__xludf.DUMMYFUNCTION("QUERY('Volunteer Survey'!A719)"),"")</f>
        <v/>
      </c>
      <c r="AA720" s="175" t="str">
        <f ca="1">IFERROR(__xludf.DUMMYFUNCTION("QUERY('Volunteer Survey'!B719)"),"")</f>
        <v/>
      </c>
      <c r="AB720" s="175" t="str">
        <f ca="1">IFERROR(__xludf.DUMMYFUNCTION("QUERY('Volunteer Survey'!C719)"),"")</f>
        <v/>
      </c>
      <c r="AC720" s="175" t="str">
        <f ca="1">IFERROR(__xludf.DUMMYFUNCTION("QUERY('Volunteer Survey'!D719)"),"")</f>
        <v/>
      </c>
      <c r="AD720" s="175" t="str">
        <f ca="1">IFERROR(__xludf.DUMMYFUNCTION("QUERY('Volunteer Survey'!E719)"),"")</f>
        <v/>
      </c>
      <c r="AE720" s="175" t="str">
        <f ca="1">IFERROR(__xludf.DUMMYFUNCTION("QUERY('Volunteer Survey'!F719)"),"")</f>
        <v/>
      </c>
      <c r="AF720" s="175" t="str">
        <f ca="1">IFERROR(__xludf.DUMMYFUNCTION("QUERY('Volunteer Survey'!G719)"),"")</f>
        <v/>
      </c>
      <c r="AG720" s="175" t="str">
        <f ca="1">IFERROR(__xludf.DUMMYFUNCTION("QUERY('Volunteer Survey'!H719)"),"")</f>
        <v/>
      </c>
      <c r="AH720" s="175" t="str">
        <f ca="1">IFERROR(__xludf.DUMMYFUNCTION("QUERY('Volunteer Survey'!I719)"),"")</f>
        <v/>
      </c>
      <c r="AI720" s="175" t="str">
        <f ca="1">IFERROR(__xludf.DUMMYFUNCTION("QUERY('Volunteer Survey'!J719)"),"")</f>
        <v/>
      </c>
      <c r="AJ720" s="175" t="str">
        <f ca="1">IFERROR(__xludf.DUMMYFUNCTION("QUERY('Volunteer Survey'!K719)"),"")</f>
        <v/>
      </c>
      <c r="AK720" s="175" t="str">
        <f ca="1">IFERROR(__xludf.DUMMYFUNCTION("QUERY('Volunteer Survey'!L719)"),"")</f>
        <v/>
      </c>
      <c r="AL720" s="175" t="str">
        <f ca="1">IFERROR(__xludf.DUMMYFUNCTION("QUERY('Volunteer Survey'!M719)"),"")</f>
        <v/>
      </c>
      <c r="AM720" s="175" t="str">
        <f ca="1">IFERROR(__xludf.DUMMYFUNCTION("QUERY('Volunteer Survey'!N719)"),"")</f>
        <v/>
      </c>
      <c r="AN720" s="175" t="str">
        <f ca="1">IFERROR(__xludf.DUMMYFUNCTION("QUERY('Volunteer Survey'!O719)"),"")</f>
        <v/>
      </c>
      <c r="AO720" s="175" t="str">
        <f ca="1">IFERROR(__xludf.DUMMYFUNCTION("QUERY('Volunteer Survey'!P719)"),"")</f>
        <v/>
      </c>
    </row>
    <row r="721" spans="1:41" ht="14">
      <c r="A721" s="49"/>
      <c r="B721" s="49"/>
      <c r="C721" s="47"/>
      <c r="D721" s="49"/>
      <c r="E721" s="49"/>
      <c r="F721" s="49" t="b">
        <v>0</v>
      </c>
      <c r="G721" s="49"/>
      <c r="H721" s="47"/>
      <c r="I721" s="47"/>
      <c r="J721" s="49"/>
      <c r="K721" s="49"/>
      <c r="L721" s="49"/>
      <c r="M721" s="49"/>
      <c r="N721" s="49"/>
      <c r="O721" s="49" t="b">
        <v>0</v>
      </c>
      <c r="P721" s="49"/>
      <c r="Q721" s="49"/>
      <c r="R721" s="49"/>
      <c r="S721" s="49"/>
      <c r="T721" s="49"/>
      <c r="U721" s="58"/>
      <c r="V721" s="49"/>
      <c r="W721" s="58"/>
      <c r="X721" s="49"/>
      <c r="Y721" s="47"/>
      <c r="Z721" s="175" t="str">
        <f ca="1">IFERROR(__xludf.DUMMYFUNCTION("QUERY('Volunteer Survey'!A720)"),"")</f>
        <v/>
      </c>
      <c r="AA721" s="175" t="str">
        <f ca="1">IFERROR(__xludf.DUMMYFUNCTION("QUERY('Volunteer Survey'!B720)"),"")</f>
        <v/>
      </c>
      <c r="AB721" s="175" t="str">
        <f ca="1">IFERROR(__xludf.DUMMYFUNCTION("QUERY('Volunteer Survey'!C720)"),"")</f>
        <v/>
      </c>
      <c r="AC721" s="175" t="str">
        <f ca="1">IFERROR(__xludf.DUMMYFUNCTION("QUERY('Volunteer Survey'!D720)"),"")</f>
        <v/>
      </c>
      <c r="AD721" s="175" t="str">
        <f ca="1">IFERROR(__xludf.DUMMYFUNCTION("QUERY('Volunteer Survey'!E720)"),"")</f>
        <v/>
      </c>
      <c r="AE721" s="175" t="str">
        <f ca="1">IFERROR(__xludf.DUMMYFUNCTION("QUERY('Volunteer Survey'!F720)"),"")</f>
        <v/>
      </c>
      <c r="AF721" s="175" t="str">
        <f ca="1">IFERROR(__xludf.DUMMYFUNCTION("QUERY('Volunteer Survey'!G720)"),"")</f>
        <v/>
      </c>
      <c r="AG721" s="175" t="str">
        <f ca="1">IFERROR(__xludf.DUMMYFUNCTION("QUERY('Volunteer Survey'!H720)"),"")</f>
        <v/>
      </c>
      <c r="AH721" s="175" t="str">
        <f ca="1">IFERROR(__xludf.DUMMYFUNCTION("QUERY('Volunteer Survey'!I720)"),"")</f>
        <v/>
      </c>
      <c r="AI721" s="175" t="str">
        <f ca="1">IFERROR(__xludf.DUMMYFUNCTION("QUERY('Volunteer Survey'!J720)"),"")</f>
        <v/>
      </c>
      <c r="AJ721" s="175" t="str">
        <f ca="1">IFERROR(__xludf.DUMMYFUNCTION("QUERY('Volunteer Survey'!K720)"),"")</f>
        <v/>
      </c>
      <c r="AK721" s="175" t="str">
        <f ca="1">IFERROR(__xludf.DUMMYFUNCTION("QUERY('Volunteer Survey'!L720)"),"")</f>
        <v/>
      </c>
      <c r="AL721" s="175" t="str">
        <f ca="1">IFERROR(__xludf.DUMMYFUNCTION("QUERY('Volunteer Survey'!M720)"),"")</f>
        <v/>
      </c>
      <c r="AM721" s="175" t="str">
        <f ca="1">IFERROR(__xludf.DUMMYFUNCTION("QUERY('Volunteer Survey'!N720)"),"")</f>
        <v/>
      </c>
      <c r="AN721" s="175" t="str">
        <f ca="1">IFERROR(__xludf.DUMMYFUNCTION("QUERY('Volunteer Survey'!O720)"),"")</f>
        <v/>
      </c>
      <c r="AO721" s="175" t="str">
        <f ca="1">IFERROR(__xludf.DUMMYFUNCTION("QUERY('Volunteer Survey'!P720)"),"")</f>
        <v/>
      </c>
    </row>
    <row r="722" spans="1:41" ht="14">
      <c r="A722" s="49"/>
      <c r="B722" s="49"/>
      <c r="C722" s="47"/>
      <c r="D722" s="49"/>
      <c r="E722" s="49"/>
      <c r="F722" s="49" t="b">
        <v>0</v>
      </c>
      <c r="G722" s="49"/>
      <c r="H722" s="47"/>
      <c r="I722" s="47"/>
      <c r="J722" s="49"/>
      <c r="K722" s="49"/>
      <c r="L722" s="49"/>
      <c r="M722" s="49"/>
      <c r="N722" s="49"/>
      <c r="O722" s="49" t="b">
        <v>0</v>
      </c>
      <c r="P722" s="49"/>
      <c r="Q722" s="49"/>
      <c r="R722" s="49"/>
      <c r="S722" s="49"/>
      <c r="T722" s="49"/>
      <c r="U722" s="58"/>
      <c r="V722" s="49"/>
      <c r="W722" s="58"/>
      <c r="X722" s="49"/>
      <c r="Y722" s="47"/>
      <c r="Z722" s="175" t="str">
        <f ca="1">IFERROR(__xludf.DUMMYFUNCTION("QUERY('Volunteer Survey'!A721)"),"")</f>
        <v/>
      </c>
      <c r="AA722" s="175" t="str">
        <f ca="1">IFERROR(__xludf.DUMMYFUNCTION("QUERY('Volunteer Survey'!B721)"),"")</f>
        <v/>
      </c>
      <c r="AB722" s="175" t="str">
        <f ca="1">IFERROR(__xludf.DUMMYFUNCTION("QUERY('Volunteer Survey'!C721)"),"")</f>
        <v/>
      </c>
      <c r="AC722" s="175" t="str">
        <f ca="1">IFERROR(__xludf.DUMMYFUNCTION("QUERY('Volunteer Survey'!D721)"),"")</f>
        <v/>
      </c>
      <c r="AD722" s="175" t="str">
        <f ca="1">IFERROR(__xludf.DUMMYFUNCTION("QUERY('Volunteer Survey'!E721)"),"")</f>
        <v/>
      </c>
      <c r="AE722" s="175" t="str">
        <f ca="1">IFERROR(__xludf.DUMMYFUNCTION("QUERY('Volunteer Survey'!F721)"),"")</f>
        <v/>
      </c>
      <c r="AF722" s="175" t="str">
        <f ca="1">IFERROR(__xludf.DUMMYFUNCTION("QUERY('Volunteer Survey'!G721)"),"")</f>
        <v/>
      </c>
      <c r="AG722" s="175" t="str">
        <f ca="1">IFERROR(__xludf.DUMMYFUNCTION("QUERY('Volunteer Survey'!H721)"),"")</f>
        <v/>
      </c>
      <c r="AH722" s="175" t="str">
        <f ca="1">IFERROR(__xludf.DUMMYFUNCTION("QUERY('Volunteer Survey'!I721)"),"")</f>
        <v/>
      </c>
      <c r="AI722" s="175" t="str">
        <f ca="1">IFERROR(__xludf.DUMMYFUNCTION("QUERY('Volunteer Survey'!J721)"),"")</f>
        <v/>
      </c>
      <c r="AJ722" s="175" t="str">
        <f ca="1">IFERROR(__xludf.DUMMYFUNCTION("QUERY('Volunteer Survey'!K721)"),"")</f>
        <v/>
      </c>
      <c r="AK722" s="175" t="str">
        <f ca="1">IFERROR(__xludf.DUMMYFUNCTION("QUERY('Volunteer Survey'!L721)"),"")</f>
        <v/>
      </c>
      <c r="AL722" s="175" t="str">
        <f ca="1">IFERROR(__xludf.DUMMYFUNCTION("QUERY('Volunteer Survey'!M721)"),"")</f>
        <v/>
      </c>
      <c r="AM722" s="175" t="str">
        <f ca="1">IFERROR(__xludf.DUMMYFUNCTION("QUERY('Volunteer Survey'!N721)"),"")</f>
        <v/>
      </c>
      <c r="AN722" s="175" t="str">
        <f ca="1">IFERROR(__xludf.DUMMYFUNCTION("QUERY('Volunteer Survey'!O721)"),"")</f>
        <v/>
      </c>
      <c r="AO722" s="175" t="str">
        <f ca="1">IFERROR(__xludf.DUMMYFUNCTION("QUERY('Volunteer Survey'!P721)"),"")</f>
        <v/>
      </c>
    </row>
    <row r="723" spans="1:41" ht="14">
      <c r="A723" s="49"/>
      <c r="B723" s="49"/>
      <c r="C723" s="47"/>
      <c r="D723" s="49"/>
      <c r="E723" s="49"/>
      <c r="F723" s="49" t="b">
        <v>0</v>
      </c>
      <c r="G723" s="49"/>
      <c r="H723" s="47"/>
      <c r="I723" s="47"/>
      <c r="J723" s="49"/>
      <c r="K723" s="49"/>
      <c r="L723" s="49"/>
      <c r="M723" s="49"/>
      <c r="N723" s="49"/>
      <c r="O723" s="49" t="b">
        <v>0</v>
      </c>
      <c r="P723" s="49"/>
      <c r="Q723" s="49"/>
      <c r="R723" s="49"/>
      <c r="S723" s="49"/>
      <c r="T723" s="49"/>
      <c r="U723" s="58"/>
      <c r="V723" s="49"/>
      <c r="W723" s="58"/>
      <c r="X723" s="49"/>
      <c r="Y723" s="47"/>
      <c r="Z723" s="175" t="str">
        <f ca="1">IFERROR(__xludf.DUMMYFUNCTION("QUERY('Volunteer Survey'!A722)"),"")</f>
        <v/>
      </c>
      <c r="AA723" s="175" t="str">
        <f ca="1">IFERROR(__xludf.DUMMYFUNCTION("QUERY('Volunteer Survey'!B722)"),"")</f>
        <v/>
      </c>
      <c r="AB723" s="175" t="str">
        <f ca="1">IFERROR(__xludf.DUMMYFUNCTION("QUERY('Volunteer Survey'!C722)"),"")</f>
        <v/>
      </c>
      <c r="AC723" s="175" t="str">
        <f ca="1">IFERROR(__xludf.DUMMYFUNCTION("QUERY('Volunteer Survey'!D722)"),"")</f>
        <v/>
      </c>
      <c r="AD723" s="175" t="str">
        <f ca="1">IFERROR(__xludf.DUMMYFUNCTION("QUERY('Volunteer Survey'!E722)"),"")</f>
        <v/>
      </c>
      <c r="AE723" s="175" t="str">
        <f ca="1">IFERROR(__xludf.DUMMYFUNCTION("QUERY('Volunteer Survey'!F722)"),"")</f>
        <v/>
      </c>
      <c r="AF723" s="175" t="str">
        <f ca="1">IFERROR(__xludf.DUMMYFUNCTION("QUERY('Volunteer Survey'!G722)"),"")</f>
        <v/>
      </c>
      <c r="AG723" s="175" t="str">
        <f ca="1">IFERROR(__xludf.DUMMYFUNCTION("QUERY('Volunteer Survey'!H722)"),"")</f>
        <v/>
      </c>
      <c r="AH723" s="175" t="str">
        <f ca="1">IFERROR(__xludf.DUMMYFUNCTION("QUERY('Volunteer Survey'!I722)"),"")</f>
        <v/>
      </c>
      <c r="AI723" s="175" t="str">
        <f ca="1">IFERROR(__xludf.DUMMYFUNCTION("QUERY('Volunteer Survey'!J722)"),"")</f>
        <v/>
      </c>
      <c r="AJ723" s="175" t="str">
        <f ca="1">IFERROR(__xludf.DUMMYFUNCTION("QUERY('Volunteer Survey'!K722)"),"")</f>
        <v/>
      </c>
      <c r="AK723" s="175" t="str">
        <f ca="1">IFERROR(__xludf.DUMMYFUNCTION("QUERY('Volunteer Survey'!L722)"),"")</f>
        <v/>
      </c>
      <c r="AL723" s="175" t="str">
        <f ca="1">IFERROR(__xludf.DUMMYFUNCTION("QUERY('Volunteer Survey'!M722)"),"")</f>
        <v/>
      </c>
      <c r="AM723" s="175" t="str">
        <f ca="1">IFERROR(__xludf.DUMMYFUNCTION("QUERY('Volunteer Survey'!N722)"),"")</f>
        <v/>
      </c>
      <c r="AN723" s="175" t="str">
        <f ca="1">IFERROR(__xludf.DUMMYFUNCTION("QUERY('Volunteer Survey'!O722)"),"")</f>
        <v/>
      </c>
      <c r="AO723" s="175" t="str">
        <f ca="1">IFERROR(__xludf.DUMMYFUNCTION("QUERY('Volunteer Survey'!P722)"),"")</f>
        <v/>
      </c>
    </row>
    <row r="724" spans="1:41" ht="14">
      <c r="A724" s="49"/>
      <c r="B724" s="49"/>
      <c r="C724" s="47"/>
      <c r="D724" s="49"/>
      <c r="E724" s="49"/>
      <c r="F724" s="49" t="b">
        <v>0</v>
      </c>
      <c r="G724" s="49"/>
      <c r="H724" s="47"/>
      <c r="I724" s="47"/>
      <c r="J724" s="49"/>
      <c r="K724" s="49"/>
      <c r="L724" s="49"/>
      <c r="M724" s="49"/>
      <c r="N724" s="49"/>
      <c r="O724" s="49" t="b">
        <v>0</v>
      </c>
      <c r="P724" s="49"/>
      <c r="Q724" s="49"/>
      <c r="R724" s="49"/>
      <c r="S724" s="49"/>
      <c r="T724" s="49"/>
      <c r="U724" s="58"/>
      <c r="V724" s="49"/>
      <c r="W724" s="58"/>
      <c r="X724" s="49"/>
      <c r="Y724" s="47"/>
      <c r="Z724" s="175" t="str">
        <f ca="1">IFERROR(__xludf.DUMMYFUNCTION("QUERY('Volunteer Survey'!A723)"),"")</f>
        <v/>
      </c>
      <c r="AA724" s="175" t="str">
        <f ca="1">IFERROR(__xludf.DUMMYFUNCTION("QUERY('Volunteer Survey'!B723)"),"")</f>
        <v/>
      </c>
      <c r="AB724" s="175" t="str">
        <f ca="1">IFERROR(__xludf.DUMMYFUNCTION("QUERY('Volunteer Survey'!C723)"),"")</f>
        <v/>
      </c>
      <c r="AC724" s="175" t="str">
        <f ca="1">IFERROR(__xludf.DUMMYFUNCTION("QUERY('Volunteer Survey'!D723)"),"")</f>
        <v/>
      </c>
      <c r="AD724" s="175" t="str">
        <f ca="1">IFERROR(__xludf.DUMMYFUNCTION("QUERY('Volunteer Survey'!E723)"),"")</f>
        <v/>
      </c>
      <c r="AE724" s="175" t="str">
        <f ca="1">IFERROR(__xludf.DUMMYFUNCTION("QUERY('Volunteer Survey'!F723)"),"")</f>
        <v/>
      </c>
      <c r="AF724" s="175" t="str">
        <f ca="1">IFERROR(__xludf.DUMMYFUNCTION("QUERY('Volunteer Survey'!G723)"),"")</f>
        <v/>
      </c>
      <c r="AG724" s="175" t="str">
        <f ca="1">IFERROR(__xludf.DUMMYFUNCTION("QUERY('Volunteer Survey'!H723)"),"")</f>
        <v/>
      </c>
      <c r="AH724" s="175" t="str">
        <f ca="1">IFERROR(__xludf.DUMMYFUNCTION("QUERY('Volunteer Survey'!I723)"),"")</f>
        <v/>
      </c>
      <c r="AI724" s="175" t="str">
        <f ca="1">IFERROR(__xludf.DUMMYFUNCTION("QUERY('Volunteer Survey'!J723)"),"")</f>
        <v/>
      </c>
      <c r="AJ724" s="175" t="str">
        <f ca="1">IFERROR(__xludf.DUMMYFUNCTION("QUERY('Volunteer Survey'!K723)"),"")</f>
        <v/>
      </c>
      <c r="AK724" s="175" t="str">
        <f ca="1">IFERROR(__xludf.DUMMYFUNCTION("QUERY('Volunteer Survey'!L723)"),"")</f>
        <v/>
      </c>
      <c r="AL724" s="175" t="str">
        <f ca="1">IFERROR(__xludf.DUMMYFUNCTION("QUERY('Volunteer Survey'!M723)"),"")</f>
        <v/>
      </c>
      <c r="AM724" s="175" t="str">
        <f ca="1">IFERROR(__xludf.DUMMYFUNCTION("QUERY('Volunteer Survey'!N723)"),"")</f>
        <v/>
      </c>
      <c r="AN724" s="175" t="str">
        <f ca="1">IFERROR(__xludf.DUMMYFUNCTION("QUERY('Volunteer Survey'!O723)"),"")</f>
        <v/>
      </c>
      <c r="AO724" s="175" t="str">
        <f ca="1">IFERROR(__xludf.DUMMYFUNCTION("QUERY('Volunteer Survey'!P723)"),"")</f>
        <v/>
      </c>
    </row>
    <row r="725" spans="1:41" ht="14">
      <c r="A725" s="49"/>
      <c r="B725" s="49"/>
      <c r="C725" s="47"/>
      <c r="D725" s="49"/>
      <c r="E725" s="49"/>
      <c r="F725" s="49" t="b">
        <v>0</v>
      </c>
      <c r="G725" s="49"/>
      <c r="H725" s="47"/>
      <c r="I725" s="47"/>
      <c r="J725" s="49"/>
      <c r="K725" s="49"/>
      <c r="L725" s="49"/>
      <c r="M725" s="49"/>
      <c r="N725" s="49"/>
      <c r="O725" s="49" t="b">
        <v>0</v>
      </c>
      <c r="P725" s="49"/>
      <c r="Q725" s="49"/>
      <c r="R725" s="49"/>
      <c r="S725" s="49"/>
      <c r="T725" s="49"/>
      <c r="U725" s="58"/>
      <c r="V725" s="49"/>
      <c r="W725" s="58"/>
      <c r="X725" s="49"/>
      <c r="Y725" s="47"/>
      <c r="Z725" s="175" t="str">
        <f ca="1">IFERROR(__xludf.DUMMYFUNCTION("QUERY('Volunteer Survey'!A724)"),"")</f>
        <v/>
      </c>
      <c r="AA725" s="175" t="str">
        <f ca="1">IFERROR(__xludf.DUMMYFUNCTION("QUERY('Volunteer Survey'!B724)"),"")</f>
        <v/>
      </c>
      <c r="AB725" s="175" t="str">
        <f ca="1">IFERROR(__xludf.DUMMYFUNCTION("QUERY('Volunteer Survey'!C724)"),"")</f>
        <v/>
      </c>
      <c r="AC725" s="175" t="str">
        <f ca="1">IFERROR(__xludf.DUMMYFUNCTION("QUERY('Volunteer Survey'!D724)"),"")</f>
        <v/>
      </c>
      <c r="AD725" s="175" t="str">
        <f ca="1">IFERROR(__xludf.DUMMYFUNCTION("QUERY('Volunteer Survey'!E724)"),"")</f>
        <v/>
      </c>
      <c r="AE725" s="175" t="str">
        <f ca="1">IFERROR(__xludf.DUMMYFUNCTION("QUERY('Volunteer Survey'!F724)"),"")</f>
        <v/>
      </c>
      <c r="AF725" s="175" t="str">
        <f ca="1">IFERROR(__xludf.DUMMYFUNCTION("QUERY('Volunteer Survey'!G724)"),"")</f>
        <v/>
      </c>
      <c r="AG725" s="175" t="str">
        <f ca="1">IFERROR(__xludf.DUMMYFUNCTION("QUERY('Volunteer Survey'!H724)"),"")</f>
        <v/>
      </c>
      <c r="AH725" s="175" t="str">
        <f ca="1">IFERROR(__xludf.DUMMYFUNCTION("QUERY('Volunteer Survey'!I724)"),"")</f>
        <v/>
      </c>
      <c r="AI725" s="175" t="str">
        <f ca="1">IFERROR(__xludf.DUMMYFUNCTION("QUERY('Volunteer Survey'!J724)"),"")</f>
        <v/>
      </c>
      <c r="AJ725" s="175" t="str">
        <f ca="1">IFERROR(__xludf.DUMMYFUNCTION("QUERY('Volunteer Survey'!K724)"),"")</f>
        <v/>
      </c>
      <c r="AK725" s="175" t="str">
        <f ca="1">IFERROR(__xludf.DUMMYFUNCTION("QUERY('Volunteer Survey'!L724)"),"")</f>
        <v/>
      </c>
      <c r="AL725" s="175" t="str">
        <f ca="1">IFERROR(__xludf.DUMMYFUNCTION("QUERY('Volunteer Survey'!M724)"),"")</f>
        <v/>
      </c>
      <c r="AM725" s="175" t="str">
        <f ca="1">IFERROR(__xludf.DUMMYFUNCTION("QUERY('Volunteer Survey'!N724)"),"")</f>
        <v/>
      </c>
      <c r="AN725" s="175" t="str">
        <f ca="1">IFERROR(__xludf.DUMMYFUNCTION("QUERY('Volunteer Survey'!O724)"),"")</f>
        <v/>
      </c>
      <c r="AO725" s="175" t="str">
        <f ca="1">IFERROR(__xludf.DUMMYFUNCTION("QUERY('Volunteer Survey'!P724)"),"")</f>
        <v/>
      </c>
    </row>
    <row r="726" spans="1:41" ht="14">
      <c r="A726" s="49"/>
      <c r="B726" s="49"/>
      <c r="C726" s="47"/>
      <c r="D726" s="49"/>
      <c r="E726" s="49"/>
      <c r="F726" s="49" t="b">
        <v>0</v>
      </c>
      <c r="G726" s="49"/>
      <c r="H726" s="47"/>
      <c r="I726" s="47"/>
      <c r="J726" s="49"/>
      <c r="K726" s="49"/>
      <c r="L726" s="49"/>
      <c r="M726" s="49"/>
      <c r="N726" s="49"/>
      <c r="O726" s="49" t="b">
        <v>0</v>
      </c>
      <c r="P726" s="49"/>
      <c r="Q726" s="49"/>
      <c r="R726" s="49"/>
      <c r="S726" s="49"/>
      <c r="T726" s="49"/>
      <c r="U726" s="58"/>
      <c r="V726" s="49"/>
      <c r="W726" s="58"/>
      <c r="X726" s="49"/>
      <c r="Y726" s="47"/>
      <c r="Z726" s="175" t="str">
        <f ca="1">IFERROR(__xludf.DUMMYFUNCTION("QUERY('Volunteer Survey'!A725)"),"")</f>
        <v/>
      </c>
      <c r="AA726" s="175" t="str">
        <f ca="1">IFERROR(__xludf.DUMMYFUNCTION("QUERY('Volunteer Survey'!B725)"),"")</f>
        <v/>
      </c>
      <c r="AB726" s="175" t="str">
        <f ca="1">IFERROR(__xludf.DUMMYFUNCTION("QUERY('Volunteer Survey'!C725)"),"")</f>
        <v/>
      </c>
      <c r="AC726" s="175" t="str">
        <f ca="1">IFERROR(__xludf.DUMMYFUNCTION("QUERY('Volunteer Survey'!D725)"),"")</f>
        <v/>
      </c>
      <c r="AD726" s="175" t="str">
        <f ca="1">IFERROR(__xludf.DUMMYFUNCTION("QUERY('Volunteer Survey'!E725)"),"")</f>
        <v/>
      </c>
      <c r="AE726" s="175" t="str">
        <f ca="1">IFERROR(__xludf.DUMMYFUNCTION("QUERY('Volunteer Survey'!F725)"),"")</f>
        <v/>
      </c>
      <c r="AF726" s="175" t="str">
        <f ca="1">IFERROR(__xludf.DUMMYFUNCTION("QUERY('Volunteer Survey'!G725)"),"")</f>
        <v/>
      </c>
      <c r="AG726" s="175" t="str">
        <f ca="1">IFERROR(__xludf.DUMMYFUNCTION("QUERY('Volunteer Survey'!H725)"),"")</f>
        <v/>
      </c>
      <c r="AH726" s="175" t="str">
        <f ca="1">IFERROR(__xludf.DUMMYFUNCTION("QUERY('Volunteer Survey'!I725)"),"")</f>
        <v/>
      </c>
      <c r="AI726" s="175" t="str">
        <f ca="1">IFERROR(__xludf.DUMMYFUNCTION("QUERY('Volunteer Survey'!J725)"),"")</f>
        <v/>
      </c>
      <c r="AJ726" s="175" t="str">
        <f ca="1">IFERROR(__xludf.DUMMYFUNCTION("QUERY('Volunteer Survey'!K725)"),"")</f>
        <v/>
      </c>
      <c r="AK726" s="175" t="str">
        <f ca="1">IFERROR(__xludf.DUMMYFUNCTION("QUERY('Volunteer Survey'!L725)"),"")</f>
        <v/>
      </c>
      <c r="AL726" s="175" t="str">
        <f ca="1">IFERROR(__xludf.DUMMYFUNCTION("QUERY('Volunteer Survey'!M725)"),"")</f>
        <v/>
      </c>
      <c r="AM726" s="175" t="str">
        <f ca="1">IFERROR(__xludf.DUMMYFUNCTION("QUERY('Volunteer Survey'!N725)"),"")</f>
        <v/>
      </c>
      <c r="AN726" s="175" t="str">
        <f ca="1">IFERROR(__xludf.DUMMYFUNCTION("QUERY('Volunteer Survey'!O725)"),"")</f>
        <v/>
      </c>
      <c r="AO726" s="175" t="str">
        <f ca="1">IFERROR(__xludf.DUMMYFUNCTION("QUERY('Volunteer Survey'!P725)"),"")</f>
        <v/>
      </c>
    </row>
    <row r="727" spans="1:41" ht="14">
      <c r="A727" s="49"/>
      <c r="B727" s="49"/>
      <c r="C727" s="47"/>
      <c r="D727" s="49"/>
      <c r="E727" s="49"/>
      <c r="F727" s="49" t="b">
        <v>0</v>
      </c>
      <c r="G727" s="49"/>
      <c r="H727" s="47"/>
      <c r="I727" s="47"/>
      <c r="J727" s="49"/>
      <c r="K727" s="49"/>
      <c r="L727" s="49"/>
      <c r="M727" s="49"/>
      <c r="N727" s="49"/>
      <c r="O727" s="49" t="b">
        <v>0</v>
      </c>
      <c r="P727" s="49"/>
      <c r="Q727" s="49"/>
      <c r="R727" s="49"/>
      <c r="S727" s="49"/>
      <c r="T727" s="49"/>
      <c r="U727" s="58"/>
      <c r="V727" s="49"/>
      <c r="W727" s="58"/>
      <c r="X727" s="49"/>
      <c r="Y727" s="47"/>
      <c r="Z727" s="175" t="str">
        <f ca="1">IFERROR(__xludf.DUMMYFUNCTION("QUERY('Volunteer Survey'!A726)"),"")</f>
        <v/>
      </c>
      <c r="AA727" s="175" t="str">
        <f ca="1">IFERROR(__xludf.DUMMYFUNCTION("QUERY('Volunteer Survey'!B726)"),"")</f>
        <v/>
      </c>
      <c r="AB727" s="175" t="str">
        <f ca="1">IFERROR(__xludf.DUMMYFUNCTION("QUERY('Volunteer Survey'!C726)"),"")</f>
        <v/>
      </c>
      <c r="AC727" s="175" t="str">
        <f ca="1">IFERROR(__xludf.DUMMYFUNCTION("QUERY('Volunteer Survey'!D726)"),"")</f>
        <v/>
      </c>
      <c r="AD727" s="175" t="str">
        <f ca="1">IFERROR(__xludf.DUMMYFUNCTION("QUERY('Volunteer Survey'!E726)"),"")</f>
        <v/>
      </c>
      <c r="AE727" s="175" t="str">
        <f ca="1">IFERROR(__xludf.DUMMYFUNCTION("QUERY('Volunteer Survey'!F726)"),"")</f>
        <v/>
      </c>
      <c r="AF727" s="175" t="str">
        <f ca="1">IFERROR(__xludf.DUMMYFUNCTION("QUERY('Volunteer Survey'!G726)"),"")</f>
        <v/>
      </c>
      <c r="AG727" s="175" t="str">
        <f ca="1">IFERROR(__xludf.DUMMYFUNCTION("QUERY('Volunteer Survey'!H726)"),"")</f>
        <v/>
      </c>
      <c r="AH727" s="175" t="str">
        <f ca="1">IFERROR(__xludf.DUMMYFUNCTION("QUERY('Volunteer Survey'!I726)"),"")</f>
        <v/>
      </c>
      <c r="AI727" s="175" t="str">
        <f ca="1">IFERROR(__xludf.DUMMYFUNCTION("QUERY('Volunteer Survey'!J726)"),"")</f>
        <v/>
      </c>
      <c r="AJ727" s="175" t="str">
        <f ca="1">IFERROR(__xludf.DUMMYFUNCTION("QUERY('Volunteer Survey'!K726)"),"")</f>
        <v/>
      </c>
      <c r="AK727" s="175" t="str">
        <f ca="1">IFERROR(__xludf.DUMMYFUNCTION("QUERY('Volunteer Survey'!L726)"),"")</f>
        <v/>
      </c>
      <c r="AL727" s="175" t="str">
        <f ca="1">IFERROR(__xludf.DUMMYFUNCTION("QUERY('Volunteer Survey'!M726)"),"")</f>
        <v/>
      </c>
      <c r="AM727" s="175" t="str">
        <f ca="1">IFERROR(__xludf.DUMMYFUNCTION("QUERY('Volunteer Survey'!N726)"),"")</f>
        <v/>
      </c>
      <c r="AN727" s="175" t="str">
        <f ca="1">IFERROR(__xludf.DUMMYFUNCTION("QUERY('Volunteer Survey'!O726)"),"")</f>
        <v/>
      </c>
      <c r="AO727" s="175" t="str">
        <f ca="1">IFERROR(__xludf.DUMMYFUNCTION("QUERY('Volunteer Survey'!P726)"),"")</f>
        <v/>
      </c>
    </row>
    <row r="728" spans="1:41" ht="14">
      <c r="A728" s="49"/>
      <c r="B728" s="49"/>
      <c r="C728" s="47"/>
      <c r="D728" s="49"/>
      <c r="E728" s="49"/>
      <c r="F728" s="49" t="b">
        <v>0</v>
      </c>
      <c r="G728" s="49"/>
      <c r="H728" s="47"/>
      <c r="I728" s="47"/>
      <c r="J728" s="49"/>
      <c r="K728" s="49"/>
      <c r="L728" s="49"/>
      <c r="M728" s="49"/>
      <c r="N728" s="49"/>
      <c r="O728" s="49" t="b">
        <v>0</v>
      </c>
      <c r="P728" s="49"/>
      <c r="Q728" s="49"/>
      <c r="R728" s="49"/>
      <c r="S728" s="49"/>
      <c r="T728" s="49"/>
      <c r="U728" s="58"/>
      <c r="V728" s="49"/>
      <c r="W728" s="58"/>
      <c r="X728" s="49"/>
      <c r="Y728" s="47"/>
      <c r="Z728" s="175" t="str">
        <f ca="1">IFERROR(__xludf.DUMMYFUNCTION("QUERY('Volunteer Survey'!A727)"),"")</f>
        <v/>
      </c>
      <c r="AA728" s="175" t="str">
        <f ca="1">IFERROR(__xludf.DUMMYFUNCTION("QUERY('Volunteer Survey'!B727)"),"")</f>
        <v/>
      </c>
      <c r="AB728" s="175" t="str">
        <f ca="1">IFERROR(__xludf.DUMMYFUNCTION("QUERY('Volunteer Survey'!C727)"),"")</f>
        <v/>
      </c>
      <c r="AC728" s="175" t="str">
        <f ca="1">IFERROR(__xludf.DUMMYFUNCTION("QUERY('Volunteer Survey'!D727)"),"")</f>
        <v/>
      </c>
      <c r="AD728" s="175" t="str">
        <f ca="1">IFERROR(__xludf.DUMMYFUNCTION("QUERY('Volunteer Survey'!E727)"),"")</f>
        <v/>
      </c>
      <c r="AE728" s="175" t="str">
        <f ca="1">IFERROR(__xludf.DUMMYFUNCTION("QUERY('Volunteer Survey'!F727)"),"")</f>
        <v/>
      </c>
      <c r="AF728" s="175" t="str">
        <f ca="1">IFERROR(__xludf.DUMMYFUNCTION("QUERY('Volunteer Survey'!G727)"),"")</f>
        <v/>
      </c>
      <c r="AG728" s="175" t="str">
        <f ca="1">IFERROR(__xludf.DUMMYFUNCTION("QUERY('Volunteer Survey'!H727)"),"")</f>
        <v/>
      </c>
      <c r="AH728" s="175" t="str">
        <f ca="1">IFERROR(__xludf.DUMMYFUNCTION("QUERY('Volunteer Survey'!I727)"),"")</f>
        <v/>
      </c>
      <c r="AI728" s="175" t="str">
        <f ca="1">IFERROR(__xludf.DUMMYFUNCTION("QUERY('Volunteer Survey'!J727)"),"")</f>
        <v/>
      </c>
      <c r="AJ728" s="175" t="str">
        <f ca="1">IFERROR(__xludf.DUMMYFUNCTION("QUERY('Volunteer Survey'!K727)"),"")</f>
        <v/>
      </c>
      <c r="AK728" s="175" t="str">
        <f ca="1">IFERROR(__xludf.DUMMYFUNCTION("QUERY('Volunteer Survey'!L727)"),"")</f>
        <v/>
      </c>
      <c r="AL728" s="175" t="str">
        <f ca="1">IFERROR(__xludf.DUMMYFUNCTION("QUERY('Volunteer Survey'!M727)"),"")</f>
        <v/>
      </c>
      <c r="AM728" s="175" t="str">
        <f ca="1">IFERROR(__xludf.DUMMYFUNCTION("QUERY('Volunteer Survey'!N727)"),"")</f>
        <v/>
      </c>
      <c r="AN728" s="175" t="str">
        <f ca="1">IFERROR(__xludf.DUMMYFUNCTION("QUERY('Volunteer Survey'!O727)"),"")</f>
        <v/>
      </c>
      <c r="AO728" s="175" t="str">
        <f ca="1">IFERROR(__xludf.DUMMYFUNCTION("QUERY('Volunteer Survey'!P727)"),"")</f>
        <v/>
      </c>
    </row>
    <row r="729" spans="1:41" ht="14">
      <c r="A729" s="49"/>
      <c r="B729" s="49"/>
      <c r="C729" s="47"/>
      <c r="D729" s="49"/>
      <c r="E729" s="49"/>
      <c r="F729" s="49" t="b">
        <v>0</v>
      </c>
      <c r="G729" s="49"/>
      <c r="H729" s="47"/>
      <c r="I729" s="47"/>
      <c r="J729" s="49"/>
      <c r="K729" s="49"/>
      <c r="L729" s="49"/>
      <c r="M729" s="49"/>
      <c r="N729" s="49"/>
      <c r="O729" s="49" t="b">
        <v>0</v>
      </c>
      <c r="P729" s="49"/>
      <c r="Q729" s="49"/>
      <c r="R729" s="49"/>
      <c r="S729" s="49"/>
      <c r="T729" s="49"/>
      <c r="U729" s="58"/>
      <c r="V729" s="49"/>
      <c r="W729" s="58"/>
      <c r="X729" s="49"/>
      <c r="Y729" s="47"/>
      <c r="Z729" s="175" t="str">
        <f ca="1">IFERROR(__xludf.DUMMYFUNCTION("QUERY('Volunteer Survey'!A728)"),"")</f>
        <v/>
      </c>
      <c r="AA729" s="175" t="str">
        <f ca="1">IFERROR(__xludf.DUMMYFUNCTION("QUERY('Volunteer Survey'!B728)"),"")</f>
        <v/>
      </c>
      <c r="AB729" s="175" t="str">
        <f ca="1">IFERROR(__xludf.DUMMYFUNCTION("QUERY('Volunteer Survey'!C728)"),"")</f>
        <v/>
      </c>
      <c r="AC729" s="175" t="str">
        <f ca="1">IFERROR(__xludf.DUMMYFUNCTION("QUERY('Volunteer Survey'!D728)"),"")</f>
        <v/>
      </c>
      <c r="AD729" s="175" t="str">
        <f ca="1">IFERROR(__xludf.DUMMYFUNCTION("QUERY('Volunteer Survey'!E728)"),"")</f>
        <v/>
      </c>
      <c r="AE729" s="175" t="str">
        <f ca="1">IFERROR(__xludf.DUMMYFUNCTION("QUERY('Volunteer Survey'!F728)"),"")</f>
        <v/>
      </c>
      <c r="AF729" s="175" t="str">
        <f ca="1">IFERROR(__xludf.DUMMYFUNCTION("QUERY('Volunteer Survey'!G728)"),"")</f>
        <v/>
      </c>
      <c r="AG729" s="175" t="str">
        <f ca="1">IFERROR(__xludf.DUMMYFUNCTION("QUERY('Volunteer Survey'!H728)"),"")</f>
        <v/>
      </c>
      <c r="AH729" s="175" t="str">
        <f ca="1">IFERROR(__xludf.DUMMYFUNCTION("QUERY('Volunteer Survey'!I728)"),"")</f>
        <v/>
      </c>
      <c r="AI729" s="175" t="str">
        <f ca="1">IFERROR(__xludf.DUMMYFUNCTION("QUERY('Volunteer Survey'!J728)"),"")</f>
        <v/>
      </c>
      <c r="AJ729" s="175" t="str">
        <f ca="1">IFERROR(__xludf.DUMMYFUNCTION("QUERY('Volunteer Survey'!K728)"),"")</f>
        <v/>
      </c>
      <c r="AK729" s="175" t="str">
        <f ca="1">IFERROR(__xludf.DUMMYFUNCTION("QUERY('Volunteer Survey'!L728)"),"")</f>
        <v/>
      </c>
      <c r="AL729" s="175" t="str">
        <f ca="1">IFERROR(__xludf.DUMMYFUNCTION("QUERY('Volunteer Survey'!M728)"),"")</f>
        <v/>
      </c>
      <c r="AM729" s="175" t="str">
        <f ca="1">IFERROR(__xludf.DUMMYFUNCTION("QUERY('Volunteer Survey'!N728)"),"")</f>
        <v/>
      </c>
      <c r="AN729" s="175" t="str">
        <f ca="1">IFERROR(__xludf.DUMMYFUNCTION("QUERY('Volunteer Survey'!O728)"),"")</f>
        <v/>
      </c>
      <c r="AO729" s="175" t="str">
        <f ca="1">IFERROR(__xludf.DUMMYFUNCTION("QUERY('Volunteer Survey'!P728)"),"")</f>
        <v/>
      </c>
    </row>
    <row r="730" spans="1:41" ht="14">
      <c r="A730" s="49"/>
      <c r="B730" s="49"/>
      <c r="C730" s="47"/>
      <c r="D730" s="49"/>
      <c r="E730" s="49"/>
      <c r="F730" s="49" t="b">
        <v>0</v>
      </c>
      <c r="G730" s="49"/>
      <c r="H730" s="47"/>
      <c r="I730" s="47"/>
      <c r="J730" s="49"/>
      <c r="K730" s="49"/>
      <c r="L730" s="49"/>
      <c r="M730" s="49"/>
      <c r="N730" s="49"/>
      <c r="O730" s="49" t="b">
        <v>0</v>
      </c>
      <c r="P730" s="49"/>
      <c r="Q730" s="49"/>
      <c r="R730" s="49"/>
      <c r="S730" s="49"/>
      <c r="T730" s="49"/>
      <c r="U730" s="58"/>
      <c r="V730" s="49"/>
      <c r="W730" s="58"/>
      <c r="X730" s="49"/>
      <c r="Y730" s="47"/>
      <c r="Z730" s="175" t="str">
        <f ca="1">IFERROR(__xludf.DUMMYFUNCTION("QUERY('Volunteer Survey'!A729)"),"")</f>
        <v/>
      </c>
      <c r="AA730" s="175" t="str">
        <f ca="1">IFERROR(__xludf.DUMMYFUNCTION("QUERY('Volunteer Survey'!B729)"),"")</f>
        <v/>
      </c>
      <c r="AB730" s="175" t="str">
        <f ca="1">IFERROR(__xludf.DUMMYFUNCTION("QUERY('Volunteer Survey'!C729)"),"")</f>
        <v/>
      </c>
      <c r="AC730" s="175" t="str">
        <f ca="1">IFERROR(__xludf.DUMMYFUNCTION("QUERY('Volunteer Survey'!D729)"),"")</f>
        <v/>
      </c>
      <c r="AD730" s="175" t="str">
        <f ca="1">IFERROR(__xludf.DUMMYFUNCTION("QUERY('Volunteer Survey'!E729)"),"")</f>
        <v/>
      </c>
      <c r="AE730" s="175" t="str">
        <f ca="1">IFERROR(__xludf.DUMMYFUNCTION("QUERY('Volunteer Survey'!F729)"),"")</f>
        <v/>
      </c>
      <c r="AF730" s="175" t="str">
        <f ca="1">IFERROR(__xludf.DUMMYFUNCTION("QUERY('Volunteer Survey'!G729)"),"")</f>
        <v/>
      </c>
      <c r="AG730" s="175" t="str">
        <f ca="1">IFERROR(__xludf.DUMMYFUNCTION("QUERY('Volunteer Survey'!H729)"),"")</f>
        <v/>
      </c>
      <c r="AH730" s="175" t="str">
        <f ca="1">IFERROR(__xludf.DUMMYFUNCTION("QUERY('Volunteer Survey'!I729)"),"")</f>
        <v/>
      </c>
      <c r="AI730" s="175" t="str">
        <f ca="1">IFERROR(__xludf.DUMMYFUNCTION("QUERY('Volunteer Survey'!J729)"),"")</f>
        <v/>
      </c>
      <c r="AJ730" s="175" t="str">
        <f ca="1">IFERROR(__xludf.DUMMYFUNCTION("QUERY('Volunteer Survey'!K729)"),"")</f>
        <v/>
      </c>
      <c r="AK730" s="175" t="str">
        <f ca="1">IFERROR(__xludf.DUMMYFUNCTION("QUERY('Volunteer Survey'!L729)"),"")</f>
        <v/>
      </c>
      <c r="AL730" s="175" t="str">
        <f ca="1">IFERROR(__xludf.DUMMYFUNCTION("QUERY('Volunteer Survey'!M729)"),"")</f>
        <v/>
      </c>
      <c r="AM730" s="175" t="str">
        <f ca="1">IFERROR(__xludf.DUMMYFUNCTION("QUERY('Volunteer Survey'!N729)"),"")</f>
        <v/>
      </c>
      <c r="AN730" s="175" t="str">
        <f ca="1">IFERROR(__xludf.DUMMYFUNCTION("QUERY('Volunteer Survey'!O729)"),"")</f>
        <v/>
      </c>
      <c r="AO730" s="175" t="str">
        <f ca="1">IFERROR(__xludf.DUMMYFUNCTION("QUERY('Volunteer Survey'!P729)"),"")</f>
        <v/>
      </c>
    </row>
    <row r="731" spans="1:41" ht="14">
      <c r="A731" s="49"/>
      <c r="B731" s="49"/>
      <c r="C731" s="47"/>
      <c r="D731" s="49"/>
      <c r="E731" s="49"/>
      <c r="F731" s="49" t="b">
        <v>0</v>
      </c>
      <c r="G731" s="49"/>
      <c r="H731" s="47"/>
      <c r="I731" s="47"/>
      <c r="J731" s="49"/>
      <c r="K731" s="49"/>
      <c r="L731" s="49"/>
      <c r="M731" s="49"/>
      <c r="N731" s="49"/>
      <c r="O731" s="49" t="b">
        <v>0</v>
      </c>
      <c r="P731" s="49"/>
      <c r="Q731" s="49"/>
      <c r="R731" s="49"/>
      <c r="S731" s="49"/>
      <c r="T731" s="49"/>
      <c r="U731" s="58"/>
      <c r="V731" s="49"/>
      <c r="W731" s="58"/>
      <c r="X731" s="49"/>
      <c r="Y731" s="47"/>
      <c r="Z731" s="175" t="str">
        <f ca="1">IFERROR(__xludf.DUMMYFUNCTION("QUERY('Volunteer Survey'!A730)"),"")</f>
        <v/>
      </c>
      <c r="AA731" s="175" t="str">
        <f ca="1">IFERROR(__xludf.DUMMYFUNCTION("QUERY('Volunteer Survey'!B730)"),"")</f>
        <v/>
      </c>
      <c r="AB731" s="175" t="str">
        <f ca="1">IFERROR(__xludf.DUMMYFUNCTION("QUERY('Volunteer Survey'!C730)"),"")</f>
        <v/>
      </c>
      <c r="AC731" s="175" t="str">
        <f ca="1">IFERROR(__xludf.DUMMYFUNCTION("QUERY('Volunteer Survey'!D730)"),"")</f>
        <v/>
      </c>
      <c r="AD731" s="175" t="str">
        <f ca="1">IFERROR(__xludf.DUMMYFUNCTION("QUERY('Volunteer Survey'!E730)"),"")</f>
        <v/>
      </c>
      <c r="AE731" s="175" t="str">
        <f ca="1">IFERROR(__xludf.DUMMYFUNCTION("QUERY('Volunteer Survey'!F730)"),"")</f>
        <v/>
      </c>
      <c r="AF731" s="175" t="str">
        <f ca="1">IFERROR(__xludf.DUMMYFUNCTION("QUERY('Volunteer Survey'!G730)"),"")</f>
        <v/>
      </c>
      <c r="AG731" s="175" t="str">
        <f ca="1">IFERROR(__xludf.DUMMYFUNCTION("QUERY('Volunteer Survey'!H730)"),"")</f>
        <v/>
      </c>
      <c r="AH731" s="175" t="str">
        <f ca="1">IFERROR(__xludf.DUMMYFUNCTION("QUERY('Volunteer Survey'!I730)"),"")</f>
        <v/>
      </c>
      <c r="AI731" s="175" t="str">
        <f ca="1">IFERROR(__xludf.DUMMYFUNCTION("QUERY('Volunteer Survey'!J730)"),"")</f>
        <v/>
      </c>
      <c r="AJ731" s="175" t="str">
        <f ca="1">IFERROR(__xludf.DUMMYFUNCTION("QUERY('Volunteer Survey'!K730)"),"")</f>
        <v/>
      </c>
      <c r="AK731" s="175" t="str">
        <f ca="1">IFERROR(__xludf.DUMMYFUNCTION("QUERY('Volunteer Survey'!L730)"),"")</f>
        <v/>
      </c>
      <c r="AL731" s="175" t="str">
        <f ca="1">IFERROR(__xludf.DUMMYFUNCTION("QUERY('Volunteer Survey'!M730)"),"")</f>
        <v/>
      </c>
      <c r="AM731" s="175" t="str">
        <f ca="1">IFERROR(__xludf.DUMMYFUNCTION("QUERY('Volunteer Survey'!N730)"),"")</f>
        <v/>
      </c>
      <c r="AN731" s="175" t="str">
        <f ca="1">IFERROR(__xludf.DUMMYFUNCTION("QUERY('Volunteer Survey'!O730)"),"")</f>
        <v/>
      </c>
      <c r="AO731" s="175" t="str">
        <f ca="1">IFERROR(__xludf.DUMMYFUNCTION("QUERY('Volunteer Survey'!P730)"),"")</f>
        <v/>
      </c>
    </row>
    <row r="732" spans="1:41" ht="14">
      <c r="A732" s="49"/>
      <c r="B732" s="49"/>
      <c r="C732" s="47"/>
      <c r="D732" s="49"/>
      <c r="E732" s="49"/>
      <c r="F732" s="49" t="b">
        <v>0</v>
      </c>
      <c r="G732" s="49"/>
      <c r="H732" s="47"/>
      <c r="I732" s="47"/>
      <c r="J732" s="49"/>
      <c r="K732" s="49"/>
      <c r="L732" s="49"/>
      <c r="M732" s="49"/>
      <c r="N732" s="49"/>
      <c r="O732" s="49" t="b">
        <v>0</v>
      </c>
      <c r="P732" s="49"/>
      <c r="Q732" s="49"/>
      <c r="R732" s="49"/>
      <c r="S732" s="49"/>
      <c r="T732" s="49"/>
      <c r="U732" s="58"/>
      <c r="V732" s="49"/>
      <c r="W732" s="58"/>
      <c r="X732" s="49"/>
      <c r="Y732" s="47"/>
      <c r="Z732" s="175" t="str">
        <f ca="1">IFERROR(__xludf.DUMMYFUNCTION("QUERY('Volunteer Survey'!A731)"),"")</f>
        <v/>
      </c>
      <c r="AA732" s="175" t="str">
        <f ca="1">IFERROR(__xludf.DUMMYFUNCTION("QUERY('Volunteer Survey'!B731)"),"")</f>
        <v/>
      </c>
      <c r="AB732" s="175" t="str">
        <f ca="1">IFERROR(__xludf.DUMMYFUNCTION("QUERY('Volunteer Survey'!C731)"),"")</f>
        <v/>
      </c>
      <c r="AC732" s="175" t="str">
        <f ca="1">IFERROR(__xludf.DUMMYFUNCTION("QUERY('Volunteer Survey'!D731)"),"")</f>
        <v/>
      </c>
      <c r="AD732" s="175" t="str">
        <f ca="1">IFERROR(__xludf.DUMMYFUNCTION("QUERY('Volunteer Survey'!E731)"),"")</f>
        <v/>
      </c>
      <c r="AE732" s="175" t="str">
        <f ca="1">IFERROR(__xludf.DUMMYFUNCTION("QUERY('Volunteer Survey'!F731)"),"")</f>
        <v/>
      </c>
      <c r="AF732" s="175" t="str">
        <f ca="1">IFERROR(__xludf.DUMMYFUNCTION("QUERY('Volunteer Survey'!G731)"),"")</f>
        <v/>
      </c>
      <c r="AG732" s="175" t="str">
        <f ca="1">IFERROR(__xludf.DUMMYFUNCTION("QUERY('Volunteer Survey'!H731)"),"")</f>
        <v/>
      </c>
      <c r="AH732" s="175" t="str">
        <f ca="1">IFERROR(__xludf.DUMMYFUNCTION("QUERY('Volunteer Survey'!I731)"),"")</f>
        <v/>
      </c>
      <c r="AI732" s="175" t="str">
        <f ca="1">IFERROR(__xludf.DUMMYFUNCTION("QUERY('Volunteer Survey'!J731)"),"")</f>
        <v/>
      </c>
      <c r="AJ732" s="175" t="str">
        <f ca="1">IFERROR(__xludf.DUMMYFUNCTION("QUERY('Volunteer Survey'!K731)"),"")</f>
        <v/>
      </c>
      <c r="AK732" s="175" t="str">
        <f ca="1">IFERROR(__xludf.DUMMYFUNCTION("QUERY('Volunteer Survey'!L731)"),"")</f>
        <v/>
      </c>
      <c r="AL732" s="175" t="str">
        <f ca="1">IFERROR(__xludf.DUMMYFUNCTION("QUERY('Volunteer Survey'!M731)"),"")</f>
        <v/>
      </c>
      <c r="AM732" s="175" t="str">
        <f ca="1">IFERROR(__xludf.DUMMYFUNCTION("QUERY('Volunteer Survey'!N731)"),"")</f>
        <v/>
      </c>
      <c r="AN732" s="175" t="str">
        <f ca="1">IFERROR(__xludf.DUMMYFUNCTION("QUERY('Volunteer Survey'!O731)"),"")</f>
        <v/>
      </c>
      <c r="AO732" s="175" t="str">
        <f ca="1">IFERROR(__xludf.DUMMYFUNCTION("QUERY('Volunteer Survey'!P731)"),"")</f>
        <v/>
      </c>
    </row>
    <row r="733" spans="1:41" ht="14">
      <c r="A733" s="49"/>
      <c r="B733" s="49"/>
      <c r="C733" s="47"/>
      <c r="D733" s="49"/>
      <c r="E733" s="49"/>
      <c r="F733" s="49" t="b">
        <v>0</v>
      </c>
      <c r="G733" s="49"/>
      <c r="H733" s="47"/>
      <c r="I733" s="47"/>
      <c r="J733" s="49"/>
      <c r="K733" s="49"/>
      <c r="L733" s="49"/>
      <c r="M733" s="49"/>
      <c r="N733" s="49"/>
      <c r="O733" s="49" t="b">
        <v>0</v>
      </c>
      <c r="P733" s="49"/>
      <c r="Q733" s="49"/>
      <c r="R733" s="49"/>
      <c r="S733" s="49"/>
      <c r="T733" s="49"/>
      <c r="U733" s="58"/>
      <c r="V733" s="49"/>
      <c r="W733" s="58"/>
      <c r="X733" s="49"/>
      <c r="Y733" s="47"/>
      <c r="Z733" s="175" t="str">
        <f ca="1">IFERROR(__xludf.DUMMYFUNCTION("QUERY('Volunteer Survey'!A732)"),"")</f>
        <v/>
      </c>
      <c r="AA733" s="175" t="str">
        <f ca="1">IFERROR(__xludf.DUMMYFUNCTION("QUERY('Volunteer Survey'!B732)"),"")</f>
        <v/>
      </c>
      <c r="AB733" s="175" t="str">
        <f ca="1">IFERROR(__xludf.DUMMYFUNCTION("QUERY('Volunteer Survey'!C732)"),"")</f>
        <v/>
      </c>
      <c r="AC733" s="175" t="str">
        <f ca="1">IFERROR(__xludf.DUMMYFUNCTION("QUERY('Volunteer Survey'!D732)"),"")</f>
        <v/>
      </c>
      <c r="AD733" s="175" t="str">
        <f ca="1">IFERROR(__xludf.DUMMYFUNCTION("QUERY('Volunteer Survey'!E732)"),"")</f>
        <v/>
      </c>
      <c r="AE733" s="175" t="str">
        <f ca="1">IFERROR(__xludf.DUMMYFUNCTION("QUERY('Volunteer Survey'!F732)"),"")</f>
        <v/>
      </c>
      <c r="AF733" s="175" t="str">
        <f ca="1">IFERROR(__xludf.DUMMYFUNCTION("QUERY('Volunteer Survey'!G732)"),"")</f>
        <v/>
      </c>
      <c r="AG733" s="175" t="str">
        <f ca="1">IFERROR(__xludf.DUMMYFUNCTION("QUERY('Volunteer Survey'!H732)"),"")</f>
        <v/>
      </c>
      <c r="AH733" s="175" t="str">
        <f ca="1">IFERROR(__xludf.DUMMYFUNCTION("QUERY('Volunteer Survey'!I732)"),"")</f>
        <v/>
      </c>
      <c r="AI733" s="175" t="str">
        <f ca="1">IFERROR(__xludf.DUMMYFUNCTION("QUERY('Volunteer Survey'!J732)"),"")</f>
        <v/>
      </c>
      <c r="AJ733" s="175" t="str">
        <f ca="1">IFERROR(__xludf.DUMMYFUNCTION("QUERY('Volunteer Survey'!K732)"),"")</f>
        <v/>
      </c>
      <c r="AK733" s="175" t="str">
        <f ca="1">IFERROR(__xludf.DUMMYFUNCTION("QUERY('Volunteer Survey'!L732)"),"")</f>
        <v/>
      </c>
      <c r="AL733" s="175" t="str">
        <f ca="1">IFERROR(__xludf.DUMMYFUNCTION("QUERY('Volunteer Survey'!M732)"),"")</f>
        <v/>
      </c>
      <c r="AM733" s="175" t="str">
        <f ca="1">IFERROR(__xludf.DUMMYFUNCTION("QUERY('Volunteer Survey'!N732)"),"")</f>
        <v/>
      </c>
      <c r="AN733" s="175" t="str">
        <f ca="1">IFERROR(__xludf.DUMMYFUNCTION("QUERY('Volunteer Survey'!O732)"),"")</f>
        <v/>
      </c>
      <c r="AO733" s="175" t="str">
        <f ca="1">IFERROR(__xludf.DUMMYFUNCTION("QUERY('Volunteer Survey'!P732)"),"")</f>
        <v/>
      </c>
    </row>
    <row r="734" spans="1:41" ht="14">
      <c r="A734" s="49"/>
      <c r="B734" s="49"/>
      <c r="C734" s="47"/>
      <c r="D734" s="49"/>
      <c r="E734" s="49"/>
      <c r="F734" s="49" t="b">
        <v>0</v>
      </c>
      <c r="G734" s="49"/>
      <c r="H734" s="47"/>
      <c r="I734" s="47"/>
      <c r="J734" s="49"/>
      <c r="K734" s="49"/>
      <c r="L734" s="49"/>
      <c r="M734" s="49"/>
      <c r="N734" s="49"/>
      <c r="O734" s="49" t="b">
        <v>0</v>
      </c>
      <c r="P734" s="49"/>
      <c r="Q734" s="49"/>
      <c r="R734" s="49"/>
      <c r="S734" s="49"/>
      <c r="T734" s="49"/>
      <c r="U734" s="58"/>
      <c r="V734" s="49"/>
      <c r="W734" s="58"/>
      <c r="X734" s="49"/>
      <c r="Y734" s="47"/>
      <c r="Z734" s="175" t="str">
        <f ca="1">IFERROR(__xludf.DUMMYFUNCTION("QUERY('Volunteer Survey'!A733)"),"")</f>
        <v/>
      </c>
      <c r="AA734" s="175" t="str">
        <f ca="1">IFERROR(__xludf.DUMMYFUNCTION("QUERY('Volunteer Survey'!B733)"),"")</f>
        <v/>
      </c>
      <c r="AB734" s="175" t="str">
        <f ca="1">IFERROR(__xludf.DUMMYFUNCTION("QUERY('Volunteer Survey'!C733)"),"")</f>
        <v/>
      </c>
      <c r="AC734" s="175" t="str">
        <f ca="1">IFERROR(__xludf.DUMMYFUNCTION("QUERY('Volunteer Survey'!D733)"),"")</f>
        <v/>
      </c>
      <c r="AD734" s="175" t="str">
        <f ca="1">IFERROR(__xludf.DUMMYFUNCTION("QUERY('Volunteer Survey'!E733)"),"")</f>
        <v/>
      </c>
      <c r="AE734" s="175" t="str">
        <f ca="1">IFERROR(__xludf.DUMMYFUNCTION("QUERY('Volunteer Survey'!F733)"),"")</f>
        <v/>
      </c>
      <c r="AF734" s="175" t="str">
        <f ca="1">IFERROR(__xludf.DUMMYFUNCTION("QUERY('Volunteer Survey'!G733)"),"")</f>
        <v/>
      </c>
      <c r="AG734" s="175" t="str">
        <f ca="1">IFERROR(__xludf.DUMMYFUNCTION("QUERY('Volunteer Survey'!H733)"),"")</f>
        <v/>
      </c>
      <c r="AH734" s="175" t="str">
        <f ca="1">IFERROR(__xludf.DUMMYFUNCTION("QUERY('Volunteer Survey'!I733)"),"")</f>
        <v/>
      </c>
      <c r="AI734" s="175" t="str">
        <f ca="1">IFERROR(__xludf.DUMMYFUNCTION("QUERY('Volunteer Survey'!J733)"),"")</f>
        <v/>
      </c>
      <c r="AJ734" s="175" t="str">
        <f ca="1">IFERROR(__xludf.DUMMYFUNCTION("QUERY('Volunteer Survey'!K733)"),"")</f>
        <v/>
      </c>
      <c r="AK734" s="175" t="str">
        <f ca="1">IFERROR(__xludf.DUMMYFUNCTION("QUERY('Volunteer Survey'!L733)"),"")</f>
        <v/>
      </c>
      <c r="AL734" s="175" t="str">
        <f ca="1">IFERROR(__xludf.DUMMYFUNCTION("QUERY('Volunteer Survey'!M733)"),"")</f>
        <v/>
      </c>
      <c r="AM734" s="175" t="str">
        <f ca="1">IFERROR(__xludf.DUMMYFUNCTION("QUERY('Volunteer Survey'!N733)"),"")</f>
        <v/>
      </c>
      <c r="AN734" s="175" t="str">
        <f ca="1">IFERROR(__xludf.DUMMYFUNCTION("QUERY('Volunteer Survey'!O733)"),"")</f>
        <v/>
      </c>
      <c r="AO734" s="175" t="str">
        <f ca="1">IFERROR(__xludf.DUMMYFUNCTION("QUERY('Volunteer Survey'!P733)"),"")</f>
        <v/>
      </c>
    </row>
    <row r="735" spans="1:41" ht="14">
      <c r="A735" s="49"/>
      <c r="B735" s="49"/>
      <c r="C735" s="47"/>
      <c r="D735" s="49"/>
      <c r="E735" s="49"/>
      <c r="F735" s="49" t="b">
        <v>0</v>
      </c>
      <c r="G735" s="49"/>
      <c r="H735" s="47"/>
      <c r="I735" s="47"/>
      <c r="J735" s="49"/>
      <c r="K735" s="49"/>
      <c r="L735" s="49"/>
      <c r="M735" s="49"/>
      <c r="N735" s="49"/>
      <c r="O735" s="49" t="b">
        <v>0</v>
      </c>
      <c r="P735" s="49"/>
      <c r="Q735" s="49"/>
      <c r="R735" s="49"/>
      <c r="S735" s="49"/>
      <c r="T735" s="49"/>
      <c r="U735" s="58"/>
      <c r="V735" s="49"/>
      <c r="W735" s="58"/>
      <c r="X735" s="49"/>
      <c r="Y735" s="47"/>
      <c r="Z735" s="175" t="str">
        <f ca="1">IFERROR(__xludf.DUMMYFUNCTION("QUERY('Volunteer Survey'!A734)"),"")</f>
        <v/>
      </c>
      <c r="AA735" s="175" t="str">
        <f ca="1">IFERROR(__xludf.DUMMYFUNCTION("QUERY('Volunteer Survey'!B734)"),"")</f>
        <v/>
      </c>
      <c r="AB735" s="175" t="str">
        <f ca="1">IFERROR(__xludf.DUMMYFUNCTION("QUERY('Volunteer Survey'!C734)"),"")</f>
        <v/>
      </c>
      <c r="AC735" s="175" t="str">
        <f ca="1">IFERROR(__xludf.DUMMYFUNCTION("QUERY('Volunteer Survey'!D734)"),"")</f>
        <v/>
      </c>
      <c r="AD735" s="175" t="str">
        <f ca="1">IFERROR(__xludf.DUMMYFUNCTION("QUERY('Volunteer Survey'!E734)"),"")</f>
        <v/>
      </c>
      <c r="AE735" s="175" t="str">
        <f ca="1">IFERROR(__xludf.DUMMYFUNCTION("QUERY('Volunteer Survey'!F734)"),"")</f>
        <v/>
      </c>
      <c r="AF735" s="175" t="str">
        <f ca="1">IFERROR(__xludf.DUMMYFUNCTION("QUERY('Volunteer Survey'!G734)"),"")</f>
        <v/>
      </c>
      <c r="AG735" s="175" t="str">
        <f ca="1">IFERROR(__xludf.DUMMYFUNCTION("QUERY('Volunteer Survey'!H734)"),"")</f>
        <v/>
      </c>
      <c r="AH735" s="175" t="str">
        <f ca="1">IFERROR(__xludf.DUMMYFUNCTION("QUERY('Volunteer Survey'!I734)"),"")</f>
        <v/>
      </c>
      <c r="AI735" s="175" t="str">
        <f ca="1">IFERROR(__xludf.DUMMYFUNCTION("QUERY('Volunteer Survey'!J734)"),"")</f>
        <v/>
      </c>
      <c r="AJ735" s="175" t="str">
        <f ca="1">IFERROR(__xludf.DUMMYFUNCTION("QUERY('Volunteer Survey'!K734)"),"")</f>
        <v/>
      </c>
      <c r="AK735" s="175" t="str">
        <f ca="1">IFERROR(__xludf.DUMMYFUNCTION("QUERY('Volunteer Survey'!L734)"),"")</f>
        <v/>
      </c>
      <c r="AL735" s="175" t="str">
        <f ca="1">IFERROR(__xludf.DUMMYFUNCTION("QUERY('Volunteer Survey'!M734)"),"")</f>
        <v/>
      </c>
      <c r="AM735" s="175" t="str">
        <f ca="1">IFERROR(__xludf.DUMMYFUNCTION("QUERY('Volunteer Survey'!N734)"),"")</f>
        <v/>
      </c>
      <c r="AN735" s="175" t="str">
        <f ca="1">IFERROR(__xludf.DUMMYFUNCTION("QUERY('Volunteer Survey'!O734)"),"")</f>
        <v/>
      </c>
      <c r="AO735" s="175" t="str">
        <f ca="1">IFERROR(__xludf.DUMMYFUNCTION("QUERY('Volunteer Survey'!P734)"),"")</f>
        <v/>
      </c>
    </row>
    <row r="736" spans="1:41" ht="14">
      <c r="A736" s="49"/>
      <c r="B736" s="49"/>
      <c r="C736" s="47"/>
      <c r="D736" s="49"/>
      <c r="E736" s="49"/>
      <c r="F736" s="49" t="b">
        <v>0</v>
      </c>
      <c r="G736" s="49"/>
      <c r="H736" s="47"/>
      <c r="I736" s="47"/>
      <c r="J736" s="49"/>
      <c r="K736" s="49"/>
      <c r="L736" s="49"/>
      <c r="M736" s="49"/>
      <c r="N736" s="49"/>
      <c r="O736" s="49" t="b">
        <v>0</v>
      </c>
      <c r="P736" s="49"/>
      <c r="Q736" s="49"/>
      <c r="R736" s="49"/>
      <c r="S736" s="49"/>
      <c r="T736" s="49"/>
      <c r="U736" s="58"/>
      <c r="V736" s="49"/>
      <c r="W736" s="58"/>
      <c r="X736" s="49"/>
      <c r="Y736" s="47"/>
      <c r="Z736" s="175" t="str">
        <f ca="1">IFERROR(__xludf.DUMMYFUNCTION("QUERY('Volunteer Survey'!A735)"),"")</f>
        <v/>
      </c>
      <c r="AA736" s="175" t="str">
        <f ca="1">IFERROR(__xludf.DUMMYFUNCTION("QUERY('Volunteer Survey'!B735)"),"")</f>
        <v/>
      </c>
      <c r="AB736" s="175" t="str">
        <f ca="1">IFERROR(__xludf.DUMMYFUNCTION("QUERY('Volunteer Survey'!C735)"),"")</f>
        <v/>
      </c>
      <c r="AC736" s="175" t="str">
        <f ca="1">IFERROR(__xludf.DUMMYFUNCTION("QUERY('Volunteer Survey'!D735)"),"")</f>
        <v/>
      </c>
      <c r="AD736" s="175" t="str">
        <f ca="1">IFERROR(__xludf.DUMMYFUNCTION("QUERY('Volunteer Survey'!E735)"),"")</f>
        <v/>
      </c>
      <c r="AE736" s="175" t="str">
        <f ca="1">IFERROR(__xludf.DUMMYFUNCTION("QUERY('Volunteer Survey'!F735)"),"")</f>
        <v/>
      </c>
      <c r="AF736" s="175" t="str">
        <f ca="1">IFERROR(__xludf.DUMMYFUNCTION("QUERY('Volunteer Survey'!G735)"),"")</f>
        <v/>
      </c>
      <c r="AG736" s="175" t="str">
        <f ca="1">IFERROR(__xludf.DUMMYFUNCTION("QUERY('Volunteer Survey'!H735)"),"")</f>
        <v/>
      </c>
      <c r="AH736" s="175" t="str">
        <f ca="1">IFERROR(__xludf.DUMMYFUNCTION("QUERY('Volunteer Survey'!I735)"),"")</f>
        <v/>
      </c>
      <c r="AI736" s="175" t="str">
        <f ca="1">IFERROR(__xludf.DUMMYFUNCTION("QUERY('Volunteer Survey'!J735)"),"")</f>
        <v/>
      </c>
      <c r="AJ736" s="175" t="str">
        <f ca="1">IFERROR(__xludf.DUMMYFUNCTION("QUERY('Volunteer Survey'!K735)"),"")</f>
        <v/>
      </c>
      <c r="AK736" s="175" t="str">
        <f ca="1">IFERROR(__xludf.DUMMYFUNCTION("QUERY('Volunteer Survey'!L735)"),"")</f>
        <v/>
      </c>
      <c r="AL736" s="175" t="str">
        <f ca="1">IFERROR(__xludf.DUMMYFUNCTION("QUERY('Volunteer Survey'!M735)"),"")</f>
        <v/>
      </c>
      <c r="AM736" s="175" t="str">
        <f ca="1">IFERROR(__xludf.DUMMYFUNCTION("QUERY('Volunteer Survey'!N735)"),"")</f>
        <v/>
      </c>
      <c r="AN736" s="175" t="str">
        <f ca="1">IFERROR(__xludf.DUMMYFUNCTION("QUERY('Volunteer Survey'!O735)"),"")</f>
        <v/>
      </c>
      <c r="AO736" s="175" t="str">
        <f ca="1">IFERROR(__xludf.DUMMYFUNCTION("QUERY('Volunteer Survey'!P735)"),"")</f>
        <v/>
      </c>
    </row>
    <row r="737" spans="1:41" ht="14">
      <c r="A737" s="49"/>
      <c r="B737" s="49"/>
      <c r="C737" s="47"/>
      <c r="D737" s="49"/>
      <c r="E737" s="49"/>
      <c r="F737" s="49" t="b">
        <v>0</v>
      </c>
      <c r="G737" s="49"/>
      <c r="H737" s="47"/>
      <c r="I737" s="47"/>
      <c r="J737" s="49"/>
      <c r="K737" s="49"/>
      <c r="L737" s="49"/>
      <c r="M737" s="49"/>
      <c r="N737" s="49"/>
      <c r="O737" s="49" t="b">
        <v>0</v>
      </c>
      <c r="P737" s="49"/>
      <c r="Q737" s="49"/>
      <c r="R737" s="49"/>
      <c r="S737" s="49"/>
      <c r="T737" s="49"/>
      <c r="U737" s="58"/>
      <c r="V737" s="49"/>
      <c r="W737" s="58"/>
      <c r="X737" s="49"/>
      <c r="Y737" s="47"/>
      <c r="Z737" s="175" t="str">
        <f ca="1">IFERROR(__xludf.DUMMYFUNCTION("QUERY('Volunteer Survey'!A736)"),"")</f>
        <v/>
      </c>
      <c r="AA737" s="175" t="str">
        <f ca="1">IFERROR(__xludf.DUMMYFUNCTION("QUERY('Volunteer Survey'!B736)"),"")</f>
        <v/>
      </c>
      <c r="AB737" s="175" t="str">
        <f ca="1">IFERROR(__xludf.DUMMYFUNCTION("QUERY('Volunteer Survey'!C736)"),"")</f>
        <v/>
      </c>
      <c r="AC737" s="175" t="str">
        <f ca="1">IFERROR(__xludf.DUMMYFUNCTION("QUERY('Volunteer Survey'!D736)"),"")</f>
        <v/>
      </c>
      <c r="AD737" s="175" t="str">
        <f ca="1">IFERROR(__xludf.DUMMYFUNCTION("QUERY('Volunteer Survey'!E736)"),"")</f>
        <v/>
      </c>
      <c r="AE737" s="175" t="str">
        <f ca="1">IFERROR(__xludf.DUMMYFUNCTION("QUERY('Volunteer Survey'!F736)"),"")</f>
        <v/>
      </c>
      <c r="AF737" s="175" t="str">
        <f ca="1">IFERROR(__xludf.DUMMYFUNCTION("QUERY('Volunteer Survey'!G736)"),"")</f>
        <v/>
      </c>
      <c r="AG737" s="175" t="str">
        <f ca="1">IFERROR(__xludf.DUMMYFUNCTION("QUERY('Volunteer Survey'!H736)"),"")</f>
        <v/>
      </c>
      <c r="AH737" s="175" t="str">
        <f ca="1">IFERROR(__xludf.DUMMYFUNCTION("QUERY('Volunteer Survey'!I736)"),"")</f>
        <v/>
      </c>
      <c r="AI737" s="175" t="str">
        <f ca="1">IFERROR(__xludf.DUMMYFUNCTION("QUERY('Volunteer Survey'!J736)"),"")</f>
        <v/>
      </c>
      <c r="AJ737" s="175" t="str">
        <f ca="1">IFERROR(__xludf.DUMMYFUNCTION("QUERY('Volunteer Survey'!K736)"),"")</f>
        <v/>
      </c>
      <c r="AK737" s="175" t="str">
        <f ca="1">IFERROR(__xludf.DUMMYFUNCTION("QUERY('Volunteer Survey'!L736)"),"")</f>
        <v/>
      </c>
      <c r="AL737" s="175" t="str">
        <f ca="1">IFERROR(__xludf.DUMMYFUNCTION("QUERY('Volunteer Survey'!M736)"),"")</f>
        <v/>
      </c>
      <c r="AM737" s="175" t="str">
        <f ca="1">IFERROR(__xludf.DUMMYFUNCTION("QUERY('Volunteer Survey'!N736)"),"")</f>
        <v/>
      </c>
      <c r="AN737" s="175" t="str">
        <f ca="1">IFERROR(__xludf.DUMMYFUNCTION("QUERY('Volunteer Survey'!O736)"),"")</f>
        <v/>
      </c>
      <c r="AO737" s="175" t="str">
        <f ca="1">IFERROR(__xludf.DUMMYFUNCTION("QUERY('Volunteer Survey'!P736)"),"")</f>
        <v/>
      </c>
    </row>
    <row r="738" spans="1:41" ht="14">
      <c r="A738" s="49"/>
      <c r="B738" s="49"/>
      <c r="C738" s="47"/>
      <c r="D738" s="49"/>
      <c r="E738" s="49"/>
      <c r="F738" s="49" t="b">
        <v>0</v>
      </c>
      <c r="G738" s="49"/>
      <c r="H738" s="47"/>
      <c r="I738" s="47"/>
      <c r="J738" s="49"/>
      <c r="K738" s="49"/>
      <c r="L738" s="49"/>
      <c r="M738" s="49"/>
      <c r="N738" s="49"/>
      <c r="O738" s="49" t="b">
        <v>0</v>
      </c>
      <c r="P738" s="49"/>
      <c r="Q738" s="49"/>
      <c r="R738" s="49"/>
      <c r="S738" s="49"/>
      <c r="T738" s="49"/>
      <c r="U738" s="58"/>
      <c r="V738" s="49"/>
      <c r="W738" s="58"/>
      <c r="X738" s="49"/>
      <c r="Y738" s="47"/>
      <c r="Z738" s="175" t="str">
        <f ca="1">IFERROR(__xludf.DUMMYFUNCTION("QUERY('Volunteer Survey'!A737)"),"")</f>
        <v/>
      </c>
      <c r="AA738" s="175" t="str">
        <f ca="1">IFERROR(__xludf.DUMMYFUNCTION("QUERY('Volunteer Survey'!B737)"),"")</f>
        <v/>
      </c>
      <c r="AB738" s="175" t="str">
        <f ca="1">IFERROR(__xludf.DUMMYFUNCTION("QUERY('Volunteer Survey'!C737)"),"")</f>
        <v/>
      </c>
      <c r="AC738" s="175" t="str">
        <f ca="1">IFERROR(__xludf.DUMMYFUNCTION("QUERY('Volunteer Survey'!D737)"),"")</f>
        <v/>
      </c>
      <c r="AD738" s="175" t="str">
        <f ca="1">IFERROR(__xludf.DUMMYFUNCTION("QUERY('Volunteer Survey'!E737)"),"")</f>
        <v/>
      </c>
      <c r="AE738" s="175" t="str">
        <f ca="1">IFERROR(__xludf.DUMMYFUNCTION("QUERY('Volunteer Survey'!F737)"),"")</f>
        <v/>
      </c>
      <c r="AF738" s="175" t="str">
        <f ca="1">IFERROR(__xludf.DUMMYFUNCTION("QUERY('Volunteer Survey'!G737)"),"")</f>
        <v/>
      </c>
      <c r="AG738" s="175" t="str">
        <f ca="1">IFERROR(__xludf.DUMMYFUNCTION("QUERY('Volunteer Survey'!H737)"),"")</f>
        <v/>
      </c>
      <c r="AH738" s="175" t="str">
        <f ca="1">IFERROR(__xludf.DUMMYFUNCTION("QUERY('Volunteer Survey'!I737)"),"")</f>
        <v/>
      </c>
      <c r="AI738" s="175" t="str">
        <f ca="1">IFERROR(__xludf.DUMMYFUNCTION("QUERY('Volunteer Survey'!J737)"),"")</f>
        <v/>
      </c>
      <c r="AJ738" s="175" t="str">
        <f ca="1">IFERROR(__xludf.DUMMYFUNCTION("QUERY('Volunteer Survey'!K737)"),"")</f>
        <v/>
      </c>
      <c r="AK738" s="175" t="str">
        <f ca="1">IFERROR(__xludf.DUMMYFUNCTION("QUERY('Volunteer Survey'!L737)"),"")</f>
        <v/>
      </c>
      <c r="AL738" s="175" t="str">
        <f ca="1">IFERROR(__xludf.DUMMYFUNCTION("QUERY('Volunteer Survey'!M737)"),"")</f>
        <v/>
      </c>
      <c r="AM738" s="175" t="str">
        <f ca="1">IFERROR(__xludf.DUMMYFUNCTION("QUERY('Volunteer Survey'!N737)"),"")</f>
        <v/>
      </c>
      <c r="AN738" s="175" t="str">
        <f ca="1">IFERROR(__xludf.DUMMYFUNCTION("QUERY('Volunteer Survey'!O737)"),"")</f>
        <v/>
      </c>
      <c r="AO738" s="175" t="str">
        <f ca="1">IFERROR(__xludf.DUMMYFUNCTION("QUERY('Volunteer Survey'!P737)"),"")</f>
        <v/>
      </c>
    </row>
    <row r="739" spans="1:41" ht="14">
      <c r="A739" s="49"/>
      <c r="B739" s="49"/>
      <c r="C739" s="47"/>
      <c r="D739" s="49"/>
      <c r="E739" s="49"/>
      <c r="F739" s="49" t="b">
        <v>0</v>
      </c>
      <c r="G739" s="49"/>
      <c r="H739" s="47"/>
      <c r="I739" s="47"/>
      <c r="J739" s="49"/>
      <c r="K739" s="49"/>
      <c r="L739" s="49"/>
      <c r="M739" s="49"/>
      <c r="N739" s="49"/>
      <c r="O739" s="49" t="b">
        <v>0</v>
      </c>
      <c r="P739" s="49"/>
      <c r="Q739" s="49"/>
      <c r="R739" s="49"/>
      <c r="S739" s="49"/>
      <c r="T739" s="49"/>
      <c r="U739" s="58"/>
      <c r="V739" s="49"/>
      <c r="W739" s="58"/>
      <c r="X739" s="49"/>
      <c r="Y739" s="47"/>
      <c r="Z739" s="175" t="str">
        <f ca="1">IFERROR(__xludf.DUMMYFUNCTION("QUERY('Volunteer Survey'!A738)"),"")</f>
        <v/>
      </c>
      <c r="AA739" s="175" t="str">
        <f ca="1">IFERROR(__xludf.DUMMYFUNCTION("QUERY('Volunteer Survey'!B738)"),"")</f>
        <v/>
      </c>
      <c r="AB739" s="175" t="str">
        <f ca="1">IFERROR(__xludf.DUMMYFUNCTION("QUERY('Volunteer Survey'!C738)"),"")</f>
        <v/>
      </c>
      <c r="AC739" s="175" t="str">
        <f ca="1">IFERROR(__xludf.DUMMYFUNCTION("QUERY('Volunteer Survey'!D738)"),"")</f>
        <v/>
      </c>
      <c r="AD739" s="175" t="str">
        <f ca="1">IFERROR(__xludf.DUMMYFUNCTION("QUERY('Volunteer Survey'!E738)"),"")</f>
        <v/>
      </c>
      <c r="AE739" s="175" t="str">
        <f ca="1">IFERROR(__xludf.DUMMYFUNCTION("QUERY('Volunteer Survey'!F738)"),"")</f>
        <v/>
      </c>
      <c r="AF739" s="175" t="str">
        <f ca="1">IFERROR(__xludf.DUMMYFUNCTION("QUERY('Volunteer Survey'!G738)"),"")</f>
        <v/>
      </c>
      <c r="AG739" s="175" t="str">
        <f ca="1">IFERROR(__xludf.DUMMYFUNCTION("QUERY('Volunteer Survey'!H738)"),"")</f>
        <v/>
      </c>
      <c r="AH739" s="175" t="str">
        <f ca="1">IFERROR(__xludf.DUMMYFUNCTION("QUERY('Volunteer Survey'!I738)"),"")</f>
        <v/>
      </c>
      <c r="AI739" s="175" t="str">
        <f ca="1">IFERROR(__xludf.DUMMYFUNCTION("QUERY('Volunteer Survey'!J738)"),"")</f>
        <v/>
      </c>
      <c r="AJ739" s="175" t="str">
        <f ca="1">IFERROR(__xludf.DUMMYFUNCTION("QUERY('Volunteer Survey'!K738)"),"")</f>
        <v/>
      </c>
      <c r="AK739" s="175" t="str">
        <f ca="1">IFERROR(__xludf.DUMMYFUNCTION("QUERY('Volunteer Survey'!L738)"),"")</f>
        <v/>
      </c>
      <c r="AL739" s="175" t="str">
        <f ca="1">IFERROR(__xludf.DUMMYFUNCTION("QUERY('Volunteer Survey'!M738)"),"")</f>
        <v/>
      </c>
      <c r="AM739" s="175" t="str">
        <f ca="1">IFERROR(__xludf.DUMMYFUNCTION("QUERY('Volunteer Survey'!N738)"),"")</f>
        <v/>
      </c>
      <c r="AN739" s="175" t="str">
        <f ca="1">IFERROR(__xludf.DUMMYFUNCTION("QUERY('Volunteer Survey'!O738)"),"")</f>
        <v/>
      </c>
      <c r="AO739" s="175" t="str">
        <f ca="1">IFERROR(__xludf.DUMMYFUNCTION("QUERY('Volunteer Survey'!P738)"),"")</f>
        <v/>
      </c>
    </row>
    <row r="740" spans="1:41" ht="14">
      <c r="A740" s="49"/>
      <c r="B740" s="49"/>
      <c r="C740" s="47"/>
      <c r="D740" s="49"/>
      <c r="E740" s="49"/>
      <c r="F740" s="49" t="b">
        <v>0</v>
      </c>
      <c r="G740" s="49"/>
      <c r="H740" s="47"/>
      <c r="I740" s="47"/>
      <c r="J740" s="49"/>
      <c r="K740" s="49"/>
      <c r="L740" s="49"/>
      <c r="M740" s="49"/>
      <c r="N740" s="49"/>
      <c r="O740" s="49" t="b">
        <v>0</v>
      </c>
      <c r="P740" s="49"/>
      <c r="Q740" s="49"/>
      <c r="R740" s="49"/>
      <c r="S740" s="49"/>
      <c r="T740" s="49"/>
      <c r="U740" s="58"/>
      <c r="V740" s="49"/>
      <c r="W740" s="58"/>
      <c r="X740" s="49"/>
      <c r="Y740" s="47"/>
      <c r="Z740" s="175" t="str">
        <f ca="1">IFERROR(__xludf.DUMMYFUNCTION("QUERY('Volunteer Survey'!A739)"),"")</f>
        <v/>
      </c>
      <c r="AA740" s="175" t="str">
        <f ca="1">IFERROR(__xludf.DUMMYFUNCTION("QUERY('Volunteer Survey'!B739)"),"")</f>
        <v/>
      </c>
      <c r="AB740" s="175" t="str">
        <f ca="1">IFERROR(__xludf.DUMMYFUNCTION("QUERY('Volunteer Survey'!C739)"),"")</f>
        <v/>
      </c>
      <c r="AC740" s="175" t="str">
        <f ca="1">IFERROR(__xludf.DUMMYFUNCTION("QUERY('Volunteer Survey'!D739)"),"")</f>
        <v/>
      </c>
      <c r="AD740" s="175" t="str">
        <f ca="1">IFERROR(__xludf.DUMMYFUNCTION("QUERY('Volunteer Survey'!E739)"),"")</f>
        <v/>
      </c>
      <c r="AE740" s="175" t="str">
        <f ca="1">IFERROR(__xludf.DUMMYFUNCTION("QUERY('Volunteer Survey'!F739)"),"")</f>
        <v/>
      </c>
      <c r="AF740" s="175" t="str">
        <f ca="1">IFERROR(__xludf.DUMMYFUNCTION("QUERY('Volunteer Survey'!G739)"),"")</f>
        <v/>
      </c>
      <c r="AG740" s="175" t="str">
        <f ca="1">IFERROR(__xludf.DUMMYFUNCTION("QUERY('Volunteer Survey'!H739)"),"")</f>
        <v/>
      </c>
      <c r="AH740" s="175" t="str">
        <f ca="1">IFERROR(__xludf.DUMMYFUNCTION("QUERY('Volunteer Survey'!I739)"),"")</f>
        <v/>
      </c>
      <c r="AI740" s="175" t="str">
        <f ca="1">IFERROR(__xludf.DUMMYFUNCTION("QUERY('Volunteer Survey'!J739)"),"")</f>
        <v/>
      </c>
      <c r="AJ740" s="175" t="str">
        <f ca="1">IFERROR(__xludf.DUMMYFUNCTION("QUERY('Volunteer Survey'!K739)"),"")</f>
        <v/>
      </c>
      <c r="AK740" s="175" t="str">
        <f ca="1">IFERROR(__xludf.DUMMYFUNCTION("QUERY('Volunteer Survey'!L739)"),"")</f>
        <v/>
      </c>
      <c r="AL740" s="175" t="str">
        <f ca="1">IFERROR(__xludf.DUMMYFUNCTION("QUERY('Volunteer Survey'!M739)"),"")</f>
        <v/>
      </c>
      <c r="AM740" s="175" t="str">
        <f ca="1">IFERROR(__xludf.DUMMYFUNCTION("QUERY('Volunteer Survey'!N739)"),"")</f>
        <v/>
      </c>
      <c r="AN740" s="175" t="str">
        <f ca="1">IFERROR(__xludf.DUMMYFUNCTION("QUERY('Volunteer Survey'!O739)"),"")</f>
        <v/>
      </c>
      <c r="AO740" s="175" t="str">
        <f ca="1">IFERROR(__xludf.DUMMYFUNCTION("QUERY('Volunteer Survey'!P739)"),"")</f>
        <v/>
      </c>
    </row>
    <row r="741" spans="1:41" ht="14">
      <c r="A741" s="49"/>
      <c r="B741" s="49"/>
      <c r="C741" s="47"/>
      <c r="D741" s="49"/>
      <c r="E741" s="49"/>
      <c r="F741" s="49" t="b">
        <v>0</v>
      </c>
      <c r="G741" s="49"/>
      <c r="H741" s="47"/>
      <c r="I741" s="47"/>
      <c r="J741" s="49"/>
      <c r="K741" s="49"/>
      <c r="L741" s="49"/>
      <c r="M741" s="49"/>
      <c r="N741" s="49"/>
      <c r="O741" s="49" t="b">
        <v>0</v>
      </c>
      <c r="P741" s="49"/>
      <c r="Q741" s="49"/>
      <c r="R741" s="49"/>
      <c r="S741" s="49"/>
      <c r="T741" s="49"/>
      <c r="U741" s="58"/>
      <c r="V741" s="49"/>
      <c r="W741" s="58"/>
      <c r="X741" s="49"/>
      <c r="Y741" s="47"/>
      <c r="Z741" s="175" t="str">
        <f ca="1">IFERROR(__xludf.DUMMYFUNCTION("QUERY('Volunteer Survey'!A740)"),"")</f>
        <v/>
      </c>
      <c r="AA741" s="175" t="str">
        <f ca="1">IFERROR(__xludf.DUMMYFUNCTION("QUERY('Volunteer Survey'!B740)"),"")</f>
        <v/>
      </c>
      <c r="AB741" s="175" t="str">
        <f ca="1">IFERROR(__xludf.DUMMYFUNCTION("QUERY('Volunteer Survey'!C740)"),"")</f>
        <v/>
      </c>
      <c r="AC741" s="175" t="str">
        <f ca="1">IFERROR(__xludf.DUMMYFUNCTION("QUERY('Volunteer Survey'!D740)"),"")</f>
        <v/>
      </c>
      <c r="AD741" s="175" t="str">
        <f ca="1">IFERROR(__xludf.DUMMYFUNCTION("QUERY('Volunteer Survey'!E740)"),"")</f>
        <v/>
      </c>
      <c r="AE741" s="175" t="str">
        <f ca="1">IFERROR(__xludf.DUMMYFUNCTION("QUERY('Volunteer Survey'!F740)"),"")</f>
        <v/>
      </c>
      <c r="AF741" s="175" t="str">
        <f ca="1">IFERROR(__xludf.DUMMYFUNCTION("QUERY('Volunteer Survey'!G740)"),"")</f>
        <v/>
      </c>
      <c r="AG741" s="175" t="str">
        <f ca="1">IFERROR(__xludf.DUMMYFUNCTION("QUERY('Volunteer Survey'!H740)"),"")</f>
        <v/>
      </c>
      <c r="AH741" s="175" t="str">
        <f ca="1">IFERROR(__xludf.DUMMYFUNCTION("QUERY('Volunteer Survey'!I740)"),"")</f>
        <v/>
      </c>
      <c r="AI741" s="175" t="str">
        <f ca="1">IFERROR(__xludf.DUMMYFUNCTION("QUERY('Volunteer Survey'!J740)"),"")</f>
        <v/>
      </c>
      <c r="AJ741" s="175" t="str">
        <f ca="1">IFERROR(__xludf.DUMMYFUNCTION("QUERY('Volunteer Survey'!K740)"),"")</f>
        <v/>
      </c>
      <c r="AK741" s="175" t="str">
        <f ca="1">IFERROR(__xludf.DUMMYFUNCTION("QUERY('Volunteer Survey'!L740)"),"")</f>
        <v/>
      </c>
      <c r="AL741" s="175" t="str">
        <f ca="1">IFERROR(__xludf.DUMMYFUNCTION("QUERY('Volunteer Survey'!M740)"),"")</f>
        <v/>
      </c>
      <c r="AM741" s="175" t="str">
        <f ca="1">IFERROR(__xludf.DUMMYFUNCTION("QUERY('Volunteer Survey'!N740)"),"")</f>
        <v/>
      </c>
      <c r="AN741" s="175" t="str">
        <f ca="1">IFERROR(__xludf.DUMMYFUNCTION("QUERY('Volunteer Survey'!O740)"),"")</f>
        <v/>
      </c>
      <c r="AO741" s="175" t="str">
        <f ca="1">IFERROR(__xludf.DUMMYFUNCTION("QUERY('Volunteer Survey'!P740)"),"")</f>
        <v/>
      </c>
    </row>
    <row r="742" spans="1:41" ht="14">
      <c r="A742" s="49"/>
      <c r="B742" s="49"/>
      <c r="C742" s="47"/>
      <c r="D742" s="49"/>
      <c r="E742" s="49"/>
      <c r="F742" s="49" t="b">
        <v>0</v>
      </c>
      <c r="G742" s="49"/>
      <c r="H742" s="47"/>
      <c r="I742" s="47"/>
      <c r="J742" s="49"/>
      <c r="K742" s="49"/>
      <c r="L742" s="49"/>
      <c r="M742" s="49"/>
      <c r="N742" s="49"/>
      <c r="O742" s="49" t="b">
        <v>0</v>
      </c>
      <c r="P742" s="49"/>
      <c r="Q742" s="49"/>
      <c r="R742" s="49"/>
      <c r="S742" s="49"/>
      <c r="T742" s="49"/>
      <c r="U742" s="58"/>
      <c r="V742" s="49"/>
      <c r="W742" s="58"/>
      <c r="X742" s="49"/>
      <c r="Y742" s="47"/>
      <c r="Z742" s="175" t="str">
        <f ca="1">IFERROR(__xludf.DUMMYFUNCTION("QUERY('Volunteer Survey'!A741)"),"")</f>
        <v/>
      </c>
      <c r="AA742" s="175" t="str">
        <f ca="1">IFERROR(__xludf.DUMMYFUNCTION("QUERY('Volunteer Survey'!B741)"),"")</f>
        <v/>
      </c>
      <c r="AB742" s="175" t="str">
        <f ca="1">IFERROR(__xludf.DUMMYFUNCTION("QUERY('Volunteer Survey'!C741)"),"")</f>
        <v/>
      </c>
      <c r="AC742" s="175" t="str">
        <f ca="1">IFERROR(__xludf.DUMMYFUNCTION("QUERY('Volunteer Survey'!D741)"),"")</f>
        <v/>
      </c>
      <c r="AD742" s="175" t="str">
        <f ca="1">IFERROR(__xludf.DUMMYFUNCTION("QUERY('Volunteer Survey'!E741)"),"")</f>
        <v/>
      </c>
      <c r="AE742" s="175" t="str">
        <f ca="1">IFERROR(__xludf.DUMMYFUNCTION("QUERY('Volunteer Survey'!F741)"),"")</f>
        <v/>
      </c>
      <c r="AF742" s="175" t="str">
        <f ca="1">IFERROR(__xludf.DUMMYFUNCTION("QUERY('Volunteer Survey'!G741)"),"")</f>
        <v/>
      </c>
      <c r="AG742" s="175" t="str">
        <f ca="1">IFERROR(__xludf.DUMMYFUNCTION("QUERY('Volunteer Survey'!H741)"),"")</f>
        <v/>
      </c>
      <c r="AH742" s="175" t="str">
        <f ca="1">IFERROR(__xludf.DUMMYFUNCTION("QUERY('Volunteer Survey'!I741)"),"")</f>
        <v/>
      </c>
      <c r="AI742" s="175" t="str">
        <f ca="1">IFERROR(__xludf.DUMMYFUNCTION("QUERY('Volunteer Survey'!J741)"),"")</f>
        <v/>
      </c>
      <c r="AJ742" s="175" t="str">
        <f ca="1">IFERROR(__xludf.DUMMYFUNCTION("QUERY('Volunteer Survey'!K741)"),"")</f>
        <v/>
      </c>
      <c r="AK742" s="175" t="str">
        <f ca="1">IFERROR(__xludf.DUMMYFUNCTION("QUERY('Volunteer Survey'!L741)"),"")</f>
        <v/>
      </c>
      <c r="AL742" s="175" t="str">
        <f ca="1">IFERROR(__xludf.DUMMYFUNCTION("QUERY('Volunteer Survey'!M741)"),"")</f>
        <v/>
      </c>
      <c r="AM742" s="175" t="str">
        <f ca="1">IFERROR(__xludf.DUMMYFUNCTION("QUERY('Volunteer Survey'!N741)"),"")</f>
        <v/>
      </c>
      <c r="AN742" s="175" t="str">
        <f ca="1">IFERROR(__xludf.DUMMYFUNCTION("QUERY('Volunteer Survey'!O741)"),"")</f>
        <v/>
      </c>
      <c r="AO742" s="175" t="str">
        <f ca="1">IFERROR(__xludf.DUMMYFUNCTION("QUERY('Volunteer Survey'!P741)"),"")</f>
        <v/>
      </c>
    </row>
    <row r="743" spans="1:41" ht="14">
      <c r="A743" s="49"/>
      <c r="B743" s="49"/>
      <c r="C743" s="47"/>
      <c r="D743" s="49"/>
      <c r="E743" s="49"/>
      <c r="F743" s="49" t="b">
        <v>0</v>
      </c>
      <c r="G743" s="49"/>
      <c r="H743" s="47"/>
      <c r="I743" s="47"/>
      <c r="J743" s="49"/>
      <c r="K743" s="49"/>
      <c r="L743" s="49"/>
      <c r="M743" s="49"/>
      <c r="N743" s="49"/>
      <c r="O743" s="49" t="b">
        <v>0</v>
      </c>
      <c r="P743" s="49"/>
      <c r="Q743" s="49"/>
      <c r="R743" s="49"/>
      <c r="S743" s="49"/>
      <c r="T743" s="49"/>
      <c r="U743" s="58"/>
      <c r="V743" s="49"/>
      <c r="W743" s="58"/>
      <c r="X743" s="49"/>
      <c r="Y743" s="47"/>
      <c r="Z743" s="175" t="str">
        <f ca="1">IFERROR(__xludf.DUMMYFUNCTION("QUERY('Volunteer Survey'!A742)"),"")</f>
        <v/>
      </c>
      <c r="AA743" s="175" t="str">
        <f ca="1">IFERROR(__xludf.DUMMYFUNCTION("QUERY('Volunteer Survey'!B742)"),"")</f>
        <v/>
      </c>
      <c r="AB743" s="175" t="str">
        <f ca="1">IFERROR(__xludf.DUMMYFUNCTION("QUERY('Volunteer Survey'!C742)"),"")</f>
        <v/>
      </c>
      <c r="AC743" s="175" t="str">
        <f ca="1">IFERROR(__xludf.DUMMYFUNCTION("QUERY('Volunteer Survey'!D742)"),"")</f>
        <v/>
      </c>
      <c r="AD743" s="175" t="str">
        <f ca="1">IFERROR(__xludf.DUMMYFUNCTION("QUERY('Volunteer Survey'!E742)"),"")</f>
        <v/>
      </c>
      <c r="AE743" s="175" t="str">
        <f ca="1">IFERROR(__xludf.DUMMYFUNCTION("QUERY('Volunteer Survey'!F742)"),"")</f>
        <v/>
      </c>
      <c r="AF743" s="175" t="str">
        <f ca="1">IFERROR(__xludf.DUMMYFUNCTION("QUERY('Volunteer Survey'!G742)"),"")</f>
        <v/>
      </c>
      <c r="AG743" s="175" t="str">
        <f ca="1">IFERROR(__xludf.DUMMYFUNCTION("QUERY('Volunteer Survey'!H742)"),"")</f>
        <v/>
      </c>
      <c r="AH743" s="175" t="str">
        <f ca="1">IFERROR(__xludf.DUMMYFUNCTION("QUERY('Volunteer Survey'!I742)"),"")</f>
        <v/>
      </c>
      <c r="AI743" s="175" t="str">
        <f ca="1">IFERROR(__xludf.DUMMYFUNCTION("QUERY('Volunteer Survey'!J742)"),"")</f>
        <v/>
      </c>
      <c r="AJ743" s="175" t="str">
        <f ca="1">IFERROR(__xludf.DUMMYFUNCTION("QUERY('Volunteer Survey'!K742)"),"")</f>
        <v/>
      </c>
      <c r="AK743" s="175" t="str">
        <f ca="1">IFERROR(__xludf.DUMMYFUNCTION("QUERY('Volunteer Survey'!L742)"),"")</f>
        <v/>
      </c>
      <c r="AL743" s="175" t="str">
        <f ca="1">IFERROR(__xludf.DUMMYFUNCTION("QUERY('Volunteer Survey'!M742)"),"")</f>
        <v/>
      </c>
      <c r="AM743" s="175" t="str">
        <f ca="1">IFERROR(__xludf.DUMMYFUNCTION("QUERY('Volunteer Survey'!N742)"),"")</f>
        <v/>
      </c>
      <c r="AN743" s="175" t="str">
        <f ca="1">IFERROR(__xludf.DUMMYFUNCTION("QUERY('Volunteer Survey'!O742)"),"")</f>
        <v/>
      </c>
      <c r="AO743" s="175" t="str">
        <f ca="1">IFERROR(__xludf.DUMMYFUNCTION("QUERY('Volunteer Survey'!P742)"),"")</f>
        <v/>
      </c>
    </row>
    <row r="744" spans="1:41" ht="14">
      <c r="A744" s="49"/>
      <c r="B744" s="49"/>
      <c r="C744" s="47"/>
      <c r="D744" s="49"/>
      <c r="E744" s="49"/>
      <c r="F744" s="49" t="b">
        <v>0</v>
      </c>
      <c r="G744" s="49"/>
      <c r="H744" s="47"/>
      <c r="I744" s="47"/>
      <c r="J744" s="49"/>
      <c r="K744" s="49"/>
      <c r="L744" s="49"/>
      <c r="M744" s="49"/>
      <c r="N744" s="49"/>
      <c r="O744" s="49" t="b">
        <v>0</v>
      </c>
      <c r="P744" s="49"/>
      <c r="Q744" s="49"/>
      <c r="R744" s="49"/>
      <c r="S744" s="49"/>
      <c r="T744" s="49"/>
      <c r="U744" s="58"/>
      <c r="V744" s="49"/>
      <c r="W744" s="58"/>
      <c r="X744" s="49"/>
      <c r="Y744" s="47"/>
      <c r="Z744" s="175" t="str">
        <f ca="1">IFERROR(__xludf.DUMMYFUNCTION("QUERY('Volunteer Survey'!A743)"),"")</f>
        <v/>
      </c>
      <c r="AA744" s="175" t="str">
        <f ca="1">IFERROR(__xludf.DUMMYFUNCTION("QUERY('Volunteer Survey'!B743)"),"")</f>
        <v/>
      </c>
      <c r="AB744" s="175" t="str">
        <f ca="1">IFERROR(__xludf.DUMMYFUNCTION("QUERY('Volunteer Survey'!C743)"),"")</f>
        <v/>
      </c>
      <c r="AC744" s="175" t="str">
        <f ca="1">IFERROR(__xludf.DUMMYFUNCTION("QUERY('Volunteer Survey'!D743)"),"")</f>
        <v/>
      </c>
      <c r="AD744" s="175" t="str">
        <f ca="1">IFERROR(__xludf.DUMMYFUNCTION("QUERY('Volunteer Survey'!E743)"),"")</f>
        <v/>
      </c>
      <c r="AE744" s="175" t="str">
        <f ca="1">IFERROR(__xludf.DUMMYFUNCTION("QUERY('Volunteer Survey'!F743)"),"")</f>
        <v/>
      </c>
      <c r="AF744" s="175" t="str">
        <f ca="1">IFERROR(__xludf.DUMMYFUNCTION("QUERY('Volunteer Survey'!G743)"),"")</f>
        <v/>
      </c>
      <c r="AG744" s="175" t="str">
        <f ca="1">IFERROR(__xludf.DUMMYFUNCTION("QUERY('Volunteer Survey'!H743)"),"")</f>
        <v/>
      </c>
      <c r="AH744" s="175" t="str">
        <f ca="1">IFERROR(__xludf.DUMMYFUNCTION("QUERY('Volunteer Survey'!I743)"),"")</f>
        <v/>
      </c>
      <c r="AI744" s="175" t="str">
        <f ca="1">IFERROR(__xludf.DUMMYFUNCTION("QUERY('Volunteer Survey'!J743)"),"")</f>
        <v/>
      </c>
      <c r="AJ744" s="175" t="str">
        <f ca="1">IFERROR(__xludf.DUMMYFUNCTION("QUERY('Volunteer Survey'!K743)"),"")</f>
        <v/>
      </c>
      <c r="AK744" s="175" t="str">
        <f ca="1">IFERROR(__xludf.DUMMYFUNCTION("QUERY('Volunteer Survey'!L743)"),"")</f>
        <v/>
      </c>
      <c r="AL744" s="175" t="str">
        <f ca="1">IFERROR(__xludf.DUMMYFUNCTION("QUERY('Volunteer Survey'!M743)"),"")</f>
        <v/>
      </c>
      <c r="AM744" s="175" t="str">
        <f ca="1">IFERROR(__xludf.DUMMYFUNCTION("QUERY('Volunteer Survey'!N743)"),"")</f>
        <v/>
      </c>
      <c r="AN744" s="175" t="str">
        <f ca="1">IFERROR(__xludf.DUMMYFUNCTION("QUERY('Volunteer Survey'!O743)"),"")</f>
        <v/>
      </c>
      <c r="AO744" s="175" t="str">
        <f ca="1">IFERROR(__xludf.DUMMYFUNCTION("QUERY('Volunteer Survey'!P743)"),"")</f>
        <v/>
      </c>
    </row>
    <row r="745" spans="1:41" ht="14">
      <c r="A745" s="49"/>
      <c r="B745" s="49"/>
      <c r="C745" s="47"/>
      <c r="D745" s="49"/>
      <c r="E745" s="49"/>
      <c r="F745" s="49" t="b">
        <v>0</v>
      </c>
      <c r="G745" s="49"/>
      <c r="H745" s="47"/>
      <c r="I745" s="47"/>
      <c r="J745" s="49"/>
      <c r="K745" s="49"/>
      <c r="L745" s="49"/>
      <c r="M745" s="49"/>
      <c r="N745" s="49"/>
      <c r="O745" s="49" t="b">
        <v>0</v>
      </c>
      <c r="P745" s="49"/>
      <c r="Q745" s="49"/>
      <c r="R745" s="49"/>
      <c r="S745" s="49"/>
      <c r="T745" s="49"/>
      <c r="U745" s="58"/>
      <c r="V745" s="49"/>
      <c r="W745" s="58"/>
      <c r="X745" s="49"/>
      <c r="Y745" s="47"/>
      <c r="Z745" s="175" t="str">
        <f ca="1">IFERROR(__xludf.DUMMYFUNCTION("QUERY('Volunteer Survey'!A744)"),"")</f>
        <v/>
      </c>
      <c r="AA745" s="175" t="str">
        <f ca="1">IFERROR(__xludf.DUMMYFUNCTION("QUERY('Volunteer Survey'!B744)"),"")</f>
        <v/>
      </c>
      <c r="AB745" s="175" t="str">
        <f ca="1">IFERROR(__xludf.DUMMYFUNCTION("QUERY('Volunteer Survey'!C744)"),"")</f>
        <v/>
      </c>
      <c r="AC745" s="175" t="str">
        <f ca="1">IFERROR(__xludf.DUMMYFUNCTION("QUERY('Volunteer Survey'!D744)"),"")</f>
        <v/>
      </c>
      <c r="AD745" s="175" t="str">
        <f ca="1">IFERROR(__xludf.DUMMYFUNCTION("QUERY('Volunteer Survey'!E744)"),"")</f>
        <v/>
      </c>
      <c r="AE745" s="175" t="str">
        <f ca="1">IFERROR(__xludf.DUMMYFUNCTION("QUERY('Volunteer Survey'!F744)"),"")</f>
        <v/>
      </c>
      <c r="AF745" s="175" t="str">
        <f ca="1">IFERROR(__xludf.DUMMYFUNCTION("QUERY('Volunteer Survey'!G744)"),"")</f>
        <v/>
      </c>
      <c r="AG745" s="175" t="str">
        <f ca="1">IFERROR(__xludf.DUMMYFUNCTION("QUERY('Volunteer Survey'!H744)"),"")</f>
        <v/>
      </c>
      <c r="AH745" s="175" t="str">
        <f ca="1">IFERROR(__xludf.DUMMYFUNCTION("QUERY('Volunteer Survey'!I744)"),"")</f>
        <v/>
      </c>
      <c r="AI745" s="175" t="str">
        <f ca="1">IFERROR(__xludf.DUMMYFUNCTION("QUERY('Volunteer Survey'!J744)"),"")</f>
        <v/>
      </c>
      <c r="AJ745" s="175" t="str">
        <f ca="1">IFERROR(__xludf.DUMMYFUNCTION("QUERY('Volunteer Survey'!K744)"),"")</f>
        <v/>
      </c>
      <c r="AK745" s="175" t="str">
        <f ca="1">IFERROR(__xludf.DUMMYFUNCTION("QUERY('Volunteer Survey'!L744)"),"")</f>
        <v/>
      </c>
      <c r="AL745" s="175" t="str">
        <f ca="1">IFERROR(__xludf.DUMMYFUNCTION("QUERY('Volunteer Survey'!M744)"),"")</f>
        <v/>
      </c>
      <c r="AM745" s="175" t="str">
        <f ca="1">IFERROR(__xludf.DUMMYFUNCTION("QUERY('Volunteer Survey'!N744)"),"")</f>
        <v/>
      </c>
      <c r="AN745" s="175" t="str">
        <f ca="1">IFERROR(__xludf.DUMMYFUNCTION("QUERY('Volunteer Survey'!O744)"),"")</f>
        <v/>
      </c>
      <c r="AO745" s="175" t="str">
        <f ca="1">IFERROR(__xludf.DUMMYFUNCTION("QUERY('Volunteer Survey'!P744)"),"")</f>
        <v/>
      </c>
    </row>
    <row r="746" spans="1:41" ht="14">
      <c r="A746" s="49"/>
      <c r="B746" s="49"/>
      <c r="C746" s="47"/>
      <c r="D746" s="49"/>
      <c r="E746" s="49"/>
      <c r="F746" s="49" t="b">
        <v>0</v>
      </c>
      <c r="G746" s="49"/>
      <c r="H746" s="47"/>
      <c r="I746" s="47"/>
      <c r="J746" s="49"/>
      <c r="K746" s="49"/>
      <c r="L746" s="49"/>
      <c r="M746" s="49"/>
      <c r="N746" s="49"/>
      <c r="O746" s="49" t="b">
        <v>0</v>
      </c>
      <c r="P746" s="49"/>
      <c r="Q746" s="49"/>
      <c r="R746" s="49"/>
      <c r="S746" s="49"/>
      <c r="T746" s="49"/>
      <c r="U746" s="58"/>
      <c r="V746" s="49"/>
      <c r="W746" s="58"/>
      <c r="X746" s="49"/>
      <c r="Y746" s="47"/>
      <c r="Z746" s="175" t="str">
        <f ca="1">IFERROR(__xludf.DUMMYFUNCTION("QUERY('Volunteer Survey'!A745)"),"")</f>
        <v/>
      </c>
      <c r="AA746" s="175" t="str">
        <f ca="1">IFERROR(__xludf.DUMMYFUNCTION("QUERY('Volunteer Survey'!B745)"),"")</f>
        <v/>
      </c>
      <c r="AB746" s="175" t="str">
        <f ca="1">IFERROR(__xludf.DUMMYFUNCTION("QUERY('Volunteer Survey'!C745)"),"")</f>
        <v/>
      </c>
      <c r="AC746" s="175" t="str">
        <f ca="1">IFERROR(__xludf.DUMMYFUNCTION("QUERY('Volunteer Survey'!D745)"),"")</f>
        <v/>
      </c>
      <c r="AD746" s="175" t="str">
        <f ca="1">IFERROR(__xludf.DUMMYFUNCTION("QUERY('Volunteer Survey'!E745)"),"")</f>
        <v/>
      </c>
      <c r="AE746" s="175" t="str">
        <f ca="1">IFERROR(__xludf.DUMMYFUNCTION("QUERY('Volunteer Survey'!F745)"),"")</f>
        <v/>
      </c>
      <c r="AF746" s="175" t="str">
        <f ca="1">IFERROR(__xludf.DUMMYFUNCTION("QUERY('Volunteer Survey'!G745)"),"")</f>
        <v/>
      </c>
      <c r="AG746" s="175" t="str">
        <f ca="1">IFERROR(__xludf.DUMMYFUNCTION("QUERY('Volunteer Survey'!H745)"),"")</f>
        <v/>
      </c>
      <c r="AH746" s="175" t="str">
        <f ca="1">IFERROR(__xludf.DUMMYFUNCTION("QUERY('Volunteer Survey'!I745)"),"")</f>
        <v/>
      </c>
      <c r="AI746" s="175" t="str">
        <f ca="1">IFERROR(__xludf.DUMMYFUNCTION("QUERY('Volunteer Survey'!J745)"),"")</f>
        <v/>
      </c>
      <c r="AJ746" s="175" t="str">
        <f ca="1">IFERROR(__xludf.DUMMYFUNCTION("QUERY('Volunteer Survey'!K745)"),"")</f>
        <v/>
      </c>
      <c r="AK746" s="175" t="str">
        <f ca="1">IFERROR(__xludf.DUMMYFUNCTION("QUERY('Volunteer Survey'!L745)"),"")</f>
        <v/>
      </c>
      <c r="AL746" s="175" t="str">
        <f ca="1">IFERROR(__xludf.DUMMYFUNCTION("QUERY('Volunteer Survey'!M745)"),"")</f>
        <v/>
      </c>
      <c r="AM746" s="175" t="str">
        <f ca="1">IFERROR(__xludf.DUMMYFUNCTION("QUERY('Volunteer Survey'!N745)"),"")</f>
        <v/>
      </c>
      <c r="AN746" s="175" t="str">
        <f ca="1">IFERROR(__xludf.DUMMYFUNCTION("QUERY('Volunteer Survey'!O745)"),"")</f>
        <v/>
      </c>
      <c r="AO746" s="175" t="str">
        <f ca="1">IFERROR(__xludf.DUMMYFUNCTION("QUERY('Volunteer Survey'!P745)"),"")</f>
        <v/>
      </c>
    </row>
    <row r="747" spans="1:41" ht="14">
      <c r="A747" s="49"/>
      <c r="B747" s="49"/>
      <c r="C747" s="47"/>
      <c r="D747" s="49"/>
      <c r="E747" s="49"/>
      <c r="F747" s="49" t="b">
        <v>0</v>
      </c>
      <c r="G747" s="49"/>
      <c r="H747" s="47"/>
      <c r="I747" s="47"/>
      <c r="J747" s="49"/>
      <c r="K747" s="49"/>
      <c r="L747" s="49"/>
      <c r="M747" s="49"/>
      <c r="N747" s="49"/>
      <c r="O747" s="49" t="b">
        <v>0</v>
      </c>
      <c r="P747" s="49"/>
      <c r="Q747" s="49"/>
      <c r="R747" s="49"/>
      <c r="S747" s="49"/>
      <c r="T747" s="49"/>
      <c r="U747" s="58"/>
      <c r="V747" s="49"/>
      <c r="W747" s="58"/>
      <c r="X747" s="49"/>
      <c r="Y747" s="47"/>
      <c r="Z747" s="175" t="str">
        <f ca="1">IFERROR(__xludf.DUMMYFUNCTION("QUERY('Volunteer Survey'!A746)"),"")</f>
        <v/>
      </c>
      <c r="AA747" s="175" t="str">
        <f ca="1">IFERROR(__xludf.DUMMYFUNCTION("QUERY('Volunteer Survey'!B746)"),"")</f>
        <v/>
      </c>
      <c r="AB747" s="175" t="str">
        <f ca="1">IFERROR(__xludf.DUMMYFUNCTION("QUERY('Volunteer Survey'!C746)"),"")</f>
        <v/>
      </c>
      <c r="AC747" s="175" t="str">
        <f ca="1">IFERROR(__xludf.DUMMYFUNCTION("QUERY('Volunteer Survey'!D746)"),"")</f>
        <v/>
      </c>
      <c r="AD747" s="175" t="str">
        <f ca="1">IFERROR(__xludf.DUMMYFUNCTION("QUERY('Volunteer Survey'!E746)"),"")</f>
        <v/>
      </c>
      <c r="AE747" s="175" t="str">
        <f ca="1">IFERROR(__xludf.DUMMYFUNCTION("QUERY('Volunteer Survey'!F746)"),"")</f>
        <v/>
      </c>
      <c r="AF747" s="175" t="str">
        <f ca="1">IFERROR(__xludf.DUMMYFUNCTION("QUERY('Volunteer Survey'!G746)"),"")</f>
        <v/>
      </c>
      <c r="AG747" s="175" t="str">
        <f ca="1">IFERROR(__xludf.DUMMYFUNCTION("QUERY('Volunteer Survey'!H746)"),"")</f>
        <v/>
      </c>
      <c r="AH747" s="175" t="str">
        <f ca="1">IFERROR(__xludf.DUMMYFUNCTION("QUERY('Volunteer Survey'!I746)"),"")</f>
        <v/>
      </c>
      <c r="AI747" s="175" t="str">
        <f ca="1">IFERROR(__xludf.DUMMYFUNCTION("QUERY('Volunteer Survey'!J746)"),"")</f>
        <v/>
      </c>
      <c r="AJ747" s="175" t="str">
        <f ca="1">IFERROR(__xludf.DUMMYFUNCTION("QUERY('Volunteer Survey'!K746)"),"")</f>
        <v/>
      </c>
      <c r="AK747" s="175" t="str">
        <f ca="1">IFERROR(__xludf.DUMMYFUNCTION("QUERY('Volunteer Survey'!L746)"),"")</f>
        <v/>
      </c>
      <c r="AL747" s="175" t="str">
        <f ca="1">IFERROR(__xludf.DUMMYFUNCTION("QUERY('Volunteer Survey'!M746)"),"")</f>
        <v/>
      </c>
      <c r="AM747" s="175" t="str">
        <f ca="1">IFERROR(__xludf.DUMMYFUNCTION("QUERY('Volunteer Survey'!N746)"),"")</f>
        <v/>
      </c>
      <c r="AN747" s="175" t="str">
        <f ca="1">IFERROR(__xludf.DUMMYFUNCTION("QUERY('Volunteer Survey'!O746)"),"")</f>
        <v/>
      </c>
      <c r="AO747" s="175" t="str">
        <f ca="1">IFERROR(__xludf.DUMMYFUNCTION("QUERY('Volunteer Survey'!P746)"),"")</f>
        <v/>
      </c>
    </row>
    <row r="748" spans="1:41" ht="14">
      <c r="A748" s="49"/>
      <c r="B748" s="49"/>
      <c r="C748" s="47"/>
      <c r="D748" s="49"/>
      <c r="E748" s="49"/>
      <c r="F748" s="49" t="b">
        <v>0</v>
      </c>
      <c r="G748" s="49"/>
      <c r="H748" s="47"/>
      <c r="I748" s="47"/>
      <c r="J748" s="49"/>
      <c r="K748" s="49"/>
      <c r="L748" s="49"/>
      <c r="M748" s="49"/>
      <c r="N748" s="49"/>
      <c r="O748" s="49" t="b">
        <v>0</v>
      </c>
      <c r="P748" s="49"/>
      <c r="Q748" s="49"/>
      <c r="R748" s="49"/>
      <c r="S748" s="49"/>
      <c r="T748" s="49"/>
      <c r="U748" s="58"/>
      <c r="V748" s="49"/>
      <c r="W748" s="58"/>
      <c r="X748" s="49"/>
      <c r="Y748" s="47"/>
      <c r="Z748" s="175" t="str">
        <f ca="1">IFERROR(__xludf.DUMMYFUNCTION("QUERY('Volunteer Survey'!A747)"),"")</f>
        <v/>
      </c>
      <c r="AA748" s="175" t="str">
        <f ca="1">IFERROR(__xludf.DUMMYFUNCTION("QUERY('Volunteer Survey'!B747)"),"")</f>
        <v/>
      </c>
      <c r="AB748" s="175" t="str">
        <f ca="1">IFERROR(__xludf.DUMMYFUNCTION("QUERY('Volunteer Survey'!C747)"),"")</f>
        <v/>
      </c>
      <c r="AC748" s="175" t="str">
        <f ca="1">IFERROR(__xludf.DUMMYFUNCTION("QUERY('Volunteer Survey'!D747)"),"")</f>
        <v/>
      </c>
      <c r="AD748" s="175" t="str">
        <f ca="1">IFERROR(__xludf.DUMMYFUNCTION("QUERY('Volunteer Survey'!E747)"),"")</f>
        <v/>
      </c>
      <c r="AE748" s="175" t="str">
        <f ca="1">IFERROR(__xludf.DUMMYFUNCTION("QUERY('Volunteer Survey'!F747)"),"")</f>
        <v/>
      </c>
      <c r="AF748" s="175" t="str">
        <f ca="1">IFERROR(__xludf.DUMMYFUNCTION("QUERY('Volunteer Survey'!G747)"),"")</f>
        <v/>
      </c>
      <c r="AG748" s="175" t="str">
        <f ca="1">IFERROR(__xludf.DUMMYFUNCTION("QUERY('Volunteer Survey'!H747)"),"")</f>
        <v/>
      </c>
      <c r="AH748" s="175" t="str">
        <f ca="1">IFERROR(__xludf.DUMMYFUNCTION("QUERY('Volunteer Survey'!I747)"),"")</f>
        <v/>
      </c>
      <c r="AI748" s="175" t="str">
        <f ca="1">IFERROR(__xludf.DUMMYFUNCTION("QUERY('Volunteer Survey'!J747)"),"")</f>
        <v/>
      </c>
      <c r="AJ748" s="175" t="str">
        <f ca="1">IFERROR(__xludf.DUMMYFUNCTION("QUERY('Volunteer Survey'!K747)"),"")</f>
        <v/>
      </c>
      <c r="AK748" s="175" t="str">
        <f ca="1">IFERROR(__xludf.DUMMYFUNCTION("QUERY('Volunteer Survey'!L747)"),"")</f>
        <v/>
      </c>
      <c r="AL748" s="175" t="str">
        <f ca="1">IFERROR(__xludf.DUMMYFUNCTION("QUERY('Volunteer Survey'!M747)"),"")</f>
        <v/>
      </c>
      <c r="AM748" s="175" t="str">
        <f ca="1">IFERROR(__xludf.DUMMYFUNCTION("QUERY('Volunteer Survey'!N747)"),"")</f>
        <v/>
      </c>
      <c r="AN748" s="175" t="str">
        <f ca="1">IFERROR(__xludf.DUMMYFUNCTION("QUERY('Volunteer Survey'!O747)"),"")</f>
        <v/>
      </c>
      <c r="AO748" s="175" t="str">
        <f ca="1">IFERROR(__xludf.DUMMYFUNCTION("QUERY('Volunteer Survey'!P747)"),"")</f>
        <v/>
      </c>
    </row>
    <row r="749" spans="1:41" ht="14">
      <c r="A749" s="49"/>
      <c r="B749" s="49"/>
      <c r="C749" s="47"/>
      <c r="D749" s="49"/>
      <c r="E749" s="49"/>
      <c r="F749" s="49" t="b">
        <v>0</v>
      </c>
      <c r="G749" s="49"/>
      <c r="H749" s="47"/>
      <c r="I749" s="47"/>
      <c r="J749" s="49"/>
      <c r="K749" s="49"/>
      <c r="L749" s="49"/>
      <c r="M749" s="49"/>
      <c r="N749" s="49"/>
      <c r="O749" s="49" t="b">
        <v>0</v>
      </c>
      <c r="P749" s="49"/>
      <c r="Q749" s="49"/>
      <c r="R749" s="49"/>
      <c r="S749" s="49"/>
      <c r="T749" s="49"/>
      <c r="U749" s="58"/>
      <c r="V749" s="49"/>
      <c r="W749" s="58"/>
      <c r="X749" s="49"/>
      <c r="Y749" s="47"/>
      <c r="Z749" s="175" t="str">
        <f ca="1">IFERROR(__xludf.DUMMYFUNCTION("QUERY('Volunteer Survey'!A748)"),"")</f>
        <v/>
      </c>
      <c r="AA749" s="175" t="str">
        <f ca="1">IFERROR(__xludf.DUMMYFUNCTION("QUERY('Volunteer Survey'!B748)"),"")</f>
        <v/>
      </c>
      <c r="AB749" s="175" t="str">
        <f ca="1">IFERROR(__xludf.DUMMYFUNCTION("QUERY('Volunteer Survey'!C748)"),"")</f>
        <v/>
      </c>
      <c r="AC749" s="175" t="str">
        <f ca="1">IFERROR(__xludf.DUMMYFUNCTION("QUERY('Volunteer Survey'!D748)"),"")</f>
        <v/>
      </c>
      <c r="AD749" s="175" t="str">
        <f ca="1">IFERROR(__xludf.DUMMYFUNCTION("QUERY('Volunteer Survey'!E748)"),"")</f>
        <v/>
      </c>
      <c r="AE749" s="175" t="str">
        <f ca="1">IFERROR(__xludf.DUMMYFUNCTION("QUERY('Volunteer Survey'!F748)"),"")</f>
        <v/>
      </c>
      <c r="AF749" s="175" t="str">
        <f ca="1">IFERROR(__xludf.DUMMYFUNCTION("QUERY('Volunteer Survey'!G748)"),"")</f>
        <v/>
      </c>
      <c r="AG749" s="175" t="str">
        <f ca="1">IFERROR(__xludf.DUMMYFUNCTION("QUERY('Volunteer Survey'!H748)"),"")</f>
        <v/>
      </c>
      <c r="AH749" s="175" t="str">
        <f ca="1">IFERROR(__xludf.DUMMYFUNCTION("QUERY('Volunteer Survey'!I748)"),"")</f>
        <v/>
      </c>
      <c r="AI749" s="175" t="str">
        <f ca="1">IFERROR(__xludf.DUMMYFUNCTION("QUERY('Volunteer Survey'!J748)"),"")</f>
        <v/>
      </c>
      <c r="AJ749" s="175" t="str">
        <f ca="1">IFERROR(__xludf.DUMMYFUNCTION("QUERY('Volunteer Survey'!K748)"),"")</f>
        <v/>
      </c>
      <c r="AK749" s="175" t="str">
        <f ca="1">IFERROR(__xludf.DUMMYFUNCTION("QUERY('Volunteer Survey'!L748)"),"")</f>
        <v/>
      </c>
      <c r="AL749" s="175" t="str">
        <f ca="1">IFERROR(__xludf.DUMMYFUNCTION("QUERY('Volunteer Survey'!M748)"),"")</f>
        <v/>
      </c>
      <c r="AM749" s="175" t="str">
        <f ca="1">IFERROR(__xludf.DUMMYFUNCTION("QUERY('Volunteer Survey'!N748)"),"")</f>
        <v/>
      </c>
      <c r="AN749" s="175" t="str">
        <f ca="1">IFERROR(__xludf.DUMMYFUNCTION("QUERY('Volunteer Survey'!O748)"),"")</f>
        <v/>
      </c>
      <c r="AO749" s="175" t="str">
        <f ca="1">IFERROR(__xludf.DUMMYFUNCTION("QUERY('Volunteer Survey'!P748)"),"")</f>
        <v/>
      </c>
    </row>
    <row r="750" spans="1:41" ht="14">
      <c r="A750" s="49"/>
      <c r="B750" s="49"/>
      <c r="C750" s="47"/>
      <c r="D750" s="49"/>
      <c r="E750" s="49"/>
      <c r="F750" s="49" t="b">
        <v>0</v>
      </c>
      <c r="G750" s="49"/>
      <c r="H750" s="47"/>
      <c r="I750" s="47"/>
      <c r="J750" s="49"/>
      <c r="K750" s="49"/>
      <c r="L750" s="49"/>
      <c r="M750" s="49"/>
      <c r="N750" s="49"/>
      <c r="O750" s="49" t="b">
        <v>0</v>
      </c>
      <c r="P750" s="49"/>
      <c r="Q750" s="49"/>
      <c r="R750" s="49"/>
      <c r="S750" s="49"/>
      <c r="T750" s="49"/>
      <c r="U750" s="58"/>
      <c r="V750" s="49"/>
      <c r="W750" s="58"/>
      <c r="X750" s="49"/>
      <c r="Y750" s="47"/>
      <c r="Z750" s="175" t="str">
        <f ca="1">IFERROR(__xludf.DUMMYFUNCTION("QUERY('Volunteer Survey'!A749)"),"")</f>
        <v/>
      </c>
      <c r="AA750" s="175" t="str">
        <f ca="1">IFERROR(__xludf.DUMMYFUNCTION("QUERY('Volunteer Survey'!B749)"),"")</f>
        <v/>
      </c>
      <c r="AB750" s="175" t="str">
        <f ca="1">IFERROR(__xludf.DUMMYFUNCTION("QUERY('Volunteer Survey'!C749)"),"")</f>
        <v/>
      </c>
      <c r="AC750" s="175" t="str">
        <f ca="1">IFERROR(__xludf.DUMMYFUNCTION("QUERY('Volunteer Survey'!D749)"),"")</f>
        <v/>
      </c>
      <c r="AD750" s="175" t="str">
        <f ca="1">IFERROR(__xludf.DUMMYFUNCTION("QUERY('Volunteer Survey'!E749)"),"")</f>
        <v/>
      </c>
      <c r="AE750" s="175" t="str">
        <f ca="1">IFERROR(__xludf.DUMMYFUNCTION("QUERY('Volunteer Survey'!F749)"),"")</f>
        <v/>
      </c>
      <c r="AF750" s="175" t="str">
        <f ca="1">IFERROR(__xludf.DUMMYFUNCTION("QUERY('Volunteer Survey'!G749)"),"")</f>
        <v/>
      </c>
      <c r="AG750" s="175" t="str">
        <f ca="1">IFERROR(__xludf.DUMMYFUNCTION("QUERY('Volunteer Survey'!H749)"),"")</f>
        <v/>
      </c>
      <c r="AH750" s="175" t="str">
        <f ca="1">IFERROR(__xludf.DUMMYFUNCTION("QUERY('Volunteer Survey'!I749)"),"")</f>
        <v/>
      </c>
      <c r="AI750" s="175" t="str">
        <f ca="1">IFERROR(__xludf.DUMMYFUNCTION("QUERY('Volunteer Survey'!J749)"),"")</f>
        <v/>
      </c>
      <c r="AJ750" s="175" t="str">
        <f ca="1">IFERROR(__xludf.DUMMYFUNCTION("QUERY('Volunteer Survey'!K749)"),"")</f>
        <v/>
      </c>
      <c r="AK750" s="175" t="str">
        <f ca="1">IFERROR(__xludf.DUMMYFUNCTION("QUERY('Volunteer Survey'!L749)"),"")</f>
        <v/>
      </c>
      <c r="AL750" s="175" t="str">
        <f ca="1">IFERROR(__xludf.DUMMYFUNCTION("QUERY('Volunteer Survey'!M749)"),"")</f>
        <v/>
      </c>
      <c r="AM750" s="175" t="str">
        <f ca="1">IFERROR(__xludf.DUMMYFUNCTION("QUERY('Volunteer Survey'!N749)"),"")</f>
        <v/>
      </c>
      <c r="AN750" s="175" t="str">
        <f ca="1">IFERROR(__xludf.DUMMYFUNCTION("QUERY('Volunteer Survey'!O749)"),"")</f>
        <v/>
      </c>
      <c r="AO750" s="175" t="str">
        <f ca="1">IFERROR(__xludf.DUMMYFUNCTION("QUERY('Volunteer Survey'!P749)"),"")</f>
        <v/>
      </c>
    </row>
    <row r="751" spans="1:41" ht="14">
      <c r="A751" s="49"/>
      <c r="B751" s="49"/>
      <c r="C751" s="47"/>
      <c r="D751" s="49"/>
      <c r="E751" s="49"/>
      <c r="F751" s="49" t="b">
        <v>0</v>
      </c>
      <c r="G751" s="49"/>
      <c r="H751" s="47"/>
      <c r="I751" s="47"/>
      <c r="J751" s="49"/>
      <c r="K751" s="49"/>
      <c r="L751" s="49"/>
      <c r="M751" s="49"/>
      <c r="N751" s="49"/>
      <c r="O751" s="49" t="b">
        <v>0</v>
      </c>
      <c r="P751" s="49"/>
      <c r="Q751" s="49"/>
      <c r="R751" s="49"/>
      <c r="S751" s="49"/>
      <c r="T751" s="49"/>
      <c r="U751" s="58"/>
      <c r="V751" s="49"/>
      <c r="W751" s="58"/>
      <c r="X751" s="49"/>
      <c r="Y751" s="47"/>
      <c r="Z751" s="175" t="str">
        <f ca="1">IFERROR(__xludf.DUMMYFUNCTION("QUERY('Volunteer Survey'!A750)"),"")</f>
        <v/>
      </c>
      <c r="AA751" s="175" t="str">
        <f ca="1">IFERROR(__xludf.DUMMYFUNCTION("QUERY('Volunteer Survey'!B750)"),"")</f>
        <v/>
      </c>
      <c r="AB751" s="175" t="str">
        <f ca="1">IFERROR(__xludf.DUMMYFUNCTION("QUERY('Volunteer Survey'!C750)"),"")</f>
        <v/>
      </c>
      <c r="AC751" s="175" t="str">
        <f ca="1">IFERROR(__xludf.DUMMYFUNCTION("QUERY('Volunteer Survey'!D750)"),"")</f>
        <v/>
      </c>
      <c r="AD751" s="175" t="str">
        <f ca="1">IFERROR(__xludf.DUMMYFUNCTION("QUERY('Volunteer Survey'!E750)"),"")</f>
        <v/>
      </c>
      <c r="AE751" s="175" t="str">
        <f ca="1">IFERROR(__xludf.DUMMYFUNCTION("QUERY('Volunteer Survey'!F750)"),"")</f>
        <v/>
      </c>
      <c r="AF751" s="175" t="str">
        <f ca="1">IFERROR(__xludf.DUMMYFUNCTION("QUERY('Volunteer Survey'!G750)"),"")</f>
        <v/>
      </c>
      <c r="AG751" s="175" t="str">
        <f ca="1">IFERROR(__xludf.DUMMYFUNCTION("QUERY('Volunteer Survey'!H750)"),"")</f>
        <v/>
      </c>
      <c r="AH751" s="175" t="str">
        <f ca="1">IFERROR(__xludf.DUMMYFUNCTION("QUERY('Volunteer Survey'!I750)"),"")</f>
        <v/>
      </c>
      <c r="AI751" s="175" t="str">
        <f ca="1">IFERROR(__xludf.DUMMYFUNCTION("QUERY('Volunteer Survey'!J750)"),"")</f>
        <v/>
      </c>
      <c r="AJ751" s="175" t="str">
        <f ca="1">IFERROR(__xludf.DUMMYFUNCTION("QUERY('Volunteer Survey'!K750)"),"")</f>
        <v/>
      </c>
      <c r="AK751" s="175" t="str">
        <f ca="1">IFERROR(__xludf.DUMMYFUNCTION("QUERY('Volunteer Survey'!L750)"),"")</f>
        <v/>
      </c>
      <c r="AL751" s="175" t="str">
        <f ca="1">IFERROR(__xludf.DUMMYFUNCTION("QUERY('Volunteer Survey'!M750)"),"")</f>
        <v/>
      </c>
      <c r="AM751" s="175" t="str">
        <f ca="1">IFERROR(__xludf.DUMMYFUNCTION("QUERY('Volunteer Survey'!N750)"),"")</f>
        <v/>
      </c>
      <c r="AN751" s="175" t="str">
        <f ca="1">IFERROR(__xludf.DUMMYFUNCTION("QUERY('Volunteer Survey'!O750)"),"")</f>
        <v/>
      </c>
      <c r="AO751" s="175" t="str">
        <f ca="1">IFERROR(__xludf.DUMMYFUNCTION("QUERY('Volunteer Survey'!P750)"),"")</f>
        <v/>
      </c>
    </row>
    <row r="752" spans="1:41" ht="14">
      <c r="A752" s="49"/>
      <c r="B752" s="49"/>
      <c r="C752" s="47"/>
      <c r="D752" s="49"/>
      <c r="E752" s="49"/>
      <c r="F752" s="49" t="b">
        <v>0</v>
      </c>
      <c r="G752" s="49"/>
      <c r="H752" s="47"/>
      <c r="I752" s="47"/>
      <c r="J752" s="49"/>
      <c r="K752" s="49"/>
      <c r="L752" s="49"/>
      <c r="M752" s="49"/>
      <c r="N752" s="49"/>
      <c r="O752" s="49" t="b">
        <v>0</v>
      </c>
      <c r="P752" s="49"/>
      <c r="Q752" s="49"/>
      <c r="R752" s="49"/>
      <c r="S752" s="49"/>
      <c r="T752" s="49"/>
      <c r="U752" s="58"/>
      <c r="V752" s="49"/>
      <c r="W752" s="58"/>
      <c r="X752" s="49"/>
      <c r="Y752" s="47"/>
      <c r="Z752" s="175" t="str">
        <f ca="1">IFERROR(__xludf.DUMMYFUNCTION("QUERY('Volunteer Survey'!A751)"),"")</f>
        <v/>
      </c>
      <c r="AA752" s="175" t="str">
        <f ca="1">IFERROR(__xludf.DUMMYFUNCTION("QUERY('Volunteer Survey'!B751)"),"")</f>
        <v/>
      </c>
      <c r="AB752" s="175" t="str">
        <f ca="1">IFERROR(__xludf.DUMMYFUNCTION("QUERY('Volunteer Survey'!C751)"),"")</f>
        <v/>
      </c>
      <c r="AC752" s="175" t="str">
        <f ca="1">IFERROR(__xludf.DUMMYFUNCTION("QUERY('Volunteer Survey'!D751)"),"")</f>
        <v/>
      </c>
      <c r="AD752" s="175" t="str">
        <f ca="1">IFERROR(__xludf.DUMMYFUNCTION("QUERY('Volunteer Survey'!E751)"),"")</f>
        <v/>
      </c>
      <c r="AE752" s="175" t="str">
        <f ca="1">IFERROR(__xludf.DUMMYFUNCTION("QUERY('Volunteer Survey'!F751)"),"")</f>
        <v/>
      </c>
      <c r="AF752" s="175" t="str">
        <f ca="1">IFERROR(__xludf.DUMMYFUNCTION("QUERY('Volunteer Survey'!G751)"),"")</f>
        <v/>
      </c>
      <c r="AG752" s="175" t="str">
        <f ca="1">IFERROR(__xludf.DUMMYFUNCTION("QUERY('Volunteer Survey'!H751)"),"")</f>
        <v/>
      </c>
      <c r="AH752" s="175" t="str">
        <f ca="1">IFERROR(__xludf.DUMMYFUNCTION("QUERY('Volunteer Survey'!I751)"),"")</f>
        <v/>
      </c>
      <c r="AI752" s="175" t="str">
        <f ca="1">IFERROR(__xludf.DUMMYFUNCTION("QUERY('Volunteer Survey'!J751)"),"")</f>
        <v/>
      </c>
      <c r="AJ752" s="175" t="str">
        <f ca="1">IFERROR(__xludf.DUMMYFUNCTION("QUERY('Volunteer Survey'!K751)"),"")</f>
        <v/>
      </c>
      <c r="AK752" s="175" t="str">
        <f ca="1">IFERROR(__xludf.DUMMYFUNCTION("QUERY('Volunteer Survey'!L751)"),"")</f>
        <v/>
      </c>
      <c r="AL752" s="175" t="str">
        <f ca="1">IFERROR(__xludf.DUMMYFUNCTION("QUERY('Volunteer Survey'!M751)"),"")</f>
        <v/>
      </c>
      <c r="AM752" s="175" t="str">
        <f ca="1">IFERROR(__xludf.DUMMYFUNCTION("QUERY('Volunteer Survey'!N751)"),"")</f>
        <v/>
      </c>
      <c r="AN752" s="175" t="str">
        <f ca="1">IFERROR(__xludf.DUMMYFUNCTION("QUERY('Volunteer Survey'!O751)"),"")</f>
        <v/>
      </c>
      <c r="AO752" s="175" t="str">
        <f ca="1">IFERROR(__xludf.DUMMYFUNCTION("QUERY('Volunteer Survey'!P751)"),"")</f>
        <v/>
      </c>
    </row>
    <row r="753" spans="1:41" ht="14">
      <c r="A753" s="49"/>
      <c r="B753" s="49"/>
      <c r="C753" s="47"/>
      <c r="D753" s="49"/>
      <c r="E753" s="49"/>
      <c r="F753" s="49" t="b">
        <v>0</v>
      </c>
      <c r="G753" s="49"/>
      <c r="H753" s="47"/>
      <c r="I753" s="47"/>
      <c r="J753" s="49"/>
      <c r="K753" s="49"/>
      <c r="L753" s="49"/>
      <c r="M753" s="49"/>
      <c r="N753" s="49"/>
      <c r="O753" s="49" t="b">
        <v>0</v>
      </c>
      <c r="P753" s="49"/>
      <c r="Q753" s="49"/>
      <c r="R753" s="49"/>
      <c r="S753" s="49"/>
      <c r="T753" s="49"/>
      <c r="U753" s="58"/>
      <c r="V753" s="49"/>
      <c r="W753" s="58"/>
      <c r="X753" s="49"/>
      <c r="Y753" s="47"/>
      <c r="Z753" s="175" t="str">
        <f ca="1">IFERROR(__xludf.DUMMYFUNCTION("QUERY('Volunteer Survey'!A752)"),"")</f>
        <v/>
      </c>
      <c r="AA753" s="175" t="str">
        <f ca="1">IFERROR(__xludf.DUMMYFUNCTION("QUERY('Volunteer Survey'!B752)"),"")</f>
        <v/>
      </c>
      <c r="AB753" s="175" t="str">
        <f ca="1">IFERROR(__xludf.DUMMYFUNCTION("QUERY('Volunteer Survey'!C752)"),"")</f>
        <v/>
      </c>
      <c r="AC753" s="175" t="str">
        <f ca="1">IFERROR(__xludf.DUMMYFUNCTION("QUERY('Volunteer Survey'!D752)"),"")</f>
        <v/>
      </c>
      <c r="AD753" s="175" t="str">
        <f ca="1">IFERROR(__xludf.DUMMYFUNCTION("QUERY('Volunteer Survey'!E752)"),"")</f>
        <v/>
      </c>
      <c r="AE753" s="175" t="str">
        <f ca="1">IFERROR(__xludf.DUMMYFUNCTION("QUERY('Volunteer Survey'!F752)"),"")</f>
        <v/>
      </c>
      <c r="AF753" s="175" t="str">
        <f ca="1">IFERROR(__xludf.DUMMYFUNCTION("QUERY('Volunteer Survey'!G752)"),"")</f>
        <v/>
      </c>
      <c r="AG753" s="175" t="str">
        <f ca="1">IFERROR(__xludf.DUMMYFUNCTION("QUERY('Volunteer Survey'!H752)"),"")</f>
        <v/>
      </c>
      <c r="AH753" s="175" t="str">
        <f ca="1">IFERROR(__xludf.DUMMYFUNCTION("QUERY('Volunteer Survey'!I752)"),"")</f>
        <v/>
      </c>
      <c r="AI753" s="175" t="str">
        <f ca="1">IFERROR(__xludf.DUMMYFUNCTION("QUERY('Volunteer Survey'!J752)"),"")</f>
        <v/>
      </c>
      <c r="AJ753" s="175" t="str">
        <f ca="1">IFERROR(__xludf.DUMMYFUNCTION("QUERY('Volunteer Survey'!K752)"),"")</f>
        <v/>
      </c>
      <c r="AK753" s="175" t="str">
        <f ca="1">IFERROR(__xludf.DUMMYFUNCTION("QUERY('Volunteer Survey'!L752)"),"")</f>
        <v/>
      </c>
      <c r="AL753" s="175" t="str">
        <f ca="1">IFERROR(__xludf.DUMMYFUNCTION("QUERY('Volunteer Survey'!M752)"),"")</f>
        <v/>
      </c>
      <c r="AM753" s="175" t="str">
        <f ca="1">IFERROR(__xludf.DUMMYFUNCTION("QUERY('Volunteer Survey'!N752)"),"")</f>
        <v/>
      </c>
      <c r="AN753" s="175" t="str">
        <f ca="1">IFERROR(__xludf.DUMMYFUNCTION("QUERY('Volunteer Survey'!O752)"),"")</f>
        <v/>
      </c>
      <c r="AO753" s="175" t="str">
        <f ca="1">IFERROR(__xludf.DUMMYFUNCTION("QUERY('Volunteer Survey'!P752)"),"")</f>
        <v/>
      </c>
    </row>
    <row r="754" spans="1:41" ht="14">
      <c r="A754" s="49"/>
      <c r="B754" s="49"/>
      <c r="C754" s="47"/>
      <c r="D754" s="49"/>
      <c r="E754" s="49"/>
      <c r="F754" s="49" t="b">
        <v>0</v>
      </c>
      <c r="G754" s="49"/>
      <c r="H754" s="47"/>
      <c r="I754" s="47"/>
      <c r="J754" s="49"/>
      <c r="K754" s="49"/>
      <c r="L754" s="49"/>
      <c r="M754" s="49"/>
      <c r="N754" s="49"/>
      <c r="O754" s="49" t="b">
        <v>0</v>
      </c>
      <c r="P754" s="49"/>
      <c r="Q754" s="49"/>
      <c r="R754" s="49"/>
      <c r="S754" s="49"/>
      <c r="T754" s="49"/>
      <c r="U754" s="58"/>
      <c r="V754" s="49"/>
      <c r="W754" s="58"/>
      <c r="X754" s="49"/>
      <c r="Y754" s="47"/>
      <c r="Z754" s="175" t="str">
        <f ca="1">IFERROR(__xludf.DUMMYFUNCTION("QUERY('Volunteer Survey'!A753)"),"")</f>
        <v/>
      </c>
      <c r="AA754" s="175" t="str">
        <f ca="1">IFERROR(__xludf.DUMMYFUNCTION("QUERY('Volunteer Survey'!B753)"),"")</f>
        <v/>
      </c>
      <c r="AB754" s="175" t="str">
        <f ca="1">IFERROR(__xludf.DUMMYFUNCTION("QUERY('Volunteer Survey'!C753)"),"")</f>
        <v/>
      </c>
      <c r="AC754" s="175" t="str">
        <f ca="1">IFERROR(__xludf.DUMMYFUNCTION("QUERY('Volunteer Survey'!D753)"),"")</f>
        <v/>
      </c>
      <c r="AD754" s="175" t="str">
        <f ca="1">IFERROR(__xludf.DUMMYFUNCTION("QUERY('Volunteer Survey'!E753)"),"")</f>
        <v/>
      </c>
      <c r="AE754" s="175" t="str">
        <f ca="1">IFERROR(__xludf.DUMMYFUNCTION("QUERY('Volunteer Survey'!F753)"),"")</f>
        <v/>
      </c>
      <c r="AF754" s="175" t="str">
        <f ca="1">IFERROR(__xludf.DUMMYFUNCTION("QUERY('Volunteer Survey'!G753)"),"")</f>
        <v/>
      </c>
      <c r="AG754" s="175" t="str">
        <f ca="1">IFERROR(__xludf.DUMMYFUNCTION("QUERY('Volunteer Survey'!H753)"),"")</f>
        <v/>
      </c>
      <c r="AH754" s="175" t="str">
        <f ca="1">IFERROR(__xludf.DUMMYFUNCTION("QUERY('Volunteer Survey'!I753)"),"")</f>
        <v/>
      </c>
      <c r="AI754" s="175" t="str">
        <f ca="1">IFERROR(__xludf.DUMMYFUNCTION("QUERY('Volunteer Survey'!J753)"),"")</f>
        <v/>
      </c>
      <c r="AJ754" s="175" t="str">
        <f ca="1">IFERROR(__xludf.DUMMYFUNCTION("QUERY('Volunteer Survey'!K753)"),"")</f>
        <v/>
      </c>
      <c r="AK754" s="175" t="str">
        <f ca="1">IFERROR(__xludf.DUMMYFUNCTION("QUERY('Volunteer Survey'!L753)"),"")</f>
        <v/>
      </c>
      <c r="AL754" s="175" t="str">
        <f ca="1">IFERROR(__xludf.DUMMYFUNCTION("QUERY('Volunteer Survey'!M753)"),"")</f>
        <v/>
      </c>
      <c r="AM754" s="175" t="str">
        <f ca="1">IFERROR(__xludf.DUMMYFUNCTION("QUERY('Volunteer Survey'!N753)"),"")</f>
        <v/>
      </c>
      <c r="AN754" s="175" t="str">
        <f ca="1">IFERROR(__xludf.DUMMYFUNCTION("QUERY('Volunteer Survey'!O753)"),"")</f>
        <v/>
      </c>
      <c r="AO754" s="175" t="str">
        <f ca="1">IFERROR(__xludf.DUMMYFUNCTION("QUERY('Volunteer Survey'!P753)"),"")</f>
        <v/>
      </c>
    </row>
    <row r="755" spans="1:41" ht="14">
      <c r="A755" s="49"/>
      <c r="B755" s="49"/>
      <c r="C755" s="47"/>
      <c r="D755" s="49"/>
      <c r="E755" s="49"/>
      <c r="F755" s="49" t="b">
        <v>0</v>
      </c>
      <c r="G755" s="49"/>
      <c r="H755" s="47"/>
      <c r="I755" s="47"/>
      <c r="J755" s="49"/>
      <c r="K755" s="49"/>
      <c r="L755" s="49"/>
      <c r="M755" s="49"/>
      <c r="N755" s="49"/>
      <c r="O755" s="49" t="b">
        <v>0</v>
      </c>
      <c r="P755" s="49"/>
      <c r="Q755" s="49"/>
      <c r="R755" s="49"/>
      <c r="S755" s="49"/>
      <c r="T755" s="49"/>
      <c r="U755" s="58"/>
      <c r="V755" s="49"/>
      <c r="W755" s="58"/>
      <c r="X755" s="49"/>
      <c r="Y755" s="47"/>
      <c r="Z755" s="175" t="str">
        <f ca="1">IFERROR(__xludf.DUMMYFUNCTION("QUERY('Volunteer Survey'!A754)"),"")</f>
        <v/>
      </c>
      <c r="AA755" s="175" t="str">
        <f ca="1">IFERROR(__xludf.DUMMYFUNCTION("QUERY('Volunteer Survey'!B754)"),"")</f>
        <v/>
      </c>
      <c r="AB755" s="175" t="str">
        <f ca="1">IFERROR(__xludf.DUMMYFUNCTION("QUERY('Volunteer Survey'!C754)"),"")</f>
        <v/>
      </c>
      <c r="AC755" s="175" t="str">
        <f ca="1">IFERROR(__xludf.DUMMYFUNCTION("QUERY('Volunteer Survey'!D754)"),"")</f>
        <v/>
      </c>
      <c r="AD755" s="175" t="str">
        <f ca="1">IFERROR(__xludf.DUMMYFUNCTION("QUERY('Volunteer Survey'!E754)"),"")</f>
        <v/>
      </c>
      <c r="AE755" s="175" t="str">
        <f ca="1">IFERROR(__xludf.DUMMYFUNCTION("QUERY('Volunteer Survey'!F754)"),"")</f>
        <v/>
      </c>
      <c r="AF755" s="175" t="str">
        <f ca="1">IFERROR(__xludf.DUMMYFUNCTION("QUERY('Volunteer Survey'!G754)"),"")</f>
        <v/>
      </c>
      <c r="AG755" s="175" t="str">
        <f ca="1">IFERROR(__xludf.DUMMYFUNCTION("QUERY('Volunteer Survey'!H754)"),"")</f>
        <v/>
      </c>
      <c r="AH755" s="175" t="str">
        <f ca="1">IFERROR(__xludf.DUMMYFUNCTION("QUERY('Volunteer Survey'!I754)"),"")</f>
        <v/>
      </c>
      <c r="AI755" s="175" t="str">
        <f ca="1">IFERROR(__xludf.DUMMYFUNCTION("QUERY('Volunteer Survey'!J754)"),"")</f>
        <v/>
      </c>
      <c r="AJ755" s="175" t="str">
        <f ca="1">IFERROR(__xludf.DUMMYFUNCTION("QUERY('Volunteer Survey'!K754)"),"")</f>
        <v/>
      </c>
      <c r="AK755" s="175" t="str">
        <f ca="1">IFERROR(__xludf.DUMMYFUNCTION("QUERY('Volunteer Survey'!L754)"),"")</f>
        <v/>
      </c>
      <c r="AL755" s="175" t="str">
        <f ca="1">IFERROR(__xludf.DUMMYFUNCTION("QUERY('Volunteer Survey'!M754)"),"")</f>
        <v/>
      </c>
      <c r="AM755" s="175" t="str">
        <f ca="1">IFERROR(__xludf.DUMMYFUNCTION("QUERY('Volunteer Survey'!N754)"),"")</f>
        <v/>
      </c>
      <c r="AN755" s="175" t="str">
        <f ca="1">IFERROR(__xludf.DUMMYFUNCTION("QUERY('Volunteer Survey'!O754)"),"")</f>
        <v/>
      </c>
      <c r="AO755" s="175" t="str">
        <f ca="1">IFERROR(__xludf.DUMMYFUNCTION("QUERY('Volunteer Survey'!P754)"),"")</f>
        <v/>
      </c>
    </row>
    <row r="756" spans="1:41" ht="14">
      <c r="A756" s="49"/>
      <c r="B756" s="49"/>
      <c r="C756" s="47"/>
      <c r="D756" s="49"/>
      <c r="E756" s="49"/>
      <c r="F756" s="49" t="b">
        <v>0</v>
      </c>
      <c r="G756" s="49"/>
      <c r="H756" s="47"/>
      <c r="I756" s="47"/>
      <c r="J756" s="49"/>
      <c r="K756" s="49"/>
      <c r="L756" s="49"/>
      <c r="M756" s="49"/>
      <c r="N756" s="49"/>
      <c r="O756" s="49" t="b">
        <v>0</v>
      </c>
      <c r="P756" s="49"/>
      <c r="Q756" s="49"/>
      <c r="R756" s="49"/>
      <c r="S756" s="49"/>
      <c r="T756" s="49"/>
      <c r="U756" s="58"/>
      <c r="V756" s="49"/>
      <c r="W756" s="58"/>
      <c r="X756" s="49"/>
      <c r="Y756" s="47"/>
      <c r="Z756" s="175" t="str">
        <f ca="1">IFERROR(__xludf.DUMMYFUNCTION("QUERY('Volunteer Survey'!A755)"),"")</f>
        <v/>
      </c>
      <c r="AA756" s="175" t="str">
        <f ca="1">IFERROR(__xludf.DUMMYFUNCTION("QUERY('Volunteer Survey'!B755)"),"")</f>
        <v/>
      </c>
      <c r="AB756" s="175" t="str">
        <f ca="1">IFERROR(__xludf.DUMMYFUNCTION("QUERY('Volunteer Survey'!C755)"),"")</f>
        <v/>
      </c>
      <c r="AC756" s="175" t="str">
        <f ca="1">IFERROR(__xludf.DUMMYFUNCTION("QUERY('Volunteer Survey'!D755)"),"")</f>
        <v/>
      </c>
      <c r="AD756" s="175" t="str">
        <f ca="1">IFERROR(__xludf.DUMMYFUNCTION("QUERY('Volunteer Survey'!E755)"),"")</f>
        <v/>
      </c>
      <c r="AE756" s="175" t="str">
        <f ca="1">IFERROR(__xludf.DUMMYFUNCTION("QUERY('Volunteer Survey'!F755)"),"")</f>
        <v/>
      </c>
      <c r="AF756" s="175" t="str">
        <f ca="1">IFERROR(__xludf.DUMMYFUNCTION("QUERY('Volunteer Survey'!G755)"),"")</f>
        <v/>
      </c>
      <c r="AG756" s="175" t="str">
        <f ca="1">IFERROR(__xludf.DUMMYFUNCTION("QUERY('Volunteer Survey'!H755)"),"")</f>
        <v/>
      </c>
      <c r="AH756" s="175" t="str">
        <f ca="1">IFERROR(__xludf.DUMMYFUNCTION("QUERY('Volunteer Survey'!I755)"),"")</f>
        <v/>
      </c>
      <c r="AI756" s="175" t="str">
        <f ca="1">IFERROR(__xludf.DUMMYFUNCTION("QUERY('Volunteer Survey'!J755)"),"")</f>
        <v/>
      </c>
      <c r="AJ756" s="175" t="str">
        <f ca="1">IFERROR(__xludf.DUMMYFUNCTION("QUERY('Volunteer Survey'!K755)"),"")</f>
        <v/>
      </c>
      <c r="AK756" s="175" t="str">
        <f ca="1">IFERROR(__xludf.DUMMYFUNCTION("QUERY('Volunteer Survey'!L755)"),"")</f>
        <v/>
      </c>
      <c r="AL756" s="175" t="str">
        <f ca="1">IFERROR(__xludf.DUMMYFUNCTION("QUERY('Volunteer Survey'!M755)"),"")</f>
        <v/>
      </c>
      <c r="AM756" s="175" t="str">
        <f ca="1">IFERROR(__xludf.DUMMYFUNCTION("QUERY('Volunteer Survey'!N755)"),"")</f>
        <v/>
      </c>
      <c r="AN756" s="175" t="str">
        <f ca="1">IFERROR(__xludf.DUMMYFUNCTION("QUERY('Volunteer Survey'!O755)"),"")</f>
        <v/>
      </c>
      <c r="AO756" s="175" t="str">
        <f ca="1">IFERROR(__xludf.DUMMYFUNCTION("QUERY('Volunteer Survey'!P755)"),"")</f>
        <v/>
      </c>
    </row>
    <row r="757" spans="1:41" ht="14">
      <c r="A757" s="49"/>
      <c r="B757" s="49"/>
      <c r="C757" s="47"/>
      <c r="D757" s="49"/>
      <c r="E757" s="49"/>
      <c r="F757" s="49" t="b">
        <v>0</v>
      </c>
      <c r="G757" s="49"/>
      <c r="H757" s="47"/>
      <c r="I757" s="47"/>
      <c r="J757" s="49"/>
      <c r="K757" s="49"/>
      <c r="L757" s="49"/>
      <c r="M757" s="49"/>
      <c r="N757" s="49"/>
      <c r="O757" s="49" t="b">
        <v>0</v>
      </c>
      <c r="P757" s="49"/>
      <c r="Q757" s="49"/>
      <c r="R757" s="49"/>
      <c r="S757" s="49"/>
      <c r="T757" s="49"/>
      <c r="U757" s="58"/>
      <c r="V757" s="49"/>
      <c r="W757" s="58"/>
      <c r="X757" s="49"/>
      <c r="Y757" s="47"/>
      <c r="Z757" s="175" t="str">
        <f ca="1">IFERROR(__xludf.DUMMYFUNCTION("QUERY('Volunteer Survey'!A756)"),"")</f>
        <v/>
      </c>
      <c r="AA757" s="175" t="str">
        <f ca="1">IFERROR(__xludf.DUMMYFUNCTION("QUERY('Volunteer Survey'!B756)"),"")</f>
        <v/>
      </c>
      <c r="AB757" s="175" t="str">
        <f ca="1">IFERROR(__xludf.DUMMYFUNCTION("QUERY('Volunteer Survey'!C756)"),"")</f>
        <v/>
      </c>
      <c r="AC757" s="175" t="str">
        <f ca="1">IFERROR(__xludf.DUMMYFUNCTION("QUERY('Volunteer Survey'!D756)"),"")</f>
        <v/>
      </c>
      <c r="AD757" s="175" t="str">
        <f ca="1">IFERROR(__xludf.DUMMYFUNCTION("QUERY('Volunteer Survey'!E756)"),"")</f>
        <v/>
      </c>
      <c r="AE757" s="175" t="str">
        <f ca="1">IFERROR(__xludf.DUMMYFUNCTION("QUERY('Volunteer Survey'!F756)"),"")</f>
        <v/>
      </c>
      <c r="AF757" s="175" t="str">
        <f ca="1">IFERROR(__xludf.DUMMYFUNCTION("QUERY('Volunteer Survey'!G756)"),"")</f>
        <v/>
      </c>
      <c r="AG757" s="175" t="str">
        <f ca="1">IFERROR(__xludf.DUMMYFUNCTION("QUERY('Volunteer Survey'!H756)"),"")</f>
        <v/>
      </c>
      <c r="AH757" s="175" t="str">
        <f ca="1">IFERROR(__xludf.DUMMYFUNCTION("QUERY('Volunteer Survey'!I756)"),"")</f>
        <v/>
      </c>
      <c r="AI757" s="175" t="str">
        <f ca="1">IFERROR(__xludf.DUMMYFUNCTION("QUERY('Volunteer Survey'!J756)"),"")</f>
        <v/>
      </c>
      <c r="AJ757" s="175" t="str">
        <f ca="1">IFERROR(__xludf.DUMMYFUNCTION("QUERY('Volunteer Survey'!K756)"),"")</f>
        <v/>
      </c>
      <c r="AK757" s="175" t="str">
        <f ca="1">IFERROR(__xludf.DUMMYFUNCTION("QUERY('Volunteer Survey'!L756)"),"")</f>
        <v/>
      </c>
      <c r="AL757" s="175" t="str">
        <f ca="1">IFERROR(__xludf.DUMMYFUNCTION("QUERY('Volunteer Survey'!M756)"),"")</f>
        <v/>
      </c>
      <c r="AM757" s="175" t="str">
        <f ca="1">IFERROR(__xludf.DUMMYFUNCTION("QUERY('Volunteer Survey'!N756)"),"")</f>
        <v/>
      </c>
      <c r="AN757" s="175" t="str">
        <f ca="1">IFERROR(__xludf.DUMMYFUNCTION("QUERY('Volunteer Survey'!O756)"),"")</f>
        <v/>
      </c>
      <c r="AO757" s="175" t="str">
        <f ca="1">IFERROR(__xludf.DUMMYFUNCTION("QUERY('Volunteer Survey'!P756)"),"")</f>
        <v/>
      </c>
    </row>
    <row r="758" spans="1:41" ht="14">
      <c r="A758" s="49"/>
      <c r="B758" s="49"/>
      <c r="C758" s="47"/>
      <c r="D758" s="49"/>
      <c r="E758" s="49"/>
      <c r="F758" s="49" t="b">
        <v>0</v>
      </c>
      <c r="G758" s="49"/>
      <c r="H758" s="47"/>
      <c r="I758" s="47"/>
      <c r="J758" s="49"/>
      <c r="K758" s="49"/>
      <c r="L758" s="49"/>
      <c r="M758" s="49"/>
      <c r="N758" s="49"/>
      <c r="O758" s="49" t="b">
        <v>0</v>
      </c>
      <c r="P758" s="49"/>
      <c r="Q758" s="49"/>
      <c r="R758" s="49"/>
      <c r="S758" s="49"/>
      <c r="T758" s="49"/>
      <c r="U758" s="58"/>
      <c r="V758" s="49"/>
      <c r="W758" s="58"/>
      <c r="X758" s="49"/>
      <c r="Y758" s="47"/>
      <c r="Z758" s="175" t="str">
        <f ca="1">IFERROR(__xludf.DUMMYFUNCTION("QUERY('Volunteer Survey'!A757)"),"")</f>
        <v/>
      </c>
      <c r="AA758" s="175" t="str">
        <f ca="1">IFERROR(__xludf.DUMMYFUNCTION("QUERY('Volunteer Survey'!B757)"),"")</f>
        <v/>
      </c>
      <c r="AB758" s="175" t="str">
        <f ca="1">IFERROR(__xludf.DUMMYFUNCTION("QUERY('Volunteer Survey'!C757)"),"")</f>
        <v/>
      </c>
      <c r="AC758" s="175" t="str">
        <f ca="1">IFERROR(__xludf.DUMMYFUNCTION("QUERY('Volunteer Survey'!D757)"),"")</f>
        <v/>
      </c>
      <c r="AD758" s="175" t="str">
        <f ca="1">IFERROR(__xludf.DUMMYFUNCTION("QUERY('Volunteer Survey'!E757)"),"")</f>
        <v/>
      </c>
      <c r="AE758" s="175" t="str">
        <f ca="1">IFERROR(__xludf.DUMMYFUNCTION("QUERY('Volunteer Survey'!F757)"),"")</f>
        <v/>
      </c>
      <c r="AF758" s="175" t="str">
        <f ca="1">IFERROR(__xludf.DUMMYFUNCTION("QUERY('Volunteer Survey'!G757)"),"")</f>
        <v/>
      </c>
      <c r="AG758" s="175" t="str">
        <f ca="1">IFERROR(__xludf.DUMMYFUNCTION("QUERY('Volunteer Survey'!H757)"),"")</f>
        <v/>
      </c>
      <c r="AH758" s="175" t="str">
        <f ca="1">IFERROR(__xludf.DUMMYFUNCTION("QUERY('Volunteer Survey'!I757)"),"")</f>
        <v/>
      </c>
      <c r="AI758" s="175" t="str">
        <f ca="1">IFERROR(__xludf.DUMMYFUNCTION("QUERY('Volunteer Survey'!J757)"),"")</f>
        <v/>
      </c>
      <c r="AJ758" s="175" t="str">
        <f ca="1">IFERROR(__xludf.DUMMYFUNCTION("QUERY('Volunteer Survey'!K757)"),"")</f>
        <v/>
      </c>
      <c r="AK758" s="175" t="str">
        <f ca="1">IFERROR(__xludf.DUMMYFUNCTION("QUERY('Volunteer Survey'!L757)"),"")</f>
        <v/>
      </c>
      <c r="AL758" s="175" t="str">
        <f ca="1">IFERROR(__xludf.DUMMYFUNCTION("QUERY('Volunteer Survey'!M757)"),"")</f>
        <v/>
      </c>
      <c r="AM758" s="175" t="str">
        <f ca="1">IFERROR(__xludf.DUMMYFUNCTION("QUERY('Volunteer Survey'!N757)"),"")</f>
        <v/>
      </c>
      <c r="AN758" s="175" t="str">
        <f ca="1">IFERROR(__xludf.DUMMYFUNCTION("QUERY('Volunteer Survey'!O757)"),"")</f>
        <v/>
      </c>
      <c r="AO758" s="175" t="str">
        <f ca="1">IFERROR(__xludf.DUMMYFUNCTION("QUERY('Volunteer Survey'!P757)"),"")</f>
        <v/>
      </c>
    </row>
    <row r="759" spans="1:41" ht="14">
      <c r="A759" s="49"/>
      <c r="B759" s="49"/>
      <c r="C759" s="47"/>
      <c r="D759" s="49"/>
      <c r="E759" s="49"/>
      <c r="F759" s="49" t="b">
        <v>0</v>
      </c>
      <c r="G759" s="49"/>
      <c r="H759" s="47"/>
      <c r="I759" s="47"/>
      <c r="J759" s="49"/>
      <c r="K759" s="49"/>
      <c r="L759" s="49"/>
      <c r="M759" s="49"/>
      <c r="N759" s="49"/>
      <c r="O759" s="49" t="b">
        <v>0</v>
      </c>
      <c r="P759" s="49"/>
      <c r="Q759" s="49"/>
      <c r="R759" s="49"/>
      <c r="S759" s="49"/>
      <c r="T759" s="49"/>
      <c r="U759" s="58"/>
      <c r="V759" s="49"/>
      <c r="W759" s="58"/>
      <c r="X759" s="49"/>
      <c r="Y759" s="47"/>
      <c r="Z759" s="175" t="str">
        <f ca="1">IFERROR(__xludf.DUMMYFUNCTION("QUERY('Volunteer Survey'!A758)"),"")</f>
        <v/>
      </c>
      <c r="AA759" s="175" t="str">
        <f ca="1">IFERROR(__xludf.DUMMYFUNCTION("QUERY('Volunteer Survey'!B758)"),"")</f>
        <v/>
      </c>
      <c r="AB759" s="175" t="str">
        <f ca="1">IFERROR(__xludf.DUMMYFUNCTION("QUERY('Volunteer Survey'!C758)"),"")</f>
        <v/>
      </c>
      <c r="AC759" s="175" t="str">
        <f ca="1">IFERROR(__xludf.DUMMYFUNCTION("QUERY('Volunteer Survey'!D758)"),"")</f>
        <v/>
      </c>
      <c r="AD759" s="175" t="str">
        <f ca="1">IFERROR(__xludf.DUMMYFUNCTION("QUERY('Volunteer Survey'!E758)"),"")</f>
        <v/>
      </c>
      <c r="AE759" s="175" t="str">
        <f ca="1">IFERROR(__xludf.DUMMYFUNCTION("QUERY('Volunteer Survey'!F758)"),"")</f>
        <v/>
      </c>
      <c r="AF759" s="175" t="str">
        <f ca="1">IFERROR(__xludf.DUMMYFUNCTION("QUERY('Volunteer Survey'!G758)"),"")</f>
        <v/>
      </c>
      <c r="AG759" s="175" t="str">
        <f ca="1">IFERROR(__xludf.DUMMYFUNCTION("QUERY('Volunteer Survey'!H758)"),"")</f>
        <v/>
      </c>
      <c r="AH759" s="175" t="str">
        <f ca="1">IFERROR(__xludf.DUMMYFUNCTION("QUERY('Volunteer Survey'!I758)"),"")</f>
        <v/>
      </c>
      <c r="AI759" s="175" t="str">
        <f ca="1">IFERROR(__xludf.DUMMYFUNCTION("QUERY('Volunteer Survey'!J758)"),"")</f>
        <v/>
      </c>
      <c r="AJ759" s="175" t="str">
        <f ca="1">IFERROR(__xludf.DUMMYFUNCTION("QUERY('Volunteer Survey'!K758)"),"")</f>
        <v/>
      </c>
      <c r="AK759" s="175" t="str">
        <f ca="1">IFERROR(__xludf.DUMMYFUNCTION("QUERY('Volunteer Survey'!L758)"),"")</f>
        <v/>
      </c>
      <c r="AL759" s="175" t="str">
        <f ca="1">IFERROR(__xludf.DUMMYFUNCTION("QUERY('Volunteer Survey'!M758)"),"")</f>
        <v/>
      </c>
      <c r="AM759" s="175" t="str">
        <f ca="1">IFERROR(__xludf.DUMMYFUNCTION("QUERY('Volunteer Survey'!N758)"),"")</f>
        <v/>
      </c>
      <c r="AN759" s="175" t="str">
        <f ca="1">IFERROR(__xludf.DUMMYFUNCTION("QUERY('Volunteer Survey'!O758)"),"")</f>
        <v/>
      </c>
      <c r="AO759" s="175" t="str">
        <f ca="1">IFERROR(__xludf.DUMMYFUNCTION("QUERY('Volunteer Survey'!P758)"),"")</f>
        <v/>
      </c>
    </row>
    <row r="760" spans="1:41" ht="14">
      <c r="A760" s="49"/>
      <c r="B760" s="49"/>
      <c r="C760" s="47"/>
      <c r="D760" s="49"/>
      <c r="E760" s="49"/>
      <c r="F760" s="49" t="b">
        <v>0</v>
      </c>
      <c r="G760" s="49"/>
      <c r="H760" s="47"/>
      <c r="I760" s="47"/>
      <c r="J760" s="49"/>
      <c r="K760" s="49"/>
      <c r="L760" s="49"/>
      <c r="M760" s="49"/>
      <c r="N760" s="49"/>
      <c r="O760" s="49" t="b">
        <v>0</v>
      </c>
      <c r="P760" s="49"/>
      <c r="Q760" s="49"/>
      <c r="R760" s="49"/>
      <c r="S760" s="49"/>
      <c r="T760" s="49"/>
      <c r="U760" s="58"/>
      <c r="V760" s="49"/>
      <c r="W760" s="58"/>
      <c r="X760" s="49"/>
      <c r="Y760" s="47"/>
      <c r="Z760" s="175" t="str">
        <f ca="1">IFERROR(__xludf.DUMMYFUNCTION("QUERY('Volunteer Survey'!A759)"),"")</f>
        <v/>
      </c>
      <c r="AA760" s="175" t="str">
        <f ca="1">IFERROR(__xludf.DUMMYFUNCTION("QUERY('Volunteer Survey'!B759)"),"")</f>
        <v/>
      </c>
      <c r="AB760" s="175" t="str">
        <f ca="1">IFERROR(__xludf.DUMMYFUNCTION("QUERY('Volunteer Survey'!C759)"),"")</f>
        <v/>
      </c>
      <c r="AC760" s="175" t="str">
        <f ca="1">IFERROR(__xludf.DUMMYFUNCTION("QUERY('Volunteer Survey'!D759)"),"")</f>
        <v/>
      </c>
      <c r="AD760" s="175" t="str">
        <f ca="1">IFERROR(__xludf.DUMMYFUNCTION("QUERY('Volunteer Survey'!E759)"),"")</f>
        <v/>
      </c>
      <c r="AE760" s="175" t="str">
        <f ca="1">IFERROR(__xludf.DUMMYFUNCTION("QUERY('Volunteer Survey'!F759)"),"")</f>
        <v/>
      </c>
      <c r="AF760" s="175" t="str">
        <f ca="1">IFERROR(__xludf.DUMMYFUNCTION("QUERY('Volunteer Survey'!G759)"),"")</f>
        <v/>
      </c>
      <c r="AG760" s="175" t="str">
        <f ca="1">IFERROR(__xludf.DUMMYFUNCTION("QUERY('Volunteer Survey'!H759)"),"")</f>
        <v/>
      </c>
      <c r="AH760" s="175" t="str">
        <f ca="1">IFERROR(__xludf.DUMMYFUNCTION("QUERY('Volunteer Survey'!I759)"),"")</f>
        <v/>
      </c>
      <c r="AI760" s="175" t="str">
        <f ca="1">IFERROR(__xludf.DUMMYFUNCTION("QUERY('Volunteer Survey'!J759)"),"")</f>
        <v/>
      </c>
      <c r="AJ760" s="175" t="str">
        <f ca="1">IFERROR(__xludf.DUMMYFUNCTION("QUERY('Volunteer Survey'!K759)"),"")</f>
        <v/>
      </c>
      <c r="AK760" s="175" t="str">
        <f ca="1">IFERROR(__xludf.DUMMYFUNCTION("QUERY('Volunteer Survey'!L759)"),"")</f>
        <v/>
      </c>
      <c r="AL760" s="175" t="str">
        <f ca="1">IFERROR(__xludf.DUMMYFUNCTION("QUERY('Volunteer Survey'!M759)"),"")</f>
        <v/>
      </c>
      <c r="AM760" s="175" t="str">
        <f ca="1">IFERROR(__xludf.DUMMYFUNCTION("QUERY('Volunteer Survey'!N759)"),"")</f>
        <v/>
      </c>
      <c r="AN760" s="175" t="str">
        <f ca="1">IFERROR(__xludf.DUMMYFUNCTION("QUERY('Volunteer Survey'!O759)"),"")</f>
        <v/>
      </c>
      <c r="AO760" s="175" t="str">
        <f ca="1">IFERROR(__xludf.DUMMYFUNCTION("QUERY('Volunteer Survey'!P759)"),"")</f>
        <v/>
      </c>
    </row>
    <row r="761" spans="1:41" ht="14">
      <c r="A761" s="49"/>
      <c r="B761" s="49"/>
      <c r="C761" s="47"/>
      <c r="D761" s="49"/>
      <c r="E761" s="49"/>
      <c r="F761" s="49" t="b">
        <v>0</v>
      </c>
      <c r="G761" s="49"/>
      <c r="H761" s="47"/>
      <c r="I761" s="47"/>
      <c r="J761" s="49"/>
      <c r="K761" s="49"/>
      <c r="L761" s="49"/>
      <c r="M761" s="49"/>
      <c r="N761" s="49"/>
      <c r="O761" s="49" t="b">
        <v>0</v>
      </c>
      <c r="P761" s="49"/>
      <c r="Q761" s="49"/>
      <c r="R761" s="49"/>
      <c r="S761" s="49"/>
      <c r="T761" s="49"/>
      <c r="U761" s="58"/>
      <c r="V761" s="49"/>
      <c r="W761" s="58"/>
      <c r="X761" s="49"/>
      <c r="Y761" s="47"/>
      <c r="Z761" s="175" t="str">
        <f ca="1">IFERROR(__xludf.DUMMYFUNCTION("QUERY('Volunteer Survey'!A760)"),"")</f>
        <v/>
      </c>
      <c r="AA761" s="175" t="str">
        <f ca="1">IFERROR(__xludf.DUMMYFUNCTION("QUERY('Volunteer Survey'!B760)"),"")</f>
        <v/>
      </c>
      <c r="AB761" s="175" t="str">
        <f ca="1">IFERROR(__xludf.DUMMYFUNCTION("QUERY('Volunteer Survey'!C760)"),"")</f>
        <v/>
      </c>
      <c r="AC761" s="175" t="str">
        <f ca="1">IFERROR(__xludf.DUMMYFUNCTION("QUERY('Volunteer Survey'!D760)"),"")</f>
        <v/>
      </c>
      <c r="AD761" s="175" t="str">
        <f ca="1">IFERROR(__xludf.DUMMYFUNCTION("QUERY('Volunteer Survey'!E760)"),"")</f>
        <v/>
      </c>
      <c r="AE761" s="175" t="str">
        <f ca="1">IFERROR(__xludf.DUMMYFUNCTION("QUERY('Volunteer Survey'!F760)"),"")</f>
        <v/>
      </c>
      <c r="AF761" s="175" t="str">
        <f ca="1">IFERROR(__xludf.DUMMYFUNCTION("QUERY('Volunteer Survey'!G760)"),"")</f>
        <v/>
      </c>
      <c r="AG761" s="175" t="str">
        <f ca="1">IFERROR(__xludf.DUMMYFUNCTION("QUERY('Volunteer Survey'!H760)"),"")</f>
        <v/>
      </c>
      <c r="AH761" s="175" t="str">
        <f ca="1">IFERROR(__xludf.DUMMYFUNCTION("QUERY('Volunteer Survey'!I760)"),"")</f>
        <v/>
      </c>
      <c r="AI761" s="175" t="str">
        <f ca="1">IFERROR(__xludf.DUMMYFUNCTION("QUERY('Volunteer Survey'!J760)"),"")</f>
        <v/>
      </c>
      <c r="AJ761" s="175" t="str">
        <f ca="1">IFERROR(__xludf.DUMMYFUNCTION("QUERY('Volunteer Survey'!K760)"),"")</f>
        <v/>
      </c>
      <c r="AK761" s="175" t="str">
        <f ca="1">IFERROR(__xludf.DUMMYFUNCTION("QUERY('Volunteer Survey'!L760)"),"")</f>
        <v/>
      </c>
      <c r="AL761" s="175" t="str">
        <f ca="1">IFERROR(__xludf.DUMMYFUNCTION("QUERY('Volunteer Survey'!M760)"),"")</f>
        <v/>
      </c>
      <c r="AM761" s="175" t="str">
        <f ca="1">IFERROR(__xludf.DUMMYFUNCTION("QUERY('Volunteer Survey'!N760)"),"")</f>
        <v/>
      </c>
      <c r="AN761" s="175" t="str">
        <f ca="1">IFERROR(__xludf.DUMMYFUNCTION("QUERY('Volunteer Survey'!O760)"),"")</f>
        <v/>
      </c>
      <c r="AO761" s="175" t="str">
        <f ca="1">IFERROR(__xludf.DUMMYFUNCTION("QUERY('Volunteer Survey'!P760)"),"")</f>
        <v/>
      </c>
    </row>
    <row r="762" spans="1:41" ht="14">
      <c r="A762" s="49"/>
      <c r="B762" s="49"/>
      <c r="C762" s="47"/>
      <c r="D762" s="49"/>
      <c r="E762" s="49"/>
      <c r="F762" s="49" t="b">
        <v>0</v>
      </c>
      <c r="G762" s="49"/>
      <c r="H762" s="47"/>
      <c r="I762" s="47"/>
      <c r="J762" s="49"/>
      <c r="K762" s="49"/>
      <c r="L762" s="49"/>
      <c r="M762" s="49"/>
      <c r="N762" s="49"/>
      <c r="O762" s="49" t="b">
        <v>0</v>
      </c>
      <c r="P762" s="49"/>
      <c r="Q762" s="49"/>
      <c r="R762" s="49"/>
      <c r="S762" s="49"/>
      <c r="T762" s="49"/>
      <c r="U762" s="58"/>
      <c r="V762" s="49"/>
      <c r="W762" s="58"/>
      <c r="X762" s="49"/>
      <c r="Y762" s="47"/>
      <c r="Z762" s="175" t="str">
        <f ca="1">IFERROR(__xludf.DUMMYFUNCTION("QUERY('Volunteer Survey'!A761)"),"")</f>
        <v/>
      </c>
      <c r="AA762" s="175" t="str">
        <f ca="1">IFERROR(__xludf.DUMMYFUNCTION("QUERY('Volunteer Survey'!B761)"),"")</f>
        <v/>
      </c>
      <c r="AB762" s="175" t="str">
        <f ca="1">IFERROR(__xludf.DUMMYFUNCTION("QUERY('Volunteer Survey'!C761)"),"")</f>
        <v/>
      </c>
      <c r="AC762" s="175" t="str">
        <f ca="1">IFERROR(__xludf.DUMMYFUNCTION("QUERY('Volunteer Survey'!D761)"),"")</f>
        <v/>
      </c>
      <c r="AD762" s="175" t="str">
        <f ca="1">IFERROR(__xludf.DUMMYFUNCTION("QUERY('Volunteer Survey'!E761)"),"")</f>
        <v/>
      </c>
      <c r="AE762" s="175" t="str">
        <f ca="1">IFERROR(__xludf.DUMMYFUNCTION("QUERY('Volunteer Survey'!F761)"),"")</f>
        <v/>
      </c>
      <c r="AF762" s="175" t="str">
        <f ca="1">IFERROR(__xludf.DUMMYFUNCTION("QUERY('Volunteer Survey'!G761)"),"")</f>
        <v/>
      </c>
      <c r="AG762" s="175" t="str">
        <f ca="1">IFERROR(__xludf.DUMMYFUNCTION("QUERY('Volunteer Survey'!H761)"),"")</f>
        <v/>
      </c>
      <c r="AH762" s="175" t="str">
        <f ca="1">IFERROR(__xludf.DUMMYFUNCTION("QUERY('Volunteer Survey'!I761)"),"")</f>
        <v/>
      </c>
      <c r="AI762" s="175" t="str">
        <f ca="1">IFERROR(__xludf.DUMMYFUNCTION("QUERY('Volunteer Survey'!J761)"),"")</f>
        <v/>
      </c>
      <c r="AJ762" s="175" t="str">
        <f ca="1">IFERROR(__xludf.DUMMYFUNCTION("QUERY('Volunteer Survey'!K761)"),"")</f>
        <v/>
      </c>
      <c r="AK762" s="175" t="str">
        <f ca="1">IFERROR(__xludf.DUMMYFUNCTION("QUERY('Volunteer Survey'!L761)"),"")</f>
        <v/>
      </c>
      <c r="AL762" s="175" t="str">
        <f ca="1">IFERROR(__xludf.DUMMYFUNCTION("QUERY('Volunteer Survey'!M761)"),"")</f>
        <v/>
      </c>
      <c r="AM762" s="175" t="str">
        <f ca="1">IFERROR(__xludf.DUMMYFUNCTION("QUERY('Volunteer Survey'!N761)"),"")</f>
        <v/>
      </c>
      <c r="AN762" s="175" t="str">
        <f ca="1">IFERROR(__xludf.DUMMYFUNCTION("QUERY('Volunteer Survey'!O761)"),"")</f>
        <v/>
      </c>
      <c r="AO762" s="175" t="str">
        <f ca="1">IFERROR(__xludf.DUMMYFUNCTION("QUERY('Volunteer Survey'!P761)"),"")</f>
        <v/>
      </c>
    </row>
    <row r="763" spans="1:41" ht="14">
      <c r="A763" s="49"/>
      <c r="B763" s="49"/>
      <c r="C763" s="47"/>
      <c r="D763" s="49"/>
      <c r="E763" s="49"/>
      <c r="F763" s="49" t="b">
        <v>0</v>
      </c>
      <c r="G763" s="49"/>
      <c r="H763" s="47"/>
      <c r="I763" s="47"/>
      <c r="J763" s="49"/>
      <c r="K763" s="49"/>
      <c r="L763" s="49"/>
      <c r="M763" s="49"/>
      <c r="N763" s="49"/>
      <c r="O763" s="49" t="b">
        <v>0</v>
      </c>
      <c r="P763" s="49"/>
      <c r="Q763" s="49"/>
      <c r="R763" s="49"/>
      <c r="S763" s="49"/>
      <c r="T763" s="49"/>
      <c r="U763" s="58"/>
      <c r="V763" s="49"/>
      <c r="W763" s="58"/>
      <c r="X763" s="49"/>
      <c r="Y763" s="47"/>
      <c r="Z763" s="175" t="str">
        <f ca="1">IFERROR(__xludf.DUMMYFUNCTION("QUERY('Volunteer Survey'!A762)"),"")</f>
        <v/>
      </c>
      <c r="AA763" s="175" t="str">
        <f ca="1">IFERROR(__xludf.DUMMYFUNCTION("QUERY('Volunteer Survey'!B762)"),"")</f>
        <v/>
      </c>
      <c r="AB763" s="175" t="str">
        <f ca="1">IFERROR(__xludf.DUMMYFUNCTION("QUERY('Volunteer Survey'!C762)"),"")</f>
        <v/>
      </c>
      <c r="AC763" s="175" t="str">
        <f ca="1">IFERROR(__xludf.DUMMYFUNCTION("QUERY('Volunteer Survey'!D762)"),"")</f>
        <v/>
      </c>
      <c r="AD763" s="175" t="str">
        <f ca="1">IFERROR(__xludf.DUMMYFUNCTION("QUERY('Volunteer Survey'!E762)"),"")</f>
        <v/>
      </c>
      <c r="AE763" s="175" t="str">
        <f ca="1">IFERROR(__xludf.DUMMYFUNCTION("QUERY('Volunteer Survey'!F762)"),"")</f>
        <v/>
      </c>
      <c r="AF763" s="175" t="str">
        <f ca="1">IFERROR(__xludf.DUMMYFUNCTION("QUERY('Volunteer Survey'!G762)"),"")</f>
        <v/>
      </c>
      <c r="AG763" s="175" t="str">
        <f ca="1">IFERROR(__xludf.DUMMYFUNCTION("QUERY('Volunteer Survey'!H762)"),"")</f>
        <v/>
      </c>
      <c r="AH763" s="175" t="str">
        <f ca="1">IFERROR(__xludf.DUMMYFUNCTION("QUERY('Volunteer Survey'!I762)"),"")</f>
        <v/>
      </c>
      <c r="AI763" s="175" t="str">
        <f ca="1">IFERROR(__xludf.DUMMYFUNCTION("QUERY('Volunteer Survey'!J762)"),"")</f>
        <v/>
      </c>
      <c r="AJ763" s="175" t="str">
        <f ca="1">IFERROR(__xludf.DUMMYFUNCTION("QUERY('Volunteer Survey'!K762)"),"")</f>
        <v/>
      </c>
      <c r="AK763" s="175" t="str">
        <f ca="1">IFERROR(__xludf.DUMMYFUNCTION("QUERY('Volunteer Survey'!L762)"),"")</f>
        <v/>
      </c>
      <c r="AL763" s="175" t="str">
        <f ca="1">IFERROR(__xludf.DUMMYFUNCTION("QUERY('Volunteer Survey'!M762)"),"")</f>
        <v/>
      </c>
      <c r="AM763" s="175" t="str">
        <f ca="1">IFERROR(__xludf.DUMMYFUNCTION("QUERY('Volunteer Survey'!N762)"),"")</f>
        <v/>
      </c>
      <c r="AN763" s="175" t="str">
        <f ca="1">IFERROR(__xludf.DUMMYFUNCTION("QUERY('Volunteer Survey'!O762)"),"")</f>
        <v/>
      </c>
      <c r="AO763" s="175" t="str">
        <f ca="1">IFERROR(__xludf.DUMMYFUNCTION("QUERY('Volunteer Survey'!P762)"),"")</f>
        <v/>
      </c>
    </row>
    <row r="764" spans="1:41" ht="14">
      <c r="A764" s="49"/>
      <c r="B764" s="49"/>
      <c r="C764" s="47"/>
      <c r="D764" s="49"/>
      <c r="E764" s="49"/>
      <c r="F764" s="49" t="b">
        <v>0</v>
      </c>
      <c r="G764" s="49"/>
      <c r="H764" s="47"/>
      <c r="I764" s="47"/>
      <c r="J764" s="49"/>
      <c r="K764" s="49"/>
      <c r="L764" s="49"/>
      <c r="M764" s="49"/>
      <c r="N764" s="49"/>
      <c r="O764" s="49" t="b">
        <v>0</v>
      </c>
      <c r="P764" s="49"/>
      <c r="Q764" s="49"/>
      <c r="R764" s="49"/>
      <c r="S764" s="49"/>
      <c r="T764" s="49"/>
      <c r="U764" s="58"/>
      <c r="V764" s="49"/>
      <c r="W764" s="58"/>
      <c r="X764" s="49"/>
      <c r="Y764" s="47"/>
      <c r="Z764" s="175" t="str">
        <f ca="1">IFERROR(__xludf.DUMMYFUNCTION("QUERY('Volunteer Survey'!A763)"),"")</f>
        <v/>
      </c>
      <c r="AA764" s="175" t="str">
        <f ca="1">IFERROR(__xludf.DUMMYFUNCTION("QUERY('Volunteer Survey'!B763)"),"")</f>
        <v/>
      </c>
      <c r="AB764" s="175" t="str">
        <f ca="1">IFERROR(__xludf.DUMMYFUNCTION("QUERY('Volunteer Survey'!C763)"),"")</f>
        <v/>
      </c>
      <c r="AC764" s="175" t="str">
        <f ca="1">IFERROR(__xludf.DUMMYFUNCTION("QUERY('Volunteer Survey'!D763)"),"")</f>
        <v/>
      </c>
      <c r="AD764" s="175" t="str">
        <f ca="1">IFERROR(__xludf.DUMMYFUNCTION("QUERY('Volunteer Survey'!E763)"),"")</f>
        <v/>
      </c>
      <c r="AE764" s="175" t="str">
        <f ca="1">IFERROR(__xludf.DUMMYFUNCTION("QUERY('Volunteer Survey'!F763)"),"")</f>
        <v/>
      </c>
      <c r="AF764" s="175" t="str">
        <f ca="1">IFERROR(__xludf.DUMMYFUNCTION("QUERY('Volunteer Survey'!G763)"),"")</f>
        <v/>
      </c>
      <c r="AG764" s="175" t="str">
        <f ca="1">IFERROR(__xludf.DUMMYFUNCTION("QUERY('Volunteer Survey'!H763)"),"")</f>
        <v/>
      </c>
      <c r="AH764" s="175" t="str">
        <f ca="1">IFERROR(__xludf.DUMMYFUNCTION("QUERY('Volunteer Survey'!I763)"),"")</f>
        <v/>
      </c>
      <c r="AI764" s="175" t="str">
        <f ca="1">IFERROR(__xludf.DUMMYFUNCTION("QUERY('Volunteer Survey'!J763)"),"")</f>
        <v/>
      </c>
      <c r="AJ764" s="175" t="str">
        <f ca="1">IFERROR(__xludf.DUMMYFUNCTION("QUERY('Volunteer Survey'!K763)"),"")</f>
        <v/>
      </c>
      <c r="AK764" s="175" t="str">
        <f ca="1">IFERROR(__xludf.DUMMYFUNCTION("QUERY('Volunteer Survey'!L763)"),"")</f>
        <v/>
      </c>
      <c r="AL764" s="175" t="str">
        <f ca="1">IFERROR(__xludf.DUMMYFUNCTION("QUERY('Volunteer Survey'!M763)"),"")</f>
        <v/>
      </c>
      <c r="AM764" s="175" t="str">
        <f ca="1">IFERROR(__xludf.DUMMYFUNCTION("QUERY('Volunteer Survey'!N763)"),"")</f>
        <v/>
      </c>
      <c r="AN764" s="175" t="str">
        <f ca="1">IFERROR(__xludf.DUMMYFUNCTION("QUERY('Volunteer Survey'!O763)"),"")</f>
        <v/>
      </c>
      <c r="AO764" s="175" t="str">
        <f ca="1">IFERROR(__xludf.DUMMYFUNCTION("QUERY('Volunteer Survey'!P763)"),"")</f>
        <v/>
      </c>
    </row>
    <row r="765" spans="1:41" ht="14">
      <c r="A765" s="49"/>
      <c r="B765" s="49"/>
      <c r="C765" s="47"/>
      <c r="D765" s="49"/>
      <c r="E765" s="49"/>
      <c r="F765" s="49" t="b">
        <v>0</v>
      </c>
      <c r="G765" s="49"/>
      <c r="H765" s="47"/>
      <c r="I765" s="47"/>
      <c r="J765" s="49"/>
      <c r="K765" s="49"/>
      <c r="L765" s="49"/>
      <c r="M765" s="49"/>
      <c r="N765" s="49"/>
      <c r="O765" s="49" t="b">
        <v>0</v>
      </c>
      <c r="P765" s="49"/>
      <c r="Q765" s="49"/>
      <c r="R765" s="49"/>
      <c r="S765" s="49"/>
      <c r="T765" s="49"/>
      <c r="U765" s="58"/>
      <c r="V765" s="49"/>
      <c r="W765" s="58"/>
      <c r="X765" s="49"/>
      <c r="Y765" s="47"/>
      <c r="Z765" s="175" t="str">
        <f ca="1">IFERROR(__xludf.DUMMYFUNCTION("QUERY('Volunteer Survey'!A764)"),"")</f>
        <v/>
      </c>
      <c r="AA765" s="175" t="str">
        <f ca="1">IFERROR(__xludf.DUMMYFUNCTION("QUERY('Volunteer Survey'!B764)"),"")</f>
        <v/>
      </c>
      <c r="AB765" s="175" t="str">
        <f ca="1">IFERROR(__xludf.DUMMYFUNCTION("QUERY('Volunteer Survey'!C764)"),"")</f>
        <v/>
      </c>
      <c r="AC765" s="175" t="str">
        <f ca="1">IFERROR(__xludf.DUMMYFUNCTION("QUERY('Volunteer Survey'!D764)"),"")</f>
        <v/>
      </c>
      <c r="AD765" s="175" t="str">
        <f ca="1">IFERROR(__xludf.DUMMYFUNCTION("QUERY('Volunteer Survey'!E764)"),"")</f>
        <v/>
      </c>
      <c r="AE765" s="175" t="str">
        <f ca="1">IFERROR(__xludf.DUMMYFUNCTION("QUERY('Volunteer Survey'!F764)"),"")</f>
        <v/>
      </c>
      <c r="AF765" s="175" t="str">
        <f ca="1">IFERROR(__xludf.DUMMYFUNCTION("QUERY('Volunteer Survey'!G764)"),"")</f>
        <v/>
      </c>
      <c r="AG765" s="175" t="str">
        <f ca="1">IFERROR(__xludf.DUMMYFUNCTION("QUERY('Volunteer Survey'!H764)"),"")</f>
        <v/>
      </c>
      <c r="AH765" s="175" t="str">
        <f ca="1">IFERROR(__xludf.DUMMYFUNCTION("QUERY('Volunteer Survey'!I764)"),"")</f>
        <v/>
      </c>
      <c r="AI765" s="175" t="str">
        <f ca="1">IFERROR(__xludf.DUMMYFUNCTION("QUERY('Volunteer Survey'!J764)"),"")</f>
        <v/>
      </c>
      <c r="AJ765" s="175" t="str">
        <f ca="1">IFERROR(__xludf.DUMMYFUNCTION("QUERY('Volunteer Survey'!K764)"),"")</f>
        <v/>
      </c>
      <c r="AK765" s="175" t="str">
        <f ca="1">IFERROR(__xludf.DUMMYFUNCTION("QUERY('Volunteer Survey'!L764)"),"")</f>
        <v/>
      </c>
      <c r="AL765" s="175" t="str">
        <f ca="1">IFERROR(__xludf.DUMMYFUNCTION("QUERY('Volunteer Survey'!M764)"),"")</f>
        <v/>
      </c>
      <c r="AM765" s="175" t="str">
        <f ca="1">IFERROR(__xludf.DUMMYFUNCTION("QUERY('Volunteer Survey'!N764)"),"")</f>
        <v/>
      </c>
      <c r="AN765" s="175" t="str">
        <f ca="1">IFERROR(__xludf.DUMMYFUNCTION("QUERY('Volunteer Survey'!O764)"),"")</f>
        <v/>
      </c>
      <c r="AO765" s="175" t="str">
        <f ca="1">IFERROR(__xludf.DUMMYFUNCTION("QUERY('Volunteer Survey'!P764)"),"")</f>
        <v/>
      </c>
    </row>
    <row r="766" spans="1:41" ht="14">
      <c r="A766" s="49"/>
      <c r="B766" s="49"/>
      <c r="C766" s="47"/>
      <c r="D766" s="49"/>
      <c r="E766" s="49"/>
      <c r="F766" s="49" t="b">
        <v>0</v>
      </c>
      <c r="G766" s="49"/>
      <c r="H766" s="47"/>
      <c r="I766" s="47"/>
      <c r="J766" s="49"/>
      <c r="K766" s="49"/>
      <c r="L766" s="49"/>
      <c r="M766" s="49"/>
      <c r="N766" s="49"/>
      <c r="O766" s="49" t="b">
        <v>0</v>
      </c>
      <c r="P766" s="49"/>
      <c r="Q766" s="49"/>
      <c r="R766" s="49"/>
      <c r="S766" s="49"/>
      <c r="T766" s="49"/>
      <c r="U766" s="58"/>
      <c r="V766" s="49"/>
      <c r="W766" s="58"/>
      <c r="X766" s="49"/>
      <c r="Y766" s="47"/>
      <c r="Z766" s="175" t="str">
        <f ca="1">IFERROR(__xludf.DUMMYFUNCTION("QUERY('Volunteer Survey'!A765)"),"")</f>
        <v/>
      </c>
      <c r="AA766" s="175" t="str">
        <f ca="1">IFERROR(__xludf.DUMMYFUNCTION("QUERY('Volunteer Survey'!B765)"),"")</f>
        <v/>
      </c>
      <c r="AB766" s="175" t="str">
        <f ca="1">IFERROR(__xludf.DUMMYFUNCTION("QUERY('Volunteer Survey'!C765)"),"")</f>
        <v/>
      </c>
      <c r="AC766" s="175" t="str">
        <f ca="1">IFERROR(__xludf.DUMMYFUNCTION("QUERY('Volunteer Survey'!D765)"),"")</f>
        <v/>
      </c>
      <c r="AD766" s="175" t="str">
        <f ca="1">IFERROR(__xludf.DUMMYFUNCTION("QUERY('Volunteer Survey'!E765)"),"")</f>
        <v/>
      </c>
      <c r="AE766" s="175" t="str">
        <f ca="1">IFERROR(__xludf.DUMMYFUNCTION("QUERY('Volunteer Survey'!F765)"),"")</f>
        <v/>
      </c>
      <c r="AF766" s="175" t="str">
        <f ca="1">IFERROR(__xludf.DUMMYFUNCTION("QUERY('Volunteer Survey'!G765)"),"")</f>
        <v/>
      </c>
      <c r="AG766" s="175" t="str">
        <f ca="1">IFERROR(__xludf.DUMMYFUNCTION("QUERY('Volunteer Survey'!H765)"),"")</f>
        <v/>
      </c>
      <c r="AH766" s="175" t="str">
        <f ca="1">IFERROR(__xludf.DUMMYFUNCTION("QUERY('Volunteer Survey'!I765)"),"")</f>
        <v/>
      </c>
      <c r="AI766" s="175" t="str">
        <f ca="1">IFERROR(__xludf.DUMMYFUNCTION("QUERY('Volunteer Survey'!J765)"),"")</f>
        <v/>
      </c>
      <c r="AJ766" s="175" t="str">
        <f ca="1">IFERROR(__xludf.DUMMYFUNCTION("QUERY('Volunteer Survey'!K765)"),"")</f>
        <v/>
      </c>
      <c r="AK766" s="175" t="str">
        <f ca="1">IFERROR(__xludf.DUMMYFUNCTION("QUERY('Volunteer Survey'!L765)"),"")</f>
        <v/>
      </c>
      <c r="AL766" s="175" t="str">
        <f ca="1">IFERROR(__xludf.DUMMYFUNCTION("QUERY('Volunteer Survey'!M765)"),"")</f>
        <v/>
      </c>
      <c r="AM766" s="175" t="str">
        <f ca="1">IFERROR(__xludf.DUMMYFUNCTION("QUERY('Volunteer Survey'!N765)"),"")</f>
        <v/>
      </c>
      <c r="AN766" s="175" t="str">
        <f ca="1">IFERROR(__xludf.DUMMYFUNCTION("QUERY('Volunteer Survey'!O765)"),"")</f>
        <v/>
      </c>
      <c r="AO766" s="175" t="str">
        <f ca="1">IFERROR(__xludf.DUMMYFUNCTION("QUERY('Volunteer Survey'!P765)"),"")</f>
        <v/>
      </c>
    </row>
    <row r="767" spans="1:41" ht="14">
      <c r="A767" s="49"/>
      <c r="B767" s="49"/>
      <c r="C767" s="47"/>
      <c r="D767" s="49"/>
      <c r="E767" s="49"/>
      <c r="F767" s="49" t="b">
        <v>0</v>
      </c>
      <c r="G767" s="49"/>
      <c r="H767" s="47"/>
      <c r="I767" s="47"/>
      <c r="J767" s="49"/>
      <c r="K767" s="49"/>
      <c r="L767" s="49"/>
      <c r="M767" s="49"/>
      <c r="N767" s="49"/>
      <c r="O767" s="49" t="b">
        <v>0</v>
      </c>
      <c r="P767" s="49"/>
      <c r="Q767" s="49"/>
      <c r="R767" s="49"/>
      <c r="S767" s="49"/>
      <c r="T767" s="49"/>
      <c r="U767" s="58"/>
      <c r="V767" s="49"/>
      <c r="W767" s="58"/>
      <c r="X767" s="49"/>
      <c r="Y767" s="47"/>
      <c r="Z767" s="175" t="str">
        <f ca="1">IFERROR(__xludf.DUMMYFUNCTION("QUERY('Volunteer Survey'!A766)"),"")</f>
        <v/>
      </c>
      <c r="AA767" s="175" t="str">
        <f ca="1">IFERROR(__xludf.DUMMYFUNCTION("QUERY('Volunteer Survey'!B766)"),"")</f>
        <v/>
      </c>
      <c r="AB767" s="175" t="str">
        <f ca="1">IFERROR(__xludf.DUMMYFUNCTION("QUERY('Volunteer Survey'!C766)"),"")</f>
        <v/>
      </c>
      <c r="AC767" s="175" t="str">
        <f ca="1">IFERROR(__xludf.DUMMYFUNCTION("QUERY('Volunteer Survey'!D766)"),"")</f>
        <v/>
      </c>
      <c r="AD767" s="175" t="str">
        <f ca="1">IFERROR(__xludf.DUMMYFUNCTION("QUERY('Volunteer Survey'!E766)"),"")</f>
        <v/>
      </c>
      <c r="AE767" s="175" t="str">
        <f ca="1">IFERROR(__xludf.DUMMYFUNCTION("QUERY('Volunteer Survey'!F766)"),"")</f>
        <v/>
      </c>
      <c r="AF767" s="175" t="str">
        <f ca="1">IFERROR(__xludf.DUMMYFUNCTION("QUERY('Volunteer Survey'!G766)"),"")</f>
        <v/>
      </c>
      <c r="AG767" s="175" t="str">
        <f ca="1">IFERROR(__xludf.DUMMYFUNCTION("QUERY('Volunteer Survey'!H766)"),"")</f>
        <v/>
      </c>
      <c r="AH767" s="175" t="str">
        <f ca="1">IFERROR(__xludf.DUMMYFUNCTION("QUERY('Volunteer Survey'!I766)"),"")</f>
        <v/>
      </c>
      <c r="AI767" s="175" t="str">
        <f ca="1">IFERROR(__xludf.DUMMYFUNCTION("QUERY('Volunteer Survey'!J766)"),"")</f>
        <v/>
      </c>
      <c r="AJ767" s="175" t="str">
        <f ca="1">IFERROR(__xludf.DUMMYFUNCTION("QUERY('Volunteer Survey'!K766)"),"")</f>
        <v/>
      </c>
      <c r="AK767" s="175" t="str">
        <f ca="1">IFERROR(__xludf.DUMMYFUNCTION("QUERY('Volunteer Survey'!L766)"),"")</f>
        <v/>
      </c>
      <c r="AL767" s="175" t="str">
        <f ca="1">IFERROR(__xludf.DUMMYFUNCTION("QUERY('Volunteer Survey'!M766)"),"")</f>
        <v/>
      </c>
      <c r="AM767" s="175" t="str">
        <f ca="1">IFERROR(__xludf.DUMMYFUNCTION("QUERY('Volunteer Survey'!N766)"),"")</f>
        <v/>
      </c>
      <c r="AN767" s="175" t="str">
        <f ca="1">IFERROR(__xludf.DUMMYFUNCTION("QUERY('Volunteer Survey'!O766)"),"")</f>
        <v/>
      </c>
      <c r="AO767" s="175" t="str">
        <f ca="1">IFERROR(__xludf.DUMMYFUNCTION("QUERY('Volunteer Survey'!P766)"),"")</f>
        <v/>
      </c>
    </row>
    <row r="768" spans="1:41" ht="14">
      <c r="A768" s="49"/>
      <c r="B768" s="49"/>
      <c r="C768" s="47"/>
      <c r="D768" s="49"/>
      <c r="E768" s="49"/>
      <c r="F768" s="49" t="b">
        <v>0</v>
      </c>
      <c r="G768" s="49"/>
      <c r="H768" s="47"/>
      <c r="I768" s="47"/>
      <c r="J768" s="49"/>
      <c r="K768" s="49"/>
      <c r="L768" s="49"/>
      <c r="M768" s="49"/>
      <c r="N768" s="49"/>
      <c r="O768" s="49" t="b">
        <v>0</v>
      </c>
      <c r="P768" s="49"/>
      <c r="Q768" s="49"/>
      <c r="R768" s="49"/>
      <c r="S768" s="49"/>
      <c r="T768" s="49"/>
      <c r="U768" s="58"/>
      <c r="V768" s="49"/>
      <c r="W768" s="58"/>
      <c r="X768" s="49"/>
      <c r="Y768" s="47"/>
      <c r="Z768" s="175" t="str">
        <f ca="1">IFERROR(__xludf.DUMMYFUNCTION("QUERY('Volunteer Survey'!A767)"),"")</f>
        <v/>
      </c>
      <c r="AA768" s="175" t="str">
        <f ca="1">IFERROR(__xludf.DUMMYFUNCTION("QUERY('Volunteer Survey'!B767)"),"")</f>
        <v/>
      </c>
      <c r="AB768" s="175" t="str">
        <f ca="1">IFERROR(__xludf.DUMMYFUNCTION("QUERY('Volunteer Survey'!C767)"),"")</f>
        <v/>
      </c>
      <c r="AC768" s="175" t="str">
        <f ca="1">IFERROR(__xludf.DUMMYFUNCTION("QUERY('Volunteer Survey'!D767)"),"")</f>
        <v/>
      </c>
      <c r="AD768" s="175" t="str">
        <f ca="1">IFERROR(__xludf.DUMMYFUNCTION("QUERY('Volunteer Survey'!E767)"),"")</f>
        <v/>
      </c>
      <c r="AE768" s="175" t="str">
        <f ca="1">IFERROR(__xludf.DUMMYFUNCTION("QUERY('Volunteer Survey'!F767)"),"")</f>
        <v/>
      </c>
      <c r="AF768" s="175" t="str">
        <f ca="1">IFERROR(__xludf.DUMMYFUNCTION("QUERY('Volunteer Survey'!G767)"),"")</f>
        <v/>
      </c>
      <c r="AG768" s="175" t="str">
        <f ca="1">IFERROR(__xludf.DUMMYFUNCTION("QUERY('Volunteer Survey'!H767)"),"")</f>
        <v/>
      </c>
      <c r="AH768" s="175" t="str">
        <f ca="1">IFERROR(__xludf.DUMMYFUNCTION("QUERY('Volunteer Survey'!I767)"),"")</f>
        <v/>
      </c>
      <c r="AI768" s="175" t="str">
        <f ca="1">IFERROR(__xludf.DUMMYFUNCTION("QUERY('Volunteer Survey'!J767)"),"")</f>
        <v/>
      </c>
      <c r="AJ768" s="175" t="str">
        <f ca="1">IFERROR(__xludf.DUMMYFUNCTION("QUERY('Volunteer Survey'!K767)"),"")</f>
        <v/>
      </c>
      <c r="AK768" s="175" t="str">
        <f ca="1">IFERROR(__xludf.DUMMYFUNCTION("QUERY('Volunteer Survey'!L767)"),"")</f>
        <v/>
      </c>
      <c r="AL768" s="175" t="str">
        <f ca="1">IFERROR(__xludf.DUMMYFUNCTION("QUERY('Volunteer Survey'!M767)"),"")</f>
        <v/>
      </c>
      <c r="AM768" s="175" t="str">
        <f ca="1">IFERROR(__xludf.DUMMYFUNCTION("QUERY('Volunteer Survey'!N767)"),"")</f>
        <v/>
      </c>
      <c r="AN768" s="175" t="str">
        <f ca="1">IFERROR(__xludf.DUMMYFUNCTION("QUERY('Volunteer Survey'!O767)"),"")</f>
        <v/>
      </c>
      <c r="AO768" s="175" t="str">
        <f ca="1">IFERROR(__xludf.DUMMYFUNCTION("QUERY('Volunteer Survey'!P767)"),"")</f>
        <v/>
      </c>
    </row>
    <row r="769" spans="1:41" ht="14">
      <c r="A769" s="49"/>
      <c r="B769" s="49"/>
      <c r="C769" s="47"/>
      <c r="D769" s="49"/>
      <c r="E769" s="49"/>
      <c r="F769" s="49" t="b">
        <v>0</v>
      </c>
      <c r="G769" s="49"/>
      <c r="H769" s="47"/>
      <c r="I769" s="47"/>
      <c r="J769" s="49"/>
      <c r="K769" s="49"/>
      <c r="L769" s="49"/>
      <c r="M769" s="49"/>
      <c r="N769" s="49"/>
      <c r="O769" s="49" t="b">
        <v>0</v>
      </c>
      <c r="P769" s="49"/>
      <c r="Q769" s="49"/>
      <c r="R769" s="49"/>
      <c r="S769" s="49"/>
      <c r="T769" s="49"/>
      <c r="U769" s="58"/>
      <c r="V769" s="49"/>
      <c r="W769" s="58"/>
      <c r="X769" s="49"/>
      <c r="Y769" s="47"/>
      <c r="Z769" s="175" t="str">
        <f ca="1">IFERROR(__xludf.DUMMYFUNCTION("QUERY('Volunteer Survey'!A768)"),"")</f>
        <v/>
      </c>
      <c r="AA769" s="175" t="str">
        <f ca="1">IFERROR(__xludf.DUMMYFUNCTION("QUERY('Volunteer Survey'!B768)"),"")</f>
        <v/>
      </c>
      <c r="AB769" s="175" t="str">
        <f ca="1">IFERROR(__xludf.DUMMYFUNCTION("QUERY('Volunteer Survey'!C768)"),"")</f>
        <v/>
      </c>
      <c r="AC769" s="175" t="str">
        <f ca="1">IFERROR(__xludf.DUMMYFUNCTION("QUERY('Volunteer Survey'!D768)"),"")</f>
        <v/>
      </c>
      <c r="AD769" s="175" t="str">
        <f ca="1">IFERROR(__xludf.DUMMYFUNCTION("QUERY('Volunteer Survey'!E768)"),"")</f>
        <v/>
      </c>
      <c r="AE769" s="175" t="str">
        <f ca="1">IFERROR(__xludf.DUMMYFUNCTION("QUERY('Volunteer Survey'!F768)"),"")</f>
        <v/>
      </c>
      <c r="AF769" s="175" t="str">
        <f ca="1">IFERROR(__xludf.DUMMYFUNCTION("QUERY('Volunteer Survey'!G768)"),"")</f>
        <v/>
      </c>
      <c r="AG769" s="175" t="str">
        <f ca="1">IFERROR(__xludf.DUMMYFUNCTION("QUERY('Volunteer Survey'!H768)"),"")</f>
        <v/>
      </c>
      <c r="AH769" s="175" t="str">
        <f ca="1">IFERROR(__xludf.DUMMYFUNCTION("QUERY('Volunteer Survey'!I768)"),"")</f>
        <v/>
      </c>
      <c r="AI769" s="175" t="str">
        <f ca="1">IFERROR(__xludf.DUMMYFUNCTION("QUERY('Volunteer Survey'!J768)"),"")</f>
        <v/>
      </c>
      <c r="AJ769" s="175" t="str">
        <f ca="1">IFERROR(__xludf.DUMMYFUNCTION("QUERY('Volunteer Survey'!K768)"),"")</f>
        <v/>
      </c>
      <c r="AK769" s="175" t="str">
        <f ca="1">IFERROR(__xludf.DUMMYFUNCTION("QUERY('Volunteer Survey'!L768)"),"")</f>
        <v/>
      </c>
      <c r="AL769" s="175" t="str">
        <f ca="1">IFERROR(__xludf.DUMMYFUNCTION("QUERY('Volunteer Survey'!M768)"),"")</f>
        <v/>
      </c>
      <c r="AM769" s="175" t="str">
        <f ca="1">IFERROR(__xludf.DUMMYFUNCTION("QUERY('Volunteer Survey'!N768)"),"")</f>
        <v/>
      </c>
      <c r="AN769" s="175" t="str">
        <f ca="1">IFERROR(__xludf.DUMMYFUNCTION("QUERY('Volunteer Survey'!O768)"),"")</f>
        <v/>
      </c>
      <c r="AO769" s="175" t="str">
        <f ca="1">IFERROR(__xludf.DUMMYFUNCTION("QUERY('Volunteer Survey'!P768)"),"")</f>
        <v/>
      </c>
    </row>
    <row r="770" spans="1:41" ht="14">
      <c r="A770" s="49"/>
      <c r="B770" s="49"/>
      <c r="C770" s="47"/>
      <c r="D770" s="49"/>
      <c r="E770" s="49"/>
      <c r="F770" s="49" t="b">
        <v>0</v>
      </c>
      <c r="G770" s="49"/>
      <c r="H770" s="47"/>
      <c r="I770" s="47"/>
      <c r="J770" s="49"/>
      <c r="K770" s="49"/>
      <c r="L770" s="49"/>
      <c r="M770" s="49"/>
      <c r="N770" s="49"/>
      <c r="O770" s="49" t="b">
        <v>0</v>
      </c>
      <c r="P770" s="49"/>
      <c r="Q770" s="49"/>
      <c r="R770" s="49"/>
      <c r="S770" s="49"/>
      <c r="T770" s="49"/>
      <c r="U770" s="58"/>
      <c r="V770" s="49"/>
      <c r="W770" s="58"/>
      <c r="X770" s="49"/>
      <c r="Y770" s="47"/>
      <c r="Z770" s="175" t="str">
        <f ca="1">IFERROR(__xludf.DUMMYFUNCTION("QUERY('Volunteer Survey'!A769)"),"")</f>
        <v/>
      </c>
      <c r="AA770" s="175" t="str">
        <f ca="1">IFERROR(__xludf.DUMMYFUNCTION("QUERY('Volunteer Survey'!B769)"),"")</f>
        <v/>
      </c>
      <c r="AB770" s="175" t="str">
        <f ca="1">IFERROR(__xludf.DUMMYFUNCTION("QUERY('Volunteer Survey'!C769)"),"")</f>
        <v/>
      </c>
      <c r="AC770" s="175" t="str">
        <f ca="1">IFERROR(__xludf.DUMMYFUNCTION("QUERY('Volunteer Survey'!D769)"),"")</f>
        <v/>
      </c>
      <c r="AD770" s="175" t="str">
        <f ca="1">IFERROR(__xludf.DUMMYFUNCTION("QUERY('Volunteer Survey'!E769)"),"")</f>
        <v/>
      </c>
      <c r="AE770" s="175" t="str">
        <f ca="1">IFERROR(__xludf.DUMMYFUNCTION("QUERY('Volunteer Survey'!F769)"),"")</f>
        <v/>
      </c>
      <c r="AF770" s="175" t="str">
        <f ca="1">IFERROR(__xludf.DUMMYFUNCTION("QUERY('Volunteer Survey'!G769)"),"")</f>
        <v/>
      </c>
      <c r="AG770" s="175" t="str">
        <f ca="1">IFERROR(__xludf.DUMMYFUNCTION("QUERY('Volunteer Survey'!H769)"),"")</f>
        <v/>
      </c>
      <c r="AH770" s="175" t="str">
        <f ca="1">IFERROR(__xludf.DUMMYFUNCTION("QUERY('Volunteer Survey'!I769)"),"")</f>
        <v/>
      </c>
      <c r="AI770" s="175" t="str">
        <f ca="1">IFERROR(__xludf.DUMMYFUNCTION("QUERY('Volunteer Survey'!J769)"),"")</f>
        <v/>
      </c>
      <c r="AJ770" s="175" t="str">
        <f ca="1">IFERROR(__xludf.DUMMYFUNCTION("QUERY('Volunteer Survey'!K769)"),"")</f>
        <v/>
      </c>
      <c r="AK770" s="175" t="str">
        <f ca="1">IFERROR(__xludf.DUMMYFUNCTION("QUERY('Volunteer Survey'!L769)"),"")</f>
        <v/>
      </c>
      <c r="AL770" s="175" t="str">
        <f ca="1">IFERROR(__xludf.DUMMYFUNCTION("QUERY('Volunteer Survey'!M769)"),"")</f>
        <v/>
      </c>
      <c r="AM770" s="175" t="str">
        <f ca="1">IFERROR(__xludf.DUMMYFUNCTION("QUERY('Volunteer Survey'!N769)"),"")</f>
        <v/>
      </c>
      <c r="AN770" s="175" t="str">
        <f ca="1">IFERROR(__xludf.DUMMYFUNCTION("QUERY('Volunteer Survey'!O769)"),"")</f>
        <v/>
      </c>
      <c r="AO770" s="175" t="str">
        <f ca="1">IFERROR(__xludf.DUMMYFUNCTION("QUERY('Volunteer Survey'!P769)"),"")</f>
        <v/>
      </c>
    </row>
    <row r="771" spans="1:41" ht="14">
      <c r="A771" s="49"/>
      <c r="B771" s="49"/>
      <c r="C771" s="47"/>
      <c r="D771" s="49"/>
      <c r="E771" s="49"/>
      <c r="F771" s="49" t="b">
        <v>0</v>
      </c>
      <c r="G771" s="49"/>
      <c r="H771" s="47"/>
      <c r="I771" s="47"/>
      <c r="J771" s="49"/>
      <c r="K771" s="49"/>
      <c r="L771" s="49"/>
      <c r="M771" s="49"/>
      <c r="N771" s="49"/>
      <c r="O771" s="49" t="b">
        <v>0</v>
      </c>
      <c r="P771" s="49"/>
      <c r="Q771" s="49"/>
      <c r="R771" s="49"/>
      <c r="S771" s="49"/>
      <c r="T771" s="49"/>
      <c r="U771" s="58"/>
      <c r="V771" s="49"/>
      <c r="W771" s="58"/>
      <c r="X771" s="49"/>
      <c r="Y771" s="47"/>
      <c r="Z771" s="175" t="str">
        <f ca="1">IFERROR(__xludf.DUMMYFUNCTION("QUERY('Volunteer Survey'!A770)"),"")</f>
        <v/>
      </c>
      <c r="AA771" s="175" t="str">
        <f ca="1">IFERROR(__xludf.DUMMYFUNCTION("QUERY('Volunteer Survey'!B770)"),"")</f>
        <v/>
      </c>
      <c r="AB771" s="175" t="str">
        <f ca="1">IFERROR(__xludf.DUMMYFUNCTION("QUERY('Volunteer Survey'!C770)"),"")</f>
        <v/>
      </c>
      <c r="AC771" s="175" t="str">
        <f ca="1">IFERROR(__xludf.DUMMYFUNCTION("QUERY('Volunteer Survey'!D770)"),"")</f>
        <v/>
      </c>
      <c r="AD771" s="175" t="str">
        <f ca="1">IFERROR(__xludf.DUMMYFUNCTION("QUERY('Volunteer Survey'!E770)"),"")</f>
        <v/>
      </c>
      <c r="AE771" s="175" t="str">
        <f ca="1">IFERROR(__xludf.DUMMYFUNCTION("QUERY('Volunteer Survey'!F770)"),"")</f>
        <v/>
      </c>
      <c r="AF771" s="175" t="str">
        <f ca="1">IFERROR(__xludf.DUMMYFUNCTION("QUERY('Volunteer Survey'!G770)"),"")</f>
        <v/>
      </c>
      <c r="AG771" s="175" t="str">
        <f ca="1">IFERROR(__xludf.DUMMYFUNCTION("QUERY('Volunteer Survey'!H770)"),"")</f>
        <v/>
      </c>
      <c r="AH771" s="175" t="str">
        <f ca="1">IFERROR(__xludf.DUMMYFUNCTION("QUERY('Volunteer Survey'!I770)"),"")</f>
        <v/>
      </c>
      <c r="AI771" s="175" t="str">
        <f ca="1">IFERROR(__xludf.DUMMYFUNCTION("QUERY('Volunteer Survey'!J770)"),"")</f>
        <v/>
      </c>
      <c r="AJ771" s="175" t="str">
        <f ca="1">IFERROR(__xludf.DUMMYFUNCTION("QUERY('Volunteer Survey'!K770)"),"")</f>
        <v/>
      </c>
      <c r="AK771" s="175" t="str">
        <f ca="1">IFERROR(__xludf.DUMMYFUNCTION("QUERY('Volunteer Survey'!L770)"),"")</f>
        <v/>
      </c>
      <c r="AL771" s="175" t="str">
        <f ca="1">IFERROR(__xludf.DUMMYFUNCTION("QUERY('Volunteer Survey'!M770)"),"")</f>
        <v/>
      </c>
      <c r="AM771" s="175" t="str">
        <f ca="1">IFERROR(__xludf.DUMMYFUNCTION("QUERY('Volunteer Survey'!N770)"),"")</f>
        <v/>
      </c>
      <c r="AN771" s="175" t="str">
        <f ca="1">IFERROR(__xludf.DUMMYFUNCTION("QUERY('Volunteer Survey'!O770)"),"")</f>
        <v/>
      </c>
      <c r="AO771" s="175" t="str">
        <f ca="1">IFERROR(__xludf.DUMMYFUNCTION("QUERY('Volunteer Survey'!P770)"),"")</f>
        <v/>
      </c>
    </row>
    <row r="772" spans="1:41" ht="14">
      <c r="A772" s="49"/>
      <c r="B772" s="49"/>
      <c r="C772" s="47"/>
      <c r="D772" s="49"/>
      <c r="E772" s="49"/>
      <c r="F772" s="49" t="b">
        <v>0</v>
      </c>
      <c r="G772" s="49"/>
      <c r="H772" s="47"/>
      <c r="I772" s="47"/>
      <c r="J772" s="49"/>
      <c r="K772" s="49"/>
      <c r="L772" s="49"/>
      <c r="M772" s="49"/>
      <c r="N772" s="49"/>
      <c r="O772" s="49" t="b">
        <v>0</v>
      </c>
      <c r="P772" s="49"/>
      <c r="Q772" s="49"/>
      <c r="R772" s="49"/>
      <c r="S772" s="49"/>
      <c r="T772" s="49"/>
      <c r="U772" s="58"/>
      <c r="V772" s="49"/>
      <c r="W772" s="58"/>
      <c r="X772" s="49"/>
      <c r="Y772" s="47"/>
      <c r="Z772" s="175" t="str">
        <f ca="1">IFERROR(__xludf.DUMMYFUNCTION("QUERY('Volunteer Survey'!A771)"),"")</f>
        <v/>
      </c>
      <c r="AA772" s="175" t="str">
        <f ca="1">IFERROR(__xludf.DUMMYFUNCTION("QUERY('Volunteer Survey'!B771)"),"")</f>
        <v/>
      </c>
      <c r="AB772" s="175" t="str">
        <f ca="1">IFERROR(__xludf.DUMMYFUNCTION("QUERY('Volunteer Survey'!C771)"),"")</f>
        <v/>
      </c>
      <c r="AC772" s="175" t="str">
        <f ca="1">IFERROR(__xludf.DUMMYFUNCTION("QUERY('Volunteer Survey'!D771)"),"")</f>
        <v/>
      </c>
      <c r="AD772" s="175" t="str">
        <f ca="1">IFERROR(__xludf.DUMMYFUNCTION("QUERY('Volunteer Survey'!E771)"),"")</f>
        <v/>
      </c>
      <c r="AE772" s="175" t="str">
        <f ca="1">IFERROR(__xludf.DUMMYFUNCTION("QUERY('Volunteer Survey'!F771)"),"")</f>
        <v/>
      </c>
      <c r="AF772" s="175" t="str">
        <f ca="1">IFERROR(__xludf.DUMMYFUNCTION("QUERY('Volunteer Survey'!G771)"),"")</f>
        <v/>
      </c>
      <c r="AG772" s="175" t="str">
        <f ca="1">IFERROR(__xludf.DUMMYFUNCTION("QUERY('Volunteer Survey'!H771)"),"")</f>
        <v/>
      </c>
      <c r="AH772" s="175" t="str">
        <f ca="1">IFERROR(__xludf.DUMMYFUNCTION("QUERY('Volunteer Survey'!I771)"),"")</f>
        <v/>
      </c>
      <c r="AI772" s="175" t="str">
        <f ca="1">IFERROR(__xludf.DUMMYFUNCTION("QUERY('Volunteer Survey'!J771)"),"")</f>
        <v/>
      </c>
      <c r="AJ772" s="175" t="str">
        <f ca="1">IFERROR(__xludf.DUMMYFUNCTION("QUERY('Volunteer Survey'!K771)"),"")</f>
        <v/>
      </c>
      <c r="AK772" s="175" t="str">
        <f ca="1">IFERROR(__xludf.DUMMYFUNCTION("QUERY('Volunteer Survey'!L771)"),"")</f>
        <v/>
      </c>
      <c r="AL772" s="175" t="str">
        <f ca="1">IFERROR(__xludf.DUMMYFUNCTION("QUERY('Volunteer Survey'!M771)"),"")</f>
        <v/>
      </c>
      <c r="AM772" s="175" t="str">
        <f ca="1">IFERROR(__xludf.DUMMYFUNCTION("QUERY('Volunteer Survey'!N771)"),"")</f>
        <v/>
      </c>
      <c r="AN772" s="175" t="str">
        <f ca="1">IFERROR(__xludf.DUMMYFUNCTION("QUERY('Volunteer Survey'!O771)"),"")</f>
        <v/>
      </c>
      <c r="AO772" s="175" t="str">
        <f ca="1">IFERROR(__xludf.DUMMYFUNCTION("QUERY('Volunteer Survey'!P771)"),"")</f>
        <v/>
      </c>
    </row>
    <row r="773" spans="1:41" ht="14">
      <c r="A773" s="49"/>
      <c r="B773" s="49"/>
      <c r="C773" s="47"/>
      <c r="D773" s="49"/>
      <c r="E773" s="49"/>
      <c r="F773" s="49" t="b">
        <v>0</v>
      </c>
      <c r="G773" s="49"/>
      <c r="H773" s="47"/>
      <c r="I773" s="47"/>
      <c r="J773" s="49"/>
      <c r="K773" s="49"/>
      <c r="L773" s="49"/>
      <c r="M773" s="49"/>
      <c r="N773" s="49"/>
      <c r="O773" s="49" t="b">
        <v>0</v>
      </c>
      <c r="P773" s="49"/>
      <c r="Q773" s="49"/>
      <c r="R773" s="49"/>
      <c r="S773" s="49"/>
      <c r="T773" s="49"/>
      <c r="U773" s="58"/>
      <c r="V773" s="49"/>
      <c r="W773" s="58"/>
      <c r="X773" s="49"/>
      <c r="Y773" s="47"/>
      <c r="Z773" s="175" t="str">
        <f ca="1">IFERROR(__xludf.DUMMYFUNCTION("QUERY('Volunteer Survey'!A772)"),"")</f>
        <v/>
      </c>
      <c r="AA773" s="175" t="str">
        <f ca="1">IFERROR(__xludf.DUMMYFUNCTION("QUERY('Volunteer Survey'!B772)"),"")</f>
        <v/>
      </c>
      <c r="AB773" s="175" t="str">
        <f ca="1">IFERROR(__xludf.DUMMYFUNCTION("QUERY('Volunteer Survey'!C772)"),"")</f>
        <v/>
      </c>
      <c r="AC773" s="175" t="str">
        <f ca="1">IFERROR(__xludf.DUMMYFUNCTION("QUERY('Volunteer Survey'!D772)"),"")</f>
        <v/>
      </c>
      <c r="AD773" s="175" t="str">
        <f ca="1">IFERROR(__xludf.DUMMYFUNCTION("QUERY('Volunteer Survey'!E772)"),"")</f>
        <v/>
      </c>
      <c r="AE773" s="175" t="str">
        <f ca="1">IFERROR(__xludf.DUMMYFUNCTION("QUERY('Volunteer Survey'!F772)"),"")</f>
        <v/>
      </c>
      <c r="AF773" s="175" t="str">
        <f ca="1">IFERROR(__xludf.DUMMYFUNCTION("QUERY('Volunteer Survey'!G772)"),"")</f>
        <v/>
      </c>
      <c r="AG773" s="175" t="str">
        <f ca="1">IFERROR(__xludf.DUMMYFUNCTION("QUERY('Volunteer Survey'!H772)"),"")</f>
        <v/>
      </c>
      <c r="AH773" s="175" t="str">
        <f ca="1">IFERROR(__xludf.DUMMYFUNCTION("QUERY('Volunteer Survey'!I772)"),"")</f>
        <v/>
      </c>
      <c r="AI773" s="175" t="str">
        <f ca="1">IFERROR(__xludf.DUMMYFUNCTION("QUERY('Volunteer Survey'!J772)"),"")</f>
        <v/>
      </c>
      <c r="AJ773" s="175" t="str">
        <f ca="1">IFERROR(__xludf.DUMMYFUNCTION("QUERY('Volunteer Survey'!K772)"),"")</f>
        <v/>
      </c>
      <c r="AK773" s="175" t="str">
        <f ca="1">IFERROR(__xludf.DUMMYFUNCTION("QUERY('Volunteer Survey'!L772)"),"")</f>
        <v/>
      </c>
      <c r="AL773" s="175" t="str">
        <f ca="1">IFERROR(__xludf.DUMMYFUNCTION("QUERY('Volunteer Survey'!M772)"),"")</f>
        <v/>
      </c>
      <c r="AM773" s="175" t="str">
        <f ca="1">IFERROR(__xludf.DUMMYFUNCTION("QUERY('Volunteer Survey'!N772)"),"")</f>
        <v/>
      </c>
      <c r="AN773" s="175" t="str">
        <f ca="1">IFERROR(__xludf.DUMMYFUNCTION("QUERY('Volunteer Survey'!O772)"),"")</f>
        <v/>
      </c>
      <c r="AO773" s="175" t="str">
        <f ca="1">IFERROR(__xludf.DUMMYFUNCTION("QUERY('Volunteer Survey'!P772)"),"")</f>
        <v/>
      </c>
    </row>
    <row r="774" spans="1:41" ht="14">
      <c r="A774" s="49"/>
      <c r="B774" s="49"/>
      <c r="C774" s="47"/>
      <c r="D774" s="49"/>
      <c r="E774" s="49"/>
      <c r="F774" s="49" t="b">
        <v>0</v>
      </c>
      <c r="G774" s="49"/>
      <c r="H774" s="47"/>
      <c r="I774" s="47"/>
      <c r="J774" s="49"/>
      <c r="K774" s="49"/>
      <c r="L774" s="49"/>
      <c r="M774" s="49"/>
      <c r="N774" s="49"/>
      <c r="O774" s="49" t="b">
        <v>0</v>
      </c>
      <c r="P774" s="49"/>
      <c r="Q774" s="49"/>
      <c r="R774" s="49"/>
      <c r="S774" s="49"/>
      <c r="T774" s="49"/>
      <c r="U774" s="58"/>
      <c r="V774" s="49"/>
      <c r="W774" s="58"/>
      <c r="X774" s="49"/>
      <c r="Y774" s="47"/>
      <c r="Z774" s="175" t="str">
        <f ca="1">IFERROR(__xludf.DUMMYFUNCTION("QUERY('Volunteer Survey'!A773)"),"")</f>
        <v/>
      </c>
      <c r="AA774" s="175" t="str">
        <f ca="1">IFERROR(__xludf.DUMMYFUNCTION("QUERY('Volunteer Survey'!B773)"),"")</f>
        <v/>
      </c>
      <c r="AB774" s="175" t="str">
        <f ca="1">IFERROR(__xludf.DUMMYFUNCTION("QUERY('Volunteer Survey'!C773)"),"")</f>
        <v/>
      </c>
      <c r="AC774" s="175" t="str">
        <f ca="1">IFERROR(__xludf.DUMMYFUNCTION("QUERY('Volunteer Survey'!D773)"),"")</f>
        <v/>
      </c>
      <c r="AD774" s="175" t="str">
        <f ca="1">IFERROR(__xludf.DUMMYFUNCTION("QUERY('Volunteer Survey'!E773)"),"")</f>
        <v/>
      </c>
      <c r="AE774" s="175" t="str">
        <f ca="1">IFERROR(__xludf.DUMMYFUNCTION("QUERY('Volunteer Survey'!F773)"),"")</f>
        <v/>
      </c>
      <c r="AF774" s="175" t="str">
        <f ca="1">IFERROR(__xludf.DUMMYFUNCTION("QUERY('Volunteer Survey'!G773)"),"")</f>
        <v/>
      </c>
      <c r="AG774" s="175" t="str">
        <f ca="1">IFERROR(__xludf.DUMMYFUNCTION("QUERY('Volunteer Survey'!H773)"),"")</f>
        <v/>
      </c>
      <c r="AH774" s="175" t="str">
        <f ca="1">IFERROR(__xludf.DUMMYFUNCTION("QUERY('Volunteer Survey'!I773)"),"")</f>
        <v/>
      </c>
      <c r="AI774" s="175" t="str">
        <f ca="1">IFERROR(__xludf.DUMMYFUNCTION("QUERY('Volunteer Survey'!J773)"),"")</f>
        <v/>
      </c>
      <c r="AJ774" s="175" t="str">
        <f ca="1">IFERROR(__xludf.DUMMYFUNCTION("QUERY('Volunteer Survey'!K773)"),"")</f>
        <v/>
      </c>
      <c r="AK774" s="175" t="str">
        <f ca="1">IFERROR(__xludf.DUMMYFUNCTION("QUERY('Volunteer Survey'!L773)"),"")</f>
        <v/>
      </c>
      <c r="AL774" s="175" t="str">
        <f ca="1">IFERROR(__xludf.DUMMYFUNCTION("QUERY('Volunteer Survey'!M773)"),"")</f>
        <v/>
      </c>
      <c r="AM774" s="175" t="str">
        <f ca="1">IFERROR(__xludf.DUMMYFUNCTION("QUERY('Volunteer Survey'!N773)"),"")</f>
        <v/>
      </c>
      <c r="AN774" s="175" t="str">
        <f ca="1">IFERROR(__xludf.DUMMYFUNCTION("QUERY('Volunteer Survey'!O773)"),"")</f>
        <v/>
      </c>
      <c r="AO774" s="175" t="str">
        <f ca="1">IFERROR(__xludf.DUMMYFUNCTION("QUERY('Volunteer Survey'!P773)"),"")</f>
        <v/>
      </c>
    </row>
    <row r="775" spans="1:41" ht="14">
      <c r="A775" s="49"/>
      <c r="B775" s="49"/>
      <c r="C775" s="47"/>
      <c r="D775" s="49"/>
      <c r="E775" s="49"/>
      <c r="F775" s="49" t="b">
        <v>0</v>
      </c>
      <c r="G775" s="49"/>
      <c r="H775" s="47"/>
      <c r="I775" s="47"/>
      <c r="J775" s="49"/>
      <c r="K775" s="49"/>
      <c r="L775" s="49"/>
      <c r="M775" s="49"/>
      <c r="N775" s="49"/>
      <c r="O775" s="49" t="b">
        <v>0</v>
      </c>
      <c r="P775" s="49"/>
      <c r="Q775" s="49"/>
      <c r="R775" s="49"/>
      <c r="S775" s="49"/>
      <c r="T775" s="49"/>
      <c r="U775" s="58"/>
      <c r="V775" s="49"/>
      <c r="W775" s="58"/>
      <c r="X775" s="49"/>
      <c r="Y775" s="47"/>
      <c r="Z775" s="175" t="str">
        <f ca="1">IFERROR(__xludf.DUMMYFUNCTION("QUERY('Volunteer Survey'!A774)"),"")</f>
        <v/>
      </c>
      <c r="AA775" s="175" t="str">
        <f ca="1">IFERROR(__xludf.DUMMYFUNCTION("QUERY('Volunteer Survey'!B774)"),"")</f>
        <v/>
      </c>
      <c r="AB775" s="175" t="str">
        <f ca="1">IFERROR(__xludf.DUMMYFUNCTION("QUERY('Volunteer Survey'!C774)"),"")</f>
        <v/>
      </c>
      <c r="AC775" s="175" t="str">
        <f ca="1">IFERROR(__xludf.DUMMYFUNCTION("QUERY('Volunteer Survey'!D774)"),"")</f>
        <v/>
      </c>
      <c r="AD775" s="175" t="str">
        <f ca="1">IFERROR(__xludf.DUMMYFUNCTION("QUERY('Volunteer Survey'!E774)"),"")</f>
        <v/>
      </c>
      <c r="AE775" s="175" t="str">
        <f ca="1">IFERROR(__xludf.DUMMYFUNCTION("QUERY('Volunteer Survey'!F774)"),"")</f>
        <v/>
      </c>
      <c r="AF775" s="175" t="str">
        <f ca="1">IFERROR(__xludf.DUMMYFUNCTION("QUERY('Volunteer Survey'!G774)"),"")</f>
        <v/>
      </c>
      <c r="AG775" s="175" t="str">
        <f ca="1">IFERROR(__xludf.DUMMYFUNCTION("QUERY('Volunteer Survey'!H774)"),"")</f>
        <v/>
      </c>
      <c r="AH775" s="175" t="str">
        <f ca="1">IFERROR(__xludf.DUMMYFUNCTION("QUERY('Volunteer Survey'!I774)"),"")</f>
        <v/>
      </c>
      <c r="AI775" s="175" t="str">
        <f ca="1">IFERROR(__xludf.DUMMYFUNCTION("QUERY('Volunteer Survey'!J774)"),"")</f>
        <v/>
      </c>
      <c r="AJ775" s="175" t="str">
        <f ca="1">IFERROR(__xludf.DUMMYFUNCTION("QUERY('Volunteer Survey'!K774)"),"")</f>
        <v/>
      </c>
      <c r="AK775" s="175" t="str">
        <f ca="1">IFERROR(__xludf.DUMMYFUNCTION("QUERY('Volunteer Survey'!L774)"),"")</f>
        <v/>
      </c>
      <c r="AL775" s="175" t="str">
        <f ca="1">IFERROR(__xludf.DUMMYFUNCTION("QUERY('Volunteer Survey'!M774)"),"")</f>
        <v/>
      </c>
      <c r="AM775" s="175" t="str">
        <f ca="1">IFERROR(__xludf.DUMMYFUNCTION("QUERY('Volunteer Survey'!N774)"),"")</f>
        <v/>
      </c>
      <c r="AN775" s="175" t="str">
        <f ca="1">IFERROR(__xludf.DUMMYFUNCTION("QUERY('Volunteer Survey'!O774)"),"")</f>
        <v/>
      </c>
      <c r="AO775" s="175" t="str">
        <f ca="1">IFERROR(__xludf.DUMMYFUNCTION("QUERY('Volunteer Survey'!P774)"),"")</f>
        <v/>
      </c>
    </row>
    <row r="776" spans="1:41" ht="14">
      <c r="A776" s="49"/>
      <c r="B776" s="49"/>
      <c r="C776" s="47"/>
      <c r="D776" s="49"/>
      <c r="E776" s="49"/>
      <c r="F776" s="49" t="b">
        <v>0</v>
      </c>
      <c r="G776" s="49"/>
      <c r="H776" s="47"/>
      <c r="I776" s="47"/>
      <c r="J776" s="49"/>
      <c r="K776" s="49"/>
      <c r="L776" s="49"/>
      <c r="M776" s="49"/>
      <c r="N776" s="49"/>
      <c r="O776" s="49" t="b">
        <v>0</v>
      </c>
      <c r="P776" s="49"/>
      <c r="Q776" s="49"/>
      <c r="R776" s="49"/>
      <c r="S776" s="49"/>
      <c r="T776" s="49"/>
      <c r="U776" s="58"/>
      <c r="V776" s="49"/>
      <c r="W776" s="58"/>
      <c r="X776" s="49"/>
      <c r="Y776" s="47"/>
      <c r="Z776" s="175" t="str">
        <f ca="1">IFERROR(__xludf.DUMMYFUNCTION("QUERY('Volunteer Survey'!A775)"),"")</f>
        <v/>
      </c>
      <c r="AA776" s="175" t="str">
        <f ca="1">IFERROR(__xludf.DUMMYFUNCTION("QUERY('Volunteer Survey'!B775)"),"")</f>
        <v/>
      </c>
      <c r="AB776" s="175" t="str">
        <f ca="1">IFERROR(__xludf.DUMMYFUNCTION("QUERY('Volunteer Survey'!C775)"),"")</f>
        <v/>
      </c>
      <c r="AC776" s="175" t="str">
        <f ca="1">IFERROR(__xludf.DUMMYFUNCTION("QUERY('Volunteer Survey'!D775)"),"")</f>
        <v/>
      </c>
      <c r="AD776" s="175" t="str">
        <f ca="1">IFERROR(__xludf.DUMMYFUNCTION("QUERY('Volunteer Survey'!E775)"),"")</f>
        <v/>
      </c>
      <c r="AE776" s="175" t="str">
        <f ca="1">IFERROR(__xludf.DUMMYFUNCTION("QUERY('Volunteer Survey'!F775)"),"")</f>
        <v/>
      </c>
      <c r="AF776" s="175" t="str">
        <f ca="1">IFERROR(__xludf.DUMMYFUNCTION("QUERY('Volunteer Survey'!G775)"),"")</f>
        <v/>
      </c>
      <c r="AG776" s="175" t="str">
        <f ca="1">IFERROR(__xludf.DUMMYFUNCTION("QUERY('Volunteer Survey'!H775)"),"")</f>
        <v/>
      </c>
      <c r="AH776" s="175" t="str">
        <f ca="1">IFERROR(__xludf.DUMMYFUNCTION("QUERY('Volunteer Survey'!I775)"),"")</f>
        <v/>
      </c>
      <c r="AI776" s="175" t="str">
        <f ca="1">IFERROR(__xludf.DUMMYFUNCTION("QUERY('Volunteer Survey'!J775)"),"")</f>
        <v/>
      </c>
      <c r="AJ776" s="175" t="str">
        <f ca="1">IFERROR(__xludf.DUMMYFUNCTION("QUERY('Volunteer Survey'!K775)"),"")</f>
        <v/>
      </c>
      <c r="AK776" s="175" t="str">
        <f ca="1">IFERROR(__xludf.DUMMYFUNCTION("QUERY('Volunteer Survey'!L775)"),"")</f>
        <v/>
      </c>
      <c r="AL776" s="175" t="str">
        <f ca="1">IFERROR(__xludf.DUMMYFUNCTION("QUERY('Volunteer Survey'!M775)"),"")</f>
        <v/>
      </c>
      <c r="AM776" s="175" t="str">
        <f ca="1">IFERROR(__xludf.DUMMYFUNCTION("QUERY('Volunteer Survey'!N775)"),"")</f>
        <v/>
      </c>
      <c r="AN776" s="175" t="str">
        <f ca="1">IFERROR(__xludf.DUMMYFUNCTION("QUERY('Volunteer Survey'!O775)"),"")</f>
        <v/>
      </c>
      <c r="AO776" s="175" t="str">
        <f ca="1">IFERROR(__xludf.DUMMYFUNCTION("QUERY('Volunteer Survey'!P775)"),"")</f>
        <v/>
      </c>
    </row>
    <row r="777" spans="1:41" ht="14">
      <c r="A777" s="49"/>
      <c r="B777" s="49"/>
      <c r="C777" s="47"/>
      <c r="D777" s="49"/>
      <c r="E777" s="49"/>
      <c r="F777" s="49" t="b">
        <v>0</v>
      </c>
      <c r="G777" s="49"/>
      <c r="H777" s="47"/>
      <c r="I777" s="47"/>
      <c r="J777" s="49"/>
      <c r="K777" s="49"/>
      <c r="L777" s="49"/>
      <c r="M777" s="49"/>
      <c r="N777" s="49"/>
      <c r="O777" s="49" t="b">
        <v>0</v>
      </c>
      <c r="P777" s="49"/>
      <c r="Q777" s="49"/>
      <c r="R777" s="49"/>
      <c r="S777" s="49"/>
      <c r="T777" s="49"/>
      <c r="U777" s="58"/>
      <c r="V777" s="49"/>
      <c r="W777" s="58"/>
      <c r="X777" s="49"/>
      <c r="Y777" s="47"/>
      <c r="Z777" s="175" t="str">
        <f ca="1">IFERROR(__xludf.DUMMYFUNCTION("QUERY('Volunteer Survey'!A776)"),"")</f>
        <v/>
      </c>
      <c r="AA777" s="175" t="str">
        <f ca="1">IFERROR(__xludf.DUMMYFUNCTION("QUERY('Volunteer Survey'!B776)"),"")</f>
        <v/>
      </c>
      <c r="AB777" s="175" t="str">
        <f ca="1">IFERROR(__xludf.DUMMYFUNCTION("QUERY('Volunteer Survey'!C776)"),"")</f>
        <v/>
      </c>
      <c r="AC777" s="175" t="str">
        <f ca="1">IFERROR(__xludf.DUMMYFUNCTION("QUERY('Volunteer Survey'!D776)"),"")</f>
        <v/>
      </c>
      <c r="AD777" s="175" t="str">
        <f ca="1">IFERROR(__xludf.DUMMYFUNCTION("QUERY('Volunteer Survey'!E776)"),"")</f>
        <v/>
      </c>
      <c r="AE777" s="175" t="str">
        <f ca="1">IFERROR(__xludf.DUMMYFUNCTION("QUERY('Volunteer Survey'!F776)"),"")</f>
        <v/>
      </c>
      <c r="AF777" s="175" t="str">
        <f ca="1">IFERROR(__xludf.DUMMYFUNCTION("QUERY('Volunteer Survey'!G776)"),"")</f>
        <v/>
      </c>
      <c r="AG777" s="175" t="str">
        <f ca="1">IFERROR(__xludf.DUMMYFUNCTION("QUERY('Volunteer Survey'!H776)"),"")</f>
        <v/>
      </c>
      <c r="AH777" s="175" t="str">
        <f ca="1">IFERROR(__xludf.DUMMYFUNCTION("QUERY('Volunteer Survey'!I776)"),"")</f>
        <v/>
      </c>
      <c r="AI777" s="175" t="str">
        <f ca="1">IFERROR(__xludf.DUMMYFUNCTION("QUERY('Volunteer Survey'!J776)"),"")</f>
        <v/>
      </c>
      <c r="AJ777" s="175" t="str">
        <f ca="1">IFERROR(__xludf.DUMMYFUNCTION("QUERY('Volunteer Survey'!K776)"),"")</f>
        <v/>
      </c>
      <c r="AK777" s="175" t="str">
        <f ca="1">IFERROR(__xludf.DUMMYFUNCTION("QUERY('Volunteer Survey'!L776)"),"")</f>
        <v/>
      </c>
      <c r="AL777" s="175" t="str">
        <f ca="1">IFERROR(__xludf.DUMMYFUNCTION("QUERY('Volunteer Survey'!M776)"),"")</f>
        <v/>
      </c>
      <c r="AM777" s="175" t="str">
        <f ca="1">IFERROR(__xludf.DUMMYFUNCTION("QUERY('Volunteer Survey'!N776)"),"")</f>
        <v/>
      </c>
      <c r="AN777" s="175" t="str">
        <f ca="1">IFERROR(__xludf.DUMMYFUNCTION("QUERY('Volunteer Survey'!O776)"),"")</f>
        <v/>
      </c>
      <c r="AO777" s="175" t="str">
        <f ca="1">IFERROR(__xludf.DUMMYFUNCTION("QUERY('Volunteer Survey'!P776)"),"")</f>
        <v/>
      </c>
    </row>
    <row r="778" spans="1:41" ht="14">
      <c r="A778" s="49"/>
      <c r="B778" s="49"/>
      <c r="C778" s="47"/>
      <c r="D778" s="49"/>
      <c r="E778" s="49"/>
      <c r="F778" s="49" t="b">
        <v>0</v>
      </c>
      <c r="G778" s="49"/>
      <c r="H778" s="47"/>
      <c r="I778" s="47"/>
      <c r="J778" s="49"/>
      <c r="K778" s="49"/>
      <c r="L778" s="49"/>
      <c r="M778" s="49"/>
      <c r="N778" s="49"/>
      <c r="O778" s="49" t="b">
        <v>0</v>
      </c>
      <c r="P778" s="49"/>
      <c r="Q778" s="49"/>
      <c r="R778" s="49"/>
      <c r="S778" s="49"/>
      <c r="T778" s="49"/>
      <c r="U778" s="58"/>
      <c r="V778" s="49"/>
      <c r="W778" s="58"/>
      <c r="X778" s="49"/>
      <c r="Y778" s="47"/>
      <c r="Z778" s="175" t="str">
        <f ca="1">IFERROR(__xludf.DUMMYFUNCTION("QUERY('Volunteer Survey'!A777)"),"")</f>
        <v/>
      </c>
      <c r="AA778" s="175" t="str">
        <f ca="1">IFERROR(__xludf.DUMMYFUNCTION("QUERY('Volunteer Survey'!B777)"),"")</f>
        <v/>
      </c>
      <c r="AB778" s="175" t="str">
        <f ca="1">IFERROR(__xludf.DUMMYFUNCTION("QUERY('Volunteer Survey'!C777)"),"")</f>
        <v/>
      </c>
      <c r="AC778" s="175" t="str">
        <f ca="1">IFERROR(__xludf.DUMMYFUNCTION("QUERY('Volunteer Survey'!D777)"),"")</f>
        <v/>
      </c>
      <c r="AD778" s="175" t="str">
        <f ca="1">IFERROR(__xludf.DUMMYFUNCTION("QUERY('Volunteer Survey'!E777)"),"")</f>
        <v/>
      </c>
      <c r="AE778" s="175" t="str">
        <f ca="1">IFERROR(__xludf.DUMMYFUNCTION("QUERY('Volunteer Survey'!F777)"),"")</f>
        <v/>
      </c>
      <c r="AF778" s="175" t="str">
        <f ca="1">IFERROR(__xludf.DUMMYFUNCTION("QUERY('Volunteer Survey'!G777)"),"")</f>
        <v/>
      </c>
      <c r="AG778" s="175" t="str">
        <f ca="1">IFERROR(__xludf.DUMMYFUNCTION("QUERY('Volunteer Survey'!H777)"),"")</f>
        <v/>
      </c>
      <c r="AH778" s="175" t="str">
        <f ca="1">IFERROR(__xludf.DUMMYFUNCTION("QUERY('Volunteer Survey'!I777)"),"")</f>
        <v/>
      </c>
      <c r="AI778" s="175" t="str">
        <f ca="1">IFERROR(__xludf.DUMMYFUNCTION("QUERY('Volunteer Survey'!J777)"),"")</f>
        <v/>
      </c>
      <c r="AJ778" s="175" t="str">
        <f ca="1">IFERROR(__xludf.DUMMYFUNCTION("QUERY('Volunteer Survey'!K777)"),"")</f>
        <v/>
      </c>
      <c r="AK778" s="175" t="str">
        <f ca="1">IFERROR(__xludf.DUMMYFUNCTION("QUERY('Volunteer Survey'!L777)"),"")</f>
        <v/>
      </c>
      <c r="AL778" s="175" t="str">
        <f ca="1">IFERROR(__xludf.DUMMYFUNCTION("QUERY('Volunteer Survey'!M777)"),"")</f>
        <v/>
      </c>
      <c r="AM778" s="175" t="str">
        <f ca="1">IFERROR(__xludf.DUMMYFUNCTION("QUERY('Volunteer Survey'!N777)"),"")</f>
        <v/>
      </c>
      <c r="AN778" s="175" t="str">
        <f ca="1">IFERROR(__xludf.DUMMYFUNCTION("QUERY('Volunteer Survey'!O777)"),"")</f>
        <v/>
      </c>
      <c r="AO778" s="175" t="str">
        <f ca="1">IFERROR(__xludf.DUMMYFUNCTION("QUERY('Volunteer Survey'!P777)"),"")</f>
        <v/>
      </c>
    </row>
    <row r="779" spans="1:41" ht="14">
      <c r="A779" s="49"/>
      <c r="B779" s="49"/>
      <c r="C779" s="47"/>
      <c r="D779" s="49"/>
      <c r="E779" s="49"/>
      <c r="F779" s="49" t="b">
        <v>0</v>
      </c>
      <c r="G779" s="49"/>
      <c r="H779" s="47"/>
      <c r="I779" s="47"/>
      <c r="J779" s="49"/>
      <c r="K779" s="49"/>
      <c r="L779" s="49"/>
      <c r="M779" s="49"/>
      <c r="N779" s="49"/>
      <c r="O779" s="49" t="b">
        <v>0</v>
      </c>
      <c r="P779" s="49"/>
      <c r="Q779" s="49"/>
      <c r="R779" s="49"/>
      <c r="S779" s="49"/>
      <c r="T779" s="49"/>
      <c r="U779" s="58"/>
      <c r="V779" s="49"/>
      <c r="W779" s="58"/>
      <c r="X779" s="49"/>
      <c r="Y779" s="47"/>
      <c r="Z779" s="175" t="str">
        <f ca="1">IFERROR(__xludf.DUMMYFUNCTION("QUERY('Volunteer Survey'!A778)"),"")</f>
        <v/>
      </c>
      <c r="AA779" s="175" t="str">
        <f ca="1">IFERROR(__xludf.DUMMYFUNCTION("QUERY('Volunteer Survey'!B778)"),"")</f>
        <v/>
      </c>
      <c r="AB779" s="175" t="str">
        <f ca="1">IFERROR(__xludf.DUMMYFUNCTION("QUERY('Volunteer Survey'!C778)"),"")</f>
        <v/>
      </c>
      <c r="AC779" s="175" t="str">
        <f ca="1">IFERROR(__xludf.DUMMYFUNCTION("QUERY('Volunteer Survey'!D778)"),"")</f>
        <v/>
      </c>
      <c r="AD779" s="175" t="str">
        <f ca="1">IFERROR(__xludf.DUMMYFUNCTION("QUERY('Volunteer Survey'!E778)"),"")</f>
        <v/>
      </c>
      <c r="AE779" s="175" t="str">
        <f ca="1">IFERROR(__xludf.DUMMYFUNCTION("QUERY('Volunteer Survey'!F778)"),"")</f>
        <v/>
      </c>
      <c r="AF779" s="175" t="str">
        <f ca="1">IFERROR(__xludf.DUMMYFUNCTION("QUERY('Volunteer Survey'!G778)"),"")</f>
        <v/>
      </c>
      <c r="AG779" s="175" t="str">
        <f ca="1">IFERROR(__xludf.DUMMYFUNCTION("QUERY('Volunteer Survey'!H778)"),"")</f>
        <v/>
      </c>
      <c r="AH779" s="175" t="str">
        <f ca="1">IFERROR(__xludf.DUMMYFUNCTION("QUERY('Volunteer Survey'!I778)"),"")</f>
        <v/>
      </c>
      <c r="AI779" s="175" t="str">
        <f ca="1">IFERROR(__xludf.DUMMYFUNCTION("QUERY('Volunteer Survey'!J778)"),"")</f>
        <v/>
      </c>
      <c r="AJ779" s="175" t="str">
        <f ca="1">IFERROR(__xludf.DUMMYFUNCTION("QUERY('Volunteer Survey'!K778)"),"")</f>
        <v/>
      </c>
      <c r="AK779" s="175" t="str">
        <f ca="1">IFERROR(__xludf.DUMMYFUNCTION("QUERY('Volunteer Survey'!L778)"),"")</f>
        <v/>
      </c>
      <c r="AL779" s="175" t="str">
        <f ca="1">IFERROR(__xludf.DUMMYFUNCTION("QUERY('Volunteer Survey'!M778)"),"")</f>
        <v/>
      </c>
      <c r="AM779" s="175" t="str">
        <f ca="1">IFERROR(__xludf.DUMMYFUNCTION("QUERY('Volunteer Survey'!N778)"),"")</f>
        <v/>
      </c>
      <c r="AN779" s="175" t="str">
        <f ca="1">IFERROR(__xludf.DUMMYFUNCTION("QUERY('Volunteer Survey'!O778)"),"")</f>
        <v/>
      </c>
      <c r="AO779" s="175" t="str">
        <f ca="1">IFERROR(__xludf.DUMMYFUNCTION("QUERY('Volunteer Survey'!P778)"),"")</f>
        <v/>
      </c>
    </row>
    <row r="780" spans="1:41" ht="14">
      <c r="A780" s="49"/>
      <c r="B780" s="49"/>
      <c r="C780" s="47"/>
      <c r="D780" s="49"/>
      <c r="E780" s="49"/>
      <c r="F780" s="49" t="b">
        <v>0</v>
      </c>
      <c r="G780" s="49"/>
      <c r="H780" s="47"/>
      <c r="I780" s="47"/>
      <c r="J780" s="49"/>
      <c r="K780" s="49"/>
      <c r="L780" s="49"/>
      <c r="M780" s="49"/>
      <c r="N780" s="49"/>
      <c r="O780" s="49" t="b">
        <v>0</v>
      </c>
      <c r="P780" s="49"/>
      <c r="Q780" s="49"/>
      <c r="R780" s="49"/>
      <c r="S780" s="49"/>
      <c r="T780" s="49"/>
      <c r="U780" s="58"/>
      <c r="V780" s="49"/>
      <c r="W780" s="58"/>
      <c r="X780" s="49"/>
      <c r="Y780" s="47"/>
      <c r="Z780" s="175" t="str">
        <f ca="1">IFERROR(__xludf.DUMMYFUNCTION("QUERY('Volunteer Survey'!A779)"),"")</f>
        <v/>
      </c>
      <c r="AA780" s="175" t="str">
        <f ca="1">IFERROR(__xludf.DUMMYFUNCTION("QUERY('Volunteer Survey'!B779)"),"")</f>
        <v/>
      </c>
      <c r="AB780" s="175" t="str">
        <f ca="1">IFERROR(__xludf.DUMMYFUNCTION("QUERY('Volunteer Survey'!C779)"),"")</f>
        <v/>
      </c>
      <c r="AC780" s="175" t="str">
        <f ca="1">IFERROR(__xludf.DUMMYFUNCTION("QUERY('Volunteer Survey'!D779)"),"")</f>
        <v/>
      </c>
      <c r="AD780" s="175" t="str">
        <f ca="1">IFERROR(__xludf.DUMMYFUNCTION("QUERY('Volunteer Survey'!E779)"),"")</f>
        <v/>
      </c>
      <c r="AE780" s="175" t="str">
        <f ca="1">IFERROR(__xludf.DUMMYFUNCTION("QUERY('Volunteer Survey'!F779)"),"")</f>
        <v/>
      </c>
      <c r="AF780" s="175" t="str">
        <f ca="1">IFERROR(__xludf.DUMMYFUNCTION("QUERY('Volunteer Survey'!G779)"),"")</f>
        <v/>
      </c>
      <c r="AG780" s="175" t="str">
        <f ca="1">IFERROR(__xludf.DUMMYFUNCTION("QUERY('Volunteer Survey'!H779)"),"")</f>
        <v/>
      </c>
      <c r="AH780" s="175" t="str">
        <f ca="1">IFERROR(__xludf.DUMMYFUNCTION("QUERY('Volunteer Survey'!I779)"),"")</f>
        <v/>
      </c>
      <c r="AI780" s="175" t="str">
        <f ca="1">IFERROR(__xludf.DUMMYFUNCTION("QUERY('Volunteer Survey'!J779)"),"")</f>
        <v/>
      </c>
      <c r="AJ780" s="175" t="str">
        <f ca="1">IFERROR(__xludf.DUMMYFUNCTION("QUERY('Volunteer Survey'!K779)"),"")</f>
        <v/>
      </c>
      <c r="AK780" s="175" t="str">
        <f ca="1">IFERROR(__xludf.DUMMYFUNCTION("QUERY('Volunteer Survey'!L779)"),"")</f>
        <v/>
      </c>
      <c r="AL780" s="175" t="str">
        <f ca="1">IFERROR(__xludf.DUMMYFUNCTION("QUERY('Volunteer Survey'!M779)"),"")</f>
        <v/>
      </c>
      <c r="AM780" s="175" t="str">
        <f ca="1">IFERROR(__xludf.DUMMYFUNCTION("QUERY('Volunteer Survey'!N779)"),"")</f>
        <v/>
      </c>
      <c r="AN780" s="175" t="str">
        <f ca="1">IFERROR(__xludf.DUMMYFUNCTION("QUERY('Volunteer Survey'!O779)"),"")</f>
        <v/>
      </c>
      <c r="AO780" s="175" t="str">
        <f ca="1">IFERROR(__xludf.DUMMYFUNCTION("QUERY('Volunteer Survey'!P779)"),"")</f>
        <v/>
      </c>
    </row>
    <row r="781" spans="1:41" ht="14">
      <c r="A781" s="49"/>
      <c r="B781" s="49"/>
      <c r="C781" s="47"/>
      <c r="D781" s="49"/>
      <c r="E781" s="49"/>
      <c r="F781" s="49" t="b">
        <v>0</v>
      </c>
      <c r="G781" s="49"/>
      <c r="H781" s="47"/>
      <c r="I781" s="47"/>
      <c r="J781" s="49"/>
      <c r="K781" s="49"/>
      <c r="L781" s="49"/>
      <c r="M781" s="49"/>
      <c r="N781" s="49"/>
      <c r="O781" s="49" t="b">
        <v>0</v>
      </c>
      <c r="P781" s="49"/>
      <c r="Q781" s="49"/>
      <c r="R781" s="49"/>
      <c r="S781" s="49"/>
      <c r="T781" s="49"/>
      <c r="U781" s="58"/>
      <c r="V781" s="49"/>
      <c r="W781" s="58"/>
      <c r="X781" s="49"/>
      <c r="Y781" s="47"/>
      <c r="Z781" s="175" t="str">
        <f ca="1">IFERROR(__xludf.DUMMYFUNCTION("QUERY('Volunteer Survey'!A780)"),"")</f>
        <v/>
      </c>
      <c r="AA781" s="175" t="str">
        <f ca="1">IFERROR(__xludf.DUMMYFUNCTION("QUERY('Volunteer Survey'!B780)"),"")</f>
        <v/>
      </c>
      <c r="AB781" s="175" t="str">
        <f ca="1">IFERROR(__xludf.DUMMYFUNCTION("QUERY('Volunteer Survey'!C780)"),"")</f>
        <v/>
      </c>
      <c r="AC781" s="175" t="str">
        <f ca="1">IFERROR(__xludf.DUMMYFUNCTION("QUERY('Volunteer Survey'!D780)"),"")</f>
        <v/>
      </c>
      <c r="AD781" s="175" t="str">
        <f ca="1">IFERROR(__xludf.DUMMYFUNCTION("QUERY('Volunteer Survey'!E780)"),"")</f>
        <v/>
      </c>
      <c r="AE781" s="175" t="str">
        <f ca="1">IFERROR(__xludf.DUMMYFUNCTION("QUERY('Volunteer Survey'!F780)"),"")</f>
        <v/>
      </c>
      <c r="AF781" s="175" t="str">
        <f ca="1">IFERROR(__xludf.DUMMYFUNCTION("QUERY('Volunteer Survey'!G780)"),"")</f>
        <v/>
      </c>
      <c r="AG781" s="175" t="str">
        <f ca="1">IFERROR(__xludf.DUMMYFUNCTION("QUERY('Volunteer Survey'!H780)"),"")</f>
        <v/>
      </c>
      <c r="AH781" s="175" t="str">
        <f ca="1">IFERROR(__xludf.DUMMYFUNCTION("QUERY('Volunteer Survey'!I780)"),"")</f>
        <v/>
      </c>
      <c r="AI781" s="175" t="str">
        <f ca="1">IFERROR(__xludf.DUMMYFUNCTION("QUERY('Volunteer Survey'!J780)"),"")</f>
        <v/>
      </c>
      <c r="AJ781" s="175" t="str">
        <f ca="1">IFERROR(__xludf.DUMMYFUNCTION("QUERY('Volunteer Survey'!K780)"),"")</f>
        <v/>
      </c>
      <c r="AK781" s="175" t="str">
        <f ca="1">IFERROR(__xludf.DUMMYFUNCTION("QUERY('Volunteer Survey'!L780)"),"")</f>
        <v/>
      </c>
      <c r="AL781" s="175" t="str">
        <f ca="1">IFERROR(__xludf.DUMMYFUNCTION("QUERY('Volunteer Survey'!M780)"),"")</f>
        <v/>
      </c>
      <c r="AM781" s="175" t="str">
        <f ca="1">IFERROR(__xludf.DUMMYFUNCTION("QUERY('Volunteer Survey'!N780)"),"")</f>
        <v/>
      </c>
      <c r="AN781" s="175" t="str">
        <f ca="1">IFERROR(__xludf.DUMMYFUNCTION("QUERY('Volunteer Survey'!O780)"),"")</f>
        <v/>
      </c>
      <c r="AO781" s="175" t="str">
        <f ca="1">IFERROR(__xludf.DUMMYFUNCTION("QUERY('Volunteer Survey'!P780)"),"")</f>
        <v/>
      </c>
    </row>
    <row r="782" spans="1:41" ht="14">
      <c r="A782" s="49"/>
      <c r="B782" s="49"/>
      <c r="C782" s="47"/>
      <c r="D782" s="49"/>
      <c r="E782" s="49"/>
      <c r="F782" s="49" t="b">
        <v>0</v>
      </c>
      <c r="G782" s="49"/>
      <c r="H782" s="47"/>
      <c r="I782" s="47"/>
      <c r="J782" s="49"/>
      <c r="K782" s="49"/>
      <c r="L782" s="49"/>
      <c r="M782" s="49"/>
      <c r="N782" s="49"/>
      <c r="O782" s="49" t="b">
        <v>0</v>
      </c>
      <c r="P782" s="49"/>
      <c r="Q782" s="49"/>
      <c r="R782" s="49"/>
      <c r="S782" s="49"/>
      <c r="T782" s="49"/>
      <c r="U782" s="58"/>
      <c r="V782" s="49"/>
      <c r="W782" s="58"/>
      <c r="X782" s="49"/>
      <c r="Y782" s="47"/>
      <c r="Z782" s="175" t="str">
        <f ca="1">IFERROR(__xludf.DUMMYFUNCTION("QUERY('Volunteer Survey'!A781)"),"")</f>
        <v/>
      </c>
      <c r="AA782" s="175" t="str">
        <f ca="1">IFERROR(__xludf.DUMMYFUNCTION("QUERY('Volunteer Survey'!B781)"),"")</f>
        <v/>
      </c>
      <c r="AB782" s="175" t="str">
        <f ca="1">IFERROR(__xludf.DUMMYFUNCTION("QUERY('Volunteer Survey'!C781)"),"")</f>
        <v/>
      </c>
      <c r="AC782" s="175" t="str">
        <f ca="1">IFERROR(__xludf.DUMMYFUNCTION("QUERY('Volunteer Survey'!D781)"),"")</f>
        <v/>
      </c>
      <c r="AD782" s="175" t="str">
        <f ca="1">IFERROR(__xludf.DUMMYFUNCTION("QUERY('Volunteer Survey'!E781)"),"")</f>
        <v/>
      </c>
      <c r="AE782" s="175" t="str">
        <f ca="1">IFERROR(__xludf.DUMMYFUNCTION("QUERY('Volunteer Survey'!F781)"),"")</f>
        <v/>
      </c>
      <c r="AF782" s="175" t="str">
        <f ca="1">IFERROR(__xludf.DUMMYFUNCTION("QUERY('Volunteer Survey'!G781)"),"")</f>
        <v/>
      </c>
      <c r="AG782" s="175" t="str">
        <f ca="1">IFERROR(__xludf.DUMMYFUNCTION("QUERY('Volunteer Survey'!H781)"),"")</f>
        <v/>
      </c>
      <c r="AH782" s="175" t="str">
        <f ca="1">IFERROR(__xludf.DUMMYFUNCTION("QUERY('Volunteer Survey'!I781)"),"")</f>
        <v/>
      </c>
      <c r="AI782" s="175" t="str">
        <f ca="1">IFERROR(__xludf.DUMMYFUNCTION("QUERY('Volunteer Survey'!J781)"),"")</f>
        <v/>
      </c>
      <c r="AJ782" s="175" t="str">
        <f ca="1">IFERROR(__xludf.DUMMYFUNCTION("QUERY('Volunteer Survey'!K781)"),"")</f>
        <v/>
      </c>
      <c r="AK782" s="175" t="str">
        <f ca="1">IFERROR(__xludf.DUMMYFUNCTION("QUERY('Volunteer Survey'!L781)"),"")</f>
        <v/>
      </c>
      <c r="AL782" s="175" t="str">
        <f ca="1">IFERROR(__xludf.DUMMYFUNCTION("QUERY('Volunteer Survey'!M781)"),"")</f>
        <v/>
      </c>
      <c r="AM782" s="175" t="str">
        <f ca="1">IFERROR(__xludf.DUMMYFUNCTION("QUERY('Volunteer Survey'!N781)"),"")</f>
        <v/>
      </c>
      <c r="AN782" s="175" t="str">
        <f ca="1">IFERROR(__xludf.DUMMYFUNCTION("QUERY('Volunteer Survey'!O781)"),"")</f>
        <v/>
      </c>
      <c r="AO782" s="175" t="str">
        <f ca="1">IFERROR(__xludf.DUMMYFUNCTION("QUERY('Volunteer Survey'!P781)"),"")</f>
        <v/>
      </c>
    </row>
    <row r="783" spans="1:41" ht="14">
      <c r="A783" s="49"/>
      <c r="B783" s="49"/>
      <c r="C783" s="47"/>
      <c r="D783" s="49"/>
      <c r="E783" s="49"/>
      <c r="F783" s="49" t="b">
        <v>0</v>
      </c>
      <c r="G783" s="49"/>
      <c r="H783" s="47"/>
      <c r="I783" s="47"/>
      <c r="J783" s="49"/>
      <c r="K783" s="49"/>
      <c r="L783" s="49"/>
      <c r="M783" s="49"/>
      <c r="N783" s="49"/>
      <c r="O783" s="49" t="b">
        <v>0</v>
      </c>
      <c r="P783" s="49"/>
      <c r="Q783" s="49"/>
      <c r="R783" s="49"/>
      <c r="S783" s="49"/>
      <c r="T783" s="49"/>
      <c r="U783" s="58"/>
      <c r="V783" s="49"/>
      <c r="W783" s="58"/>
      <c r="X783" s="49"/>
      <c r="Y783" s="47"/>
      <c r="Z783" s="175" t="str">
        <f ca="1">IFERROR(__xludf.DUMMYFUNCTION("QUERY('Volunteer Survey'!A782)"),"")</f>
        <v/>
      </c>
      <c r="AA783" s="175" t="str">
        <f ca="1">IFERROR(__xludf.DUMMYFUNCTION("QUERY('Volunteer Survey'!B782)"),"")</f>
        <v/>
      </c>
      <c r="AB783" s="175" t="str">
        <f ca="1">IFERROR(__xludf.DUMMYFUNCTION("QUERY('Volunteer Survey'!C782)"),"")</f>
        <v/>
      </c>
      <c r="AC783" s="175" t="str">
        <f ca="1">IFERROR(__xludf.DUMMYFUNCTION("QUERY('Volunteer Survey'!D782)"),"")</f>
        <v/>
      </c>
      <c r="AD783" s="175" t="str">
        <f ca="1">IFERROR(__xludf.DUMMYFUNCTION("QUERY('Volunteer Survey'!E782)"),"")</f>
        <v/>
      </c>
      <c r="AE783" s="175" t="str">
        <f ca="1">IFERROR(__xludf.DUMMYFUNCTION("QUERY('Volunteer Survey'!F782)"),"")</f>
        <v/>
      </c>
      <c r="AF783" s="175" t="str">
        <f ca="1">IFERROR(__xludf.DUMMYFUNCTION("QUERY('Volunteer Survey'!G782)"),"")</f>
        <v/>
      </c>
      <c r="AG783" s="175" t="str">
        <f ca="1">IFERROR(__xludf.DUMMYFUNCTION("QUERY('Volunteer Survey'!H782)"),"")</f>
        <v/>
      </c>
      <c r="AH783" s="175" t="str">
        <f ca="1">IFERROR(__xludf.DUMMYFUNCTION("QUERY('Volunteer Survey'!I782)"),"")</f>
        <v/>
      </c>
      <c r="AI783" s="175" t="str">
        <f ca="1">IFERROR(__xludf.DUMMYFUNCTION("QUERY('Volunteer Survey'!J782)"),"")</f>
        <v/>
      </c>
      <c r="AJ783" s="175" t="str">
        <f ca="1">IFERROR(__xludf.DUMMYFUNCTION("QUERY('Volunteer Survey'!K782)"),"")</f>
        <v/>
      </c>
      <c r="AK783" s="175" t="str">
        <f ca="1">IFERROR(__xludf.DUMMYFUNCTION("QUERY('Volunteer Survey'!L782)"),"")</f>
        <v/>
      </c>
      <c r="AL783" s="175" t="str">
        <f ca="1">IFERROR(__xludf.DUMMYFUNCTION("QUERY('Volunteer Survey'!M782)"),"")</f>
        <v/>
      </c>
      <c r="AM783" s="175" t="str">
        <f ca="1">IFERROR(__xludf.DUMMYFUNCTION("QUERY('Volunteer Survey'!N782)"),"")</f>
        <v/>
      </c>
      <c r="AN783" s="175" t="str">
        <f ca="1">IFERROR(__xludf.DUMMYFUNCTION("QUERY('Volunteer Survey'!O782)"),"")</f>
        <v/>
      </c>
      <c r="AO783" s="175" t="str">
        <f ca="1">IFERROR(__xludf.DUMMYFUNCTION("QUERY('Volunteer Survey'!P782)"),"")</f>
        <v/>
      </c>
    </row>
    <row r="784" spans="1:41" ht="14">
      <c r="A784" s="49"/>
      <c r="B784" s="49"/>
      <c r="C784" s="47"/>
      <c r="D784" s="49"/>
      <c r="E784" s="49"/>
      <c r="F784" s="49" t="b">
        <v>0</v>
      </c>
      <c r="G784" s="49"/>
      <c r="H784" s="47"/>
      <c r="I784" s="47"/>
      <c r="J784" s="49"/>
      <c r="K784" s="49"/>
      <c r="L784" s="49"/>
      <c r="M784" s="49"/>
      <c r="N784" s="49"/>
      <c r="O784" s="49" t="b">
        <v>0</v>
      </c>
      <c r="P784" s="49"/>
      <c r="Q784" s="49"/>
      <c r="R784" s="49"/>
      <c r="S784" s="49"/>
      <c r="T784" s="49"/>
      <c r="U784" s="58"/>
      <c r="V784" s="49"/>
      <c r="W784" s="58"/>
      <c r="X784" s="49"/>
      <c r="Y784" s="47"/>
      <c r="Z784" s="175" t="str">
        <f ca="1">IFERROR(__xludf.DUMMYFUNCTION("QUERY('Volunteer Survey'!A783)"),"")</f>
        <v/>
      </c>
      <c r="AA784" s="175" t="str">
        <f ca="1">IFERROR(__xludf.DUMMYFUNCTION("QUERY('Volunteer Survey'!B783)"),"")</f>
        <v/>
      </c>
      <c r="AB784" s="175" t="str">
        <f ca="1">IFERROR(__xludf.DUMMYFUNCTION("QUERY('Volunteer Survey'!C783)"),"")</f>
        <v/>
      </c>
      <c r="AC784" s="175" t="str">
        <f ca="1">IFERROR(__xludf.DUMMYFUNCTION("QUERY('Volunteer Survey'!D783)"),"")</f>
        <v/>
      </c>
      <c r="AD784" s="175" t="str">
        <f ca="1">IFERROR(__xludf.DUMMYFUNCTION("QUERY('Volunteer Survey'!E783)"),"")</f>
        <v/>
      </c>
      <c r="AE784" s="175" t="str">
        <f ca="1">IFERROR(__xludf.DUMMYFUNCTION("QUERY('Volunteer Survey'!F783)"),"")</f>
        <v/>
      </c>
      <c r="AF784" s="175" t="str">
        <f ca="1">IFERROR(__xludf.DUMMYFUNCTION("QUERY('Volunteer Survey'!G783)"),"")</f>
        <v/>
      </c>
      <c r="AG784" s="175" t="str">
        <f ca="1">IFERROR(__xludf.DUMMYFUNCTION("QUERY('Volunteer Survey'!H783)"),"")</f>
        <v/>
      </c>
      <c r="AH784" s="175" t="str">
        <f ca="1">IFERROR(__xludf.DUMMYFUNCTION("QUERY('Volunteer Survey'!I783)"),"")</f>
        <v/>
      </c>
      <c r="AI784" s="175" t="str">
        <f ca="1">IFERROR(__xludf.DUMMYFUNCTION("QUERY('Volunteer Survey'!J783)"),"")</f>
        <v/>
      </c>
      <c r="AJ784" s="175" t="str">
        <f ca="1">IFERROR(__xludf.DUMMYFUNCTION("QUERY('Volunteer Survey'!K783)"),"")</f>
        <v/>
      </c>
      <c r="AK784" s="175" t="str">
        <f ca="1">IFERROR(__xludf.DUMMYFUNCTION("QUERY('Volunteer Survey'!L783)"),"")</f>
        <v/>
      </c>
      <c r="AL784" s="175" t="str">
        <f ca="1">IFERROR(__xludf.DUMMYFUNCTION("QUERY('Volunteer Survey'!M783)"),"")</f>
        <v/>
      </c>
      <c r="AM784" s="175" t="str">
        <f ca="1">IFERROR(__xludf.DUMMYFUNCTION("QUERY('Volunteer Survey'!N783)"),"")</f>
        <v/>
      </c>
      <c r="AN784" s="175" t="str">
        <f ca="1">IFERROR(__xludf.DUMMYFUNCTION("QUERY('Volunteer Survey'!O783)"),"")</f>
        <v/>
      </c>
      <c r="AO784" s="175" t="str">
        <f ca="1">IFERROR(__xludf.DUMMYFUNCTION("QUERY('Volunteer Survey'!P783)"),"")</f>
        <v/>
      </c>
    </row>
    <row r="785" spans="1:41" ht="14">
      <c r="A785" s="49"/>
      <c r="B785" s="49"/>
      <c r="C785" s="47"/>
      <c r="D785" s="49"/>
      <c r="E785" s="49"/>
      <c r="F785" s="49" t="b">
        <v>0</v>
      </c>
      <c r="G785" s="49"/>
      <c r="H785" s="47"/>
      <c r="I785" s="47"/>
      <c r="J785" s="49"/>
      <c r="K785" s="49"/>
      <c r="L785" s="49"/>
      <c r="M785" s="49"/>
      <c r="N785" s="49"/>
      <c r="O785" s="49" t="b">
        <v>0</v>
      </c>
      <c r="P785" s="49"/>
      <c r="Q785" s="49"/>
      <c r="R785" s="49"/>
      <c r="S785" s="49"/>
      <c r="T785" s="49"/>
      <c r="U785" s="58"/>
      <c r="V785" s="49"/>
      <c r="W785" s="58"/>
      <c r="X785" s="49"/>
      <c r="Y785" s="47"/>
      <c r="Z785" s="175" t="str">
        <f ca="1">IFERROR(__xludf.DUMMYFUNCTION("QUERY('Volunteer Survey'!A784)"),"")</f>
        <v/>
      </c>
      <c r="AA785" s="175" t="str">
        <f ca="1">IFERROR(__xludf.DUMMYFUNCTION("QUERY('Volunteer Survey'!B784)"),"")</f>
        <v/>
      </c>
      <c r="AB785" s="175" t="str">
        <f ca="1">IFERROR(__xludf.DUMMYFUNCTION("QUERY('Volunteer Survey'!C784)"),"")</f>
        <v/>
      </c>
      <c r="AC785" s="175" t="str">
        <f ca="1">IFERROR(__xludf.DUMMYFUNCTION("QUERY('Volunteer Survey'!D784)"),"")</f>
        <v/>
      </c>
      <c r="AD785" s="175" t="str">
        <f ca="1">IFERROR(__xludf.DUMMYFUNCTION("QUERY('Volunteer Survey'!E784)"),"")</f>
        <v/>
      </c>
      <c r="AE785" s="175" t="str">
        <f ca="1">IFERROR(__xludf.DUMMYFUNCTION("QUERY('Volunteer Survey'!F784)"),"")</f>
        <v/>
      </c>
      <c r="AF785" s="175" t="str">
        <f ca="1">IFERROR(__xludf.DUMMYFUNCTION("QUERY('Volunteer Survey'!G784)"),"")</f>
        <v/>
      </c>
      <c r="AG785" s="175" t="str">
        <f ca="1">IFERROR(__xludf.DUMMYFUNCTION("QUERY('Volunteer Survey'!H784)"),"")</f>
        <v/>
      </c>
      <c r="AH785" s="175" t="str">
        <f ca="1">IFERROR(__xludf.DUMMYFUNCTION("QUERY('Volunteer Survey'!I784)"),"")</f>
        <v/>
      </c>
      <c r="AI785" s="175" t="str">
        <f ca="1">IFERROR(__xludf.DUMMYFUNCTION("QUERY('Volunteer Survey'!J784)"),"")</f>
        <v/>
      </c>
      <c r="AJ785" s="175" t="str">
        <f ca="1">IFERROR(__xludf.DUMMYFUNCTION("QUERY('Volunteer Survey'!K784)"),"")</f>
        <v/>
      </c>
      <c r="AK785" s="175" t="str">
        <f ca="1">IFERROR(__xludf.DUMMYFUNCTION("QUERY('Volunteer Survey'!L784)"),"")</f>
        <v/>
      </c>
      <c r="AL785" s="175" t="str">
        <f ca="1">IFERROR(__xludf.DUMMYFUNCTION("QUERY('Volunteer Survey'!M784)"),"")</f>
        <v/>
      </c>
      <c r="AM785" s="175" t="str">
        <f ca="1">IFERROR(__xludf.DUMMYFUNCTION("QUERY('Volunteer Survey'!N784)"),"")</f>
        <v/>
      </c>
      <c r="AN785" s="175" t="str">
        <f ca="1">IFERROR(__xludf.DUMMYFUNCTION("QUERY('Volunteer Survey'!O784)"),"")</f>
        <v/>
      </c>
      <c r="AO785" s="175" t="str">
        <f ca="1">IFERROR(__xludf.DUMMYFUNCTION("QUERY('Volunteer Survey'!P784)"),"")</f>
        <v/>
      </c>
    </row>
    <row r="786" spans="1:41" ht="14">
      <c r="A786" s="49"/>
      <c r="B786" s="49"/>
      <c r="C786" s="47"/>
      <c r="D786" s="49"/>
      <c r="E786" s="49"/>
      <c r="F786" s="49" t="b">
        <v>0</v>
      </c>
      <c r="G786" s="49"/>
      <c r="H786" s="47"/>
      <c r="I786" s="47"/>
      <c r="J786" s="49"/>
      <c r="K786" s="49"/>
      <c r="L786" s="49"/>
      <c r="M786" s="49"/>
      <c r="N786" s="49"/>
      <c r="O786" s="49" t="b">
        <v>0</v>
      </c>
      <c r="P786" s="49"/>
      <c r="Q786" s="49"/>
      <c r="R786" s="49"/>
      <c r="S786" s="49"/>
      <c r="T786" s="49"/>
      <c r="U786" s="58"/>
      <c r="V786" s="49"/>
      <c r="W786" s="58"/>
      <c r="X786" s="49"/>
      <c r="Y786" s="47"/>
      <c r="Z786" s="175" t="str">
        <f ca="1">IFERROR(__xludf.DUMMYFUNCTION("QUERY('Volunteer Survey'!A785)"),"")</f>
        <v/>
      </c>
      <c r="AA786" s="175" t="str">
        <f ca="1">IFERROR(__xludf.DUMMYFUNCTION("QUERY('Volunteer Survey'!B785)"),"")</f>
        <v/>
      </c>
      <c r="AB786" s="175" t="str">
        <f ca="1">IFERROR(__xludf.DUMMYFUNCTION("QUERY('Volunteer Survey'!C785)"),"")</f>
        <v/>
      </c>
      <c r="AC786" s="175" t="str">
        <f ca="1">IFERROR(__xludf.DUMMYFUNCTION("QUERY('Volunteer Survey'!D785)"),"")</f>
        <v/>
      </c>
      <c r="AD786" s="175" t="str">
        <f ca="1">IFERROR(__xludf.DUMMYFUNCTION("QUERY('Volunteer Survey'!E785)"),"")</f>
        <v/>
      </c>
      <c r="AE786" s="175" t="str">
        <f ca="1">IFERROR(__xludf.DUMMYFUNCTION("QUERY('Volunteer Survey'!F785)"),"")</f>
        <v/>
      </c>
      <c r="AF786" s="175" t="str">
        <f ca="1">IFERROR(__xludf.DUMMYFUNCTION("QUERY('Volunteer Survey'!G785)"),"")</f>
        <v/>
      </c>
      <c r="AG786" s="175" t="str">
        <f ca="1">IFERROR(__xludf.DUMMYFUNCTION("QUERY('Volunteer Survey'!H785)"),"")</f>
        <v/>
      </c>
      <c r="AH786" s="175" t="str">
        <f ca="1">IFERROR(__xludf.DUMMYFUNCTION("QUERY('Volunteer Survey'!I785)"),"")</f>
        <v/>
      </c>
      <c r="AI786" s="175" t="str">
        <f ca="1">IFERROR(__xludf.DUMMYFUNCTION("QUERY('Volunteer Survey'!J785)"),"")</f>
        <v/>
      </c>
      <c r="AJ786" s="175" t="str">
        <f ca="1">IFERROR(__xludf.DUMMYFUNCTION("QUERY('Volunteer Survey'!K785)"),"")</f>
        <v/>
      </c>
      <c r="AK786" s="175" t="str">
        <f ca="1">IFERROR(__xludf.DUMMYFUNCTION("QUERY('Volunteer Survey'!L785)"),"")</f>
        <v/>
      </c>
      <c r="AL786" s="175" t="str">
        <f ca="1">IFERROR(__xludf.DUMMYFUNCTION("QUERY('Volunteer Survey'!M785)"),"")</f>
        <v/>
      </c>
      <c r="AM786" s="175" t="str">
        <f ca="1">IFERROR(__xludf.DUMMYFUNCTION("QUERY('Volunteer Survey'!N785)"),"")</f>
        <v/>
      </c>
      <c r="AN786" s="175" t="str">
        <f ca="1">IFERROR(__xludf.DUMMYFUNCTION("QUERY('Volunteer Survey'!O785)"),"")</f>
        <v/>
      </c>
      <c r="AO786" s="175" t="str">
        <f ca="1">IFERROR(__xludf.DUMMYFUNCTION("QUERY('Volunteer Survey'!P785)"),"")</f>
        <v/>
      </c>
    </row>
    <row r="787" spans="1:41" ht="14">
      <c r="A787" s="49"/>
      <c r="B787" s="49"/>
      <c r="C787" s="47"/>
      <c r="D787" s="49"/>
      <c r="E787" s="49"/>
      <c r="F787" s="49" t="b">
        <v>0</v>
      </c>
      <c r="G787" s="49"/>
      <c r="H787" s="47"/>
      <c r="I787" s="47"/>
      <c r="J787" s="49"/>
      <c r="K787" s="49"/>
      <c r="L787" s="49"/>
      <c r="M787" s="49"/>
      <c r="N787" s="49"/>
      <c r="O787" s="49" t="b">
        <v>0</v>
      </c>
      <c r="P787" s="49"/>
      <c r="Q787" s="49"/>
      <c r="R787" s="49"/>
      <c r="S787" s="49"/>
      <c r="T787" s="49"/>
      <c r="U787" s="58"/>
      <c r="V787" s="49"/>
      <c r="W787" s="58"/>
      <c r="X787" s="49"/>
      <c r="Y787" s="47"/>
      <c r="Z787" s="175" t="str">
        <f ca="1">IFERROR(__xludf.DUMMYFUNCTION("QUERY('Volunteer Survey'!A786)"),"")</f>
        <v/>
      </c>
      <c r="AA787" s="175" t="str">
        <f ca="1">IFERROR(__xludf.DUMMYFUNCTION("QUERY('Volunteer Survey'!B786)"),"")</f>
        <v/>
      </c>
      <c r="AB787" s="175" t="str">
        <f ca="1">IFERROR(__xludf.DUMMYFUNCTION("QUERY('Volunteer Survey'!C786)"),"")</f>
        <v/>
      </c>
      <c r="AC787" s="175" t="str">
        <f ca="1">IFERROR(__xludf.DUMMYFUNCTION("QUERY('Volunteer Survey'!D786)"),"")</f>
        <v/>
      </c>
      <c r="AD787" s="175" t="str">
        <f ca="1">IFERROR(__xludf.DUMMYFUNCTION("QUERY('Volunteer Survey'!E786)"),"")</f>
        <v/>
      </c>
      <c r="AE787" s="175" t="str">
        <f ca="1">IFERROR(__xludf.DUMMYFUNCTION("QUERY('Volunteer Survey'!F786)"),"")</f>
        <v/>
      </c>
      <c r="AF787" s="175" t="str">
        <f ca="1">IFERROR(__xludf.DUMMYFUNCTION("QUERY('Volunteer Survey'!G786)"),"")</f>
        <v/>
      </c>
      <c r="AG787" s="175" t="str">
        <f ca="1">IFERROR(__xludf.DUMMYFUNCTION("QUERY('Volunteer Survey'!H786)"),"")</f>
        <v/>
      </c>
      <c r="AH787" s="175" t="str">
        <f ca="1">IFERROR(__xludf.DUMMYFUNCTION("QUERY('Volunteer Survey'!I786)"),"")</f>
        <v/>
      </c>
      <c r="AI787" s="175" t="str">
        <f ca="1">IFERROR(__xludf.DUMMYFUNCTION("QUERY('Volunteer Survey'!J786)"),"")</f>
        <v/>
      </c>
      <c r="AJ787" s="175" t="str">
        <f ca="1">IFERROR(__xludf.DUMMYFUNCTION("QUERY('Volunteer Survey'!K786)"),"")</f>
        <v/>
      </c>
      <c r="AK787" s="175" t="str">
        <f ca="1">IFERROR(__xludf.DUMMYFUNCTION("QUERY('Volunteer Survey'!L786)"),"")</f>
        <v/>
      </c>
      <c r="AL787" s="175" t="str">
        <f ca="1">IFERROR(__xludf.DUMMYFUNCTION("QUERY('Volunteer Survey'!M786)"),"")</f>
        <v/>
      </c>
      <c r="AM787" s="175" t="str">
        <f ca="1">IFERROR(__xludf.DUMMYFUNCTION("QUERY('Volunteer Survey'!N786)"),"")</f>
        <v/>
      </c>
      <c r="AN787" s="175" t="str">
        <f ca="1">IFERROR(__xludf.DUMMYFUNCTION("QUERY('Volunteer Survey'!O786)"),"")</f>
        <v/>
      </c>
      <c r="AO787" s="175" t="str">
        <f ca="1">IFERROR(__xludf.DUMMYFUNCTION("QUERY('Volunteer Survey'!P786)"),"")</f>
        <v/>
      </c>
    </row>
    <row r="788" spans="1:41" ht="14">
      <c r="A788" s="49"/>
      <c r="B788" s="49"/>
      <c r="C788" s="47"/>
      <c r="D788" s="49"/>
      <c r="E788" s="49"/>
      <c r="F788" s="49" t="b">
        <v>0</v>
      </c>
      <c r="G788" s="49"/>
      <c r="H788" s="47"/>
      <c r="I788" s="47"/>
      <c r="J788" s="49"/>
      <c r="K788" s="49"/>
      <c r="L788" s="49"/>
      <c r="M788" s="49"/>
      <c r="N788" s="49"/>
      <c r="O788" s="49" t="b">
        <v>0</v>
      </c>
      <c r="P788" s="49"/>
      <c r="Q788" s="49"/>
      <c r="R788" s="49"/>
      <c r="S788" s="49"/>
      <c r="T788" s="49"/>
      <c r="U788" s="58"/>
      <c r="V788" s="49"/>
      <c r="W788" s="58"/>
      <c r="X788" s="49"/>
      <c r="Y788" s="47"/>
      <c r="Z788" s="175" t="str">
        <f ca="1">IFERROR(__xludf.DUMMYFUNCTION("QUERY('Volunteer Survey'!A787)"),"")</f>
        <v/>
      </c>
      <c r="AA788" s="175" t="str">
        <f ca="1">IFERROR(__xludf.DUMMYFUNCTION("QUERY('Volunteer Survey'!B787)"),"")</f>
        <v/>
      </c>
      <c r="AB788" s="175" t="str">
        <f ca="1">IFERROR(__xludf.DUMMYFUNCTION("QUERY('Volunteer Survey'!C787)"),"")</f>
        <v/>
      </c>
      <c r="AC788" s="175" t="str">
        <f ca="1">IFERROR(__xludf.DUMMYFUNCTION("QUERY('Volunteer Survey'!D787)"),"")</f>
        <v/>
      </c>
      <c r="AD788" s="175" t="str">
        <f ca="1">IFERROR(__xludf.DUMMYFUNCTION("QUERY('Volunteer Survey'!E787)"),"")</f>
        <v/>
      </c>
      <c r="AE788" s="175" t="str">
        <f ca="1">IFERROR(__xludf.DUMMYFUNCTION("QUERY('Volunteer Survey'!F787)"),"")</f>
        <v/>
      </c>
      <c r="AF788" s="175" t="str">
        <f ca="1">IFERROR(__xludf.DUMMYFUNCTION("QUERY('Volunteer Survey'!G787)"),"")</f>
        <v/>
      </c>
      <c r="AG788" s="175" t="str">
        <f ca="1">IFERROR(__xludf.DUMMYFUNCTION("QUERY('Volunteer Survey'!H787)"),"")</f>
        <v/>
      </c>
      <c r="AH788" s="175" t="str">
        <f ca="1">IFERROR(__xludf.DUMMYFUNCTION("QUERY('Volunteer Survey'!I787)"),"")</f>
        <v/>
      </c>
      <c r="AI788" s="175" t="str">
        <f ca="1">IFERROR(__xludf.DUMMYFUNCTION("QUERY('Volunteer Survey'!J787)"),"")</f>
        <v/>
      </c>
      <c r="AJ788" s="175" t="str">
        <f ca="1">IFERROR(__xludf.DUMMYFUNCTION("QUERY('Volunteer Survey'!K787)"),"")</f>
        <v/>
      </c>
      <c r="AK788" s="175" t="str">
        <f ca="1">IFERROR(__xludf.DUMMYFUNCTION("QUERY('Volunteer Survey'!L787)"),"")</f>
        <v/>
      </c>
      <c r="AL788" s="175" t="str">
        <f ca="1">IFERROR(__xludf.DUMMYFUNCTION("QUERY('Volunteer Survey'!M787)"),"")</f>
        <v/>
      </c>
      <c r="AM788" s="175" t="str">
        <f ca="1">IFERROR(__xludf.DUMMYFUNCTION("QUERY('Volunteer Survey'!N787)"),"")</f>
        <v/>
      </c>
      <c r="AN788" s="175" t="str">
        <f ca="1">IFERROR(__xludf.DUMMYFUNCTION("QUERY('Volunteer Survey'!O787)"),"")</f>
        <v/>
      </c>
      <c r="AO788" s="175" t="str">
        <f ca="1">IFERROR(__xludf.DUMMYFUNCTION("QUERY('Volunteer Survey'!P787)"),"")</f>
        <v/>
      </c>
    </row>
    <row r="789" spans="1:41" ht="14">
      <c r="A789" s="49"/>
      <c r="B789" s="49"/>
      <c r="C789" s="47"/>
      <c r="D789" s="49"/>
      <c r="E789" s="49"/>
      <c r="F789" s="49" t="b">
        <v>0</v>
      </c>
      <c r="G789" s="49"/>
      <c r="H789" s="47"/>
      <c r="I789" s="47"/>
      <c r="J789" s="49"/>
      <c r="K789" s="49"/>
      <c r="L789" s="49"/>
      <c r="M789" s="49"/>
      <c r="N789" s="49"/>
      <c r="O789" s="49" t="b">
        <v>0</v>
      </c>
      <c r="P789" s="49"/>
      <c r="Q789" s="49"/>
      <c r="R789" s="49"/>
      <c r="S789" s="49"/>
      <c r="T789" s="49"/>
      <c r="U789" s="58"/>
      <c r="V789" s="49"/>
      <c r="W789" s="58"/>
      <c r="X789" s="49"/>
      <c r="Y789" s="47"/>
      <c r="Z789" s="175" t="str">
        <f ca="1">IFERROR(__xludf.DUMMYFUNCTION("QUERY('Volunteer Survey'!A788)"),"")</f>
        <v/>
      </c>
      <c r="AA789" s="175" t="str">
        <f ca="1">IFERROR(__xludf.DUMMYFUNCTION("QUERY('Volunteer Survey'!B788)"),"")</f>
        <v/>
      </c>
      <c r="AB789" s="175" t="str">
        <f ca="1">IFERROR(__xludf.DUMMYFUNCTION("QUERY('Volunteer Survey'!C788)"),"")</f>
        <v/>
      </c>
      <c r="AC789" s="175" t="str">
        <f ca="1">IFERROR(__xludf.DUMMYFUNCTION("QUERY('Volunteer Survey'!D788)"),"")</f>
        <v/>
      </c>
      <c r="AD789" s="175" t="str">
        <f ca="1">IFERROR(__xludf.DUMMYFUNCTION("QUERY('Volunteer Survey'!E788)"),"")</f>
        <v/>
      </c>
      <c r="AE789" s="175" t="str">
        <f ca="1">IFERROR(__xludf.DUMMYFUNCTION("QUERY('Volunteer Survey'!F788)"),"")</f>
        <v/>
      </c>
      <c r="AF789" s="175" t="str">
        <f ca="1">IFERROR(__xludf.DUMMYFUNCTION("QUERY('Volunteer Survey'!G788)"),"")</f>
        <v/>
      </c>
      <c r="AG789" s="175" t="str">
        <f ca="1">IFERROR(__xludf.DUMMYFUNCTION("QUERY('Volunteer Survey'!H788)"),"")</f>
        <v/>
      </c>
      <c r="AH789" s="175" t="str">
        <f ca="1">IFERROR(__xludf.DUMMYFUNCTION("QUERY('Volunteer Survey'!I788)"),"")</f>
        <v/>
      </c>
      <c r="AI789" s="175" t="str">
        <f ca="1">IFERROR(__xludf.DUMMYFUNCTION("QUERY('Volunteer Survey'!J788)"),"")</f>
        <v/>
      </c>
      <c r="AJ789" s="175" t="str">
        <f ca="1">IFERROR(__xludf.DUMMYFUNCTION("QUERY('Volunteer Survey'!K788)"),"")</f>
        <v/>
      </c>
      <c r="AK789" s="175" t="str">
        <f ca="1">IFERROR(__xludf.DUMMYFUNCTION("QUERY('Volunteer Survey'!L788)"),"")</f>
        <v/>
      </c>
      <c r="AL789" s="175" t="str">
        <f ca="1">IFERROR(__xludf.DUMMYFUNCTION("QUERY('Volunteer Survey'!M788)"),"")</f>
        <v/>
      </c>
      <c r="AM789" s="175" t="str">
        <f ca="1">IFERROR(__xludf.DUMMYFUNCTION("QUERY('Volunteer Survey'!N788)"),"")</f>
        <v/>
      </c>
      <c r="AN789" s="175" t="str">
        <f ca="1">IFERROR(__xludf.DUMMYFUNCTION("QUERY('Volunteer Survey'!O788)"),"")</f>
        <v/>
      </c>
      <c r="AO789" s="175" t="str">
        <f ca="1">IFERROR(__xludf.DUMMYFUNCTION("QUERY('Volunteer Survey'!P788)"),"")</f>
        <v/>
      </c>
    </row>
    <row r="790" spans="1:41" ht="14">
      <c r="A790" s="49"/>
      <c r="B790" s="49"/>
      <c r="C790" s="47"/>
      <c r="D790" s="49"/>
      <c r="E790" s="49"/>
      <c r="F790" s="49" t="b">
        <v>0</v>
      </c>
      <c r="G790" s="49"/>
      <c r="H790" s="47"/>
      <c r="I790" s="47"/>
      <c r="J790" s="49"/>
      <c r="K790" s="49"/>
      <c r="L790" s="49"/>
      <c r="M790" s="49"/>
      <c r="N790" s="49"/>
      <c r="O790" s="49" t="b">
        <v>0</v>
      </c>
      <c r="P790" s="49"/>
      <c r="Q790" s="49"/>
      <c r="R790" s="49"/>
      <c r="S790" s="49"/>
      <c r="T790" s="49"/>
      <c r="U790" s="58"/>
      <c r="V790" s="49"/>
      <c r="W790" s="58"/>
      <c r="X790" s="49"/>
      <c r="Y790" s="47"/>
      <c r="Z790" s="175" t="str">
        <f ca="1">IFERROR(__xludf.DUMMYFUNCTION("QUERY('Volunteer Survey'!A789)"),"")</f>
        <v/>
      </c>
      <c r="AA790" s="175" t="str">
        <f ca="1">IFERROR(__xludf.DUMMYFUNCTION("QUERY('Volunteer Survey'!B789)"),"")</f>
        <v/>
      </c>
      <c r="AB790" s="175" t="str">
        <f ca="1">IFERROR(__xludf.DUMMYFUNCTION("QUERY('Volunteer Survey'!C789)"),"")</f>
        <v/>
      </c>
      <c r="AC790" s="175" t="str">
        <f ca="1">IFERROR(__xludf.DUMMYFUNCTION("QUERY('Volunteer Survey'!D789)"),"")</f>
        <v/>
      </c>
      <c r="AD790" s="175" t="str">
        <f ca="1">IFERROR(__xludf.DUMMYFUNCTION("QUERY('Volunteer Survey'!E789)"),"")</f>
        <v/>
      </c>
      <c r="AE790" s="175" t="str">
        <f ca="1">IFERROR(__xludf.DUMMYFUNCTION("QUERY('Volunteer Survey'!F789)"),"")</f>
        <v/>
      </c>
      <c r="AF790" s="175" t="str">
        <f ca="1">IFERROR(__xludf.DUMMYFUNCTION("QUERY('Volunteer Survey'!G789)"),"")</f>
        <v/>
      </c>
      <c r="AG790" s="175" t="str">
        <f ca="1">IFERROR(__xludf.DUMMYFUNCTION("QUERY('Volunteer Survey'!H789)"),"")</f>
        <v/>
      </c>
      <c r="AH790" s="175" t="str">
        <f ca="1">IFERROR(__xludf.DUMMYFUNCTION("QUERY('Volunteer Survey'!I789)"),"")</f>
        <v/>
      </c>
      <c r="AI790" s="175" t="str">
        <f ca="1">IFERROR(__xludf.DUMMYFUNCTION("QUERY('Volunteer Survey'!J789)"),"")</f>
        <v/>
      </c>
      <c r="AJ790" s="175" t="str">
        <f ca="1">IFERROR(__xludf.DUMMYFUNCTION("QUERY('Volunteer Survey'!K789)"),"")</f>
        <v/>
      </c>
      <c r="AK790" s="175" t="str">
        <f ca="1">IFERROR(__xludf.DUMMYFUNCTION("QUERY('Volunteer Survey'!L789)"),"")</f>
        <v/>
      </c>
      <c r="AL790" s="175" t="str">
        <f ca="1">IFERROR(__xludf.DUMMYFUNCTION("QUERY('Volunteer Survey'!M789)"),"")</f>
        <v/>
      </c>
      <c r="AM790" s="175" t="str">
        <f ca="1">IFERROR(__xludf.DUMMYFUNCTION("QUERY('Volunteer Survey'!N789)"),"")</f>
        <v/>
      </c>
      <c r="AN790" s="175" t="str">
        <f ca="1">IFERROR(__xludf.DUMMYFUNCTION("QUERY('Volunteer Survey'!O789)"),"")</f>
        <v/>
      </c>
      <c r="AO790" s="175" t="str">
        <f ca="1">IFERROR(__xludf.DUMMYFUNCTION("QUERY('Volunteer Survey'!P789)"),"")</f>
        <v/>
      </c>
    </row>
    <row r="791" spans="1:41" ht="14">
      <c r="A791" s="49"/>
      <c r="B791" s="49"/>
      <c r="C791" s="47"/>
      <c r="D791" s="49"/>
      <c r="E791" s="49"/>
      <c r="F791" s="49" t="b">
        <v>0</v>
      </c>
      <c r="G791" s="49"/>
      <c r="H791" s="47"/>
      <c r="I791" s="47"/>
      <c r="J791" s="49"/>
      <c r="K791" s="49"/>
      <c r="L791" s="49"/>
      <c r="M791" s="49"/>
      <c r="N791" s="49"/>
      <c r="O791" s="49" t="b">
        <v>0</v>
      </c>
      <c r="P791" s="49"/>
      <c r="Q791" s="49"/>
      <c r="R791" s="49"/>
      <c r="S791" s="49"/>
      <c r="T791" s="49"/>
      <c r="U791" s="58"/>
      <c r="V791" s="49"/>
      <c r="W791" s="58"/>
      <c r="X791" s="49"/>
      <c r="Y791" s="47"/>
      <c r="Z791" s="175" t="str">
        <f ca="1">IFERROR(__xludf.DUMMYFUNCTION("QUERY('Volunteer Survey'!A790)"),"")</f>
        <v/>
      </c>
      <c r="AA791" s="175" t="str">
        <f ca="1">IFERROR(__xludf.DUMMYFUNCTION("QUERY('Volunteer Survey'!B790)"),"")</f>
        <v/>
      </c>
      <c r="AB791" s="175" t="str">
        <f ca="1">IFERROR(__xludf.DUMMYFUNCTION("QUERY('Volunteer Survey'!C790)"),"")</f>
        <v/>
      </c>
      <c r="AC791" s="175" t="str">
        <f ca="1">IFERROR(__xludf.DUMMYFUNCTION("QUERY('Volunteer Survey'!D790)"),"")</f>
        <v/>
      </c>
      <c r="AD791" s="175" t="str">
        <f ca="1">IFERROR(__xludf.DUMMYFUNCTION("QUERY('Volunteer Survey'!E790)"),"")</f>
        <v/>
      </c>
      <c r="AE791" s="175" t="str">
        <f ca="1">IFERROR(__xludf.DUMMYFUNCTION("QUERY('Volunteer Survey'!F790)"),"")</f>
        <v/>
      </c>
      <c r="AF791" s="175" t="str">
        <f ca="1">IFERROR(__xludf.DUMMYFUNCTION("QUERY('Volunteer Survey'!G790)"),"")</f>
        <v/>
      </c>
      <c r="AG791" s="175" t="str">
        <f ca="1">IFERROR(__xludf.DUMMYFUNCTION("QUERY('Volunteer Survey'!H790)"),"")</f>
        <v/>
      </c>
      <c r="AH791" s="175" t="str">
        <f ca="1">IFERROR(__xludf.DUMMYFUNCTION("QUERY('Volunteer Survey'!I790)"),"")</f>
        <v/>
      </c>
      <c r="AI791" s="175" t="str">
        <f ca="1">IFERROR(__xludf.DUMMYFUNCTION("QUERY('Volunteer Survey'!J790)"),"")</f>
        <v/>
      </c>
      <c r="AJ791" s="175" t="str">
        <f ca="1">IFERROR(__xludf.DUMMYFUNCTION("QUERY('Volunteer Survey'!K790)"),"")</f>
        <v/>
      </c>
      <c r="AK791" s="175" t="str">
        <f ca="1">IFERROR(__xludf.DUMMYFUNCTION("QUERY('Volunteer Survey'!L790)"),"")</f>
        <v/>
      </c>
      <c r="AL791" s="175" t="str">
        <f ca="1">IFERROR(__xludf.DUMMYFUNCTION("QUERY('Volunteer Survey'!M790)"),"")</f>
        <v/>
      </c>
      <c r="AM791" s="175" t="str">
        <f ca="1">IFERROR(__xludf.DUMMYFUNCTION("QUERY('Volunteer Survey'!N790)"),"")</f>
        <v/>
      </c>
      <c r="AN791" s="175" t="str">
        <f ca="1">IFERROR(__xludf.DUMMYFUNCTION("QUERY('Volunteer Survey'!O790)"),"")</f>
        <v/>
      </c>
      <c r="AO791" s="175" t="str">
        <f ca="1">IFERROR(__xludf.DUMMYFUNCTION("QUERY('Volunteer Survey'!P790)"),"")</f>
        <v/>
      </c>
    </row>
    <row r="792" spans="1:41" ht="14">
      <c r="A792" s="49"/>
      <c r="B792" s="49"/>
      <c r="C792" s="47"/>
      <c r="D792" s="49"/>
      <c r="E792" s="49"/>
      <c r="F792" s="49" t="b">
        <v>0</v>
      </c>
      <c r="G792" s="49"/>
      <c r="H792" s="47"/>
      <c r="I792" s="47"/>
      <c r="J792" s="49"/>
      <c r="K792" s="49"/>
      <c r="L792" s="49"/>
      <c r="M792" s="49"/>
      <c r="N792" s="49"/>
      <c r="O792" s="49" t="b">
        <v>0</v>
      </c>
      <c r="P792" s="49"/>
      <c r="Q792" s="49"/>
      <c r="R792" s="49"/>
      <c r="S792" s="49"/>
      <c r="T792" s="49"/>
      <c r="U792" s="58"/>
      <c r="V792" s="49"/>
      <c r="W792" s="58"/>
      <c r="X792" s="49"/>
      <c r="Y792" s="47"/>
      <c r="Z792" s="175" t="str">
        <f ca="1">IFERROR(__xludf.DUMMYFUNCTION("QUERY('Volunteer Survey'!A791)"),"")</f>
        <v/>
      </c>
      <c r="AA792" s="175" t="str">
        <f ca="1">IFERROR(__xludf.DUMMYFUNCTION("QUERY('Volunteer Survey'!B791)"),"")</f>
        <v/>
      </c>
      <c r="AB792" s="175" t="str">
        <f ca="1">IFERROR(__xludf.DUMMYFUNCTION("QUERY('Volunteer Survey'!C791)"),"")</f>
        <v/>
      </c>
      <c r="AC792" s="175" t="str">
        <f ca="1">IFERROR(__xludf.DUMMYFUNCTION("QUERY('Volunteer Survey'!D791)"),"")</f>
        <v/>
      </c>
      <c r="AD792" s="175" t="str">
        <f ca="1">IFERROR(__xludf.DUMMYFUNCTION("QUERY('Volunteer Survey'!E791)"),"")</f>
        <v/>
      </c>
      <c r="AE792" s="175" t="str">
        <f ca="1">IFERROR(__xludf.DUMMYFUNCTION("QUERY('Volunteer Survey'!F791)"),"")</f>
        <v/>
      </c>
      <c r="AF792" s="175" t="str">
        <f ca="1">IFERROR(__xludf.DUMMYFUNCTION("QUERY('Volunteer Survey'!G791)"),"")</f>
        <v/>
      </c>
      <c r="AG792" s="175" t="str">
        <f ca="1">IFERROR(__xludf.DUMMYFUNCTION("QUERY('Volunteer Survey'!H791)"),"")</f>
        <v/>
      </c>
      <c r="AH792" s="175" t="str">
        <f ca="1">IFERROR(__xludf.DUMMYFUNCTION("QUERY('Volunteer Survey'!I791)"),"")</f>
        <v/>
      </c>
      <c r="AI792" s="175" t="str">
        <f ca="1">IFERROR(__xludf.DUMMYFUNCTION("QUERY('Volunteer Survey'!J791)"),"")</f>
        <v/>
      </c>
      <c r="AJ792" s="175" t="str">
        <f ca="1">IFERROR(__xludf.DUMMYFUNCTION("QUERY('Volunteer Survey'!K791)"),"")</f>
        <v/>
      </c>
      <c r="AK792" s="175" t="str">
        <f ca="1">IFERROR(__xludf.DUMMYFUNCTION("QUERY('Volunteer Survey'!L791)"),"")</f>
        <v/>
      </c>
      <c r="AL792" s="175" t="str">
        <f ca="1">IFERROR(__xludf.DUMMYFUNCTION("QUERY('Volunteer Survey'!M791)"),"")</f>
        <v/>
      </c>
      <c r="AM792" s="175" t="str">
        <f ca="1">IFERROR(__xludf.DUMMYFUNCTION("QUERY('Volunteer Survey'!N791)"),"")</f>
        <v/>
      </c>
      <c r="AN792" s="175" t="str">
        <f ca="1">IFERROR(__xludf.DUMMYFUNCTION("QUERY('Volunteer Survey'!O791)"),"")</f>
        <v/>
      </c>
      <c r="AO792" s="175" t="str">
        <f ca="1">IFERROR(__xludf.DUMMYFUNCTION("QUERY('Volunteer Survey'!P791)"),"")</f>
        <v/>
      </c>
    </row>
    <row r="793" spans="1:41" ht="14">
      <c r="A793" s="49"/>
      <c r="B793" s="49"/>
      <c r="C793" s="47"/>
      <c r="D793" s="49"/>
      <c r="E793" s="49"/>
      <c r="F793" s="49" t="b">
        <v>0</v>
      </c>
      <c r="G793" s="49"/>
      <c r="H793" s="47"/>
      <c r="I793" s="47"/>
      <c r="J793" s="49"/>
      <c r="K793" s="49"/>
      <c r="L793" s="49"/>
      <c r="M793" s="49"/>
      <c r="N793" s="49"/>
      <c r="O793" s="49" t="b">
        <v>0</v>
      </c>
      <c r="P793" s="49"/>
      <c r="Q793" s="49"/>
      <c r="R793" s="49"/>
      <c r="S793" s="49"/>
      <c r="T793" s="49"/>
      <c r="U793" s="58"/>
      <c r="V793" s="49"/>
      <c r="W793" s="58"/>
      <c r="X793" s="49"/>
      <c r="Y793" s="47"/>
      <c r="Z793" s="175" t="str">
        <f ca="1">IFERROR(__xludf.DUMMYFUNCTION("QUERY('Volunteer Survey'!A792)"),"")</f>
        <v/>
      </c>
      <c r="AA793" s="175" t="str">
        <f ca="1">IFERROR(__xludf.DUMMYFUNCTION("QUERY('Volunteer Survey'!B792)"),"")</f>
        <v/>
      </c>
      <c r="AB793" s="175" t="str">
        <f ca="1">IFERROR(__xludf.DUMMYFUNCTION("QUERY('Volunteer Survey'!C792)"),"")</f>
        <v/>
      </c>
      <c r="AC793" s="175" t="str">
        <f ca="1">IFERROR(__xludf.DUMMYFUNCTION("QUERY('Volunteer Survey'!D792)"),"")</f>
        <v/>
      </c>
      <c r="AD793" s="175" t="str">
        <f ca="1">IFERROR(__xludf.DUMMYFUNCTION("QUERY('Volunteer Survey'!E792)"),"")</f>
        <v/>
      </c>
      <c r="AE793" s="175" t="str">
        <f ca="1">IFERROR(__xludf.DUMMYFUNCTION("QUERY('Volunteer Survey'!F792)"),"")</f>
        <v/>
      </c>
      <c r="AF793" s="175" t="str">
        <f ca="1">IFERROR(__xludf.DUMMYFUNCTION("QUERY('Volunteer Survey'!G792)"),"")</f>
        <v/>
      </c>
      <c r="AG793" s="175" t="str">
        <f ca="1">IFERROR(__xludf.DUMMYFUNCTION("QUERY('Volunteer Survey'!H792)"),"")</f>
        <v/>
      </c>
      <c r="AH793" s="175" t="str">
        <f ca="1">IFERROR(__xludf.DUMMYFUNCTION("QUERY('Volunteer Survey'!I792)"),"")</f>
        <v/>
      </c>
      <c r="AI793" s="175" t="str">
        <f ca="1">IFERROR(__xludf.DUMMYFUNCTION("QUERY('Volunteer Survey'!J792)"),"")</f>
        <v/>
      </c>
      <c r="AJ793" s="175" t="str">
        <f ca="1">IFERROR(__xludf.DUMMYFUNCTION("QUERY('Volunteer Survey'!K792)"),"")</f>
        <v/>
      </c>
      <c r="AK793" s="175" t="str">
        <f ca="1">IFERROR(__xludf.DUMMYFUNCTION("QUERY('Volunteer Survey'!L792)"),"")</f>
        <v/>
      </c>
      <c r="AL793" s="175" t="str">
        <f ca="1">IFERROR(__xludf.DUMMYFUNCTION("QUERY('Volunteer Survey'!M792)"),"")</f>
        <v/>
      </c>
      <c r="AM793" s="175" t="str">
        <f ca="1">IFERROR(__xludf.DUMMYFUNCTION("QUERY('Volunteer Survey'!N792)"),"")</f>
        <v/>
      </c>
      <c r="AN793" s="175" t="str">
        <f ca="1">IFERROR(__xludf.DUMMYFUNCTION("QUERY('Volunteer Survey'!O792)"),"")</f>
        <v/>
      </c>
      <c r="AO793" s="175" t="str">
        <f ca="1">IFERROR(__xludf.DUMMYFUNCTION("QUERY('Volunteer Survey'!P792)"),"")</f>
        <v/>
      </c>
    </row>
    <row r="794" spans="1:41" ht="14">
      <c r="A794" s="49"/>
      <c r="B794" s="49"/>
      <c r="C794" s="47"/>
      <c r="D794" s="49"/>
      <c r="E794" s="49"/>
      <c r="F794" s="49" t="b">
        <v>0</v>
      </c>
      <c r="G794" s="49"/>
      <c r="H794" s="47"/>
      <c r="I794" s="47"/>
      <c r="J794" s="49"/>
      <c r="K794" s="49"/>
      <c r="L794" s="49"/>
      <c r="M794" s="49"/>
      <c r="N794" s="49"/>
      <c r="O794" s="49" t="b">
        <v>0</v>
      </c>
      <c r="P794" s="49"/>
      <c r="Q794" s="49"/>
      <c r="R794" s="49"/>
      <c r="S794" s="49"/>
      <c r="T794" s="49"/>
      <c r="U794" s="58"/>
      <c r="V794" s="49"/>
      <c r="W794" s="58"/>
      <c r="X794" s="49"/>
      <c r="Y794" s="47"/>
      <c r="Z794" s="175" t="str">
        <f ca="1">IFERROR(__xludf.DUMMYFUNCTION("QUERY('Volunteer Survey'!A793)"),"")</f>
        <v/>
      </c>
      <c r="AA794" s="175" t="str">
        <f ca="1">IFERROR(__xludf.DUMMYFUNCTION("QUERY('Volunteer Survey'!B793)"),"")</f>
        <v/>
      </c>
      <c r="AB794" s="175" t="str">
        <f ca="1">IFERROR(__xludf.DUMMYFUNCTION("QUERY('Volunteer Survey'!C793)"),"")</f>
        <v/>
      </c>
      <c r="AC794" s="175" t="str">
        <f ca="1">IFERROR(__xludf.DUMMYFUNCTION("QUERY('Volunteer Survey'!D793)"),"")</f>
        <v/>
      </c>
      <c r="AD794" s="175" t="str">
        <f ca="1">IFERROR(__xludf.DUMMYFUNCTION("QUERY('Volunteer Survey'!E793)"),"")</f>
        <v/>
      </c>
      <c r="AE794" s="175" t="str">
        <f ca="1">IFERROR(__xludf.DUMMYFUNCTION("QUERY('Volunteer Survey'!F793)"),"")</f>
        <v/>
      </c>
      <c r="AF794" s="175" t="str">
        <f ca="1">IFERROR(__xludf.DUMMYFUNCTION("QUERY('Volunteer Survey'!G793)"),"")</f>
        <v/>
      </c>
      <c r="AG794" s="175" t="str">
        <f ca="1">IFERROR(__xludf.DUMMYFUNCTION("QUERY('Volunteer Survey'!H793)"),"")</f>
        <v/>
      </c>
      <c r="AH794" s="175" t="str">
        <f ca="1">IFERROR(__xludf.DUMMYFUNCTION("QUERY('Volunteer Survey'!I793)"),"")</f>
        <v/>
      </c>
      <c r="AI794" s="175" t="str">
        <f ca="1">IFERROR(__xludf.DUMMYFUNCTION("QUERY('Volunteer Survey'!J793)"),"")</f>
        <v/>
      </c>
      <c r="AJ794" s="175" t="str">
        <f ca="1">IFERROR(__xludf.DUMMYFUNCTION("QUERY('Volunteer Survey'!K793)"),"")</f>
        <v/>
      </c>
      <c r="AK794" s="175" t="str">
        <f ca="1">IFERROR(__xludf.DUMMYFUNCTION("QUERY('Volunteer Survey'!L793)"),"")</f>
        <v/>
      </c>
      <c r="AL794" s="175" t="str">
        <f ca="1">IFERROR(__xludf.DUMMYFUNCTION("QUERY('Volunteer Survey'!M793)"),"")</f>
        <v/>
      </c>
      <c r="AM794" s="175" t="str">
        <f ca="1">IFERROR(__xludf.DUMMYFUNCTION("QUERY('Volunteer Survey'!N793)"),"")</f>
        <v/>
      </c>
      <c r="AN794" s="175" t="str">
        <f ca="1">IFERROR(__xludf.DUMMYFUNCTION("QUERY('Volunteer Survey'!O793)"),"")</f>
        <v/>
      </c>
      <c r="AO794" s="175" t="str">
        <f ca="1">IFERROR(__xludf.DUMMYFUNCTION("QUERY('Volunteer Survey'!P793)"),"")</f>
        <v/>
      </c>
    </row>
    <row r="795" spans="1:41" ht="14">
      <c r="A795" s="49"/>
      <c r="B795" s="49"/>
      <c r="C795" s="47"/>
      <c r="D795" s="49"/>
      <c r="E795" s="49"/>
      <c r="F795" s="49" t="b">
        <v>0</v>
      </c>
      <c r="G795" s="49"/>
      <c r="H795" s="47"/>
      <c r="I795" s="47"/>
      <c r="J795" s="49"/>
      <c r="K795" s="49"/>
      <c r="L795" s="49"/>
      <c r="M795" s="49"/>
      <c r="N795" s="49"/>
      <c r="O795" s="49" t="b">
        <v>0</v>
      </c>
      <c r="P795" s="49"/>
      <c r="Q795" s="49"/>
      <c r="R795" s="49"/>
      <c r="S795" s="49"/>
      <c r="T795" s="49"/>
      <c r="U795" s="58"/>
      <c r="V795" s="49"/>
      <c r="W795" s="58"/>
      <c r="X795" s="49"/>
      <c r="Y795" s="47"/>
      <c r="Z795" s="175" t="str">
        <f ca="1">IFERROR(__xludf.DUMMYFUNCTION("QUERY('Volunteer Survey'!A794)"),"")</f>
        <v/>
      </c>
      <c r="AA795" s="175" t="str">
        <f ca="1">IFERROR(__xludf.DUMMYFUNCTION("QUERY('Volunteer Survey'!B794)"),"")</f>
        <v/>
      </c>
      <c r="AB795" s="175" t="str">
        <f ca="1">IFERROR(__xludf.DUMMYFUNCTION("QUERY('Volunteer Survey'!C794)"),"")</f>
        <v/>
      </c>
      <c r="AC795" s="175" t="str">
        <f ca="1">IFERROR(__xludf.DUMMYFUNCTION("QUERY('Volunteer Survey'!D794)"),"")</f>
        <v/>
      </c>
      <c r="AD795" s="175" t="str">
        <f ca="1">IFERROR(__xludf.DUMMYFUNCTION("QUERY('Volunteer Survey'!E794)"),"")</f>
        <v/>
      </c>
      <c r="AE795" s="175" t="str">
        <f ca="1">IFERROR(__xludf.DUMMYFUNCTION("QUERY('Volunteer Survey'!F794)"),"")</f>
        <v/>
      </c>
      <c r="AF795" s="175" t="str">
        <f ca="1">IFERROR(__xludf.DUMMYFUNCTION("QUERY('Volunteer Survey'!G794)"),"")</f>
        <v/>
      </c>
      <c r="AG795" s="175" t="str">
        <f ca="1">IFERROR(__xludf.DUMMYFUNCTION("QUERY('Volunteer Survey'!H794)"),"")</f>
        <v/>
      </c>
      <c r="AH795" s="175" t="str">
        <f ca="1">IFERROR(__xludf.DUMMYFUNCTION("QUERY('Volunteer Survey'!I794)"),"")</f>
        <v/>
      </c>
      <c r="AI795" s="175" t="str">
        <f ca="1">IFERROR(__xludf.DUMMYFUNCTION("QUERY('Volunteer Survey'!J794)"),"")</f>
        <v/>
      </c>
      <c r="AJ795" s="175" t="str">
        <f ca="1">IFERROR(__xludf.DUMMYFUNCTION("QUERY('Volunteer Survey'!K794)"),"")</f>
        <v/>
      </c>
      <c r="AK795" s="175" t="str">
        <f ca="1">IFERROR(__xludf.DUMMYFUNCTION("QUERY('Volunteer Survey'!L794)"),"")</f>
        <v/>
      </c>
      <c r="AL795" s="175" t="str">
        <f ca="1">IFERROR(__xludf.DUMMYFUNCTION("QUERY('Volunteer Survey'!M794)"),"")</f>
        <v/>
      </c>
      <c r="AM795" s="175" t="str">
        <f ca="1">IFERROR(__xludf.DUMMYFUNCTION("QUERY('Volunteer Survey'!N794)"),"")</f>
        <v/>
      </c>
      <c r="AN795" s="175" t="str">
        <f ca="1">IFERROR(__xludf.DUMMYFUNCTION("QUERY('Volunteer Survey'!O794)"),"")</f>
        <v/>
      </c>
      <c r="AO795" s="175" t="str">
        <f ca="1">IFERROR(__xludf.DUMMYFUNCTION("QUERY('Volunteer Survey'!P794)"),"")</f>
        <v/>
      </c>
    </row>
    <row r="796" spans="1:41" ht="14">
      <c r="A796" s="49"/>
      <c r="B796" s="49"/>
      <c r="C796" s="47"/>
      <c r="D796" s="49"/>
      <c r="E796" s="49"/>
      <c r="F796" s="49" t="b">
        <v>0</v>
      </c>
      <c r="G796" s="49"/>
      <c r="H796" s="47"/>
      <c r="I796" s="47"/>
      <c r="J796" s="49"/>
      <c r="K796" s="49"/>
      <c r="L796" s="49"/>
      <c r="M796" s="49"/>
      <c r="N796" s="49"/>
      <c r="O796" s="49" t="b">
        <v>0</v>
      </c>
      <c r="P796" s="49"/>
      <c r="Q796" s="49"/>
      <c r="R796" s="49"/>
      <c r="S796" s="49"/>
      <c r="T796" s="49"/>
      <c r="U796" s="58"/>
      <c r="V796" s="49"/>
      <c r="W796" s="58"/>
      <c r="X796" s="49"/>
      <c r="Y796" s="47"/>
      <c r="Z796" s="175" t="str">
        <f ca="1">IFERROR(__xludf.DUMMYFUNCTION("QUERY('Volunteer Survey'!A795)"),"")</f>
        <v/>
      </c>
      <c r="AA796" s="175" t="str">
        <f ca="1">IFERROR(__xludf.DUMMYFUNCTION("QUERY('Volunteer Survey'!B795)"),"")</f>
        <v/>
      </c>
      <c r="AB796" s="175" t="str">
        <f ca="1">IFERROR(__xludf.DUMMYFUNCTION("QUERY('Volunteer Survey'!C795)"),"")</f>
        <v/>
      </c>
      <c r="AC796" s="175" t="str">
        <f ca="1">IFERROR(__xludf.DUMMYFUNCTION("QUERY('Volunteer Survey'!D795)"),"")</f>
        <v/>
      </c>
      <c r="AD796" s="175" t="str">
        <f ca="1">IFERROR(__xludf.DUMMYFUNCTION("QUERY('Volunteer Survey'!E795)"),"")</f>
        <v/>
      </c>
      <c r="AE796" s="175" t="str">
        <f ca="1">IFERROR(__xludf.DUMMYFUNCTION("QUERY('Volunteer Survey'!F795)"),"")</f>
        <v/>
      </c>
      <c r="AF796" s="175" t="str">
        <f ca="1">IFERROR(__xludf.DUMMYFUNCTION("QUERY('Volunteer Survey'!G795)"),"")</f>
        <v/>
      </c>
      <c r="AG796" s="175" t="str">
        <f ca="1">IFERROR(__xludf.DUMMYFUNCTION("QUERY('Volunteer Survey'!H795)"),"")</f>
        <v/>
      </c>
      <c r="AH796" s="175" t="str">
        <f ca="1">IFERROR(__xludf.DUMMYFUNCTION("QUERY('Volunteer Survey'!I795)"),"")</f>
        <v/>
      </c>
      <c r="AI796" s="175" t="str">
        <f ca="1">IFERROR(__xludf.DUMMYFUNCTION("QUERY('Volunteer Survey'!J795)"),"")</f>
        <v/>
      </c>
      <c r="AJ796" s="175" t="str">
        <f ca="1">IFERROR(__xludf.DUMMYFUNCTION("QUERY('Volunteer Survey'!K795)"),"")</f>
        <v/>
      </c>
      <c r="AK796" s="175" t="str">
        <f ca="1">IFERROR(__xludf.DUMMYFUNCTION("QUERY('Volunteer Survey'!L795)"),"")</f>
        <v/>
      </c>
      <c r="AL796" s="175" t="str">
        <f ca="1">IFERROR(__xludf.DUMMYFUNCTION("QUERY('Volunteer Survey'!M795)"),"")</f>
        <v/>
      </c>
      <c r="AM796" s="175" t="str">
        <f ca="1">IFERROR(__xludf.DUMMYFUNCTION("QUERY('Volunteer Survey'!N795)"),"")</f>
        <v/>
      </c>
      <c r="AN796" s="175" t="str">
        <f ca="1">IFERROR(__xludf.DUMMYFUNCTION("QUERY('Volunteer Survey'!O795)"),"")</f>
        <v/>
      </c>
      <c r="AO796" s="175" t="str">
        <f ca="1">IFERROR(__xludf.DUMMYFUNCTION("QUERY('Volunteer Survey'!P795)"),"")</f>
        <v/>
      </c>
    </row>
    <row r="797" spans="1:41" ht="14">
      <c r="A797" s="49"/>
      <c r="B797" s="49"/>
      <c r="C797" s="47"/>
      <c r="D797" s="49"/>
      <c r="E797" s="49"/>
      <c r="F797" s="49" t="b">
        <v>0</v>
      </c>
      <c r="G797" s="49"/>
      <c r="H797" s="47"/>
      <c r="I797" s="47"/>
      <c r="J797" s="49"/>
      <c r="K797" s="49"/>
      <c r="L797" s="49"/>
      <c r="M797" s="49"/>
      <c r="N797" s="49"/>
      <c r="O797" s="49" t="b">
        <v>0</v>
      </c>
      <c r="P797" s="49"/>
      <c r="Q797" s="49"/>
      <c r="R797" s="49"/>
      <c r="S797" s="49"/>
      <c r="T797" s="49"/>
      <c r="U797" s="58"/>
      <c r="V797" s="49"/>
      <c r="W797" s="58"/>
      <c r="X797" s="49"/>
      <c r="Y797" s="47"/>
      <c r="Z797" s="175" t="str">
        <f ca="1">IFERROR(__xludf.DUMMYFUNCTION("QUERY('Volunteer Survey'!A796)"),"")</f>
        <v/>
      </c>
      <c r="AA797" s="175" t="str">
        <f ca="1">IFERROR(__xludf.DUMMYFUNCTION("QUERY('Volunteer Survey'!B796)"),"")</f>
        <v/>
      </c>
      <c r="AB797" s="175" t="str">
        <f ca="1">IFERROR(__xludf.DUMMYFUNCTION("QUERY('Volunteer Survey'!C796)"),"")</f>
        <v/>
      </c>
      <c r="AC797" s="175" t="str">
        <f ca="1">IFERROR(__xludf.DUMMYFUNCTION("QUERY('Volunteer Survey'!D796)"),"")</f>
        <v/>
      </c>
      <c r="AD797" s="175" t="str">
        <f ca="1">IFERROR(__xludf.DUMMYFUNCTION("QUERY('Volunteer Survey'!E796)"),"")</f>
        <v/>
      </c>
      <c r="AE797" s="175" t="str">
        <f ca="1">IFERROR(__xludf.DUMMYFUNCTION("QUERY('Volunteer Survey'!F796)"),"")</f>
        <v/>
      </c>
      <c r="AF797" s="175" t="str">
        <f ca="1">IFERROR(__xludf.DUMMYFUNCTION("QUERY('Volunteer Survey'!G796)"),"")</f>
        <v/>
      </c>
      <c r="AG797" s="175" t="str">
        <f ca="1">IFERROR(__xludf.DUMMYFUNCTION("QUERY('Volunteer Survey'!H796)"),"")</f>
        <v/>
      </c>
      <c r="AH797" s="175" t="str">
        <f ca="1">IFERROR(__xludf.DUMMYFUNCTION("QUERY('Volunteer Survey'!I796)"),"")</f>
        <v/>
      </c>
      <c r="AI797" s="175" t="str">
        <f ca="1">IFERROR(__xludf.DUMMYFUNCTION("QUERY('Volunteer Survey'!J796)"),"")</f>
        <v/>
      </c>
      <c r="AJ797" s="175" t="str">
        <f ca="1">IFERROR(__xludf.DUMMYFUNCTION("QUERY('Volunteer Survey'!K796)"),"")</f>
        <v/>
      </c>
      <c r="AK797" s="175" t="str">
        <f ca="1">IFERROR(__xludf.DUMMYFUNCTION("QUERY('Volunteer Survey'!L796)"),"")</f>
        <v/>
      </c>
      <c r="AL797" s="175" t="str">
        <f ca="1">IFERROR(__xludf.DUMMYFUNCTION("QUERY('Volunteer Survey'!M796)"),"")</f>
        <v/>
      </c>
      <c r="AM797" s="175" t="str">
        <f ca="1">IFERROR(__xludf.DUMMYFUNCTION("QUERY('Volunteer Survey'!N796)"),"")</f>
        <v/>
      </c>
      <c r="AN797" s="175" t="str">
        <f ca="1">IFERROR(__xludf.DUMMYFUNCTION("QUERY('Volunteer Survey'!O796)"),"")</f>
        <v/>
      </c>
      <c r="AO797" s="175" t="str">
        <f ca="1">IFERROR(__xludf.DUMMYFUNCTION("QUERY('Volunteer Survey'!P796)"),"")</f>
        <v/>
      </c>
    </row>
    <row r="798" spans="1:41" ht="14">
      <c r="A798" s="49"/>
      <c r="B798" s="49"/>
      <c r="C798" s="47"/>
      <c r="D798" s="49"/>
      <c r="E798" s="49"/>
      <c r="F798" s="49" t="b">
        <v>0</v>
      </c>
      <c r="G798" s="49"/>
      <c r="H798" s="47"/>
      <c r="I798" s="47"/>
      <c r="J798" s="49"/>
      <c r="K798" s="49"/>
      <c r="L798" s="49"/>
      <c r="M798" s="49"/>
      <c r="N798" s="49"/>
      <c r="O798" s="49" t="b">
        <v>0</v>
      </c>
      <c r="P798" s="49"/>
      <c r="Q798" s="49"/>
      <c r="R798" s="49"/>
      <c r="S798" s="49"/>
      <c r="T798" s="49"/>
      <c r="U798" s="58"/>
      <c r="V798" s="49"/>
      <c r="W798" s="58"/>
      <c r="X798" s="49"/>
      <c r="Y798" s="47"/>
      <c r="Z798" s="175" t="str">
        <f ca="1">IFERROR(__xludf.DUMMYFUNCTION("QUERY('Volunteer Survey'!A797)"),"")</f>
        <v/>
      </c>
      <c r="AA798" s="175" t="str">
        <f ca="1">IFERROR(__xludf.DUMMYFUNCTION("QUERY('Volunteer Survey'!B797)"),"")</f>
        <v/>
      </c>
      <c r="AB798" s="175" t="str">
        <f ca="1">IFERROR(__xludf.DUMMYFUNCTION("QUERY('Volunteer Survey'!C797)"),"")</f>
        <v/>
      </c>
      <c r="AC798" s="175" t="str">
        <f ca="1">IFERROR(__xludf.DUMMYFUNCTION("QUERY('Volunteer Survey'!D797)"),"")</f>
        <v/>
      </c>
      <c r="AD798" s="175" t="str">
        <f ca="1">IFERROR(__xludf.DUMMYFUNCTION("QUERY('Volunteer Survey'!E797)"),"")</f>
        <v/>
      </c>
      <c r="AE798" s="175" t="str">
        <f ca="1">IFERROR(__xludf.DUMMYFUNCTION("QUERY('Volunteer Survey'!F797)"),"")</f>
        <v/>
      </c>
      <c r="AF798" s="175" t="str">
        <f ca="1">IFERROR(__xludf.DUMMYFUNCTION("QUERY('Volunteer Survey'!G797)"),"")</f>
        <v/>
      </c>
      <c r="AG798" s="175" t="str">
        <f ca="1">IFERROR(__xludf.DUMMYFUNCTION("QUERY('Volunteer Survey'!H797)"),"")</f>
        <v/>
      </c>
      <c r="AH798" s="175" t="str">
        <f ca="1">IFERROR(__xludf.DUMMYFUNCTION("QUERY('Volunteer Survey'!I797)"),"")</f>
        <v/>
      </c>
      <c r="AI798" s="175" t="str">
        <f ca="1">IFERROR(__xludf.DUMMYFUNCTION("QUERY('Volunteer Survey'!J797)"),"")</f>
        <v/>
      </c>
      <c r="AJ798" s="175" t="str">
        <f ca="1">IFERROR(__xludf.DUMMYFUNCTION("QUERY('Volunteer Survey'!K797)"),"")</f>
        <v/>
      </c>
      <c r="AK798" s="175" t="str">
        <f ca="1">IFERROR(__xludf.DUMMYFUNCTION("QUERY('Volunteer Survey'!L797)"),"")</f>
        <v/>
      </c>
      <c r="AL798" s="175" t="str">
        <f ca="1">IFERROR(__xludf.DUMMYFUNCTION("QUERY('Volunteer Survey'!M797)"),"")</f>
        <v/>
      </c>
      <c r="AM798" s="175" t="str">
        <f ca="1">IFERROR(__xludf.DUMMYFUNCTION("QUERY('Volunteer Survey'!N797)"),"")</f>
        <v/>
      </c>
      <c r="AN798" s="175" t="str">
        <f ca="1">IFERROR(__xludf.DUMMYFUNCTION("QUERY('Volunteer Survey'!O797)"),"")</f>
        <v/>
      </c>
      <c r="AO798" s="175" t="str">
        <f ca="1">IFERROR(__xludf.DUMMYFUNCTION("QUERY('Volunteer Survey'!P797)"),"")</f>
        <v/>
      </c>
    </row>
    <row r="799" spans="1:41" ht="14">
      <c r="A799" s="49"/>
      <c r="B799" s="49"/>
      <c r="C799" s="47"/>
      <c r="D799" s="49"/>
      <c r="E799" s="49"/>
      <c r="F799" s="49" t="b">
        <v>0</v>
      </c>
      <c r="G799" s="49"/>
      <c r="H799" s="47"/>
      <c r="I799" s="47"/>
      <c r="J799" s="49"/>
      <c r="K799" s="49"/>
      <c r="L799" s="49"/>
      <c r="M799" s="49"/>
      <c r="N799" s="49"/>
      <c r="O799" s="49" t="b">
        <v>0</v>
      </c>
      <c r="P799" s="49"/>
      <c r="Q799" s="49"/>
      <c r="R799" s="49"/>
      <c r="S799" s="49"/>
      <c r="T799" s="49"/>
      <c r="U799" s="58"/>
      <c r="V799" s="49"/>
      <c r="W799" s="58"/>
      <c r="X799" s="49"/>
      <c r="Y799" s="47"/>
      <c r="Z799" s="175" t="str">
        <f ca="1">IFERROR(__xludf.DUMMYFUNCTION("QUERY('Volunteer Survey'!A798)"),"")</f>
        <v/>
      </c>
      <c r="AA799" s="175" t="str">
        <f ca="1">IFERROR(__xludf.DUMMYFUNCTION("QUERY('Volunteer Survey'!B798)"),"")</f>
        <v/>
      </c>
      <c r="AB799" s="175" t="str">
        <f ca="1">IFERROR(__xludf.DUMMYFUNCTION("QUERY('Volunteer Survey'!C798)"),"")</f>
        <v/>
      </c>
      <c r="AC799" s="175" t="str">
        <f ca="1">IFERROR(__xludf.DUMMYFUNCTION("QUERY('Volunteer Survey'!D798)"),"")</f>
        <v/>
      </c>
      <c r="AD799" s="175" t="str">
        <f ca="1">IFERROR(__xludf.DUMMYFUNCTION("QUERY('Volunteer Survey'!E798)"),"")</f>
        <v/>
      </c>
      <c r="AE799" s="175" t="str">
        <f ca="1">IFERROR(__xludf.DUMMYFUNCTION("QUERY('Volunteer Survey'!F798)"),"")</f>
        <v/>
      </c>
      <c r="AF799" s="175" t="str">
        <f ca="1">IFERROR(__xludf.DUMMYFUNCTION("QUERY('Volunteer Survey'!G798)"),"")</f>
        <v/>
      </c>
      <c r="AG799" s="175" t="str">
        <f ca="1">IFERROR(__xludf.DUMMYFUNCTION("QUERY('Volunteer Survey'!H798)"),"")</f>
        <v/>
      </c>
      <c r="AH799" s="175" t="str">
        <f ca="1">IFERROR(__xludf.DUMMYFUNCTION("QUERY('Volunteer Survey'!I798)"),"")</f>
        <v/>
      </c>
      <c r="AI799" s="175" t="str">
        <f ca="1">IFERROR(__xludf.DUMMYFUNCTION("QUERY('Volunteer Survey'!J798)"),"")</f>
        <v/>
      </c>
      <c r="AJ799" s="175" t="str">
        <f ca="1">IFERROR(__xludf.DUMMYFUNCTION("QUERY('Volunteer Survey'!K798)"),"")</f>
        <v/>
      </c>
      <c r="AK799" s="175" t="str">
        <f ca="1">IFERROR(__xludf.DUMMYFUNCTION("QUERY('Volunteer Survey'!L798)"),"")</f>
        <v/>
      </c>
      <c r="AL799" s="175" t="str">
        <f ca="1">IFERROR(__xludf.DUMMYFUNCTION("QUERY('Volunteer Survey'!M798)"),"")</f>
        <v/>
      </c>
      <c r="AM799" s="175" t="str">
        <f ca="1">IFERROR(__xludf.DUMMYFUNCTION("QUERY('Volunteer Survey'!N798)"),"")</f>
        <v/>
      </c>
      <c r="AN799" s="175" t="str">
        <f ca="1">IFERROR(__xludf.DUMMYFUNCTION("QUERY('Volunteer Survey'!O798)"),"")</f>
        <v/>
      </c>
      <c r="AO799" s="175" t="str">
        <f ca="1">IFERROR(__xludf.DUMMYFUNCTION("QUERY('Volunteer Survey'!P798)"),"")</f>
        <v/>
      </c>
    </row>
    <row r="800" spans="1:41" ht="14">
      <c r="A800" s="49"/>
      <c r="B800" s="49"/>
      <c r="C800" s="47"/>
      <c r="D800" s="49"/>
      <c r="E800" s="49"/>
      <c r="F800" s="49" t="b">
        <v>0</v>
      </c>
      <c r="G800" s="49"/>
      <c r="H800" s="47"/>
      <c r="I800" s="47"/>
      <c r="J800" s="49"/>
      <c r="K800" s="49"/>
      <c r="L800" s="49"/>
      <c r="M800" s="49"/>
      <c r="N800" s="49"/>
      <c r="O800" s="49" t="b">
        <v>0</v>
      </c>
      <c r="P800" s="49"/>
      <c r="Q800" s="49"/>
      <c r="R800" s="49"/>
      <c r="S800" s="49"/>
      <c r="T800" s="49"/>
      <c r="U800" s="58"/>
      <c r="V800" s="49"/>
      <c r="W800" s="58"/>
      <c r="X800" s="49"/>
      <c r="Y800" s="47"/>
      <c r="Z800" s="175" t="str">
        <f ca="1">IFERROR(__xludf.DUMMYFUNCTION("QUERY('Volunteer Survey'!A799)"),"")</f>
        <v/>
      </c>
      <c r="AA800" s="175" t="str">
        <f ca="1">IFERROR(__xludf.DUMMYFUNCTION("QUERY('Volunteer Survey'!B799)"),"")</f>
        <v/>
      </c>
      <c r="AB800" s="175" t="str">
        <f ca="1">IFERROR(__xludf.DUMMYFUNCTION("QUERY('Volunteer Survey'!C799)"),"")</f>
        <v/>
      </c>
      <c r="AC800" s="175" t="str">
        <f ca="1">IFERROR(__xludf.DUMMYFUNCTION("QUERY('Volunteer Survey'!D799)"),"")</f>
        <v/>
      </c>
      <c r="AD800" s="175" t="str">
        <f ca="1">IFERROR(__xludf.DUMMYFUNCTION("QUERY('Volunteer Survey'!E799)"),"")</f>
        <v/>
      </c>
      <c r="AE800" s="175" t="str">
        <f ca="1">IFERROR(__xludf.DUMMYFUNCTION("QUERY('Volunteer Survey'!F799)"),"")</f>
        <v/>
      </c>
      <c r="AF800" s="175" t="str">
        <f ca="1">IFERROR(__xludf.DUMMYFUNCTION("QUERY('Volunteer Survey'!G799)"),"")</f>
        <v/>
      </c>
      <c r="AG800" s="175" t="str">
        <f ca="1">IFERROR(__xludf.DUMMYFUNCTION("QUERY('Volunteer Survey'!H799)"),"")</f>
        <v/>
      </c>
      <c r="AH800" s="175" t="str">
        <f ca="1">IFERROR(__xludf.DUMMYFUNCTION("QUERY('Volunteer Survey'!I799)"),"")</f>
        <v/>
      </c>
      <c r="AI800" s="175" t="str">
        <f ca="1">IFERROR(__xludf.DUMMYFUNCTION("QUERY('Volunteer Survey'!J799)"),"")</f>
        <v/>
      </c>
      <c r="AJ800" s="175" t="str">
        <f ca="1">IFERROR(__xludf.DUMMYFUNCTION("QUERY('Volunteer Survey'!K799)"),"")</f>
        <v/>
      </c>
      <c r="AK800" s="175" t="str">
        <f ca="1">IFERROR(__xludf.DUMMYFUNCTION("QUERY('Volunteer Survey'!L799)"),"")</f>
        <v/>
      </c>
      <c r="AL800" s="175" t="str">
        <f ca="1">IFERROR(__xludf.DUMMYFUNCTION("QUERY('Volunteer Survey'!M799)"),"")</f>
        <v/>
      </c>
      <c r="AM800" s="175" t="str">
        <f ca="1">IFERROR(__xludf.DUMMYFUNCTION("QUERY('Volunteer Survey'!N799)"),"")</f>
        <v/>
      </c>
      <c r="AN800" s="175" t="str">
        <f ca="1">IFERROR(__xludf.DUMMYFUNCTION("QUERY('Volunteer Survey'!O799)"),"")</f>
        <v/>
      </c>
      <c r="AO800" s="175" t="str">
        <f ca="1">IFERROR(__xludf.DUMMYFUNCTION("QUERY('Volunteer Survey'!P799)"),"")</f>
        <v/>
      </c>
    </row>
    <row r="801" spans="1:41" ht="14">
      <c r="A801" s="49"/>
      <c r="B801" s="49"/>
      <c r="C801" s="47"/>
      <c r="D801" s="49"/>
      <c r="E801" s="49"/>
      <c r="F801" s="49" t="b">
        <v>0</v>
      </c>
      <c r="G801" s="49"/>
      <c r="H801" s="47"/>
      <c r="I801" s="47"/>
      <c r="J801" s="49"/>
      <c r="K801" s="49"/>
      <c r="L801" s="49"/>
      <c r="M801" s="49"/>
      <c r="N801" s="49"/>
      <c r="O801" s="49" t="b">
        <v>0</v>
      </c>
      <c r="P801" s="49"/>
      <c r="Q801" s="49"/>
      <c r="R801" s="49"/>
      <c r="S801" s="49"/>
      <c r="T801" s="49"/>
      <c r="U801" s="58"/>
      <c r="V801" s="49"/>
      <c r="W801" s="58"/>
      <c r="X801" s="49"/>
      <c r="Y801" s="47"/>
      <c r="Z801" s="175" t="str">
        <f ca="1">IFERROR(__xludf.DUMMYFUNCTION("QUERY('Volunteer Survey'!A800)"),"")</f>
        <v/>
      </c>
      <c r="AA801" s="175" t="str">
        <f ca="1">IFERROR(__xludf.DUMMYFUNCTION("QUERY('Volunteer Survey'!B800)"),"")</f>
        <v/>
      </c>
      <c r="AB801" s="175" t="str">
        <f ca="1">IFERROR(__xludf.DUMMYFUNCTION("QUERY('Volunteer Survey'!C800)"),"")</f>
        <v/>
      </c>
      <c r="AC801" s="175" t="str">
        <f ca="1">IFERROR(__xludf.DUMMYFUNCTION("QUERY('Volunteer Survey'!D800)"),"")</f>
        <v/>
      </c>
      <c r="AD801" s="175" t="str">
        <f ca="1">IFERROR(__xludf.DUMMYFUNCTION("QUERY('Volunteer Survey'!E800)"),"")</f>
        <v/>
      </c>
      <c r="AE801" s="175" t="str">
        <f ca="1">IFERROR(__xludf.DUMMYFUNCTION("QUERY('Volunteer Survey'!F800)"),"")</f>
        <v/>
      </c>
      <c r="AF801" s="175" t="str">
        <f ca="1">IFERROR(__xludf.DUMMYFUNCTION("QUERY('Volunteer Survey'!G800)"),"")</f>
        <v/>
      </c>
      <c r="AG801" s="175" t="str">
        <f ca="1">IFERROR(__xludf.DUMMYFUNCTION("QUERY('Volunteer Survey'!H800)"),"")</f>
        <v/>
      </c>
      <c r="AH801" s="175" t="str">
        <f ca="1">IFERROR(__xludf.DUMMYFUNCTION("QUERY('Volunteer Survey'!I800)"),"")</f>
        <v/>
      </c>
      <c r="AI801" s="175" t="str">
        <f ca="1">IFERROR(__xludf.DUMMYFUNCTION("QUERY('Volunteer Survey'!J800)"),"")</f>
        <v/>
      </c>
      <c r="AJ801" s="175" t="str">
        <f ca="1">IFERROR(__xludf.DUMMYFUNCTION("QUERY('Volunteer Survey'!K800)"),"")</f>
        <v/>
      </c>
      <c r="AK801" s="175" t="str">
        <f ca="1">IFERROR(__xludf.DUMMYFUNCTION("QUERY('Volunteer Survey'!L800)"),"")</f>
        <v/>
      </c>
      <c r="AL801" s="175" t="str">
        <f ca="1">IFERROR(__xludf.DUMMYFUNCTION("QUERY('Volunteer Survey'!M800)"),"")</f>
        <v/>
      </c>
      <c r="AM801" s="175" t="str">
        <f ca="1">IFERROR(__xludf.DUMMYFUNCTION("QUERY('Volunteer Survey'!N800)"),"")</f>
        <v/>
      </c>
      <c r="AN801" s="175" t="str">
        <f ca="1">IFERROR(__xludf.DUMMYFUNCTION("QUERY('Volunteer Survey'!O800)"),"")</f>
        <v/>
      </c>
      <c r="AO801" s="175" t="str">
        <f ca="1">IFERROR(__xludf.DUMMYFUNCTION("QUERY('Volunteer Survey'!P800)"),"")</f>
        <v/>
      </c>
    </row>
    <row r="802" spans="1:41" ht="14">
      <c r="A802" s="49"/>
      <c r="B802" s="49"/>
      <c r="C802" s="47"/>
      <c r="D802" s="49"/>
      <c r="E802" s="49"/>
      <c r="F802" s="49" t="b">
        <v>0</v>
      </c>
      <c r="G802" s="49"/>
      <c r="H802" s="47"/>
      <c r="I802" s="47"/>
      <c r="J802" s="49"/>
      <c r="K802" s="49"/>
      <c r="L802" s="49"/>
      <c r="M802" s="49"/>
      <c r="N802" s="49"/>
      <c r="O802" s="49" t="b">
        <v>0</v>
      </c>
      <c r="P802" s="49"/>
      <c r="Q802" s="49"/>
      <c r="R802" s="49"/>
      <c r="S802" s="49"/>
      <c r="T802" s="49"/>
      <c r="U802" s="58"/>
      <c r="V802" s="49"/>
      <c r="W802" s="58"/>
      <c r="X802" s="49"/>
      <c r="Y802" s="47"/>
      <c r="Z802" s="175" t="str">
        <f ca="1">IFERROR(__xludf.DUMMYFUNCTION("QUERY('Volunteer Survey'!A801)"),"")</f>
        <v/>
      </c>
      <c r="AA802" s="175" t="str">
        <f ca="1">IFERROR(__xludf.DUMMYFUNCTION("QUERY('Volunteer Survey'!B801)"),"")</f>
        <v/>
      </c>
      <c r="AB802" s="175" t="str">
        <f ca="1">IFERROR(__xludf.DUMMYFUNCTION("QUERY('Volunteer Survey'!C801)"),"")</f>
        <v/>
      </c>
      <c r="AC802" s="175" t="str">
        <f ca="1">IFERROR(__xludf.DUMMYFUNCTION("QUERY('Volunteer Survey'!D801)"),"")</f>
        <v/>
      </c>
      <c r="AD802" s="175" t="str">
        <f ca="1">IFERROR(__xludf.DUMMYFUNCTION("QUERY('Volunteer Survey'!E801)"),"")</f>
        <v/>
      </c>
      <c r="AE802" s="175" t="str">
        <f ca="1">IFERROR(__xludf.DUMMYFUNCTION("QUERY('Volunteer Survey'!F801)"),"")</f>
        <v/>
      </c>
      <c r="AF802" s="175" t="str">
        <f ca="1">IFERROR(__xludf.DUMMYFUNCTION("QUERY('Volunteer Survey'!G801)"),"")</f>
        <v/>
      </c>
      <c r="AG802" s="175" t="str">
        <f ca="1">IFERROR(__xludf.DUMMYFUNCTION("QUERY('Volunteer Survey'!H801)"),"")</f>
        <v/>
      </c>
      <c r="AH802" s="175" t="str">
        <f ca="1">IFERROR(__xludf.DUMMYFUNCTION("QUERY('Volunteer Survey'!I801)"),"")</f>
        <v/>
      </c>
      <c r="AI802" s="175" t="str">
        <f ca="1">IFERROR(__xludf.DUMMYFUNCTION("QUERY('Volunteer Survey'!J801)"),"")</f>
        <v/>
      </c>
      <c r="AJ802" s="175" t="str">
        <f ca="1">IFERROR(__xludf.DUMMYFUNCTION("QUERY('Volunteer Survey'!K801)"),"")</f>
        <v/>
      </c>
      <c r="AK802" s="175" t="str">
        <f ca="1">IFERROR(__xludf.DUMMYFUNCTION("QUERY('Volunteer Survey'!L801)"),"")</f>
        <v/>
      </c>
      <c r="AL802" s="175" t="str">
        <f ca="1">IFERROR(__xludf.DUMMYFUNCTION("QUERY('Volunteer Survey'!M801)"),"")</f>
        <v/>
      </c>
      <c r="AM802" s="175" t="str">
        <f ca="1">IFERROR(__xludf.DUMMYFUNCTION("QUERY('Volunteer Survey'!N801)"),"")</f>
        <v/>
      </c>
      <c r="AN802" s="175" t="str">
        <f ca="1">IFERROR(__xludf.DUMMYFUNCTION("QUERY('Volunteer Survey'!O801)"),"")</f>
        <v/>
      </c>
      <c r="AO802" s="175" t="str">
        <f ca="1">IFERROR(__xludf.DUMMYFUNCTION("QUERY('Volunteer Survey'!P801)"),"")</f>
        <v/>
      </c>
    </row>
    <row r="803" spans="1:41" ht="14">
      <c r="A803" s="49"/>
      <c r="B803" s="49"/>
      <c r="C803" s="47"/>
      <c r="D803" s="49"/>
      <c r="E803" s="49"/>
      <c r="F803" s="49" t="b">
        <v>0</v>
      </c>
      <c r="G803" s="49"/>
      <c r="H803" s="47"/>
      <c r="I803" s="47"/>
      <c r="J803" s="49"/>
      <c r="K803" s="49"/>
      <c r="L803" s="49"/>
      <c r="M803" s="49"/>
      <c r="N803" s="49"/>
      <c r="O803" s="49" t="b">
        <v>0</v>
      </c>
      <c r="P803" s="49"/>
      <c r="Q803" s="49"/>
      <c r="R803" s="49"/>
      <c r="S803" s="49"/>
      <c r="T803" s="49"/>
      <c r="U803" s="58"/>
      <c r="V803" s="49"/>
      <c r="W803" s="58"/>
      <c r="X803" s="49"/>
      <c r="Y803" s="47"/>
      <c r="Z803" s="175" t="str">
        <f ca="1">IFERROR(__xludf.DUMMYFUNCTION("QUERY('Volunteer Survey'!A802)"),"")</f>
        <v/>
      </c>
      <c r="AA803" s="175" t="str">
        <f ca="1">IFERROR(__xludf.DUMMYFUNCTION("QUERY('Volunteer Survey'!B802)"),"")</f>
        <v/>
      </c>
      <c r="AB803" s="175" t="str">
        <f ca="1">IFERROR(__xludf.DUMMYFUNCTION("QUERY('Volunteer Survey'!C802)"),"")</f>
        <v/>
      </c>
      <c r="AC803" s="175" t="str">
        <f ca="1">IFERROR(__xludf.DUMMYFUNCTION("QUERY('Volunteer Survey'!D802)"),"")</f>
        <v/>
      </c>
      <c r="AD803" s="175" t="str">
        <f ca="1">IFERROR(__xludf.DUMMYFUNCTION("QUERY('Volunteer Survey'!E802)"),"")</f>
        <v/>
      </c>
      <c r="AE803" s="175" t="str">
        <f ca="1">IFERROR(__xludf.DUMMYFUNCTION("QUERY('Volunteer Survey'!F802)"),"")</f>
        <v/>
      </c>
      <c r="AF803" s="175" t="str">
        <f ca="1">IFERROR(__xludf.DUMMYFUNCTION("QUERY('Volunteer Survey'!G802)"),"")</f>
        <v/>
      </c>
      <c r="AG803" s="175" t="str">
        <f ca="1">IFERROR(__xludf.DUMMYFUNCTION("QUERY('Volunteer Survey'!H802)"),"")</f>
        <v/>
      </c>
      <c r="AH803" s="175" t="str">
        <f ca="1">IFERROR(__xludf.DUMMYFUNCTION("QUERY('Volunteer Survey'!I802)"),"")</f>
        <v/>
      </c>
      <c r="AI803" s="175" t="str">
        <f ca="1">IFERROR(__xludf.DUMMYFUNCTION("QUERY('Volunteer Survey'!J802)"),"")</f>
        <v/>
      </c>
      <c r="AJ803" s="175" t="str">
        <f ca="1">IFERROR(__xludf.DUMMYFUNCTION("QUERY('Volunteer Survey'!K802)"),"")</f>
        <v/>
      </c>
      <c r="AK803" s="175" t="str">
        <f ca="1">IFERROR(__xludf.DUMMYFUNCTION("QUERY('Volunteer Survey'!L802)"),"")</f>
        <v/>
      </c>
      <c r="AL803" s="175" t="str">
        <f ca="1">IFERROR(__xludf.DUMMYFUNCTION("QUERY('Volunteer Survey'!M802)"),"")</f>
        <v/>
      </c>
      <c r="AM803" s="175" t="str">
        <f ca="1">IFERROR(__xludf.DUMMYFUNCTION("QUERY('Volunteer Survey'!N802)"),"")</f>
        <v/>
      </c>
      <c r="AN803" s="175" t="str">
        <f ca="1">IFERROR(__xludf.DUMMYFUNCTION("QUERY('Volunteer Survey'!O802)"),"")</f>
        <v/>
      </c>
      <c r="AO803" s="175" t="str">
        <f ca="1">IFERROR(__xludf.DUMMYFUNCTION("QUERY('Volunteer Survey'!P802)"),"")</f>
        <v/>
      </c>
    </row>
    <row r="804" spans="1:41" ht="14">
      <c r="A804" s="49"/>
      <c r="B804" s="49"/>
      <c r="C804" s="47"/>
      <c r="D804" s="49"/>
      <c r="E804" s="49"/>
      <c r="F804" s="49" t="b">
        <v>0</v>
      </c>
      <c r="G804" s="49"/>
      <c r="H804" s="47"/>
      <c r="I804" s="47"/>
      <c r="J804" s="49"/>
      <c r="K804" s="49"/>
      <c r="L804" s="49"/>
      <c r="M804" s="49"/>
      <c r="N804" s="49"/>
      <c r="O804" s="49" t="b">
        <v>0</v>
      </c>
      <c r="P804" s="49"/>
      <c r="Q804" s="49"/>
      <c r="R804" s="49"/>
      <c r="S804" s="49"/>
      <c r="T804" s="49"/>
      <c r="U804" s="58"/>
      <c r="V804" s="49"/>
      <c r="W804" s="58"/>
      <c r="X804" s="49"/>
      <c r="Y804" s="47"/>
      <c r="Z804" s="175" t="str">
        <f ca="1">IFERROR(__xludf.DUMMYFUNCTION("QUERY('Volunteer Survey'!A803)"),"")</f>
        <v/>
      </c>
      <c r="AA804" s="175" t="str">
        <f ca="1">IFERROR(__xludf.DUMMYFUNCTION("QUERY('Volunteer Survey'!B803)"),"")</f>
        <v/>
      </c>
      <c r="AB804" s="175" t="str">
        <f ca="1">IFERROR(__xludf.DUMMYFUNCTION("QUERY('Volunteer Survey'!C803)"),"")</f>
        <v/>
      </c>
      <c r="AC804" s="175" t="str">
        <f ca="1">IFERROR(__xludf.DUMMYFUNCTION("QUERY('Volunteer Survey'!D803)"),"")</f>
        <v/>
      </c>
      <c r="AD804" s="175" t="str">
        <f ca="1">IFERROR(__xludf.DUMMYFUNCTION("QUERY('Volunteer Survey'!E803)"),"")</f>
        <v/>
      </c>
      <c r="AE804" s="175" t="str">
        <f ca="1">IFERROR(__xludf.DUMMYFUNCTION("QUERY('Volunteer Survey'!F803)"),"")</f>
        <v/>
      </c>
      <c r="AF804" s="175" t="str">
        <f ca="1">IFERROR(__xludf.DUMMYFUNCTION("QUERY('Volunteer Survey'!G803)"),"")</f>
        <v/>
      </c>
      <c r="AG804" s="175" t="str">
        <f ca="1">IFERROR(__xludf.DUMMYFUNCTION("QUERY('Volunteer Survey'!H803)"),"")</f>
        <v/>
      </c>
      <c r="AH804" s="175" t="str">
        <f ca="1">IFERROR(__xludf.DUMMYFUNCTION("QUERY('Volunteer Survey'!I803)"),"")</f>
        <v/>
      </c>
      <c r="AI804" s="175" t="str">
        <f ca="1">IFERROR(__xludf.DUMMYFUNCTION("QUERY('Volunteer Survey'!J803)"),"")</f>
        <v/>
      </c>
      <c r="AJ804" s="175" t="str">
        <f ca="1">IFERROR(__xludf.DUMMYFUNCTION("QUERY('Volunteer Survey'!K803)"),"")</f>
        <v/>
      </c>
      <c r="AK804" s="175" t="str">
        <f ca="1">IFERROR(__xludf.DUMMYFUNCTION("QUERY('Volunteer Survey'!L803)"),"")</f>
        <v/>
      </c>
      <c r="AL804" s="175" t="str">
        <f ca="1">IFERROR(__xludf.DUMMYFUNCTION("QUERY('Volunteer Survey'!M803)"),"")</f>
        <v/>
      </c>
      <c r="AM804" s="175" t="str">
        <f ca="1">IFERROR(__xludf.DUMMYFUNCTION("QUERY('Volunteer Survey'!N803)"),"")</f>
        <v/>
      </c>
      <c r="AN804" s="175" t="str">
        <f ca="1">IFERROR(__xludf.DUMMYFUNCTION("QUERY('Volunteer Survey'!O803)"),"")</f>
        <v/>
      </c>
      <c r="AO804" s="175" t="str">
        <f ca="1">IFERROR(__xludf.DUMMYFUNCTION("QUERY('Volunteer Survey'!P803)"),"")</f>
        <v/>
      </c>
    </row>
    <row r="805" spans="1:41" ht="14">
      <c r="A805" s="49"/>
      <c r="B805" s="49"/>
      <c r="C805" s="47"/>
      <c r="D805" s="49"/>
      <c r="E805" s="49"/>
      <c r="F805" s="49" t="b">
        <v>0</v>
      </c>
      <c r="G805" s="49"/>
      <c r="H805" s="47"/>
      <c r="I805" s="47"/>
      <c r="J805" s="49"/>
      <c r="K805" s="49"/>
      <c r="L805" s="49"/>
      <c r="M805" s="49"/>
      <c r="N805" s="49"/>
      <c r="O805" s="49" t="b">
        <v>0</v>
      </c>
      <c r="P805" s="49"/>
      <c r="Q805" s="49"/>
      <c r="R805" s="49"/>
      <c r="S805" s="49"/>
      <c r="T805" s="49"/>
      <c r="U805" s="58"/>
      <c r="V805" s="49"/>
      <c r="W805" s="58"/>
      <c r="X805" s="49"/>
      <c r="Y805" s="47"/>
      <c r="Z805" s="175" t="str">
        <f ca="1">IFERROR(__xludf.DUMMYFUNCTION("QUERY('Volunteer Survey'!A804)"),"")</f>
        <v/>
      </c>
      <c r="AA805" s="175" t="str">
        <f ca="1">IFERROR(__xludf.DUMMYFUNCTION("QUERY('Volunteer Survey'!B804)"),"")</f>
        <v/>
      </c>
      <c r="AB805" s="175" t="str">
        <f ca="1">IFERROR(__xludf.DUMMYFUNCTION("QUERY('Volunteer Survey'!C804)"),"")</f>
        <v/>
      </c>
      <c r="AC805" s="175" t="str">
        <f ca="1">IFERROR(__xludf.DUMMYFUNCTION("QUERY('Volunteer Survey'!D804)"),"")</f>
        <v/>
      </c>
      <c r="AD805" s="175" t="str">
        <f ca="1">IFERROR(__xludf.DUMMYFUNCTION("QUERY('Volunteer Survey'!E804)"),"")</f>
        <v/>
      </c>
      <c r="AE805" s="175" t="str">
        <f ca="1">IFERROR(__xludf.DUMMYFUNCTION("QUERY('Volunteer Survey'!F804)"),"")</f>
        <v/>
      </c>
      <c r="AF805" s="175" t="str">
        <f ca="1">IFERROR(__xludf.DUMMYFUNCTION("QUERY('Volunteer Survey'!G804)"),"")</f>
        <v/>
      </c>
      <c r="AG805" s="175" t="str">
        <f ca="1">IFERROR(__xludf.DUMMYFUNCTION("QUERY('Volunteer Survey'!H804)"),"")</f>
        <v/>
      </c>
      <c r="AH805" s="175" t="str">
        <f ca="1">IFERROR(__xludf.DUMMYFUNCTION("QUERY('Volunteer Survey'!I804)"),"")</f>
        <v/>
      </c>
      <c r="AI805" s="175" t="str">
        <f ca="1">IFERROR(__xludf.DUMMYFUNCTION("QUERY('Volunteer Survey'!J804)"),"")</f>
        <v/>
      </c>
      <c r="AJ805" s="175" t="str">
        <f ca="1">IFERROR(__xludf.DUMMYFUNCTION("QUERY('Volunteer Survey'!K804)"),"")</f>
        <v/>
      </c>
      <c r="AK805" s="175" t="str">
        <f ca="1">IFERROR(__xludf.DUMMYFUNCTION("QUERY('Volunteer Survey'!L804)"),"")</f>
        <v/>
      </c>
      <c r="AL805" s="175" t="str">
        <f ca="1">IFERROR(__xludf.DUMMYFUNCTION("QUERY('Volunteer Survey'!M804)"),"")</f>
        <v/>
      </c>
      <c r="AM805" s="175" t="str">
        <f ca="1">IFERROR(__xludf.DUMMYFUNCTION("QUERY('Volunteer Survey'!N804)"),"")</f>
        <v/>
      </c>
      <c r="AN805" s="175" t="str">
        <f ca="1">IFERROR(__xludf.DUMMYFUNCTION("QUERY('Volunteer Survey'!O804)"),"")</f>
        <v/>
      </c>
      <c r="AO805" s="175" t="str">
        <f ca="1">IFERROR(__xludf.DUMMYFUNCTION("QUERY('Volunteer Survey'!P804)"),"")</f>
        <v/>
      </c>
    </row>
    <row r="806" spans="1:41" ht="14">
      <c r="A806" s="49"/>
      <c r="B806" s="49"/>
      <c r="C806" s="47"/>
      <c r="D806" s="49"/>
      <c r="E806" s="49"/>
      <c r="F806" s="49" t="b">
        <v>0</v>
      </c>
      <c r="G806" s="49"/>
      <c r="H806" s="47"/>
      <c r="I806" s="47"/>
      <c r="J806" s="49"/>
      <c r="K806" s="49"/>
      <c r="L806" s="49"/>
      <c r="M806" s="49"/>
      <c r="N806" s="49"/>
      <c r="O806" s="49" t="b">
        <v>0</v>
      </c>
      <c r="P806" s="49"/>
      <c r="Q806" s="49"/>
      <c r="R806" s="49"/>
      <c r="S806" s="49"/>
      <c r="T806" s="49"/>
      <c r="U806" s="58"/>
      <c r="V806" s="49"/>
      <c r="W806" s="58"/>
      <c r="X806" s="49"/>
      <c r="Y806" s="47"/>
      <c r="Z806" s="175" t="str">
        <f ca="1">IFERROR(__xludf.DUMMYFUNCTION("QUERY('Volunteer Survey'!A805)"),"")</f>
        <v/>
      </c>
      <c r="AA806" s="175" t="str">
        <f ca="1">IFERROR(__xludf.DUMMYFUNCTION("QUERY('Volunteer Survey'!B805)"),"")</f>
        <v/>
      </c>
      <c r="AB806" s="175" t="str">
        <f ca="1">IFERROR(__xludf.DUMMYFUNCTION("QUERY('Volunteer Survey'!C805)"),"")</f>
        <v/>
      </c>
      <c r="AC806" s="175" t="str">
        <f ca="1">IFERROR(__xludf.DUMMYFUNCTION("QUERY('Volunteer Survey'!D805)"),"")</f>
        <v/>
      </c>
      <c r="AD806" s="175" t="str">
        <f ca="1">IFERROR(__xludf.DUMMYFUNCTION("QUERY('Volunteer Survey'!E805)"),"")</f>
        <v/>
      </c>
      <c r="AE806" s="175" t="str">
        <f ca="1">IFERROR(__xludf.DUMMYFUNCTION("QUERY('Volunteer Survey'!F805)"),"")</f>
        <v/>
      </c>
      <c r="AF806" s="175" t="str">
        <f ca="1">IFERROR(__xludf.DUMMYFUNCTION("QUERY('Volunteer Survey'!G805)"),"")</f>
        <v/>
      </c>
      <c r="AG806" s="175" t="str">
        <f ca="1">IFERROR(__xludf.DUMMYFUNCTION("QUERY('Volunteer Survey'!H805)"),"")</f>
        <v/>
      </c>
      <c r="AH806" s="175" t="str">
        <f ca="1">IFERROR(__xludf.DUMMYFUNCTION("QUERY('Volunteer Survey'!I805)"),"")</f>
        <v/>
      </c>
      <c r="AI806" s="175" t="str">
        <f ca="1">IFERROR(__xludf.DUMMYFUNCTION("QUERY('Volunteer Survey'!J805)"),"")</f>
        <v/>
      </c>
      <c r="AJ806" s="175" t="str">
        <f ca="1">IFERROR(__xludf.DUMMYFUNCTION("QUERY('Volunteer Survey'!K805)"),"")</f>
        <v/>
      </c>
      <c r="AK806" s="175" t="str">
        <f ca="1">IFERROR(__xludf.DUMMYFUNCTION("QUERY('Volunteer Survey'!L805)"),"")</f>
        <v/>
      </c>
      <c r="AL806" s="175" t="str">
        <f ca="1">IFERROR(__xludf.DUMMYFUNCTION("QUERY('Volunteer Survey'!M805)"),"")</f>
        <v/>
      </c>
      <c r="AM806" s="175" t="str">
        <f ca="1">IFERROR(__xludf.DUMMYFUNCTION("QUERY('Volunteer Survey'!N805)"),"")</f>
        <v/>
      </c>
      <c r="AN806" s="175" t="str">
        <f ca="1">IFERROR(__xludf.DUMMYFUNCTION("QUERY('Volunteer Survey'!O805)"),"")</f>
        <v/>
      </c>
      <c r="AO806" s="175" t="str">
        <f ca="1">IFERROR(__xludf.DUMMYFUNCTION("QUERY('Volunteer Survey'!P805)"),"")</f>
        <v/>
      </c>
    </row>
    <row r="807" spans="1:41" ht="14">
      <c r="A807" s="49"/>
      <c r="B807" s="49"/>
      <c r="C807" s="47"/>
      <c r="D807" s="49"/>
      <c r="E807" s="49"/>
      <c r="F807" s="49" t="b">
        <v>0</v>
      </c>
      <c r="G807" s="49"/>
      <c r="H807" s="47"/>
      <c r="I807" s="47"/>
      <c r="J807" s="49"/>
      <c r="K807" s="49"/>
      <c r="L807" s="49"/>
      <c r="M807" s="49"/>
      <c r="N807" s="49"/>
      <c r="O807" s="49" t="b">
        <v>0</v>
      </c>
      <c r="P807" s="49"/>
      <c r="Q807" s="49"/>
      <c r="R807" s="49"/>
      <c r="S807" s="49"/>
      <c r="T807" s="49"/>
      <c r="U807" s="58"/>
      <c r="V807" s="49"/>
      <c r="W807" s="58"/>
      <c r="X807" s="49"/>
      <c r="Y807" s="47"/>
      <c r="Z807" s="175" t="str">
        <f ca="1">IFERROR(__xludf.DUMMYFUNCTION("QUERY('Volunteer Survey'!A806)"),"")</f>
        <v/>
      </c>
      <c r="AA807" s="175" t="str">
        <f ca="1">IFERROR(__xludf.DUMMYFUNCTION("QUERY('Volunteer Survey'!B806)"),"")</f>
        <v/>
      </c>
      <c r="AB807" s="175" t="str">
        <f ca="1">IFERROR(__xludf.DUMMYFUNCTION("QUERY('Volunteer Survey'!C806)"),"")</f>
        <v/>
      </c>
      <c r="AC807" s="175" t="str">
        <f ca="1">IFERROR(__xludf.DUMMYFUNCTION("QUERY('Volunteer Survey'!D806)"),"")</f>
        <v/>
      </c>
      <c r="AD807" s="175" t="str">
        <f ca="1">IFERROR(__xludf.DUMMYFUNCTION("QUERY('Volunteer Survey'!E806)"),"")</f>
        <v/>
      </c>
      <c r="AE807" s="175" t="str">
        <f ca="1">IFERROR(__xludf.DUMMYFUNCTION("QUERY('Volunteer Survey'!F806)"),"")</f>
        <v/>
      </c>
      <c r="AF807" s="175" t="str">
        <f ca="1">IFERROR(__xludf.DUMMYFUNCTION("QUERY('Volunteer Survey'!G806)"),"")</f>
        <v/>
      </c>
      <c r="AG807" s="175" t="str">
        <f ca="1">IFERROR(__xludf.DUMMYFUNCTION("QUERY('Volunteer Survey'!H806)"),"")</f>
        <v/>
      </c>
      <c r="AH807" s="175" t="str">
        <f ca="1">IFERROR(__xludf.DUMMYFUNCTION("QUERY('Volunteer Survey'!I806)"),"")</f>
        <v/>
      </c>
      <c r="AI807" s="175" t="str">
        <f ca="1">IFERROR(__xludf.DUMMYFUNCTION("QUERY('Volunteer Survey'!J806)"),"")</f>
        <v/>
      </c>
      <c r="AJ807" s="175" t="str">
        <f ca="1">IFERROR(__xludf.DUMMYFUNCTION("QUERY('Volunteer Survey'!K806)"),"")</f>
        <v/>
      </c>
      <c r="AK807" s="175" t="str">
        <f ca="1">IFERROR(__xludf.DUMMYFUNCTION("QUERY('Volunteer Survey'!L806)"),"")</f>
        <v/>
      </c>
      <c r="AL807" s="175" t="str">
        <f ca="1">IFERROR(__xludf.DUMMYFUNCTION("QUERY('Volunteer Survey'!M806)"),"")</f>
        <v/>
      </c>
      <c r="AM807" s="175" t="str">
        <f ca="1">IFERROR(__xludf.DUMMYFUNCTION("QUERY('Volunteer Survey'!N806)"),"")</f>
        <v/>
      </c>
      <c r="AN807" s="175" t="str">
        <f ca="1">IFERROR(__xludf.DUMMYFUNCTION("QUERY('Volunteer Survey'!O806)"),"")</f>
        <v/>
      </c>
      <c r="AO807" s="175" t="str">
        <f ca="1">IFERROR(__xludf.DUMMYFUNCTION("QUERY('Volunteer Survey'!P806)"),"")</f>
        <v/>
      </c>
    </row>
    <row r="808" spans="1:41" ht="14">
      <c r="A808" s="49"/>
      <c r="B808" s="49"/>
      <c r="C808" s="47"/>
      <c r="D808" s="49"/>
      <c r="E808" s="49"/>
      <c r="F808" s="49" t="b">
        <v>0</v>
      </c>
      <c r="G808" s="49"/>
      <c r="H808" s="47"/>
      <c r="I808" s="47"/>
      <c r="J808" s="49"/>
      <c r="K808" s="49"/>
      <c r="L808" s="49"/>
      <c r="M808" s="49"/>
      <c r="N808" s="49"/>
      <c r="O808" s="49" t="b">
        <v>0</v>
      </c>
      <c r="P808" s="49"/>
      <c r="Q808" s="49"/>
      <c r="R808" s="49"/>
      <c r="S808" s="49"/>
      <c r="T808" s="49"/>
      <c r="U808" s="58"/>
      <c r="V808" s="49"/>
      <c r="W808" s="58"/>
      <c r="X808" s="49"/>
      <c r="Y808" s="47"/>
      <c r="Z808" s="175" t="str">
        <f ca="1">IFERROR(__xludf.DUMMYFUNCTION("QUERY('Volunteer Survey'!A807)"),"")</f>
        <v/>
      </c>
      <c r="AA808" s="175" t="str">
        <f ca="1">IFERROR(__xludf.DUMMYFUNCTION("QUERY('Volunteer Survey'!B807)"),"")</f>
        <v/>
      </c>
      <c r="AB808" s="175" t="str">
        <f ca="1">IFERROR(__xludf.DUMMYFUNCTION("QUERY('Volunteer Survey'!C807)"),"")</f>
        <v/>
      </c>
      <c r="AC808" s="175" t="str">
        <f ca="1">IFERROR(__xludf.DUMMYFUNCTION("QUERY('Volunteer Survey'!D807)"),"")</f>
        <v/>
      </c>
      <c r="AD808" s="175" t="str">
        <f ca="1">IFERROR(__xludf.DUMMYFUNCTION("QUERY('Volunteer Survey'!E807)"),"")</f>
        <v/>
      </c>
      <c r="AE808" s="175" t="str">
        <f ca="1">IFERROR(__xludf.DUMMYFUNCTION("QUERY('Volunteer Survey'!F807)"),"")</f>
        <v/>
      </c>
      <c r="AF808" s="175" t="str">
        <f ca="1">IFERROR(__xludf.DUMMYFUNCTION("QUERY('Volunteer Survey'!G807)"),"")</f>
        <v/>
      </c>
      <c r="AG808" s="175" t="str">
        <f ca="1">IFERROR(__xludf.DUMMYFUNCTION("QUERY('Volunteer Survey'!H807)"),"")</f>
        <v/>
      </c>
      <c r="AH808" s="175" t="str">
        <f ca="1">IFERROR(__xludf.DUMMYFUNCTION("QUERY('Volunteer Survey'!I807)"),"")</f>
        <v/>
      </c>
      <c r="AI808" s="175" t="str">
        <f ca="1">IFERROR(__xludf.DUMMYFUNCTION("QUERY('Volunteer Survey'!J807)"),"")</f>
        <v/>
      </c>
      <c r="AJ808" s="175" t="str">
        <f ca="1">IFERROR(__xludf.DUMMYFUNCTION("QUERY('Volunteer Survey'!K807)"),"")</f>
        <v/>
      </c>
      <c r="AK808" s="175" t="str">
        <f ca="1">IFERROR(__xludf.DUMMYFUNCTION("QUERY('Volunteer Survey'!L807)"),"")</f>
        <v/>
      </c>
      <c r="AL808" s="175" t="str">
        <f ca="1">IFERROR(__xludf.DUMMYFUNCTION("QUERY('Volunteer Survey'!M807)"),"")</f>
        <v/>
      </c>
      <c r="AM808" s="175" t="str">
        <f ca="1">IFERROR(__xludf.DUMMYFUNCTION("QUERY('Volunteer Survey'!N807)"),"")</f>
        <v/>
      </c>
      <c r="AN808" s="175" t="str">
        <f ca="1">IFERROR(__xludf.DUMMYFUNCTION("QUERY('Volunteer Survey'!O807)"),"")</f>
        <v/>
      </c>
      <c r="AO808" s="175" t="str">
        <f ca="1">IFERROR(__xludf.DUMMYFUNCTION("QUERY('Volunteer Survey'!P807)"),"")</f>
        <v/>
      </c>
    </row>
    <row r="809" spans="1:41" ht="14">
      <c r="A809" s="49"/>
      <c r="B809" s="49"/>
      <c r="C809" s="47"/>
      <c r="D809" s="49"/>
      <c r="E809" s="49"/>
      <c r="F809" s="49" t="b">
        <v>0</v>
      </c>
      <c r="G809" s="49"/>
      <c r="H809" s="47"/>
      <c r="I809" s="47"/>
      <c r="J809" s="49"/>
      <c r="K809" s="49"/>
      <c r="L809" s="49"/>
      <c r="M809" s="49"/>
      <c r="N809" s="49"/>
      <c r="O809" s="49" t="b">
        <v>0</v>
      </c>
      <c r="P809" s="49"/>
      <c r="Q809" s="49"/>
      <c r="R809" s="49"/>
      <c r="S809" s="49"/>
      <c r="T809" s="49"/>
      <c r="U809" s="58"/>
      <c r="V809" s="49"/>
      <c r="W809" s="58"/>
      <c r="X809" s="49"/>
      <c r="Y809" s="47"/>
      <c r="Z809" s="175" t="str">
        <f ca="1">IFERROR(__xludf.DUMMYFUNCTION("QUERY('Volunteer Survey'!A808)"),"")</f>
        <v/>
      </c>
      <c r="AA809" s="175" t="str">
        <f ca="1">IFERROR(__xludf.DUMMYFUNCTION("QUERY('Volunteer Survey'!B808)"),"")</f>
        <v/>
      </c>
      <c r="AB809" s="175" t="str">
        <f ca="1">IFERROR(__xludf.DUMMYFUNCTION("QUERY('Volunteer Survey'!C808)"),"")</f>
        <v/>
      </c>
      <c r="AC809" s="175" t="str">
        <f ca="1">IFERROR(__xludf.DUMMYFUNCTION("QUERY('Volunteer Survey'!D808)"),"")</f>
        <v/>
      </c>
      <c r="AD809" s="175" t="str">
        <f ca="1">IFERROR(__xludf.DUMMYFUNCTION("QUERY('Volunteer Survey'!E808)"),"")</f>
        <v/>
      </c>
      <c r="AE809" s="175" t="str">
        <f ca="1">IFERROR(__xludf.DUMMYFUNCTION("QUERY('Volunteer Survey'!F808)"),"")</f>
        <v/>
      </c>
      <c r="AF809" s="175" t="str">
        <f ca="1">IFERROR(__xludf.DUMMYFUNCTION("QUERY('Volunteer Survey'!G808)"),"")</f>
        <v/>
      </c>
      <c r="AG809" s="175" t="str">
        <f ca="1">IFERROR(__xludf.DUMMYFUNCTION("QUERY('Volunteer Survey'!H808)"),"")</f>
        <v/>
      </c>
      <c r="AH809" s="175" t="str">
        <f ca="1">IFERROR(__xludf.DUMMYFUNCTION("QUERY('Volunteer Survey'!I808)"),"")</f>
        <v/>
      </c>
      <c r="AI809" s="175" t="str">
        <f ca="1">IFERROR(__xludf.DUMMYFUNCTION("QUERY('Volunteer Survey'!J808)"),"")</f>
        <v/>
      </c>
      <c r="AJ809" s="175" t="str">
        <f ca="1">IFERROR(__xludf.DUMMYFUNCTION("QUERY('Volunteer Survey'!K808)"),"")</f>
        <v/>
      </c>
      <c r="AK809" s="175" t="str">
        <f ca="1">IFERROR(__xludf.DUMMYFUNCTION("QUERY('Volunteer Survey'!L808)"),"")</f>
        <v/>
      </c>
      <c r="AL809" s="175" t="str">
        <f ca="1">IFERROR(__xludf.DUMMYFUNCTION("QUERY('Volunteer Survey'!M808)"),"")</f>
        <v/>
      </c>
      <c r="AM809" s="175" t="str">
        <f ca="1">IFERROR(__xludf.DUMMYFUNCTION("QUERY('Volunteer Survey'!N808)"),"")</f>
        <v/>
      </c>
      <c r="AN809" s="175" t="str">
        <f ca="1">IFERROR(__xludf.DUMMYFUNCTION("QUERY('Volunteer Survey'!O808)"),"")</f>
        <v/>
      </c>
      <c r="AO809" s="175" t="str">
        <f ca="1">IFERROR(__xludf.DUMMYFUNCTION("QUERY('Volunteer Survey'!P808)"),"")</f>
        <v/>
      </c>
    </row>
    <row r="810" spans="1:41" ht="14">
      <c r="A810" s="49"/>
      <c r="B810" s="49"/>
      <c r="C810" s="47"/>
      <c r="D810" s="49"/>
      <c r="E810" s="49"/>
      <c r="F810" s="49" t="b">
        <v>0</v>
      </c>
      <c r="G810" s="49"/>
      <c r="H810" s="47"/>
      <c r="I810" s="47"/>
      <c r="J810" s="49"/>
      <c r="K810" s="49"/>
      <c r="L810" s="49"/>
      <c r="M810" s="49"/>
      <c r="N810" s="49"/>
      <c r="O810" s="49" t="b">
        <v>0</v>
      </c>
      <c r="P810" s="49"/>
      <c r="Q810" s="49"/>
      <c r="R810" s="49"/>
      <c r="S810" s="49"/>
      <c r="T810" s="49"/>
      <c r="U810" s="58"/>
      <c r="V810" s="49"/>
      <c r="W810" s="58"/>
      <c r="X810" s="49"/>
      <c r="Y810" s="47"/>
      <c r="Z810" s="175" t="str">
        <f ca="1">IFERROR(__xludf.DUMMYFUNCTION("QUERY('Volunteer Survey'!A809)"),"")</f>
        <v/>
      </c>
      <c r="AA810" s="175" t="str">
        <f ca="1">IFERROR(__xludf.DUMMYFUNCTION("QUERY('Volunteer Survey'!B809)"),"")</f>
        <v/>
      </c>
      <c r="AB810" s="175" t="str">
        <f ca="1">IFERROR(__xludf.DUMMYFUNCTION("QUERY('Volunteer Survey'!C809)"),"")</f>
        <v/>
      </c>
      <c r="AC810" s="175" t="str">
        <f ca="1">IFERROR(__xludf.DUMMYFUNCTION("QUERY('Volunteer Survey'!D809)"),"")</f>
        <v/>
      </c>
      <c r="AD810" s="175" t="str">
        <f ca="1">IFERROR(__xludf.DUMMYFUNCTION("QUERY('Volunteer Survey'!E809)"),"")</f>
        <v/>
      </c>
      <c r="AE810" s="175" t="str">
        <f ca="1">IFERROR(__xludf.DUMMYFUNCTION("QUERY('Volunteer Survey'!F809)"),"")</f>
        <v/>
      </c>
      <c r="AF810" s="175" t="str">
        <f ca="1">IFERROR(__xludf.DUMMYFUNCTION("QUERY('Volunteer Survey'!G809)"),"")</f>
        <v/>
      </c>
      <c r="AG810" s="175" t="str">
        <f ca="1">IFERROR(__xludf.DUMMYFUNCTION("QUERY('Volunteer Survey'!H809)"),"")</f>
        <v/>
      </c>
      <c r="AH810" s="175" t="str">
        <f ca="1">IFERROR(__xludf.DUMMYFUNCTION("QUERY('Volunteer Survey'!I809)"),"")</f>
        <v/>
      </c>
      <c r="AI810" s="175" t="str">
        <f ca="1">IFERROR(__xludf.DUMMYFUNCTION("QUERY('Volunteer Survey'!J809)"),"")</f>
        <v/>
      </c>
      <c r="AJ810" s="175" t="str">
        <f ca="1">IFERROR(__xludf.DUMMYFUNCTION("QUERY('Volunteer Survey'!K809)"),"")</f>
        <v/>
      </c>
      <c r="AK810" s="175" t="str">
        <f ca="1">IFERROR(__xludf.DUMMYFUNCTION("QUERY('Volunteer Survey'!L809)"),"")</f>
        <v/>
      </c>
      <c r="AL810" s="175" t="str">
        <f ca="1">IFERROR(__xludf.DUMMYFUNCTION("QUERY('Volunteer Survey'!M809)"),"")</f>
        <v/>
      </c>
      <c r="AM810" s="175" t="str">
        <f ca="1">IFERROR(__xludf.DUMMYFUNCTION("QUERY('Volunteer Survey'!N809)"),"")</f>
        <v/>
      </c>
      <c r="AN810" s="175" t="str">
        <f ca="1">IFERROR(__xludf.DUMMYFUNCTION("QUERY('Volunteer Survey'!O809)"),"")</f>
        <v/>
      </c>
      <c r="AO810" s="175" t="str">
        <f ca="1">IFERROR(__xludf.DUMMYFUNCTION("QUERY('Volunteer Survey'!P809)"),"")</f>
        <v/>
      </c>
    </row>
    <row r="811" spans="1:41" ht="14">
      <c r="A811" s="49"/>
      <c r="B811" s="49"/>
      <c r="C811" s="47"/>
      <c r="D811" s="49"/>
      <c r="E811" s="49"/>
      <c r="F811" s="49" t="b">
        <v>0</v>
      </c>
      <c r="G811" s="49"/>
      <c r="H811" s="47"/>
      <c r="I811" s="47"/>
      <c r="J811" s="49"/>
      <c r="K811" s="49"/>
      <c r="L811" s="49"/>
      <c r="M811" s="49"/>
      <c r="N811" s="49"/>
      <c r="O811" s="49" t="b">
        <v>0</v>
      </c>
      <c r="P811" s="49"/>
      <c r="Q811" s="49"/>
      <c r="R811" s="49"/>
      <c r="S811" s="49"/>
      <c r="T811" s="49"/>
      <c r="U811" s="58"/>
      <c r="V811" s="49"/>
      <c r="W811" s="58"/>
      <c r="X811" s="49"/>
      <c r="Y811" s="47"/>
      <c r="Z811" s="175" t="str">
        <f ca="1">IFERROR(__xludf.DUMMYFUNCTION("QUERY('Volunteer Survey'!A810)"),"")</f>
        <v/>
      </c>
      <c r="AA811" s="175" t="str">
        <f ca="1">IFERROR(__xludf.DUMMYFUNCTION("QUERY('Volunteer Survey'!B810)"),"")</f>
        <v/>
      </c>
      <c r="AB811" s="175" t="str">
        <f ca="1">IFERROR(__xludf.DUMMYFUNCTION("QUERY('Volunteer Survey'!C810)"),"")</f>
        <v/>
      </c>
      <c r="AC811" s="175" t="str">
        <f ca="1">IFERROR(__xludf.DUMMYFUNCTION("QUERY('Volunteer Survey'!D810)"),"")</f>
        <v/>
      </c>
      <c r="AD811" s="175" t="str">
        <f ca="1">IFERROR(__xludf.DUMMYFUNCTION("QUERY('Volunteer Survey'!E810)"),"")</f>
        <v/>
      </c>
      <c r="AE811" s="175" t="str">
        <f ca="1">IFERROR(__xludf.DUMMYFUNCTION("QUERY('Volunteer Survey'!F810)"),"")</f>
        <v/>
      </c>
      <c r="AF811" s="175" t="str">
        <f ca="1">IFERROR(__xludf.DUMMYFUNCTION("QUERY('Volunteer Survey'!G810)"),"")</f>
        <v/>
      </c>
      <c r="AG811" s="175" t="str">
        <f ca="1">IFERROR(__xludf.DUMMYFUNCTION("QUERY('Volunteer Survey'!H810)"),"")</f>
        <v/>
      </c>
      <c r="AH811" s="175" t="str">
        <f ca="1">IFERROR(__xludf.DUMMYFUNCTION("QUERY('Volunteer Survey'!I810)"),"")</f>
        <v/>
      </c>
      <c r="AI811" s="175" t="str">
        <f ca="1">IFERROR(__xludf.DUMMYFUNCTION("QUERY('Volunteer Survey'!J810)"),"")</f>
        <v/>
      </c>
      <c r="AJ811" s="175" t="str">
        <f ca="1">IFERROR(__xludf.DUMMYFUNCTION("QUERY('Volunteer Survey'!K810)"),"")</f>
        <v/>
      </c>
      <c r="AK811" s="175" t="str">
        <f ca="1">IFERROR(__xludf.DUMMYFUNCTION("QUERY('Volunteer Survey'!L810)"),"")</f>
        <v/>
      </c>
      <c r="AL811" s="175" t="str">
        <f ca="1">IFERROR(__xludf.DUMMYFUNCTION("QUERY('Volunteer Survey'!M810)"),"")</f>
        <v/>
      </c>
      <c r="AM811" s="175" t="str">
        <f ca="1">IFERROR(__xludf.DUMMYFUNCTION("QUERY('Volunteer Survey'!N810)"),"")</f>
        <v/>
      </c>
      <c r="AN811" s="175" t="str">
        <f ca="1">IFERROR(__xludf.DUMMYFUNCTION("QUERY('Volunteer Survey'!O810)"),"")</f>
        <v/>
      </c>
      <c r="AO811" s="175" t="str">
        <f ca="1">IFERROR(__xludf.DUMMYFUNCTION("QUERY('Volunteer Survey'!P810)"),"")</f>
        <v/>
      </c>
    </row>
    <row r="812" spans="1:41" ht="14">
      <c r="A812" s="49"/>
      <c r="B812" s="49"/>
      <c r="C812" s="47"/>
      <c r="D812" s="49"/>
      <c r="E812" s="49"/>
      <c r="F812" s="49" t="b">
        <v>0</v>
      </c>
      <c r="G812" s="49"/>
      <c r="H812" s="47"/>
      <c r="I812" s="47"/>
      <c r="J812" s="49"/>
      <c r="K812" s="49"/>
      <c r="L812" s="49"/>
      <c r="M812" s="49"/>
      <c r="N812" s="49"/>
      <c r="O812" s="49" t="b">
        <v>0</v>
      </c>
      <c r="P812" s="49"/>
      <c r="Q812" s="49"/>
      <c r="R812" s="49"/>
      <c r="S812" s="49"/>
      <c r="T812" s="49"/>
      <c r="U812" s="58"/>
      <c r="V812" s="49"/>
      <c r="W812" s="58"/>
      <c r="X812" s="49"/>
      <c r="Y812" s="47"/>
      <c r="Z812" s="175" t="str">
        <f ca="1">IFERROR(__xludf.DUMMYFUNCTION("QUERY('Volunteer Survey'!A811)"),"")</f>
        <v/>
      </c>
      <c r="AA812" s="175" t="str">
        <f ca="1">IFERROR(__xludf.DUMMYFUNCTION("QUERY('Volunteer Survey'!B811)"),"")</f>
        <v/>
      </c>
      <c r="AB812" s="175" t="str">
        <f ca="1">IFERROR(__xludf.DUMMYFUNCTION("QUERY('Volunteer Survey'!C811)"),"")</f>
        <v/>
      </c>
      <c r="AC812" s="175" t="str">
        <f ca="1">IFERROR(__xludf.DUMMYFUNCTION("QUERY('Volunteer Survey'!D811)"),"")</f>
        <v/>
      </c>
      <c r="AD812" s="175" t="str">
        <f ca="1">IFERROR(__xludf.DUMMYFUNCTION("QUERY('Volunteer Survey'!E811)"),"")</f>
        <v/>
      </c>
      <c r="AE812" s="175" t="str">
        <f ca="1">IFERROR(__xludf.DUMMYFUNCTION("QUERY('Volunteer Survey'!F811)"),"")</f>
        <v/>
      </c>
      <c r="AF812" s="175" t="str">
        <f ca="1">IFERROR(__xludf.DUMMYFUNCTION("QUERY('Volunteer Survey'!G811)"),"")</f>
        <v/>
      </c>
      <c r="AG812" s="175" t="str">
        <f ca="1">IFERROR(__xludf.DUMMYFUNCTION("QUERY('Volunteer Survey'!H811)"),"")</f>
        <v/>
      </c>
      <c r="AH812" s="175" t="str">
        <f ca="1">IFERROR(__xludf.DUMMYFUNCTION("QUERY('Volunteer Survey'!I811)"),"")</f>
        <v/>
      </c>
      <c r="AI812" s="175" t="str">
        <f ca="1">IFERROR(__xludf.DUMMYFUNCTION("QUERY('Volunteer Survey'!J811)"),"")</f>
        <v/>
      </c>
      <c r="AJ812" s="175" t="str">
        <f ca="1">IFERROR(__xludf.DUMMYFUNCTION("QUERY('Volunteer Survey'!K811)"),"")</f>
        <v/>
      </c>
      <c r="AK812" s="175" t="str">
        <f ca="1">IFERROR(__xludf.DUMMYFUNCTION("QUERY('Volunteer Survey'!L811)"),"")</f>
        <v/>
      </c>
      <c r="AL812" s="175" t="str">
        <f ca="1">IFERROR(__xludf.DUMMYFUNCTION("QUERY('Volunteer Survey'!M811)"),"")</f>
        <v/>
      </c>
      <c r="AM812" s="175" t="str">
        <f ca="1">IFERROR(__xludf.DUMMYFUNCTION("QUERY('Volunteer Survey'!N811)"),"")</f>
        <v/>
      </c>
      <c r="AN812" s="175" t="str">
        <f ca="1">IFERROR(__xludf.DUMMYFUNCTION("QUERY('Volunteer Survey'!O811)"),"")</f>
        <v/>
      </c>
      <c r="AO812" s="175" t="str">
        <f ca="1">IFERROR(__xludf.DUMMYFUNCTION("QUERY('Volunteer Survey'!P811)"),"")</f>
        <v/>
      </c>
    </row>
    <row r="813" spans="1:41" ht="14">
      <c r="A813" s="49"/>
      <c r="B813" s="49"/>
      <c r="C813" s="47"/>
      <c r="D813" s="49"/>
      <c r="E813" s="49"/>
      <c r="F813" s="49" t="b">
        <v>0</v>
      </c>
      <c r="G813" s="49"/>
      <c r="H813" s="47"/>
      <c r="I813" s="47"/>
      <c r="J813" s="49"/>
      <c r="K813" s="49"/>
      <c r="L813" s="49"/>
      <c r="M813" s="49"/>
      <c r="N813" s="49"/>
      <c r="O813" s="49" t="b">
        <v>0</v>
      </c>
      <c r="P813" s="49"/>
      <c r="Q813" s="49"/>
      <c r="R813" s="49"/>
      <c r="S813" s="49"/>
      <c r="T813" s="49"/>
      <c r="U813" s="58"/>
      <c r="V813" s="49"/>
      <c r="W813" s="58"/>
      <c r="X813" s="49"/>
      <c r="Y813" s="47"/>
      <c r="Z813" s="175" t="str">
        <f ca="1">IFERROR(__xludf.DUMMYFUNCTION("QUERY('Volunteer Survey'!A812)"),"")</f>
        <v/>
      </c>
      <c r="AA813" s="175" t="str">
        <f ca="1">IFERROR(__xludf.DUMMYFUNCTION("QUERY('Volunteer Survey'!B812)"),"")</f>
        <v/>
      </c>
      <c r="AB813" s="175" t="str">
        <f ca="1">IFERROR(__xludf.DUMMYFUNCTION("QUERY('Volunteer Survey'!C812)"),"")</f>
        <v/>
      </c>
      <c r="AC813" s="175" t="str">
        <f ca="1">IFERROR(__xludf.DUMMYFUNCTION("QUERY('Volunteer Survey'!D812)"),"")</f>
        <v/>
      </c>
      <c r="AD813" s="175" t="str">
        <f ca="1">IFERROR(__xludf.DUMMYFUNCTION("QUERY('Volunteer Survey'!E812)"),"")</f>
        <v/>
      </c>
      <c r="AE813" s="175" t="str">
        <f ca="1">IFERROR(__xludf.DUMMYFUNCTION("QUERY('Volunteer Survey'!F812)"),"")</f>
        <v/>
      </c>
      <c r="AF813" s="175" t="str">
        <f ca="1">IFERROR(__xludf.DUMMYFUNCTION("QUERY('Volunteer Survey'!G812)"),"")</f>
        <v/>
      </c>
      <c r="AG813" s="175" t="str">
        <f ca="1">IFERROR(__xludf.DUMMYFUNCTION("QUERY('Volunteer Survey'!H812)"),"")</f>
        <v/>
      </c>
      <c r="AH813" s="175" t="str">
        <f ca="1">IFERROR(__xludf.DUMMYFUNCTION("QUERY('Volunteer Survey'!I812)"),"")</f>
        <v/>
      </c>
      <c r="AI813" s="175" t="str">
        <f ca="1">IFERROR(__xludf.DUMMYFUNCTION("QUERY('Volunteer Survey'!J812)"),"")</f>
        <v/>
      </c>
      <c r="AJ813" s="175" t="str">
        <f ca="1">IFERROR(__xludf.DUMMYFUNCTION("QUERY('Volunteer Survey'!K812)"),"")</f>
        <v/>
      </c>
      <c r="AK813" s="175" t="str">
        <f ca="1">IFERROR(__xludf.DUMMYFUNCTION("QUERY('Volunteer Survey'!L812)"),"")</f>
        <v/>
      </c>
      <c r="AL813" s="175" t="str">
        <f ca="1">IFERROR(__xludf.DUMMYFUNCTION("QUERY('Volunteer Survey'!M812)"),"")</f>
        <v/>
      </c>
      <c r="AM813" s="175" t="str">
        <f ca="1">IFERROR(__xludf.DUMMYFUNCTION("QUERY('Volunteer Survey'!N812)"),"")</f>
        <v/>
      </c>
      <c r="AN813" s="175" t="str">
        <f ca="1">IFERROR(__xludf.DUMMYFUNCTION("QUERY('Volunteer Survey'!O812)"),"")</f>
        <v/>
      </c>
      <c r="AO813" s="175" t="str">
        <f ca="1">IFERROR(__xludf.DUMMYFUNCTION("QUERY('Volunteer Survey'!P812)"),"")</f>
        <v/>
      </c>
    </row>
    <row r="814" spans="1:41" ht="14">
      <c r="A814" s="49"/>
      <c r="B814" s="49"/>
      <c r="C814" s="47"/>
      <c r="D814" s="49"/>
      <c r="E814" s="49"/>
      <c r="F814" s="49" t="b">
        <v>0</v>
      </c>
      <c r="G814" s="49"/>
      <c r="H814" s="47"/>
      <c r="I814" s="47"/>
      <c r="J814" s="49"/>
      <c r="K814" s="49"/>
      <c r="L814" s="49"/>
      <c r="M814" s="49"/>
      <c r="N814" s="49"/>
      <c r="O814" s="49" t="b">
        <v>0</v>
      </c>
      <c r="P814" s="49"/>
      <c r="Q814" s="49"/>
      <c r="R814" s="49"/>
      <c r="S814" s="49"/>
      <c r="T814" s="49"/>
      <c r="U814" s="58"/>
      <c r="V814" s="49"/>
      <c r="W814" s="58"/>
      <c r="X814" s="49"/>
      <c r="Y814" s="47"/>
      <c r="Z814" s="175" t="str">
        <f ca="1">IFERROR(__xludf.DUMMYFUNCTION("QUERY('Volunteer Survey'!A813)"),"")</f>
        <v/>
      </c>
      <c r="AA814" s="175" t="str">
        <f ca="1">IFERROR(__xludf.DUMMYFUNCTION("QUERY('Volunteer Survey'!B813)"),"")</f>
        <v/>
      </c>
      <c r="AB814" s="175" t="str">
        <f ca="1">IFERROR(__xludf.DUMMYFUNCTION("QUERY('Volunteer Survey'!C813)"),"")</f>
        <v/>
      </c>
      <c r="AC814" s="175" t="str">
        <f ca="1">IFERROR(__xludf.DUMMYFUNCTION("QUERY('Volunteer Survey'!D813)"),"")</f>
        <v/>
      </c>
      <c r="AD814" s="175" t="str">
        <f ca="1">IFERROR(__xludf.DUMMYFUNCTION("QUERY('Volunteer Survey'!E813)"),"")</f>
        <v/>
      </c>
      <c r="AE814" s="175" t="str">
        <f ca="1">IFERROR(__xludf.DUMMYFUNCTION("QUERY('Volunteer Survey'!F813)"),"")</f>
        <v/>
      </c>
      <c r="AF814" s="175" t="str">
        <f ca="1">IFERROR(__xludf.DUMMYFUNCTION("QUERY('Volunteer Survey'!G813)"),"")</f>
        <v/>
      </c>
      <c r="AG814" s="175" t="str">
        <f ca="1">IFERROR(__xludf.DUMMYFUNCTION("QUERY('Volunteer Survey'!H813)"),"")</f>
        <v/>
      </c>
      <c r="AH814" s="175" t="str">
        <f ca="1">IFERROR(__xludf.DUMMYFUNCTION("QUERY('Volunteer Survey'!I813)"),"")</f>
        <v/>
      </c>
      <c r="AI814" s="175" t="str">
        <f ca="1">IFERROR(__xludf.DUMMYFUNCTION("QUERY('Volunteer Survey'!J813)"),"")</f>
        <v/>
      </c>
      <c r="AJ814" s="175" t="str">
        <f ca="1">IFERROR(__xludf.DUMMYFUNCTION("QUERY('Volunteer Survey'!K813)"),"")</f>
        <v/>
      </c>
      <c r="AK814" s="175" t="str">
        <f ca="1">IFERROR(__xludf.DUMMYFUNCTION("QUERY('Volunteer Survey'!L813)"),"")</f>
        <v/>
      </c>
      <c r="AL814" s="175" t="str">
        <f ca="1">IFERROR(__xludf.DUMMYFUNCTION("QUERY('Volunteer Survey'!M813)"),"")</f>
        <v/>
      </c>
      <c r="AM814" s="175" t="str">
        <f ca="1">IFERROR(__xludf.DUMMYFUNCTION("QUERY('Volunteer Survey'!N813)"),"")</f>
        <v/>
      </c>
      <c r="AN814" s="175" t="str">
        <f ca="1">IFERROR(__xludf.DUMMYFUNCTION("QUERY('Volunteer Survey'!O813)"),"")</f>
        <v/>
      </c>
      <c r="AO814" s="175" t="str">
        <f ca="1">IFERROR(__xludf.DUMMYFUNCTION("QUERY('Volunteer Survey'!P813)"),"")</f>
        <v/>
      </c>
    </row>
    <row r="815" spans="1:41" ht="14">
      <c r="A815" s="49"/>
      <c r="B815" s="49"/>
      <c r="C815" s="47"/>
      <c r="D815" s="49"/>
      <c r="E815" s="49"/>
      <c r="F815" s="49" t="b">
        <v>0</v>
      </c>
      <c r="G815" s="49"/>
      <c r="H815" s="47"/>
      <c r="I815" s="47"/>
      <c r="J815" s="49"/>
      <c r="K815" s="49"/>
      <c r="L815" s="49"/>
      <c r="M815" s="49"/>
      <c r="N815" s="49"/>
      <c r="O815" s="49" t="b">
        <v>0</v>
      </c>
      <c r="P815" s="49"/>
      <c r="Q815" s="49"/>
      <c r="R815" s="49"/>
      <c r="S815" s="49"/>
      <c r="T815" s="49"/>
      <c r="U815" s="58"/>
      <c r="V815" s="49"/>
      <c r="W815" s="58"/>
      <c r="X815" s="49"/>
      <c r="Y815" s="47"/>
      <c r="Z815" s="175" t="str">
        <f ca="1">IFERROR(__xludf.DUMMYFUNCTION("QUERY('Volunteer Survey'!A814)"),"")</f>
        <v/>
      </c>
      <c r="AA815" s="175" t="str">
        <f ca="1">IFERROR(__xludf.DUMMYFUNCTION("QUERY('Volunteer Survey'!B814)"),"")</f>
        <v/>
      </c>
      <c r="AB815" s="175" t="str">
        <f ca="1">IFERROR(__xludf.DUMMYFUNCTION("QUERY('Volunteer Survey'!C814)"),"")</f>
        <v/>
      </c>
      <c r="AC815" s="175" t="str">
        <f ca="1">IFERROR(__xludf.DUMMYFUNCTION("QUERY('Volunteer Survey'!D814)"),"")</f>
        <v/>
      </c>
      <c r="AD815" s="175" t="str">
        <f ca="1">IFERROR(__xludf.DUMMYFUNCTION("QUERY('Volunteer Survey'!E814)"),"")</f>
        <v/>
      </c>
      <c r="AE815" s="175" t="str">
        <f ca="1">IFERROR(__xludf.DUMMYFUNCTION("QUERY('Volunteer Survey'!F814)"),"")</f>
        <v/>
      </c>
      <c r="AF815" s="175" t="str">
        <f ca="1">IFERROR(__xludf.DUMMYFUNCTION("QUERY('Volunteer Survey'!G814)"),"")</f>
        <v/>
      </c>
      <c r="AG815" s="175" t="str">
        <f ca="1">IFERROR(__xludf.DUMMYFUNCTION("QUERY('Volunteer Survey'!H814)"),"")</f>
        <v/>
      </c>
      <c r="AH815" s="175" t="str">
        <f ca="1">IFERROR(__xludf.DUMMYFUNCTION("QUERY('Volunteer Survey'!I814)"),"")</f>
        <v/>
      </c>
      <c r="AI815" s="175" t="str">
        <f ca="1">IFERROR(__xludf.DUMMYFUNCTION("QUERY('Volunteer Survey'!J814)"),"")</f>
        <v/>
      </c>
      <c r="AJ815" s="175" t="str">
        <f ca="1">IFERROR(__xludf.DUMMYFUNCTION("QUERY('Volunteer Survey'!K814)"),"")</f>
        <v/>
      </c>
      <c r="AK815" s="175" t="str">
        <f ca="1">IFERROR(__xludf.DUMMYFUNCTION("QUERY('Volunteer Survey'!L814)"),"")</f>
        <v/>
      </c>
      <c r="AL815" s="175" t="str">
        <f ca="1">IFERROR(__xludf.DUMMYFUNCTION("QUERY('Volunteer Survey'!M814)"),"")</f>
        <v/>
      </c>
      <c r="AM815" s="175" t="str">
        <f ca="1">IFERROR(__xludf.DUMMYFUNCTION("QUERY('Volunteer Survey'!N814)"),"")</f>
        <v/>
      </c>
      <c r="AN815" s="175" t="str">
        <f ca="1">IFERROR(__xludf.DUMMYFUNCTION("QUERY('Volunteer Survey'!O814)"),"")</f>
        <v/>
      </c>
      <c r="AO815" s="175" t="str">
        <f ca="1">IFERROR(__xludf.DUMMYFUNCTION("QUERY('Volunteer Survey'!P814)"),"")</f>
        <v/>
      </c>
    </row>
    <row r="816" spans="1:41" ht="14">
      <c r="A816" s="49"/>
      <c r="B816" s="49"/>
      <c r="C816" s="47"/>
      <c r="D816" s="49"/>
      <c r="E816" s="49"/>
      <c r="F816" s="49" t="b">
        <v>0</v>
      </c>
      <c r="G816" s="49"/>
      <c r="H816" s="47"/>
      <c r="I816" s="47"/>
      <c r="J816" s="49"/>
      <c r="K816" s="49"/>
      <c r="L816" s="49"/>
      <c r="M816" s="49"/>
      <c r="N816" s="49"/>
      <c r="O816" s="49" t="b">
        <v>0</v>
      </c>
      <c r="P816" s="49"/>
      <c r="Q816" s="49"/>
      <c r="R816" s="49"/>
      <c r="S816" s="49"/>
      <c r="T816" s="49"/>
      <c r="U816" s="58"/>
      <c r="V816" s="49"/>
      <c r="W816" s="58"/>
      <c r="X816" s="49"/>
      <c r="Y816" s="47"/>
      <c r="Z816" s="175" t="str">
        <f ca="1">IFERROR(__xludf.DUMMYFUNCTION("QUERY('Volunteer Survey'!A815)"),"")</f>
        <v/>
      </c>
      <c r="AA816" s="175" t="str">
        <f ca="1">IFERROR(__xludf.DUMMYFUNCTION("QUERY('Volunteer Survey'!B815)"),"")</f>
        <v/>
      </c>
      <c r="AB816" s="175" t="str">
        <f ca="1">IFERROR(__xludf.DUMMYFUNCTION("QUERY('Volunteer Survey'!C815)"),"")</f>
        <v/>
      </c>
      <c r="AC816" s="175" t="str">
        <f ca="1">IFERROR(__xludf.DUMMYFUNCTION("QUERY('Volunteer Survey'!D815)"),"")</f>
        <v/>
      </c>
      <c r="AD816" s="175" t="str">
        <f ca="1">IFERROR(__xludf.DUMMYFUNCTION("QUERY('Volunteer Survey'!E815)"),"")</f>
        <v/>
      </c>
      <c r="AE816" s="175" t="str">
        <f ca="1">IFERROR(__xludf.DUMMYFUNCTION("QUERY('Volunteer Survey'!F815)"),"")</f>
        <v/>
      </c>
      <c r="AF816" s="175" t="str">
        <f ca="1">IFERROR(__xludf.DUMMYFUNCTION("QUERY('Volunteer Survey'!G815)"),"")</f>
        <v/>
      </c>
      <c r="AG816" s="175" t="str">
        <f ca="1">IFERROR(__xludf.DUMMYFUNCTION("QUERY('Volunteer Survey'!H815)"),"")</f>
        <v/>
      </c>
      <c r="AH816" s="175" t="str">
        <f ca="1">IFERROR(__xludf.DUMMYFUNCTION("QUERY('Volunteer Survey'!I815)"),"")</f>
        <v/>
      </c>
      <c r="AI816" s="175" t="str">
        <f ca="1">IFERROR(__xludf.DUMMYFUNCTION("QUERY('Volunteer Survey'!J815)"),"")</f>
        <v/>
      </c>
      <c r="AJ816" s="175" t="str">
        <f ca="1">IFERROR(__xludf.DUMMYFUNCTION("QUERY('Volunteer Survey'!K815)"),"")</f>
        <v/>
      </c>
      <c r="AK816" s="175" t="str">
        <f ca="1">IFERROR(__xludf.DUMMYFUNCTION("QUERY('Volunteer Survey'!L815)"),"")</f>
        <v/>
      </c>
      <c r="AL816" s="175" t="str">
        <f ca="1">IFERROR(__xludf.DUMMYFUNCTION("QUERY('Volunteer Survey'!M815)"),"")</f>
        <v/>
      </c>
      <c r="AM816" s="175" t="str">
        <f ca="1">IFERROR(__xludf.DUMMYFUNCTION("QUERY('Volunteer Survey'!N815)"),"")</f>
        <v/>
      </c>
      <c r="AN816" s="175" t="str">
        <f ca="1">IFERROR(__xludf.DUMMYFUNCTION("QUERY('Volunteer Survey'!O815)"),"")</f>
        <v/>
      </c>
      <c r="AO816" s="175" t="str">
        <f ca="1">IFERROR(__xludf.DUMMYFUNCTION("QUERY('Volunteer Survey'!P815)"),"")</f>
        <v/>
      </c>
    </row>
    <row r="817" spans="1:41" ht="14">
      <c r="A817" s="49"/>
      <c r="B817" s="49"/>
      <c r="C817" s="47"/>
      <c r="D817" s="49"/>
      <c r="E817" s="49"/>
      <c r="F817" s="49" t="b">
        <v>0</v>
      </c>
      <c r="G817" s="49"/>
      <c r="H817" s="47"/>
      <c r="I817" s="47"/>
      <c r="J817" s="49"/>
      <c r="K817" s="49"/>
      <c r="L817" s="49"/>
      <c r="M817" s="49"/>
      <c r="N817" s="49"/>
      <c r="O817" s="49" t="b">
        <v>0</v>
      </c>
      <c r="P817" s="49"/>
      <c r="Q817" s="49"/>
      <c r="R817" s="49"/>
      <c r="S817" s="49"/>
      <c r="T817" s="49"/>
      <c r="U817" s="58"/>
      <c r="V817" s="49"/>
      <c r="W817" s="58"/>
      <c r="X817" s="49"/>
      <c r="Y817" s="47"/>
      <c r="Z817" s="175" t="str">
        <f ca="1">IFERROR(__xludf.DUMMYFUNCTION("QUERY('Volunteer Survey'!A816)"),"")</f>
        <v/>
      </c>
      <c r="AA817" s="175" t="str">
        <f ca="1">IFERROR(__xludf.DUMMYFUNCTION("QUERY('Volunteer Survey'!B816)"),"")</f>
        <v/>
      </c>
      <c r="AB817" s="175" t="str">
        <f ca="1">IFERROR(__xludf.DUMMYFUNCTION("QUERY('Volunteer Survey'!C816)"),"")</f>
        <v/>
      </c>
      <c r="AC817" s="175" t="str">
        <f ca="1">IFERROR(__xludf.DUMMYFUNCTION("QUERY('Volunteer Survey'!D816)"),"")</f>
        <v/>
      </c>
      <c r="AD817" s="175" t="str">
        <f ca="1">IFERROR(__xludf.DUMMYFUNCTION("QUERY('Volunteer Survey'!E816)"),"")</f>
        <v/>
      </c>
      <c r="AE817" s="175" t="str">
        <f ca="1">IFERROR(__xludf.DUMMYFUNCTION("QUERY('Volunteer Survey'!F816)"),"")</f>
        <v/>
      </c>
      <c r="AF817" s="175" t="str">
        <f ca="1">IFERROR(__xludf.DUMMYFUNCTION("QUERY('Volunteer Survey'!G816)"),"")</f>
        <v/>
      </c>
      <c r="AG817" s="175" t="str">
        <f ca="1">IFERROR(__xludf.DUMMYFUNCTION("QUERY('Volunteer Survey'!H816)"),"")</f>
        <v/>
      </c>
      <c r="AH817" s="175" t="str">
        <f ca="1">IFERROR(__xludf.DUMMYFUNCTION("QUERY('Volunteer Survey'!I816)"),"")</f>
        <v/>
      </c>
      <c r="AI817" s="175" t="str">
        <f ca="1">IFERROR(__xludf.DUMMYFUNCTION("QUERY('Volunteer Survey'!J816)"),"")</f>
        <v/>
      </c>
      <c r="AJ817" s="175" t="str">
        <f ca="1">IFERROR(__xludf.DUMMYFUNCTION("QUERY('Volunteer Survey'!K816)"),"")</f>
        <v/>
      </c>
      <c r="AK817" s="175" t="str">
        <f ca="1">IFERROR(__xludf.DUMMYFUNCTION("QUERY('Volunteer Survey'!L816)"),"")</f>
        <v/>
      </c>
      <c r="AL817" s="175" t="str">
        <f ca="1">IFERROR(__xludf.DUMMYFUNCTION("QUERY('Volunteer Survey'!M816)"),"")</f>
        <v/>
      </c>
      <c r="AM817" s="175" t="str">
        <f ca="1">IFERROR(__xludf.DUMMYFUNCTION("QUERY('Volunteer Survey'!N816)"),"")</f>
        <v/>
      </c>
      <c r="AN817" s="175" t="str">
        <f ca="1">IFERROR(__xludf.DUMMYFUNCTION("QUERY('Volunteer Survey'!O816)"),"")</f>
        <v/>
      </c>
      <c r="AO817" s="175" t="str">
        <f ca="1">IFERROR(__xludf.DUMMYFUNCTION("QUERY('Volunteer Survey'!P816)"),"")</f>
        <v/>
      </c>
    </row>
    <row r="818" spans="1:41" ht="14">
      <c r="A818" s="49"/>
      <c r="B818" s="49"/>
      <c r="C818" s="47"/>
      <c r="D818" s="49"/>
      <c r="E818" s="49"/>
      <c r="F818" s="49" t="b">
        <v>0</v>
      </c>
      <c r="G818" s="49"/>
      <c r="H818" s="47"/>
      <c r="I818" s="47"/>
      <c r="J818" s="49"/>
      <c r="K818" s="49"/>
      <c r="L818" s="49"/>
      <c r="M818" s="49"/>
      <c r="N818" s="49"/>
      <c r="O818" s="49" t="b">
        <v>0</v>
      </c>
      <c r="P818" s="49"/>
      <c r="Q818" s="49"/>
      <c r="R818" s="49"/>
      <c r="S818" s="49"/>
      <c r="T818" s="49"/>
      <c r="U818" s="58"/>
      <c r="V818" s="49"/>
      <c r="W818" s="58"/>
      <c r="X818" s="49"/>
      <c r="Y818" s="47"/>
      <c r="Z818" s="175" t="str">
        <f ca="1">IFERROR(__xludf.DUMMYFUNCTION("QUERY('Volunteer Survey'!A817)"),"")</f>
        <v/>
      </c>
      <c r="AA818" s="175" t="str">
        <f ca="1">IFERROR(__xludf.DUMMYFUNCTION("QUERY('Volunteer Survey'!B817)"),"")</f>
        <v/>
      </c>
      <c r="AB818" s="175" t="str">
        <f ca="1">IFERROR(__xludf.DUMMYFUNCTION("QUERY('Volunteer Survey'!C817)"),"")</f>
        <v/>
      </c>
      <c r="AC818" s="175" t="str">
        <f ca="1">IFERROR(__xludf.DUMMYFUNCTION("QUERY('Volunteer Survey'!D817)"),"")</f>
        <v/>
      </c>
      <c r="AD818" s="175" t="str">
        <f ca="1">IFERROR(__xludf.DUMMYFUNCTION("QUERY('Volunteer Survey'!E817)"),"")</f>
        <v/>
      </c>
      <c r="AE818" s="175" t="str">
        <f ca="1">IFERROR(__xludf.DUMMYFUNCTION("QUERY('Volunteer Survey'!F817)"),"")</f>
        <v/>
      </c>
      <c r="AF818" s="175" t="str">
        <f ca="1">IFERROR(__xludf.DUMMYFUNCTION("QUERY('Volunteer Survey'!G817)"),"")</f>
        <v/>
      </c>
      <c r="AG818" s="175" t="str">
        <f ca="1">IFERROR(__xludf.DUMMYFUNCTION("QUERY('Volunteer Survey'!H817)"),"")</f>
        <v/>
      </c>
      <c r="AH818" s="175" t="str">
        <f ca="1">IFERROR(__xludf.DUMMYFUNCTION("QUERY('Volunteer Survey'!I817)"),"")</f>
        <v/>
      </c>
      <c r="AI818" s="175" t="str">
        <f ca="1">IFERROR(__xludf.DUMMYFUNCTION("QUERY('Volunteer Survey'!J817)"),"")</f>
        <v/>
      </c>
      <c r="AJ818" s="175" t="str">
        <f ca="1">IFERROR(__xludf.DUMMYFUNCTION("QUERY('Volunteer Survey'!K817)"),"")</f>
        <v/>
      </c>
      <c r="AK818" s="175" t="str">
        <f ca="1">IFERROR(__xludf.DUMMYFUNCTION("QUERY('Volunteer Survey'!L817)"),"")</f>
        <v/>
      </c>
      <c r="AL818" s="175" t="str">
        <f ca="1">IFERROR(__xludf.DUMMYFUNCTION("QUERY('Volunteer Survey'!M817)"),"")</f>
        <v/>
      </c>
      <c r="AM818" s="175" t="str">
        <f ca="1">IFERROR(__xludf.DUMMYFUNCTION("QUERY('Volunteer Survey'!N817)"),"")</f>
        <v/>
      </c>
      <c r="AN818" s="175" t="str">
        <f ca="1">IFERROR(__xludf.DUMMYFUNCTION("QUERY('Volunteer Survey'!O817)"),"")</f>
        <v/>
      </c>
      <c r="AO818" s="175" t="str">
        <f ca="1">IFERROR(__xludf.DUMMYFUNCTION("QUERY('Volunteer Survey'!P817)"),"")</f>
        <v/>
      </c>
    </row>
    <row r="819" spans="1:41" ht="14">
      <c r="A819" s="49"/>
      <c r="B819" s="49"/>
      <c r="C819" s="47"/>
      <c r="D819" s="49"/>
      <c r="E819" s="49"/>
      <c r="F819" s="49" t="b">
        <v>0</v>
      </c>
      <c r="G819" s="49"/>
      <c r="H819" s="47"/>
      <c r="I819" s="47"/>
      <c r="J819" s="49"/>
      <c r="K819" s="49"/>
      <c r="L819" s="49"/>
      <c r="M819" s="49"/>
      <c r="N819" s="49"/>
      <c r="O819" s="49" t="b">
        <v>0</v>
      </c>
      <c r="P819" s="49"/>
      <c r="Q819" s="49"/>
      <c r="R819" s="49"/>
      <c r="S819" s="49"/>
      <c r="T819" s="49"/>
      <c r="U819" s="58"/>
      <c r="V819" s="49"/>
      <c r="W819" s="58"/>
      <c r="X819" s="49"/>
      <c r="Y819" s="47"/>
      <c r="Z819" s="175" t="str">
        <f ca="1">IFERROR(__xludf.DUMMYFUNCTION("QUERY('Volunteer Survey'!A818)"),"")</f>
        <v/>
      </c>
      <c r="AA819" s="175" t="str">
        <f ca="1">IFERROR(__xludf.DUMMYFUNCTION("QUERY('Volunteer Survey'!B818)"),"")</f>
        <v/>
      </c>
      <c r="AB819" s="175" t="str">
        <f ca="1">IFERROR(__xludf.DUMMYFUNCTION("QUERY('Volunteer Survey'!C818)"),"")</f>
        <v/>
      </c>
      <c r="AC819" s="175" t="str">
        <f ca="1">IFERROR(__xludf.DUMMYFUNCTION("QUERY('Volunteer Survey'!D818)"),"")</f>
        <v/>
      </c>
      <c r="AD819" s="175" t="str">
        <f ca="1">IFERROR(__xludf.DUMMYFUNCTION("QUERY('Volunteer Survey'!E818)"),"")</f>
        <v/>
      </c>
      <c r="AE819" s="175" t="str">
        <f ca="1">IFERROR(__xludf.DUMMYFUNCTION("QUERY('Volunteer Survey'!F818)"),"")</f>
        <v/>
      </c>
      <c r="AF819" s="175" t="str">
        <f ca="1">IFERROR(__xludf.DUMMYFUNCTION("QUERY('Volunteer Survey'!G818)"),"")</f>
        <v/>
      </c>
      <c r="AG819" s="175" t="str">
        <f ca="1">IFERROR(__xludf.DUMMYFUNCTION("QUERY('Volunteer Survey'!H818)"),"")</f>
        <v/>
      </c>
      <c r="AH819" s="175" t="str">
        <f ca="1">IFERROR(__xludf.DUMMYFUNCTION("QUERY('Volunteer Survey'!I818)"),"")</f>
        <v/>
      </c>
      <c r="AI819" s="175" t="str">
        <f ca="1">IFERROR(__xludf.DUMMYFUNCTION("QUERY('Volunteer Survey'!J818)"),"")</f>
        <v/>
      </c>
      <c r="AJ819" s="175" t="str">
        <f ca="1">IFERROR(__xludf.DUMMYFUNCTION("QUERY('Volunteer Survey'!K818)"),"")</f>
        <v/>
      </c>
      <c r="AK819" s="175" t="str">
        <f ca="1">IFERROR(__xludf.DUMMYFUNCTION("QUERY('Volunteer Survey'!L818)"),"")</f>
        <v/>
      </c>
      <c r="AL819" s="175" t="str">
        <f ca="1">IFERROR(__xludf.DUMMYFUNCTION("QUERY('Volunteer Survey'!M818)"),"")</f>
        <v/>
      </c>
      <c r="AM819" s="175" t="str">
        <f ca="1">IFERROR(__xludf.DUMMYFUNCTION("QUERY('Volunteer Survey'!N818)"),"")</f>
        <v/>
      </c>
      <c r="AN819" s="175" t="str">
        <f ca="1">IFERROR(__xludf.DUMMYFUNCTION("QUERY('Volunteer Survey'!O818)"),"")</f>
        <v/>
      </c>
      <c r="AO819" s="175" t="str">
        <f ca="1">IFERROR(__xludf.DUMMYFUNCTION("QUERY('Volunteer Survey'!P818)"),"")</f>
        <v/>
      </c>
    </row>
    <row r="820" spans="1:41" ht="14">
      <c r="A820" s="49"/>
      <c r="B820" s="49"/>
      <c r="C820" s="47"/>
      <c r="D820" s="49"/>
      <c r="E820" s="49"/>
      <c r="F820" s="49" t="b">
        <v>0</v>
      </c>
      <c r="G820" s="49"/>
      <c r="H820" s="47"/>
      <c r="I820" s="47"/>
      <c r="J820" s="49"/>
      <c r="K820" s="49"/>
      <c r="L820" s="49"/>
      <c r="M820" s="49"/>
      <c r="N820" s="49"/>
      <c r="O820" s="49" t="b">
        <v>0</v>
      </c>
      <c r="P820" s="49"/>
      <c r="Q820" s="49"/>
      <c r="R820" s="49"/>
      <c r="S820" s="49"/>
      <c r="T820" s="49"/>
      <c r="U820" s="58"/>
      <c r="V820" s="49"/>
      <c r="W820" s="58"/>
      <c r="X820" s="49"/>
      <c r="Y820" s="47"/>
      <c r="Z820" s="175" t="str">
        <f ca="1">IFERROR(__xludf.DUMMYFUNCTION("QUERY('Volunteer Survey'!A819)"),"")</f>
        <v/>
      </c>
      <c r="AA820" s="175" t="str">
        <f ca="1">IFERROR(__xludf.DUMMYFUNCTION("QUERY('Volunteer Survey'!B819)"),"")</f>
        <v/>
      </c>
      <c r="AB820" s="175" t="str">
        <f ca="1">IFERROR(__xludf.DUMMYFUNCTION("QUERY('Volunteer Survey'!C819)"),"")</f>
        <v/>
      </c>
      <c r="AC820" s="175" t="str">
        <f ca="1">IFERROR(__xludf.DUMMYFUNCTION("QUERY('Volunteer Survey'!D819)"),"")</f>
        <v/>
      </c>
      <c r="AD820" s="175" t="str">
        <f ca="1">IFERROR(__xludf.DUMMYFUNCTION("QUERY('Volunteer Survey'!E819)"),"")</f>
        <v/>
      </c>
      <c r="AE820" s="175" t="str">
        <f ca="1">IFERROR(__xludf.DUMMYFUNCTION("QUERY('Volunteer Survey'!F819)"),"")</f>
        <v/>
      </c>
      <c r="AF820" s="175" t="str">
        <f ca="1">IFERROR(__xludf.DUMMYFUNCTION("QUERY('Volunteer Survey'!G819)"),"")</f>
        <v/>
      </c>
      <c r="AG820" s="175" t="str">
        <f ca="1">IFERROR(__xludf.DUMMYFUNCTION("QUERY('Volunteer Survey'!H819)"),"")</f>
        <v/>
      </c>
      <c r="AH820" s="175" t="str">
        <f ca="1">IFERROR(__xludf.DUMMYFUNCTION("QUERY('Volunteer Survey'!I819)"),"")</f>
        <v/>
      </c>
      <c r="AI820" s="175" t="str">
        <f ca="1">IFERROR(__xludf.DUMMYFUNCTION("QUERY('Volunteer Survey'!J819)"),"")</f>
        <v/>
      </c>
      <c r="AJ820" s="175" t="str">
        <f ca="1">IFERROR(__xludf.DUMMYFUNCTION("QUERY('Volunteer Survey'!K819)"),"")</f>
        <v/>
      </c>
      <c r="AK820" s="175" t="str">
        <f ca="1">IFERROR(__xludf.DUMMYFUNCTION("QUERY('Volunteer Survey'!L819)"),"")</f>
        <v/>
      </c>
      <c r="AL820" s="175" t="str">
        <f ca="1">IFERROR(__xludf.DUMMYFUNCTION("QUERY('Volunteer Survey'!M819)"),"")</f>
        <v/>
      </c>
      <c r="AM820" s="175" t="str">
        <f ca="1">IFERROR(__xludf.DUMMYFUNCTION("QUERY('Volunteer Survey'!N819)"),"")</f>
        <v/>
      </c>
      <c r="AN820" s="175" t="str">
        <f ca="1">IFERROR(__xludf.DUMMYFUNCTION("QUERY('Volunteer Survey'!O819)"),"")</f>
        <v/>
      </c>
      <c r="AO820" s="175" t="str">
        <f ca="1">IFERROR(__xludf.DUMMYFUNCTION("QUERY('Volunteer Survey'!P819)"),"")</f>
        <v/>
      </c>
    </row>
    <row r="821" spans="1:41" ht="14">
      <c r="A821" s="49"/>
      <c r="B821" s="49"/>
      <c r="C821" s="47"/>
      <c r="D821" s="49"/>
      <c r="E821" s="49"/>
      <c r="F821" s="49" t="b">
        <v>0</v>
      </c>
      <c r="G821" s="49"/>
      <c r="H821" s="47"/>
      <c r="I821" s="47"/>
      <c r="J821" s="49"/>
      <c r="K821" s="49"/>
      <c r="L821" s="49"/>
      <c r="M821" s="49"/>
      <c r="N821" s="49"/>
      <c r="O821" s="49" t="b">
        <v>0</v>
      </c>
      <c r="P821" s="49"/>
      <c r="Q821" s="49"/>
      <c r="R821" s="49"/>
      <c r="S821" s="49"/>
      <c r="T821" s="49"/>
      <c r="U821" s="58"/>
      <c r="V821" s="49"/>
      <c r="W821" s="58"/>
      <c r="X821" s="49"/>
      <c r="Y821" s="47"/>
      <c r="Z821" s="175" t="str">
        <f ca="1">IFERROR(__xludf.DUMMYFUNCTION("QUERY('Volunteer Survey'!A820)"),"")</f>
        <v/>
      </c>
      <c r="AA821" s="175" t="str">
        <f ca="1">IFERROR(__xludf.DUMMYFUNCTION("QUERY('Volunteer Survey'!B820)"),"")</f>
        <v/>
      </c>
      <c r="AB821" s="175" t="str">
        <f ca="1">IFERROR(__xludf.DUMMYFUNCTION("QUERY('Volunteer Survey'!C820)"),"")</f>
        <v/>
      </c>
      <c r="AC821" s="175" t="str">
        <f ca="1">IFERROR(__xludf.DUMMYFUNCTION("QUERY('Volunteer Survey'!D820)"),"")</f>
        <v/>
      </c>
      <c r="AD821" s="175" t="str">
        <f ca="1">IFERROR(__xludf.DUMMYFUNCTION("QUERY('Volunteer Survey'!E820)"),"")</f>
        <v/>
      </c>
      <c r="AE821" s="175" t="str">
        <f ca="1">IFERROR(__xludf.DUMMYFUNCTION("QUERY('Volunteer Survey'!F820)"),"")</f>
        <v/>
      </c>
      <c r="AF821" s="175" t="str">
        <f ca="1">IFERROR(__xludf.DUMMYFUNCTION("QUERY('Volunteer Survey'!G820)"),"")</f>
        <v/>
      </c>
      <c r="AG821" s="175" t="str">
        <f ca="1">IFERROR(__xludf.DUMMYFUNCTION("QUERY('Volunteer Survey'!H820)"),"")</f>
        <v/>
      </c>
      <c r="AH821" s="175" t="str">
        <f ca="1">IFERROR(__xludf.DUMMYFUNCTION("QUERY('Volunteer Survey'!I820)"),"")</f>
        <v/>
      </c>
      <c r="AI821" s="175" t="str">
        <f ca="1">IFERROR(__xludf.DUMMYFUNCTION("QUERY('Volunteer Survey'!J820)"),"")</f>
        <v/>
      </c>
      <c r="AJ821" s="175" t="str">
        <f ca="1">IFERROR(__xludf.DUMMYFUNCTION("QUERY('Volunteer Survey'!K820)"),"")</f>
        <v/>
      </c>
      <c r="AK821" s="175" t="str">
        <f ca="1">IFERROR(__xludf.DUMMYFUNCTION("QUERY('Volunteer Survey'!L820)"),"")</f>
        <v/>
      </c>
      <c r="AL821" s="175" t="str">
        <f ca="1">IFERROR(__xludf.DUMMYFUNCTION("QUERY('Volunteer Survey'!M820)"),"")</f>
        <v/>
      </c>
      <c r="AM821" s="175" t="str">
        <f ca="1">IFERROR(__xludf.DUMMYFUNCTION("QUERY('Volunteer Survey'!N820)"),"")</f>
        <v/>
      </c>
      <c r="AN821" s="175" t="str">
        <f ca="1">IFERROR(__xludf.DUMMYFUNCTION("QUERY('Volunteer Survey'!O820)"),"")</f>
        <v/>
      </c>
      <c r="AO821" s="175" t="str">
        <f ca="1">IFERROR(__xludf.DUMMYFUNCTION("QUERY('Volunteer Survey'!P820)"),"")</f>
        <v/>
      </c>
    </row>
    <row r="822" spans="1:41" ht="14">
      <c r="A822" s="49"/>
      <c r="B822" s="49"/>
      <c r="C822" s="47"/>
      <c r="D822" s="49"/>
      <c r="E822" s="49"/>
      <c r="F822" s="49" t="b">
        <v>0</v>
      </c>
      <c r="G822" s="49"/>
      <c r="H822" s="47"/>
      <c r="I822" s="47"/>
      <c r="J822" s="49"/>
      <c r="K822" s="49"/>
      <c r="L822" s="49"/>
      <c r="M822" s="49"/>
      <c r="N822" s="49"/>
      <c r="O822" s="49" t="b">
        <v>0</v>
      </c>
      <c r="P822" s="49"/>
      <c r="Q822" s="49"/>
      <c r="R822" s="49"/>
      <c r="S822" s="49"/>
      <c r="T822" s="49"/>
      <c r="U822" s="58"/>
      <c r="V822" s="49"/>
      <c r="W822" s="58"/>
      <c r="X822" s="49"/>
      <c r="Y822" s="47"/>
      <c r="Z822" s="175" t="str">
        <f ca="1">IFERROR(__xludf.DUMMYFUNCTION("QUERY('Volunteer Survey'!A821)"),"")</f>
        <v/>
      </c>
      <c r="AA822" s="175" t="str">
        <f ca="1">IFERROR(__xludf.DUMMYFUNCTION("QUERY('Volunteer Survey'!B821)"),"")</f>
        <v/>
      </c>
      <c r="AB822" s="175" t="str">
        <f ca="1">IFERROR(__xludf.DUMMYFUNCTION("QUERY('Volunteer Survey'!C821)"),"")</f>
        <v/>
      </c>
      <c r="AC822" s="175" t="str">
        <f ca="1">IFERROR(__xludf.DUMMYFUNCTION("QUERY('Volunteer Survey'!D821)"),"")</f>
        <v/>
      </c>
      <c r="AD822" s="175" t="str">
        <f ca="1">IFERROR(__xludf.DUMMYFUNCTION("QUERY('Volunteer Survey'!E821)"),"")</f>
        <v/>
      </c>
      <c r="AE822" s="175" t="str">
        <f ca="1">IFERROR(__xludf.DUMMYFUNCTION("QUERY('Volunteer Survey'!F821)"),"")</f>
        <v/>
      </c>
      <c r="AF822" s="175" t="str">
        <f ca="1">IFERROR(__xludf.DUMMYFUNCTION("QUERY('Volunteer Survey'!G821)"),"")</f>
        <v/>
      </c>
      <c r="AG822" s="175" t="str">
        <f ca="1">IFERROR(__xludf.DUMMYFUNCTION("QUERY('Volunteer Survey'!H821)"),"")</f>
        <v/>
      </c>
      <c r="AH822" s="175" t="str">
        <f ca="1">IFERROR(__xludf.DUMMYFUNCTION("QUERY('Volunteer Survey'!I821)"),"")</f>
        <v/>
      </c>
      <c r="AI822" s="175" t="str">
        <f ca="1">IFERROR(__xludf.DUMMYFUNCTION("QUERY('Volunteer Survey'!J821)"),"")</f>
        <v/>
      </c>
      <c r="AJ822" s="175" t="str">
        <f ca="1">IFERROR(__xludf.DUMMYFUNCTION("QUERY('Volunteer Survey'!K821)"),"")</f>
        <v/>
      </c>
      <c r="AK822" s="175" t="str">
        <f ca="1">IFERROR(__xludf.DUMMYFUNCTION("QUERY('Volunteer Survey'!L821)"),"")</f>
        <v/>
      </c>
      <c r="AL822" s="175" t="str">
        <f ca="1">IFERROR(__xludf.DUMMYFUNCTION("QUERY('Volunteer Survey'!M821)"),"")</f>
        <v/>
      </c>
      <c r="AM822" s="175" t="str">
        <f ca="1">IFERROR(__xludf.DUMMYFUNCTION("QUERY('Volunteer Survey'!N821)"),"")</f>
        <v/>
      </c>
      <c r="AN822" s="175" t="str">
        <f ca="1">IFERROR(__xludf.DUMMYFUNCTION("QUERY('Volunteer Survey'!O821)"),"")</f>
        <v/>
      </c>
      <c r="AO822" s="175" t="str">
        <f ca="1">IFERROR(__xludf.DUMMYFUNCTION("QUERY('Volunteer Survey'!P821)"),"")</f>
        <v/>
      </c>
    </row>
    <row r="823" spans="1:41" ht="14">
      <c r="A823" s="49"/>
      <c r="B823" s="49"/>
      <c r="C823" s="47"/>
      <c r="D823" s="49"/>
      <c r="E823" s="49"/>
      <c r="F823" s="49" t="b">
        <v>0</v>
      </c>
      <c r="G823" s="49"/>
      <c r="H823" s="47"/>
      <c r="I823" s="47"/>
      <c r="J823" s="49"/>
      <c r="K823" s="49"/>
      <c r="L823" s="49"/>
      <c r="M823" s="49"/>
      <c r="N823" s="49"/>
      <c r="O823" s="49" t="b">
        <v>0</v>
      </c>
      <c r="P823" s="49"/>
      <c r="Q823" s="49"/>
      <c r="R823" s="49"/>
      <c r="S823" s="49"/>
      <c r="T823" s="49"/>
      <c r="U823" s="58"/>
      <c r="V823" s="49"/>
      <c r="W823" s="58"/>
      <c r="X823" s="49"/>
      <c r="Y823" s="47"/>
      <c r="Z823" s="175" t="str">
        <f ca="1">IFERROR(__xludf.DUMMYFUNCTION("QUERY('Volunteer Survey'!A822)"),"")</f>
        <v/>
      </c>
      <c r="AA823" s="175" t="str">
        <f ca="1">IFERROR(__xludf.DUMMYFUNCTION("QUERY('Volunteer Survey'!B822)"),"")</f>
        <v/>
      </c>
      <c r="AB823" s="175" t="str">
        <f ca="1">IFERROR(__xludf.DUMMYFUNCTION("QUERY('Volunteer Survey'!C822)"),"")</f>
        <v/>
      </c>
      <c r="AC823" s="175" t="str">
        <f ca="1">IFERROR(__xludf.DUMMYFUNCTION("QUERY('Volunteer Survey'!D822)"),"")</f>
        <v/>
      </c>
      <c r="AD823" s="175" t="str">
        <f ca="1">IFERROR(__xludf.DUMMYFUNCTION("QUERY('Volunteer Survey'!E822)"),"")</f>
        <v/>
      </c>
      <c r="AE823" s="175" t="str">
        <f ca="1">IFERROR(__xludf.DUMMYFUNCTION("QUERY('Volunteer Survey'!F822)"),"")</f>
        <v/>
      </c>
      <c r="AF823" s="175" t="str">
        <f ca="1">IFERROR(__xludf.DUMMYFUNCTION("QUERY('Volunteer Survey'!G822)"),"")</f>
        <v/>
      </c>
      <c r="AG823" s="175" t="str">
        <f ca="1">IFERROR(__xludf.DUMMYFUNCTION("QUERY('Volunteer Survey'!H822)"),"")</f>
        <v/>
      </c>
      <c r="AH823" s="175" t="str">
        <f ca="1">IFERROR(__xludf.DUMMYFUNCTION("QUERY('Volunteer Survey'!I822)"),"")</f>
        <v/>
      </c>
      <c r="AI823" s="175" t="str">
        <f ca="1">IFERROR(__xludf.DUMMYFUNCTION("QUERY('Volunteer Survey'!J822)"),"")</f>
        <v/>
      </c>
      <c r="AJ823" s="175" t="str">
        <f ca="1">IFERROR(__xludf.DUMMYFUNCTION("QUERY('Volunteer Survey'!K822)"),"")</f>
        <v/>
      </c>
      <c r="AK823" s="175" t="str">
        <f ca="1">IFERROR(__xludf.DUMMYFUNCTION("QUERY('Volunteer Survey'!L822)"),"")</f>
        <v/>
      </c>
      <c r="AL823" s="175" t="str">
        <f ca="1">IFERROR(__xludf.DUMMYFUNCTION("QUERY('Volunteer Survey'!M822)"),"")</f>
        <v/>
      </c>
      <c r="AM823" s="175" t="str">
        <f ca="1">IFERROR(__xludf.DUMMYFUNCTION("QUERY('Volunteer Survey'!N822)"),"")</f>
        <v/>
      </c>
      <c r="AN823" s="175" t="str">
        <f ca="1">IFERROR(__xludf.DUMMYFUNCTION("QUERY('Volunteer Survey'!O822)"),"")</f>
        <v/>
      </c>
      <c r="AO823" s="175" t="str">
        <f ca="1">IFERROR(__xludf.DUMMYFUNCTION("QUERY('Volunteer Survey'!P822)"),"")</f>
        <v/>
      </c>
    </row>
    <row r="824" spans="1:41" ht="14">
      <c r="A824" s="49"/>
      <c r="B824" s="49"/>
      <c r="C824" s="47"/>
      <c r="D824" s="49"/>
      <c r="E824" s="49"/>
      <c r="F824" s="49" t="b">
        <v>0</v>
      </c>
      <c r="G824" s="49"/>
      <c r="H824" s="47"/>
      <c r="I824" s="47"/>
      <c r="J824" s="49"/>
      <c r="K824" s="49"/>
      <c r="L824" s="49"/>
      <c r="M824" s="49"/>
      <c r="N824" s="49"/>
      <c r="O824" s="49" t="b">
        <v>0</v>
      </c>
      <c r="P824" s="49"/>
      <c r="Q824" s="49"/>
      <c r="R824" s="49"/>
      <c r="S824" s="49"/>
      <c r="T824" s="49"/>
      <c r="U824" s="58"/>
      <c r="V824" s="49"/>
      <c r="W824" s="58"/>
      <c r="X824" s="49"/>
      <c r="Y824" s="47"/>
      <c r="Z824" s="175" t="str">
        <f ca="1">IFERROR(__xludf.DUMMYFUNCTION("QUERY('Volunteer Survey'!A823)"),"")</f>
        <v/>
      </c>
      <c r="AA824" s="175" t="str">
        <f ca="1">IFERROR(__xludf.DUMMYFUNCTION("QUERY('Volunteer Survey'!B823)"),"")</f>
        <v/>
      </c>
      <c r="AB824" s="175" t="str">
        <f ca="1">IFERROR(__xludf.DUMMYFUNCTION("QUERY('Volunteer Survey'!C823)"),"")</f>
        <v/>
      </c>
      <c r="AC824" s="175" t="str">
        <f ca="1">IFERROR(__xludf.DUMMYFUNCTION("QUERY('Volunteer Survey'!D823)"),"")</f>
        <v/>
      </c>
      <c r="AD824" s="175" t="str">
        <f ca="1">IFERROR(__xludf.DUMMYFUNCTION("QUERY('Volunteer Survey'!E823)"),"")</f>
        <v/>
      </c>
      <c r="AE824" s="175" t="str">
        <f ca="1">IFERROR(__xludf.DUMMYFUNCTION("QUERY('Volunteer Survey'!F823)"),"")</f>
        <v/>
      </c>
      <c r="AF824" s="175" t="str">
        <f ca="1">IFERROR(__xludf.DUMMYFUNCTION("QUERY('Volunteer Survey'!G823)"),"")</f>
        <v/>
      </c>
      <c r="AG824" s="175" t="str">
        <f ca="1">IFERROR(__xludf.DUMMYFUNCTION("QUERY('Volunteer Survey'!H823)"),"")</f>
        <v/>
      </c>
      <c r="AH824" s="175" t="str">
        <f ca="1">IFERROR(__xludf.DUMMYFUNCTION("QUERY('Volunteer Survey'!I823)"),"")</f>
        <v/>
      </c>
      <c r="AI824" s="175" t="str">
        <f ca="1">IFERROR(__xludf.DUMMYFUNCTION("QUERY('Volunteer Survey'!J823)"),"")</f>
        <v/>
      </c>
      <c r="AJ824" s="175" t="str">
        <f ca="1">IFERROR(__xludf.DUMMYFUNCTION("QUERY('Volunteer Survey'!K823)"),"")</f>
        <v/>
      </c>
      <c r="AK824" s="175" t="str">
        <f ca="1">IFERROR(__xludf.DUMMYFUNCTION("QUERY('Volunteer Survey'!L823)"),"")</f>
        <v/>
      </c>
      <c r="AL824" s="175" t="str">
        <f ca="1">IFERROR(__xludf.DUMMYFUNCTION("QUERY('Volunteer Survey'!M823)"),"")</f>
        <v/>
      </c>
      <c r="AM824" s="175" t="str">
        <f ca="1">IFERROR(__xludf.DUMMYFUNCTION("QUERY('Volunteer Survey'!N823)"),"")</f>
        <v/>
      </c>
      <c r="AN824" s="175" t="str">
        <f ca="1">IFERROR(__xludf.DUMMYFUNCTION("QUERY('Volunteer Survey'!O823)"),"")</f>
        <v/>
      </c>
      <c r="AO824" s="175" t="str">
        <f ca="1">IFERROR(__xludf.DUMMYFUNCTION("QUERY('Volunteer Survey'!P823)"),"")</f>
        <v/>
      </c>
    </row>
    <row r="825" spans="1:41" ht="14">
      <c r="A825" s="49"/>
      <c r="B825" s="49"/>
      <c r="C825" s="47"/>
      <c r="D825" s="49"/>
      <c r="E825" s="49"/>
      <c r="F825" s="49" t="b">
        <v>0</v>
      </c>
      <c r="G825" s="49"/>
      <c r="H825" s="47"/>
      <c r="I825" s="47"/>
      <c r="J825" s="49"/>
      <c r="K825" s="49"/>
      <c r="L825" s="49"/>
      <c r="M825" s="49"/>
      <c r="N825" s="49"/>
      <c r="O825" s="49" t="b">
        <v>0</v>
      </c>
      <c r="P825" s="49"/>
      <c r="Q825" s="49"/>
      <c r="R825" s="49"/>
      <c r="S825" s="49"/>
      <c r="T825" s="49"/>
      <c r="U825" s="58"/>
      <c r="V825" s="49"/>
      <c r="W825" s="58"/>
      <c r="X825" s="49"/>
      <c r="Y825" s="47"/>
      <c r="Z825" s="175" t="str">
        <f ca="1">IFERROR(__xludf.DUMMYFUNCTION("QUERY('Volunteer Survey'!A824)"),"")</f>
        <v/>
      </c>
      <c r="AA825" s="175" t="str">
        <f ca="1">IFERROR(__xludf.DUMMYFUNCTION("QUERY('Volunteer Survey'!B824)"),"")</f>
        <v/>
      </c>
      <c r="AB825" s="175" t="str">
        <f ca="1">IFERROR(__xludf.DUMMYFUNCTION("QUERY('Volunteer Survey'!C824)"),"")</f>
        <v/>
      </c>
      <c r="AC825" s="175" t="str">
        <f ca="1">IFERROR(__xludf.DUMMYFUNCTION("QUERY('Volunteer Survey'!D824)"),"")</f>
        <v/>
      </c>
      <c r="AD825" s="175" t="str">
        <f ca="1">IFERROR(__xludf.DUMMYFUNCTION("QUERY('Volunteer Survey'!E824)"),"")</f>
        <v/>
      </c>
      <c r="AE825" s="175" t="str">
        <f ca="1">IFERROR(__xludf.DUMMYFUNCTION("QUERY('Volunteer Survey'!F824)"),"")</f>
        <v/>
      </c>
      <c r="AF825" s="175" t="str">
        <f ca="1">IFERROR(__xludf.DUMMYFUNCTION("QUERY('Volunteer Survey'!G824)"),"")</f>
        <v/>
      </c>
      <c r="AG825" s="175" t="str">
        <f ca="1">IFERROR(__xludf.DUMMYFUNCTION("QUERY('Volunteer Survey'!H824)"),"")</f>
        <v/>
      </c>
      <c r="AH825" s="175" t="str">
        <f ca="1">IFERROR(__xludf.DUMMYFUNCTION("QUERY('Volunteer Survey'!I824)"),"")</f>
        <v/>
      </c>
      <c r="AI825" s="175" t="str">
        <f ca="1">IFERROR(__xludf.DUMMYFUNCTION("QUERY('Volunteer Survey'!J824)"),"")</f>
        <v/>
      </c>
      <c r="AJ825" s="175" t="str">
        <f ca="1">IFERROR(__xludf.DUMMYFUNCTION("QUERY('Volunteer Survey'!K824)"),"")</f>
        <v/>
      </c>
      <c r="AK825" s="175" t="str">
        <f ca="1">IFERROR(__xludf.DUMMYFUNCTION("QUERY('Volunteer Survey'!L824)"),"")</f>
        <v/>
      </c>
      <c r="AL825" s="175" t="str">
        <f ca="1">IFERROR(__xludf.DUMMYFUNCTION("QUERY('Volunteer Survey'!M824)"),"")</f>
        <v/>
      </c>
      <c r="AM825" s="175" t="str">
        <f ca="1">IFERROR(__xludf.DUMMYFUNCTION("QUERY('Volunteer Survey'!N824)"),"")</f>
        <v/>
      </c>
      <c r="AN825" s="175" t="str">
        <f ca="1">IFERROR(__xludf.DUMMYFUNCTION("QUERY('Volunteer Survey'!O824)"),"")</f>
        <v/>
      </c>
      <c r="AO825" s="175" t="str">
        <f ca="1">IFERROR(__xludf.DUMMYFUNCTION("QUERY('Volunteer Survey'!P824)"),"")</f>
        <v/>
      </c>
    </row>
    <row r="826" spans="1:41" ht="14">
      <c r="A826" s="49"/>
      <c r="B826" s="49"/>
      <c r="C826" s="47"/>
      <c r="D826" s="49"/>
      <c r="E826" s="49"/>
      <c r="F826" s="49" t="b">
        <v>0</v>
      </c>
      <c r="G826" s="49"/>
      <c r="H826" s="47"/>
      <c r="I826" s="47"/>
      <c r="J826" s="49"/>
      <c r="K826" s="49"/>
      <c r="L826" s="49"/>
      <c r="M826" s="49"/>
      <c r="N826" s="49"/>
      <c r="O826" s="49" t="b">
        <v>0</v>
      </c>
      <c r="P826" s="49"/>
      <c r="Q826" s="49"/>
      <c r="R826" s="49"/>
      <c r="S826" s="49"/>
      <c r="T826" s="49"/>
      <c r="U826" s="58"/>
      <c r="V826" s="49"/>
      <c r="W826" s="58"/>
      <c r="X826" s="49"/>
      <c r="Y826" s="47"/>
      <c r="Z826" s="175" t="str">
        <f ca="1">IFERROR(__xludf.DUMMYFUNCTION("QUERY('Volunteer Survey'!A825)"),"")</f>
        <v/>
      </c>
      <c r="AA826" s="175" t="str">
        <f ca="1">IFERROR(__xludf.DUMMYFUNCTION("QUERY('Volunteer Survey'!B825)"),"")</f>
        <v/>
      </c>
      <c r="AB826" s="175" t="str">
        <f ca="1">IFERROR(__xludf.DUMMYFUNCTION("QUERY('Volunteer Survey'!C825)"),"")</f>
        <v/>
      </c>
      <c r="AC826" s="175" t="str">
        <f ca="1">IFERROR(__xludf.DUMMYFUNCTION("QUERY('Volunteer Survey'!D825)"),"")</f>
        <v/>
      </c>
      <c r="AD826" s="175" t="str">
        <f ca="1">IFERROR(__xludf.DUMMYFUNCTION("QUERY('Volunteer Survey'!E825)"),"")</f>
        <v/>
      </c>
      <c r="AE826" s="175" t="str">
        <f ca="1">IFERROR(__xludf.DUMMYFUNCTION("QUERY('Volunteer Survey'!F825)"),"")</f>
        <v/>
      </c>
      <c r="AF826" s="175" t="str">
        <f ca="1">IFERROR(__xludf.DUMMYFUNCTION("QUERY('Volunteer Survey'!G825)"),"")</f>
        <v/>
      </c>
      <c r="AG826" s="175" t="str">
        <f ca="1">IFERROR(__xludf.DUMMYFUNCTION("QUERY('Volunteer Survey'!H825)"),"")</f>
        <v/>
      </c>
      <c r="AH826" s="175" t="str">
        <f ca="1">IFERROR(__xludf.DUMMYFUNCTION("QUERY('Volunteer Survey'!I825)"),"")</f>
        <v/>
      </c>
      <c r="AI826" s="175" t="str">
        <f ca="1">IFERROR(__xludf.DUMMYFUNCTION("QUERY('Volunteer Survey'!J825)"),"")</f>
        <v/>
      </c>
      <c r="AJ826" s="175" t="str">
        <f ca="1">IFERROR(__xludf.DUMMYFUNCTION("QUERY('Volunteer Survey'!K825)"),"")</f>
        <v/>
      </c>
      <c r="AK826" s="175" t="str">
        <f ca="1">IFERROR(__xludf.DUMMYFUNCTION("QUERY('Volunteer Survey'!L825)"),"")</f>
        <v/>
      </c>
      <c r="AL826" s="175" t="str">
        <f ca="1">IFERROR(__xludf.DUMMYFUNCTION("QUERY('Volunteer Survey'!M825)"),"")</f>
        <v/>
      </c>
      <c r="AM826" s="175" t="str">
        <f ca="1">IFERROR(__xludf.DUMMYFUNCTION("QUERY('Volunteer Survey'!N825)"),"")</f>
        <v/>
      </c>
      <c r="AN826" s="175" t="str">
        <f ca="1">IFERROR(__xludf.DUMMYFUNCTION("QUERY('Volunteer Survey'!O825)"),"")</f>
        <v/>
      </c>
      <c r="AO826" s="175" t="str">
        <f ca="1">IFERROR(__xludf.DUMMYFUNCTION("QUERY('Volunteer Survey'!P825)"),"")</f>
        <v/>
      </c>
    </row>
    <row r="827" spans="1:41" ht="14">
      <c r="A827" s="49"/>
      <c r="B827" s="49"/>
      <c r="C827" s="47"/>
      <c r="D827" s="49"/>
      <c r="E827" s="49"/>
      <c r="F827" s="49" t="b">
        <v>0</v>
      </c>
      <c r="G827" s="49"/>
      <c r="H827" s="47"/>
      <c r="I827" s="47"/>
      <c r="J827" s="49"/>
      <c r="K827" s="49"/>
      <c r="L827" s="49"/>
      <c r="M827" s="49"/>
      <c r="N827" s="49"/>
      <c r="O827" s="49" t="b">
        <v>0</v>
      </c>
      <c r="P827" s="49"/>
      <c r="Q827" s="49"/>
      <c r="R827" s="49"/>
      <c r="S827" s="49"/>
      <c r="T827" s="49"/>
      <c r="U827" s="58"/>
      <c r="V827" s="49"/>
      <c r="W827" s="58"/>
      <c r="X827" s="49"/>
      <c r="Y827" s="47"/>
      <c r="Z827" s="175" t="str">
        <f ca="1">IFERROR(__xludf.DUMMYFUNCTION("QUERY('Volunteer Survey'!A826)"),"")</f>
        <v/>
      </c>
      <c r="AA827" s="175" t="str">
        <f ca="1">IFERROR(__xludf.DUMMYFUNCTION("QUERY('Volunteer Survey'!B826)"),"")</f>
        <v/>
      </c>
      <c r="AB827" s="175" t="str">
        <f ca="1">IFERROR(__xludf.DUMMYFUNCTION("QUERY('Volunteer Survey'!C826)"),"")</f>
        <v/>
      </c>
      <c r="AC827" s="175" t="str">
        <f ca="1">IFERROR(__xludf.DUMMYFUNCTION("QUERY('Volunteer Survey'!D826)"),"")</f>
        <v/>
      </c>
      <c r="AD827" s="175" t="str">
        <f ca="1">IFERROR(__xludf.DUMMYFUNCTION("QUERY('Volunteer Survey'!E826)"),"")</f>
        <v/>
      </c>
      <c r="AE827" s="175" t="str">
        <f ca="1">IFERROR(__xludf.DUMMYFUNCTION("QUERY('Volunteer Survey'!F826)"),"")</f>
        <v/>
      </c>
      <c r="AF827" s="175" t="str">
        <f ca="1">IFERROR(__xludf.DUMMYFUNCTION("QUERY('Volunteer Survey'!G826)"),"")</f>
        <v/>
      </c>
      <c r="AG827" s="175" t="str">
        <f ca="1">IFERROR(__xludf.DUMMYFUNCTION("QUERY('Volunteer Survey'!H826)"),"")</f>
        <v/>
      </c>
      <c r="AH827" s="175" t="str">
        <f ca="1">IFERROR(__xludf.DUMMYFUNCTION("QUERY('Volunteer Survey'!I826)"),"")</f>
        <v/>
      </c>
      <c r="AI827" s="175" t="str">
        <f ca="1">IFERROR(__xludf.DUMMYFUNCTION("QUERY('Volunteer Survey'!J826)"),"")</f>
        <v/>
      </c>
      <c r="AJ827" s="175" t="str">
        <f ca="1">IFERROR(__xludf.DUMMYFUNCTION("QUERY('Volunteer Survey'!K826)"),"")</f>
        <v/>
      </c>
      <c r="AK827" s="175" t="str">
        <f ca="1">IFERROR(__xludf.DUMMYFUNCTION("QUERY('Volunteer Survey'!L826)"),"")</f>
        <v/>
      </c>
      <c r="AL827" s="175" t="str">
        <f ca="1">IFERROR(__xludf.DUMMYFUNCTION("QUERY('Volunteer Survey'!M826)"),"")</f>
        <v/>
      </c>
      <c r="AM827" s="175" t="str">
        <f ca="1">IFERROR(__xludf.DUMMYFUNCTION("QUERY('Volunteer Survey'!N826)"),"")</f>
        <v/>
      </c>
      <c r="AN827" s="175" t="str">
        <f ca="1">IFERROR(__xludf.DUMMYFUNCTION("QUERY('Volunteer Survey'!O826)"),"")</f>
        <v/>
      </c>
      <c r="AO827" s="175" t="str">
        <f ca="1">IFERROR(__xludf.DUMMYFUNCTION("QUERY('Volunteer Survey'!P826)"),"")</f>
        <v/>
      </c>
    </row>
    <row r="828" spans="1:41" ht="14">
      <c r="A828" s="49"/>
      <c r="B828" s="49"/>
      <c r="C828" s="47"/>
      <c r="D828" s="49"/>
      <c r="E828" s="49"/>
      <c r="F828" s="49" t="b">
        <v>0</v>
      </c>
      <c r="G828" s="49"/>
      <c r="H828" s="47"/>
      <c r="I828" s="47"/>
      <c r="J828" s="49"/>
      <c r="K828" s="49"/>
      <c r="L828" s="49"/>
      <c r="M828" s="49"/>
      <c r="N828" s="49"/>
      <c r="O828" s="49" t="b">
        <v>0</v>
      </c>
      <c r="P828" s="49"/>
      <c r="Q828" s="49"/>
      <c r="R828" s="49"/>
      <c r="S828" s="49"/>
      <c r="T828" s="49"/>
      <c r="U828" s="58"/>
      <c r="V828" s="49"/>
      <c r="W828" s="58"/>
      <c r="X828" s="49"/>
      <c r="Y828" s="47"/>
      <c r="Z828" s="175" t="str">
        <f ca="1">IFERROR(__xludf.DUMMYFUNCTION("QUERY('Volunteer Survey'!A827)"),"")</f>
        <v/>
      </c>
      <c r="AA828" s="175" t="str">
        <f ca="1">IFERROR(__xludf.DUMMYFUNCTION("QUERY('Volunteer Survey'!B827)"),"")</f>
        <v/>
      </c>
      <c r="AB828" s="175" t="str">
        <f ca="1">IFERROR(__xludf.DUMMYFUNCTION("QUERY('Volunteer Survey'!C827)"),"")</f>
        <v/>
      </c>
      <c r="AC828" s="175" t="str">
        <f ca="1">IFERROR(__xludf.DUMMYFUNCTION("QUERY('Volunteer Survey'!D827)"),"")</f>
        <v/>
      </c>
      <c r="AD828" s="175" t="str">
        <f ca="1">IFERROR(__xludf.DUMMYFUNCTION("QUERY('Volunteer Survey'!E827)"),"")</f>
        <v/>
      </c>
      <c r="AE828" s="175" t="str">
        <f ca="1">IFERROR(__xludf.DUMMYFUNCTION("QUERY('Volunteer Survey'!F827)"),"")</f>
        <v/>
      </c>
      <c r="AF828" s="175" t="str">
        <f ca="1">IFERROR(__xludf.DUMMYFUNCTION("QUERY('Volunteer Survey'!G827)"),"")</f>
        <v/>
      </c>
      <c r="AG828" s="175" t="str">
        <f ca="1">IFERROR(__xludf.DUMMYFUNCTION("QUERY('Volunteer Survey'!H827)"),"")</f>
        <v/>
      </c>
      <c r="AH828" s="175" t="str">
        <f ca="1">IFERROR(__xludf.DUMMYFUNCTION("QUERY('Volunteer Survey'!I827)"),"")</f>
        <v/>
      </c>
      <c r="AI828" s="175" t="str">
        <f ca="1">IFERROR(__xludf.DUMMYFUNCTION("QUERY('Volunteer Survey'!J827)"),"")</f>
        <v/>
      </c>
      <c r="AJ828" s="175" t="str">
        <f ca="1">IFERROR(__xludf.DUMMYFUNCTION("QUERY('Volunteer Survey'!K827)"),"")</f>
        <v/>
      </c>
      <c r="AK828" s="175" t="str">
        <f ca="1">IFERROR(__xludf.DUMMYFUNCTION("QUERY('Volunteer Survey'!L827)"),"")</f>
        <v/>
      </c>
      <c r="AL828" s="175" t="str">
        <f ca="1">IFERROR(__xludf.DUMMYFUNCTION("QUERY('Volunteer Survey'!M827)"),"")</f>
        <v/>
      </c>
      <c r="AM828" s="175" t="str">
        <f ca="1">IFERROR(__xludf.DUMMYFUNCTION("QUERY('Volunteer Survey'!N827)"),"")</f>
        <v/>
      </c>
      <c r="AN828" s="175" t="str">
        <f ca="1">IFERROR(__xludf.DUMMYFUNCTION("QUERY('Volunteer Survey'!O827)"),"")</f>
        <v/>
      </c>
      <c r="AO828" s="175" t="str">
        <f ca="1">IFERROR(__xludf.DUMMYFUNCTION("QUERY('Volunteer Survey'!P827)"),"")</f>
        <v/>
      </c>
    </row>
    <row r="829" spans="1:41" ht="14">
      <c r="A829" s="49"/>
      <c r="B829" s="49"/>
      <c r="C829" s="47"/>
      <c r="D829" s="49"/>
      <c r="E829" s="49"/>
      <c r="F829" s="49" t="b">
        <v>0</v>
      </c>
      <c r="G829" s="49"/>
      <c r="H829" s="47"/>
      <c r="I829" s="47"/>
      <c r="J829" s="49"/>
      <c r="K829" s="49"/>
      <c r="L829" s="49"/>
      <c r="M829" s="49"/>
      <c r="N829" s="49"/>
      <c r="O829" s="49" t="b">
        <v>0</v>
      </c>
      <c r="P829" s="49"/>
      <c r="Q829" s="49"/>
      <c r="R829" s="49"/>
      <c r="S829" s="49"/>
      <c r="T829" s="49"/>
      <c r="U829" s="58"/>
      <c r="V829" s="49"/>
      <c r="W829" s="58"/>
      <c r="X829" s="49"/>
      <c r="Y829" s="47"/>
      <c r="Z829" s="175" t="str">
        <f ca="1">IFERROR(__xludf.DUMMYFUNCTION("QUERY('Volunteer Survey'!A828)"),"")</f>
        <v/>
      </c>
      <c r="AA829" s="175" t="str">
        <f ca="1">IFERROR(__xludf.DUMMYFUNCTION("QUERY('Volunteer Survey'!B828)"),"")</f>
        <v/>
      </c>
      <c r="AB829" s="175" t="str">
        <f ca="1">IFERROR(__xludf.DUMMYFUNCTION("QUERY('Volunteer Survey'!C828)"),"")</f>
        <v/>
      </c>
      <c r="AC829" s="175" t="str">
        <f ca="1">IFERROR(__xludf.DUMMYFUNCTION("QUERY('Volunteer Survey'!D828)"),"")</f>
        <v/>
      </c>
      <c r="AD829" s="175" t="str">
        <f ca="1">IFERROR(__xludf.DUMMYFUNCTION("QUERY('Volunteer Survey'!E828)"),"")</f>
        <v/>
      </c>
      <c r="AE829" s="175" t="str">
        <f ca="1">IFERROR(__xludf.DUMMYFUNCTION("QUERY('Volunteer Survey'!F828)"),"")</f>
        <v/>
      </c>
      <c r="AF829" s="175" t="str">
        <f ca="1">IFERROR(__xludf.DUMMYFUNCTION("QUERY('Volunteer Survey'!G828)"),"")</f>
        <v/>
      </c>
      <c r="AG829" s="175" t="str">
        <f ca="1">IFERROR(__xludf.DUMMYFUNCTION("QUERY('Volunteer Survey'!H828)"),"")</f>
        <v/>
      </c>
      <c r="AH829" s="175" t="str">
        <f ca="1">IFERROR(__xludf.DUMMYFUNCTION("QUERY('Volunteer Survey'!I828)"),"")</f>
        <v/>
      </c>
      <c r="AI829" s="175" t="str">
        <f ca="1">IFERROR(__xludf.DUMMYFUNCTION("QUERY('Volunteer Survey'!J828)"),"")</f>
        <v/>
      </c>
      <c r="AJ829" s="175" t="str">
        <f ca="1">IFERROR(__xludf.DUMMYFUNCTION("QUERY('Volunteer Survey'!K828)"),"")</f>
        <v/>
      </c>
      <c r="AK829" s="175" t="str">
        <f ca="1">IFERROR(__xludf.DUMMYFUNCTION("QUERY('Volunteer Survey'!L828)"),"")</f>
        <v/>
      </c>
      <c r="AL829" s="175" t="str">
        <f ca="1">IFERROR(__xludf.DUMMYFUNCTION("QUERY('Volunteer Survey'!M828)"),"")</f>
        <v/>
      </c>
      <c r="AM829" s="175" t="str">
        <f ca="1">IFERROR(__xludf.DUMMYFUNCTION("QUERY('Volunteer Survey'!N828)"),"")</f>
        <v/>
      </c>
      <c r="AN829" s="175" t="str">
        <f ca="1">IFERROR(__xludf.DUMMYFUNCTION("QUERY('Volunteer Survey'!O828)"),"")</f>
        <v/>
      </c>
      <c r="AO829" s="175" t="str">
        <f ca="1">IFERROR(__xludf.DUMMYFUNCTION("QUERY('Volunteer Survey'!P828)"),"")</f>
        <v/>
      </c>
    </row>
    <row r="830" spans="1:41" ht="14">
      <c r="A830" s="49"/>
      <c r="B830" s="49"/>
      <c r="C830" s="47"/>
      <c r="D830" s="49"/>
      <c r="E830" s="49"/>
      <c r="F830" s="49" t="b">
        <v>0</v>
      </c>
      <c r="G830" s="49"/>
      <c r="H830" s="47"/>
      <c r="I830" s="47"/>
      <c r="J830" s="49"/>
      <c r="K830" s="49"/>
      <c r="L830" s="49"/>
      <c r="M830" s="49"/>
      <c r="N830" s="49"/>
      <c r="O830" s="49" t="b">
        <v>0</v>
      </c>
      <c r="P830" s="49"/>
      <c r="Q830" s="49"/>
      <c r="R830" s="49"/>
      <c r="S830" s="49"/>
      <c r="T830" s="49"/>
      <c r="U830" s="58"/>
      <c r="V830" s="49"/>
      <c r="W830" s="58"/>
      <c r="X830" s="49"/>
      <c r="Y830" s="47"/>
      <c r="Z830" s="175" t="str">
        <f ca="1">IFERROR(__xludf.DUMMYFUNCTION("QUERY('Volunteer Survey'!A829)"),"")</f>
        <v/>
      </c>
      <c r="AA830" s="175" t="str">
        <f ca="1">IFERROR(__xludf.DUMMYFUNCTION("QUERY('Volunteer Survey'!B829)"),"")</f>
        <v/>
      </c>
      <c r="AB830" s="175" t="str">
        <f ca="1">IFERROR(__xludf.DUMMYFUNCTION("QUERY('Volunteer Survey'!C829)"),"")</f>
        <v/>
      </c>
      <c r="AC830" s="175" t="str">
        <f ca="1">IFERROR(__xludf.DUMMYFUNCTION("QUERY('Volunteer Survey'!D829)"),"")</f>
        <v/>
      </c>
      <c r="AD830" s="175" t="str">
        <f ca="1">IFERROR(__xludf.DUMMYFUNCTION("QUERY('Volunteer Survey'!E829)"),"")</f>
        <v/>
      </c>
      <c r="AE830" s="175" t="str">
        <f ca="1">IFERROR(__xludf.DUMMYFUNCTION("QUERY('Volunteer Survey'!F829)"),"")</f>
        <v/>
      </c>
      <c r="AF830" s="175" t="str">
        <f ca="1">IFERROR(__xludf.DUMMYFUNCTION("QUERY('Volunteer Survey'!G829)"),"")</f>
        <v/>
      </c>
      <c r="AG830" s="175" t="str">
        <f ca="1">IFERROR(__xludf.DUMMYFUNCTION("QUERY('Volunteer Survey'!H829)"),"")</f>
        <v/>
      </c>
      <c r="AH830" s="175" t="str">
        <f ca="1">IFERROR(__xludf.DUMMYFUNCTION("QUERY('Volunteer Survey'!I829)"),"")</f>
        <v/>
      </c>
      <c r="AI830" s="175" t="str">
        <f ca="1">IFERROR(__xludf.DUMMYFUNCTION("QUERY('Volunteer Survey'!J829)"),"")</f>
        <v/>
      </c>
      <c r="AJ830" s="175" t="str">
        <f ca="1">IFERROR(__xludf.DUMMYFUNCTION("QUERY('Volunteer Survey'!K829)"),"")</f>
        <v/>
      </c>
      <c r="AK830" s="175" t="str">
        <f ca="1">IFERROR(__xludf.DUMMYFUNCTION("QUERY('Volunteer Survey'!L829)"),"")</f>
        <v/>
      </c>
      <c r="AL830" s="175" t="str">
        <f ca="1">IFERROR(__xludf.DUMMYFUNCTION("QUERY('Volunteer Survey'!M829)"),"")</f>
        <v/>
      </c>
      <c r="AM830" s="175" t="str">
        <f ca="1">IFERROR(__xludf.DUMMYFUNCTION("QUERY('Volunteer Survey'!N829)"),"")</f>
        <v/>
      </c>
      <c r="AN830" s="175" t="str">
        <f ca="1">IFERROR(__xludf.DUMMYFUNCTION("QUERY('Volunteer Survey'!O829)"),"")</f>
        <v/>
      </c>
      <c r="AO830" s="175" t="str">
        <f ca="1">IFERROR(__xludf.DUMMYFUNCTION("QUERY('Volunteer Survey'!P829)"),"")</f>
        <v/>
      </c>
    </row>
    <row r="831" spans="1:41" ht="14">
      <c r="A831" s="49"/>
      <c r="B831" s="49"/>
      <c r="C831" s="47"/>
      <c r="D831" s="49"/>
      <c r="E831" s="49"/>
      <c r="F831" s="49" t="b">
        <v>0</v>
      </c>
      <c r="G831" s="49"/>
      <c r="H831" s="47"/>
      <c r="I831" s="47"/>
      <c r="J831" s="49"/>
      <c r="K831" s="49"/>
      <c r="L831" s="49"/>
      <c r="M831" s="49"/>
      <c r="N831" s="49"/>
      <c r="O831" s="49" t="b">
        <v>0</v>
      </c>
      <c r="P831" s="49"/>
      <c r="Q831" s="49"/>
      <c r="R831" s="49"/>
      <c r="S831" s="49"/>
      <c r="T831" s="49"/>
      <c r="U831" s="58"/>
      <c r="V831" s="49"/>
      <c r="W831" s="58"/>
      <c r="X831" s="49"/>
      <c r="Y831" s="47"/>
      <c r="Z831" s="175" t="str">
        <f ca="1">IFERROR(__xludf.DUMMYFUNCTION("QUERY('Volunteer Survey'!A830)"),"")</f>
        <v/>
      </c>
      <c r="AA831" s="175" t="str">
        <f ca="1">IFERROR(__xludf.DUMMYFUNCTION("QUERY('Volunteer Survey'!B830)"),"")</f>
        <v/>
      </c>
      <c r="AB831" s="175" t="str">
        <f ca="1">IFERROR(__xludf.DUMMYFUNCTION("QUERY('Volunteer Survey'!C830)"),"")</f>
        <v/>
      </c>
      <c r="AC831" s="175" t="str">
        <f ca="1">IFERROR(__xludf.DUMMYFUNCTION("QUERY('Volunteer Survey'!D830)"),"")</f>
        <v/>
      </c>
      <c r="AD831" s="175" t="str">
        <f ca="1">IFERROR(__xludf.DUMMYFUNCTION("QUERY('Volunteer Survey'!E830)"),"")</f>
        <v/>
      </c>
      <c r="AE831" s="175" t="str">
        <f ca="1">IFERROR(__xludf.DUMMYFUNCTION("QUERY('Volunteer Survey'!F830)"),"")</f>
        <v/>
      </c>
      <c r="AF831" s="175" t="str">
        <f ca="1">IFERROR(__xludf.DUMMYFUNCTION("QUERY('Volunteer Survey'!G830)"),"")</f>
        <v/>
      </c>
      <c r="AG831" s="175" t="str">
        <f ca="1">IFERROR(__xludf.DUMMYFUNCTION("QUERY('Volunteer Survey'!H830)"),"")</f>
        <v/>
      </c>
      <c r="AH831" s="175" t="str">
        <f ca="1">IFERROR(__xludf.DUMMYFUNCTION("QUERY('Volunteer Survey'!I830)"),"")</f>
        <v/>
      </c>
      <c r="AI831" s="175" t="str">
        <f ca="1">IFERROR(__xludf.DUMMYFUNCTION("QUERY('Volunteer Survey'!J830)"),"")</f>
        <v/>
      </c>
      <c r="AJ831" s="175" t="str">
        <f ca="1">IFERROR(__xludf.DUMMYFUNCTION("QUERY('Volunteer Survey'!K830)"),"")</f>
        <v/>
      </c>
      <c r="AK831" s="175" t="str">
        <f ca="1">IFERROR(__xludf.DUMMYFUNCTION("QUERY('Volunteer Survey'!L830)"),"")</f>
        <v/>
      </c>
      <c r="AL831" s="175" t="str">
        <f ca="1">IFERROR(__xludf.DUMMYFUNCTION("QUERY('Volunteer Survey'!M830)"),"")</f>
        <v/>
      </c>
      <c r="AM831" s="175" t="str">
        <f ca="1">IFERROR(__xludf.DUMMYFUNCTION("QUERY('Volunteer Survey'!N830)"),"")</f>
        <v/>
      </c>
      <c r="AN831" s="175" t="str">
        <f ca="1">IFERROR(__xludf.DUMMYFUNCTION("QUERY('Volunteer Survey'!O830)"),"")</f>
        <v/>
      </c>
      <c r="AO831" s="175" t="str">
        <f ca="1">IFERROR(__xludf.DUMMYFUNCTION("QUERY('Volunteer Survey'!P830)"),"")</f>
        <v/>
      </c>
    </row>
    <row r="832" spans="1:41" ht="14">
      <c r="A832" s="49"/>
      <c r="B832" s="49"/>
      <c r="C832" s="47"/>
      <c r="D832" s="49"/>
      <c r="E832" s="49"/>
      <c r="F832" s="49" t="b">
        <v>0</v>
      </c>
      <c r="G832" s="49"/>
      <c r="H832" s="47"/>
      <c r="I832" s="47"/>
      <c r="J832" s="49"/>
      <c r="K832" s="49"/>
      <c r="L832" s="49"/>
      <c r="M832" s="49"/>
      <c r="N832" s="49"/>
      <c r="O832" s="49" t="b">
        <v>0</v>
      </c>
      <c r="P832" s="49"/>
      <c r="Q832" s="49"/>
      <c r="R832" s="49"/>
      <c r="S832" s="49"/>
      <c r="T832" s="49"/>
      <c r="U832" s="58"/>
      <c r="V832" s="49"/>
      <c r="W832" s="58"/>
      <c r="X832" s="49"/>
      <c r="Y832" s="47"/>
      <c r="Z832" s="175" t="str">
        <f ca="1">IFERROR(__xludf.DUMMYFUNCTION("QUERY('Volunteer Survey'!A831)"),"")</f>
        <v/>
      </c>
      <c r="AA832" s="175" t="str">
        <f ca="1">IFERROR(__xludf.DUMMYFUNCTION("QUERY('Volunteer Survey'!B831)"),"")</f>
        <v/>
      </c>
      <c r="AB832" s="175" t="str">
        <f ca="1">IFERROR(__xludf.DUMMYFUNCTION("QUERY('Volunteer Survey'!C831)"),"")</f>
        <v/>
      </c>
      <c r="AC832" s="175" t="str">
        <f ca="1">IFERROR(__xludf.DUMMYFUNCTION("QUERY('Volunteer Survey'!D831)"),"")</f>
        <v/>
      </c>
      <c r="AD832" s="175" t="str">
        <f ca="1">IFERROR(__xludf.DUMMYFUNCTION("QUERY('Volunteer Survey'!E831)"),"")</f>
        <v/>
      </c>
      <c r="AE832" s="175" t="str">
        <f ca="1">IFERROR(__xludf.DUMMYFUNCTION("QUERY('Volunteer Survey'!F831)"),"")</f>
        <v/>
      </c>
      <c r="AF832" s="175" t="str">
        <f ca="1">IFERROR(__xludf.DUMMYFUNCTION("QUERY('Volunteer Survey'!G831)"),"")</f>
        <v/>
      </c>
      <c r="AG832" s="175" t="str">
        <f ca="1">IFERROR(__xludf.DUMMYFUNCTION("QUERY('Volunteer Survey'!H831)"),"")</f>
        <v/>
      </c>
      <c r="AH832" s="175" t="str">
        <f ca="1">IFERROR(__xludf.DUMMYFUNCTION("QUERY('Volunteer Survey'!I831)"),"")</f>
        <v/>
      </c>
      <c r="AI832" s="175" t="str">
        <f ca="1">IFERROR(__xludf.DUMMYFUNCTION("QUERY('Volunteer Survey'!J831)"),"")</f>
        <v/>
      </c>
      <c r="AJ832" s="175" t="str">
        <f ca="1">IFERROR(__xludf.DUMMYFUNCTION("QUERY('Volunteer Survey'!K831)"),"")</f>
        <v/>
      </c>
      <c r="AK832" s="175" t="str">
        <f ca="1">IFERROR(__xludf.DUMMYFUNCTION("QUERY('Volunteer Survey'!L831)"),"")</f>
        <v/>
      </c>
      <c r="AL832" s="175" t="str">
        <f ca="1">IFERROR(__xludf.DUMMYFUNCTION("QUERY('Volunteer Survey'!M831)"),"")</f>
        <v/>
      </c>
      <c r="AM832" s="175" t="str">
        <f ca="1">IFERROR(__xludf.DUMMYFUNCTION("QUERY('Volunteer Survey'!N831)"),"")</f>
        <v/>
      </c>
      <c r="AN832" s="175" t="str">
        <f ca="1">IFERROR(__xludf.DUMMYFUNCTION("QUERY('Volunteer Survey'!O831)"),"")</f>
        <v/>
      </c>
      <c r="AO832" s="175" t="str">
        <f ca="1">IFERROR(__xludf.DUMMYFUNCTION("QUERY('Volunteer Survey'!P831)"),"")</f>
        <v/>
      </c>
    </row>
    <row r="833" spans="1:41" ht="14">
      <c r="A833" s="49"/>
      <c r="B833" s="49"/>
      <c r="C833" s="47"/>
      <c r="D833" s="49"/>
      <c r="E833" s="49"/>
      <c r="F833" s="49" t="b">
        <v>0</v>
      </c>
      <c r="G833" s="49"/>
      <c r="H833" s="47"/>
      <c r="I833" s="47"/>
      <c r="J833" s="49"/>
      <c r="K833" s="49"/>
      <c r="L833" s="49"/>
      <c r="M833" s="49"/>
      <c r="N833" s="49"/>
      <c r="O833" s="49" t="b">
        <v>0</v>
      </c>
      <c r="P833" s="49"/>
      <c r="Q833" s="49"/>
      <c r="R833" s="49"/>
      <c r="S833" s="49"/>
      <c r="T833" s="49"/>
      <c r="U833" s="58"/>
      <c r="V833" s="49"/>
      <c r="W833" s="58"/>
      <c r="X833" s="49"/>
      <c r="Y833" s="47"/>
      <c r="Z833" s="175" t="str">
        <f ca="1">IFERROR(__xludf.DUMMYFUNCTION("QUERY('Volunteer Survey'!A832)"),"")</f>
        <v/>
      </c>
      <c r="AA833" s="175" t="str">
        <f ca="1">IFERROR(__xludf.DUMMYFUNCTION("QUERY('Volunteer Survey'!B832)"),"")</f>
        <v/>
      </c>
      <c r="AB833" s="175" t="str">
        <f ca="1">IFERROR(__xludf.DUMMYFUNCTION("QUERY('Volunteer Survey'!C832)"),"")</f>
        <v/>
      </c>
      <c r="AC833" s="175" t="str">
        <f ca="1">IFERROR(__xludf.DUMMYFUNCTION("QUERY('Volunteer Survey'!D832)"),"")</f>
        <v/>
      </c>
      <c r="AD833" s="175" t="str">
        <f ca="1">IFERROR(__xludf.DUMMYFUNCTION("QUERY('Volunteer Survey'!E832)"),"")</f>
        <v/>
      </c>
      <c r="AE833" s="175" t="str">
        <f ca="1">IFERROR(__xludf.DUMMYFUNCTION("QUERY('Volunteer Survey'!F832)"),"")</f>
        <v/>
      </c>
      <c r="AF833" s="175" t="str">
        <f ca="1">IFERROR(__xludf.DUMMYFUNCTION("QUERY('Volunteer Survey'!G832)"),"")</f>
        <v/>
      </c>
      <c r="AG833" s="175" t="str">
        <f ca="1">IFERROR(__xludf.DUMMYFUNCTION("QUERY('Volunteer Survey'!H832)"),"")</f>
        <v/>
      </c>
      <c r="AH833" s="175" t="str">
        <f ca="1">IFERROR(__xludf.DUMMYFUNCTION("QUERY('Volunteer Survey'!I832)"),"")</f>
        <v/>
      </c>
      <c r="AI833" s="175" t="str">
        <f ca="1">IFERROR(__xludf.DUMMYFUNCTION("QUERY('Volunteer Survey'!J832)"),"")</f>
        <v/>
      </c>
      <c r="AJ833" s="175" t="str">
        <f ca="1">IFERROR(__xludf.DUMMYFUNCTION("QUERY('Volunteer Survey'!K832)"),"")</f>
        <v/>
      </c>
      <c r="AK833" s="175" t="str">
        <f ca="1">IFERROR(__xludf.DUMMYFUNCTION("QUERY('Volunteer Survey'!L832)"),"")</f>
        <v/>
      </c>
      <c r="AL833" s="175" t="str">
        <f ca="1">IFERROR(__xludf.DUMMYFUNCTION("QUERY('Volunteer Survey'!M832)"),"")</f>
        <v/>
      </c>
      <c r="AM833" s="175" t="str">
        <f ca="1">IFERROR(__xludf.DUMMYFUNCTION("QUERY('Volunteer Survey'!N832)"),"")</f>
        <v/>
      </c>
      <c r="AN833" s="175" t="str">
        <f ca="1">IFERROR(__xludf.DUMMYFUNCTION("QUERY('Volunteer Survey'!O832)"),"")</f>
        <v/>
      </c>
      <c r="AO833" s="175" t="str">
        <f ca="1">IFERROR(__xludf.DUMMYFUNCTION("QUERY('Volunteer Survey'!P832)"),"")</f>
        <v/>
      </c>
    </row>
    <row r="834" spans="1:41" ht="14">
      <c r="A834" s="49"/>
      <c r="B834" s="49"/>
      <c r="C834" s="47"/>
      <c r="D834" s="49"/>
      <c r="E834" s="49"/>
      <c r="F834" s="49" t="b">
        <v>0</v>
      </c>
      <c r="G834" s="49"/>
      <c r="H834" s="47"/>
      <c r="I834" s="47"/>
      <c r="J834" s="49"/>
      <c r="K834" s="49"/>
      <c r="L834" s="49"/>
      <c r="M834" s="49"/>
      <c r="N834" s="49"/>
      <c r="O834" s="49" t="b">
        <v>0</v>
      </c>
      <c r="P834" s="49"/>
      <c r="Q834" s="49"/>
      <c r="R834" s="49"/>
      <c r="S834" s="49"/>
      <c r="T834" s="49"/>
      <c r="U834" s="58"/>
      <c r="V834" s="49"/>
      <c r="W834" s="58"/>
      <c r="X834" s="49"/>
      <c r="Y834" s="47"/>
      <c r="Z834" s="175" t="str">
        <f ca="1">IFERROR(__xludf.DUMMYFUNCTION("QUERY('Volunteer Survey'!A833)"),"")</f>
        <v/>
      </c>
      <c r="AA834" s="175" t="str">
        <f ca="1">IFERROR(__xludf.DUMMYFUNCTION("QUERY('Volunteer Survey'!B833)"),"")</f>
        <v/>
      </c>
      <c r="AB834" s="175" t="str">
        <f ca="1">IFERROR(__xludf.DUMMYFUNCTION("QUERY('Volunteer Survey'!C833)"),"")</f>
        <v/>
      </c>
      <c r="AC834" s="175" t="str">
        <f ca="1">IFERROR(__xludf.DUMMYFUNCTION("QUERY('Volunteer Survey'!D833)"),"")</f>
        <v/>
      </c>
      <c r="AD834" s="175" t="str">
        <f ca="1">IFERROR(__xludf.DUMMYFUNCTION("QUERY('Volunteer Survey'!E833)"),"")</f>
        <v/>
      </c>
      <c r="AE834" s="175" t="str">
        <f ca="1">IFERROR(__xludf.DUMMYFUNCTION("QUERY('Volunteer Survey'!F833)"),"")</f>
        <v/>
      </c>
      <c r="AF834" s="175" t="str">
        <f ca="1">IFERROR(__xludf.DUMMYFUNCTION("QUERY('Volunteer Survey'!G833)"),"")</f>
        <v/>
      </c>
      <c r="AG834" s="175" t="str">
        <f ca="1">IFERROR(__xludf.DUMMYFUNCTION("QUERY('Volunteer Survey'!H833)"),"")</f>
        <v/>
      </c>
      <c r="AH834" s="175" t="str">
        <f ca="1">IFERROR(__xludf.DUMMYFUNCTION("QUERY('Volunteer Survey'!I833)"),"")</f>
        <v/>
      </c>
      <c r="AI834" s="175" t="str">
        <f ca="1">IFERROR(__xludf.DUMMYFUNCTION("QUERY('Volunteer Survey'!J833)"),"")</f>
        <v/>
      </c>
      <c r="AJ834" s="175" t="str">
        <f ca="1">IFERROR(__xludf.DUMMYFUNCTION("QUERY('Volunteer Survey'!K833)"),"")</f>
        <v/>
      </c>
      <c r="AK834" s="175" t="str">
        <f ca="1">IFERROR(__xludf.DUMMYFUNCTION("QUERY('Volunteer Survey'!L833)"),"")</f>
        <v/>
      </c>
      <c r="AL834" s="175" t="str">
        <f ca="1">IFERROR(__xludf.DUMMYFUNCTION("QUERY('Volunteer Survey'!M833)"),"")</f>
        <v/>
      </c>
      <c r="AM834" s="175" t="str">
        <f ca="1">IFERROR(__xludf.DUMMYFUNCTION("QUERY('Volunteer Survey'!N833)"),"")</f>
        <v/>
      </c>
      <c r="AN834" s="175" t="str">
        <f ca="1">IFERROR(__xludf.DUMMYFUNCTION("QUERY('Volunteer Survey'!O833)"),"")</f>
        <v/>
      </c>
      <c r="AO834" s="175" t="str">
        <f ca="1">IFERROR(__xludf.DUMMYFUNCTION("QUERY('Volunteer Survey'!P833)"),"")</f>
        <v/>
      </c>
    </row>
    <row r="835" spans="1:41" ht="14">
      <c r="A835" s="49"/>
      <c r="B835" s="49"/>
      <c r="C835" s="47"/>
      <c r="D835" s="49"/>
      <c r="E835" s="49"/>
      <c r="F835" s="49" t="b">
        <v>0</v>
      </c>
      <c r="G835" s="49"/>
      <c r="H835" s="47"/>
      <c r="I835" s="47"/>
      <c r="J835" s="49"/>
      <c r="K835" s="49"/>
      <c r="L835" s="49"/>
      <c r="M835" s="49"/>
      <c r="N835" s="49"/>
      <c r="O835" s="49" t="b">
        <v>0</v>
      </c>
      <c r="P835" s="49"/>
      <c r="Q835" s="49"/>
      <c r="R835" s="49"/>
      <c r="S835" s="49"/>
      <c r="T835" s="49"/>
      <c r="U835" s="58"/>
      <c r="V835" s="49"/>
      <c r="W835" s="58"/>
      <c r="X835" s="49"/>
      <c r="Y835" s="47"/>
      <c r="Z835" s="175" t="str">
        <f ca="1">IFERROR(__xludf.DUMMYFUNCTION("QUERY('Volunteer Survey'!A834)"),"")</f>
        <v/>
      </c>
      <c r="AA835" s="175" t="str">
        <f ca="1">IFERROR(__xludf.DUMMYFUNCTION("QUERY('Volunteer Survey'!B834)"),"")</f>
        <v/>
      </c>
      <c r="AB835" s="175" t="str">
        <f ca="1">IFERROR(__xludf.DUMMYFUNCTION("QUERY('Volunteer Survey'!C834)"),"")</f>
        <v/>
      </c>
      <c r="AC835" s="175" t="str">
        <f ca="1">IFERROR(__xludf.DUMMYFUNCTION("QUERY('Volunteer Survey'!D834)"),"")</f>
        <v/>
      </c>
      <c r="AD835" s="175" t="str">
        <f ca="1">IFERROR(__xludf.DUMMYFUNCTION("QUERY('Volunteer Survey'!E834)"),"")</f>
        <v/>
      </c>
      <c r="AE835" s="175" t="str">
        <f ca="1">IFERROR(__xludf.DUMMYFUNCTION("QUERY('Volunteer Survey'!F834)"),"")</f>
        <v/>
      </c>
      <c r="AF835" s="175" t="str">
        <f ca="1">IFERROR(__xludf.DUMMYFUNCTION("QUERY('Volunteer Survey'!G834)"),"")</f>
        <v/>
      </c>
      <c r="AG835" s="175" t="str">
        <f ca="1">IFERROR(__xludf.DUMMYFUNCTION("QUERY('Volunteer Survey'!H834)"),"")</f>
        <v/>
      </c>
      <c r="AH835" s="175" t="str">
        <f ca="1">IFERROR(__xludf.DUMMYFUNCTION("QUERY('Volunteer Survey'!I834)"),"")</f>
        <v/>
      </c>
      <c r="AI835" s="175" t="str">
        <f ca="1">IFERROR(__xludf.DUMMYFUNCTION("QUERY('Volunteer Survey'!J834)"),"")</f>
        <v/>
      </c>
      <c r="AJ835" s="175" t="str">
        <f ca="1">IFERROR(__xludf.DUMMYFUNCTION("QUERY('Volunteer Survey'!K834)"),"")</f>
        <v/>
      </c>
      <c r="AK835" s="175" t="str">
        <f ca="1">IFERROR(__xludf.DUMMYFUNCTION("QUERY('Volunteer Survey'!L834)"),"")</f>
        <v/>
      </c>
      <c r="AL835" s="175" t="str">
        <f ca="1">IFERROR(__xludf.DUMMYFUNCTION("QUERY('Volunteer Survey'!M834)"),"")</f>
        <v/>
      </c>
      <c r="AM835" s="175" t="str">
        <f ca="1">IFERROR(__xludf.DUMMYFUNCTION("QUERY('Volunteer Survey'!N834)"),"")</f>
        <v/>
      </c>
      <c r="AN835" s="175" t="str">
        <f ca="1">IFERROR(__xludf.DUMMYFUNCTION("QUERY('Volunteer Survey'!O834)"),"")</f>
        <v/>
      </c>
      <c r="AO835" s="175" t="str">
        <f ca="1">IFERROR(__xludf.DUMMYFUNCTION("QUERY('Volunteer Survey'!P834)"),"")</f>
        <v/>
      </c>
    </row>
    <row r="836" spans="1:41" ht="14">
      <c r="A836" s="49"/>
      <c r="B836" s="49"/>
      <c r="C836" s="47"/>
      <c r="D836" s="49"/>
      <c r="E836" s="49"/>
      <c r="F836" s="49" t="b">
        <v>0</v>
      </c>
      <c r="G836" s="49"/>
      <c r="H836" s="47"/>
      <c r="I836" s="47"/>
      <c r="J836" s="49"/>
      <c r="K836" s="49"/>
      <c r="L836" s="49"/>
      <c r="M836" s="49"/>
      <c r="N836" s="49"/>
      <c r="O836" s="49" t="b">
        <v>0</v>
      </c>
      <c r="P836" s="49"/>
      <c r="Q836" s="49"/>
      <c r="R836" s="49"/>
      <c r="S836" s="49"/>
      <c r="T836" s="49"/>
      <c r="U836" s="58"/>
      <c r="V836" s="49"/>
      <c r="W836" s="58"/>
      <c r="X836" s="49"/>
      <c r="Y836" s="47"/>
      <c r="Z836" s="175" t="str">
        <f ca="1">IFERROR(__xludf.DUMMYFUNCTION("QUERY('Volunteer Survey'!A835)"),"")</f>
        <v/>
      </c>
      <c r="AA836" s="175" t="str">
        <f ca="1">IFERROR(__xludf.DUMMYFUNCTION("QUERY('Volunteer Survey'!B835)"),"")</f>
        <v/>
      </c>
      <c r="AB836" s="175" t="str">
        <f ca="1">IFERROR(__xludf.DUMMYFUNCTION("QUERY('Volunteer Survey'!C835)"),"")</f>
        <v/>
      </c>
      <c r="AC836" s="175" t="str">
        <f ca="1">IFERROR(__xludf.DUMMYFUNCTION("QUERY('Volunteer Survey'!D835)"),"")</f>
        <v/>
      </c>
      <c r="AD836" s="175" t="str">
        <f ca="1">IFERROR(__xludf.DUMMYFUNCTION("QUERY('Volunteer Survey'!E835)"),"")</f>
        <v/>
      </c>
      <c r="AE836" s="175" t="str">
        <f ca="1">IFERROR(__xludf.DUMMYFUNCTION("QUERY('Volunteer Survey'!F835)"),"")</f>
        <v/>
      </c>
      <c r="AF836" s="175" t="str">
        <f ca="1">IFERROR(__xludf.DUMMYFUNCTION("QUERY('Volunteer Survey'!G835)"),"")</f>
        <v/>
      </c>
      <c r="AG836" s="175" t="str">
        <f ca="1">IFERROR(__xludf.DUMMYFUNCTION("QUERY('Volunteer Survey'!H835)"),"")</f>
        <v/>
      </c>
      <c r="AH836" s="175" t="str">
        <f ca="1">IFERROR(__xludf.DUMMYFUNCTION("QUERY('Volunteer Survey'!I835)"),"")</f>
        <v/>
      </c>
      <c r="AI836" s="175" t="str">
        <f ca="1">IFERROR(__xludf.DUMMYFUNCTION("QUERY('Volunteer Survey'!J835)"),"")</f>
        <v/>
      </c>
      <c r="AJ836" s="175" t="str">
        <f ca="1">IFERROR(__xludf.DUMMYFUNCTION("QUERY('Volunteer Survey'!K835)"),"")</f>
        <v/>
      </c>
      <c r="AK836" s="175" t="str">
        <f ca="1">IFERROR(__xludf.DUMMYFUNCTION("QUERY('Volunteer Survey'!L835)"),"")</f>
        <v/>
      </c>
      <c r="AL836" s="175" t="str">
        <f ca="1">IFERROR(__xludf.DUMMYFUNCTION("QUERY('Volunteer Survey'!M835)"),"")</f>
        <v/>
      </c>
      <c r="AM836" s="175" t="str">
        <f ca="1">IFERROR(__xludf.DUMMYFUNCTION("QUERY('Volunteer Survey'!N835)"),"")</f>
        <v/>
      </c>
      <c r="AN836" s="175" t="str">
        <f ca="1">IFERROR(__xludf.DUMMYFUNCTION("QUERY('Volunteer Survey'!O835)"),"")</f>
        <v/>
      </c>
      <c r="AO836" s="175" t="str">
        <f ca="1">IFERROR(__xludf.DUMMYFUNCTION("QUERY('Volunteer Survey'!P835)"),"")</f>
        <v/>
      </c>
    </row>
    <row r="837" spans="1:41" ht="14">
      <c r="A837" s="49"/>
      <c r="B837" s="49"/>
      <c r="C837" s="47"/>
      <c r="D837" s="49"/>
      <c r="E837" s="49"/>
      <c r="F837" s="49" t="b">
        <v>0</v>
      </c>
      <c r="G837" s="49"/>
      <c r="H837" s="47"/>
      <c r="I837" s="47"/>
      <c r="J837" s="49"/>
      <c r="K837" s="49"/>
      <c r="L837" s="49"/>
      <c r="M837" s="49"/>
      <c r="N837" s="49"/>
      <c r="O837" s="49" t="b">
        <v>0</v>
      </c>
      <c r="P837" s="49"/>
      <c r="Q837" s="49"/>
      <c r="R837" s="49"/>
      <c r="S837" s="49"/>
      <c r="T837" s="49"/>
      <c r="U837" s="58"/>
      <c r="V837" s="49"/>
      <c r="W837" s="58"/>
      <c r="X837" s="49"/>
      <c r="Y837" s="47"/>
      <c r="Z837" s="175" t="str">
        <f ca="1">IFERROR(__xludf.DUMMYFUNCTION("QUERY('Volunteer Survey'!A836)"),"")</f>
        <v/>
      </c>
      <c r="AA837" s="175" t="str">
        <f ca="1">IFERROR(__xludf.DUMMYFUNCTION("QUERY('Volunteer Survey'!B836)"),"")</f>
        <v/>
      </c>
      <c r="AB837" s="175" t="str">
        <f ca="1">IFERROR(__xludf.DUMMYFUNCTION("QUERY('Volunteer Survey'!C836)"),"")</f>
        <v/>
      </c>
      <c r="AC837" s="175" t="str">
        <f ca="1">IFERROR(__xludf.DUMMYFUNCTION("QUERY('Volunteer Survey'!D836)"),"")</f>
        <v/>
      </c>
      <c r="AD837" s="175" t="str">
        <f ca="1">IFERROR(__xludf.DUMMYFUNCTION("QUERY('Volunteer Survey'!E836)"),"")</f>
        <v/>
      </c>
      <c r="AE837" s="175" t="str">
        <f ca="1">IFERROR(__xludf.DUMMYFUNCTION("QUERY('Volunteer Survey'!F836)"),"")</f>
        <v/>
      </c>
      <c r="AF837" s="175" t="str">
        <f ca="1">IFERROR(__xludf.DUMMYFUNCTION("QUERY('Volunteer Survey'!G836)"),"")</f>
        <v/>
      </c>
      <c r="AG837" s="175" t="str">
        <f ca="1">IFERROR(__xludf.DUMMYFUNCTION("QUERY('Volunteer Survey'!H836)"),"")</f>
        <v/>
      </c>
      <c r="AH837" s="175" t="str">
        <f ca="1">IFERROR(__xludf.DUMMYFUNCTION("QUERY('Volunteer Survey'!I836)"),"")</f>
        <v/>
      </c>
      <c r="AI837" s="175" t="str">
        <f ca="1">IFERROR(__xludf.DUMMYFUNCTION("QUERY('Volunteer Survey'!J836)"),"")</f>
        <v/>
      </c>
      <c r="AJ837" s="175" t="str">
        <f ca="1">IFERROR(__xludf.DUMMYFUNCTION("QUERY('Volunteer Survey'!K836)"),"")</f>
        <v/>
      </c>
      <c r="AK837" s="175" t="str">
        <f ca="1">IFERROR(__xludf.DUMMYFUNCTION("QUERY('Volunteer Survey'!L836)"),"")</f>
        <v/>
      </c>
      <c r="AL837" s="175" t="str">
        <f ca="1">IFERROR(__xludf.DUMMYFUNCTION("QUERY('Volunteer Survey'!M836)"),"")</f>
        <v/>
      </c>
      <c r="AM837" s="175" t="str">
        <f ca="1">IFERROR(__xludf.DUMMYFUNCTION("QUERY('Volunteer Survey'!N836)"),"")</f>
        <v/>
      </c>
      <c r="AN837" s="175" t="str">
        <f ca="1">IFERROR(__xludf.DUMMYFUNCTION("QUERY('Volunteer Survey'!O836)"),"")</f>
        <v/>
      </c>
      <c r="AO837" s="175" t="str">
        <f ca="1">IFERROR(__xludf.DUMMYFUNCTION("QUERY('Volunteer Survey'!P836)"),"")</f>
        <v/>
      </c>
    </row>
    <row r="838" spans="1:41" ht="14">
      <c r="A838" s="49"/>
      <c r="B838" s="49"/>
      <c r="C838" s="47"/>
      <c r="D838" s="49"/>
      <c r="E838" s="49"/>
      <c r="F838" s="49" t="b">
        <v>0</v>
      </c>
      <c r="G838" s="49"/>
      <c r="H838" s="47"/>
      <c r="I838" s="47"/>
      <c r="J838" s="49"/>
      <c r="K838" s="49"/>
      <c r="L838" s="49"/>
      <c r="M838" s="49"/>
      <c r="N838" s="49"/>
      <c r="O838" s="49" t="b">
        <v>0</v>
      </c>
      <c r="P838" s="49"/>
      <c r="Q838" s="49"/>
      <c r="R838" s="49"/>
      <c r="S838" s="49"/>
      <c r="T838" s="49"/>
      <c r="U838" s="58"/>
      <c r="V838" s="49"/>
      <c r="W838" s="58"/>
      <c r="X838" s="49"/>
      <c r="Y838" s="47"/>
      <c r="Z838" s="175" t="str">
        <f ca="1">IFERROR(__xludf.DUMMYFUNCTION("QUERY('Volunteer Survey'!A837)"),"")</f>
        <v/>
      </c>
      <c r="AA838" s="175" t="str">
        <f ca="1">IFERROR(__xludf.DUMMYFUNCTION("QUERY('Volunteer Survey'!B837)"),"")</f>
        <v/>
      </c>
      <c r="AB838" s="175" t="str">
        <f ca="1">IFERROR(__xludf.DUMMYFUNCTION("QUERY('Volunteer Survey'!C837)"),"")</f>
        <v/>
      </c>
      <c r="AC838" s="175" t="str">
        <f ca="1">IFERROR(__xludf.DUMMYFUNCTION("QUERY('Volunteer Survey'!D837)"),"")</f>
        <v/>
      </c>
      <c r="AD838" s="175" t="str">
        <f ca="1">IFERROR(__xludf.DUMMYFUNCTION("QUERY('Volunteer Survey'!E837)"),"")</f>
        <v/>
      </c>
      <c r="AE838" s="175" t="str">
        <f ca="1">IFERROR(__xludf.DUMMYFUNCTION("QUERY('Volunteer Survey'!F837)"),"")</f>
        <v/>
      </c>
      <c r="AF838" s="175" t="str">
        <f ca="1">IFERROR(__xludf.DUMMYFUNCTION("QUERY('Volunteer Survey'!G837)"),"")</f>
        <v/>
      </c>
      <c r="AG838" s="175" t="str">
        <f ca="1">IFERROR(__xludf.DUMMYFUNCTION("QUERY('Volunteer Survey'!H837)"),"")</f>
        <v/>
      </c>
      <c r="AH838" s="175" t="str">
        <f ca="1">IFERROR(__xludf.DUMMYFUNCTION("QUERY('Volunteer Survey'!I837)"),"")</f>
        <v/>
      </c>
      <c r="AI838" s="175" t="str">
        <f ca="1">IFERROR(__xludf.DUMMYFUNCTION("QUERY('Volunteer Survey'!J837)"),"")</f>
        <v/>
      </c>
      <c r="AJ838" s="175" t="str">
        <f ca="1">IFERROR(__xludf.DUMMYFUNCTION("QUERY('Volunteer Survey'!K837)"),"")</f>
        <v/>
      </c>
      <c r="AK838" s="175" t="str">
        <f ca="1">IFERROR(__xludf.DUMMYFUNCTION("QUERY('Volunteer Survey'!L837)"),"")</f>
        <v/>
      </c>
      <c r="AL838" s="175" t="str">
        <f ca="1">IFERROR(__xludf.DUMMYFUNCTION("QUERY('Volunteer Survey'!M837)"),"")</f>
        <v/>
      </c>
      <c r="AM838" s="175" t="str">
        <f ca="1">IFERROR(__xludf.DUMMYFUNCTION("QUERY('Volunteer Survey'!N837)"),"")</f>
        <v/>
      </c>
      <c r="AN838" s="175" t="str">
        <f ca="1">IFERROR(__xludf.DUMMYFUNCTION("QUERY('Volunteer Survey'!O837)"),"")</f>
        <v/>
      </c>
      <c r="AO838" s="175" t="str">
        <f ca="1">IFERROR(__xludf.DUMMYFUNCTION("QUERY('Volunteer Survey'!P837)"),"")</f>
        <v/>
      </c>
    </row>
    <row r="839" spans="1:41" ht="14">
      <c r="A839" s="49"/>
      <c r="B839" s="49"/>
      <c r="C839" s="47"/>
      <c r="D839" s="49"/>
      <c r="E839" s="49"/>
      <c r="F839" s="49" t="b">
        <v>0</v>
      </c>
      <c r="G839" s="49"/>
      <c r="H839" s="47"/>
      <c r="I839" s="47"/>
      <c r="J839" s="49"/>
      <c r="K839" s="49"/>
      <c r="L839" s="49"/>
      <c r="M839" s="49"/>
      <c r="N839" s="49"/>
      <c r="O839" s="49" t="b">
        <v>0</v>
      </c>
      <c r="P839" s="49"/>
      <c r="Q839" s="49"/>
      <c r="R839" s="49"/>
      <c r="S839" s="49"/>
      <c r="T839" s="49"/>
      <c r="U839" s="58"/>
      <c r="V839" s="49"/>
      <c r="W839" s="58"/>
      <c r="X839" s="49"/>
      <c r="Y839" s="47"/>
      <c r="Z839" s="175" t="str">
        <f ca="1">IFERROR(__xludf.DUMMYFUNCTION("QUERY('Volunteer Survey'!A838)"),"")</f>
        <v/>
      </c>
      <c r="AA839" s="175" t="str">
        <f ca="1">IFERROR(__xludf.DUMMYFUNCTION("QUERY('Volunteer Survey'!B838)"),"")</f>
        <v/>
      </c>
      <c r="AB839" s="175" t="str">
        <f ca="1">IFERROR(__xludf.DUMMYFUNCTION("QUERY('Volunteer Survey'!C838)"),"")</f>
        <v/>
      </c>
      <c r="AC839" s="175" t="str">
        <f ca="1">IFERROR(__xludf.DUMMYFUNCTION("QUERY('Volunteer Survey'!D838)"),"")</f>
        <v/>
      </c>
      <c r="AD839" s="175" t="str">
        <f ca="1">IFERROR(__xludf.DUMMYFUNCTION("QUERY('Volunteer Survey'!E838)"),"")</f>
        <v/>
      </c>
      <c r="AE839" s="175" t="str">
        <f ca="1">IFERROR(__xludf.DUMMYFUNCTION("QUERY('Volunteer Survey'!F838)"),"")</f>
        <v/>
      </c>
      <c r="AF839" s="175" t="str">
        <f ca="1">IFERROR(__xludf.DUMMYFUNCTION("QUERY('Volunteer Survey'!G838)"),"")</f>
        <v/>
      </c>
      <c r="AG839" s="175" t="str">
        <f ca="1">IFERROR(__xludf.DUMMYFUNCTION("QUERY('Volunteer Survey'!H838)"),"")</f>
        <v/>
      </c>
      <c r="AH839" s="175" t="str">
        <f ca="1">IFERROR(__xludf.DUMMYFUNCTION("QUERY('Volunteer Survey'!I838)"),"")</f>
        <v/>
      </c>
      <c r="AI839" s="175" t="str">
        <f ca="1">IFERROR(__xludf.DUMMYFUNCTION("QUERY('Volunteer Survey'!J838)"),"")</f>
        <v/>
      </c>
      <c r="AJ839" s="175" t="str">
        <f ca="1">IFERROR(__xludf.DUMMYFUNCTION("QUERY('Volunteer Survey'!K838)"),"")</f>
        <v/>
      </c>
      <c r="AK839" s="175" t="str">
        <f ca="1">IFERROR(__xludf.DUMMYFUNCTION("QUERY('Volunteer Survey'!L838)"),"")</f>
        <v/>
      </c>
      <c r="AL839" s="175" t="str">
        <f ca="1">IFERROR(__xludf.DUMMYFUNCTION("QUERY('Volunteer Survey'!M838)"),"")</f>
        <v/>
      </c>
      <c r="AM839" s="175" t="str">
        <f ca="1">IFERROR(__xludf.DUMMYFUNCTION("QUERY('Volunteer Survey'!N838)"),"")</f>
        <v/>
      </c>
      <c r="AN839" s="175" t="str">
        <f ca="1">IFERROR(__xludf.DUMMYFUNCTION("QUERY('Volunteer Survey'!O838)"),"")</f>
        <v/>
      </c>
      <c r="AO839" s="175" t="str">
        <f ca="1">IFERROR(__xludf.DUMMYFUNCTION("QUERY('Volunteer Survey'!P838)"),"")</f>
        <v/>
      </c>
    </row>
    <row r="840" spans="1:41" ht="14">
      <c r="A840" s="49"/>
      <c r="B840" s="49"/>
      <c r="C840" s="47"/>
      <c r="D840" s="49"/>
      <c r="E840" s="49"/>
      <c r="F840" s="49" t="b">
        <v>0</v>
      </c>
      <c r="G840" s="49"/>
      <c r="H840" s="47"/>
      <c r="I840" s="47"/>
      <c r="J840" s="49"/>
      <c r="K840" s="49"/>
      <c r="L840" s="49"/>
      <c r="M840" s="49"/>
      <c r="N840" s="49"/>
      <c r="O840" s="49" t="b">
        <v>0</v>
      </c>
      <c r="P840" s="49"/>
      <c r="Q840" s="49"/>
      <c r="R840" s="49"/>
      <c r="S840" s="49"/>
      <c r="T840" s="49"/>
      <c r="U840" s="58"/>
      <c r="V840" s="49"/>
      <c r="W840" s="58"/>
      <c r="X840" s="49"/>
      <c r="Y840" s="47"/>
      <c r="Z840" s="175" t="str">
        <f ca="1">IFERROR(__xludf.DUMMYFUNCTION("QUERY('Volunteer Survey'!A839)"),"")</f>
        <v/>
      </c>
      <c r="AA840" s="175" t="str">
        <f ca="1">IFERROR(__xludf.DUMMYFUNCTION("QUERY('Volunteer Survey'!B839)"),"")</f>
        <v/>
      </c>
      <c r="AB840" s="175" t="str">
        <f ca="1">IFERROR(__xludf.DUMMYFUNCTION("QUERY('Volunteer Survey'!C839)"),"")</f>
        <v/>
      </c>
      <c r="AC840" s="175" t="str">
        <f ca="1">IFERROR(__xludf.DUMMYFUNCTION("QUERY('Volunteer Survey'!D839)"),"")</f>
        <v/>
      </c>
      <c r="AD840" s="175" t="str">
        <f ca="1">IFERROR(__xludf.DUMMYFUNCTION("QUERY('Volunteer Survey'!E839)"),"")</f>
        <v/>
      </c>
      <c r="AE840" s="175" t="str">
        <f ca="1">IFERROR(__xludf.DUMMYFUNCTION("QUERY('Volunteer Survey'!F839)"),"")</f>
        <v/>
      </c>
      <c r="AF840" s="175" t="str">
        <f ca="1">IFERROR(__xludf.DUMMYFUNCTION("QUERY('Volunteer Survey'!G839)"),"")</f>
        <v/>
      </c>
      <c r="AG840" s="175" t="str">
        <f ca="1">IFERROR(__xludf.DUMMYFUNCTION("QUERY('Volunteer Survey'!H839)"),"")</f>
        <v/>
      </c>
      <c r="AH840" s="175" t="str">
        <f ca="1">IFERROR(__xludf.DUMMYFUNCTION("QUERY('Volunteer Survey'!I839)"),"")</f>
        <v/>
      </c>
      <c r="AI840" s="175" t="str">
        <f ca="1">IFERROR(__xludf.DUMMYFUNCTION("QUERY('Volunteer Survey'!J839)"),"")</f>
        <v/>
      </c>
      <c r="AJ840" s="175" t="str">
        <f ca="1">IFERROR(__xludf.DUMMYFUNCTION("QUERY('Volunteer Survey'!K839)"),"")</f>
        <v/>
      </c>
      <c r="AK840" s="175" t="str">
        <f ca="1">IFERROR(__xludf.DUMMYFUNCTION("QUERY('Volunteer Survey'!L839)"),"")</f>
        <v/>
      </c>
      <c r="AL840" s="175" t="str">
        <f ca="1">IFERROR(__xludf.DUMMYFUNCTION("QUERY('Volunteer Survey'!M839)"),"")</f>
        <v/>
      </c>
      <c r="AM840" s="175" t="str">
        <f ca="1">IFERROR(__xludf.DUMMYFUNCTION("QUERY('Volunteer Survey'!N839)"),"")</f>
        <v/>
      </c>
      <c r="AN840" s="175" t="str">
        <f ca="1">IFERROR(__xludf.DUMMYFUNCTION("QUERY('Volunteer Survey'!O839)"),"")</f>
        <v/>
      </c>
      <c r="AO840" s="175" t="str">
        <f ca="1">IFERROR(__xludf.DUMMYFUNCTION("QUERY('Volunteer Survey'!P839)"),"")</f>
        <v/>
      </c>
    </row>
    <row r="841" spans="1:41" ht="14">
      <c r="A841" s="49"/>
      <c r="B841" s="49"/>
      <c r="C841" s="47"/>
      <c r="D841" s="49"/>
      <c r="E841" s="49"/>
      <c r="F841" s="49" t="b">
        <v>0</v>
      </c>
      <c r="G841" s="49"/>
      <c r="H841" s="47"/>
      <c r="I841" s="47"/>
      <c r="J841" s="49"/>
      <c r="K841" s="49"/>
      <c r="L841" s="49"/>
      <c r="M841" s="49"/>
      <c r="N841" s="49"/>
      <c r="O841" s="49" t="b">
        <v>0</v>
      </c>
      <c r="P841" s="49"/>
      <c r="Q841" s="49"/>
      <c r="R841" s="49"/>
      <c r="S841" s="49"/>
      <c r="T841" s="49"/>
      <c r="U841" s="58"/>
      <c r="V841" s="49"/>
      <c r="W841" s="58"/>
      <c r="X841" s="49"/>
      <c r="Y841" s="47"/>
      <c r="Z841" s="175" t="str">
        <f ca="1">IFERROR(__xludf.DUMMYFUNCTION("QUERY('Volunteer Survey'!A840)"),"")</f>
        <v/>
      </c>
      <c r="AA841" s="175" t="str">
        <f ca="1">IFERROR(__xludf.DUMMYFUNCTION("QUERY('Volunteer Survey'!B840)"),"")</f>
        <v/>
      </c>
      <c r="AB841" s="175" t="str">
        <f ca="1">IFERROR(__xludf.DUMMYFUNCTION("QUERY('Volunteer Survey'!C840)"),"")</f>
        <v/>
      </c>
      <c r="AC841" s="175" t="str">
        <f ca="1">IFERROR(__xludf.DUMMYFUNCTION("QUERY('Volunteer Survey'!D840)"),"")</f>
        <v/>
      </c>
      <c r="AD841" s="175" t="str">
        <f ca="1">IFERROR(__xludf.DUMMYFUNCTION("QUERY('Volunteer Survey'!E840)"),"")</f>
        <v/>
      </c>
      <c r="AE841" s="175" t="str">
        <f ca="1">IFERROR(__xludf.DUMMYFUNCTION("QUERY('Volunteer Survey'!F840)"),"")</f>
        <v/>
      </c>
      <c r="AF841" s="175" t="str">
        <f ca="1">IFERROR(__xludf.DUMMYFUNCTION("QUERY('Volunteer Survey'!G840)"),"")</f>
        <v/>
      </c>
      <c r="AG841" s="175" t="str">
        <f ca="1">IFERROR(__xludf.DUMMYFUNCTION("QUERY('Volunteer Survey'!H840)"),"")</f>
        <v/>
      </c>
      <c r="AH841" s="175" t="str">
        <f ca="1">IFERROR(__xludf.DUMMYFUNCTION("QUERY('Volunteer Survey'!I840)"),"")</f>
        <v/>
      </c>
      <c r="AI841" s="175" t="str">
        <f ca="1">IFERROR(__xludf.DUMMYFUNCTION("QUERY('Volunteer Survey'!J840)"),"")</f>
        <v/>
      </c>
      <c r="AJ841" s="175" t="str">
        <f ca="1">IFERROR(__xludf.DUMMYFUNCTION("QUERY('Volunteer Survey'!K840)"),"")</f>
        <v/>
      </c>
      <c r="AK841" s="175" t="str">
        <f ca="1">IFERROR(__xludf.DUMMYFUNCTION("QUERY('Volunteer Survey'!L840)"),"")</f>
        <v/>
      </c>
      <c r="AL841" s="175" t="str">
        <f ca="1">IFERROR(__xludf.DUMMYFUNCTION("QUERY('Volunteer Survey'!M840)"),"")</f>
        <v/>
      </c>
      <c r="AM841" s="175" t="str">
        <f ca="1">IFERROR(__xludf.DUMMYFUNCTION("QUERY('Volunteer Survey'!N840)"),"")</f>
        <v/>
      </c>
      <c r="AN841" s="175" t="str">
        <f ca="1">IFERROR(__xludf.DUMMYFUNCTION("QUERY('Volunteer Survey'!O840)"),"")</f>
        <v/>
      </c>
      <c r="AO841" s="175" t="str">
        <f ca="1">IFERROR(__xludf.DUMMYFUNCTION("QUERY('Volunteer Survey'!P840)"),"")</f>
        <v/>
      </c>
    </row>
    <row r="842" spans="1:41" ht="14">
      <c r="A842" s="49"/>
      <c r="B842" s="49"/>
      <c r="C842" s="47"/>
      <c r="D842" s="49"/>
      <c r="E842" s="49"/>
      <c r="F842" s="49" t="b">
        <v>0</v>
      </c>
      <c r="G842" s="49"/>
      <c r="H842" s="47"/>
      <c r="I842" s="47"/>
      <c r="J842" s="49"/>
      <c r="K842" s="49"/>
      <c r="L842" s="49"/>
      <c r="M842" s="49"/>
      <c r="N842" s="49"/>
      <c r="O842" s="49" t="b">
        <v>0</v>
      </c>
      <c r="P842" s="49"/>
      <c r="Q842" s="49"/>
      <c r="R842" s="49"/>
      <c r="S842" s="49"/>
      <c r="T842" s="49"/>
      <c r="U842" s="58"/>
      <c r="V842" s="49"/>
      <c r="W842" s="58"/>
      <c r="X842" s="49"/>
      <c r="Y842" s="47"/>
      <c r="Z842" s="175" t="str">
        <f ca="1">IFERROR(__xludf.DUMMYFUNCTION("QUERY('Volunteer Survey'!A841)"),"")</f>
        <v/>
      </c>
      <c r="AA842" s="175" t="str">
        <f ca="1">IFERROR(__xludf.DUMMYFUNCTION("QUERY('Volunteer Survey'!B841)"),"")</f>
        <v/>
      </c>
      <c r="AB842" s="175" t="str">
        <f ca="1">IFERROR(__xludf.DUMMYFUNCTION("QUERY('Volunteer Survey'!C841)"),"")</f>
        <v/>
      </c>
      <c r="AC842" s="175" t="str">
        <f ca="1">IFERROR(__xludf.DUMMYFUNCTION("QUERY('Volunteer Survey'!D841)"),"")</f>
        <v/>
      </c>
      <c r="AD842" s="175" t="str">
        <f ca="1">IFERROR(__xludf.DUMMYFUNCTION("QUERY('Volunteer Survey'!E841)"),"")</f>
        <v/>
      </c>
      <c r="AE842" s="175" t="str">
        <f ca="1">IFERROR(__xludf.DUMMYFUNCTION("QUERY('Volunteer Survey'!F841)"),"")</f>
        <v/>
      </c>
      <c r="AF842" s="175" t="str">
        <f ca="1">IFERROR(__xludf.DUMMYFUNCTION("QUERY('Volunteer Survey'!G841)"),"")</f>
        <v/>
      </c>
      <c r="AG842" s="175" t="str">
        <f ca="1">IFERROR(__xludf.DUMMYFUNCTION("QUERY('Volunteer Survey'!H841)"),"")</f>
        <v/>
      </c>
      <c r="AH842" s="175" t="str">
        <f ca="1">IFERROR(__xludf.DUMMYFUNCTION("QUERY('Volunteer Survey'!I841)"),"")</f>
        <v/>
      </c>
      <c r="AI842" s="175" t="str">
        <f ca="1">IFERROR(__xludf.DUMMYFUNCTION("QUERY('Volunteer Survey'!J841)"),"")</f>
        <v/>
      </c>
      <c r="AJ842" s="175" t="str">
        <f ca="1">IFERROR(__xludf.DUMMYFUNCTION("QUERY('Volunteer Survey'!K841)"),"")</f>
        <v/>
      </c>
      <c r="AK842" s="175" t="str">
        <f ca="1">IFERROR(__xludf.DUMMYFUNCTION("QUERY('Volunteer Survey'!L841)"),"")</f>
        <v/>
      </c>
      <c r="AL842" s="175" t="str">
        <f ca="1">IFERROR(__xludf.DUMMYFUNCTION("QUERY('Volunteer Survey'!M841)"),"")</f>
        <v/>
      </c>
      <c r="AM842" s="175" t="str">
        <f ca="1">IFERROR(__xludf.DUMMYFUNCTION("QUERY('Volunteer Survey'!N841)"),"")</f>
        <v/>
      </c>
      <c r="AN842" s="175" t="str">
        <f ca="1">IFERROR(__xludf.DUMMYFUNCTION("QUERY('Volunteer Survey'!O841)"),"")</f>
        <v/>
      </c>
      <c r="AO842" s="175" t="str">
        <f ca="1">IFERROR(__xludf.DUMMYFUNCTION("QUERY('Volunteer Survey'!P841)"),"")</f>
        <v/>
      </c>
    </row>
    <row r="843" spans="1:41" ht="14">
      <c r="A843" s="49"/>
      <c r="B843" s="49"/>
      <c r="C843" s="47"/>
      <c r="D843" s="49"/>
      <c r="E843" s="49"/>
      <c r="F843" s="49" t="b">
        <v>0</v>
      </c>
      <c r="G843" s="49"/>
      <c r="H843" s="47"/>
      <c r="I843" s="47"/>
      <c r="J843" s="49"/>
      <c r="K843" s="49"/>
      <c r="L843" s="49"/>
      <c r="M843" s="49"/>
      <c r="N843" s="49"/>
      <c r="O843" s="49" t="b">
        <v>0</v>
      </c>
      <c r="P843" s="49"/>
      <c r="Q843" s="49"/>
      <c r="R843" s="49"/>
      <c r="S843" s="49"/>
      <c r="T843" s="49"/>
      <c r="U843" s="58"/>
      <c r="V843" s="49"/>
      <c r="W843" s="58"/>
      <c r="X843" s="49"/>
      <c r="Y843" s="47"/>
      <c r="Z843" s="175" t="str">
        <f ca="1">IFERROR(__xludf.DUMMYFUNCTION("QUERY('Volunteer Survey'!A842)"),"")</f>
        <v/>
      </c>
      <c r="AA843" s="175" t="str">
        <f ca="1">IFERROR(__xludf.DUMMYFUNCTION("QUERY('Volunteer Survey'!B842)"),"")</f>
        <v/>
      </c>
      <c r="AB843" s="175" t="str">
        <f ca="1">IFERROR(__xludf.DUMMYFUNCTION("QUERY('Volunteer Survey'!C842)"),"")</f>
        <v/>
      </c>
      <c r="AC843" s="175" t="str">
        <f ca="1">IFERROR(__xludf.DUMMYFUNCTION("QUERY('Volunteer Survey'!D842)"),"")</f>
        <v/>
      </c>
      <c r="AD843" s="175" t="str">
        <f ca="1">IFERROR(__xludf.DUMMYFUNCTION("QUERY('Volunteer Survey'!E842)"),"")</f>
        <v/>
      </c>
      <c r="AE843" s="175" t="str">
        <f ca="1">IFERROR(__xludf.DUMMYFUNCTION("QUERY('Volunteer Survey'!F842)"),"")</f>
        <v/>
      </c>
      <c r="AF843" s="175" t="str">
        <f ca="1">IFERROR(__xludf.DUMMYFUNCTION("QUERY('Volunteer Survey'!G842)"),"")</f>
        <v/>
      </c>
      <c r="AG843" s="175" t="str">
        <f ca="1">IFERROR(__xludf.DUMMYFUNCTION("QUERY('Volunteer Survey'!H842)"),"")</f>
        <v/>
      </c>
      <c r="AH843" s="175" t="str">
        <f ca="1">IFERROR(__xludf.DUMMYFUNCTION("QUERY('Volunteer Survey'!I842)"),"")</f>
        <v/>
      </c>
      <c r="AI843" s="175" t="str">
        <f ca="1">IFERROR(__xludf.DUMMYFUNCTION("QUERY('Volunteer Survey'!J842)"),"")</f>
        <v/>
      </c>
      <c r="AJ843" s="175" t="str">
        <f ca="1">IFERROR(__xludf.DUMMYFUNCTION("QUERY('Volunteer Survey'!K842)"),"")</f>
        <v/>
      </c>
      <c r="AK843" s="175" t="str">
        <f ca="1">IFERROR(__xludf.DUMMYFUNCTION("QUERY('Volunteer Survey'!L842)"),"")</f>
        <v/>
      </c>
      <c r="AL843" s="175" t="str">
        <f ca="1">IFERROR(__xludf.DUMMYFUNCTION("QUERY('Volunteer Survey'!M842)"),"")</f>
        <v/>
      </c>
      <c r="AM843" s="175" t="str">
        <f ca="1">IFERROR(__xludf.DUMMYFUNCTION("QUERY('Volunteer Survey'!N842)"),"")</f>
        <v/>
      </c>
      <c r="AN843" s="175" t="str">
        <f ca="1">IFERROR(__xludf.DUMMYFUNCTION("QUERY('Volunteer Survey'!O842)"),"")</f>
        <v/>
      </c>
      <c r="AO843" s="175" t="str">
        <f ca="1">IFERROR(__xludf.DUMMYFUNCTION("QUERY('Volunteer Survey'!P842)"),"")</f>
        <v/>
      </c>
    </row>
    <row r="844" spans="1:41" ht="14">
      <c r="A844" s="49"/>
      <c r="B844" s="49"/>
      <c r="C844" s="47"/>
      <c r="D844" s="49"/>
      <c r="E844" s="49"/>
      <c r="F844" s="49" t="b">
        <v>0</v>
      </c>
      <c r="G844" s="49"/>
      <c r="H844" s="47"/>
      <c r="I844" s="47"/>
      <c r="J844" s="49"/>
      <c r="K844" s="49"/>
      <c r="L844" s="49"/>
      <c r="M844" s="49"/>
      <c r="N844" s="49"/>
      <c r="O844" s="49" t="b">
        <v>0</v>
      </c>
      <c r="P844" s="49"/>
      <c r="Q844" s="49"/>
      <c r="R844" s="49"/>
      <c r="S844" s="49"/>
      <c r="T844" s="49"/>
      <c r="U844" s="58"/>
      <c r="V844" s="49"/>
      <c r="W844" s="58"/>
      <c r="X844" s="49"/>
      <c r="Y844" s="47"/>
      <c r="Z844" s="175" t="str">
        <f ca="1">IFERROR(__xludf.DUMMYFUNCTION("QUERY('Volunteer Survey'!A843)"),"")</f>
        <v/>
      </c>
      <c r="AA844" s="175" t="str">
        <f ca="1">IFERROR(__xludf.DUMMYFUNCTION("QUERY('Volunteer Survey'!B843)"),"")</f>
        <v/>
      </c>
      <c r="AB844" s="175" t="str">
        <f ca="1">IFERROR(__xludf.DUMMYFUNCTION("QUERY('Volunteer Survey'!C843)"),"")</f>
        <v/>
      </c>
      <c r="AC844" s="175" t="str">
        <f ca="1">IFERROR(__xludf.DUMMYFUNCTION("QUERY('Volunteer Survey'!D843)"),"")</f>
        <v/>
      </c>
      <c r="AD844" s="175" t="str">
        <f ca="1">IFERROR(__xludf.DUMMYFUNCTION("QUERY('Volunteer Survey'!E843)"),"")</f>
        <v/>
      </c>
      <c r="AE844" s="175" t="str">
        <f ca="1">IFERROR(__xludf.DUMMYFUNCTION("QUERY('Volunteer Survey'!F843)"),"")</f>
        <v/>
      </c>
      <c r="AF844" s="175" t="str">
        <f ca="1">IFERROR(__xludf.DUMMYFUNCTION("QUERY('Volunteer Survey'!G843)"),"")</f>
        <v/>
      </c>
      <c r="AG844" s="175" t="str">
        <f ca="1">IFERROR(__xludf.DUMMYFUNCTION("QUERY('Volunteer Survey'!H843)"),"")</f>
        <v/>
      </c>
      <c r="AH844" s="175" t="str">
        <f ca="1">IFERROR(__xludf.DUMMYFUNCTION("QUERY('Volunteer Survey'!I843)"),"")</f>
        <v/>
      </c>
      <c r="AI844" s="175" t="str">
        <f ca="1">IFERROR(__xludf.DUMMYFUNCTION("QUERY('Volunteer Survey'!J843)"),"")</f>
        <v/>
      </c>
      <c r="AJ844" s="175" t="str">
        <f ca="1">IFERROR(__xludf.DUMMYFUNCTION("QUERY('Volunteer Survey'!K843)"),"")</f>
        <v/>
      </c>
      <c r="AK844" s="175" t="str">
        <f ca="1">IFERROR(__xludf.DUMMYFUNCTION("QUERY('Volunteer Survey'!L843)"),"")</f>
        <v/>
      </c>
      <c r="AL844" s="175" t="str">
        <f ca="1">IFERROR(__xludf.DUMMYFUNCTION("QUERY('Volunteer Survey'!M843)"),"")</f>
        <v/>
      </c>
      <c r="AM844" s="175" t="str">
        <f ca="1">IFERROR(__xludf.DUMMYFUNCTION("QUERY('Volunteer Survey'!N843)"),"")</f>
        <v/>
      </c>
      <c r="AN844" s="175" t="str">
        <f ca="1">IFERROR(__xludf.DUMMYFUNCTION("QUERY('Volunteer Survey'!O843)"),"")</f>
        <v/>
      </c>
      <c r="AO844" s="175" t="str">
        <f ca="1">IFERROR(__xludf.DUMMYFUNCTION("QUERY('Volunteer Survey'!P843)"),"")</f>
        <v/>
      </c>
    </row>
    <row r="845" spans="1:41" ht="14">
      <c r="A845" s="49"/>
      <c r="B845" s="49"/>
      <c r="C845" s="47"/>
      <c r="D845" s="49"/>
      <c r="E845" s="49"/>
      <c r="F845" s="49" t="b">
        <v>0</v>
      </c>
      <c r="G845" s="49"/>
      <c r="H845" s="47"/>
      <c r="I845" s="47"/>
      <c r="J845" s="49"/>
      <c r="K845" s="49"/>
      <c r="L845" s="49"/>
      <c r="M845" s="49"/>
      <c r="N845" s="49"/>
      <c r="O845" s="49" t="b">
        <v>0</v>
      </c>
      <c r="P845" s="49"/>
      <c r="Q845" s="49"/>
      <c r="R845" s="49"/>
      <c r="S845" s="49"/>
      <c r="T845" s="49"/>
      <c r="U845" s="58"/>
      <c r="V845" s="49"/>
      <c r="W845" s="58"/>
      <c r="X845" s="49"/>
      <c r="Y845" s="47"/>
      <c r="Z845" s="175" t="str">
        <f ca="1">IFERROR(__xludf.DUMMYFUNCTION("QUERY('Volunteer Survey'!A844)"),"")</f>
        <v/>
      </c>
      <c r="AA845" s="175" t="str">
        <f ca="1">IFERROR(__xludf.DUMMYFUNCTION("QUERY('Volunteer Survey'!B844)"),"")</f>
        <v/>
      </c>
      <c r="AB845" s="175" t="str">
        <f ca="1">IFERROR(__xludf.DUMMYFUNCTION("QUERY('Volunteer Survey'!C844)"),"")</f>
        <v/>
      </c>
      <c r="AC845" s="175" t="str">
        <f ca="1">IFERROR(__xludf.DUMMYFUNCTION("QUERY('Volunteer Survey'!D844)"),"")</f>
        <v/>
      </c>
      <c r="AD845" s="175" t="str">
        <f ca="1">IFERROR(__xludf.DUMMYFUNCTION("QUERY('Volunteer Survey'!E844)"),"")</f>
        <v/>
      </c>
      <c r="AE845" s="175" t="str">
        <f ca="1">IFERROR(__xludf.DUMMYFUNCTION("QUERY('Volunteer Survey'!F844)"),"")</f>
        <v/>
      </c>
      <c r="AF845" s="175" t="str">
        <f ca="1">IFERROR(__xludf.DUMMYFUNCTION("QUERY('Volunteer Survey'!G844)"),"")</f>
        <v/>
      </c>
      <c r="AG845" s="175" t="str">
        <f ca="1">IFERROR(__xludf.DUMMYFUNCTION("QUERY('Volunteer Survey'!H844)"),"")</f>
        <v/>
      </c>
      <c r="AH845" s="175" t="str">
        <f ca="1">IFERROR(__xludf.DUMMYFUNCTION("QUERY('Volunteer Survey'!I844)"),"")</f>
        <v/>
      </c>
      <c r="AI845" s="175" t="str">
        <f ca="1">IFERROR(__xludf.DUMMYFUNCTION("QUERY('Volunteer Survey'!J844)"),"")</f>
        <v/>
      </c>
      <c r="AJ845" s="175" t="str">
        <f ca="1">IFERROR(__xludf.DUMMYFUNCTION("QUERY('Volunteer Survey'!K844)"),"")</f>
        <v/>
      </c>
      <c r="AK845" s="175" t="str">
        <f ca="1">IFERROR(__xludf.DUMMYFUNCTION("QUERY('Volunteer Survey'!L844)"),"")</f>
        <v/>
      </c>
      <c r="AL845" s="175" t="str">
        <f ca="1">IFERROR(__xludf.DUMMYFUNCTION("QUERY('Volunteer Survey'!M844)"),"")</f>
        <v/>
      </c>
      <c r="AM845" s="175" t="str">
        <f ca="1">IFERROR(__xludf.DUMMYFUNCTION("QUERY('Volunteer Survey'!N844)"),"")</f>
        <v/>
      </c>
      <c r="AN845" s="175" t="str">
        <f ca="1">IFERROR(__xludf.DUMMYFUNCTION("QUERY('Volunteer Survey'!O844)"),"")</f>
        <v/>
      </c>
      <c r="AO845" s="175" t="str">
        <f ca="1">IFERROR(__xludf.DUMMYFUNCTION("QUERY('Volunteer Survey'!P844)"),"")</f>
        <v/>
      </c>
    </row>
    <row r="846" spans="1:41" ht="14">
      <c r="A846" s="49"/>
      <c r="B846" s="49"/>
      <c r="C846" s="47"/>
      <c r="D846" s="49"/>
      <c r="E846" s="49"/>
      <c r="F846" s="49" t="b">
        <v>0</v>
      </c>
      <c r="G846" s="49"/>
      <c r="H846" s="47"/>
      <c r="I846" s="47"/>
      <c r="J846" s="49"/>
      <c r="K846" s="49"/>
      <c r="L846" s="49"/>
      <c r="M846" s="49"/>
      <c r="N846" s="49"/>
      <c r="O846" s="49" t="b">
        <v>0</v>
      </c>
      <c r="P846" s="49"/>
      <c r="Q846" s="49"/>
      <c r="R846" s="49"/>
      <c r="S846" s="49"/>
      <c r="T846" s="49"/>
      <c r="U846" s="58"/>
      <c r="V846" s="49"/>
      <c r="W846" s="58"/>
      <c r="X846" s="49"/>
      <c r="Y846" s="47"/>
      <c r="Z846" s="175" t="str">
        <f ca="1">IFERROR(__xludf.DUMMYFUNCTION("QUERY('Volunteer Survey'!A845)"),"")</f>
        <v/>
      </c>
      <c r="AA846" s="175" t="str">
        <f ca="1">IFERROR(__xludf.DUMMYFUNCTION("QUERY('Volunteer Survey'!B845)"),"")</f>
        <v/>
      </c>
      <c r="AB846" s="175" t="str">
        <f ca="1">IFERROR(__xludf.DUMMYFUNCTION("QUERY('Volunteer Survey'!C845)"),"")</f>
        <v/>
      </c>
      <c r="AC846" s="175" t="str">
        <f ca="1">IFERROR(__xludf.DUMMYFUNCTION("QUERY('Volunteer Survey'!D845)"),"")</f>
        <v/>
      </c>
      <c r="AD846" s="175" t="str">
        <f ca="1">IFERROR(__xludf.DUMMYFUNCTION("QUERY('Volunteer Survey'!E845)"),"")</f>
        <v/>
      </c>
      <c r="AE846" s="175" t="str">
        <f ca="1">IFERROR(__xludf.DUMMYFUNCTION("QUERY('Volunteer Survey'!F845)"),"")</f>
        <v/>
      </c>
      <c r="AF846" s="175" t="str">
        <f ca="1">IFERROR(__xludf.DUMMYFUNCTION("QUERY('Volunteer Survey'!G845)"),"")</f>
        <v/>
      </c>
      <c r="AG846" s="175" t="str">
        <f ca="1">IFERROR(__xludf.DUMMYFUNCTION("QUERY('Volunteer Survey'!H845)"),"")</f>
        <v/>
      </c>
      <c r="AH846" s="175" t="str">
        <f ca="1">IFERROR(__xludf.DUMMYFUNCTION("QUERY('Volunteer Survey'!I845)"),"")</f>
        <v/>
      </c>
      <c r="AI846" s="175" t="str">
        <f ca="1">IFERROR(__xludf.DUMMYFUNCTION("QUERY('Volunteer Survey'!J845)"),"")</f>
        <v/>
      </c>
      <c r="AJ846" s="175" t="str">
        <f ca="1">IFERROR(__xludf.DUMMYFUNCTION("QUERY('Volunteer Survey'!K845)"),"")</f>
        <v/>
      </c>
      <c r="AK846" s="175" t="str">
        <f ca="1">IFERROR(__xludf.DUMMYFUNCTION("QUERY('Volunteer Survey'!L845)"),"")</f>
        <v/>
      </c>
      <c r="AL846" s="175" t="str">
        <f ca="1">IFERROR(__xludf.DUMMYFUNCTION("QUERY('Volunteer Survey'!M845)"),"")</f>
        <v/>
      </c>
      <c r="AM846" s="175" t="str">
        <f ca="1">IFERROR(__xludf.DUMMYFUNCTION("QUERY('Volunteer Survey'!N845)"),"")</f>
        <v/>
      </c>
      <c r="AN846" s="175" t="str">
        <f ca="1">IFERROR(__xludf.DUMMYFUNCTION("QUERY('Volunteer Survey'!O845)"),"")</f>
        <v/>
      </c>
      <c r="AO846" s="175" t="str">
        <f ca="1">IFERROR(__xludf.DUMMYFUNCTION("QUERY('Volunteer Survey'!P845)"),"")</f>
        <v/>
      </c>
    </row>
    <row r="847" spans="1:41" ht="14">
      <c r="A847" s="49"/>
      <c r="B847" s="49"/>
      <c r="C847" s="47"/>
      <c r="D847" s="49"/>
      <c r="E847" s="49"/>
      <c r="F847" s="49" t="b">
        <v>0</v>
      </c>
      <c r="G847" s="49"/>
      <c r="H847" s="47"/>
      <c r="I847" s="47"/>
      <c r="J847" s="49"/>
      <c r="K847" s="49"/>
      <c r="L847" s="49"/>
      <c r="M847" s="49"/>
      <c r="N847" s="49"/>
      <c r="O847" s="49" t="b">
        <v>0</v>
      </c>
      <c r="P847" s="49"/>
      <c r="Q847" s="49"/>
      <c r="R847" s="49"/>
      <c r="S847" s="49"/>
      <c r="T847" s="49"/>
      <c r="U847" s="58"/>
      <c r="V847" s="49"/>
      <c r="W847" s="58"/>
      <c r="X847" s="49"/>
      <c r="Y847" s="47"/>
      <c r="Z847" s="175" t="str">
        <f ca="1">IFERROR(__xludf.DUMMYFUNCTION("QUERY('Volunteer Survey'!A846)"),"")</f>
        <v/>
      </c>
      <c r="AA847" s="175" t="str">
        <f ca="1">IFERROR(__xludf.DUMMYFUNCTION("QUERY('Volunteer Survey'!B846)"),"")</f>
        <v/>
      </c>
      <c r="AB847" s="175" t="str">
        <f ca="1">IFERROR(__xludf.DUMMYFUNCTION("QUERY('Volunteer Survey'!C846)"),"")</f>
        <v/>
      </c>
      <c r="AC847" s="175" t="str">
        <f ca="1">IFERROR(__xludf.DUMMYFUNCTION("QUERY('Volunteer Survey'!D846)"),"")</f>
        <v/>
      </c>
      <c r="AD847" s="175" t="str">
        <f ca="1">IFERROR(__xludf.DUMMYFUNCTION("QUERY('Volunteer Survey'!E846)"),"")</f>
        <v/>
      </c>
      <c r="AE847" s="175" t="str">
        <f ca="1">IFERROR(__xludf.DUMMYFUNCTION("QUERY('Volunteer Survey'!F846)"),"")</f>
        <v/>
      </c>
      <c r="AF847" s="175" t="str">
        <f ca="1">IFERROR(__xludf.DUMMYFUNCTION("QUERY('Volunteer Survey'!G846)"),"")</f>
        <v/>
      </c>
      <c r="AG847" s="175" t="str">
        <f ca="1">IFERROR(__xludf.DUMMYFUNCTION("QUERY('Volunteer Survey'!H846)"),"")</f>
        <v/>
      </c>
      <c r="AH847" s="175" t="str">
        <f ca="1">IFERROR(__xludf.DUMMYFUNCTION("QUERY('Volunteer Survey'!I846)"),"")</f>
        <v/>
      </c>
      <c r="AI847" s="175" t="str">
        <f ca="1">IFERROR(__xludf.DUMMYFUNCTION("QUERY('Volunteer Survey'!J846)"),"")</f>
        <v/>
      </c>
      <c r="AJ847" s="175" t="str">
        <f ca="1">IFERROR(__xludf.DUMMYFUNCTION("QUERY('Volunteer Survey'!K846)"),"")</f>
        <v/>
      </c>
      <c r="AK847" s="175" t="str">
        <f ca="1">IFERROR(__xludf.DUMMYFUNCTION("QUERY('Volunteer Survey'!L846)"),"")</f>
        <v/>
      </c>
      <c r="AL847" s="175" t="str">
        <f ca="1">IFERROR(__xludf.DUMMYFUNCTION("QUERY('Volunteer Survey'!M846)"),"")</f>
        <v/>
      </c>
      <c r="AM847" s="175" t="str">
        <f ca="1">IFERROR(__xludf.DUMMYFUNCTION("QUERY('Volunteer Survey'!N846)"),"")</f>
        <v/>
      </c>
      <c r="AN847" s="175" t="str">
        <f ca="1">IFERROR(__xludf.DUMMYFUNCTION("QUERY('Volunteer Survey'!O846)"),"")</f>
        <v/>
      </c>
      <c r="AO847" s="175" t="str">
        <f ca="1">IFERROR(__xludf.DUMMYFUNCTION("QUERY('Volunteer Survey'!P846)"),"")</f>
        <v/>
      </c>
    </row>
    <row r="848" spans="1:41" ht="14">
      <c r="A848" s="49"/>
      <c r="B848" s="49"/>
      <c r="C848" s="47"/>
      <c r="D848" s="49"/>
      <c r="E848" s="49"/>
      <c r="F848" s="49" t="b">
        <v>0</v>
      </c>
      <c r="G848" s="49"/>
      <c r="H848" s="47"/>
      <c r="I848" s="47"/>
      <c r="J848" s="49"/>
      <c r="K848" s="49"/>
      <c r="L848" s="49"/>
      <c r="M848" s="49"/>
      <c r="N848" s="49"/>
      <c r="O848" s="49" t="b">
        <v>0</v>
      </c>
      <c r="P848" s="49"/>
      <c r="Q848" s="49"/>
      <c r="R848" s="49"/>
      <c r="S848" s="49"/>
      <c r="T848" s="49"/>
      <c r="U848" s="58"/>
      <c r="V848" s="49"/>
      <c r="W848" s="58"/>
      <c r="X848" s="49"/>
      <c r="Y848" s="47"/>
      <c r="Z848" s="175" t="str">
        <f ca="1">IFERROR(__xludf.DUMMYFUNCTION("QUERY('Volunteer Survey'!A847)"),"")</f>
        <v/>
      </c>
      <c r="AA848" s="175" t="str">
        <f ca="1">IFERROR(__xludf.DUMMYFUNCTION("QUERY('Volunteer Survey'!B847)"),"")</f>
        <v/>
      </c>
      <c r="AB848" s="175" t="str">
        <f ca="1">IFERROR(__xludf.DUMMYFUNCTION("QUERY('Volunteer Survey'!C847)"),"")</f>
        <v/>
      </c>
      <c r="AC848" s="175" t="str">
        <f ca="1">IFERROR(__xludf.DUMMYFUNCTION("QUERY('Volunteer Survey'!D847)"),"")</f>
        <v/>
      </c>
      <c r="AD848" s="175" t="str">
        <f ca="1">IFERROR(__xludf.DUMMYFUNCTION("QUERY('Volunteer Survey'!E847)"),"")</f>
        <v/>
      </c>
      <c r="AE848" s="175" t="str">
        <f ca="1">IFERROR(__xludf.DUMMYFUNCTION("QUERY('Volunteer Survey'!F847)"),"")</f>
        <v/>
      </c>
      <c r="AF848" s="175" t="str">
        <f ca="1">IFERROR(__xludf.DUMMYFUNCTION("QUERY('Volunteer Survey'!G847)"),"")</f>
        <v/>
      </c>
      <c r="AG848" s="175" t="str">
        <f ca="1">IFERROR(__xludf.DUMMYFUNCTION("QUERY('Volunteer Survey'!H847)"),"")</f>
        <v/>
      </c>
      <c r="AH848" s="175" t="str">
        <f ca="1">IFERROR(__xludf.DUMMYFUNCTION("QUERY('Volunteer Survey'!I847)"),"")</f>
        <v/>
      </c>
      <c r="AI848" s="175" t="str">
        <f ca="1">IFERROR(__xludf.DUMMYFUNCTION("QUERY('Volunteer Survey'!J847)"),"")</f>
        <v/>
      </c>
      <c r="AJ848" s="175" t="str">
        <f ca="1">IFERROR(__xludf.DUMMYFUNCTION("QUERY('Volunteer Survey'!K847)"),"")</f>
        <v/>
      </c>
      <c r="AK848" s="175" t="str">
        <f ca="1">IFERROR(__xludf.DUMMYFUNCTION("QUERY('Volunteer Survey'!L847)"),"")</f>
        <v/>
      </c>
      <c r="AL848" s="175" t="str">
        <f ca="1">IFERROR(__xludf.DUMMYFUNCTION("QUERY('Volunteer Survey'!M847)"),"")</f>
        <v/>
      </c>
      <c r="AM848" s="175" t="str">
        <f ca="1">IFERROR(__xludf.DUMMYFUNCTION("QUERY('Volunteer Survey'!N847)"),"")</f>
        <v/>
      </c>
      <c r="AN848" s="175" t="str">
        <f ca="1">IFERROR(__xludf.DUMMYFUNCTION("QUERY('Volunteer Survey'!O847)"),"")</f>
        <v/>
      </c>
      <c r="AO848" s="175" t="str">
        <f ca="1">IFERROR(__xludf.DUMMYFUNCTION("QUERY('Volunteer Survey'!P847)"),"")</f>
        <v/>
      </c>
    </row>
    <row r="849" spans="1:41" ht="14">
      <c r="A849" s="49"/>
      <c r="B849" s="49"/>
      <c r="C849" s="47"/>
      <c r="D849" s="49"/>
      <c r="E849" s="49"/>
      <c r="F849" s="49" t="b">
        <v>0</v>
      </c>
      <c r="G849" s="49"/>
      <c r="H849" s="47"/>
      <c r="I849" s="47"/>
      <c r="J849" s="49"/>
      <c r="K849" s="49"/>
      <c r="L849" s="49"/>
      <c r="M849" s="49"/>
      <c r="N849" s="49"/>
      <c r="O849" s="49" t="b">
        <v>0</v>
      </c>
      <c r="P849" s="49"/>
      <c r="Q849" s="49"/>
      <c r="R849" s="49"/>
      <c r="S849" s="49"/>
      <c r="T849" s="49"/>
      <c r="U849" s="58"/>
      <c r="V849" s="49"/>
      <c r="W849" s="58"/>
      <c r="X849" s="49"/>
      <c r="Y849" s="47"/>
      <c r="Z849" s="175" t="str">
        <f ca="1">IFERROR(__xludf.DUMMYFUNCTION("QUERY('Volunteer Survey'!A848)"),"")</f>
        <v/>
      </c>
      <c r="AA849" s="175" t="str">
        <f ca="1">IFERROR(__xludf.DUMMYFUNCTION("QUERY('Volunteer Survey'!B848)"),"")</f>
        <v/>
      </c>
      <c r="AB849" s="175" t="str">
        <f ca="1">IFERROR(__xludf.DUMMYFUNCTION("QUERY('Volunteer Survey'!C848)"),"")</f>
        <v/>
      </c>
      <c r="AC849" s="175" t="str">
        <f ca="1">IFERROR(__xludf.DUMMYFUNCTION("QUERY('Volunteer Survey'!D848)"),"")</f>
        <v/>
      </c>
      <c r="AD849" s="175" t="str">
        <f ca="1">IFERROR(__xludf.DUMMYFUNCTION("QUERY('Volunteer Survey'!E848)"),"")</f>
        <v/>
      </c>
      <c r="AE849" s="175" t="str">
        <f ca="1">IFERROR(__xludf.DUMMYFUNCTION("QUERY('Volunteer Survey'!F848)"),"")</f>
        <v/>
      </c>
      <c r="AF849" s="175" t="str">
        <f ca="1">IFERROR(__xludf.DUMMYFUNCTION("QUERY('Volunteer Survey'!G848)"),"")</f>
        <v/>
      </c>
      <c r="AG849" s="175" t="str">
        <f ca="1">IFERROR(__xludf.DUMMYFUNCTION("QUERY('Volunteer Survey'!H848)"),"")</f>
        <v/>
      </c>
      <c r="AH849" s="175" t="str">
        <f ca="1">IFERROR(__xludf.DUMMYFUNCTION("QUERY('Volunteer Survey'!I848)"),"")</f>
        <v/>
      </c>
      <c r="AI849" s="175" t="str">
        <f ca="1">IFERROR(__xludf.DUMMYFUNCTION("QUERY('Volunteer Survey'!J848)"),"")</f>
        <v/>
      </c>
      <c r="AJ849" s="175" t="str">
        <f ca="1">IFERROR(__xludf.DUMMYFUNCTION("QUERY('Volunteer Survey'!K848)"),"")</f>
        <v/>
      </c>
      <c r="AK849" s="175" t="str">
        <f ca="1">IFERROR(__xludf.DUMMYFUNCTION("QUERY('Volunteer Survey'!L848)"),"")</f>
        <v/>
      </c>
      <c r="AL849" s="175" t="str">
        <f ca="1">IFERROR(__xludf.DUMMYFUNCTION("QUERY('Volunteer Survey'!M848)"),"")</f>
        <v/>
      </c>
      <c r="AM849" s="175" t="str">
        <f ca="1">IFERROR(__xludf.DUMMYFUNCTION("QUERY('Volunteer Survey'!N848)"),"")</f>
        <v/>
      </c>
      <c r="AN849" s="175" t="str">
        <f ca="1">IFERROR(__xludf.DUMMYFUNCTION("QUERY('Volunteer Survey'!O848)"),"")</f>
        <v/>
      </c>
      <c r="AO849" s="175" t="str">
        <f ca="1">IFERROR(__xludf.DUMMYFUNCTION("QUERY('Volunteer Survey'!P848)"),"")</f>
        <v/>
      </c>
    </row>
    <row r="850" spans="1:41" ht="14">
      <c r="A850" s="49"/>
      <c r="B850" s="49"/>
      <c r="C850" s="47"/>
      <c r="D850" s="49"/>
      <c r="E850" s="49"/>
      <c r="F850" s="49" t="b">
        <v>0</v>
      </c>
      <c r="G850" s="49"/>
      <c r="H850" s="47"/>
      <c r="I850" s="47"/>
      <c r="J850" s="49"/>
      <c r="K850" s="49"/>
      <c r="L850" s="49"/>
      <c r="M850" s="49"/>
      <c r="N850" s="49"/>
      <c r="O850" s="49" t="b">
        <v>0</v>
      </c>
      <c r="P850" s="49"/>
      <c r="Q850" s="49"/>
      <c r="R850" s="49"/>
      <c r="S850" s="49"/>
      <c r="T850" s="49"/>
      <c r="U850" s="58"/>
      <c r="V850" s="49"/>
      <c r="W850" s="58"/>
      <c r="X850" s="49"/>
      <c r="Y850" s="47"/>
      <c r="Z850" s="175" t="str">
        <f ca="1">IFERROR(__xludf.DUMMYFUNCTION("QUERY('Volunteer Survey'!A849)"),"")</f>
        <v/>
      </c>
      <c r="AA850" s="175" t="str">
        <f ca="1">IFERROR(__xludf.DUMMYFUNCTION("QUERY('Volunteer Survey'!B849)"),"")</f>
        <v/>
      </c>
      <c r="AB850" s="175" t="str">
        <f ca="1">IFERROR(__xludf.DUMMYFUNCTION("QUERY('Volunteer Survey'!C849)"),"")</f>
        <v/>
      </c>
      <c r="AC850" s="175" t="str">
        <f ca="1">IFERROR(__xludf.DUMMYFUNCTION("QUERY('Volunteer Survey'!D849)"),"")</f>
        <v/>
      </c>
      <c r="AD850" s="175" t="str">
        <f ca="1">IFERROR(__xludf.DUMMYFUNCTION("QUERY('Volunteer Survey'!E849)"),"")</f>
        <v/>
      </c>
      <c r="AE850" s="175" t="str">
        <f ca="1">IFERROR(__xludf.DUMMYFUNCTION("QUERY('Volunteer Survey'!F849)"),"")</f>
        <v/>
      </c>
      <c r="AF850" s="175" t="str">
        <f ca="1">IFERROR(__xludf.DUMMYFUNCTION("QUERY('Volunteer Survey'!G849)"),"")</f>
        <v/>
      </c>
      <c r="AG850" s="175" t="str">
        <f ca="1">IFERROR(__xludf.DUMMYFUNCTION("QUERY('Volunteer Survey'!H849)"),"")</f>
        <v/>
      </c>
      <c r="AH850" s="175" t="str">
        <f ca="1">IFERROR(__xludf.DUMMYFUNCTION("QUERY('Volunteer Survey'!I849)"),"")</f>
        <v/>
      </c>
      <c r="AI850" s="175" t="str">
        <f ca="1">IFERROR(__xludf.DUMMYFUNCTION("QUERY('Volunteer Survey'!J849)"),"")</f>
        <v/>
      </c>
      <c r="AJ850" s="175" t="str">
        <f ca="1">IFERROR(__xludf.DUMMYFUNCTION("QUERY('Volunteer Survey'!K849)"),"")</f>
        <v/>
      </c>
      <c r="AK850" s="175" t="str">
        <f ca="1">IFERROR(__xludf.DUMMYFUNCTION("QUERY('Volunteer Survey'!L849)"),"")</f>
        <v/>
      </c>
      <c r="AL850" s="175" t="str">
        <f ca="1">IFERROR(__xludf.DUMMYFUNCTION("QUERY('Volunteer Survey'!M849)"),"")</f>
        <v/>
      </c>
      <c r="AM850" s="175" t="str">
        <f ca="1">IFERROR(__xludf.DUMMYFUNCTION("QUERY('Volunteer Survey'!N849)"),"")</f>
        <v/>
      </c>
      <c r="AN850" s="175" t="str">
        <f ca="1">IFERROR(__xludf.DUMMYFUNCTION("QUERY('Volunteer Survey'!O849)"),"")</f>
        <v/>
      </c>
      <c r="AO850" s="175" t="str">
        <f ca="1">IFERROR(__xludf.DUMMYFUNCTION("QUERY('Volunteer Survey'!P849)"),"")</f>
        <v/>
      </c>
    </row>
    <row r="851" spans="1:41" ht="14">
      <c r="A851" s="49"/>
      <c r="B851" s="49"/>
      <c r="C851" s="47"/>
      <c r="D851" s="49"/>
      <c r="E851" s="49"/>
      <c r="F851" s="49" t="b">
        <v>0</v>
      </c>
      <c r="G851" s="49"/>
      <c r="H851" s="47"/>
      <c r="I851" s="47"/>
      <c r="J851" s="49"/>
      <c r="K851" s="49"/>
      <c r="L851" s="49"/>
      <c r="M851" s="49"/>
      <c r="N851" s="49"/>
      <c r="O851" s="49" t="b">
        <v>0</v>
      </c>
      <c r="P851" s="49"/>
      <c r="Q851" s="49"/>
      <c r="R851" s="49"/>
      <c r="S851" s="49"/>
      <c r="T851" s="49"/>
      <c r="U851" s="58"/>
      <c r="V851" s="49"/>
      <c r="W851" s="58"/>
      <c r="X851" s="49"/>
      <c r="Y851" s="47"/>
      <c r="Z851" s="175" t="str">
        <f ca="1">IFERROR(__xludf.DUMMYFUNCTION("QUERY('Volunteer Survey'!A850)"),"")</f>
        <v/>
      </c>
      <c r="AA851" s="175" t="str">
        <f ca="1">IFERROR(__xludf.DUMMYFUNCTION("QUERY('Volunteer Survey'!B850)"),"")</f>
        <v/>
      </c>
      <c r="AB851" s="175" t="str">
        <f ca="1">IFERROR(__xludf.DUMMYFUNCTION("QUERY('Volunteer Survey'!C850)"),"")</f>
        <v/>
      </c>
      <c r="AC851" s="175" t="str">
        <f ca="1">IFERROR(__xludf.DUMMYFUNCTION("QUERY('Volunteer Survey'!D850)"),"")</f>
        <v/>
      </c>
      <c r="AD851" s="175" t="str">
        <f ca="1">IFERROR(__xludf.DUMMYFUNCTION("QUERY('Volunteer Survey'!E850)"),"")</f>
        <v/>
      </c>
      <c r="AE851" s="175" t="str">
        <f ca="1">IFERROR(__xludf.DUMMYFUNCTION("QUERY('Volunteer Survey'!F850)"),"")</f>
        <v/>
      </c>
      <c r="AF851" s="175" t="str">
        <f ca="1">IFERROR(__xludf.DUMMYFUNCTION("QUERY('Volunteer Survey'!G850)"),"")</f>
        <v/>
      </c>
      <c r="AG851" s="175" t="str">
        <f ca="1">IFERROR(__xludf.DUMMYFUNCTION("QUERY('Volunteer Survey'!H850)"),"")</f>
        <v/>
      </c>
      <c r="AH851" s="175" t="str">
        <f ca="1">IFERROR(__xludf.DUMMYFUNCTION("QUERY('Volunteer Survey'!I850)"),"")</f>
        <v/>
      </c>
      <c r="AI851" s="175" t="str">
        <f ca="1">IFERROR(__xludf.DUMMYFUNCTION("QUERY('Volunteer Survey'!J850)"),"")</f>
        <v/>
      </c>
      <c r="AJ851" s="175" t="str">
        <f ca="1">IFERROR(__xludf.DUMMYFUNCTION("QUERY('Volunteer Survey'!K850)"),"")</f>
        <v/>
      </c>
      <c r="AK851" s="175" t="str">
        <f ca="1">IFERROR(__xludf.DUMMYFUNCTION("QUERY('Volunteer Survey'!L850)"),"")</f>
        <v/>
      </c>
      <c r="AL851" s="175" t="str">
        <f ca="1">IFERROR(__xludf.DUMMYFUNCTION("QUERY('Volunteer Survey'!M850)"),"")</f>
        <v/>
      </c>
      <c r="AM851" s="175" t="str">
        <f ca="1">IFERROR(__xludf.DUMMYFUNCTION("QUERY('Volunteer Survey'!N850)"),"")</f>
        <v/>
      </c>
      <c r="AN851" s="175" t="str">
        <f ca="1">IFERROR(__xludf.DUMMYFUNCTION("QUERY('Volunteer Survey'!O850)"),"")</f>
        <v/>
      </c>
      <c r="AO851" s="175" t="str">
        <f ca="1">IFERROR(__xludf.DUMMYFUNCTION("QUERY('Volunteer Survey'!P850)"),"")</f>
        <v/>
      </c>
    </row>
    <row r="852" spans="1:41" ht="14">
      <c r="A852" s="49"/>
      <c r="B852" s="49"/>
      <c r="C852" s="47"/>
      <c r="D852" s="49"/>
      <c r="E852" s="49"/>
      <c r="F852" s="49" t="b">
        <v>0</v>
      </c>
      <c r="G852" s="49"/>
      <c r="H852" s="47"/>
      <c r="I852" s="47"/>
      <c r="J852" s="49"/>
      <c r="K852" s="49"/>
      <c r="L852" s="49"/>
      <c r="M852" s="49"/>
      <c r="N852" s="49"/>
      <c r="O852" s="49" t="b">
        <v>0</v>
      </c>
      <c r="P852" s="49"/>
      <c r="Q852" s="49"/>
      <c r="R852" s="49"/>
      <c r="S852" s="49"/>
      <c r="T852" s="49"/>
      <c r="U852" s="58"/>
      <c r="V852" s="49"/>
      <c r="W852" s="58"/>
      <c r="X852" s="49"/>
      <c r="Y852" s="47"/>
      <c r="Z852" s="175" t="str">
        <f ca="1">IFERROR(__xludf.DUMMYFUNCTION("QUERY('Volunteer Survey'!A851)"),"")</f>
        <v/>
      </c>
      <c r="AA852" s="175" t="str">
        <f ca="1">IFERROR(__xludf.DUMMYFUNCTION("QUERY('Volunteer Survey'!B851)"),"")</f>
        <v/>
      </c>
      <c r="AB852" s="175" t="str">
        <f ca="1">IFERROR(__xludf.DUMMYFUNCTION("QUERY('Volunteer Survey'!C851)"),"")</f>
        <v/>
      </c>
      <c r="AC852" s="175" t="str">
        <f ca="1">IFERROR(__xludf.DUMMYFUNCTION("QUERY('Volunteer Survey'!D851)"),"")</f>
        <v/>
      </c>
      <c r="AD852" s="175" t="str">
        <f ca="1">IFERROR(__xludf.DUMMYFUNCTION("QUERY('Volunteer Survey'!E851)"),"")</f>
        <v/>
      </c>
      <c r="AE852" s="175" t="str">
        <f ca="1">IFERROR(__xludf.DUMMYFUNCTION("QUERY('Volunteer Survey'!F851)"),"")</f>
        <v/>
      </c>
      <c r="AF852" s="175" t="str">
        <f ca="1">IFERROR(__xludf.DUMMYFUNCTION("QUERY('Volunteer Survey'!G851)"),"")</f>
        <v/>
      </c>
      <c r="AG852" s="175" t="str">
        <f ca="1">IFERROR(__xludf.DUMMYFUNCTION("QUERY('Volunteer Survey'!H851)"),"")</f>
        <v/>
      </c>
      <c r="AH852" s="175" t="str">
        <f ca="1">IFERROR(__xludf.DUMMYFUNCTION("QUERY('Volunteer Survey'!I851)"),"")</f>
        <v/>
      </c>
      <c r="AI852" s="175" t="str">
        <f ca="1">IFERROR(__xludf.DUMMYFUNCTION("QUERY('Volunteer Survey'!J851)"),"")</f>
        <v/>
      </c>
      <c r="AJ852" s="175" t="str">
        <f ca="1">IFERROR(__xludf.DUMMYFUNCTION("QUERY('Volunteer Survey'!K851)"),"")</f>
        <v/>
      </c>
      <c r="AK852" s="175" t="str">
        <f ca="1">IFERROR(__xludf.DUMMYFUNCTION("QUERY('Volunteer Survey'!L851)"),"")</f>
        <v/>
      </c>
      <c r="AL852" s="175" t="str">
        <f ca="1">IFERROR(__xludf.DUMMYFUNCTION("QUERY('Volunteer Survey'!M851)"),"")</f>
        <v/>
      </c>
      <c r="AM852" s="175" t="str">
        <f ca="1">IFERROR(__xludf.DUMMYFUNCTION("QUERY('Volunteer Survey'!N851)"),"")</f>
        <v/>
      </c>
      <c r="AN852" s="175" t="str">
        <f ca="1">IFERROR(__xludf.DUMMYFUNCTION("QUERY('Volunteer Survey'!O851)"),"")</f>
        <v/>
      </c>
      <c r="AO852" s="175" t="str">
        <f ca="1">IFERROR(__xludf.DUMMYFUNCTION("QUERY('Volunteer Survey'!P851)"),"")</f>
        <v/>
      </c>
    </row>
    <row r="853" spans="1:41" ht="14">
      <c r="A853" s="49"/>
      <c r="B853" s="49"/>
      <c r="C853" s="47"/>
      <c r="D853" s="49"/>
      <c r="E853" s="49"/>
      <c r="F853" s="49" t="b">
        <v>0</v>
      </c>
      <c r="G853" s="49"/>
      <c r="H853" s="47"/>
      <c r="I853" s="47"/>
      <c r="J853" s="49"/>
      <c r="K853" s="49"/>
      <c r="L853" s="49"/>
      <c r="M853" s="49"/>
      <c r="N853" s="49"/>
      <c r="O853" s="49" t="b">
        <v>0</v>
      </c>
      <c r="P853" s="49"/>
      <c r="Q853" s="49"/>
      <c r="R853" s="49"/>
      <c r="S853" s="49"/>
      <c r="T853" s="49"/>
      <c r="U853" s="58"/>
      <c r="V853" s="49"/>
      <c r="W853" s="58"/>
      <c r="X853" s="49"/>
      <c r="Y853" s="47"/>
      <c r="Z853" s="175" t="str">
        <f ca="1">IFERROR(__xludf.DUMMYFUNCTION("QUERY('Volunteer Survey'!A852)"),"")</f>
        <v/>
      </c>
      <c r="AA853" s="175" t="str">
        <f ca="1">IFERROR(__xludf.DUMMYFUNCTION("QUERY('Volunteer Survey'!B852)"),"")</f>
        <v/>
      </c>
      <c r="AB853" s="175" t="str">
        <f ca="1">IFERROR(__xludf.DUMMYFUNCTION("QUERY('Volunteer Survey'!C852)"),"")</f>
        <v/>
      </c>
      <c r="AC853" s="175" t="str">
        <f ca="1">IFERROR(__xludf.DUMMYFUNCTION("QUERY('Volunteer Survey'!D852)"),"")</f>
        <v/>
      </c>
      <c r="AD853" s="175" t="str">
        <f ca="1">IFERROR(__xludf.DUMMYFUNCTION("QUERY('Volunteer Survey'!E852)"),"")</f>
        <v/>
      </c>
      <c r="AE853" s="175" t="str">
        <f ca="1">IFERROR(__xludf.DUMMYFUNCTION("QUERY('Volunteer Survey'!F852)"),"")</f>
        <v/>
      </c>
      <c r="AF853" s="175" t="str">
        <f ca="1">IFERROR(__xludf.DUMMYFUNCTION("QUERY('Volunteer Survey'!G852)"),"")</f>
        <v/>
      </c>
      <c r="AG853" s="175" t="str">
        <f ca="1">IFERROR(__xludf.DUMMYFUNCTION("QUERY('Volunteer Survey'!H852)"),"")</f>
        <v/>
      </c>
      <c r="AH853" s="175" t="str">
        <f ca="1">IFERROR(__xludf.DUMMYFUNCTION("QUERY('Volunteer Survey'!I852)"),"")</f>
        <v/>
      </c>
      <c r="AI853" s="175" t="str">
        <f ca="1">IFERROR(__xludf.DUMMYFUNCTION("QUERY('Volunteer Survey'!J852)"),"")</f>
        <v/>
      </c>
      <c r="AJ853" s="175" t="str">
        <f ca="1">IFERROR(__xludf.DUMMYFUNCTION("QUERY('Volunteer Survey'!K852)"),"")</f>
        <v/>
      </c>
      <c r="AK853" s="175" t="str">
        <f ca="1">IFERROR(__xludf.DUMMYFUNCTION("QUERY('Volunteer Survey'!L852)"),"")</f>
        <v/>
      </c>
      <c r="AL853" s="175" t="str">
        <f ca="1">IFERROR(__xludf.DUMMYFUNCTION("QUERY('Volunteer Survey'!M852)"),"")</f>
        <v/>
      </c>
      <c r="AM853" s="175" t="str">
        <f ca="1">IFERROR(__xludf.DUMMYFUNCTION("QUERY('Volunteer Survey'!N852)"),"")</f>
        <v/>
      </c>
      <c r="AN853" s="175" t="str">
        <f ca="1">IFERROR(__xludf.DUMMYFUNCTION("QUERY('Volunteer Survey'!O852)"),"")</f>
        <v/>
      </c>
      <c r="AO853" s="175" t="str">
        <f ca="1">IFERROR(__xludf.DUMMYFUNCTION("QUERY('Volunteer Survey'!P852)"),"")</f>
        <v/>
      </c>
    </row>
    <row r="854" spans="1:41" ht="14">
      <c r="A854" s="49"/>
      <c r="B854" s="49"/>
      <c r="C854" s="47"/>
      <c r="D854" s="49"/>
      <c r="E854" s="49"/>
      <c r="F854" s="49" t="b">
        <v>0</v>
      </c>
      <c r="G854" s="49"/>
      <c r="H854" s="47"/>
      <c r="I854" s="47"/>
      <c r="J854" s="49"/>
      <c r="K854" s="49"/>
      <c r="L854" s="49"/>
      <c r="M854" s="49"/>
      <c r="N854" s="49"/>
      <c r="O854" s="49" t="b">
        <v>0</v>
      </c>
      <c r="P854" s="49"/>
      <c r="Q854" s="49"/>
      <c r="R854" s="49"/>
      <c r="S854" s="49"/>
      <c r="T854" s="49"/>
      <c r="U854" s="58"/>
      <c r="V854" s="49"/>
      <c r="W854" s="58"/>
      <c r="X854" s="49"/>
      <c r="Y854" s="47"/>
      <c r="Z854" s="175" t="str">
        <f ca="1">IFERROR(__xludf.DUMMYFUNCTION("QUERY('Volunteer Survey'!A853)"),"")</f>
        <v/>
      </c>
      <c r="AA854" s="175" t="str">
        <f ca="1">IFERROR(__xludf.DUMMYFUNCTION("QUERY('Volunteer Survey'!B853)"),"")</f>
        <v/>
      </c>
      <c r="AB854" s="175" t="str">
        <f ca="1">IFERROR(__xludf.DUMMYFUNCTION("QUERY('Volunteer Survey'!C853)"),"")</f>
        <v/>
      </c>
      <c r="AC854" s="175" t="str">
        <f ca="1">IFERROR(__xludf.DUMMYFUNCTION("QUERY('Volunteer Survey'!D853)"),"")</f>
        <v/>
      </c>
      <c r="AD854" s="175" t="str">
        <f ca="1">IFERROR(__xludf.DUMMYFUNCTION("QUERY('Volunteer Survey'!E853)"),"")</f>
        <v/>
      </c>
      <c r="AE854" s="175" t="str">
        <f ca="1">IFERROR(__xludf.DUMMYFUNCTION("QUERY('Volunteer Survey'!F853)"),"")</f>
        <v/>
      </c>
      <c r="AF854" s="175" t="str">
        <f ca="1">IFERROR(__xludf.DUMMYFUNCTION("QUERY('Volunteer Survey'!G853)"),"")</f>
        <v/>
      </c>
      <c r="AG854" s="175" t="str">
        <f ca="1">IFERROR(__xludf.DUMMYFUNCTION("QUERY('Volunteer Survey'!H853)"),"")</f>
        <v/>
      </c>
      <c r="AH854" s="175" t="str">
        <f ca="1">IFERROR(__xludf.DUMMYFUNCTION("QUERY('Volunteer Survey'!I853)"),"")</f>
        <v/>
      </c>
      <c r="AI854" s="175" t="str">
        <f ca="1">IFERROR(__xludf.DUMMYFUNCTION("QUERY('Volunteer Survey'!J853)"),"")</f>
        <v/>
      </c>
      <c r="AJ854" s="175" t="str">
        <f ca="1">IFERROR(__xludf.DUMMYFUNCTION("QUERY('Volunteer Survey'!K853)"),"")</f>
        <v/>
      </c>
      <c r="AK854" s="175" t="str">
        <f ca="1">IFERROR(__xludf.DUMMYFUNCTION("QUERY('Volunteer Survey'!L853)"),"")</f>
        <v/>
      </c>
      <c r="AL854" s="175" t="str">
        <f ca="1">IFERROR(__xludf.DUMMYFUNCTION("QUERY('Volunteer Survey'!M853)"),"")</f>
        <v/>
      </c>
      <c r="AM854" s="175" t="str">
        <f ca="1">IFERROR(__xludf.DUMMYFUNCTION("QUERY('Volunteer Survey'!N853)"),"")</f>
        <v/>
      </c>
      <c r="AN854" s="175" t="str">
        <f ca="1">IFERROR(__xludf.DUMMYFUNCTION("QUERY('Volunteer Survey'!O853)"),"")</f>
        <v/>
      </c>
      <c r="AO854" s="175" t="str">
        <f ca="1">IFERROR(__xludf.DUMMYFUNCTION("QUERY('Volunteer Survey'!P853)"),"")</f>
        <v/>
      </c>
    </row>
    <row r="855" spans="1:41" ht="14">
      <c r="A855" s="49"/>
      <c r="B855" s="49"/>
      <c r="C855" s="47"/>
      <c r="D855" s="49"/>
      <c r="E855" s="49"/>
      <c r="F855" s="49" t="b">
        <v>0</v>
      </c>
      <c r="G855" s="49"/>
      <c r="H855" s="47"/>
      <c r="I855" s="47"/>
      <c r="J855" s="49"/>
      <c r="K855" s="49"/>
      <c r="L855" s="49"/>
      <c r="M855" s="49"/>
      <c r="N855" s="49"/>
      <c r="O855" s="49" t="b">
        <v>0</v>
      </c>
      <c r="P855" s="49"/>
      <c r="Q855" s="49"/>
      <c r="R855" s="49"/>
      <c r="S855" s="49"/>
      <c r="T855" s="49"/>
      <c r="U855" s="58"/>
      <c r="V855" s="49"/>
      <c r="W855" s="58"/>
      <c r="X855" s="49"/>
      <c r="Y855" s="47"/>
      <c r="Z855" s="175" t="str">
        <f ca="1">IFERROR(__xludf.DUMMYFUNCTION("QUERY('Volunteer Survey'!A854)"),"")</f>
        <v/>
      </c>
      <c r="AA855" s="175" t="str">
        <f ca="1">IFERROR(__xludf.DUMMYFUNCTION("QUERY('Volunteer Survey'!B854)"),"")</f>
        <v/>
      </c>
      <c r="AB855" s="175" t="str">
        <f ca="1">IFERROR(__xludf.DUMMYFUNCTION("QUERY('Volunteer Survey'!C854)"),"")</f>
        <v/>
      </c>
      <c r="AC855" s="175" t="str">
        <f ca="1">IFERROR(__xludf.DUMMYFUNCTION("QUERY('Volunteer Survey'!D854)"),"")</f>
        <v/>
      </c>
      <c r="AD855" s="175" t="str">
        <f ca="1">IFERROR(__xludf.DUMMYFUNCTION("QUERY('Volunteer Survey'!E854)"),"")</f>
        <v/>
      </c>
      <c r="AE855" s="175" t="str">
        <f ca="1">IFERROR(__xludf.DUMMYFUNCTION("QUERY('Volunteer Survey'!F854)"),"")</f>
        <v/>
      </c>
      <c r="AF855" s="175" t="str">
        <f ca="1">IFERROR(__xludf.DUMMYFUNCTION("QUERY('Volunteer Survey'!G854)"),"")</f>
        <v/>
      </c>
      <c r="AG855" s="175" t="str">
        <f ca="1">IFERROR(__xludf.DUMMYFUNCTION("QUERY('Volunteer Survey'!H854)"),"")</f>
        <v/>
      </c>
      <c r="AH855" s="175" t="str">
        <f ca="1">IFERROR(__xludf.DUMMYFUNCTION("QUERY('Volunteer Survey'!I854)"),"")</f>
        <v/>
      </c>
      <c r="AI855" s="175" t="str">
        <f ca="1">IFERROR(__xludf.DUMMYFUNCTION("QUERY('Volunteer Survey'!J854)"),"")</f>
        <v/>
      </c>
      <c r="AJ855" s="175" t="str">
        <f ca="1">IFERROR(__xludf.DUMMYFUNCTION("QUERY('Volunteer Survey'!K854)"),"")</f>
        <v/>
      </c>
      <c r="AK855" s="175" t="str">
        <f ca="1">IFERROR(__xludf.DUMMYFUNCTION("QUERY('Volunteer Survey'!L854)"),"")</f>
        <v/>
      </c>
      <c r="AL855" s="175" t="str">
        <f ca="1">IFERROR(__xludf.DUMMYFUNCTION("QUERY('Volunteer Survey'!M854)"),"")</f>
        <v/>
      </c>
      <c r="AM855" s="175" t="str">
        <f ca="1">IFERROR(__xludf.DUMMYFUNCTION("QUERY('Volunteer Survey'!N854)"),"")</f>
        <v/>
      </c>
      <c r="AN855" s="175" t="str">
        <f ca="1">IFERROR(__xludf.DUMMYFUNCTION("QUERY('Volunteer Survey'!O854)"),"")</f>
        <v/>
      </c>
      <c r="AO855" s="175" t="str">
        <f ca="1">IFERROR(__xludf.DUMMYFUNCTION("QUERY('Volunteer Survey'!P854)"),"")</f>
        <v/>
      </c>
    </row>
    <row r="856" spans="1:41" ht="14">
      <c r="A856" s="49"/>
      <c r="B856" s="49"/>
      <c r="C856" s="47"/>
      <c r="D856" s="49"/>
      <c r="E856" s="49"/>
      <c r="F856" s="49" t="b">
        <v>0</v>
      </c>
      <c r="G856" s="49"/>
      <c r="H856" s="47"/>
      <c r="I856" s="47"/>
      <c r="J856" s="49"/>
      <c r="K856" s="49"/>
      <c r="L856" s="49"/>
      <c r="M856" s="49"/>
      <c r="N856" s="49"/>
      <c r="O856" s="49" t="b">
        <v>0</v>
      </c>
      <c r="P856" s="49"/>
      <c r="Q856" s="49"/>
      <c r="R856" s="49"/>
      <c r="S856" s="49"/>
      <c r="T856" s="49"/>
      <c r="U856" s="58"/>
      <c r="V856" s="49"/>
      <c r="W856" s="58"/>
      <c r="X856" s="49"/>
      <c r="Y856" s="47"/>
      <c r="Z856" s="175" t="str">
        <f ca="1">IFERROR(__xludf.DUMMYFUNCTION("QUERY('Volunteer Survey'!A855)"),"")</f>
        <v/>
      </c>
      <c r="AA856" s="175" t="str">
        <f ca="1">IFERROR(__xludf.DUMMYFUNCTION("QUERY('Volunteer Survey'!B855)"),"")</f>
        <v/>
      </c>
      <c r="AB856" s="175" t="str">
        <f ca="1">IFERROR(__xludf.DUMMYFUNCTION("QUERY('Volunteer Survey'!C855)"),"")</f>
        <v/>
      </c>
      <c r="AC856" s="175" t="str">
        <f ca="1">IFERROR(__xludf.DUMMYFUNCTION("QUERY('Volunteer Survey'!D855)"),"")</f>
        <v/>
      </c>
      <c r="AD856" s="175" t="str">
        <f ca="1">IFERROR(__xludf.DUMMYFUNCTION("QUERY('Volunteer Survey'!E855)"),"")</f>
        <v/>
      </c>
      <c r="AE856" s="175" t="str">
        <f ca="1">IFERROR(__xludf.DUMMYFUNCTION("QUERY('Volunteer Survey'!F855)"),"")</f>
        <v/>
      </c>
      <c r="AF856" s="175" t="str">
        <f ca="1">IFERROR(__xludf.DUMMYFUNCTION("QUERY('Volunteer Survey'!G855)"),"")</f>
        <v/>
      </c>
      <c r="AG856" s="175" t="str">
        <f ca="1">IFERROR(__xludf.DUMMYFUNCTION("QUERY('Volunteer Survey'!H855)"),"")</f>
        <v/>
      </c>
      <c r="AH856" s="175" t="str">
        <f ca="1">IFERROR(__xludf.DUMMYFUNCTION("QUERY('Volunteer Survey'!I855)"),"")</f>
        <v/>
      </c>
      <c r="AI856" s="175" t="str">
        <f ca="1">IFERROR(__xludf.DUMMYFUNCTION("QUERY('Volunteer Survey'!J855)"),"")</f>
        <v/>
      </c>
      <c r="AJ856" s="175" t="str">
        <f ca="1">IFERROR(__xludf.DUMMYFUNCTION("QUERY('Volunteer Survey'!K855)"),"")</f>
        <v/>
      </c>
      <c r="AK856" s="175" t="str">
        <f ca="1">IFERROR(__xludf.DUMMYFUNCTION("QUERY('Volunteer Survey'!L855)"),"")</f>
        <v/>
      </c>
      <c r="AL856" s="175" t="str">
        <f ca="1">IFERROR(__xludf.DUMMYFUNCTION("QUERY('Volunteer Survey'!M855)"),"")</f>
        <v/>
      </c>
      <c r="AM856" s="175" t="str">
        <f ca="1">IFERROR(__xludf.DUMMYFUNCTION("QUERY('Volunteer Survey'!N855)"),"")</f>
        <v/>
      </c>
      <c r="AN856" s="175" t="str">
        <f ca="1">IFERROR(__xludf.DUMMYFUNCTION("QUERY('Volunteer Survey'!O855)"),"")</f>
        <v/>
      </c>
      <c r="AO856" s="175" t="str">
        <f ca="1">IFERROR(__xludf.DUMMYFUNCTION("QUERY('Volunteer Survey'!P855)"),"")</f>
        <v/>
      </c>
    </row>
    <row r="857" spans="1:41" ht="14">
      <c r="A857" s="49"/>
      <c r="B857" s="49"/>
      <c r="C857" s="47"/>
      <c r="D857" s="49"/>
      <c r="E857" s="49"/>
      <c r="F857" s="49" t="b">
        <v>0</v>
      </c>
      <c r="G857" s="49"/>
      <c r="H857" s="47"/>
      <c r="I857" s="47"/>
      <c r="J857" s="49"/>
      <c r="K857" s="49"/>
      <c r="L857" s="49"/>
      <c r="M857" s="49"/>
      <c r="N857" s="49"/>
      <c r="O857" s="49" t="b">
        <v>0</v>
      </c>
      <c r="P857" s="49"/>
      <c r="Q857" s="49"/>
      <c r="R857" s="49"/>
      <c r="S857" s="49"/>
      <c r="T857" s="49"/>
      <c r="U857" s="58"/>
      <c r="V857" s="49"/>
      <c r="W857" s="58"/>
      <c r="X857" s="49"/>
      <c r="Y857" s="47"/>
      <c r="Z857" s="175" t="str">
        <f ca="1">IFERROR(__xludf.DUMMYFUNCTION("QUERY('Volunteer Survey'!A856)"),"")</f>
        <v/>
      </c>
      <c r="AA857" s="175" t="str">
        <f ca="1">IFERROR(__xludf.DUMMYFUNCTION("QUERY('Volunteer Survey'!B856)"),"")</f>
        <v/>
      </c>
      <c r="AB857" s="175" t="str">
        <f ca="1">IFERROR(__xludf.DUMMYFUNCTION("QUERY('Volunteer Survey'!C856)"),"")</f>
        <v/>
      </c>
      <c r="AC857" s="175" t="str">
        <f ca="1">IFERROR(__xludf.DUMMYFUNCTION("QUERY('Volunteer Survey'!D856)"),"")</f>
        <v/>
      </c>
      <c r="AD857" s="175" t="str">
        <f ca="1">IFERROR(__xludf.DUMMYFUNCTION("QUERY('Volunteer Survey'!E856)"),"")</f>
        <v/>
      </c>
      <c r="AE857" s="175" t="str">
        <f ca="1">IFERROR(__xludf.DUMMYFUNCTION("QUERY('Volunteer Survey'!F856)"),"")</f>
        <v/>
      </c>
      <c r="AF857" s="175" t="str">
        <f ca="1">IFERROR(__xludf.DUMMYFUNCTION("QUERY('Volunteer Survey'!G856)"),"")</f>
        <v/>
      </c>
      <c r="AG857" s="175" t="str">
        <f ca="1">IFERROR(__xludf.DUMMYFUNCTION("QUERY('Volunteer Survey'!H856)"),"")</f>
        <v/>
      </c>
      <c r="AH857" s="175" t="str">
        <f ca="1">IFERROR(__xludf.DUMMYFUNCTION("QUERY('Volunteer Survey'!I856)"),"")</f>
        <v/>
      </c>
      <c r="AI857" s="175" t="str">
        <f ca="1">IFERROR(__xludf.DUMMYFUNCTION("QUERY('Volunteer Survey'!J856)"),"")</f>
        <v/>
      </c>
      <c r="AJ857" s="175" t="str">
        <f ca="1">IFERROR(__xludf.DUMMYFUNCTION("QUERY('Volunteer Survey'!K856)"),"")</f>
        <v/>
      </c>
      <c r="AK857" s="175" t="str">
        <f ca="1">IFERROR(__xludf.DUMMYFUNCTION("QUERY('Volunteer Survey'!L856)"),"")</f>
        <v/>
      </c>
      <c r="AL857" s="175" t="str">
        <f ca="1">IFERROR(__xludf.DUMMYFUNCTION("QUERY('Volunteer Survey'!M856)"),"")</f>
        <v/>
      </c>
      <c r="AM857" s="175" t="str">
        <f ca="1">IFERROR(__xludf.DUMMYFUNCTION("QUERY('Volunteer Survey'!N856)"),"")</f>
        <v/>
      </c>
      <c r="AN857" s="175" t="str">
        <f ca="1">IFERROR(__xludf.DUMMYFUNCTION("QUERY('Volunteer Survey'!O856)"),"")</f>
        <v/>
      </c>
      <c r="AO857" s="175" t="str">
        <f ca="1">IFERROR(__xludf.DUMMYFUNCTION("QUERY('Volunteer Survey'!P856)"),"")</f>
        <v/>
      </c>
    </row>
    <row r="858" spans="1:41" ht="14">
      <c r="A858" s="49"/>
      <c r="B858" s="49"/>
      <c r="C858" s="47"/>
      <c r="D858" s="49"/>
      <c r="E858" s="49"/>
      <c r="F858" s="49" t="b">
        <v>0</v>
      </c>
      <c r="G858" s="49"/>
      <c r="H858" s="47"/>
      <c r="I858" s="47"/>
      <c r="J858" s="49"/>
      <c r="K858" s="49"/>
      <c r="L858" s="49"/>
      <c r="M858" s="49"/>
      <c r="N858" s="49"/>
      <c r="O858" s="49" t="b">
        <v>0</v>
      </c>
      <c r="P858" s="49"/>
      <c r="Q858" s="49"/>
      <c r="R858" s="49"/>
      <c r="S858" s="49"/>
      <c r="T858" s="49"/>
      <c r="U858" s="58"/>
      <c r="V858" s="49"/>
      <c r="W858" s="58"/>
      <c r="X858" s="49"/>
      <c r="Y858" s="47"/>
      <c r="Z858" s="175" t="str">
        <f ca="1">IFERROR(__xludf.DUMMYFUNCTION("QUERY('Volunteer Survey'!A857)"),"")</f>
        <v/>
      </c>
      <c r="AA858" s="175" t="str">
        <f ca="1">IFERROR(__xludf.DUMMYFUNCTION("QUERY('Volunteer Survey'!B857)"),"")</f>
        <v/>
      </c>
      <c r="AB858" s="175" t="str">
        <f ca="1">IFERROR(__xludf.DUMMYFUNCTION("QUERY('Volunteer Survey'!C857)"),"")</f>
        <v/>
      </c>
      <c r="AC858" s="175" t="str">
        <f ca="1">IFERROR(__xludf.DUMMYFUNCTION("QUERY('Volunteer Survey'!D857)"),"")</f>
        <v/>
      </c>
      <c r="AD858" s="175" t="str">
        <f ca="1">IFERROR(__xludf.DUMMYFUNCTION("QUERY('Volunteer Survey'!E857)"),"")</f>
        <v/>
      </c>
      <c r="AE858" s="175" t="str">
        <f ca="1">IFERROR(__xludf.DUMMYFUNCTION("QUERY('Volunteer Survey'!F857)"),"")</f>
        <v/>
      </c>
      <c r="AF858" s="175" t="str">
        <f ca="1">IFERROR(__xludf.DUMMYFUNCTION("QUERY('Volunteer Survey'!G857)"),"")</f>
        <v/>
      </c>
      <c r="AG858" s="175" t="str">
        <f ca="1">IFERROR(__xludf.DUMMYFUNCTION("QUERY('Volunteer Survey'!H857)"),"")</f>
        <v/>
      </c>
      <c r="AH858" s="175" t="str">
        <f ca="1">IFERROR(__xludf.DUMMYFUNCTION("QUERY('Volunteer Survey'!I857)"),"")</f>
        <v/>
      </c>
      <c r="AI858" s="175" t="str">
        <f ca="1">IFERROR(__xludf.DUMMYFUNCTION("QUERY('Volunteer Survey'!J857)"),"")</f>
        <v/>
      </c>
      <c r="AJ858" s="175" t="str">
        <f ca="1">IFERROR(__xludf.DUMMYFUNCTION("QUERY('Volunteer Survey'!K857)"),"")</f>
        <v/>
      </c>
      <c r="AK858" s="175" t="str">
        <f ca="1">IFERROR(__xludf.DUMMYFUNCTION("QUERY('Volunteer Survey'!L857)"),"")</f>
        <v/>
      </c>
      <c r="AL858" s="175" t="str">
        <f ca="1">IFERROR(__xludf.DUMMYFUNCTION("QUERY('Volunteer Survey'!M857)"),"")</f>
        <v/>
      </c>
      <c r="AM858" s="175" t="str">
        <f ca="1">IFERROR(__xludf.DUMMYFUNCTION("QUERY('Volunteer Survey'!N857)"),"")</f>
        <v/>
      </c>
      <c r="AN858" s="175" t="str">
        <f ca="1">IFERROR(__xludf.DUMMYFUNCTION("QUERY('Volunteer Survey'!O857)"),"")</f>
        <v/>
      </c>
      <c r="AO858" s="175" t="str">
        <f ca="1">IFERROR(__xludf.DUMMYFUNCTION("QUERY('Volunteer Survey'!P857)"),"")</f>
        <v/>
      </c>
    </row>
    <row r="859" spans="1:41" ht="14">
      <c r="A859" s="49"/>
      <c r="B859" s="49"/>
      <c r="C859" s="47"/>
      <c r="D859" s="49"/>
      <c r="E859" s="49"/>
      <c r="F859" s="49" t="b">
        <v>0</v>
      </c>
      <c r="G859" s="49"/>
      <c r="H859" s="47"/>
      <c r="I859" s="47"/>
      <c r="J859" s="49"/>
      <c r="K859" s="49"/>
      <c r="L859" s="49"/>
      <c r="M859" s="49"/>
      <c r="N859" s="49"/>
      <c r="O859" s="49" t="b">
        <v>0</v>
      </c>
      <c r="P859" s="49"/>
      <c r="Q859" s="49"/>
      <c r="R859" s="49"/>
      <c r="S859" s="49"/>
      <c r="T859" s="49"/>
      <c r="U859" s="58"/>
      <c r="V859" s="49"/>
      <c r="W859" s="58"/>
      <c r="X859" s="49"/>
      <c r="Y859" s="47"/>
      <c r="Z859" s="175" t="str">
        <f ca="1">IFERROR(__xludf.DUMMYFUNCTION("QUERY('Volunteer Survey'!A858)"),"")</f>
        <v/>
      </c>
      <c r="AA859" s="175" t="str">
        <f ca="1">IFERROR(__xludf.DUMMYFUNCTION("QUERY('Volunteer Survey'!B858)"),"")</f>
        <v/>
      </c>
      <c r="AB859" s="175" t="str">
        <f ca="1">IFERROR(__xludf.DUMMYFUNCTION("QUERY('Volunteer Survey'!C858)"),"")</f>
        <v/>
      </c>
      <c r="AC859" s="175" t="str">
        <f ca="1">IFERROR(__xludf.DUMMYFUNCTION("QUERY('Volunteer Survey'!D858)"),"")</f>
        <v/>
      </c>
      <c r="AD859" s="175" t="str">
        <f ca="1">IFERROR(__xludf.DUMMYFUNCTION("QUERY('Volunteer Survey'!E858)"),"")</f>
        <v/>
      </c>
      <c r="AE859" s="175" t="str">
        <f ca="1">IFERROR(__xludf.DUMMYFUNCTION("QUERY('Volunteer Survey'!F858)"),"")</f>
        <v/>
      </c>
      <c r="AF859" s="175" t="str">
        <f ca="1">IFERROR(__xludf.DUMMYFUNCTION("QUERY('Volunteer Survey'!G858)"),"")</f>
        <v/>
      </c>
      <c r="AG859" s="175" t="str">
        <f ca="1">IFERROR(__xludf.DUMMYFUNCTION("QUERY('Volunteer Survey'!H858)"),"")</f>
        <v/>
      </c>
      <c r="AH859" s="175" t="str">
        <f ca="1">IFERROR(__xludf.DUMMYFUNCTION("QUERY('Volunteer Survey'!I858)"),"")</f>
        <v/>
      </c>
      <c r="AI859" s="175" t="str">
        <f ca="1">IFERROR(__xludf.DUMMYFUNCTION("QUERY('Volunteer Survey'!J858)"),"")</f>
        <v/>
      </c>
      <c r="AJ859" s="175" t="str">
        <f ca="1">IFERROR(__xludf.DUMMYFUNCTION("QUERY('Volunteer Survey'!K858)"),"")</f>
        <v/>
      </c>
      <c r="AK859" s="175" t="str">
        <f ca="1">IFERROR(__xludf.DUMMYFUNCTION("QUERY('Volunteer Survey'!L858)"),"")</f>
        <v/>
      </c>
      <c r="AL859" s="175" t="str">
        <f ca="1">IFERROR(__xludf.DUMMYFUNCTION("QUERY('Volunteer Survey'!M858)"),"")</f>
        <v/>
      </c>
      <c r="AM859" s="175" t="str">
        <f ca="1">IFERROR(__xludf.DUMMYFUNCTION("QUERY('Volunteer Survey'!N858)"),"")</f>
        <v/>
      </c>
      <c r="AN859" s="175" t="str">
        <f ca="1">IFERROR(__xludf.DUMMYFUNCTION("QUERY('Volunteer Survey'!O858)"),"")</f>
        <v/>
      </c>
      <c r="AO859" s="175" t="str">
        <f ca="1">IFERROR(__xludf.DUMMYFUNCTION("QUERY('Volunteer Survey'!P858)"),"")</f>
        <v/>
      </c>
    </row>
    <row r="860" spans="1:41" ht="14">
      <c r="A860" s="49"/>
      <c r="B860" s="49"/>
      <c r="C860" s="47"/>
      <c r="D860" s="49"/>
      <c r="E860" s="49"/>
      <c r="F860" s="49" t="b">
        <v>0</v>
      </c>
      <c r="G860" s="49"/>
      <c r="H860" s="47"/>
      <c r="I860" s="47"/>
      <c r="J860" s="49"/>
      <c r="K860" s="49"/>
      <c r="L860" s="49"/>
      <c r="M860" s="49"/>
      <c r="N860" s="49"/>
      <c r="O860" s="49" t="b">
        <v>0</v>
      </c>
      <c r="P860" s="49"/>
      <c r="Q860" s="49"/>
      <c r="R860" s="49"/>
      <c r="S860" s="49"/>
      <c r="T860" s="49"/>
      <c r="U860" s="58"/>
      <c r="V860" s="49"/>
      <c r="W860" s="58"/>
      <c r="X860" s="49"/>
      <c r="Y860" s="47"/>
      <c r="Z860" s="175" t="str">
        <f ca="1">IFERROR(__xludf.DUMMYFUNCTION("QUERY('Volunteer Survey'!A859)"),"")</f>
        <v/>
      </c>
      <c r="AA860" s="175" t="str">
        <f ca="1">IFERROR(__xludf.DUMMYFUNCTION("QUERY('Volunteer Survey'!B859)"),"")</f>
        <v/>
      </c>
      <c r="AB860" s="175" t="str">
        <f ca="1">IFERROR(__xludf.DUMMYFUNCTION("QUERY('Volunteer Survey'!C859)"),"")</f>
        <v/>
      </c>
      <c r="AC860" s="175" t="str">
        <f ca="1">IFERROR(__xludf.DUMMYFUNCTION("QUERY('Volunteer Survey'!D859)"),"")</f>
        <v/>
      </c>
      <c r="AD860" s="175" t="str">
        <f ca="1">IFERROR(__xludf.DUMMYFUNCTION("QUERY('Volunteer Survey'!E859)"),"")</f>
        <v/>
      </c>
      <c r="AE860" s="175" t="str">
        <f ca="1">IFERROR(__xludf.DUMMYFUNCTION("QUERY('Volunteer Survey'!F859)"),"")</f>
        <v/>
      </c>
      <c r="AF860" s="175" t="str">
        <f ca="1">IFERROR(__xludf.DUMMYFUNCTION("QUERY('Volunteer Survey'!G859)"),"")</f>
        <v/>
      </c>
      <c r="AG860" s="175" t="str">
        <f ca="1">IFERROR(__xludf.DUMMYFUNCTION("QUERY('Volunteer Survey'!H859)"),"")</f>
        <v/>
      </c>
      <c r="AH860" s="175" t="str">
        <f ca="1">IFERROR(__xludf.DUMMYFUNCTION("QUERY('Volunteer Survey'!I859)"),"")</f>
        <v/>
      </c>
      <c r="AI860" s="175" t="str">
        <f ca="1">IFERROR(__xludf.DUMMYFUNCTION("QUERY('Volunteer Survey'!J859)"),"")</f>
        <v/>
      </c>
      <c r="AJ860" s="175" t="str">
        <f ca="1">IFERROR(__xludf.DUMMYFUNCTION("QUERY('Volunteer Survey'!K859)"),"")</f>
        <v/>
      </c>
      <c r="AK860" s="175" t="str">
        <f ca="1">IFERROR(__xludf.DUMMYFUNCTION("QUERY('Volunteer Survey'!L859)"),"")</f>
        <v/>
      </c>
      <c r="AL860" s="175" t="str">
        <f ca="1">IFERROR(__xludf.DUMMYFUNCTION("QUERY('Volunteer Survey'!M859)"),"")</f>
        <v/>
      </c>
      <c r="AM860" s="175" t="str">
        <f ca="1">IFERROR(__xludf.DUMMYFUNCTION("QUERY('Volunteer Survey'!N859)"),"")</f>
        <v/>
      </c>
      <c r="AN860" s="175" t="str">
        <f ca="1">IFERROR(__xludf.DUMMYFUNCTION("QUERY('Volunteer Survey'!O859)"),"")</f>
        <v/>
      </c>
      <c r="AO860" s="175" t="str">
        <f ca="1">IFERROR(__xludf.DUMMYFUNCTION("QUERY('Volunteer Survey'!P859)"),"")</f>
        <v/>
      </c>
    </row>
    <row r="861" spans="1:41" ht="14">
      <c r="A861" s="49"/>
      <c r="B861" s="49"/>
      <c r="C861" s="47"/>
      <c r="D861" s="49"/>
      <c r="E861" s="49"/>
      <c r="F861" s="49" t="b">
        <v>0</v>
      </c>
      <c r="G861" s="49"/>
      <c r="H861" s="47"/>
      <c r="I861" s="47"/>
      <c r="J861" s="49"/>
      <c r="K861" s="49"/>
      <c r="L861" s="49"/>
      <c r="M861" s="49"/>
      <c r="N861" s="49"/>
      <c r="O861" s="49" t="b">
        <v>0</v>
      </c>
      <c r="P861" s="49"/>
      <c r="Q861" s="49"/>
      <c r="R861" s="49"/>
      <c r="S861" s="49"/>
      <c r="T861" s="49"/>
      <c r="U861" s="58"/>
      <c r="V861" s="49"/>
      <c r="W861" s="58"/>
      <c r="X861" s="49"/>
      <c r="Y861" s="47"/>
      <c r="Z861" s="175" t="str">
        <f ca="1">IFERROR(__xludf.DUMMYFUNCTION("QUERY('Volunteer Survey'!A860)"),"")</f>
        <v/>
      </c>
      <c r="AA861" s="175" t="str">
        <f ca="1">IFERROR(__xludf.DUMMYFUNCTION("QUERY('Volunteer Survey'!B860)"),"")</f>
        <v/>
      </c>
      <c r="AB861" s="175" t="str">
        <f ca="1">IFERROR(__xludf.DUMMYFUNCTION("QUERY('Volunteer Survey'!C860)"),"")</f>
        <v/>
      </c>
      <c r="AC861" s="175" t="str">
        <f ca="1">IFERROR(__xludf.DUMMYFUNCTION("QUERY('Volunteer Survey'!D860)"),"")</f>
        <v/>
      </c>
      <c r="AD861" s="175" t="str">
        <f ca="1">IFERROR(__xludf.DUMMYFUNCTION("QUERY('Volunteer Survey'!E860)"),"")</f>
        <v/>
      </c>
      <c r="AE861" s="175" t="str">
        <f ca="1">IFERROR(__xludf.DUMMYFUNCTION("QUERY('Volunteer Survey'!F860)"),"")</f>
        <v/>
      </c>
      <c r="AF861" s="175" t="str">
        <f ca="1">IFERROR(__xludf.DUMMYFUNCTION("QUERY('Volunteer Survey'!G860)"),"")</f>
        <v/>
      </c>
      <c r="AG861" s="175" t="str">
        <f ca="1">IFERROR(__xludf.DUMMYFUNCTION("QUERY('Volunteer Survey'!H860)"),"")</f>
        <v/>
      </c>
      <c r="AH861" s="175" t="str">
        <f ca="1">IFERROR(__xludf.DUMMYFUNCTION("QUERY('Volunteer Survey'!I860)"),"")</f>
        <v/>
      </c>
      <c r="AI861" s="175" t="str">
        <f ca="1">IFERROR(__xludf.DUMMYFUNCTION("QUERY('Volunteer Survey'!J860)"),"")</f>
        <v/>
      </c>
      <c r="AJ861" s="175" t="str">
        <f ca="1">IFERROR(__xludf.DUMMYFUNCTION("QUERY('Volunteer Survey'!K860)"),"")</f>
        <v/>
      </c>
      <c r="AK861" s="175" t="str">
        <f ca="1">IFERROR(__xludf.DUMMYFUNCTION("QUERY('Volunteer Survey'!L860)"),"")</f>
        <v/>
      </c>
      <c r="AL861" s="175" t="str">
        <f ca="1">IFERROR(__xludf.DUMMYFUNCTION("QUERY('Volunteer Survey'!M860)"),"")</f>
        <v/>
      </c>
      <c r="AM861" s="175" t="str">
        <f ca="1">IFERROR(__xludf.DUMMYFUNCTION("QUERY('Volunteer Survey'!N860)"),"")</f>
        <v/>
      </c>
      <c r="AN861" s="175" t="str">
        <f ca="1">IFERROR(__xludf.DUMMYFUNCTION("QUERY('Volunteer Survey'!O860)"),"")</f>
        <v/>
      </c>
      <c r="AO861" s="175" t="str">
        <f ca="1">IFERROR(__xludf.DUMMYFUNCTION("QUERY('Volunteer Survey'!P860)"),"")</f>
        <v/>
      </c>
    </row>
    <row r="862" spans="1:41" ht="14">
      <c r="A862" s="49"/>
      <c r="B862" s="49"/>
      <c r="C862" s="47"/>
      <c r="D862" s="49"/>
      <c r="E862" s="49"/>
      <c r="F862" s="49" t="b">
        <v>0</v>
      </c>
      <c r="G862" s="49"/>
      <c r="H862" s="47"/>
      <c r="I862" s="47"/>
      <c r="J862" s="49"/>
      <c r="K862" s="49"/>
      <c r="L862" s="49"/>
      <c r="M862" s="49"/>
      <c r="N862" s="49"/>
      <c r="O862" s="49" t="b">
        <v>0</v>
      </c>
      <c r="P862" s="49"/>
      <c r="Q862" s="49"/>
      <c r="R862" s="49"/>
      <c r="S862" s="49"/>
      <c r="T862" s="49"/>
      <c r="U862" s="58"/>
      <c r="V862" s="49"/>
      <c r="W862" s="58"/>
      <c r="X862" s="49"/>
      <c r="Y862" s="47"/>
      <c r="Z862" s="175" t="str">
        <f ca="1">IFERROR(__xludf.DUMMYFUNCTION("QUERY('Volunteer Survey'!A861)"),"")</f>
        <v/>
      </c>
      <c r="AA862" s="175" t="str">
        <f ca="1">IFERROR(__xludf.DUMMYFUNCTION("QUERY('Volunteer Survey'!B861)"),"")</f>
        <v/>
      </c>
      <c r="AB862" s="175" t="str">
        <f ca="1">IFERROR(__xludf.DUMMYFUNCTION("QUERY('Volunteer Survey'!C861)"),"")</f>
        <v/>
      </c>
      <c r="AC862" s="175" t="str">
        <f ca="1">IFERROR(__xludf.DUMMYFUNCTION("QUERY('Volunteer Survey'!D861)"),"")</f>
        <v/>
      </c>
      <c r="AD862" s="175" t="str">
        <f ca="1">IFERROR(__xludf.DUMMYFUNCTION("QUERY('Volunteer Survey'!E861)"),"")</f>
        <v/>
      </c>
      <c r="AE862" s="175" t="str">
        <f ca="1">IFERROR(__xludf.DUMMYFUNCTION("QUERY('Volunteer Survey'!F861)"),"")</f>
        <v/>
      </c>
      <c r="AF862" s="175" t="str">
        <f ca="1">IFERROR(__xludf.DUMMYFUNCTION("QUERY('Volunteer Survey'!G861)"),"")</f>
        <v/>
      </c>
      <c r="AG862" s="175" t="str">
        <f ca="1">IFERROR(__xludf.DUMMYFUNCTION("QUERY('Volunteer Survey'!H861)"),"")</f>
        <v/>
      </c>
      <c r="AH862" s="175" t="str">
        <f ca="1">IFERROR(__xludf.DUMMYFUNCTION("QUERY('Volunteer Survey'!I861)"),"")</f>
        <v/>
      </c>
      <c r="AI862" s="175" t="str">
        <f ca="1">IFERROR(__xludf.DUMMYFUNCTION("QUERY('Volunteer Survey'!J861)"),"")</f>
        <v/>
      </c>
      <c r="AJ862" s="175" t="str">
        <f ca="1">IFERROR(__xludf.DUMMYFUNCTION("QUERY('Volunteer Survey'!K861)"),"")</f>
        <v/>
      </c>
      <c r="AK862" s="175" t="str">
        <f ca="1">IFERROR(__xludf.DUMMYFUNCTION("QUERY('Volunteer Survey'!L861)"),"")</f>
        <v/>
      </c>
      <c r="AL862" s="175" t="str">
        <f ca="1">IFERROR(__xludf.DUMMYFUNCTION("QUERY('Volunteer Survey'!M861)"),"")</f>
        <v/>
      </c>
      <c r="AM862" s="175" t="str">
        <f ca="1">IFERROR(__xludf.DUMMYFUNCTION("QUERY('Volunteer Survey'!N861)"),"")</f>
        <v/>
      </c>
      <c r="AN862" s="175" t="str">
        <f ca="1">IFERROR(__xludf.DUMMYFUNCTION("QUERY('Volunteer Survey'!O861)"),"")</f>
        <v/>
      </c>
      <c r="AO862" s="175" t="str">
        <f ca="1">IFERROR(__xludf.DUMMYFUNCTION("QUERY('Volunteer Survey'!P861)"),"")</f>
        <v/>
      </c>
    </row>
    <row r="863" spans="1:41" ht="14">
      <c r="A863" s="49"/>
      <c r="B863" s="49"/>
      <c r="C863" s="47"/>
      <c r="D863" s="49"/>
      <c r="E863" s="49"/>
      <c r="F863" s="49" t="b">
        <v>0</v>
      </c>
      <c r="G863" s="49"/>
      <c r="H863" s="47"/>
      <c r="I863" s="47"/>
      <c r="J863" s="49"/>
      <c r="K863" s="49"/>
      <c r="L863" s="49"/>
      <c r="M863" s="49"/>
      <c r="N863" s="49"/>
      <c r="O863" s="49" t="b">
        <v>0</v>
      </c>
      <c r="P863" s="49"/>
      <c r="Q863" s="49"/>
      <c r="R863" s="49"/>
      <c r="S863" s="49"/>
      <c r="T863" s="49"/>
      <c r="U863" s="58"/>
      <c r="V863" s="49"/>
      <c r="W863" s="58"/>
      <c r="X863" s="49"/>
      <c r="Y863" s="47"/>
      <c r="Z863" s="175" t="str">
        <f ca="1">IFERROR(__xludf.DUMMYFUNCTION("QUERY('Volunteer Survey'!A862)"),"")</f>
        <v/>
      </c>
      <c r="AA863" s="175" t="str">
        <f ca="1">IFERROR(__xludf.DUMMYFUNCTION("QUERY('Volunteer Survey'!B862)"),"")</f>
        <v/>
      </c>
      <c r="AB863" s="175" t="str">
        <f ca="1">IFERROR(__xludf.DUMMYFUNCTION("QUERY('Volunteer Survey'!C862)"),"")</f>
        <v/>
      </c>
      <c r="AC863" s="175" t="str">
        <f ca="1">IFERROR(__xludf.DUMMYFUNCTION("QUERY('Volunteer Survey'!D862)"),"")</f>
        <v/>
      </c>
      <c r="AD863" s="175" t="str">
        <f ca="1">IFERROR(__xludf.DUMMYFUNCTION("QUERY('Volunteer Survey'!E862)"),"")</f>
        <v/>
      </c>
      <c r="AE863" s="175" t="str">
        <f ca="1">IFERROR(__xludf.DUMMYFUNCTION("QUERY('Volunteer Survey'!F862)"),"")</f>
        <v/>
      </c>
      <c r="AF863" s="175" t="str">
        <f ca="1">IFERROR(__xludf.DUMMYFUNCTION("QUERY('Volunteer Survey'!G862)"),"")</f>
        <v/>
      </c>
      <c r="AG863" s="175" t="str">
        <f ca="1">IFERROR(__xludf.DUMMYFUNCTION("QUERY('Volunteer Survey'!H862)"),"")</f>
        <v/>
      </c>
      <c r="AH863" s="175" t="str">
        <f ca="1">IFERROR(__xludf.DUMMYFUNCTION("QUERY('Volunteer Survey'!I862)"),"")</f>
        <v/>
      </c>
      <c r="AI863" s="175" t="str">
        <f ca="1">IFERROR(__xludf.DUMMYFUNCTION("QUERY('Volunteer Survey'!J862)"),"")</f>
        <v/>
      </c>
      <c r="AJ863" s="175" t="str">
        <f ca="1">IFERROR(__xludf.DUMMYFUNCTION("QUERY('Volunteer Survey'!K862)"),"")</f>
        <v/>
      </c>
      <c r="AK863" s="175" t="str">
        <f ca="1">IFERROR(__xludf.DUMMYFUNCTION("QUERY('Volunteer Survey'!L862)"),"")</f>
        <v/>
      </c>
      <c r="AL863" s="175" t="str">
        <f ca="1">IFERROR(__xludf.DUMMYFUNCTION("QUERY('Volunteer Survey'!M862)"),"")</f>
        <v/>
      </c>
      <c r="AM863" s="175" t="str">
        <f ca="1">IFERROR(__xludf.DUMMYFUNCTION("QUERY('Volunteer Survey'!N862)"),"")</f>
        <v/>
      </c>
      <c r="AN863" s="175" t="str">
        <f ca="1">IFERROR(__xludf.DUMMYFUNCTION("QUERY('Volunteer Survey'!O862)"),"")</f>
        <v/>
      </c>
      <c r="AO863" s="175" t="str">
        <f ca="1">IFERROR(__xludf.DUMMYFUNCTION("QUERY('Volunteer Survey'!P862)"),"")</f>
        <v/>
      </c>
    </row>
    <row r="864" spans="1:41" ht="14">
      <c r="A864" s="49"/>
      <c r="B864" s="49"/>
      <c r="C864" s="47"/>
      <c r="D864" s="49"/>
      <c r="E864" s="49"/>
      <c r="F864" s="49" t="b">
        <v>0</v>
      </c>
      <c r="G864" s="49"/>
      <c r="H864" s="47"/>
      <c r="I864" s="47"/>
      <c r="J864" s="49"/>
      <c r="K864" s="49"/>
      <c r="L864" s="49"/>
      <c r="M864" s="49"/>
      <c r="N864" s="49"/>
      <c r="O864" s="49" t="b">
        <v>0</v>
      </c>
      <c r="P864" s="49"/>
      <c r="Q864" s="49"/>
      <c r="R864" s="49"/>
      <c r="S864" s="49"/>
      <c r="T864" s="49"/>
      <c r="U864" s="58"/>
      <c r="V864" s="49"/>
      <c r="W864" s="58"/>
      <c r="X864" s="49"/>
      <c r="Y864" s="47"/>
      <c r="Z864" s="175" t="str">
        <f ca="1">IFERROR(__xludf.DUMMYFUNCTION("QUERY('Volunteer Survey'!A863)"),"")</f>
        <v/>
      </c>
      <c r="AA864" s="175" t="str">
        <f ca="1">IFERROR(__xludf.DUMMYFUNCTION("QUERY('Volunteer Survey'!B863)"),"")</f>
        <v/>
      </c>
      <c r="AB864" s="175" t="str">
        <f ca="1">IFERROR(__xludf.DUMMYFUNCTION("QUERY('Volunteer Survey'!C863)"),"")</f>
        <v/>
      </c>
      <c r="AC864" s="175" t="str">
        <f ca="1">IFERROR(__xludf.DUMMYFUNCTION("QUERY('Volunteer Survey'!D863)"),"")</f>
        <v/>
      </c>
      <c r="AD864" s="175" t="str">
        <f ca="1">IFERROR(__xludf.DUMMYFUNCTION("QUERY('Volunteer Survey'!E863)"),"")</f>
        <v/>
      </c>
      <c r="AE864" s="175" t="str">
        <f ca="1">IFERROR(__xludf.DUMMYFUNCTION("QUERY('Volunteer Survey'!F863)"),"")</f>
        <v/>
      </c>
      <c r="AF864" s="175" t="str">
        <f ca="1">IFERROR(__xludf.DUMMYFUNCTION("QUERY('Volunteer Survey'!G863)"),"")</f>
        <v/>
      </c>
      <c r="AG864" s="175" t="str">
        <f ca="1">IFERROR(__xludf.DUMMYFUNCTION("QUERY('Volunteer Survey'!H863)"),"")</f>
        <v/>
      </c>
      <c r="AH864" s="175" t="str">
        <f ca="1">IFERROR(__xludf.DUMMYFUNCTION("QUERY('Volunteer Survey'!I863)"),"")</f>
        <v/>
      </c>
      <c r="AI864" s="175" t="str">
        <f ca="1">IFERROR(__xludf.DUMMYFUNCTION("QUERY('Volunteer Survey'!J863)"),"")</f>
        <v/>
      </c>
      <c r="AJ864" s="175" t="str">
        <f ca="1">IFERROR(__xludf.DUMMYFUNCTION("QUERY('Volunteer Survey'!K863)"),"")</f>
        <v/>
      </c>
      <c r="AK864" s="175" t="str">
        <f ca="1">IFERROR(__xludf.DUMMYFUNCTION("QUERY('Volunteer Survey'!L863)"),"")</f>
        <v/>
      </c>
      <c r="AL864" s="175" t="str">
        <f ca="1">IFERROR(__xludf.DUMMYFUNCTION("QUERY('Volunteer Survey'!M863)"),"")</f>
        <v/>
      </c>
      <c r="AM864" s="175" t="str">
        <f ca="1">IFERROR(__xludf.DUMMYFUNCTION("QUERY('Volunteer Survey'!N863)"),"")</f>
        <v/>
      </c>
      <c r="AN864" s="175" t="str">
        <f ca="1">IFERROR(__xludf.DUMMYFUNCTION("QUERY('Volunteer Survey'!O863)"),"")</f>
        <v/>
      </c>
      <c r="AO864" s="175" t="str">
        <f ca="1">IFERROR(__xludf.DUMMYFUNCTION("QUERY('Volunteer Survey'!P863)"),"")</f>
        <v/>
      </c>
    </row>
    <row r="865" spans="1:41" ht="14">
      <c r="A865" s="49"/>
      <c r="B865" s="49"/>
      <c r="C865" s="47"/>
      <c r="D865" s="49"/>
      <c r="E865" s="49"/>
      <c r="F865" s="49" t="b">
        <v>0</v>
      </c>
      <c r="G865" s="49"/>
      <c r="H865" s="47"/>
      <c r="I865" s="47"/>
      <c r="J865" s="49"/>
      <c r="K865" s="49"/>
      <c r="L865" s="49"/>
      <c r="M865" s="49"/>
      <c r="N865" s="49"/>
      <c r="O865" s="49" t="b">
        <v>0</v>
      </c>
      <c r="P865" s="49"/>
      <c r="Q865" s="49"/>
      <c r="R865" s="49"/>
      <c r="S865" s="49"/>
      <c r="T865" s="49"/>
      <c r="U865" s="58"/>
      <c r="V865" s="49"/>
      <c r="W865" s="58"/>
      <c r="X865" s="49"/>
      <c r="Y865" s="47"/>
      <c r="Z865" s="175" t="str">
        <f ca="1">IFERROR(__xludf.DUMMYFUNCTION("QUERY('Volunteer Survey'!A864)"),"")</f>
        <v/>
      </c>
      <c r="AA865" s="175" t="str">
        <f ca="1">IFERROR(__xludf.DUMMYFUNCTION("QUERY('Volunteer Survey'!B864)"),"")</f>
        <v/>
      </c>
      <c r="AB865" s="175" t="str">
        <f ca="1">IFERROR(__xludf.DUMMYFUNCTION("QUERY('Volunteer Survey'!C864)"),"")</f>
        <v/>
      </c>
      <c r="AC865" s="175" t="str">
        <f ca="1">IFERROR(__xludf.DUMMYFUNCTION("QUERY('Volunteer Survey'!D864)"),"")</f>
        <v/>
      </c>
      <c r="AD865" s="175" t="str">
        <f ca="1">IFERROR(__xludf.DUMMYFUNCTION("QUERY('Volunteer Survey'!E864)"),"")</f>
        <v/>
      </c>
      <c r="AE865" s="175" t="str">
        <f ca="1">IFERROR(__xludf.DUMMYFUNCTION("QUERY('Volunteer Survey'!F864)"),"")</f>
        <v/>
      </c>
      <c r="AF865" s="175" t="str">
        <f ca="1">IFERROR(__xludf.DUMMYFUNCTION("QUERY('Volunteer Survey'!G864)"),"")</f>
        <v/>
      </c>
      <c r="AG865" s="175" t="str">
        <f ca="1">IFERROR(__xludf.DUMMYFUNCTION("QUERY('Volunteer Survey'!H864)"),"")</f>
        <v/>
      </c>
      <c r="AH865" s="175" t="str">
        <f ca="1">IFERROR(__xludf.DUMMYFUNCTION("QUERY('Volunteer Survey'!I864)"),"")</f>
        <v/>
      </c>
      <c r="AI865" s="175" t="str">
        <f ca="1">IFERROR(__xludf.DUMMYFUNCTION("QUERY('Volunteer Survey'!J864)"),"")</f>
        <v/>
      </c>
      <c r="AJ865" s="175" t="str">
        <f ca="1">IFERROR(__xludf.DUMMYFUNCTION("QUERY('Volunteer Survey'!K864)"),"")</f>
        <v/>
      </c>
      <c r="AK865" s="175" t="str">
        <f ca="1">IFERROR(__xludf.DUMMYFUNCTION("QUERY('Volunteer Survey'!L864)"),"")</f>
        <v/>
      </c>
      <c r="AL865" s="175" t="str">
        <f ca="1">IFERROR(__xludf.DUMMYFUNCTION("QUERY('Volunteer Survey'!M864)"),"")</f>
        <v/>
      </c>
      <c r="AM865" s="175" t="str">
        <f ca="1">IFERROR(__xludf.DUMMYFUNCTION("QUERY('Volunteer Survey'!N864)"),"")</f>
        <v/>
      </c>
      <c r="AN865" s="175" t="str">
        <f ca="1">IFERROR(__xludf.DUMMYFUNCTION("QUERY('Volunteer Survey'!O864)"),"")</f>
        <v/>
      </c>
      <c r="AO865" s="175" t="str">
        <f ca="1">IFERROR(__xludf.DUMMYFUNCTION("QUERY('Volunteer Survey'!P864)"),"")</f>
        <v/>
      </c>
    </row>
    <row r="866" spans="1:41" ht="14">
      <c r="A866" s="49"/>
      <c r="B866" s="49"/>
      <c r="C866" s="47"/>
      <c r="D866" s="49"/>
      <c r="E866" s="49"/>
      <c r="F866" s="49" t="b">
        <v>0</v>
      </c>
      <c r="G866" s="49"/>
      <c r="H866" s="47"/>
      <c r="I866" s="47"/>
      <c r="J866" s="49"/>
      <c r="K866" s="49"/>
      <c r="L866" s="49"/>
      <c r="M866" s="49"/>
      <c r="N866" s="49"/>
      <c r="O866" s="49" t="b">
        <v>0</v>
      </c>
      <c r="P866" s="49"/>
      <c r="Q866" s="49"/>
      <c r="R866" s="49"/>
      <c r="S866" s="49"/>
      <c r="T866" s="49"/>
      <c r="U866" s="58"/>
      <c r="V866" s="49"/>
      <c r="W866" s="58"/>
      <c r="X866" s="49"/>
      <c r="Y866" s="47"/>
      <c r="Z866" s="175" t="str">
        <f ca="1">IFERROR(__xludf.DUMMYFUNCTION("QUERY('Volunteer Survey'!A865)"),"")</f>
        <v/>
      </c>
      <c r="AA866" s="175" t="str">
        <f ca="1">IFERROR(__xludf.DUMMYFUNCTION("QUERY('Volunteer Survey'!B865)"),"")</f>
        <v/>
      </c>
      <c r="AB866" s="175" t="str">
        <f ca="1">IFERROR(__xludf.DUMMYFUNCTION("QUERY('Volunteer Survey'!C865)"),"")</f>
        <v/>
      </c>
      <c r="AC866" s="175" t="str">
        <f ca="1">IFERROR(__xludf.DUMMYFUNCTION("QUERY('Volunteer Survey'!D865)"),"")</f>
        <v/>
      </c>
      <c r="AD866" s="175" t="str">
        <f ca="1">IFERROR(__xludf.DUMMYFUNCTION("QUERY('Volunteer Survey'!E865)"),"")</f>
        <v/>
      </c>
      <c r="AE866" s="175" t="str">
        <f ca="1">IFERROR(__xludf.DUMMYFUNCTION("QUERY('Volunteer Survey'!F865)"),"")</f>
        <v/>
      </c>
      <c r="AF866" s="175" t="str">
        <f ca="1">IFERROR(__xludf.DUMMYFUNCTION("QUERY('Volunteer Survey'!G865)"),"")</f>
        <v/>
      </c>
      <c r="AG866" s="175" t="str">
        <f ca="1">IFERROR(__xludf.DUMMYFUNCTION("QUERY('Volunteer Survey'!H865)"),"")</f>
        <v/>
      </c>
      <c r="AH866" s="175" t="str">
        <f ca="1">IFERROR(__xludf.DUMMYFUNCTION("QUERY('Volunteer Survey'!I865)"),"")</f>
        <v/>
      </c>
      <c r="AI866" s="175" t="str">
        <f ca="1">IFERROR(__xludf.DUMMYFUNCTION("QUERY('Volunteer Survey'!J865)"),"")</f>
        <v/>
      </c>
      <c r="AJ866" s="175" t="str">
        <f ca="1">IFERROR(__xludf.DUMMYFUNCTION("QUERY('Volunteer Survey'!K865)"),"")</f>
        <v/>
      </c>
      <c r="AK866" s="175" t="str">
        <f ca="1">IFERROR(__xludf.DUMMYFUNCTION("QUERY('Volunteer Survey'!L865)"),"")</f>
        <v/>
      </c>
      <c r="AL866" s="175" t="str">
        <f ca="1">IFERROR(__xludf.DUMMYFUNCTION("QUERY('Volunteer Survey'!M865)"),"")</f>
        <v/>
      </c>
      <c r="AM866" s="175" t="str">
        <f ca="1">IFERROR(__xludf.DUMMYFUNCTION("QUERY('Volunteer Survey'!N865)"),"")</f>
        <v/>
      </c>
      <c r="AN866" s="175" t="str">
        <f ca="1">IFERROR(__xludf.DUMMYFUNCTION("QUERY('Volunteer Survey'!O865)"),"")</f>
        <v/>
      </c>
      <c r="AO866" s="175" t="str">
        <f ca="1">IFERROR(__xludf.DUMMYFUNCTION("QUERY('Volunteer Survey'!P865)"),"")</f>
        <v/>
      </c>
    </row>
    <row r="867" spans="1:41" ht="14">
      <c r="A867" s="49"/>
      <c r="B867" s="49"/>
      <c r="C867" s="47"/>
      <c r="D867" s="49"/>
      <c r="E867" s="49"/>
      <c r="F867" s="49" t="b">
        <v>0</v>
      </c>
      <c r="G867" s="49"/>
      <c r="H867" s="47"/>
      <c r="I867" s="47"/>
      <c r="J867" s="49"/>
      <c r="K867" s="49"/>
      <c r="L867" s="49"/>
      <c r="M867" s="49"/>
      <c r="N867" s="49"/>
      <c r="O867" s="49" t="b">
        <v>0</v>
      </c>
      <c r="P867" s="49"/>
      <c r="Q867" s="49"/>
      <c r="R867" s="49"/>
      <c r="S867" s="49"/>
      <c r="T867" s="49"/>
      <c r="U867" s="58"/>
      <c r="V867" s="49"/>
      <c r="W867" s="58"/>
      <c r="X867" s="49"/>
      <c r="Y867" s="47"/>
      <c r="Z867" s="175" t="str">
        <f ca="1">IFERROR(__xludf.DUMMYFUNCTION("QUERY('Volunteer Survey'!A866)"),"")</f>
        <v/>
      </c>
      <c r="AA867" s="175" t="str">
        <f ca="1">IFERROR(__xludf.DUMMYFUNCTION("QUERY('Volunteer Survey'!B866)"),"")</f>
        <v/>
      </c>
      <c r="AB867" s="175" t="str">
        <f ca="1">IFERROR(__xludf.DUMMYFUNCTION("QUERY('Volunteer Survey'!C866)"),"")</f>
        <v/>
      </c>
      <c r="AC867" s="175" t="str">
        <f ca="1">IFERROR(__xludf.DUMMYFUNCTION("QUERY('Volunteer Survey'!D866)"),"")</f>
        <v/>
      </c>
      <c r="AD867" s="175" t="str">
        <f ca="1">IFERROR(__xludf.DUMMYFUNCTION("QUERY('Volunteer Survey'!E866)"),"")</f>
        <v/>
      </c>
      <c r="AE867" s="175" t="str">
        <f ca="1">IFERROR(__xludf.DUMMYFUNCTION("QUERY('Volunteer Survey'!F866)"),"")</f>
        <v/>
      </c>
      <c r="AF867" s="175" t="str">
        <f ca="1">IFERROR(__xludf.DUMMYFUNCTION("QUERY('Volunteer Survey'!G866)"),"")</f>
        <v/>
      </c>
      <c r="AG867" s="175" t="str">
        <f ca="1">IFERROR(__xludf.DUMMYFUNCTION("QUERY('Volunteer Survey'!H866)"),"")</f>
        <v/>
      </c>
      <c r="AH867" s="175" t="str">
        <f ca="1">IFERROR(__xludf.DUMMYFUNCTION("QUERY('Volunteer Survey'!I866)"),"")</f>
        <v/>
      </c>
      <c r="AI867" s="175" t="str">
        <f ca="1">IFERROR(__xludf.DUMMYFUNCTION("QUERY('Volunteer Survey'!J866)"),"")</f>
        <v/>
      </c>
      <c r="AJ867" s="175" t="str">
        <f ca="1">IFERROR(__xludf.DUMMYFUNCTION("QUERY('Volunteer Survey'!K866)"),"")</f>
        <v/>
      </c>
      <c r="AK867" s="175" t="str">
        <f ca="1">IFERROR(__xludf.DUMMYFUNCTION("QUERY('Volunteer Survey'!L866)"),"")</f>
        <v/>
      </c>
      <c r="AL867" s="175" t="str">
        <f ca="1">IFERROR(__xludf.DUMMYFUNCTION("QUERY('Volunteer Survey'!M866)"),"")</f>
        <v/>
      </c>
      <c r="AM867" s="175" t="str">
        <f ca="1">IFERROR(__xludf.DUMMYFUNCTION("QUERY('Volunteer Survey'!N866)"),"")</f>
        <v/>
      </c>
      <c r="AN867" s="175" t="str">
        <f ca="1">IFERROR(__xludf.DUMMYFUNCTION("QUERY('Volunteer Survey'!O866)"),"")</f>
        <v/>
      </c>
      <c r="AO867" s="175" t="str">
        <f ca="1">IFERROR(__xludf.DUMMYFUNCTION("QUERY('Volunteer Survey'!P866)"),"")</f>
        <v/>
      </c>
    </row>
    <row r="868" spans="1:41" ht="14">
      <c r="A868" s="49"/>
      <c r="B868" s="49"/>
      <c r="C868" s="47"/>
      <c r="D868" s="49"/>
      <c r="E868" s="49"/>
      <c r="F868" s="49" t="b">
        <v>0</v>
      </c>
      <c r="G868" s="49"/>
      <c r="H868" s="47"/>
      <c r="I868" s="47"/>
      <c r="J868" s="49"/>
      <c r="K868" s="49"/>
      <c r="L868" s="49"/>
      <c r="M868" s="49"/>
      <c r="N868" s="49"/>
      <c r="O868" s="49" t="b">
        <v>0</v>
      </c>
      <c r="P868" s="49"/>
      <c r="Q868" s="49"/>
      <c r="R868" s="49"/>
      <c r="S868" s="49"/>
      <c r="T868" s="49"/>
      <c r="U868" s="58"/>
      <c r="V868" s="49"/>
      <c r="W868" s="58"/>
      <c r="X868" s="49"/>
      <c r="Y868" s="47"/>
      <c r="Z868" s="175" t="str">
        <f ca="1">IFERROR(__xludf.DUMMYFUNCTION("QUERY('Volunteer Survey'!A867)"),"")</f>
        <v/>
      </c>
      <c r="AA868" s="175" t="str">
        <f ca="1">IFERROR(__xludf.DUMMYFUNCTION("QUERY('Volunteer Survey'!B867)"),"")</f>
        <v/>
      </c>
      <c r="AB868" s="175" t="str">
        <f ca="1">IFERROR(__xludf.DUMMYFUNCTION("QUERY('Volunteer Survey'!C867)"),"")</f>
        <v/>
      </c>
      <c r="AC868" s="175" t="str">
        <f ca="1">IFERROR(__xludf.DUMMYFUNCTION("QUERY('Volunteer Survey'!D867)"),"")</f>
        <v/>
      </c>
      <c r="AD868" s="175" t="str">
        <f ca="1">IFERROR(__xludf.DUMMYFUNCTION("QUERY('Volunteer Survey'!E867)"),"")</f>
        <v/>
      </c>
      <c r="AE868" s="175" t="str">
        <f ca="1">IFERROR(__xludf.DUMMYFUNCTION("QUERY('Volunteer Survey'!F867)"),"")</f>
        <v/>
      </c>
      <c r="AF868" s="175" t="str">
        <f ca="1">IFERROR(__xludf.DUMMYFUNCTION("QUERY('Volunteer Survey'!G867)"),"")</f>
        <v/>
      </c>
      <c r="AG868" s="175" t="str">
        <f ca="1">IFERROR(__xludf.DUMMYFUNCTION("QUERY('Volunteer Survey'!H867)"),"")</f>
        <v/>
      </c>
      <c r="AH868" s="175" t="str">
        <f ca="1">IFERROR(__xludf.DUMMYFUNCTION("QUERY('Volunteer Survey'!I867)"),"")</f>
        <v/>
      </c>
      <c r="AI868" s="175" t="str">
        <f ca="1">IFERROR(__xludf.DUMMYFUNCTION("QUERY('Volunteer Survey'!J867)"),"")</f>
        <v/>
      </c>
      <c r="AJ868" s="175" t="str">
        <f ca="1">IFERROR(__xludf.DUMMYFUNCTION("QUERY('Volunteer Survey'!K867)"),"")</f>
        <v/>
      </c>
      <c r="AK868" s="175" t="str">
        <f ca="1">IFERROR(__xludf.DUMMYFUNCTION("QUERY('Volunteer Survey'!L867)"),"")</f>
        <v/>
      </c>
      <c r="AL868" s="175" t="str">
        <f ca="1">IFERROR(__xludf.DUMMYFUNCTION("QUERY('Volunteer Survey'!M867)"),"")</f>
        <v/>
      </c>
      <c r="AM868" s="175" t="str">
        <f ca="1">IFERROR(__xludf.DUMMYFUNCTION("QUERY('Volunteer Survey'!N867)"),"")</f>
        <v/>
      </c>
      <c r="AN868" s="175" t="str">
        <f ca="1">IFERROR(__xludf.DUMMYFUNCTION("QUERY('Volunteer Survey'!O867)"),"")</f>
        <v/>
      </c>
      <c r="AO868" s="175" t="str">
        <f ca="1">IFERROR(__xludf.DUMMYFUNCTION("QUERY('Volunteer Survey'!P867)"),"")</f>
        <v/>
      </c>
    </row>
    <row r="869" spans="1:41" ht="14">
      <c r="A869" s="49"/>
      <c r="B869" s="49"/>
      <c r="C869" s="47"/>
      <c r="D869" s="49"/>
      <c r="E869" s="49"/>
      <c r="F869" s="49" t="b">
        <v>0</v>
      </c>
      <c r="G869" s="49"/>
      <c r="H869" s="47"/>
      <c r="I869" s="47"/>
      <c r="J869" s="49"/>
      <c r="K869" s="49"/>
      <c r="L869" s="49"/>
      <c r="M869" s="49"/>
      <c r="N869" s="49"/>
      <c r="O869" s="49" t="b">
        <v>0</v>
      </c>
      <c r="P869" s="49"/>
      <c r="Q869" s="49"/>
      <c r="R869" s="49"/>
      <c r="S869" s="49"/>
      <c r="T869" s="49"/>
      <c r="U869" s="58"/>
      <c r="V869" s="49"/>
      <c r="W869" s="58"/>
      <c r="X869" s="49"/>
      <c r="Y869" s="47"/>
      <c r="Z869" s="175" t="str">
        <f ca="1">IFERROR(__xludf.DUMMYFUNCTION("QUERY('Volunteer Survey'!A868)"),"")</f>
        <v/>
      </c>
      <c r="AA869" s="175" t="str">
        <f ca="1">IFERROR(__xludf.DUMMYFUNCTION("QUERY('Volunteer Survey'!B868)"),"")</f>
        <v/>
      </c>
      <c r="AB869" s="175" t="str">
        <f ca="1">IFERROR(__xludf.DUMMYFUNCTION("QUERY('Volunteer Survey'!C868)"),"")</f>
        <v/>
      </c>
      <c r="AC869" s="175" t="str">
        <f ca="1">IFERROR(__xludf.DUMMYFUNCTION("QUERY('Volunteer Survey'!D868)"),"")</f>
        <v/>
      </c>
      <c r="AD869" s="175" t="str">
        <f ca="1">IFERROR(__xludf.DUMMYFUNCTION("QUERY('Volunteer Survey'!E868)"),"")</f>
        <v/>
      </c>
      <c r="AE869" s="175" t="str">
        <f ca="1">IFERROR(__xludf.DUMMYFUNCTION("QUERY('Volunteer Survey'!F868)"),"")</f>
        <v/>
      </c>
      <c r="AF869" s="175" t="str">
        <f ca="1">IFERROR(__xludf.DUMMYFUNCTION("QUERY('Volunteer Survey'!G868)"),"")</f>
        <v/>
      </c>
      <c r="AG869" s="175" t="str">
        <f ca="1">IFERROR(__xludf.DUMMYFUNCTION("QUERY('Volunteer Survey'!H868)"),"")</f>
        <v/>
      </c>
      <c r="AH869" s="175" t="str">
        <f ca="1">IFERROR(__xludf.DUMMYFUNCTION("QUERY('Volunteer Survey'!I868)"),"")</f>
        <v/>
      </c>
      <c r="AI869" s="175" t="str">
        <f ca="1">IFERROR(__xludf.DUMMYFUNCTION("QUERY('Volunteer Survey'!J868)"),"")</f>
        <v/>
      </c>
      <c r="AJ869" s="175" t="str">
        <f ca="1">IFERROR(__xludf.DUMMYFUNCTION("QUERY('Volunteer Survey'!K868)"),"")</f>
        <v/>
      </c>
      <c r="AK869" s="175" t="str">
        <f ca="1">IFERROR(__xludf.DUMMYFUNCTION("QUERY('Volunteer Survey'!L868)"),"")</f>
        <v/>
      </c>
      <c r="AL869" s="175" t="str">
        <f ca="1">IFERROR(__xludf.DUMMYFUNCTION("QUERY('Volunteer Survey'!M868)"),"")</f>
        <v/>
      </c>
      <c r="AM869" s="175" t="str">
        <f ca="1">IFERROR(__xludf.DUMMYFUNCTION("QUERY('Volunteer Survey'!N868)"),"")</f>
        <v/>
      </c>
      <c r="AN869" s="175" t="str">
        <f ca="1">IFERROR(__xludf.DUMMYFUNCTION("QUERY('Volunteer Survey'!O868)"),"")</f>
        <v/>
      </c>
      <c r="AO869" s="175" t="str">
        <f ca="1">IFERROR(__xludf.DUMMYFUNCTION("QUERY('Volunteer Survey'!P868)"),"")</f>
        <v/>
      </c>
    </row>
    <row r="870" spans="1:41" ht="14">
      <c r="A870" s="49"/>
      <c r="B870" s="49"/>
      <c r="C870" s="47"/>
      <c r="D870" s="49"/>
      <c r="E870" s="49"/>
      <c r="F870" s="49" t="b">
        <v>0</v>
      </c>
      <c r="G870" s="49"/>
      <c r="H870" s="47"/>
      <c r="I870" s="47"/>
      <c r="J870" s="49"/>
      <c r="K870" s="49"/>
      <c r="L870" s="49"/>
      <c r="M870" s="49"/>
      <c r="N870" s="49"/>
      <c r="O870" s="49" t="b">
        <v>0</v>
      </c>
      <c r="P870" s="49"/>
      <c r="Q870" s="49"/>
      <c r="R870" s="49"/>
      <c r="S870" s="49"/>
      <c r="T870" s="49"/>
      <c r="U870" s="58"/>
      <c r="V870" s="49"/>
      <c r="W870" s="58"/>
      <c r="X870" s="49"/>
      <c r="Y870" s="47"/>
      <c r="Z870" s="175" t="str">
        <f ca="1">IFERROR(__xludf.DUMMYFUNCTION("QUERY('Volunteer Survey'!A869)"),"")</f>
        <v/>
      </c>
      <c r="AA870" s="175" t="str">
        <f ca="1">IFERROR(__xludf.DUMMYFUNCTION("QUERY('Volunteer Survey'!B869)"),"")</f>
        <v/>
      </c>
      <c r="AB870" s="175" t="str">
        <f ca="1">IFERROR(__xludf.DUMMYFUNCTION("QUERY('Volunteer Survey'!C869)"),"")</f>
        <v/>
      </c>
      <c r="AC870" s="175" t="str">
        <f ca="1">IFERROR(__xludf.DUMMYFUNCTION("QUERY('Volunteer Survey'!D869)"),"")</f>
        <v/>
      </c>
      <c r="AD870" s="175" t="str">
        <f ca="1">IFERROR(__xludf.DUMMYFUNCTION("QUERY('Volunteer Survey'!E869)"),"")</f>
        <v/>
      </c>
      <c r="AE870" s="175" t="str">
        <f ca="1">IFERROR(__xludf.DUMMYFUNCTION("QUERY('Volunteer Survey'!F869)"),"")</f>
        <v/>
      </c>
      <c r="AF870" s="175" t="str">
        <f ca="1">IFERROR(__xludf.DUMMYFUNCTION("QUERY('Volunteer Survey'!G869)"),"")</f>
        <v/>
      </c>
      <c r="AG870" s="175" t="str">
        <f ca="1">IFERROR(__xludf.DUMMYFUNCTION("QUERY('Volunteer Survey'!H869)"),"")</f>
        <v/>
      </c>
      <c r="AH870" s="175" t="str">
        <f ca="1">IFERROR(__xludf.DUMMYFUNCTION("QUERY('Volunteer Survey'!I869)"),"")</f>
        <v/>
      </c>
      <c r="AI870" s="175" t="str">
        <f ca="1">IFERROR(__xludf.DUMMYFUNCTION("QUERY('Volunteer Survey'!J869)"),"")</f>
        <v/>
      </c>
      <c r="AJ870" s="175" t="str">
        <f ca="1">IFERROR(__xludf.DUMMYFUNCTION("QUERY('Volunteer Survey'!K869)"),"")</f>
        <v/>
      </c>
      <c r="AK870" s="175" t="str">
        <f ca="1">IFERROR(__xludf.DUMMYFUNCTION("QUERY('Volunteer Survey'!L869)"),"")</f>
        <v/>
      </c>
      <c r="AL870" s="175" t="str">
        <f ca="1">IFERROR(__xludf.DUMMYFUNCTION("QUERY('Volunteer Survey'!M869)"),"")</f>
        <v/>
      </c>
      <c r="AM870" s="175" t="str">
        <f ca="1">IFERROR(__xludf.DUMMYFUNCTION("QUERY('Volunteer Survey'!N869)"),"")</f>
        <v/>
      </c>
      <c r="AN870" s="175" t="str">
        <f ca="1">IFERROR(__xludf.DUMMYFUNCTION("QUERY('Volunteer Survey'!O869)"),"")</f>
        <v/>
      </c>
      <c r="AO870" s="175" t="str">
        <f ca="1">IFERROR(__xludf.DUMMYFUNCTION("QUERY('Volunteer Survey'!P869)"),"")</f>
        <v/>
      </c>
    </row>
    <row r="871" spans="1:41" ht="14">
      <c r="A871" s="49"/>
      <c r="B871" s="49"/>
      <c r="C871" s="47"/>
      <c r="D871" s="49"/>
      <c r="E871" s="49"/>
      <c r="F871" s="49" t="b">
        <v>0</v>
      </c>
      <c r="G871" s="49"/>
      <c r="H871" s="47"/>
      <c r="I871" s="47"/>
      <c r="J871" s="49"/>
      <c r="K871" s="49"/>
      <c r="L871" s="49"/>
      <c r="M871" s="49"/>
      <c r="N871" s="49"/>
      <c r="O871" s="49" t="b">
        <v>0</v>
      </c>
      <c r="P871" s="49"/>
      <c r="Q871" s="49"/>
      <c r="R871" s="49"/>
      <c r="S871" s="49"/>
      <c r="T871" s="49"/>
      <c r="U871" s="58"/>
      <c r="V871" s="49"/>
      <c r="W871" s="58"/>
      <c r="X871" s="49"/>
      <c r="Y871" s="47"/>
      <c r="Z871" s="175" t="str">
        <f ca="1">IFERROR(__xludf.DUMMYFUNCTION("QUERY('Volunteer Survey'!A870)"),"")</f>
        <v/>
      </c>
      <c r="AA871" s="175" t="str">
        <f ca="1">IFERROR(__xludf.DUMMYFUNCTION("QUERY('Volunteer Survey'!B870)"),"")</f>
        <v/>
      </c>
      <c r="AB871" s="175" t="str">
        <f ca="1">IFERROR(__xludf.DUMMYFUNCTION("QUERY('Volunteer Survey'!C870)"),"")</f>
        <v/>
      </c>
      <c r="AC871" s="175" t="str">
        <f ca="1">IFERROR(__xludf.DUMMYFUNCTION("QUERY('Volunteer Survey'!D870)"),"")</f>
        <v/>
      </c>
      <c r="AD871" s="175" t="str">
        <f ca="1">IFERROR(__xludf.DUMMYFUNCTION("QUERY('Volunteer Survey'!E870)"),"")</f>
        <v/>
      </c>
      <c r="AE871" s="175" t="str">
        <f ca="1">IFERROR(__xludf.DUMMYFUNCTION("QUERY('Volunteer Survey'!F870)"),"")</f>
        <v/>
      </c>
      <c r="AF871" s="175" t="str">
        <f ca="1">IFERROR(__xludf.DUMMYFUNCTION("QUERY('Volunteer Survey'!G870)"),"")</f>
        <v/>
      </c>
      <c r="AG871" s="175" t="str">
        <f ca="1">IFERROR(__xludf.DUMMYFUNCTION("QUERY('Volunteer Survey'!H870)"),"")</f>
        <v/>
      </c>
      <c r="AH871" s="175" t="str">
        <f ca="1">IFERROR(__xludf.DUMMYFUNCTION("QUERY('Volunteer Survey'!I870)"),"")</f>
        <v/>
      </c>
      <c r="AI871" s="175" t="str">
        <f ca="1">IFERROR(__xludf.DUMMYFUNCTION("QUERY('Volunteer Survey'!J870)"),"")</f>
        <v/>
      </c>
      <c r="AJ871" s="175" t="str">
        <f ca="1">IFERROR(__xludf.DUMMYFUNCTION("QUERY('Volunteer Survey'!K870)"),"")</f>
        <v/>
      </c>
      <c r="AK871" s="175" t="str">
        <f ca="1">IFERROR(__xludf.DUMMYFUNCTION("QUERY('Volunteer Survey'!L870)"),"")</f>
        <v/>
      </c>
      <c r="AL871" s="175" t="str">
        <f ca="1">IFERROR(__xludf.DUMMYFUNCTION("QUERY('Volunteer Survey'!M870)"),"")</f>
        <v/>
      </c>
      <c r="AM871" s="175" t="str">
        <f ca="1">IFERROR(__xludf.DUMMYFUNCTION("QUERY('Volunteer Survey'!N870)"),"")</f>
        <v/>
      </c>
      <c r="AN871" s="175" t="str">
        <f ca="1">IFERROR(__xludf.DUMMYFUNCTION("QUERY('Volunteer Survey'!O870)"),"")</f>
        <v/>
      </c>
      <c r="AO871" s="175" t="str">
        <f ca="1">IFERROR(__xludf.DUMMYFUNCTION("QUERY('Volunteer Survey'!P870)"),"")</f>
        <v/>
      </c>
    </row>
    <row r="872" spans="1:41" ht="14">
      <c r="A872" s="49"/>
      <c r="B872" s="49"/>
      <c r="C872" s="47"/>
      <c r="D872" s="49"/>
      <c r="E872" s="49"/>
      <c r="F872" s="49" t="b">
        <v>0</v>
      </c>
      <c r="G872" s="49"/>
      <c r="H872" s="47"/>
      <c r="I872" s="47"/>
      <c r="J872" s="49"/>
      <c r="K872" s="49"/>
      <c r="L872" s="49"/>
      <c r="M872" s="49"/>
      <c r="N872" s="49"/>
      <c r="O872" s="49" t="b">
        <v>0</v>
      </c>
      <c r="P872" s="49"/>
      <c r="Q872" s="49"/>
      <c r="R872" s="49"/>
      <c r="S872" s="49"/>
      <c r="T872" s="49"/>
      <c r="U872" s="58"/>
      <c r="V872" s="49"/>
      <c r="W872" s="58"/>
      <c r="X872" s="49"/>
      <c r="Y872" s="47"/>
      <c r="Z872" s="175" t="str">
        <f ca="1">IFERROR(__xludf.DUMMYFUNCTION("QUERY('Volunteer Survey'!A871)"),"")</f>
        <v/>
      </c>
      <c r="AA872" s="175" t="str">
        <f ca="1">IFERROR(__xludf.DUMMYFUNCTION("QUERY('Volunteer Survey'!B871)"),"")</f>
        <v/>
      </c>
      <c r="AB872" s="175" t="str">
        <f ca="1">IFERROR(__xludf.DUMMYFUNCTION("QUERY('Volunteer Survey'!C871)"),"")</f>
        <v/>
      </c>
      <c r="AC872" s="175" t="str">
        <f ca="1">IFERROR(__xludf.DUMMYFUNCTION("QUERY('Volunteer Survey'!D871)"),"")</f>
        <v/>
      </c>
      <c r="AD872" s="175" t="str">
        <f ca="1">IFERROR(__xludf.DUMMYFUNCTION("QUERY('Volunteer Survey'!E871)"),"")</f>
        <v/>
      </c>
      <c r="AE872" s="175" t="str">
        <f ca="1">IFERROR(__xludf.DUMMYFUNCTION("QUERY('Volunteer Survey'!F871)"),"")</f>
        <v/>
      </c>
      <c r="AF872" s="175" t="str">
        <f ca="1">IFERROR(__xludf.DUMMYFUNCTION("QUERY('Volunteer Survey'!G871)"),"")</f>
        <v/>
      </c>
      <c r="AG872" s="175" t="str">
        <f ca="1">IFERROR(__xludf.DUMMYFUNCTION("QUERY('Volunteer Survey'!H871)"),"")</f>
        <v/>
      </c>
      <c r="AH872" s="175" t="str">
        <f ca="1">IFERROR(__xludf.DUMMYFUNCTION("QUERY('Volunteer Survey'!I871)"),"")</f>
        <v/>
      </c>
      <c r="AI872" s="175" t="str">
        <f ca="1">IFERROR(__xludf.DUMMYFUNCTION("QUERY('Volunteer Survey'!J871)"),"")</f>
        <v/>
      </c>
      <c r="AJ872" s="175" t="str">
        <f ca="1">IFERROR(__xludf.DUMMYFUNCTION("QUERY('Volunteer Survey'!K871)"),"")</f>
        <v/>
      </c>
      <c r="AK872" s="175" t="str">
        <f ca="1">IFERROR(__xludf.DUMMYFUNCTION("QUERY('Volunteer Survey'!L871)"),"")</f>
        <v/>
      </c>
      <c r="AL872" s="175" t="str">
        <f ca="1">IFERROR(__xludf.DUMMYFUNCTION("QUERY('Volunteer Survey'!M871)"),"")</f>
        <v/>
      </c>
      <c r="AM872" s="175" t="str">
        <f ca="1">IFERROR(__xludf.DUMMYFUNCTION("QUERY('Volunteer Survey'!N871)"),"")</f>
        <v/>
      </c>
      <c r="AN872" s="175" t="str">
        <f ca="1">IFERROR(__xludf.DUMMYFUNCTION("QUERY('Volunteer Survey'!O871)"),"")</f>
        <v/>
      </c>
      <c r="AO872" s="175" t="str">
        <f ca="1">IFERROR(__xludf.DUMMYFUNCTION("QUERY('Volunteer Survey'!P871)"),"")</f>
        <v/>
      </c>
    </row>
    <row r="873" spans="1:41" ht="14">
      <c r="A873" s="49"/>
      <c r="B873" s="49"/>
      <c r="C873" s="47"/>
      <c r="D873" s="49"/>
      <c r="E873" s="49"/>
      <c r="F873" s="49" t="b">
        <v>0</v>
      </c>
      <c r="G873" s="49"/>
      <c r="H873" s="47"/>
      <c r="I873" s="47"/>
      <c r="J873" s="49"/>
      <c r="K873" s="49"/>
      <c r="L873" s="49"/>
      <c r="M873" s="49"/>
      <c r="N873" s="49"/>
      <c r="O873" s="49" t="b">
        <v>0</v>
      </c>
      <c r="P873" s="49"/>
      <c r="Q873" s="49"/>
      <c r="R873" s="49"/>
      <c r="S873" s="49"/>
      <c r="T873" s="49"/>
      <c r="U873" s="58"/>
      <c r="V873" s="49"/>
      <c r="W873" s="58"/>
      <c r="X873" s="49"/>
      <c r="Y873" s="47"/>
      <c r="Z873" s="175" t="str">
        <f ca="1">IFERROR(__xludf.DUMMYFUNCTION("QUERY('Volunteer Survey'!A872)"),"")</f>
        <v/>
      </c>
      <c r="AA873" s="175" t="str">
        <f ca="1">IFERROR(__xludf.DUMMYFUNCTION("QUERY('Volunteer Survey'!B872)"),"")</f>
        <v/>
      </c>
      <c r="AB873" s="175" t="str">
        <f ca="1">IFERROR(__xludf.DUMMYFUNCTION("QUERY('Volunteer Survey'!C872)"),"")</f>
        <v/>
      </c>
      <c r="AC873" s="175" t="str">
        <f ca="1">IFERROR(__xludf.DUMMYFUNCTION("QUERY('Volunteer Survey'!D872)"),"")</f>
        <v/>
      </c>
      <c r="AD873" s="175" t="str">
        <f ca="1">IFERROR(__xludf.DUMMYFUNCTION("QUERY('Volunteer Survey'!E872)"),"")</f>
        <v/>
      </c>
      <c r="AE873" s="175" t="str">
        <f ca="1">IFERROR(__xludf.DUMMYFUNCTION("QUERY('Volunteer Survey'!F872)"),"")</f>
        <v/>
      </c>
      <c r="AF873" s="175" t="str">
        <f ca="1">IFERROR(__xludf.DUMMYFUNCTION("QUERY('Volunteer Survey'!G872)"),"")</f>
        <v/>
      </c>
      <c r="AG873" s="175" t="str">
        <f ca="1">IFERROR(__xludf.DUMMYFUNCTION("QUERY('Volunteer Survey'!H872)"),"")</f>
        <v/>
      </c>
      <c r="AH873" s="175" t="str">
        <f ca="1">IFERROR(__xludf.DUMMYFUNCTION("QUERY('Volunteer Survey'!I872)"),"")</f>
        <v/>
      </c>
      <c r="AI873" s="175" t="str">
        <f ca="1">IFERROR(__xludf.DUMMYFUNCTION("QUERY('Volunteer Survey'!J872)"),"")</f>
        <v/>
      </c>
      <c r="AJ873" s="175" t="str">
        <f ca="1">IFERROR(__xludf.DUMMYFUNCTION("QUERY('Volunteer Survey'!K872)"),"")</f>
        <v/>
      </c>
      <c r="AK873" s="175" t="str">
        <f ca="1">IFERROR(__xludf.DUMMYFUNCTION("QUERY('Volunteer Survey'!L872)"),"")</f>
        <v/>
      </c>
      <c r="AL873" s="175" t="str">
        <f ca="1">IFERROR(__xludf.DUMMYFUNCTION("QUERY('Volunteer Survey'!M872)"),"")</f>
        <v/>
      </c>
      <c r="AM873" s="175" t="str">
        <f ca="1">IFERROR(__xludf.DUMMYFUNCTION("QUERY('Volunteer Survey'!N872)"),"")</f>
        <v/>
      </c>
      <c r="AN873" s="175" t="str">
        <f ca="1">IFERROR(__xludf.DUMMYFUNCTION("QUERY('Volunteer Survey'!O872)"),"")</f>
        <v/>
      </c>
      <c r="AO873" s="175" t="str">
        <f ca="1">IFERROR(__xludf.DUMMYFUNCTION("QUERY('Volunteer Survey'!P872)"),"")</f>
        <v/>
      </c>
    </row>
    <row r="874" spans="1:41" ht="14">
      <c r="A874" s="49"/>
      <c r="B874" s="49"/>
      <c r="C874" s="47"/>
      <c r="D874" s="49"/>
      <c r="E874" s="49"/>
      <c r="F874" s="49" t="b">
        <v>0</v>
      </c>
      <c r="G874" s="49"/>
      <c r="H874" s="47"/>
      <c r="I874" s="47"/>
      <c r="J874" s="49"/>
      <c r="K874" s="49"/>
      <c r="L874" s="49"/>
      <c r="M874" s="49"/>
      <c r="N874" s="49"/>
      <c r="O874" s="49" t="b">
        <v>0</v>
      </c>
      <c r="P874" s="49"/>
      <c r="Q874" s="49"/>
      <c r="R874" s="49"/>
      <c r="S874" s="49"/>
      <c r="T874" s="49"/>
      <c r="U874" s="58"/>
      <c r="V874" s="49"/>
      <c r="W874" s="58"/>
      <c r="X874" s="49"/>
      <c r="Y874" s="47"/>
      <c r="Z874" s="175" t="str">
        <f ca="1">IFERROR(__xludf.DUMMYFUNCTION("QUERY('Volunteer Survey'!A873)"),"")</f>
        <v/>
      </c>
      <c r="AA874" s="175" t="str">
        <f ca="1">IFERROR(__xludf.DUMMYFUNCTION("QUERY('Volunteer Survey'!B873)"),"")</f>
        <v/>
      </c>
      <c r="AB874" s="175" t="str">
        <f ca="1">IFERROR(__xludf.DUMMYFUNCTION("QUERY('Volunteer Survey'!C873)"),"")</f>
        <v/>
      </c>
      <c r="AC874" s="175" t="str">
        <f ca="1">IFERROR(__xludf.DUMMYFUNCTION("QUERY('Volunteer Survey'!D873)"),"")</f>
        <v/>
      </c>
      <c r="AD874" s="175" t="str">
        <f ca="1">IFERROR(__xludf.DUMMYFUNCTION("QUERY('Volunteer Survey'!E873)"),"")</f>
        <v/>
      </c>
      <c r="AE874" s="175" t="str">
        <f ca="1">IFERROR(__xludf.DUMMYFUNCTION("QUERY('Volunteer Survey'!F873)"),"")</f>
        <v/>
      </c>
      <c r="AF874" s="175" t="str">
        <f ca="1">IFERROR(__xludf.DUMMYFUNCTION("QUERY('Volunteer Survey'!G873)"),"")</f>
        <v/>
      </c>
      <c r="AG874" s="175" t="str">
        <f ca="1">IFERROR(__xludf.DUMMYFUNCTION("QUERY('Volunteer Survey'!H873)"),"")</f>
        <v/>
      </c>
      <c r="AH874" s="175" t="str">
        <f ca="1">IFERROR(__xludf.DUMMYFUNCTION("QUERY('Volunteer Survey'!I873)"),"")</f>
        <v/>
      </c>
      <c r="AI874" s="175" t="str">
        <f ca="1">IFERROR(__xludf.DUMMYFUNCTION("QUERY('Volunteer Survey'!J873)"),"")</f>
        <v/>
      </c>
      <c r="AJ874" s="175" t="str">
        <f ca="1">IFERROR(__xludf.DUMMYFUNCTION("QUERY('Volunteer Survey'!K873)"),"")</f>
        <v/>
      </c>
      <c r="AK874" s="175" t="str">
        <f ca="1">IFERROR(__xludf.DUMMYFUNCTION("QUERY('Volunteer Survey'!L873)"),"")</f>
        <v/>
      </c>
      <c r="AL874" s="175" t="str">
        <f ca="1">IFERROR(__xludf.DUMMYFUNCTION("QUERY('Volunteer Survey'!M873)"),"")</f>
        <v/>
      </c>
      <c r="AM874" s="175" t="str">
        <f ca="1">IFERROR(__xludf.DUMMYFUNCTION("QUERY('Volunteer Survey'!N873)"),"")</f>
        <v/>
      </c>
      <c r="AN874" s="175" t="str">
        <f ca="1">IFERROR(__xludf.DUMMYFUNCTION("QUERY('Volunteer Survey'!O873)"),"")</f>
        <v/>
      </c>
      <c r="AO874" s="175" t="str">
        <f ca="1">IFERROR(__xludf.DUMMYFUNCTION("QUERY('Volunteer Survey'!P873)"),"")</f>
        <v/>
      </c>
    </row>
    <row r="875" spans="1:41" ht="14">
      <c r="A875" s="49"/>
      <c r="B875" s="49"/>
      <c r="C875" s="47"/>
      <c r="D875" s="49"/>
      <c r="E875" s="49"/>
      <c r="F875" s="49" t="b">
        <v>0</v>
      </c>
      <c r="G875" s="49"/>
      <c r="H875" s="47"/>
      <c r="I875" s="47"/>
      <c r="J875" s="49"/>
      <c r="K875" s="49"/>
      <c r="L875" s="49"/>
      <c r="M875" s="49"/>
      <c r="N875" s="49"/>
      <c r="O875" s="49" t="b">
        <v>0</v>
      </c>
      <c r="P875" s="49"/>
      <c r="Q875" s="49"/>
      <c r="R875" s="49"/>
      <c r="S875" s="49"/>
      <c r="T875" s="49"/>
      <c r="U875" s="58"/>
      <c r="V875" s="49"/>
      <c r="W875" s="58"/>
      <c r="X875" s="49"/>
      <c r="Y875" s="47"/>
      <c r="Z875" s="175" t="str">
        <f ca="1">IFERROR(__xludf.DUMMYFUNCTION("QUERY('Volunteer Survey'!A874)"),"")</f>
        <v/>
      </c>
      <c r="AA875" s="175" t="str">
        <f ca="1">IFERROR(__xludf.DUMMYFUNCTION("QUERY('Volunteer Survey'!B874)"),"")</f>
        <v/>
      </c>
      <c r="AB875" s="175" t="str">
        <f ca="1">IFERROR(__xludf.DUMMYFUNCTION("QUERY('Volunteer Survey'!C874)"),"")</f>
        <v/>
      </c>
      <c r="AC875" s="175" t="str">
        <f ca="1">IFERROR(__xludf.DUMMYFUNCTION("QUERY('Volunteer Survey'!D874)"),"")</f>
        <v/>
      </c>
      <c r="AD875" s="175" t="str">
        <f ca="1">IFERROR(__xludf.DUMMYFUNCTION("QUERY('Volunteer Survey'!E874)"),"")</f>
        <v/>
      </c>
      <c r="AE875" s="175" t="str">
        <f ca="1">IFERROR(__xludf.DUMMYFUNCTION("QUERY('Volunteer Survey'!F874)"),"")</f>
        <v/>
      </c>
      <c r="AF875" s="175" t="str">
        <f ca="1">IFERROR(__xludf.DUMMYFUNCTION("QUERY('Volunteer Survey'!G874)"),"")</f>
        <v/>
      </c>
      <c r="AG875" s="175" t="str">
        <f ca="1">IFERROR(__xludf.DUMMYFUNCTION("QUERY('Volunteer Survey'!H874)"),"")</f>
        <v/>
      </c>
      <c r="AH875" s="175" t="str">
        <f ca="1">IFERROR(__xludf.DUMMYFUNCTION("QUERY('Volunteer Survey'!I874)"),"")</f>
        <v/>
      </c>
      <c r="AI875" s="175" t="str">
        <f ca="1">IFERROR(__xludf.DUMMYFUNCTION("QUERY('Volunteer Survey'!J874)"),"")</f>
        <v/>
      </c>
      <c r="AJ875" s="175" t="str">
        <f ca="1">IFERROR(__xludf.DUMMYFUNCTION("QUERY('Volunteer Survey'!K874)"),"")</f>
        <v/>
      </c>
      <c r="AK875" s="175" t="str">
        <f ca="1">IFERROR(__xludf.DUMMYFUNCTION("QUERY('Volunteer Survey'!L874)"),"")</f>
        <v/>
      </c>
      <c r="AL875" s="175" t="str">
        <f ca="1">IFERROR(__xludf.DUMMYFUNCTION("QUERY('Volunteer Survey'!M874)"),"")</f>
        <v/>
      </c>
      <c r="AM875" s="175" t="str">
        <f ca="1">IFERROR(__xludf.DUMMYFUNCTION("QUERY('Volunteer Survey'!N874)"),"")</f>
        <v/>
      </c>
      <c r="AN875" s="175" t="str">
        <f ca="1">IFERROR(__xludf.DUMMYFUNCTION("QUERY('Volunteer Survey'!O874)"),"")</f>
        <v/>
      </c>
      <c r="AO875" s="175" t="str">
        <f ca="1">IFERROR(__xludf.DUMMYFUNCTION("QUERY('Volunteer Survey'!P874)"),"")</f>
        <v/>
      </c>
    </row>
    <row r="876" spans="1:41" ht="14">
      <c r="A876" s="49"/>
      <c r="B876" s="49"/>
      <c r="C876" s="47"/>
      <c r="D876" s="49"/>
      <c r="E876" s="49"/>
      <c r="F876" s="49" t="b">
        <v>0</v>
      </c>
      <c r="G876" s="49"/>
      <c r="H876" s="47"/>
      <c r="I876" s="47"/>
      <c r="J876" s="49"/>
      <c r="K876" s="49"/>
      <c r="L876" s="49"/>
      <c r="M876" s="49"/>
      <c r="N876" s="49"/>
      <c r="O876" s="49" t="b">
        <v>0</v>
      </c>
      <c r="P876" s="49"/>
      <c r="Q876" s="49"/>
      <c r="R876" s="49"/>
      <c r="S876" s="49"/>
      <c r="T876" s="49"/>
      <c r="U876" s="58"/>
      <c r="V876" s="49"/>
      <c r="W876" s="58"/>
      <c r="X876" s="49"/>
      <c r="Y876" s="47"/>
      <c r="Z876" s="175" t="str">
        <f ca="1">IFERROR(__xludf.DUMMYFUNCTION("QUERY('Volunteer Survey'!A875)"),"")</f>
        <v/>
      </c>
      <c r="AA876" s="175" t="str">
        <f ca="1">IFERROR(__xludf.DUMMYFUNCTION("QUERY('Volunteer Survey'!B875)"),"")</f>
        <v/>
      </c>
      <c r="AB876" s="175" t="str">
        <f ca="1">IFERROR(__xludf.DUMMYFUNCTION("QUERY('Volunteer Survey'!C875)"),"")</f>
        <v/>
      </c>
      <c r="AC876" s="175" t="str">
        <f ca="1">IFERROR(__xludf.DUMMYFUNCTION("QUERY('Volunteer Survey'!D875)"),"")</f>
        <v/>
      </c>
      <c r="AD876" s="175" t="str">
        <f ca="1">IFERROR(__xludf.DUMMYFUNCTION("QUERY('Volunteer Survey'!E875)"),"")</f>
        <v/>
      </c>
      <c r="AE876" s="175" t="str">
        <f ca="1">IFERROR(__xludf.DUMMYFUNCTION("QUERY('Volunteer Survey'!F875)"),"")</f>
        <v/>
      </c>
      <c r="AF876" s="175" t="str">
        <f ca="1">IFERROR(__xludf.DUMMYFUNCTION("QUERY('Volunteer Survey'!G875)"),"")</f>
        <v/>
      </c>
      <c r="AG876" s="175" t="str">
        <f ca="1">IFERROR(__xludf.DUMMYFUNCTION("QUERY('Volunteer Survey'!H875)"),"")</f>
        <v/>
      </c>
      <c r="AH876" s="175" t="str">
        <f ca="1">IFERROR(__xludf.DUMMYFUNCTION("QUERY('Volunteer Survey'!I875)"),"")</f>
        <v/>
      </c>
      <c r="AI876" s="175" t="str">
        <f ca="1">IFERROR(__xludf.DUMMYFUNCTION("QUERY('Volunteer Survey'!J875)"),"")</f>
        <v/>
      </c>
      <c r="AJ876" s="175" t="str">
        <f ca="1">IFERROR(__xludf.DUMMYFUNCTION("QUERY('Volunteer Survey'!K875)"),"")</f>
        <v/>
      </c>
      <c r="AK876" s="175" t="str">
        <f ca="1">IFERROR(__xludf.DUMMYFUNCTION("QUERY('Volunteer Survey'!L875)"),"")</f>
        <v/>
      </c>
      <c r="AL876" s="175" t="str">
        <f ca="1">IFERROR(__xludf.DUMMYFUNCTION("QUERY('Volunteer Survey'!M875)"),"")</f>
        <v/>
      </c>
      <c r="AM876" s="175" t="str">
        <f ca="1">IFERROR(__xludf.DUMMYFUNCTION("QUERY('Volunteer Survey'!N875)"),"")</f>
        <v/>
      </c>
      <c r="AN876" s="175" t="str">
        <f ca="1">IFERROR(__xludf.DUMMYFUNCTION("QUERY('Volunteer Survey'!O875)"),"")</f>
        <v/>
      </c>
      <c r="AO876" s="175" t="str">
        <f ca="1">IFERROR(__xludf.DUMMYFUNCTION("QUERY('Volunteer Survey'!P875)"),"")</f>
        <v/>
      </c>
    </row>
    <row r="877" spans="1:41" ht="14">
      <c r="A877" s="49"/>
      <c r="B877" s="49"/>
      <c r="C877" s="47"/>
      <c r="D877" s="49"/>
      <c r="E877" s="49"/>
      <c r="F877" s="49" t="b">
        <v>0</v>
      </c>
      <c r="G877" s="49"/>
      <c r="H877" s="47"/>
      <c r="I877" s="47"/>
      <c r="J877" s="49"/>
      <c r="K877" s="49"/>
      <c r="L877" s="49"/>
      <c r="M877" s="49"/>
      <c r="N877" s="49"/>
      <c r="O877" s="49" t="b">
        <v>0</v>
      </c>
      <c r="P877" s="49"/>
      <c r="Q877" s="49"/>
      <c r="R877" s="49"/>
      <c r="S877" s="49"/>
      <c r="T877" s="49"/>
      <c r="U877" s="58"/>
      <c r="V877" s="49"/>
      <c r="W877" s="58"/>
      <c r="X877" s="49"/>
      <c r="Y877" s="47"/>
      <c r="Z877" s="175" t="str">
        <f ca="1">IFERROR(__xludf.DUMMYFUNCTION("QUERY('Volunteer Survey'!A876)"),"")</f>
        <v/>
      </c>
      <c r="AA877" s="175" t="str">
        <f ca="1">IFERROR(__xludf.DUMMYFUNCTION("QUERY('Volunteer Survey'!B876)"),"")</f>
        <v/>
      </c>
      <c r="AB877" s="175" t="str">
        <f ca="1">IFERROR(__xludf.DUMMYFUNCTION("QUERY('Volunteer Survey'!C876)"),"")</f>
        <v/>
      </c>
      <c r="AC877" s="175" t="str">
        <f ca="1">IFERROR(__xludf.DUMMYFUNCTION("QUERY('Volunteer Survey'!D876)"),"")</f>
        <v/>
      </c>
      <c r="AD877" s="175" t="str">
        <f ca="1">IFERROR(__xludf.DUMMYFUNCTION("QUERY('Volunteer Survey'!E876)"),"")</f>
        <v/>
      </c>
      <c r="AE877" s="175" t="str">
        <f ca="1">IFERROR(__xludf.DUMMYFUNCTION("QUERY('Volunteer Survey'!F876)"),"")</f>
        <v/>
      </c>
      <c r="AF877" s="175" t="str">
        <f ca="1">IFERROR(__xludf.DUMMYFUNCTION("QUERY('Volunteer Survey'!G876)"),"")</f>
        <v/>
      </c>
      <c r="AG877" s="175" t="str">
        <f ca="1">IFERROR(__xludf.DUMMYFUNCTION("QUERY('Volunteer Survey'!H876)"),"")</f>
        <v/>
      </c>
      <c r="AH877" s="175" t="str">
        <f ca="1">IFERROR(__xludf.DUMMYFUNCTION("QUERY('Volunteer Survey'!I876)"),"")</f>
        <v/>
      </c>
      <c r="AI877" s="175" t="str">
        <f ca="1">IFERROR(__xludf.DUMMYFUNCTION("QUERY('Volunteer Survey'!J876)"),"")</f>
        <v/>
      </c>
      <c r="AJ877" s="175" t="str">
        <f ca="1">IFERROR(__xludf.DUMMYFUNCTION("QUERY('Volunteer Survey'!K876)"),"")</f>
        <v/>
      </c>
      <c r="AK877" s="175" t="str">
        <f ca="1">IFERROR(__xludf.DUMMYFUNCTION("QUERY('Volunteer Survey'!L876)"),"")</f>
        <v/>
      </c>
      <c r="AL877" s="175" t="str">
        <f ca="1">IFERROR(__xludf.DUMMYFUNCTION("QUERY('Volunteer Survey'!M876)"),"")</f>
        <v/>
      </c>
      <c r="AM877" s="175" t="str">
        <f ca="1">IFERROR(__xludf.DUMMYFUNCTION("QUERY('Volunteer Survey'!N876)"),"")</f>
        <v/>
      </c>
      <c r="AN877" s="175" t="str">
        <f ca="1">IFERROR(__xludf.DUMMYFUNCTION("QUERY('Volunteer Survey'!O876)"),"")</f>
        <v/>
      </c>
      <c r="AO877" s="175" t="str">
        <f ca="1">IFERROR(__xludf.DUMMYFUNCTION("QUERY('Volunteer Survey'!P876)"),"")</f>
        <v/>
      </c>
    </row>
    <row r="878" spans="1:41" ht="14">
      <c r="A878" s="49"/>
      <c r="B878" s="49"/>
      <c r="C878" s="47"/>
      <c r="D878" s="49"/>
      <c r="E878" s="49"/>
      <c r="F878" s="49" t="b">
        <v>0</v>
      </c>
      <c r="G878" s="49"/>
      <c r="H878" s="47"/>
      <c r="I878" s="47"/>
      <c r="J878" s="49"/>
      <c r="K878" s="49"/>
      <c r="L878" s="49"/>
      <c r="M878" s="49"/>
      <c r="N878" s="49"/>
      <c r="O878" s="49" t="b">
        <v>0</v>
      </c>
      <c r="P878" s="49"/>
      <c r="Q878" s="49"/>
      <c r="R878" s="49"/>
      <c r="S878" s="49"/>
      <c r="T878" s="49"/>
      <c r="U878" s="58"/>
      <c r="V878" s="49"/>
      <c r="W878" s="58"/>
      <c r="X878" s="49"/>
      <c r="Y878" s="47"/>
      <c r="Z878" s="175" t="str">
        <f ca="1">IFERROR(__xludf.DUMMYFUNCTION("QUERY('Volunteer Survey'!A877)"),"")</f>
        <v/>
      </c>
      <c r="AA878" s="175" t="str">
        <f ca="1">IFERROR(__xludf.DUMMYFUNCTION("QUERY('Volunteer Survey'!B877)"),"")</f>
        <v/>
      </c>
      <c r="AB878" s="175" t="str">
        <f ca="1">IFERROR(__xludf.DUMMYFUNCTION("QUERY('Volunteer Survey'!C877)"),"")</f>
        <v/>
      </c>
      <c r="AC878" s="175" t="str">
        <f ca="1">IFERROR(__xludf.DUMMYFUNCTION("QUERY('Volunteer Survey'!D877)"),"")</f>
        <v/>
      </c>
      <c r="AD878" s="175" t="str">
        <f ca="1">IFERROR(__xludf.DUMMYFUNCTION("QUERY('Volunteer Survey'!E877)"),"")</f>
        <v/>
      </c>
      <c r="AE878" s="175" t="str">
        <f ca="1">IFERROR(__xludf.DUMMYFUNCTION("QUERY('Volunteer Survey'!F877)"),"")</f>
        <v/>
      </c>
      <c r="AF878" s="175" t="str">
        <f ca="1">IFERROR(__xludf.DUMMYFUNCTION("QUERY('Volunteer Survey'!G877)"),"")</f>
        <v/>
      </c>
      <c r="AG878" s="175" t="str">
        <f ca="1">IFERROR(__xludf.DUMMYFUNCTION("QUERY('Volunteer Survey'!H877)"),"")</f>
        <v/>
      </c>
      <c r="AH878" s="175" t="str">
        <f ca="1">IFERROR(__xludf.DUMMYFUNCTION("QUERY('Volunteer Survey'!I877)"),"")</f>
        <v/>
      </c>
      <c r="AI878" s="175" t="str">
        <f ca="1">IFERROR(__xludf.DUMMYFUNCTION("QUERY('Volunteer Survey'!J877)"),"")</f>
        <v/>
      </c>
      <c r="AJ878" s="175" t="str">
        <f ca="1">IFERROR(__xludf.DUMMYFUNCTION("QUERY('Volunteer Survey'!K877)"),"")</f>
        <v/>
      </c>
      <c r="AK878" s="175" t="str">
        <f ca="1">IFERROR(__xludf.DUMMYFUNCTION("QUERY('Volunteer Survey'!L877)"),"")</f>
        <v/>
      </c>
      <c r="AL878" s="175" t="str">
        <f ca="1">IFERROR(__xludf.DUMMYFUNCTION("QUERY('Volunteer Survey'!M877)"),"")</f>
        <v/>
      </c>
      <c r="AM878" s="175" t="str">
        <f ca="1">IFERROR(__xludf.DUMMYFUNCTION("QUERY('Volunteer Survey'!N877)"),"")</f>
        <v/>
      </c>
      <c r="AN878" s="175" t="str">
        <f ca="1">IFERROR(__xludf.DUMMYFUNCTION("QUERY('Volunteer Survey'!O877)"),"")</f>
        <v/>
      </c>
      <c r="AO878" s="175" t="str">
        <f ca="1">IFERROR(__xludf.DUMMYFUNCTION("QUERY('Volunteer Survey'!P877)"),"")</f>
        <v/>
      </c>
    </row>
    <row r="879" spans="1:41" ht="14">
      <c r="A879" s="49"/>
      <c r="B879" s="49"/>
      <c r="C879" s="47"/>
      <c r="D879" s="49"/>
      <c r="E879" s="49"/>
      <c r="F879" s="49" t="b">
        <v>0</v>
      </c>
      <c r="G879" s="49"/>
      <c r="H879" s="47"/>
      <c r="I879" s="47"/>
      <c r="J879" s="49"/>
      <c r="K879" s="49"/>
      <c r="L879" s="49"/>
      <c r="M879" s="49"/>
      <c r="N879" s="49"/>
      <c r="O879" s="49" t="b">
        <v>0</v>
      </c>
      <c r="P879" s="49"/>
      <c r="Q879" s="49"/>
      <c r="R879" s="49"/>
      <c r="S879" s="49"/>
      <c r="T879" s="49"/>
      <c r="U879" s="58"/>
      <c r="V879" s="49"/>
      <c r="W879" s="58"/>
      <c r="X879" s="49"/>
      <c r="Y879" s="47"/>
      <c r="Z879" s="175" t="str">
        <f ca="1">IFERROR(__xludf.DUMMYFUNCTION("QUERY('Volunteer Survey'!A878)"),"")</f>
        <v/>
      </c>
      <c r="AA879" s="175" t="str">
        <f ca="1">IFERROR(__xludf.DUMMYFUNCTION("QUERY('Volunteer Survey'!B878)"),"")</f>
        <v/>
      </c>
      <c r="AB879" s="175" t="str">
        <f ca="1">IFERROR(__xludf.DUMMYFUNCTION("QUERY('Volunteer Survey'!C878)"),"")</f>
        <v/>
      </c>
      <c r="AC879" s="175" t="str">
        <f ca="1">IFERROR(__xludf.DUMMYFUNCTION("QUERY('Volunteer Survey'!D878)"),"")</f>
        <v/>
      </c>
      <c r="AD879" s="175" t="str">
        <f ca="1">IFERROR(__xludf.DUMMYFUNCTION("QUERY('Volunteer Survey'!E878)"),"")</f>
        <v/>
      </c>
      <c r="AE879" s="175" t="str">
        <f ca="1">IFERROR(__xludf.DUMMYFUNCTION("QUERY('Volunteer Survey'!F878)"),"")</f>
        <v/>
      </c>
      <c r="AF879" s="175" t="str">
        <f ca="1">IFERROR(__xludf.DUMMYFUNCTION("QUERY('Volunteer Survey'!G878)"),"")</f>
        <v/>
      </c>
      <c r="AG879" s="175" t="str">
        <f ca="1">IFERROR(__xludf.DUMMYFUNCTION("QUERY('Volunteer Survey'!H878)"),"")</f>
        <v/>
      </c>
      <c r="AH879" s="175" t="str">
        <f ca="1">IFERROR(__xludf.DUMMYFUNCTION("QUERY('Volunteer Survey'!I878)"),"")</f>
        <v/>
      </c>
      <c r="AI879" s="175" t="str">
        <f ca="1">IFERROR(__xludf.DUMMYFUNCTION("QUERY('Volunteer Survey'!J878)"),"")</f>
        <v/>
      </c>
      <c r="AJ879" s="175" t="str">
        <f ca="1">IFERROR(__xludf.DUMMYFUNCTION("QUERY('Volunteer Survey'!K878)"),"")</f>
        <v/>
      </c>
      <c r="AK879" s="175" t="str">
        <f ca="1">IFERROR(__xludf.DUMMYFUNCTION("QUERY('Volunteer Survey'!L878)"),"")</f>
        <v/>
      </c>
      <c r="AL879" s="175" t="str">
        <f ca="1">IFERROR(__xludf.DUMMYFUNCTION("QUERY('Volunteer Survey'!M878)"),"")</f>
        <v/>
      </c>
      <c r="AM879" s="175" t="str">
        <f ca="1">IFERROR(__xludf.DUMMYFUNCTION("QUERY('Volunteer Survey'!N878)"),"")</f>
        <v/>
      </c>
      <c r="AN879" s="175" t="str">
        <f ca="1">IFERROR(__xludf.DUMMYFUNCTION("QUERY('Volunteer Survey'!O878)"),"")</f>
        <v/>
      </c>
      <c r="AO879" s="175" t="str">
        <f ca="1">IFERROR(__xludf.DUMMYFUNCTION("QUERY('Volunteer Survey'!P878)"),"")</f>
        <v/>
      </c>
    </row>
    <row r="880" spans="1:41" ht="14">
      <c r="A880" s="49"/>
      <c r="B880" s="49"/>
      <c r="C880" s="47"/>
      <c r="D880" s="49"/>
      <c r="E880" s="49"/>
      <c r="F880" s="49" t="b">
        <v>0</v>
      </c>
      <c r="G880" s="49"/>
      <c r="H880" s="47"/>
      <c r="I880" s="47"/>
      <c r="J880" s="49"/>
      <c r="K880" s="49"/>
      <c r="L880" s="49"/>
      <c r="M880" s="49"/>
      <c r="N880" s="49"/>
      <c r="O880" s="49" t="b">
        <v>0</v>
      </c>
      <c r="P880" s="49"/>
      <c r="Q880" s="49"/>
      <c r="R880" s="49"/>
      <c r="S880" s="49"/>
      <c r="T880" s="49"/>
      <c r="U880" s="58"/>
      <c r="V880" s="49"/>
      <c r="W880" s="58"/>
      <c r="X880" s="49"/>
      <c r="Y880" s="47"/>
      <c r="Z880" s="175" t="str">
        <f ca="1">IFERROR(__xludf.DUMMYFUNCTION("QUERY('Volunteer Survey'!A879)"),"")</f>
        <v/>
      </c>
      <c r="AA880" s="175" t="str">
        <f ca="1">IFERROR(__xludf.DUMMYFUNCTION("QUERY('Volunteer Survey'!B879)"),"")</f>
        <v/>
      </c>
      <c r="AB880" s="175" t="str">
        <f ca="1">IFERROR(__xludf.DUMMYFUNCTION("QUERY('Volunteer Survey'!C879)"),"")</f>
        <v/>
      </c>
      <c r="AC880" s="175" t="str">
        <f ca="1">IFERROR(__xludf.DUMMYFUNCTION("QUERY('Volunteer Survey'!D879)"),"")</f>
        <v/>
      </c>
      <c r="AD880" s="175" t="str">
        <f ca="1">IFERROR(__xludf.DUMMYFUNCTION("QUERY('Volunteer Survey'!E879)"),"")</f>
        <v/>
      </c>
      <c r="AE880" s="175" t="str">
        <f ca="1">IFERROR(__xludf.DUMMYFUNCTION("QUERY('Volunteer Survey'!F879)"),"")</f>
        <v/>
      </c>
      <c r="AF880" s="175" t="str">
        <f ca="1">IFERROR(__xludf.DUMMYFUNCTION("QUERY('Volunteer Survey'!G879)"),"")</f>
        <v/>
      </c>
      <c r="AG880" s="175" t="str">
        <f ca="1">IFERROR(__xludf.DUMMYFUNCTION("QUERY('Volunteer Survey'!H879)"),"")</f>
        <v/>
      </c>
      <c r="AH880" s="175" t="str">
        <f ca="1">IFERROR(__xludf.DUMMYFUNCTION("QUERY('Volunteer Survey'!I879)"),"")</f>
        <v/>
      </c>
      <c r="AI880" s="175" t="str">
        <f ca="1">IFERROR(__xludf.DUMMYFUNCTION("QUERY('Volunteer Survey'!J879)"),"")</f>
        <v/>
      </c>
      <c r="AJ880" s="175" t="str">
        <f ca="1">IFERROR(__xludf.DUMMYFUNCTION("QUERY('Volunteer Survey'!K879)"),"")</f>
        <v/>
      </c>
      <c r="AK880" s="175" t="str">
        <f ca="1">IFERROR(__xludf.DUMMYFUNCTION("QUERY('Volunteer Survey'!L879)"),"")</f>
        <v/>
      </c>
      <c r="AL880" s="175" t="str">
        <f ca="1">IFERROR(__xludf.DUMMYFUNCTION("QUERY('Volunteer Survey'!M879)"),"")</f>
        <v/>
      </c>
      <c r="AM880" s="175" t="str">
        <f ca="1">IFERROR(__xludf.DUMMYFUNCTION("QUERY('Volunteer Survey'!N879)"),"")</f>
        <v/>
      </c>
      <c r="AN880" s="175" t="str">
        <f ca="1">IFERROR(__xludf.DUMMYFUNCTION("QUERY('Volunteer Survey'!O879)"),"")</f>
        <v/>
      </c>
      <c r="AO880" s="175" t="str">
        <f ca="1">IFERROR(__xludf.DUMMYFUNCTION("QUERY('Volunteer Survey'!P879)"),"")</f>
        <v/>
      </c>
    </row>
    <row r="881" spans="1:41" ht="14">
      <c r="A881" s="49"/>
      <c r="B881" s="49"/>
      <c r="C881" s="47"/>
      <c r="D881" s="49"/>
      <c r="E881" s="49"/>
      <c r="F881" s="49" t="b">
        <v>0</v>
      </c>
      <c r="G881" s="49"/>
      <c r="H881" s="47"/>
      <c r="I881" s="47"/>
      <c r="J881" s="49"/>
      <c r="K881" s="49"/>
      <c r="L881" s="49"/>
      <c r="M881" s="49"/>
      <c r="N881" s="49"/>
      <c r="O881" s="49" t="b">
        <v>0</v>
      </c>
      <c r="P881" s="49"/>
      <c r="Q881" s="49"/>
      <c r="R881" s="49"/>
      <c r="S881" s="49"/>
      <c r="T881" s="49"/>
      <c r="U881" s="58"/>
      <c r="V881" s="49"/>
      <c r="W881" s="58"/>
      <c r="X881" s="49"/>
      <c r="Y881" s="47"/>
      <c r="Z881" s="175" t="str">
        <f ca="1">IFERROR(__xludf.DUMMYFUNCTION("QUERY('Volunteer Survey'!A880)"),"")</f>
        <v/>
      </c>
      <c r="AA881" s="175" t="str">
        <f ca="1">IFERROR(__xludf.DUMMYFUNCTION("QUERY('Volunteer Survey'!B880)"),"")</f>
        <v/>
      </c>
      <c r="AB881" s="175" t="str">
        <f ca="1">IFERROR(__xludf.DUMMYFUNCTION("QUERY('Volunteer Survey'!C880)"),"")</f>
        <v/>
      </c>
      <c r="AC881" s="175" t="str">
        <f ca="1">IFERROR(__xludf.DUMMYFUNCTION("QUERY('Volunteer Survey'!D880)"),"")</f>
        <v/>
      </c>
      <c r="AD881" s="175" t="str">
        <f ca="1">IFERROR(__xludf.DUMMYFUNCTION("QUERY('Volunteer Survey'!E880)"),"")</f>
        <v/>
      </c>
      <c r="AE881" s="175" t="str">
        <f ca="1">IFERROR(__xludf.DUMMYFUNCTION("QUERY('Volunteer Survey'!F880)"),"")</f>
        <v/>
      </c>
      <c r="AF881" s="175" t="str">
        <f ca="1">IFERROR(__xludf.DUMMYFUNCTION("QUERY('Volunteer Survey'!G880)"),"")</f>
        <v/>
      </c>
      <c r="AG881" s="175" t="str">
        <f ca="1">IFERROR(__xludf.DUMMYFUNCTION("QUERY('Volunteer Survey'!H880)"),"")</f>
        <v/>
      </c>
      <c r="AH881" s="175" t="str">
        <f ca="1">IFERROR(__xludf.DUMMYFUNCTION("QUERY('Volunteer Survey'!I880)"),"")</f>
        <v/>
      </c>
      <c r="AI881" s="175" t="str">
        <f ca="1">IFERROR(__xludf.DUMMYFUNCTION("QUERY('Volunteer Survey'!J880)"),"")</f>
        <v/>
      </c>
      <c r="AJ881" s="175" t="str">
        <f ca="1">IFERROR(__xludf.DUMMYFUNCTION("QUERY('Volunteer Survey'!K880)"),"")</f>
        <v/>
      </c>
      <c r="AK881" s="175" t="str">
        <f ca="1">IFERROR(__xludf.DUMMYFUNCTION("QUERY('Volunteer Survey'!L880)"),"")</f>
        <v/>
      </c>
      <c r="AL881" s="175" t="str">
        <f ca="1">IFERROR(__xludf.DUMMYFUNCTION("QUERY('Volunteer Survey'!M880)"),"")</f>
        <v/>
      </c>
      <c r="AM881" s="175" t="str">
        <f ca="1">IFERROR(__xludf.DUMMYFUNCTION("QUERY('Volunteer Survey'!N880)"),"")</f>
        <v/>
      </c>
      <c r="AN881" s="175" t="str">
        <f ca="1">IFERROR(__xludf.DUMMYFUNCTION("QUERY('Volunteer Survey'!O880)"),"")</f>
        <v/>
      </c>
      <c r="AO881" s="175" t="str">
        <f ca="1">IFERROR(__xludf.DUMMYFUNCTION("QUERY('Volunteer Survey'!P880)"),"")</f>
        <v/>
      </c>
    </row>
    <row r="882" spans="1:41" ht="14">
      <c r="A882" s="49"/>
      <c r="B882" s="49"/>
      <c r="C882" s="47"/>
      <c r="D882" s="49"/>
      <c r="E882" s="49"/>
      <c r="F882" s="49" t="b">
        <v>0</v>
      </c>
      <c r="G882" s="49"/>
      <c r="H882" s="47"/>
      <c r="I882" s="47"/>
      <c r="J882" s="49"/>
      <c r="K882" s="49"/>
      <c r="L882" s="49"/>
      <c r="M882" s="49"/>
      <c r="N882" s="49"/>
      <c r="O882" s="49" t="b">
        <v>0</v>
      </c>
      <c r="P882" s="49"/>
      <c r="Q882" s="49"/>
      <c r="R882" s="49"/>
      <c r="S882" s="49"/>
      <c r="T882" s="49"/>
      <c r="U882" s="58"/>
      <c r="V882" s="49"/>
      <c r="W882" s="58"/>
      <c r="X882" s="49"/>
      <c r="Y882" s="47"/>
      <c r="Z882" s="175" t="str">
        <f ca="1">IFERROR(__xludf.DUMMYFUNCTION("QUERY('Volunteer Survey'!A881)"),"")</f>
        <v/>
      </c>
      <c r="AA882" s="175" t="str">
        <f ca="1">IFERROR(__xludf.DUMMYFUNCTION("QUERY('Volunteer Survey'!B881)"),"")</f>
        <v/>
      </c>
      <c r="AB882" s="175" t="str">
        <f ca="1">IFERROR(__xludf.DUMMYFUNCTION("QUERY('Volunteer Survey'!C881)"),"")</f>
        <v/>
      </c>
      <c r="AC882" s="175" t="str">
        <f ca="1">IFERROR(__xludf.DUMMYFUNCTION("QUERY('Volunteer Survey'!D881)"),"")</f>
        <v/>
      </c>
      <c r="AD882" s="175" t="str">
        <f ca="1">IFERROR(__xludf.DUMMYFUNCTION("QUERY('Volunteer Survey'!E881)"),"")</f>
        <v/>
      </c>
      <c r="AE882" s="175" t="str">
        <f ca="1">IFERROR(__xludf.DUMMYFUNCTION("QUERY('Volunteer Survey'!F881)"),"")</f>
        <v/>
      </c>
      <c r="AF882" s="175" t="str">
        <f ca="1">IFERROR(__xludf.DUMMYFUNCTION("QUERY('Volunteer Survey'!G881)"),"")</f>
        <v/>
      </c>
      <c r="AG882" s="175" t="str">
        <f ca="1">IFERROR(__xludf.DUMMYFUNCTION("QUERY('Volunteer Survey'!H881)"),"")</f>
        <v/>
      </c>
      <c r="AH882" s="175" t="str">
        <f ca="1">IFERROR(__xludf.DUMMYFUNCTION("QUERY('Volunteer Survey'!I881)"),"")</f>
        <v/>
      </c>
      <c r="AI882" s="175" t="str">
        <f ca="1">IFERROR(__xludf.DUMMYFUNCTION("QUERY('Volunteer Survey'!J881)"),"")</f>
        <v/>
      </c>
      <c r="AJ882" s="175" t="str">
        <f ca="1">IFERROR(__xludf.DUMMYFUNCTION("QUERY('Volunteer Survey'!K881)"),"")</f>
        <v/>
      </c>
      <c r="AK882" s="175" t="str">
        <f ca="1">IFERROR(__xludf.DUMMYFUNCTION("QUERY('Volunteer Survey'!L881)"),"")</f>
        <v/>
      </c>
      <c r="AL882" s="175" t="str">
        <f ca="1">IFERROR(__xludf.DUMMYFUNCTION("QUERY('Volunteer Survey'!M881)"),"")</f>
        <v/>
      </c>
      <c r="AM882" s="175" t="str">
        <f ca="1">IFERROR(__xludf.DUMMYFUNCTION("QUERY('Volunteer Survey'!N881)"),"")</f>
        <v/>
      </c>
      <c r="AN882" s="175" t="str">
        <f ca="1">IFERROR(__xludf.DUMMYFUNCTION("QUERY('Volunteer Survey'!O881)"),"")</f>
        <v/>
      </c>
      <c r="AO882" s="175" t="str">
        <f ca="1">IFERROR(__xludf.DUMMYFUNCTION("QUERY('Volunteer Survey'!P881)"),"")</f>
        <v/>
      </c>
    </row>
    <row r="883" spans="1:41" ht="14">
      <c r="A883" s="49"/>
      <c r="B883" s="49"/>
      <c r="C883" s="47"/>
      <c r="D883" s="49"/>
      <c r="E883" s="49"/>
      <c r="F883" s="49" t="b">
        <v>0</v>
      </c>
      <c r="G883" s="49"/>
      <c r="H883" s="47"/>
      <c r="I883" s="47"/>
      <c r="J883" s="49"/>
      <c r="K883" s="49"/>
      <c r="L883" s="49"/>
      <c r="M883" s="49"/>
      <c r="N883" s="49"/>
      <c r="O883" s="49" t="b">
        <v>0</v>
      </c>
      <c r="P883" s="49"/>
      <c r="Q883" s="49"/>
      <c r="R883" s="49"/>
      <c r="S883" s="49"/>
      <c r="T883" s="49"/>
      <c r="U883" s="58"/>
      <c r="V883" s="49"/>
      <c r="W883" s="58"/>
      <c r="X883" s="49"/>
      <c r="Y883" s="47"/>
      <c r="Z883" s="175" t="str">
        <f ca="1">IFERROR(__xludf.DUMMYFUNCTION("QUERY('Volunteer Survey'!A882)"),"")</f>
        <v/>
      </c>
      <c r="AA883" s="175" t="str">
        <f ca="1">IFERROR(__xludf.DUMMYFUNCTION("QUERY('Volunteer Survey'!B882)"),"")</f>
        <v/>
      </c>
      <c r="AB883" s="175" t="str">
        <f ca="1">IFERROR(__xludf.DUMMYFUNCTION("QUERY('Volunteer Survey'!C882)"),"")</f>
        <v/>
      </c>
      <c r="AC883" s="175" t="str">
        <f ca="1">IFERROR(__xludf.DUMMYFUNCTION("QUERY('Volunteer Survey'!D882)"),"")</f>
        <v/>
      </c>
      <c r="AD883" s="175" t="str">
        <f ca="1">IFERROR(__xludf.DUMMYFUNCTION("QUERY('Volunteer Survey'!E882)"),"")</f>
        <v/>
      </c>
      <c r="AE883" s="175" t="str">
        <f ca="1">IFERROR(__xludf.DUMMYFUNCTION("QUERY('Volunteer Survey'!F882)"),"")</f>
        <v/>
      </c>
      <c r="AF883" s="175" t="str">
        <f ca="1">IFERROR(__xludf.DUMMYFUNCTION("QUERY('Volunteer Survey'!G882)"),"")</f>
        <v/>
      </c>
      <c r="AG883" s="175" t="str">
        <f ca="1">IFERROR(__xludf.DUMMYFUNCTION("QUERY('Volunteer Survey'!H882)"),"")</f>
        <v/>
      </c>
      <c r="AH883" s="175" t="str">
        <f ca="1">IFERROR(__xludf.DUMMYFUNCTION("QUERY('Volunteer Survey'!I882)"),"")</f>
        <v/>
      </c>
      <c r="AI883" s="175" t="str">
        <f ca="1">IFERROR(__xludf.DUMMYFUNCTION("QUERY('Volunteer Survey'!J882)"),"")</f>
        <v/>
      </c>
      <c r="AJ883" s="175" t="str">
        <f ca="1">IFERROR(__xludf.DUMMYFUNCTION("QUERY('Volunteer Survey'!K882)"),"")</f>
        <v/>
      </c>
      <c r="AK883" s="175" t="str">
        <f ca="1">IFERROR(__xludf.DUMMYFUNCTION("QUERY('Volunteer Survey'!L882)"),"")</f>
        <v/>
      </c>
      <c r="AL883" s="175" t="str">
        <f ca="1">IFERROR(__xludf.DUMMYFUNCTION("QUERY('Volunteer Survey'!M882)"),"")</f>
        <v/>
      </c>
      <c r="AM883" s="175" t="str">
        <f ca="1">IFERROR(__xludf.DUMMYFUNCTION("QUERY('Volunteer Survey'!N882)"),"")</f>
        <v/>
      </c>
      <c r="AN883" s="175" t="str">
        <f ca="1">IFERROR(__xludf.DUMMYFUNCTION("QUERY('Volunteer Survey'!O882)"),"")</f>
        <v/>
      </c>
      <c r="AO883" s="175" t="str">
        <f ca="1">IFERROR(__xludf.DUMMYFUNCTION("QUERY('Volunteer Survey'!P882)"),"")</f>
        <v/>
      </c>
    </row>
    <row r="884" spans="1:41" ht="14">
      <c r="A884" s="49"/>
      <c r="B884" s="49"/>
      <c r="C884" s="47"/>
      <c r="D884" s="49"/>
      <c r="E884" s="49"/>
      <c r="F884" s="49" t="b">
        <v>0</v>
      </c>
      <c r="G884" s="49"/>
      <c r="H884" s="47"/>
      <c r="I884" s="47"/>
      <c r="J884" s="49"/>
      <c r="K884" s="49"/>
      <c r="L884" s="49"/>
      <c r="M884" s="49"/>
      <c r="N884" s="49"/>
      <c r="O884" s="49" t="b">
        <v>0</v>
      </c>
      <c r="P884" s="49"/>
      <c r="Q884" s="49"/>
      <c r="R884" s="49"/>
      <c r="S884" s="49"/>
      <c r="T884" s="49"/>
      <c r="U884" s="58"/>
      <c r="V884" s="49"/>
      <c r="W884" s="58"/>
      <c r="X884" s="49"/>
      <c r="Y884" s="47"/>
      <c r="Z884" s="175" t="str">
        <f ca="1">IFERROR(__xludf.DUMMYFUNCTION("QUERY('Volunteer Survey'!A883)"),"")</f>
        <v/>
      </c>
      <c r="AA884" s="175" t="str">
        <f ca="1">IFERROR(__xludf.DUMMYFUNCTION("QUERY('Volunteer Survey'!B883)"),"")</f>
        <v/>
      </c>
      <c r="AB884" s="175" t="str">
        <f ca="1">IFERROR(__xludf.DUMMYFUNCTION("QUERY('Volunteer Survey'!C883)"),"")</f>
        <v/>
      </c>
      <c r="AC884" s="175" t="str">
        <f ca="1">IFERROR(__xludf.DUMMYFUNCTION("QUERY('Volunteer Survey'!D883)"),"")</f>
        <v/>
      </c>
      <c r="AD884" s="175" t="str">
        <f ca="1">IFERROR(__xludf.DUMMYFUNCTION("QUERY('Volunteer Survey'!E883)"),"")</f>
        <v/>
      </c>
      <c r="AE884" s="175" t="str">
        <f ca="1">IFERROR(__xludf.DUMMYFUNCTION("QUERY('Volunteer Survey'!F883)"),"")</f>
        <v/>
      </c>
      <c r="AF884" s="175" t="str">
        <f ca="1">IFERROR(__xludf.DUMMYFUNCTION("QUERY('Volunteer Survey'!G883)"),"")</f>
        <v/>
      </c>
      <c r="AG884" s="175" t="str">
        <f ca="1">IFERROR(__xludf.DUMMYFUNCTION("QUERY('Volunteer Survey'!H883)"),"")</f>
        <v/>
      </c>
      <c r="AH884" s="175" t="str">
        <f ca="1">IFERROR(__xludf.DUMMYFUNCTION("QUERY('Volunteer Survey'!I883)"),"")</f>
        <v/>
      </c>
      <c r="AI884" s="175" t="str">
        <f ca="1">IFERROR(__xludf.DUMMYFUNCTION("QUERY('Volunteer Survey'!J883)"),"")</f>
        <v/>
      </c>
      <c r="AJ884" s="175" t="str">
        <f ca="1">IFERROR(__xludf.DUMMYFUNCTION("QUERY('Volunteer Survey'!K883)"),"")</f>
        <v/>
      </c>
      <c r="AK884" s="175" t="str">
        <f ca="1">IFERROR(__xludf.DUMMYFUNCTION("QUERY('Volunteer Survey'!L883)"),"")</f>
        <v/>
      </c>
      <c r="AL884" s="175" t="str">
        <f ca="1">IFERROR(__xludf.DUMMYFUNCTION("QUERY('Volunteer Survey'!M883)"),"")</f>
        <v/>
      </c>
      <c r="AM884" s="175" t="str">
        <f ca="1">IFERROR(__xludf.DUMMYFUNCTION("QUERY('Volunteer Survey'!N883)"),"")</f>
        <v/>
      </c>
      <c r="AN884" s="175" t="str">
        <f ca="1">IFERROR(__xludf.DUMMYFUNCTION("QUERY('Volunteer Survey'!O883)"),"")</f>
        <v/>
      </c>
      <c r="AO884" s="175" t="str">
        <f ca="1">IFERROR(__xludf.DUMMYFUNCTION("QUERY('Volunteer Survey'!P883)"),"")</f>
        <v/>
      </c>
    </row>
    <row r="885" spans="1:41" ht="14">
      <c r="A885" s="49"/>
      <c r="B885" s="49"/>
      <c r="C885" s="47"/>
      <c r="D885" s="49"/>
      <c r="E885" s="49"/>
      <c r="F885" s="49" t="b">
        <v>0</v>
      </c>
      <c r="G885" s="49"/>
      <c r="H885" s="47"/>
      <c r="I885" s="47"/>
      <c r="J885" s="49"/>
      <c r="K885" s="49"/>
      <c r="L885" s="49"/>
      <c r="M885" s="49"/>
      <c r="N885" s="49"/>
      <c r="O885" s="49" t="b">
        <v>0</v>
      </c>
      <c r="P885" s="49"/>
      <c r="Q885" s="49"/>
      <c r="R885" s="49"/>
      <c r="S885" s="49"/>
      <c r="T885" s="49"/>
      <c r="U885" s="58"/>
      <c r="V885" s="49"/>
      <c r="W885" s="58"/>
      <c r="X885" s="49"/>
      <c r="Y885" s="47"/>
      <c r="Z885" s="175" t="str">
        <f ca="1">IFERROR(__xludf.DUMMYFUNCTION("QUERY('Volunteer Survey'!A884)"),"")</f>
        <v/>
      </c>
      <c r="AA885" s="175" t="str">
        <f ca="1">IFERROR(__xludf.DUMMYFUNCTION("QUERY('Volunteer Survey'!B884)"),"")</f>
        <v/>
      </c>
      <c r="AB885" s="175" t="str">
        <f ca="1">IFERROR(__xludf.DUMMYFUNCTION("QUERY('Volunteer Survey'!C884)"),"")</f>
        <v/>
      </c>
      <c r="AC885" s="175" t="str">
        <f ca="1">IFERROR(__xludf.DUMMYFUNCTION("QUERY('Volunteer Survey'!D884)"),"")</f>
        <v/>
      </c>
      <c r="AD885" s="175" t="str">
        <f ca="1">IFERROR(__xludf.DUMMYFUNCTION("QUERY('Volunteer Survey'!E884)"),"")</f>
        <v/>
      </c>
      <c r="AE885" s="175" t="str">
        <f ca="1">IFERROR(__xludf.DUMMYFUNCTION("QUERY('Volunteer Survey'!F884)"),"")</f>
        <v/>
      </c>
      <c r="AF885" s="175" t="str">
        <f ca="1">IFERROR(__xludf.DUMMYFUNCTION("QUERY('Volunteer Survey'!G884)"),"")</f>
        <v/>
      </c>
      <c r="AG885" s="175" t="str">
        <f ca="1">IFERROR(__xludf.DUMMYFUNCTION("QUERY('Volunteer Survey'!H884)"),"")</f>
        <v/>
      </c>
      <c r="AH885" s="175" t="str">
        <f ca="1">IFERROR(__xludf.DUMMYFUNCTION("QUERY('Volunteer Survey'!I884)"),"")</f>
        <v/>
      </c>
      <c r="AI885" s="175" t="str">
        <f ca="1">IFERROR(__xludf.DUMMYFUNCTION("QUERY('Volunteer Survey'!J884)"),"")</f>
        <v/>
      </c>
      <c r="AJ885" s="175" t="str">
        <f ca="1">IFERROR(__xludf.DUMMYFUNCTION("QUERY('Volunteer Survey'!K884)"),"")</f>
        <v/>
      </c>
      <c r="AK885" s="175" t="str">
        <f ca="1">IFERROR(__xludf.DUMMYFUNCTION("QUERY('Volunteer Survey'!L884)"),"")</f>
        <v/>
      </c>
      <c r="AL885" s="175" t="str">
        <f ca="1">IFERROR(__xludf.DUMMYFUNCTION("QUERY('Volunteer Survey'!M884)"),"")</f>
        <v/>
      </c>
      <c r="AM885" s="175" t="str">
        <f ca="1">IFERROR(__xludf.DUMMYFUNCTION("QUERY('Volunteer Survey'!N884)"),"")</f>
        <v/>
      </c>
      <c r="AN885" s="175" t="str">
        <f ca="1">IFERROR(__xludf.DUMMYFUNCTION("QUERY('Volunteer Survey'!O884)"),"")</f>
        <v/>
      </c>
      <c r="AO885" s="175" t="str">
        <f ca="1">IFERROR(__xludf.DUMMYFUNCTION("QUERY('Volunteer Survey'!P884)"),"")</f>
        <v/>
      </c>
    </row>
    <row r="886" spans="1:41" ht="14">
      <c r="A886" s="49"/>
      <c r="B886" s="49"/>
      <c r="C886" s="47"/>
      <c r="D886" s="49"/>
      <c r="E886" s="49"/>
      <c r="F886" s="49" t="b">
        <v>0</v>
      </c>
      <c r="G886" s="49"/>
      <c r="H886" s="47"/>
      <c r="I886" s="47"/>
      <c r="J886" s="49"/>
      <c r="K886" s="49"/>
      <c r="L886" s="49"/>
      <c r="M886" s="49"/>
      <c r="N886" s="49"/>
      <c r="O886" s="49" t="b">
        <v>0</v>
      </c>
      <c r="P886" s="49"/>
      <c r="Q886" s="49"/>
      <c r="R886" s="49"/>
      <c r="S886" s="49"/>
      <c r="T886" s="49"/>
      <c r="U886" s="58"/>
      <c r="V886" s="49"/>
      <c r="W886" s="58"/>
      <c r="X886" s="49"/>
      <c r="Y886" s="47"/>
      <c r="Z886" s="175" t="str">
        <f ca="1">IFERROR(__xludf.DUMMYFUNCTION("QUERY('Volunteer Survey'!A885)"),"")</f>
        <v/>
      </c>
      <c r="AA886" s="175" t="str">
        <f ca="1">IFERROR(__xludf.DUMMYFUNCTION("QUERY('Volunteer Survey'!B885)"),"")</f>
        <v/>
      </c>
      <c r="AB886" s="175" t="str">
        <f ca="1">IFERROR(__xludf.DUMMYFUNCTION("QUERY('Volunteer Survey'!C885)"),"")</f>
        <v/>
      </c>
      <c r="AC886" s="175" t="str">
        <f ca="1">IFERROR(__xludf.DUMMYFUNCTION("QUERY('Volunteer Survey'!D885)"),"")</f>
        <v/>
      </c>
      <c r="AD886" s="175" t="str">
        <f ca="1">IFERROR(__xludf.DUMMYFUNCTION("QUERY('Volunteer Survey'!E885)"),"")</f>
        <v/>
      </c>
      <c r="AE886" s="175" t="str">
        <f ca="1">IFERROR(__xludf.DUMMYFUNCTION("QUERY('Volunteer Survey'!F885)"),"")</f>
        <v/>
      </c>
      <c r="AF886" s="175" t="str">
        <f ca="1">IFERROR(__xludf.DUMMYFUNCTION("QUERY('Volunteer Survey'!G885)"),"")</f>
        <v/>
      </c>
      <c r="AG886" s="175" t="str">
        <f ca="1">IFERROR(__xludf.DUMMYFUNCTION("QUERY('Volunteer Survey'!H885)"),"")</f>
        <v/>
      </c>
      <c r="AH886" s="175" t="str">
        <f ca="1">IFERROR(__xludf.DUMMYFUNCTION("QUERY('Volunteer Survey'!I885)"),"")</f>
        <v/>
      </c>
      <c r="AI886" s="175" t="str">
        <f ca="1">IFERROR(__xludf.DUMMYFUNCTION("QUERY('Volunteer Survey'!J885)"),"")</f>
        <v/>
      </c>
      <c r="AJ886" s="175" t="str">
        <f ca="1">IFERROR(__xludf.DUMMYFUNCTION("QUERY('Volunteer Survey'!K885)"),"")</f>
        <v/>
      </c>
      <c r="AK886" s="175" t="str">
        <f ca="1">IFERROR(__xludf.DUMMYFUNCTION("QUERY('Volunteer Survey'!L885)"),"")</f>
        <v/>
      </c>
      <c r="AL886" s="175" t="str">
        <f ca="1">IFERROR(__xludf.DUMMYFUNCTION("QUERY('Volunteer Survey'!M885)"),"")</f>
        <v/>
      </c>
      <c r="AM886" s="175" t="str">
        <f ca="1">IFERROR(__xludf.DUMMYFUNCTION("QUERY('Volunteer Survey'!N885)"),"")</f>
        <v/>
      </c>
      <c r="AN886" s="175" t="str">
        <f ca="1">IFERROR(__xludf.DUMMYFUNCTION("QUERY('Volunteer Survey'!O885)"),"")</f>
        <v/>
      </c>
      <c r="AO886" s="175" t="str">
        <f ca="1">IFERROR(__xludf.DUMMYFUNCTION("QUERY('Volunteer Survey'!P885)"),"")</f>
        <v/>
      </c>
    </row>
    <row r="887" spans="1:41" ht="14">
      <c r="A887" s="49"/>
      <c r="B887" s="49"/>
      <c r="C887" s="47"/>
      <c r="D887" s="49"/>
      <c r="E887" s="49"/>
      <c r="F887" s="49" t="b">
        <v>0</v>
      </c>
      <c r="G887" s="49"/>
      <c r="H887" s="47"/>
      <c r="I887" s="47"/>
      <c r="J887" s="49"/>
      <c r="K887" s="49"/>
      <c r="L887" s="49"/>
      <c r="M887" s="49"/>
      <c r="N887" s="49"/>
      <c r="O887" s="49" t="b">
        <v>0</v>
      </c>
      <c r="P887" s="49"/>
      <c r="Q887" s="49"/>
      <c r="R887" s="49"/>
      <c r="S887" s="49"/>
      <c r="T887" s="49"/>
      <c r="U887" s="58"/>
      <c r="V887" s="49"/>
      <c r="W887" s="58"/>
      <c r="X887" s="49"/>
      <c r="Y887" s="47"/>
      <c r="Z887" s="175" t="str">
        <f ca="1">IFERROR(__xludf.DUMMYFUNCTION("QUERY('Volunteer Survey'!A886)"),"")</f>
        <v/>
      </c>
      <c r="AA887" s="175" t="str">
        <f ca="1">IFERROR(__xludf.DUMMYFUNCTION("QUERY('Volunteer Survey'!B886)"),"")</f>
        <v/>
      </c>
      <c r="AB887" s="175" t="str">
        <f ca="1">IFERROR(__xludf.DUMMYFUNCTION("QUERY('Volunteer Survey'!C886)"),"")</f>
        <v/>
      </c>
      <c r="AC887" s="175" t="str">
        <f ca="1">IFERROR(__xludf.DUMMYFUNCTION("QUERY('Volunteer Survey'!D886)"),"")</f>
        <v/>
      </c>
      <c r="AD887" s="175" t="str">
        <f ca="1">IFERROR(__xludf.DUMMYFUNCTION("QUERY('Volunteer Survey'!E886)"),"")</f>
        <v/>
      </c>
      <c r="AE887" s="175" t="str">
        <f ca="1">IFERROR(__xludf.DUMMYFUNCTION("QUERY('Volunteer Survey'!F886)"),"")</f>
        <v/>
      </c>
      <c r="AF887" s="175" t="str">
        <f ca="1">IFERROR(__xludf.DUMMYFUNCTION("QUERY('Volunteer Survey'!G886)"),"")</f>
        <v/>
      </c>
      <c r="AG887" s="175" t="str">
        <f ca="1">IFERROR(__xludf.DUMMYFUNCTION("QUERY('Volunteer Survey'!H886)"),"")</f>
        <v/>
      </c>
      <c r="AH887" s="175" t="str">
        <f ca="1">IFERROR(__xludf.DUMMYFUNCTION("QUERY('Volunteer Survey'!I886)"),"")</f>
        <v/>
      </c>
      <c r="AI887" s="175" t="str">
        <f ca="1">IFERROR(__xludf.DUMMYFUNCTION("QUERY('Volunteer Survey'!J886)"),"")</f>
        <v/>
      </c>
      <c r="AJ887" s="175" t="str">
        <f ca="1">IFERROR(__xludf.DUMMYFUNCTION("QUERY('Volunteer Survey'!K886)"),"")</f>
        <v/>
      </c>
      <c r="AK887" s="175" t="str">
        <f ca="1">IFERROR(__xludf.DUMMYFUNCTION("QUERY('Volunteer Survey'!L886)"),"")</f>
        <v/>
      </c>
      <c r="AL887" s="175" t="str">
        <f ca="1">IFERROR(__xludf.DUMMYFUNCTION("QUERY('Volunteer Survey'!M886)"),"")</f>
        <v/>
      </c>
      <c r="AM887" s="175" t="str">
        <f ca="1">IFERROR(__xludf.DUMMYFUNCTION("QUERY('Volunteer Survey'!N886)"),"")</f>
        <v/>
      </c>
      <c r="AN887" s="175" t="str">
        <f ca="1">IFERROR(__xludf.DUMMYFUNCTION("QUERY('Volunteer Survey'!O886)"),"")</f>
        <v/>
      </c>
      <c r="AO887" s="175" t="str">
        <f ca="1">IFERROR(__xludf.DUMMYFUNCTION("QUERY('Volunteer Survey'!P886)"),"")</f>
        <v/>
      </c>
    </row>
    <row r="888" spans="1:41" ht="14">
      <c r="A888" s="49"/>
      <c r="B888" s="49"/>
      <c r="C888" s="47"/>
      <c r="D888" s="49"/>
      <c r="E888" s="49"/>
      <c r="F888" s="49" t="b">
        <v>0</v>
      </c>
      <c r="G888" s="49"/>
      <c r="H888" s="47"/>
      <c r="I888" s="47"/>
      <c r="J888" s="49"/>
      <c r="K888" s="49"/>
      <c r="L888" s="49"/>
      <c r="M888" s="49"/>
      <c r="N888" s="49"/>
      <c r="O888" s="49" t="b">
        <v>0</v>
      </c>
      <c r="P888" s="49"/>
      <c r="Q888" s="49"/>
      <c r="R888" s="49"/>
      <c r="S888" s="49"/>
      <c r="T888" s="49"/>
      <c r="U888" s="58"/>
      <c r="V888" s="49"/>
      <c r="W888" s="58"/>
      <c r="X888" s="49"/>
      <c r="Y888" s="47"/>
      <c r="Z888" s="175" t="str">
        <f ca="1">IFERROR(__xludf.DUMMYFUNCTION("QUERY('Volunteer Survey'!A887)"),"")</f>
        <v/>
      </c>
      <c r="AA888" s="175" t="str">
        <f ca="1">IFERROR(__xludf.DUMMYFUNCTION("QUERY('Volunteer Survey'!B887)"),"")</f>
        <v/>
      </c>
      <c r="AB888" s="175" t="str">
        <f ca="1">IFERROR(__xludf.DUMMYFUNCTION("QUERY('Volunteer Survey'!C887)"),"")</f>
        <v/>
      </c>
      <c r="AC888" s="175" t="str">
        <f ca="1">IFERROR(__xludf.DUMMYFUNCTION("QUERY('Volunteer Survey'!D887)"),"")</f>
        <v/>
      </c>
      <c r="AD888" s="175" t="str">
        <f ca="1">IFERROR(__xludf.DUMMYFUNCTION("QUERY('Volunteer Survey'!E887)"),"")</f>
        <v/>
      </c>
      <c r="AE888" s="175" t="str">
        <f ca="1">IFERROR(__xludf.DUMMYFUNCTION("QUERY('Volunteer Survey'!F887)"),"")</f>
        <v/>
      </c>
      <c r="AF888" s="175" t="str">
        <f ca="1">IFERROR(__xludf.DUMMYFUNCTION("QUERY('Volunteer Survey'!G887)"),"")</f>
        <v/>
      </c>
      <c r="AG888" s="175" t="str">
        <f ca="1">IFERROR(__xludf.DUMMYFUNCTION("QUERY('Volunteer Survey'!H887)"),"")</f>
        <v/>
      </c>
      <c r="AH888" s="175" t="str">
        <f ca="1">IFERROR(__xludf.DUMMYFUNCTION("QUERY('Volunteer Survey'!I887)"),"")</f>
        <v/>
      </c>
      <c r="AI888" s="175" t="str">
        <f ca="1">IFERROR(__xludf.DUMMYFUNCTION("QUERY('Volunteer Survey'!J887)"),"")</f>
        <v/>
      </c>
      <c r="AJ888" s="175" t="str">
        <f ca="1">IFERROR(__xludf.DUMMYFUNCTION("QUERY('Volunteer Survey'!K887)"),"")</f>
        <v/>
      </c>
      <c r="AK888" s="175" t="str">
        <f ca="1">IFERROR(__xludf.DUMMYFUNCTION("QUERY('Volunteer Survey'!L887)"),"")</f>
        <v/>
      </c>
      <c r="AL888" s="175" t="str">
        <f ca="1">IFERROR(__xludf.DUMMYFUNCTION("QUERY('Volunteer Survey'!M887)"),"")</f>
        <v/>
      </c>
      <c r="AM888" s="175" t="str">
        <f ca="1">IFERROR(__xludf.DUMMYFUNCTION("QUERY('Volunteer Survey'!N887)"),"")</f>
        <v/>
      </c>
      <c r="AN888" s="175" t="str">
        <f ca="1">IFERROR(__xludf.DUMMYFUNCTION("QUERY('Volunteer Survey'!O887)"),"")</f>
        <v/>
      </c>
      <c r="AO888" s="175" t="str">
        <f ca="1">IFERROR(__xludf.DUMMYFUNCTION("QUERY('Volunteer Survey'!P887)"),"")</f>
        <v/>
      </c>
    </row>
    <row r="889" spans="1:41" ht="14">
      <c r="A889" s="49"/>
      <c r="B889" s="49"/>
      <c r="C889" s="47"/>
      <c r="D889" s="49"/>
      <c r="E889" s="49"/>
      <c r="F889" s="49" t="b">
        <v>0</v>
      </c>
      <c r="G889" s="49"/>
      <c r="H889" s="47"/>
      <c r="I889" s="47"/>
      <c r="J889" s="49"/>
      <c r="K889" s="49"/>
      <c r="L889" s="49"/>
      <c r="M889" s="49"/>
      <c r="N889" s="49"/>
      <c r="O889" s="49" t="b">
        <v>0</v>
      </c>
      <c r="P889" s="49"/>
      <c r="Q889" s="49"/>
      <c r="R889" s="49"/>
      <c r="S889" s="49"/>
      <c r="T889" s="49"/>
      <c r="U889" s="58"/>
      <c r="V889" s="49"/>
      <c r="W889" s="58"/>
      <c r="X889" s="49"/>
      <c r="Y889" s="47"/>
      <c r="Z889" s="175" t="str">
        <f ca="1">IFERROR(__xludf.DUMMYFUNCTION("QUERY('Volunteer Survey'!A888)"),"")</f>
        <v/>
      </c>
      <c r="AA889" s="175" t="str">
        <f ca="1">IFERROR(__xludf.DUMMYFUNCTION("QUERY('Volunteer Survey'!B888)"),"")</f>
        <v/>
      </c>
      <c r="AB889" s="175" t="str">
        <f ca="1">IFERROR(__xludf.DUMMYFUNCTION("QUERY('Volunteer Survey'!C888)"),"")</f>
        <v/>
      </c>
      <c r="AC889" s="175" t="str">
        <f ca="1">IFERROR(__xludf.DUMMYFUNCTION("QUERY('Volunteer Survey'!D888)"),"")</f>
        <v/>
      </c>
      <c r="AD889" s="175" t="str">
        <f ca="1">IFERROR(__xludf.DUMMYFUNCTION("QUERY('Volunteer Survey'!E888)"),"")</f>
        <v/>
      </c>
      <c r="AE889" s="175" t="str">
        <f ca="1">IFERROR(__xludf.DUMMYFUNCTION("QUERY('Volunteer Survey'!F888)"),"")</f>
        <v/>
      </c>
      <c r="AF889" s="175" t="str">
        <f ca="1">IFERROR(__xludf.DUMMYFUNCTION("QUERY('Volunteer Survey'!G888)"),"")</f>
        <v/>
      </c>
      <c r="AG889" s="175" t="str">
        <f ca="1">IFERROR(__xludf.DUMMYFUNCTION("QUERY('Volunteer Survey'!H888)"),"")</f>
        <v/>
      </c>
      <c r="AH889" s="175" t="str">
        <f ca="1">IFERROR(__xludf.DUMMYFUNCTION("QUERY('Volunteer Survey'!I888)"),"")</f>
        <v/>
      </c>
      <c r="AI889" s="175" t="str">
        <f ca="1">IFERROR(__xludf.DUMMYFUNCTION("QUERY('Volunteer Survey'!J888)"),"")</f>
        <v/>
      </c>
      <c r="AJ889" s="175" t="str">
        <f ca="1">IFERROR(__xludf.DUMMYFUNCTION("QUERY('Volunteer Survey'!K888)"),"")</f>
        <v/>
      </c>
      <c r="AK889" s="175" t="str">
        <f ca="1">IFERROR(__xludf.DUMMYFUNCTION("QUERY('Volunteer Survey'!L888)"),"")</f>
        <v/>
      </c>
      <c r="AL889" s="175" t="str">
        <f ca="1">IFERROR(__xludf.DUMMYFUNCTION("QUERY('Volunteer Survey'!M888)"),"")</f>
        <v/>
      </c>
      <c r="AM889" s="175" t="str">
        <f ca="1">IFERROR(__xludf.DUMMYFUNCTION("QUERY('Volunteer Survey'!N888)"),"")</f>
        <v/>
      </c>
      <c r="AN889" s="175" t="str">
        <f ca="1">IFERROR(__xludf.DUMMYFUNCTION("QUERY('Volunteer Survey'!O888)"),"")</f>
        <v/>
      </c>
      <c r="AO889" s="175" t="str">
        <f ca="1">IFERROR(__xludf.DUMMYFUNCTION("QUERY('Volunteer Survey'!P888)"),"")</f>
        <v/>
      </c>
    </row>
    <row r="890" spans="1:41" ht="14">
      <c r="A890" s="49"/>
      <c r="B890" s="49"/>
      <c r="C890" s="47"/>
      <c r="D890" s="49"/>
      <c r="E890" s="49"/>
      <c r="F890" s="49" t="b">
        <v>0</v>
      </c>
      <c r="G890" s="49"/>
      <c r="H890" s="47"/>
      <c r="I890" s="47"/>
      <c r="J890" s="49"/>
      <c r="K890" s="49"/>
      <c r="L890" s="49"/>
      <c r="M890" s="49"/>
      <c r="N890" s="49"/>
      <c r="O890" s="49" t="b">
        <v>0</v>
      </c>
      <c r="P890" s="49"/>
      <c r="Q890" s="49"/>
      <c r="R890" s="49"/>
      <c r="S890" s="49"/>
      <c r="T890" s="49"/>
      <c r="U890" s="58"/>
      <c r="V890" s="49"/>
      <c r="W890" s="58"/>
      <c r="X890" s="49"/>
      <c r="Y890" s="47"/>
      <c r="Z890" s="175" t="str">
        <f ca="1">IFERROR(__xludf.DUMMYFUNCTION("QUERY('Volunteer Survey'!A889)"),"")</f>
        <v/>
      </c>
      <c r="AA890" s="175" t="str">
        <f ca="1">IFERROR(__xludf.DUMMYFUNCTION("QUERY('Volunteer Survey'!B889)"),"")</f>
        <v/>
      </c>
      <c r="AB890" s="175" t="str">
        <f ca="1">IFERROR(__xludf.DUMMYFUNCTION("QUERY('Volunteer Survey'!C889)"),"")</f>
        <v/>
      </c>
      <c r="AC890" s="175" t="str">
        <f ca="1">IFERROR(__xludf.DUMMYFUNCTION("QUERY('Volunteer Survey'!D889)"),"")</f>
        <v/>
      </c>
      <c r="AD890" s="175" t="str">
        <f ca="1">IFERROR(__xludf.DUMMYFUNCTION("QUERY('Volunteer Survey'!E889)"),"")</f>
        <v/>
      </c>
      <c r="AE890" s="175" t="str">
        <f ca="1">IFERROR(__xludf.DUMMYFUNCTION("QUERY('Volunteer Survey'!F889)"),"")</f>
        <v/>
      </c>
      <c r="AF890" s="175" t="str">
        <f ca="1">IFERROR(__xludf.DUMMYFUNCTION("QUERY('Volunteer Survey'!G889)"),"")</f>
        <v/>
      </c>
      <c r="AG890" s="175" t="str">
        <f ca="1">IFERROR(__xludf.DUMMYFUNCTION("QUERY('Volunteer Survey'!H889)"),"")</f>
        <v/>
      </c>
      <c r="AH890" s="175" t="str">
        <f ca="1">IFERROR(__xludf.DUMMYFUNCTION("QUERY('Volunteer Survey'!I889)"),"")</f>
        <v/>
      </c>
      <c r="AI890" s="175" t="str">
        <f ca="1">IFERROR(__xludf.DUMMYFUNCTION("QUERY('Volunteer Survey'!J889)"),"")</f>
        <v/>
      </c>
      <c r="AJ890" s="175" t="str">
        <f ca="1">IFERROR(__xludf.DUMMYFUNCTION("QUERY('Volunteer Survey'!K889)"),"")</f>
        <v/>
      </c>
      <c r="AK890" s="175" t="str">
        <f ca="1">IFERROR(__xludf.DUMMYFUNCTION("QUERY('Volunteer Survey'!L889)"),"")</f>
        <v/>
      </c>
      <c r="AL890" s="175" t="str">
        <f ca="1">IFERROR(__xludf.DUMMYFUNCTION("QUERY('Volunteer Survey'!M889)"),"")</f>
        <v/>
      </c>
      <c r="AM890" s="175" t="str">
        <f ca="1">IFERROR(__xludf.DUMMYFUNCTION("QUERY('Volunteer Survey'!N889)"),"")</f>
        <v/>
      </c>
      <c r="AN890" s="175" t="str">
        <f ca="1">IFERROR(__xludf.DUMMYFUNCTION("QUERY('Volunteer Survey'!O889)"),"")</f>
        <v/>
      </c>
      <c r="AO890" s="175" t="str">
        <f ca="1">IFERROR(__xludf.DUMMYFUNCTION("QUERY('Volunteer Survey'!P889)"),"")</f>
        <v/>
      </c>
    </row>
    <row r="891" spans="1:41" ht="14">
      <c r="A891" s="49"/>
      <c r="B891" s="49"/>
      <c r="C891" s="47"/>
      <c r="D891" s="49"/>
      <c r="E891" s="49"/>
      <c r="F891" s="49" t="b">
        <v>0</v>
      </c>
      <c r="G891" s="49"/>
      <c r="H891" s="47"/>
      <c r="I891" s="47"/>
      <c r="J891" s="49"/>
      <c r="K891" s="49"/>
      <c r="L891" s="49"/>
      <c r="M891" s="49"/>
      <c r="N891" s="49"/>
      <c r="O891" s="49" t="b">
        <v>0</v>
      </c>
      <c r="P891" s="49"/>
      <c r="Q891" s="49"/>
      <c r="R891" s="49"/>
      <c r="S891" s="49"/>
      <c r="T891" s="49"/>
      <c r="U891" s="58"/>
      <c r="V891" s="49"/>
      <c r="W891" s="58"/>
      <c r="X891" s="49"/>
      <c r="Y891" s="47"/>
      <c r="Z891" s="175" t="str">
        <f ca="1">IFERROR(__xludf.DUMMYFUNCTION("QUERY('Volunteer Survey'!A890)"),"")</f>
        <v/>
      </c>
      <c r="AA891" s="175" t="str">
        <f ca="1">IFERROR(__xludf.DUMMYFUNCTION("QUERY('Volunteer Survey'!B890)"),"")</f>
        <v/>
      </c>
      <c r="AB891" s="175" t="str">
        <f ca="1">IFERROR(__xludf.DUMMYFUNCTION("QUERY('Volunteer Survey'!C890)"),"")</f>
        <v/>
      </c>
      <c r="AC891" s="175" t="str">
        <f ca="1">IFERROR(__xludf.DUMMYFUNCTION("QUERY('Volunteer Survey'!D890)"),"")</f>
        <v/>
      </c>
      <c r="AD891" s="175" t="str">
        <f ca="1">IFERROR(__xludf.DUMMYFUNCTION("QUERY('Volunteer Survey'!E890)"),"")</f>
        <v/>
      </c>
      <c r="AE891" s="175" t="str">
        <f ca="1">IFERROR(__xludf.DUMMYFUNCTION("QUERY('Volunteer Survey'!F890)"),"")</f>
        <v/>
      </c>
      <c r="AF891" s="175" t="str">
        <f ca="1">IFERROR(__xludf.DUMMYFUNCTION("QUERY('Volunteer Survey'!G890)"),"")</f>
        <v/>
      </c>
      <c r="AG891" s="175" t="str">
        <f ca="1">IFERROR(__xludf.DUMMYFUNCTION("QUERY('Volunteer Survey'!H890)"),"")</f>
        <v/>
      </c>
      <c r="AH891" s="175" t="str">
        <f ca="1">IFERROR(__xludf.DUMMYFUNCTION("QUERY('Volunteer Survey'!I890)"),"")</f>
        <v/>
      </c>
      <c r="AI891" s="175" t="str">
        <f ca="1">IFERROR(__xludf.DUMMYFUNCTION("QUERY('Volunteer Survey'!J890)"),"")</f>
        <v/>
      </c>
      <c r="AJ891" s="175" t="str">
        <f ca="1">IFERROR(__xludf.DUMMYFUNCTION("QUERY('Volunteer Survey'!K890)"),"")</f>
        <v/>
      </c>
      <c r="AK891" s="175" t="str">
        <f ca="1">IFERROR(__xludf.DUMMYFUNCTION("QUERY('Volunteer Survey'!L890)"),"")</f>
        <v/>
      </c>
      <c r="AL891" s="175" t="str">
        <f ca="1">IFERROR(__xludf.DUMMYFUNCTION("QUERY('Volunteer Survey'!M890)"),"")</f>
        <v/>
      </c>
      <c r="AM891" s="175" t="str">
        <f ca="1">IFERROR(__xludf.DUMMYFUNCTION("QUERY('Volunteer Survey'!N890)"),"")</f>
        <v/>
      </c>
      <c r="AN891" s="175" t="str">
        <f ca="1">IFERROR(__xludf.DUMMYFUNCTION("QUERY('Volunteer Survey'!O890)"),"")</f>
        <v/>
      </c>
      <c r="AO891" s="175" t="str">
        <f ca="1">IFERROR(__xludf.DUMMYFUNCTION("QUERY('Volunteer Survey'!P890)"),"")</f>
        <v/>
      </c>
    </row>
    <row r="892" spans="1:41" ht="14">
      <c r="A892" s="49"/>
      <c r="B892" s="49"/>
      <c r="C892" s="47"/>
      <c r="D892" s="49"/>
      <c r="E892" s="49"/>
      <c r="F892" s="49" t="b">
        <v>0</v>
      </c>
      <c r="G892" s="49"/>
      <c r="H892" s="47"/>
      <c r="I892" s="47"/>
      <c r="J892" s="49"/>
      <c r="K892" s="49"/>
      <c r="L892" s="49"/>
      <c r="M892" s="49"/>
      <c r="N892" s="49"/>
      <c r="O892" s="49" t="b">
        <v>0</v>
      </c>
      <c r="P892" s="49"/>
      <c r="Q892" s="49"/>
      <c r="R892" s="49"/>
      <c r="S892" s="49"/>
      <c r="T892" s="49"/>
      <c r="U892" s="58"/>
      <c r="V892" s="49"/>
      <c r="W892" s="58"/>
      <c r="X892" s="49"/>
      <c r="Y892" s="47"/>
      <c r="Z892" s="175" t="str">
        <f ca="1">IFERROR(__xludf.DUMMYFUNCTION("QUERY('Volunteer Survey'!A891)"),"")</f>
        <v/>
      </c>
      <c r="AA892" s="175" t="str">
        <f ca="1">IFERROR(__xludf.DUMMYFUNCTION("QUERY('Volunteer Survey'!B891)"),"")</f>
        <v/>
      </c>
      <c r="AB892" s="175" t="str">
        <f ca="1">IFERROR(__xludf.DUMMYFUNCTION("QUERY('Volunteer Survey'!C891)"),"")</f>
        <v/>
      </c>
      <c r="AC892" s="175" t="str">
        <f ca="1">IFERROR(__xludf.DUMMYFUNCTION("QUERY('Volunteer Survey'!D891)"),"")</f>
        <v/>
      </c>
      <c r="AD892" s="175" t="str">
        <f ca="1">IFERROR(__xludf.DUMMYFUNCTION("QUERY('Volunteer Survey'!E891)"),"")</f>
        <v/>
      </c>
      <c r="AE892" s="175" t="str">
        <f ca="1">IFERROR(__xludf.DUMMYFUNCTION("QUERY('Volunteer Survey'!F891)"),"")</f>
        <v/>
      </c>
      <c r="AF892" s="175" t="str">
        <f ca="1">IFERROR(__xludf.DUMMYFUNCTION("QUERY('Volunteer Survey'!G891)"),"")</f>
        <v/>
      </c>
      <c r="AG892" s="175" t="str">
        <f ca="1">IFERROR(__xludf.DUMMYFUNCTION("QUERY('Volunteer Survey'!H891)"),"")</f>
        <v/>
      </c>
      <c r="AH892" s="175" t="str">
        <f ca="1">IFERROR(__xludf.DUMMYFUNCTION("QUERY('Volunteer Survey'!I891)"),"")</f>
        <v/>
      </c>
      <c r="AI892" s="175" t="str">
        <f ca="1">IFERROR(__xludf.DUMMYFUNCTION("QUERY('Volunteer Survey'!J891)"),"")</f>
        <v/>
      </c>
      <c r="AJ892" s="175" t="str">
        <f ca="1">IFERROR(__xludf.DUMMYFUNCTION("QUERY('Volunteer Survey'!K891)"),"")</f>
        <v/>
      </c>
      <c r="AK892" s="175" t="str">
        <f ca="1">IFERROR(__xludf.DUMMYFUNCTION("QUERY('Volunteer Survey'!L891)"),"")</f>
        <v/>
      </c>
      <c r="AL892" s="175" t="str">
        <f ca="1">IFERROR(__xludf.DUMMYFUNCTION("QUERY('Volunteer Survey'!M891)"),"")</f>
        <v/>
      </c>
      <c r="AM892" s="175" t="str">
        <f ca="1">IFERROR(__xludf.DUMMYFUNCTION("QUERY('Volunteer Survey'!N891)"),"")</f>
        <v/>
      </c>
      <c r="AN892" s="175" t="str">
        <f ca="1">IFERROR(__xludf.DUMMYFUNCTION("QUERY('Volunteer Survey'!O891)"),"")</f>
        <v/>
      </c>
      <c r="AO892" s="175" t="str">
        <f ca="1">IFERROR(__xludf.DUMMYFUNCTION("QUERY('Volunteer Survey'!P891)"),"")</f>
        <v/>
      </c>
    </row>
    <row r="893" spans="1:41" ht="14">
      <c r="A893" s="49"/>
      <c r="B893" s="49"/>
      <c r="C893" s="47"/>
      <c r="D893" s="49"/>
      <c r="E893" s="49"/>
      <c r="F893" s="49" t="b">
        <v>0</v>
      </c>
      <c r="G893" s="49"/>
      <c r="H893" s="47"/>
      <c r="I893" s="47"/>
      <c r="J893" s="49"/>
      <c r="K893" s="49"/>
      <c r="L893" s="49"/>
      <c r="M893" s="49"/>
      <c r="N893" s="49"/>
      <c r="O893" s="49" t="b">
        <v>0</v>
      </c>
      <c r="P893" s="49"/>
      <c r="Q893" s="49"/>
      <c r="R893" s="49"/>
      <c r="S893" s="49"/>
      <c r="T893" s="49"/>
      <c r="U893" s="58"/>
      <c r="V893" s="49"/>
      <c r="W893" s="58"/>
      <c r="X893" s="49"/>
      <c r="Y893" s="47"/>
      <c r="Z893" s="175" t="str">
        <f ca="1">IFERROR(__xludf.DUMMYFUNCTION("QUERY('Volunteer Survey'!A892)"),"")</f>
        <v/>
      </c>
      <c r="AA893" s="175" t="str">
        <f ca="1">IFERROR(__xludf.DUMMYFUNCTION("QUERY('Volunteer Survey'!B892)"),"")</f>
        <v/>
      </c>
      <c r="AB893" s="175" t="str">
        <f ca="1">IFERROR(__xludf.DUMMYFUNCTION("QUERY('Volunteer Survey'!C892)"),"")</f>
        <v/>
      </c>
      <c r="AC893" s="175" t="str">
        <f ca="1">IFERROR(__xludf.DUMMYFUNCTION("QUERY('Volunteer Survey'!D892)"),"")</f>
        <v/>
      </c>
      <c r="AD893" s="175" t="str">
        <f ca="1">IFERROR(__xludf.DUMMYFUNCTION("QUERY('Volunteer Survey'!E892)"),"")</f>
        <v/>
      </c>
      <c r="AE893" s="175" t="str">
        <f ca="1">IFERROR(__xludf.DUMMYFUNCTION("QUERY('Volunteer Survey'!F892)"),"")</f>
        <v/>
      </c>
      <c r="AF893" s="175" t="str">
        <f ca="1">IFERROR(__xludf.DUMMYFUNCTION("QUERY('Volunteer Survey'!G892)"),"")</f>
        <v/>
      </c>
      <c r="AG893" s="175" t="str">
        <f ca="1">IFERROR(__xludf.DUMMYFUNCTION("QUERY('Volunteer Survey'!H892)"),"")</f>
        <v/>
      </c>
      <c r="AH893" s="175" t="str">
        <f ca="1">IFERROR(__xludf.DUMMYFUNCTION("QUERY('Volunteer Survey'!I892)"),"")</f>
        <v/>
      </c>
      <c r="AI893" s="175" t="str">
        <f ca="1">IFERROR(__xludf.DUMMYFUNCTION("QUERY('Volunteer Survey'!J892)"),"")</f>
        <v/>
      </c>
      <c r="AJ893" s="175" t="str">
        <f ca="1">IFERROR(__xludf.DUMMYFUNCTION("QUERY('Volunteer Survey'!K892)"),"")</f>
        <v/>
      </c>
      <c r="AK893" s="175" t="str">
        <f ca="1">IFERROR(__xludf.DUMMYFUNCTION("QUERY('Volunteer Survey'!L892)"),"")</f>
        <v/>
      </c>
      <c r="AL893" s="175" t="str">
        <f ca="1">IFERROR(__xludf.DUMMYFUNCTION("QUERY('Volunteer Survey'!M892)"),"")</f>
        <v/>
      </c>
      <c r="AM893" s="175" t="str">
        <f ca="1">IFERROR(__xludf.DUMMYFUNCTION("QUERY('Volunteer Survey'!N892)"),"")</f>
        <v/>
      </c>
      <c r="AN893" s="175" t="str">
        <f ca="1">IFERROR(__xludf.DUMMYFUNCTION("QUERY('Volunteer Survey'!O892)"),"")</f>
        <v/>
      </c>
      <c r="AO893" s="175" t="str">
        <f ca="1">IFERROR(__xludf.DUMMYFUNCTION("QUERY('Volunteer Survey'!P892)"),"")</f>
        <v/>
      </c>
    </row>
    <row r="894" spans="1:41" ht="14">
      <c r="A894" s="49"/>
      <c r="B894" s="49"/>
      <c r="C894" s="47"/>
      <c r="D894" s="49"/>
      <c r="E894" s="49"/>
      <c r="F894" s="49" t="b">
        <v>0</v>
      </c>
      <c r="G894" s="49"/>
      <c r="H894" s="47"/>
      <c r="I894" s="47"/>
      <c r="J894" s="49"/>
      <c r="K894" s="49"/>
      <c r="L894" s="49"/>
      <c r="M894" s="49"/>
      <c r="N894" s="49"/>
      <c r="O894" s="49" t="b">
        <v>0</v>
      </c>
      <c r="P894" s="49"/>
      <c r="Q894" s="49"/>
      <c r="R894" s="49"/>
      <c r="S894" s="49"/>
      <c r="T894" s="49"/>
      <c r="U894" s="58"/>
      <c r="V894" s="49"/>
      <c r="W894" s="58"/>
      <c r="X894" s="49"/>
      <c r="Y894" s="47"/>
      <c r="Z894" s="175" t="str">
        <f ca="1">IFERROR(__xludf.DUMMYFUNCTION("QUERY('Volunteer Survey'!A893)"),"")</f>
        <v/>
      </c>
      <c r="AA894" s="175" t="str">
        <f ca="1">IFERROR(__xludf.DUMMYFUNCTION("QUERY('Volunteer Survey'!B893)"),"")</f>
        <v/>
      </c>
      <c r="AB894" s="175" t="str">
        <f ca="1">IFERROR(__xludf.DUMMYFUNCTION("QUERY('Volunteer Survey'!C893)"),"")</f>
        <v/>
      </c>
      <c r="AC894" s="175" t="str">
        <f ca="1">IFERROR(__xludf.DUMMYFUNCTION("QUERY('Volunteer Survey'!D893)"),"")</f>
        <v/>
      </c>
      <c r="AD894" s="175" t="str">
        <f ca="1">IFERROR(__xludf.DUMMYFUNCTION("QUERY('Volunteer Survey'!E893)"),"")</f>
        <v/>
      </c>
      <c r="AE894" s="175" t="str">
        <f ca="1">IFERROR(__xludf.DUMMYFUNCTION("QUERY('Volunteer Survey'!F893)"),"")</f>
        <v/>
      </c>
      <c r="AF894" s="175" t="str">
        <f ca="1">IFERROR(__xludf.DUMMYFUNCTION("QUERY('Volunteer Survey'!G893)"),"")</f>
        <v/>
      </c>
      <c r="AG894" s="175" t="str">
        <f ca="1">IFERROR(__xludf.DUMMYFUNCTION("QUERY('Volunteer Survey'!H893)"),"")</f>
        <v/>
      </c>
      <c r="AH894" s="175" t="str">
        <f ca="1">IFERROR(__xludf.DUMMYFUNCTION("QUERY('Volunteer Survey'!I893)"),"")</f>
        <v/>
      </c>
      <c r="AI894" s="175" t="str">
        <f ca="1">IFERROR(__xludf.DUMMYFUNCTION("QUERY('Volunteer Survey'!J893)"),"")</f>
        <v/>
      </c>
      <c r="AJ894" s="175" t="str">
        <f ca="1">IFERROR(__xludf.DUMMYFUNCTION("QUERY('Volunteer Survey'!K893)"),"")</f>
        <v/>
      </c>
      <c r="AK894" s="175" t="str">
        <f ca="1">IFERROR(__xludf.DUMMYFUNCTION("QUERY('Volunteer Survey'!L893)"),"")</f>
        <v/>
      </c>
      <c r="AL894" s="175" t="str">
        <f ca="1">IFERROR(__xludf.DUMMYFUNCTION("QUERY('Volunteer Survey'!M893)"),"")</f>
        <v/>
      </c>
      <c r="AM894" s="175" t="str">
        <f ca="1">IFERROR(__xludf.DUMMYFUNCTION("QUERY('Volunteer Survey'!N893)"),"")</f>
        <v/>
      </c>
      <c r="AN894" s="175" t="str">
        <f ca="1">IFERROR(__xludf.DUMMYFUNCTION("QUERY('Volunteer Survey'!O893)"),"")</f>
        <v/>
      </c>
      <c r="AO894" s="175" t="str">
        <f ca="1">IFERROR(__xludf.DUMMYFUNCTION("QUERY('Volunteer Survey'!P893)"),"")</f>
        <v/>
      </c>
    </row>
    <row r="895" spans="1:41" ht="14">
      <c r="A895" s="49"/>
      <c r="B895" s="49"/>
      <c r="C895" s="47"/>
      <c r="D895" s="49"/>
      <c r="E895" s="49"/>
      <c r="F895" s="49" t="b">
        <v>0</v>
      </c>
      <c r="G895" s="49"/>
      <c r="H895" s="47"/>
      <c r="I895" s="47"/>
      <c r="J895" s="49"/>
      <c r="K895" s="49"/>
      <c r="L895" s="49"/>
      <c r="M895" s="49"/>
      <c r="N895" s="49"/>
      <c r="O895" s="49" t="b">
        <v>0</v>
      </c>
      <c r="P895" s="49"/>
      <c r="Q895" s="49"/>
      <c r="R895" s="49"/>
      <c r="S895" s="49"/>
      <c r="T895" s="49"/>
      <c r="U895" s="58"/>
      <c r="V895" s="49"/>
      <c r="W895" s="58"/>
      <c r="X895" s="49"/>
      <c r="Y895" s="47"/>
      <c r="Z895" s="175" t="str">
        <f ca="1">IFERROR(__xludf.DUMMYFUNCTION("QUERY('Volunteer Survey'!A894)"),"")</f>
        <v/>
      </c>
      <c r="AA895" s="175" t="str">
        <f ca="1">IFERROR(__xludf.DUMMYFUNCTION("QUERY('Volunteer Survey'!B894)"),"")</f>
        <v/>
      </c>
      <c r="AB895" s="175" t="str">
        <f ca="1">IFERROR(__xludf.DUMMYFUNCTION("QUERY('Volunteer Survey'!C894)"),"")</f>
        <v/>
      </c>
      <c r="AC895" s="175" t="str">
        <f ca="1">IFERROR(__xludf.DUMMYFUNCTION("QUERY('Volunteer Survey'!D894)"),"")</f>
        <v/>
      </c>
      <c r="AD895" s="175" t="str">
        <f ca="1">IFERROR(__xludf.DUMMYFUNCTION("QUERY('Volunteer Survey'!E894)"),"")</f>
        <v/>
      </c>
      <c r="AE895" s="175" t="str">
        <f ca="1">IFERROR(__xludf.DUMMYFUNCTION("QUERY('Volunteer Survey'!F894)"),"")</f>
        <v/>
      </c>
      <c r="AF895" s="175" t="str">
        <f ca="1">IFERROR(__xludf.DUMMYFUNCTION("QUERY('Volunteer Survey'!G894)"),"")</f>
        <v/>
      </c>
      <c r="AG895" s="175" t="str">
        <f ca="1">IFERROR(__xludf.DUMMYFUNCTION("QUERY('Volunteer Survey'!H894)"),"")</f>
        <v/>
      </c>
      <c r="AH895" s="175" t="str">
        <f ca="1">IFERROR(__xludf.DUMMYFUNCTION("QUERY('Volunteer Survey'!I894)"),"")</f>
        <v/>
      </c>
      <c r="AI895" s="175" t="str">
        <f ca="1">IFERROR(__xludf.DUMMYFUNCTION("QUERY('Volunteer Survey'!J894)"),"")</f>
        <v/>
      </c>
      <c r="AJ895" s="175" t="str">
        <f ca="1">IFERROR(__xludf.DUMMYFUNCTION("QUERY('Volunteer Survey'!K894)"),"")</f>
        <v/>
      </c>
      <c r="AK895" s="175" t="str">
        <f ca="1">IFERROR(__xludf.DUMMYFUNCTION("QUERY('Volunteer Survey'!L894)"),"")</f>
        <v/>
      </c>
      <c r="AL895" s="175" t="str">
        <f ca="1">IFERROR(__xludf.DUMMYFUNCTION("QUERY('Volunteer Survey'!M894)"),"")</f>
        <v/>
      </c>
      <c r="AM895" s="175" t="str">
        <f ca="1">IFERROR(__xludf.DUMMYFUNCTION("QUERY('Volunteer Survey'!N894)"),"")</f>
        <v/>
      </c>
      <c r="AN895" s="175" t="str">
        <f ca="1">IFERROR(__xludf.DUMMYFUNCTION("QUERY('Volunteer Survey'!O894)"),"")</f>
        <v/>
      </c>
      <c r="AO895" s="175" t="str">
        <f ca="1">IFERROR(__xludf.DUMMYFUNCTION("QUERY('Volunteer Survey'!P894)"),"")</f>
        <v/>
      </c>
    </row>
    <row r="896" spans="1:41" ht="14">
      <c r="A896" s="49"/>
      <c r="B896" s="49"/>
      <c r="C896" s="47"/>
      <c r="D896" s="49"/>
      <c r="E896" s="49"/>
      <c r="F896" s="49" t="b">
        <v>0</v>
      </c>
      <c r="G896" s="49"/>
      <c r="H896" s="47"/>
      <c r="I896" s="47"/>
      <c r="J896" s="49"/>
      <c r="K896" s="49"/>
      <c r="L896" s="49"/>
      <c r="M896" s="49"/>
      <c r="N896" s="49"/>
      <c r="O896" s="49" t="b">
        <v>0</v>
      </c>
      <c r="P896" s="49"/>
      <c r="Q896" s="49"/>
      <c r="R896" s="49"/>
      <c r="S896" s="49"/>
      <c r="T896" s="49"/>
      <c r="U896" s="58"/>
      <c r="V896" s="49"/>
      <c r="W896" s="58"/>
      <c r="X896" s="49"/>
      <c r="Y896" s="47"/>
      <c r="Z896" s="175" t="str">
        <f ca="1">IFERROR(__xludf.DUMMYFUNCTION("QUERY('Volunteer Survey'!A895)"),"")</f>
        <v/>
      </c>
      <c r="AA896" s="175" t="str">
        <f ca="1">IFERROR(__xludf.DUMMYFUNCTION("QUERY('Volunteer Survey'!B895)"),"")</f>
        <v/>
      </c>
      <c r="AB896" s="175" t="str">
        <f ca="1">IFERROR(__xludf.DUMMYFUNCTION("QUERY('Volunteer Survey'!C895)"),"")</f>
        <v/>
      </c>
      <c r="AC896" s="175" t="str">
        <f ca="1">IFERROR(__xludf.DUMMYFUNCTION("QUERY('Volunteer Survey'!D895)"),"")</f>
        <v/>
      </c>
      <c r="AD896" s="175" t="str">
        <f ca="1">IFERROR(__xludf.DUMMYFUNCTION("QUERY('Volunteer Survey'!E895)"),"")</f>
        <v/>
      </c>
      <c r="AE896" s="175" t="str">
        <f ca="1">IFERROR(__xludf.DUMMYFUNCTION("QUERY('Volunteer Survey'!F895)"),"")</f>
        <v/>
      </c>
      <c r="AF896" s="175" t="str">
        <f ca="1">IFERROR(__xludf.DUMMYFUNCTION("QUERY('Volunteer Survey'!G895)"),"")</f>
        <v/>
      </c>
      <c r="AG896" s="175" t="str">
        <f ca="1">IFERROR(__xludf.DUMMYFUNCTION("QUERY('Volunteer Survey'!H895)"),"")</f>
        <v/>
      </c>
      <c r="AH896" s="175" t="str">
        <f ca="1">IFERROR(__xludf.DUMMYFUNCTION("QUERY('Volunteer Survey'!I895)"),"")</f>
        <v/>
      </c>
      <c r="AI896" s="175" t="str">
        <f ca="1">IFERROR(__xludf.DUMMYFUNCTION("QUERY('Volunteer Survey'!J895)"),"")</f>
        <v/>
      </c>
      <c r="AJ896" s="175" t="str">
        <f ca="1">IFERROR(__xludf.DUMMYFUNCTION("QUERY('Volunteer Survey'!K895)"),"")</f>
        <v/>
      </c>
      <c r="AK896" s="175" t="str">
        <f ca="1">IFERROR(__xludf.DUMMYFUNCTION("QUERY('Volunteer Survey'!L895)"),"")</f>
        <v/>
      </c>
      <c r="AL896" s="175" t="str">
        <f ca="1">IFERROR(__xludf.DUMMYFUNCTION("QUERY('Volunteer Survey'!M895)"),"")</f>
        <v/>
      </c>
      <c r="AM896" s="175" t="str">
        <f ca="1">IFERROR(__xludf.DUMMYFUNCTION("QUERY('Volunteer Survey'!N895)"),"")</f>
        <v/>
      </c>
      <c r="AN896" s="175" t="str">
        <f ca="1">IFERROR(__xludf.DUMMYFUNCTION("QUERY('Volunteer Survey'!O895)"),"")</f>
        <v/>
      </c>
      <c r="AO896" s="175" t="str">
        <f ca="1">IFERROR(__xludf.DUMMYFUNCTION("QUERY('Volunteer Survey'!P895)"),"")</f>
        <v/>
      </c>
    </row>
    <row r="897" spans="1:41" ht="14">
      <c r="A897" s="49"/>
      <c r="B897" s="49"/>
      <c r="C897" s="47"/>
      <c r="D897" s="49"/>
      <c r="E897" s="49"/>
      <c r="F897" s="49" t="b">
        <v>0</v>
      </c>
      <c r="G897" s="49"/>
      <c r="H897" s="47"/>
      <c r="I897" s="47"/>
      <c r="J897" s="49"/>
      <c r="K897" s="49"/>
      <c r="L897" s="49"/>
      <c r="M897" s="49"/>
      <c r="N897" s="49"/>
      <c r="O897" s="49" t="b">
        <v>0</v>
      </c>
      <c r="P897" s="49"/>
      <c r="Q897" s="49"/>
      <c r="R897" s="49"/>
      <c r="S897" s="49"/>
      <c r="T897" s="49"/>
      <c r="U897" s="58"/>
      <c r="V897" s="49"/>
      <c r="W897" s="58"/>
      <c r="X897" s="49"/>
      <c r="Y897" s="47"/>
      <c r="Z897" s="175" t="str">
        <f ca="1">IFERROR(__xludf.DUMMYFUNCTION("QUERY('Volunteer Survey'!A896)"),"")</f>
        <v/>
      </c>
      <c r="AA897" s="175" t="str">
        <f ca="1">IFERROR(__xludf.DUMMYFUNCTION("QUERY('Volunteer Survey'!B896)"),"")</f>
        <v/>
      </c>
      <c r="AB897" s="175" t="str">
        <f ca="1">IFERROR(__xludf.DUMMYFUNCTION("QUERY('Volunteer Survey'!C896)"),"")</f>
        <v/>
      </c>
      <c r="AC897" s="175" t="str">
        <f ca="1">IFERROR(__xludf.DUMMYFUNCTION("QUERY('Volunteer Survey'!D896)"),"")</f>
        <v/>
      </c>
      <c r="AD897" s="175" t="str">
        <f ca="1">IFERROR(__xludf.DUMMYFUNCTION("QUERY('Volunteer Survey'!E896)"),"")</f>
        <v/>
      </c>
      <c r="AE897" s="175" t="str">
        <f ca="1">IFERROR(__xludf.DUMMYFUNCTION("QUERY('Volunteer Survey'!F896)"),"")</f>
        <v/>
      </c>
      <c r="AF897" s="175" t="str">
        <f ca="1">IFERROR(__xludf.DUMMYFUNCTION("QUERY('Volunteer Survey'!G896)"),"")</f>
        <v/>
      </c>
      <c r="AG897" s="175" t="str">
        <f ca="1">IFERROR(__xludf.DUMMYFUNCTION("QUERY('Volunteer Survey'!H896)"),"")</f>
        <v/>
      </c>
      <c r="AH897" s="175" t="str">
        <f ca="1">IFERROR(__xludf.DUMMYFUNCTION("QUERY('Volunteer Survey'!I896)"),"")</f>
        <v/>
      </c>
      <c r="AI897" s="175" t="str">
        <f ca="1">IFERROR(__xludf.DUMMYFUNCTION("QUERY('Volunteer Survey'!J896)"),"")</f>
        <v/>
      </c>
      <c r="AJ897" s="175" t="str">
        <f ca="1">IFERROR(__xludf.DUMMYFUNCTION("QUERY('Volunteer Survey'!K896)"),"")</f>
        <v/>
      </c>
      <c r="AK897" s="175" t="str">
        <f ca="1">IFERROR(__xludf.DUMMYFUNCTION("QUERY('Volunteer Survey'!L896)"),"")</f>
        <v/>
      </c>
      <c r="AL897" s="175" t="str">
        <f ca="1">IFERROR(__xludf.DUMMYFUNCTION("QUERY('Volunteer Survey'!M896)"),"")</f>
        <v/>
      </c>
      <c r="AM897" s="175" t="str">
        <f ca="1">IFERROR(__xludf.DUMMYFUNCTION("QUERY('Volunteer Survey'!N896)"),"")</f>
        <v/>
      </c>
      <c r="AN897" s="175" t="str">
        <f ca="1">IFERROR(__xludf.DUMMYFUNCTION("QUERY('Volunteer Survey'!O896)"),"")</f>
        <v/>
      </c>
      <c r="AO897" s="175" t="str">
        <f ca="1">IFERROR(__xludf.DUMMYFUNCTION("QUERY('Volunteer Survey'!P896)"),"")</f>
        <v/>
      </c>
    </row>
    <row r="898" spans="1:41" ht="14">
      <c r="A898" s="49"/>
      <c r="B898" s="49"/>
      <c r="C898" s="47"/>
      <c r="D898" s="49"/>
      <c r="E898" s="49"/>
      <c r="F898" s="49" t="b">
        <v>0</v>
      </c>
      <c r="G898" s="49"/>
      <c r="H898" s="47"/>
      <c r="I898" s="47"/>
      <c r="J898" s="49"/>
      <c r="K898" s="49"/>
      <c r="L898" s="49"/>
      <c r="M898" s="49"/>
      <c r="N898" s="49"/>
      <c r="O898" s="49" t="b">
        <v>0</v>
      </c>
      <c r="P898" s="49"/>
      <c r="Q898" s="49"/>
      <c r="R898" s="49"/>
      <c r="S898" s="49"/>
      <c r="T898" s="49"/>
      <c r="U898" s="58"/>
      <c r="V898" s="49"/>
      <c r="W898" s="58"/>
      <c r="X898" s="49"/>
      <c r="Y898" s="47"/>
      <c r="Z898" s="175" t="str">
        <f ca="1">IFERROR(__xludf.DUMMYFUNCTION("QUERY('Volunteer Survey'!A897)"),"")</f>
        <v/>
      </c>
      <c r="AA898" s="175" t="str">
        <f ca="1">IFERROR(__xludf.DUMMYFUNCTION("QUERY('Volunteer Survey'!B897)"),"")</f>
        <v/>
      </c>
      <c r="AB898" s="175" t="str">
        <f ca="1">IFERROR(__xludf.DUMMYFUNCTION("QUERY('Volunteer Survey'!C897)"),"")</f>
        <v/>
      </c>
      <c r="AC898" s="175" t="str">
        <f ca="1">IFERROR(__xludf.DUMMYFUNCTION("QUERY('Volunteer Survey'!D897)"),"")</f>
        <v/>
      </c>
      <c r="AD898" s="175" t="str">
        <f ca="1">IFERROR(__xludf.DUMMYFUNCTION("QUERY('Volunteer Survey'!E897)"),"")</f>
        <v/>
      </c>
      <c r="AE898" s="175" t="str">
        <f ca="1">IFERROR(__xludf.DUMMYFUNCTION("QUERY('Volunteer Survey'!F897)"),"")</f>
        <v/>
      </c>
      <c r="AF898" s="175" t="str">
        <f ca="1">IFERROR(__xludf.DUMMYFUNCTION("QUERY('Volunteer Survey'!G897)"),"")</f>
        <v/>
      </c>
      <c r="AG898" s="175" t="str">
        <f ca="1">IFERROR(__xludf.DUMMYFUNCTION("QUERY('Volunteer Survey'!H897)"),"")</f>
        <v/>
      </c>
      <c r="AH898" s="175" t="str">
        <f ca="1">IFERROR(__xludf.DUMMYFUNCTION("QUERY('Volunteer Survey'!I897)"),"")</f>
        <v/>
      </c>
      <c r="AI898" s="175" t="str">
        <f ca="1">IFERROR(__xludf.DUMMYFUNCTION("QUERY('Volunteer Survey'!J897)"),"")</f>
        <v/>
      </c>
      <c r="AJ898" s="175" t="str">
        <f ca="1">IFERROR(__xludf.DUMMYFUNCTION("QUERY('Volunteer Survey'!K897)"),"")</f>
        <v/>
      </c>
      <c r="AK898" s="175" t="str">
        <f ca="1">IFERROR(__xludf.DUMMYFUNCTION("QUERY('Volunteer Survey'!L897)"),"")</f>
        <v/>
      </c>
      <c r="AL898" s="175" t="str">
        <f ca="1">IFERROR(__xludf.DUMMYFUNCTION("QUERY('Volunteer Survey'!M897)"),"")</f>
        <v/>
      </c>
      <c r="AM898" s="175" t="str">
        <f ca="1">IFERROR(__xludf.DUMMYFUNCTION("QUERY('Volunteer Survey'!N897)"),"")</f>
        <v/>
      </c>
      <c r="AN898" s="175" t="str">
        <f ca="1">IFERROR(__xludf.DUMMYFUNCTION("QUERY('Volunteer Survey'!O897)"),"")</f>
        <v/>
      </c>
      <c r="AO898" s="175" t="str">
        <f ca="1">IFERROR(__xludf.DUMMYFUNCTION("QUERY('Volunteer Survey'!P897)"),"")</f>
        <v/>
      </c>
    </row>
    <row r="899" spans="1:41" ht="14">
      <c r="A899" s="49"/>
      <c r="B899" s="49"/>
      <c r="C899" s="47"/>
      <c r="D899" s="49"/>
      <c r="E899" s="49"/>
      <c r="F899" s="49" t="b">
        <v>0</v>
      </c>
      <c r="G899" s="49"/>
      <c r="H899" s="47"/>
      <c r="I899" s="47"/>
      <c r="J899" s="49"/>
      <c r="K899" s="49"/>
      <c r="L899" s="49"/>
      <c r="M899" s="49"/>
      <c r="N899" s="49"/>
      <c r="O899" s="49" t="b">
        <v>0</v>
      </c>
      <c r="P899" s="49"/>
      <c r="Q899" s="49"/>
      <c r="R899" s="49"/>
      <c r="S899" s="49"/>
      <c r="T899" s="49"/>
      <c r="U899" s="58"/>
      <c r="V899" s="49"/>
      <c r="W899" s="58"/>
      <c r="X899" s="49"/>
      <c r="Y899" s="47"/>
      <c r="Z899" s="175" t="str">
        <f ca="1">IFERROR(__xludf.DUMMYFUNCTION("QUERY('Volunteer Survey'!A898)"),"")</f>
        <v/>
      </c>
      <c r="AA899" s="175" t="str">
        <f ca="1">IFERROR(__xludf.DUMMYFUNCTION("QUERY('Volunteer Survey'!B898)"),"")</f>
        <v/>
      </c>
      <c r="AB899" s="175" t="str">
        <f ca="1">IFERROR(__xludf.DUMMYFUNCTION("QUERY('Volunteer Survey'!C898)"),"")</f>
        <v/>
      </c>
      <c r="AC899" s="175" t="str">
        <f ca="1">IFERROR(__xludf.DUMMYFUNCTION("QUERY('Volunteer Survey'!D898)"),"")</f>
        <v/>
      </c>
      <c r="AD899" s="175" t="str">
        <f ca="1">IFERROR(__xludf.DUMMYFUNCTION("QUERY('Volunteer Survey'!E898)"),"")</f>
        <v/>
      </c>
      <c r="AE899" s="175" t="str">
        <f ca="1">IFERROR(__xludf.DUMMYFUNCTION("QUERY('Volunteer Survey'!F898)"),"")</f>
        <v/>
      </c>
      <c r="AF899" s="175" t="str">
        <f ca="1">IFERROR(__xludf.DUMMYFUNCTION("QUERY('Volunteer Survey'!G898)"),"")</f>
        <v/>
      </c>
      <c r="AG899" s="175" t="str">
        <f ca="1">IFERROR(__xludf.DUMMYFUNCTION("QUERY('Volunteer Survey'!H898)"),"")</f>
        <v/>
      </c>
      <c r="AH899" s="175" t="str">
        <f ca="1">IFERROR(__xludf.DUMMYFUNCTION("QUERY('Volunteer Survey'!I898)"),"")</f>
        <v/>
      </c>
      <c r="AI899" s="175" t="str">
        <f ca="1">IFERROR(__xludf.DUMMYFUNCTION("QUERY('Volunteer Survey'!J898)"),"")</f>
        <v/>
      </c>
      <c r="AJ899" s="175" t="str">
        <f ca="1">IFERROR(__xludf.DUMMYFUNCTION("QUERY('Volunteer Survey'!K898)"),"")</f>
        <v/>
      </c>
      <c r="AK899" s="175" t="str">
        <f ca="1">IFERROR(__xludf.DUMMYFUNCTION("QUERY('Volunteer Survey'!L898)"),"")</f>
        <v/>
      </c>
      <c r="AL899" s="175" t="str">
        <f ca="1">IFERROR(__xludf.DUMMYFUNCTION("QUERY('Volunteer Survey'!M898)"),"")</f>
        <v/>
      </c>
      <c r="AM899" s="175" t="str">
        <f ca="1">IFERROR(__xludf.DUMMYFUNCTION("QUERY('Volunteer Survey'!N898)"),"")</f>
        <v/>
      </c>
      <c r="AN899" s="175" t="str">
        <f ca="1">IFERROR(__xludf.DUMMYFUNCTION("QUERY('Volunteer Survey'!O898)"),"")</f>
        <v/>
      </c>
      <c r="AO899" s="175" t="str">
        <f ca="1">IFERROR(__xludf.DUMMYFUNCTION("QUERY('Volunteer Survey'!P898)"),"")</f>
        <v/>
      </c>
    </row>
    <row r="900" spans="1:41" ht="14">
      <c r="A900" s="49"/>
      <c r="B900" s="49"/>
      <c r="C900" s="47"/>
      <c r="D900" s="49"/>
      <c r="E900" s="49"/>
      <c r="F900" s="49" t="b">
        <v>0</v>
      </c>
      <c r="G900" s="49"/>
      <c r="H900" s="47"/>
      <c r="I900" s="47"/>
      <c r="J900" s="49"/>
      <c r="K900" s="49"/>
      <c r="L900" s="49"/>
      <c r="M900" s="49"/>
      <c r="N900" s="49"/>
      <c r="O900" s="49" t="b">
        <v>0</v>
      </c>
      <c r="P900" s="49"/>
      <c r="Q900" s="49"/>
      <c r="R900" s="49"/>
      <c r="S900" s="49"/>
      <c r="T900" s="49"/>
      <c r="U900" s="58"/>
      <c r="V900" s="49"/>
      <c r="W900" s="58"/>
      <c r="X900" s="49"/>
      <c r="Y900" s="47"/>
      <c r="Z900" s="175" t="str">
        <f ca="1">IFERROR(__xludf.DUMMYFUNCTION("QUERY('Volunteer Survey'!A899)"),"")</f>
        <v/>
      </c>
      <c r="AA900" s="175" t="str">
        <f ca="1">IFERROR(__xludf.DUMMYFUNCTION("QUERY('Volunteer Survey'!B899)"),"")</f>
        <v/>
      </c>
      <c r="AB900" s="175" t="str">
        <f ca="1">IFERROR(__xludf.DUMMYFUNCTION("QUERY('Volunteer Survey'!C899)"),"")</f>
        <v/>
      </c>
      <c r="AC900" s="175" t="str">
        <f ca="1">IFERROR(__xludf.DUMMYFUNCTION("QUERY('Volunteer Survey'!D899)"),"")</f>
        <v/>
      </c>
      <c r="AD900" s="175" t="str">
        <f ca="1">IFERROR(__xludf.DUMMYFUNCTION("QUERY('Volunteer Survey'!E899)"),"")</f>
        <v/>
      </c>
      <c r="AE900" s="175" t="str">
        <f ca="1">IFERROR(__xludf.DUMMYFUNCTION("QUERY('Volunteer Survey'!F899)"),"")</f>
        <v/>
      </c>
      <c r="AF900" s="175" t="str">
        <f ca="1">IFERROR(__xludf.DUMMYFUNCTION("QUERY('Volunteer Survey'!G899)"),"")</f>
        <v/>
      </c>
      <c r="AG900" s="175" t="str">
        <f ca="1">IFERROR(__xludf.DUMMYFUNCTION("QUERY('Volunteer Survey'!H899)"),"")</f>
        <v/>
      </c>
      <c r="AH900" s="175" t="str">
        <f ca="1">IFERROR(__xludf.DUMMYFUNCTION("QUERY('Volunteer Survey'!I899)"),"")</f>
        <v/>
      </c>
      <c r="AI900" s="175" t="str">
        <f ca="1">IFERROR(__xludf.DUMMYFUNCTION("QUERY('Volunteer Survey'!J899)"),"")</f>
        <v/>
      </c>
      <c r="AJ900" s="175" t="str">
        <f ca="1">IFERROR(__xludf.DUMMYFUNCTION("QUERY('Volunteer Survey'!K899)"),"")</f>
        <v/>
      </c>
      <c r="AK900" s="175" t="str">
        <f ca="1">IFERROR(__xludf.DUMMYFUNCTION("QUERY('Volunteer Survey'!L899)"),"")</f>
        <v/>
      </c>
      <c r="AL900" s="175" t="str">
        <f ca="1">IFERROR(__xludf.DUMMYFUNCTION("QUERY('Volunteer Survey'!M899)"),"")</f>
        <v/>
      </c>
      <c r="AM900" s="175" t="str">
        <f ca="1">IFERROR(__xludf.DUMMYFUNCTION("QUERY('Volunteer Survey'!N899)"),"")</f>
        <v/>
      </c>
      <c r="AN900" s="175" t="str">
        <f ca="1">IFERROR(__xludf.DUMMYFUNCTION("QUERY('Volunteer Survey'!O899)"),"")</f>
        <v/>
      </c>
      <c r="AO900" s="175" t="str">
        <f ca="1">IFERROR(__xludf.DUMMYFUNCTION("QUERY('Volunteer Survey'!P899)"),"")</f>
        <v/>
      </c>
    </row>
    <row r="901" spans="1:41" ht="14">
      <c r="A901" s="49"/>
      <c r="B901" s="49"/>
      <c r="C901" s="47"/>
      <c r="D901" s="49"/>
      <c r="E901" s="49"/>
      <c r="F901" s="49" t="b">
        <v>0</v>
      </c>
      <c r="G901" s="49"/>
      <c r="H901" s="47"/>
      <c r="I901" s="47"/>
      <c r="J901" s="49"/>
      <c r="K901" s="49"/>
      <c r="L901" s="49"/>
      <c r="M901" s="49"/>
      <c r="N901" s="49"/>
      <c r="O901" s="49" t="b">
        <v>0</v>
      </c>
      <c r="P901" s="49"/>
      <c r="Q901" s="49"/>
      <c r="R901" s="49"/>
      <c r="S901" s="49"/>
      <c r="T901" s="49"/>
      <c r="U901" s="58"/>
      <c r="V901" s="49"/>
      <c r="W901" s="58"/>
      <c r="X901" s="49"/>
      <c r="Y901" s="47"/>
      <c r="Z901" s="175" t="str">
        <f ca="1">IFERROR(__xludf.DUMMYFUNCTION("QUERY('Volunteer Survey'!A900)"),"")</f>
        <v/>
      </c>
      <c r="AA901" s="175" t="str">
        <f ca="1">IFERROR(__xludf.DUMMYFUNCTION("QUERY('Volunteer Survey'!B900)"),"")</f>
        <v/>
      </c>
      <c r="AB901" s="175" t="str">
        <f ca="1">IFERROR(__xludf.DUMMYFUNCTION("QUERY('Volunteer Survey'!C900)"),"")</f>
        <v/>
      </c>
      <c r="AC901" s="175" t="str">
        <f ca="1">IFERROR(__xludf.DUMMYFUNCTION("QUERY('Volunteer Survey'!D900)"),"")</f>
        <v/>
      </c>
      <c r="AD901" s="175" t="str">
        <f ca="1">IFERROR(__xludf.DUMMYFUNCTION("QUERY('Volunteer Survey'!E900)"),"")</f>
        <v/>
      </c>
      <c r="AE901" s="175" t="str">
        <f ca="1">IFERROR(__xludf.DUMMYFUNCTION("QUERY('Volunteer Survey'!F900)"),"")</f>
        <v/>
      </c>
      <c r="AF901" s="175" t="str">
        <f ca="1">IFERROR(__xludf.DUMMYFUNCTION("QUERY('Volunteer Survey'!G900)"),"")</f>
        <v/>
      </c>
      <c r="AG901" s="175" t="str">
        <f ca="1">IFERROR(__xludf.DUMMYFUNCTION("QUERY('Volunteer Survey'!H900)"),"")</f>
        <v/>
      </c>
      <c r="AH901" s="175" t="str">
        <f ca="1">IFERROR(__xludf.DUMMYFUNCTION("QUERY('Volunteer Survey'!I900)"),"")</f>
        <v/>
      </c>
      <c r="AI901" s="175" t="str">
        <f ca="1">IFERROR(__xludf.DUMMYFUNCTION("QUERY('Volunteer Survey'!J900)"),"")</f>
        <v/>
      </c>
      <c r="AJ901" s="175" t="str">
        <f ca="1">IFERROR(__xludf.DUMMYFUNCTION("QUERY('Volunteer Survey'!K900)"),"")</f>
        <v/>
      </c>
      <c r="AK901" s="175" t="str">
        <f ca="1">IFERROR(__xludf.DUMMYFUNCTION("QUERY('Volunteer Survey'!L900)"),"")</f>
        <v/>
      </c>
      <c r="AL901" s="175" t="str">
        <f ca="1">IFERROR(__xludf.DUMMYFUNCTION("QUERY('Volunteer Survey'!M900)"),"")</f>
        <v/>
      </c>
      <c r="AM901" s="175" t="str">
        <f ca="1">IFERROR(__xludf.DUMMYFUNCTION("QUERY('Volunteer Survey'!N900)"),"")</f>
        <v/>
      </c>
      <c r="AN901" s="175" t="str">
        <f ca="1">IFERROR(__xludf.DUMMYFUNCTION("QUERY('Volunteer Survey'!O900)"),"")</f>
        <v/>
      </c>
      <c r="AO901" s="175" t="str">
        <f ca="1">IFERROR(__xludf.DUMMYFUNCTION("QUERY('Volunteer Survey'!P900)"),"")</f>
        <v/>
      </c>
    </row>
    <row r="902" spans="1:41" ht="14">
      <c r="A902" s="49"/>
      <c r="B902" s="49"/>
      <c r="C902" s="47"/>
      <c r="D902" s="49"/>
      <c r="E902" s="49"/>
      <c r="F902" s="49" t="b">
        <v>0</v>
      </c>
      <c r="G902" s="49"/>
      <c r="H902" s="47"/>
      <c r="I902" s="47"/>
      <c r="J902" s="49"/>
      <c r="K902" s="49"/>
      <c r="L902" s="49"/>
      <c r="M902" s="49"/>
      <c r="N902" s="49"/>
      <c r="O902" s="49" t="b">
        <v>0</v>
      </c>
      <c r="P902" s="49"/>
      <c r="Q902" s="49"/>
      <c r="R902" s="49"/>
      <c r="S902" s="49"/>
      <c r="T902" s="49"/>
      <c r="U902" s="58"/>
      <c r="V902" s="49"/>
      <c r="W902" s="58"/>
      <c r="X902" s="49"/>
      <c r="Y902" s="47"/>
      <c r="Z902" s="175" t="str">
        <f ca="1">IFERROR(__xludf.DUMMYFUNCTION("QUERY('Volunteer Survey'!A901)"),"")</f>
        <v/>
      </c>
      <c r="AA902" s="175" t="str">
        <f ca="1">IFERROR(__xludf.DUMMYFUNCTION("QUERY('Volunteer Survey'!B901)"),"")</f>
        <v/>
      </c>
      <c r="AB902" s="175" t="str">
        <f ca="1">IFERROR(__xludf.DUMMYFUNCTION("QUERY('Volunteer Survey'!C901)"),"")</f>
        <v/>
      </c>
      <c r="AC902" s="175" t="str">
        <f ca="1">IFERROR(__xludf.DUMMYFUNCTION("QUERY('Volunteer Survey'!D901)"),"")</f>
        <v/>
      </c>
      <c r="AD902" s="175" t="str">
        <f ca="1">IFERROR(__xludf.DUMMYFUNCTION("QUERY('Volunteer Survey'!E901)"),"")</f>
        <v/>
      </c>
      <c r="AE902" s="175" t="str">
        <f ca="1">IFERROR(__xludf.DUMMYFUNCTION("QUERY('Volunteer Survey'!F901)"),"")</f>
        <v/>
      </c>
      <c r="AF902" s="175" t="str">
        <f ca="1">IFERROR(__xludf.DUMMYFUNCTION("QUERY('Volunteer Survey'!G901)"),"")</f>
        <v/>
      </c>
      <c r="AG902" s="175" t="str">
        <f ca="1">IFERROR(__xludf.DUMMYFUNCTION("QUERY('Volunteer Survey'!H901)"),"")</f>
        <v/>
      </c>
      <c r="AH902" s="175" t="str">
        <f ca="1">IFERROR(__xludf.DUMMYFUNCTION("QUERY('Volunteer Survey'!I901)"),"")</f>
        <v/>
      </c>
      <c r="AI902" s="175" t="str">
        <f ca="1">IFERROR(__xludf.DUMMYFUNCTION("QUERY('Volunteer Survey'!J901)"),"")</f>
        <v/>
      </c>
      <c r="AJ902" s="175" t="str">
        <f ca="1">IFERROR(__xludf.DUMMYFUNCTION("QUERY('Volunteer Survey'!K901)"),"")</f>
        <v/>
      </c>
      <c r="AK902" s="175" t="str">
        <f ca="1">IFERROR(__xludf.DUMMYFUNCTION("QUERY('Volunteer Survey'!L901)"),"")</f>
        <v/>
      </c>
      <c r="AL902" s="175" t="str">
        <f ca="1">IFERROR(__xludf.DUMMYFUNCTION("QUERY('Volunteer Survey'!M901)"),"")</f>
        <v/>
      </c>
      <c r="AM902" s="175" t="str">
        <f ca="1">IFERROR(__xludf.DUMMYFUNCTION("QUERY('Volunteer Survey'!N901)"),"")</f>
        <v/>
      </c>
      <c r="AN902" s="175" t="str">
        <f ca="1">IFERROR(__xludf.DUMMYFUNCTION("QUERY('Volunteer Survey'!O901)"),"")</f>
        <v/>
      </c>
      <c r="AO902" s="175" t="str">
        <f ca="1">IFERROR(__xludf.DUMMYFUNCTION("QUERY('Volunteer Survey'!P901)"),"")</f>
        <v/>
      </c>
    </row>
    <row r="903" spans="1:41" ht="14">
      <c r="A903" s="49"/>
      <c r="B903" s="49"/>
      <c r="C903" s="47"/>
      <c r="D903" s="49"/>
      <c r="E903" s="49"/>
      <c r="F903" s="49" t="b">
        <v>0</v>
      </c>
      <c r="G903" s="49"/>
      <c r="H903" s="47"/>
      <c r="I903" s="47"/>
      <c r="J903" s="49"/>
      <c r="K903" s="49"/>
      <c r="L903" s="49"/>
      <c r="M903" s="49"/>
      <c r="N903" s="49"/>
      <c r="O903" s="49" t="b">
        <v>0</v>
      </c>
      <c r="P903" s="49"/>
      <c r="Q903" s="49"/>
      <c r="R903" s="49"/>
      <c r="S903" s="49"/>
      <c r="T903" s="49"/>
      <c r="U903" s="58"/>
      <c r="V903" s="49"/>
      <c r="W903" s="58"/>
      <c r="X903" s="49"/>
      <c r="Y903" s="47"/>
      <c r="Z903" s="175" t="str">
        <f ca="1">IFERROR(__xludf.DUMMYFUNCTION("QUERY('Volunteer Survey'!A902)"),"")</f>
        <v/>
      </c>
      <c r="AA903" s="175" t="str">
        <f ca="1">IFERROR(__xludf.DUMMYFUNCTION("QUERY('Volunteer Survey'!B902)"),"")</f>
        <v/>
      </c>
      <c r="AB903" s="175" t="str">
        <f ca="1">IFERROR(__xludf.DUMMYFUNCTION("QUERY('Volunteer Survey'!C902)"),"")</f>
        <v/>
      </c>
      <c r="AC903" s="175" t="str">
        <f ca="1">IFERROR(__xludf.DUMMYFUNCTION("QUERY('Volunteer Survey'!D902)"),"")</f>
        <v/>
      </c>
      <c r="AD903" s="175" t="str">
        <f ca="1">IFERROR(__xludf.DUMMYFUNCTION("QUERY('Volunteer Survey'!E902)"),"")</f>
        <v/>
      </c>
      <c r="AE903" s="175" t="str">
        <f ca="1">IFERROR(__xludf.DUMMYFUNCTION("QUERY('Volunteer Survey'!F902)"),"")</f>
        <v/>
      </c>
      <c r="AF903" s="175" t="str">
        <f ca="1">IFERROR(__xludf.DUMMYFUNCTION("QUERY('Volunteer Survey'!G902)"),"")</f>
        <v/>
      </c>
      <c r="AG903" s="175" t="str">
        <f ca="1">IFERROR(__xludf.DUMMYFUNCTION("QUERY('Volunteer Survey'!H902)"),"")</f>
        <v/>
      </c>
      <c r="AH903" s="175" t="str">
        <f ca="1">IFERROR(__xludf.DUMMYFUNCTION("QUERY('Volunteer Survey'!I902)"),"")</f>
        <v/>
      </c>
      <c r="AI903" s="175" t="str">
        <f ca="1">IFERROR(__xludf.DUMMYFUNCTION("QUERY('Volunteer Survey'!J902)"),"")</f>
        <v/>
      </c>
      <c r="AJ903" s="175" t="str">
        <f ca="1">IFERROR(__xludf.DUMMYFUNCTION("QUERY('Volunteer Survey'!K902)"),"")</f>
        <v/>
      </c>
      <c r="AK903" s="175" t="str">
        <f ca="1">IFERROR(__xludf.DUMMYFUNCTION("QUERY('Volunteer Survey'!L902)"),"")</f>
        <v/>
      </c>
      <c r="AL903" s="175" t="str">
        <f ca="1">IFERROR(__xludf.DUMMYFUNCTION("QUERY('Volunteer Survey'!M902)"),"")</f>
        <v/>
      </c>
      <c r="AM903" s="175" t="str">
        <f ca="1">IFERROR(__xludf.DUMMYFUNCTION("QUERY('Volunteer Survey'!N902)"),"")</f>
        <v/>
      </c>
      <c r="AN903" s="175" t="str">
        <f ca="1">IFERROR(__xludf.DUMMYFUNCTION("QUERY('Volunteer Survey'!O902)"),"")</f>
        <v/>
      </c>
      <c r="AO903" s="175" t="str">
        <f ca="1">IFERROR(__xludf.DUMMYFUNCTION("QUERY('Volunteer Survey'!P902)"),"")</f>
        <v/>
      </c>
    </row>
    <row r="904" spans="1:41" ht="14">
      <c r="A904" s="49"/>
      <c r="B904" s="49"/>
      <c r="C904" s="47"/>
      <c r="D904" s="49"/>
      <c r="E904" s="49"/>
      <c r="F904" s="49" t="b">
        <v>0</v>
      </c>
      <c r="G904" s="49"/>
      <c r="H904" s="47"/>
      <c r="I904" s="47"/>
      <c r="J904" s="49"/>
      <c r="K904" s="49"/>
      <c r="L904" s="49"/>
      <c r="M904" s="49"/>
      <c r="N904" s="49"/>
      <c r="O904" s="49" t="b">
        <v>0</v>
      </c>
      <c r="P904" s="49"/>
      <c r="Q904" s="49"/>
      <c r="R904" s="49"/>
      <c r="S904" s="49"/>
      <c r="T904" s="49"/>
      <c r="U904" s="58"/>
      <c r="V904" s="49"/>
      <c r="W904" s="58"/>
      <c r="X904" s="49"/>
      <c r="Y904" s="47"/>
      <c r="Z904" s="175" t="str">
        <f ca="1">IFERROR(__xludf.DUMMYFUNCTION("QUERY('Volunteer Survey'!A903)"),"")</f>
        <v/>
      </c>
      <c r="AA904" s="175" t="str">
        <f ca="1">IFERROR(__xludf.DUMMYFUNCTION("QUERY('Volunteer Survey'!B903)"),"")</f>
        <v/>
      </c>
      <c r="AB904" s="175" t="str">
        <f ca="1">IFERROR(__xludf.DUMMYFUNCTION("QUERY('Volunteer Survey'!C903)"),"")</f>
        <v/>
      </c>
      <c r="AC904" s="175" t="str">
        <f ca="1">IFERROR(__xludf.DUMMYFUNCTION("QUERY('Volunteer Survey'!D903)"),"")</f>
        <v/>
      </c>
      <c r="AD904" s="175" t="str">
        <f ca="1">IFERROR(__xludf.DUMMYFUNCTION("QUERY('Volunteer Survey'!E903)"),"")</f>
        <v/>
      </c>
      <c r="AE904" s="175" t="str">
        <f ca="1">IFERROR(__xludf.DUMMYFUNCTION("QUERY('Volunteer Survey'!F903)"),"")</f>
        <v/>
      </c>
      <c r="AF904" s="175" t="str">
        <f ca="1">IFERROR(__xludf.DUMMYFUNCTION("QUERY('Volunteer Survey'!G903)"),"")</f>
        <v/>
      </c>
      <c r="AG904" s="175" t="str">
        <f ca="1">IFERROR(__xludf.DUMMYFUNCTION("QUERY('Volunteer Survey'!H903)"),"")</f>
        <v/>
      </c>
      <c r="AH904" s="175" t="str">
        <f ca="1">IFERROR(__xludf.DUMMYFUNCTION("QUERY('Volunteer Survey'!I903)"),"")</f>
        <v/>
      </c>
      <c r="AI904" s="175" t="str">
        <f ca="1">IFERROR(__xludf.DUMMYFUNCTION("QUERY('Volunteer Survey'!J903)"),"")</f>
        <v/>
      </c>
      <c r="AJ904" s="175" t="str">
        <f ca="1">IFERROR(__xludf.DUMMYFUNCTION("QUERY('Volunteer Survey'!K903)"),"")</f>
        <v/>
      </c>
      <c r="AK904" s="175" t="str">
        <f ca="1">IFERROR(__xludf.DUMMYFUNCTION("QUERY('Volunteer Survey'!L903)"),"")</f>
        <v/>
      </c>
      <c r="AL904" s="175" t="str">
        <f ca="1">IFERROR(__xludf.DUMMYFUNCTION("QUERY('Volunteer Survey'!M903)"),"")</f>
        <v/>
      </c>
      <c r="AM904" s="175" t="str">
        <f ca="1">IFERROR(__xludf.DUMMYFUNCTION("QUERY('Volunteer Survey'!N903)"),"")</f>
        <v/>
      </c>
      <c r="AN904" s="175" t="str">
        <f ca="1">IFERROR(__xludf.DUMMYFUNCTION("QUERY('Volunteer Survey'!O903)"),"")</f>
        <v/>
      </c>
      <c r="AO904" s="175" t="str">
        <f ca="1">IFERROR(__xludf.DUMMYFUNCTION("QUERY('Volunteer Survey'!P903)"),"")</f>
        <v/>
      </c>
    </row>
    <row r="905" spans="1:41" ht="14">
      <c r="A905" s="49"/>
      <c r="B905" s="49"/>
      <c r="C905" s="47"/>
      <c r="D905" s="49"/>
      <c r="E905" s="49"/>
      <c r="F905" s="49" t="b">
        <v>0</v>
      </c>
      <c r="G905" s="49"/>
      <c r="H905" s="47"/>
      <c r="I905" s="47"/>
      <c r="J905" s="49"/>
      <c r="K905" s="49"/>
      <c r="L905" s="49"/>
      <c r="M905" s="49"/>
      <c r="N905" s="49"/>
      <c r="O905" s="49" t="b">
        <v>0</v>
      </c>
      <c r="P905" s="49"/>
      <c r="Q905" s="49"/>
      <c r="R905" s="49"/>
      <c r="S905" s="49"/>
      <c r="T905" s="49"/>
      <c r="U905" s="58"/>
      <c r="V905" s="49"/>
      <c r="W905" s="58"/>
      <c r="X905" s="49"/>
      <c r="Y905" s="47"/>
      <c r="Z905" s="175" t="str">
        <f ca="1">IFERROR(__xludf.DUMMYFUNCTION("QUERY('Volunteer Survey'!A904)"),"")</f>
        <v/>
      </c>
      <c r="AA905" s="175" t="str">
        <f ca="1">IFERROR(__xludf.DUMMYFUNCTION("QUERY('Volunteer Survey'!B904)"),"")</f>
        <v/>
      </c>
      <c r="AB905" s="175" t="str">
        <f ca="1">IFERROR(__xludf.DUMMYFUNCTION("QUERY('Volunteer Survey'!C904)"),"")</f>
        <v/>
      </c>
      <c r="AC905" s="175" t="str">
        <f ca="1">IFERROR(__xludf.DUMMYFUNCTION("QUERY('Volunteer Survey'!D904)"),"")</f>
        <v/>
      </c>
      <c r="AD905" s="175" t="str">
        <f ca="1">IFERROR(__xludf.DUMMYFUNCTION("QUERY('Volunteer Survey'!E904)"),"")</f>
        <v/>
      </c>
      <c r="AE905" s="175" t="str">
        <f ca="1">IFERROR(__xludf.DUMMYFUNCTION("QUERY('Volunteer Survey'!F904)"),"")</f>
        <v/>
      </c>
      <c r="AF905" s="175" t="str">
        <f ca="1">IFERROR(__xludf.DUMMYFUNCTION("QUERY('Volunteer Survey'!G904)"),"")</f>
        <v/>
      </c>
      <c r="AG905" s="175" t="str">
        <f ca="1">IFERROR(__xludf.DUMMYFUNCTION("QUERY('Volunteer Survey'!H904)"),"")</f>
        <v/>
      </c>
      <c r="AH905" s="175" t="str">
        <f ca="1">IFERROR(__xludf.DUMMYFUNCTION("QUERY('Volunteer Survey'!I904)"),"")</f>
        <v/>
      </c>
      <c r="AI905" s="175" t="str">
        <f ca="1">IFERROR(__xludf.DUMMYFUNCTION("QUERY('Volunteer Survey'!J904)"),"")</f>
        <v/>
      </c>
      <c r="AJ905" s="175" t="str">
        <f ca="1">IFERROR(__xludf.DUMMYFUNCTION("QUERY('Volunteer Survey'!K904)"),"")</f>
        <v/>
      </c>
      <c r="AK905" s="175" t="str">
        <f ca="1">IFERROR(__xludf.DUMMYFUNCTION("QUERY('Volunteer Survey'!L904)"),"")</f>
        <v/>
      </c>
      <c r="AL905" s="175" t="str">
        <f ca="1">IFERROR(__xludf.DUMMYFUNCTION("QUERY('Volunteer Survey'!M904)"),"")</f>
        <v/>
      </c>
      <c r="AM905" s="175" t="str">
        <f ca="1">IFERROR(__xludf.DUMMYFUNCTION("QUERY('Volunteer Survey'!N904)"),"")</f>
        <v/>
      </c>
      <c r="AN905" s="175" t="str">
        <f ca="1">IFERROR(__xludf.DUMMYFUNCTION("QUERY('Volunteer Survey'!O904)"),"")</f>
        <v/>
      </c>
      <c r="AO905" s="175" t="str">
        <f ca="1">IFERROR(__xludf.DUMMYFUNCTION("QUERY('Volunteer Survey'!P904)"),"")</f>
        <v/>
      </c>
    </row>
    <row r="906" spans="1:41" ht="14">
      <c r="A906" s="49"/>
      <c r="B906" s="49"/>
      <c r="C906" s="47"/>
      <c r="D906" s="49"/>
      <c r="E906" s="49"/>
      <c r="F906" s="49" t="b">
        <v>0</v>
      </c>
      <c r="G906" s="49"/>
      <c r="H906" s="47"/>
      <c r="I906" s="47"/>
      <c r="J906" s="49"/>
      <c r="K906" s="49"/>
      <c r="L906" s="49"/>
      <c r="M906" s="49"/>
      <c r="N906" s="49"/>
      <c r="O906" s="49" t="b">
        <v>0</v>
      </c>
      <c r="P906" s="49"/>
      <c r="Q906" s="49"/>
      <c r="R906" s="49"/>
      <c r="S906" s="49"/>
      <c r="T906" s="49"/>
      <c r="U906" s="58"/>
      <c r="V906" s="49"/>
      <c r="W906" s="58"/>
      <c r="X906" s="49"/>
      <c r="Y906" s="47"/>
      <c r="Z906" s="175" t="str">
        <f ca="1">IFERROR(__xludf.DUMMYFUNCTION("QUERY('Volunteer Survey'!A905)"),"")</f>
        <v/>
      </c>
      <c r="AA906" s="175" t="str">
        <f ca="1">IFERROR(__xludf.DUMMYFUNCTION("QUERY('Volunteer Survey'!B905)"),"")</f>
        <v/>
      </c>
      <c r="AB906" s="175" t="str">
        <f ca="1">IFERROR(__xludf.DUMMYFUNCTION("QUERY('Volunteer Survey'!C905)"),"")</f>
        <v/>
      </c>
      <c r="AC906" s="175" t="str">
        <f ca="1">IFERROR(__xludf.DUMMYFUNCTION("QUERY('Volunteer Survey'!D905)"),"")</f>
        <v/>
      </c>
      <c r="AD906" s="175" t="str">
        <f ca="1">IFERROR(__xludf.DUMMYFUNCTION("QUERY('Volunteer Survey'!E905)"),"")</f>
        <v/>
      </c>
      <c r="AE906" s="175" t="str">
        <f ca="1">IFERROR(__xludf.DUMMYFUNCTION("QUERY('Volunteer Survey'!F905)"),"")</f>
        <v/>
      </c>
      <c r="AF906" s="175" t="str">
        <f ca="1">IFERROR(__xludf.DUMMYFUNCTION("QUERY('Volunteer Survey'!G905)"),"")</f>
        <v/>
      </c>
      <c r="AG906" s="175" t="str">
        <f ca="1">IFERROR(__xludf.DUMMYFUNCTION("QUERY('Volunteer Survey'!H905)"),"")</f>
        <v/>
      </c>
      <c r="AH906" s="175" t="str">
        <f ca="1">IFERROR(__xludf.DUMMYFUNCTION("QUERY('Volunteer Survey'!I905)"),"")</f>
        <v/>
      </c>
      <c r="AI906" s="175" t="str">
        <f ca="1">IFERROR(__xludf.DUMMYFUNCTION("QUERY('Volunteer Survey'!J905)"),"")</f>
        <v/>
      </c>
      <c r="AJ906" s="175" t="str">
        <f ca="1">IFERROR(__xludf.DUMMYFUNCTION("QUERY('Volunteer Survey'!K905)"),"")</f>
        <v/>
      </c>
      <c r="AK906" s="175" t="str">
        <f ca="1">IFERROR(__xludf.DUMMYFUNCTION("QUERY('Volunteer Survey'!L905)"),"")</f>
        <v/>
      </c>
      <c r="AL906" s="175" t="str">
        <f ca="1">IFERROR(__xludf.DUMMYFUNCTION("QUERY('Volunteer Survey'!M905)"),"")</f>
        <v/>
      </c>
      <c r="AM906" s="175" t="str">
        <f ca="1">IFERROR(__xludf.DUMMYFUNCTION("QUERY('Volunteer Survey'!N905)"),"")</f>
        <v/>
      </c>
      <c r="AN906" s="175" t="str">
        <f ca="1">IFERROR(__xludf.DUMMYFUNCTION("QUERY('Volunteer Survey'!O905)"),"")</f>
        <v/>
      </c>
      <c r="AO906" s="175" t="str">
        <f ca="1">IFERROR(__xludf.DUMMYFUNCTION("QUERY('Volunteer Survey'!P905)"),"")</f>
        <v/>
      </c>
    </row>
    <row r="907" spans="1:41" ht="14">
      <c r="A907" s="49"/>
      <c r="B907" s="49"/>
      <c r="C907" s="47"/>
      <c r="D907" s="49"/>
      <c r="E907" s="49"/>
      <c r="F907" s="49" t="b">
        <v>0</v>
      </c>
      <c r="G907" s="49"/>
      <c r="H907" s="47"/>
      <c r="I907" s="47"/>
      <c r="J907" s="49"/>
      <c r="K907" s="49"/>
      <c r="L907" s="49"/>
      <c r="M907" s="49"/>
      <c r="N907" s="49"/>
      <c r="O907" s="49" t="b">
        <v>0</v>
      </c>
      <c r="P907" s="49"/>
      <c r="Q907" s="49"/>
      <c r="R907" s="49"/>
      <c r="S907" s="49"/>
      <c r="T907" s="49"/>
      <c r="U907" s="58"/>
      <c r="V907" s="49"/>
      <c r="W907" s="58"/>
      <c r="X907" s="49"/>
      <c r="Y907" s="47"/>
      <c r="Z907" s="175" t="str">
        <f ca="1">IFERROR(__xludf.DUMMYFUNCTION("QUERY('Volunteer Survey'!A906)"),"")</f>
        <v/>
      </c>
      <c r="AA907" s="175" t="str">
        <f ca="1">IFERROR(__xludf.DUMMYFUNCTION("QUERY('Volunteer Survey'!B906)"),"")</f>
        <v/>
      </c>
      <c r="AB907" s="175" t="str">
        <f ca="1">IFERROR(__xludf.DUMMYFUNCTION("QUERY('Volunteer Survey'!C906)"),"")</f>
        <v/>
      </c>
      <c r="AC907" s="175" t="str">
        <f ca="1">IFERROR(__xludf.DUMMYFUNCTION("QUERY('Volunteer Survey'!D906)"),"")</f>
        <v/>
      </c>
      <c r="AD907" s="175" t="str">
        <f ca="1">IFERROR(__xludf.DUMMYFUNCTION("QUERY('Volunteer Survey'!E906)"),"")</f>
        <v/>
      </c>
      <c r="AE907" s="175" t="str">
        <f ca="1">IFERROR(__xludf.DUMMYFUNCTION("QUERY('Volunteer Survey'!F906)"),"")</f>
        <v/>
      </c>
      <c r="AF907" s="175" t="str">
        <f ca="1">IFERROR(__xludf.DUMMYFUNCTION("QUERY('Volunteer Survey'!G906)"),"")</f>
        <v/>
      </c>
      <c r="AG907" s="175" t="str">
        <f ca="1">IFERROR(__xludf.DUMMYFUNCTION("QUERY('Volunteer Survey'!H906)"),"")</f>
        <v/>
      </c>
      <c r="AH907" s="175" t="str">
        <f ca="1">IFERROR(__xludf.DUMMYFUNCTION("QUERY('Volunteer Survey'!I906)"),"")</f>
        <v/>
      </c>
      <c r="AI907" s="175" t="str">
        <f ca="1">IFERROR(__xludf.DUMMYFUNCTION("QUERY('Volunteer Survey'!J906)"),"")</f>
        <v/>
      </c>
      <c r="AJ907" s="175" t="str">
        <f ca="1">IFERROR(__xludf.DUMMYFUNCTION("QUERY('Volunteer Survey'!K906)"),"")</f>
        <v/>
      </c>
      <c r="AK907" s="175" t="str">
        <f ca="1">IFERROR(__xludf.DUMMYFUNCTION("QUERY('Volunteer Survey'!L906)"),"")</f>
        <v/>
      </c>
      <c r="AL907" s="175" t="str">
        <f ca="1">IFERROR(__xludf.DUMMYFUNCTION("QUERY('Volunteer Survey'!M906)"),"")</f>
        <v/>
      </c>
      <c r="AM907" s="175" t="str">
        <f ca="1">IFERROR(__xludf.DUMMYFUNCTION("QUERY('Volunteer Survey'!N906)"),"")</f>
        <v/>
      </c>
      <c r="AN907" s="175" t="str">
        <f ca="1">IFERROR(__xludf.DUMMYFUNCTION("QUERY('Volunteer Survey'!O906)"),"")</f>
        <v/>
      </c>
      <c r="AO907" s="175" t="str">
        <f ca="1">IFERROR(__xludf.DUMMYFUNCTION("QUERY('Volunteer Survey'!P906)"),"")</f>
        <v/>
      </c>
    </row>
    <row r="908" spans="1:41" ht="14">
      <c r="A908" s="49"/>
      <c r="B908" s="49"/>
      <c r="C908" s="47"/>
      <c r="D908" s="49"/>
      <c r="E908" s="49"/>
      <c r="F908" s="49" t="b">
        <v>0</v>
      </c>
      <c r="G908" s="49"/>
      <c r="H908" s="47"/>
      <c r="I908" s="47"/>
      <c r="J908" s="49"/>
      <c r="K908" s="49"/>
      <c r="L908" s="49"/>
      <c r="M908" s="49"/>
      <c r="N908" s="49"/>
      <c r="O908" s="49" t="b">
        <v>0</v>
      </c>
      <c r="P908" s="49"/>
      <c r="Q908" s="49"/>
      <c r="R908" s="49"/>
      <c r="S908" s="49"/>
      <c r="T908" s="49"/>
      <c r="U908" s="58"/>
      <c r="V908" s="49"/>
      <c r="W908" s="58"/>
      <c r="X908" s="49"/>
      <c r="Y908" s="47"/>
      <c r="Z908" s="175" t="str">
        <f ca="1">IFERROR(__xludf.DUMMYFUNCTION("QUERY('Volunteer Survey'!A907)"),"")</f>
        <v/>
      </c>
      <c r="AA908" s="175" t="str">
        <f ca="1">IFERROR(__xludf.DUMMYFUNCTION("QUERY('Volunteer Survey'!B907)"),"")</f>
        <v/>
      </c>
      <c r="AB908" s="175" t="str">
        <f ca="1">IFERROR(__xludf.DUMMYFUNCTION("QUERY('Volunteer Survey'!C907)"),"")</f>
        <v/>
      </c>
      <c r="AC908" s="175" t="str">
        <f ca="1">IFERROR(__xludf.DUMMYFUNCTION("QUERY('Volunteer Survey'!D907)"),"")</f>
        <v/>
      </c>
      <c r="AD908" s="175" t="str">
        <f ca="1">IFERROR(__xludf.DUMMYFUNCTION("QUERY('Volunteer Survey'!E907)"),"")</f>
        <v/>
      </c>
      <c r="AE908" s="175" t="str">
        <f ca="1">IFERROR(__xludf.DUMMYFUNCTION("QUERY('Volunteer Survey'!F907)"),"")</f>
        <v/>
      </c>
      <c r="AF908" s="175" t="str">
        <f ca="1">IFERROR(__xludf.DUMMYFUNCTION("QUERY('Volunteer Survey'!G907)"),"")</f>
        <v/>
      </c>
      <c r="AG908" s="175" t="str">
        <f ca="1">IFERROR(__xludf.DUMMYFUNCTION("QUERY('Volunteer Survey'!H907)"),"")</f>
        <v/>
      </c>
      <c r="AH908" s="175" t="str">
        <f ca="1">IFERROR(__xludf.DUMMYFUNCTION("QUERY('Volunteer Survey'!I907)"),"")</f>
        <v/>
      </c>
      <c r="AI908" s="175" t="str">
        <f ca="1">IFERROR(__xludf.DUMMYFUNCTION("QUERY('Volunteer Survey'!J907)"),"")</f>
        <v/>
      </c>
      <c r="AJ908" s="175" t="str">
        <f ca="1">IFERROR(__xludf.DUMMYFUNCTION("QUERY('Volunteer Survey'!K907)"),"")</f>
        <v/>
      </c>
      <c r="AK908" s="175" t="str">
        <f ca="1">IFERROR(__xludf.DUMMYFUNCTION("QUERY('Volunteer Survey'!L907)"),"")</f>
        <v/>
      </c>
      <c r="AL908" s="175" t="str">
        <f ca="1">IFERROR(__xludf.DUMMYFUNCTION("QUERY('Volunteer Survey'!M907)"),"")</f>
        <v/>
      </c>
      <c r="AM908" s="175" t="str">
        <f ca="1">IFERROR(__xludf.DUMMYFUNCTION("QUERY('Volunteer Survey'!N907)"),"")</f>
        <v/>
      </c>
      <c r="AN908" s="175" t="str">
        <f ca="1">IFERROR(__xludf.DUMMYFUNCTION("QUERY('Volunteer Survey'!O907)"),"")</f>
        <v/>
      </c>
      <c r="AO908" s="175" t="str">
        <f ca="1">IFERROR(__xludf.DUMMYFUNCTION("QUERY('Volunteer Survey'!P907)"),"")</f>
        <v/>
      </c>
    </row>
    <row r="909" spans="1:41" ht="14">
      <c r="A909" s="49"/>
      <c r="B909" s="49"/>
      <c r="C909" s="47"/>
      <c r="D909" s="49"/>
      <c r="E909" s="49"/>
      <c r="F909" s="49" t="b">
        <v>0</v>
      </c>
      <c r="G909" s="49"/>
      <c r="H909" s="47"/>
      <c r="I909" s="47"/>
      <c r="J909" s="49"/>
      <c r="K909" s="49"/>
      <c r="L909" s="49"/>
      <c r="M909" s="49"/>
      <c r="N909" s="49"/>
      <c r="O909" s="49" t="b">
        <v>0</v>
      </c>
      <c r="P909" s="49"/>
      <c r="Q909" s="49"/>
      <c r="R909" s="49"/>
      <c r="S909" s="49"/>
      <c r="T909" s="49"/>
      <c r="U909" s="58"/>
      <c r="V909" s="49"/>
      <c r="W909" s="58"/>
      <c r="X909" s="49"/>
      <c r="Y909" s="47"/>
      <c r="Z909" s="175" t="str">
        <f ca="1">IFERROR(__xludf.DUMMYFUNCTION("QUERY('Volunteer Survey'!A908)"),"")</f>
        <v/>
      </c>
      <c r="AA909" s="175" t="str">
        <f ca="1">IFERROR(__xludf.DUMMYFUNCTION("QUERY('Volunteer Survey'!B908)"),"")</f>
        <v/>
      </c>
      <c r="AB909" s="175" t="str">
        <f ca="1">IFERROR(__xludf.DUMMYFUNCTION("QUERY('Volunteer Survey'!C908)"),"")</f>
        <v/>
      </c>
      <c r="AC909" s="175" t="str">
        <f ca="1">IFERROR(__xludf.DUMMYFUNCTION("QUERY('Volunteer Survey'!D908)"),"")</f>
        <v/>
      </c>
      <c r="AD909" s="175" t="str">
        <f ca="1">IFERROR(__xludf.DUMMYFUNCTION("QUERY('Volunteer Survey'!E908)"),"")</f>
        <v/>
      </c>
      <c r="AE909" s="175" t="str">
        <f ca="1">IFERROR(__xludf.DUMMYFUNCTION("QUERY('Volunteer Survey'!F908)"),"")</f>
        <v/>
      </c>
      <c r="AF909" s="175" t="str">
        <f ca="1">IFERROR(__xludf.DUMMYFUNCTION("QUERY('Volunteer Survey'!G908)"),"")</f>
        <v/>
      </c>
      <c r="AG909" s="175" t="str">
        <f ca="1">IFERROR(__xludf.DUMMYFUNCTION("QUERY('Volunteer Survey'!H908)"),"")</f>
        <v/>
      </c>
      <c r="AH909" s="175" t="str">
        <f ca="1">IFERROR(__xludf.DUMMYFUNCTION("QUERY('Volunteer Survey'!I908)"),"")</f>
        <v/>
      </c>
      <c r="AI909" s="175" t="str">
        <f ca="1">IFERROR(__xludf.DUMMYFUNCTION("QUERY('Volunteer Survey'!J908)"),"")</f>
        <v/>
      </c>
      <c r="AJ909" s="175" t="str">
        <f ca="1">IFERROR(__xludf.DUMMYFUNCTION("QUERY('Volunteer Survey'!K908)"),"")</f>
        <v/>
      </c>
      <c r="AK909" s="175" t="str">
        <f ca="1">IFERROR(__xludf.DUMMYFUNCTION("QUERY('Volunteer Survey'!L908)"),"")</f>
        <v/>
      </c>
      <c r="AL909" s="175" t="str">
        <f ca="1">IFERROR(__xludf.DUMMYFUNCTION("QUERY('Volunteer Survey'!M908)"),"")</f>
        <v/>
      </c>
      <c r="AM909" s="175" t="str">
        <f ca="1">IFERROR(__xludf.DUMMYFUNCTION("QUERY('Volunteer Survey'!N908)"),"")</f>
        <v/>
      </c>
      <c r="AN909" s="175" t="str">
        <f ca="1">IFERROR(__xludf.DUMMYFUNCTION("QUERY('Volunteer Survey'!O908)"),"")</f>
        <v/>
      </c>
      <c r="AO909" s="175" t="str">
        <f ca="1">IFERROR(__xludf.DUMMYFUNCTION("QUERY('Volunteer Survey'!P908)"),"")</f>
        <v/>
      </c>
    </row>
    <row r="910" spans="1:41" ht="14">
      <c r="A910" s="49"/>
      <c r="B910" s="49"/>
      <c r="C910" s="47"/>
      <c r="D910" s="49"/>
      <c r="E910" s="49"/>
      <c r="F910" s="49" t="b">
        <v>0</v>
      </c>
      <c r="G910" s="49"/>
      <c r="H910" s="47"/>
      <c r="I910" s="47"/>
      <c r="J910" s="49"/>
      <c r="K910" s="49"/>
      <c r="L910" s="49"/>
      <c r="M910" s="49"/>
      <c r="N910" s="49"/>
      <c r="O910" s="49" t="b">
        <v>0</v>
      </c>
      <c r="P910" s="49"/>
      <c r="Q910" s="49"/>
      <c r="R910" s="49"/>
      <c r="S910" s="49"/>
      <c r="T910" s="49"/>
      <c r="U910" s="58"/>
      <c r="V910" s="49"/>
      <c r="W910" s="58"/>
      <c r="X910" s="49"/>
      <c r="Y910" s="47"/>
      <c r="Z910" s="175" t="str">
        <f ca="1">IFERROR(__xludf.DUMMYFUNCTION("QUERY('Volunteer Survey'!A909)"),"")</f>
        <v/>
      </c>
      <c r="AA910" s="175" t="str">
        <f ca="1">IFERROR(__xludf.DUMMYFUNCTION("QUERY('Volunteer Survey'!B909)"),"")</f>
        <v/>
      </c>
      <c r="AB910" s="175" t="str">
        <f ca="1">IFERROR(__xludf.DUMMYFUNCTION("QUERY('Volunteer Survey'!C909)"),"")</f>
        <v/>
      </c>
      <c r="AC910" s="175" t="str">
        <f ca="1">IFERROR(__xludf.DUMMYFUNCTION("QUERY('Volunteer Survey'!D909)"),"")</f>
        <v/>
      </c>
      <c r="AD910" s="175" t="str">
        <f ca="1">IFERROR(__xludf.DUMMYFUNCTION("QUERY('Volunteer Survey'!E909)"),"")</f>
        <v/>
      </c>
      <c r="AE910" s="175" t="str">
        <f ca="1">IFERROR(__xludf.DUMMYFUNCTION("QUERY('Volunteer Survey'!F909)"),"")</f>
        <v/>
      </c>
      <c r="AF910" s="175" t="str">
        <f ca="1">IFERROR(__xludf.DUMMYFUNCTION("QUERY('Volunteer Survey'!G909)"),"")</f>
        <v/>
      </c>
      <c r="AG910" s="175" t="str">
        <f ca="1">IFERROR(__xludf.DUMMYFUNCTION("QUERY('Volunteer Survey'!H909)"),"")</f>
        <v/>
      </c>
      <c r="AH910" s="175" t="str">
        <f ca="1">IFERROR(__xludf.DUMMYFUNCTION("QUERY('Volunteer Survey'!I909)"),"")</f>
        <v/>
      </c>
      <c r="AI910" s="175" t="str">
        <f ca="1">IFERROR(__xludf.DUMMYFUNCTION("QUERY('Volunteer Survey'!J909)"),"")</f>
        <v/>
      </c>
      <c r="AJ910" s="175" t="str">
        <f ca="1">IFERROR(__xludf.DUMMYFUNCTION("QUERY('Volunteer Survey'!K909)"),"")</f>
        <v/>
      </c>
      <c r="AK910" s="175" t="str">
        <f ca="1">IFERROR(__xludf.DUMMYFUNCTION("QUERY('Volunteer Survey'!L909)"),"")</f>
        <v/>
      </c>
      <c r="AL910" s="175" t="str">
        <f ca="1">IFERROR(__xludf.DUMMYFUNCTION("QUERY('Volunteer Survey'!M909)"),"")</f>
        <v/>
      </c>
      <c r="AM910" s="175" t="str">
        <f ca="1">IFERROR(__xludf.DUMMYFUNCTION("QUERY('Volunteer Survey'!N909)"),"")</f>
        <v/>
      </c>
      <c r="AN910" s="175" t="str">
        <f ca="1">IFERROR(__xludf.DUMMYFUNCTION("QUERY('Volunteer Survey'!O909)"),"")</f>
        <v/>
      </c>
      <c r="AO910" s="175" t="str">
        <f ca="1">IFERROR(__xludf.DUMMYFUNCTION("QUERY('Volunteer Survey'!P909)"),"")</f>
        <v/>
      </c>
    </row>
    <row r="911" spans="1:41" ht="14">
      <c r="A911" s="49"/>
      <c r="B911" s="49"/>
      <c r="C911" s="47"/>
      <c r="D911" s="49"/>
      <c r="E911" s="49"/>
      <c r="F911" s="49" t="b">
        <v>0</v>
      </c>
      <c r="G911" s="49"/>
      <c r="H911" s="47"/>
      <c r="I911" s="47"/>
      <c r="J911" s="49"/>
      <c r="K911" s="49"/>
      <c r="L911" s="49"/>
      <c r="M911" s="49"/>
      <c r="N911" s="49"/>
      <c r="O911" s="49" t="b">
        <v>0</v>
      </c>
      <c r="P911" s="49"/>
      <c r="Q911" s="49"/>
      <c r="R911" s="49"/>
      <c r="S911" s="49"/>
      <c r="T911" s="49"/>
      <c r="U911" s="58"/>
      <c r="V911" s="49"/>
      <c r="W911" s="58"/>
      <c r="X911" s="49"/>
      <c r="Y911" s="47"/>
      <c r="Z911" s="175" t="str">
        <f ca="1">IFERROR(__xludf.DUMMYFUNCTION("QUERY('Volunteer Survey'!A910)"),"")</f>
        <v/>
      </c>
      <c r="AA911" s="175" t="str">
        <f ca="1">IFERROR(__xludf.DUMMYFUNCTION("QUERY('Volunteer Survey'!B910)"),"")</f>
        <v/>
      </c>
      <c r="AB911" s="175" t="str">
        <f ca="1">IFERROR(__xludf.DUMMYFUNCTION("QUERY('Volunteer Survey'!C910)"),"")</f>
        <v/>
      </c>
      <c r="AC911" s="175" t="str">
        <f ca="1">IFERROR(__xludf.DUMMYFUNCTION("QUERY('Volunteer Survey'!D910)"),"")</f>
        <v/>
      </c>
      <c r="AD911" s="175" t="str">
        <f ca="1">IFERROR(__xludf.DUMMYFUNCTION("QUERY('Volunteer Survey'!E910)"),"")</f>
        <v/>
      </c>
      <c r="AE911" s="175" t="str">
        <f ca="1">IFERROR(__xludf.DUMMYFUNCTION("QUERY('Volunteer Survey'!F910)"),"")</f>
        <v/>
      </c>
      <c r="AF911" s="175" t="str">
        <f ca="1">IFERROR(__xludf.DUMMYFUNCTION("QUERY('Volunteer Survey'!G910)"),"")</f>
        <v/>
      </c>
      <c r="AG911" s="175" t="str">
        <f ca="1">IFERROR(__xludf.DUMMYFUNCTION("QUERY('Volunteer Survey'!H910)"),"")</f>
        <v/>
      </c>
      <c r="AH911" s="175" t="str">
        <f ca="1">IFERROR(__xludf.DUMMYFUNCTION("QUERY('Volunteer Survey'!I910)"),"")</f>
        <v/>
      </c>
      <c r="AI911" s="175" t="str">
        <f ca="1">IFERROR(__xludf.DUMMYFUNCTION("QUERY('Volunteer Survey'!J910)"),"")</f>
        <v/>
      </c>
      <c r="AJ911" s="175" t="str">
        <f ca="1">IFERROR(__xludf.DUMMYFUNCTION("QUERY('Volunteer Survey'!K910)"),"")</f>
        <v/>
      </c>
      <c r="AK911" s="175" t="str">
        <f ca="1">IFERROR(__xludf.DUMMYFUNCTION("QUERY('Volunteer Survey'!L910)"),"")</f>
        <v/>
      </c>
      <c r="AL911" s="175" t="str">
        <f ca="1">IFERROR(__xludf.DUMMYFUNCTION("QUERY('Volunteer Survey'!M910)"),"")</f>
        <v/>
      </c>
      <c r="AM911" s="175" t="str">
        <f ca="1">IFERROR(__xludf.DUMMYFUNCTION("QUERY('Volunteer Survey'!N910)"),"")</f>
        <v/>
      </c>
      <c r="AN911" s="175" t="str">
        <f ca="1">IFERROR(__xludf.DUMMYFUNCTION("QUERY('Volunteer Survey'!O910)"),"")</f>
        <v/>
      </c>
      <c r="AO911" s="175" t="str">
        <f ca="1">IFERROR(__xludf.DUMMYFUNCTION("QUERY('Volunteer Survey'!P910)"),"")</f>
        <v/>
      </c>
    </row>
    <row r="912" spans="1:41" ht="14">
      <c r="A912" s="49"/>
      <c r="B912" s="49"/>
      <c r="C912" s="47"/>
      <c r="D912" s="49"/>
      <c r="E912" s="49"/>
      <c r="F912" s="49" t="b">
        <v>0</v>
      </c>
      <c r="G912" s="49"/>
      <c r="H912" s="47"/>
      <c r="I912" s="47"/>
      <c r="J912" s="49"/>
      <c r="K912" s="49"/>
      <c r="L912" s="49"/>
      <c r="M912" s="49"/>
      <c r="N912" s="49"/>
      <c r="O912" s="49" t="b">
        <v>0</v>
      </c>
      <c r="P912" s="49"/>
      <c r="Q912" s="49"/>
      <c r="R912" s="49"/>
      <c r="S912" s="49"/>
      <c r="T912" s="49"/>
      <c r="U912" s="58"/>
      <c r="V912" s="49"/>
      <c r="W912" s="58"/>
      <c r="X912" s="49"/>
      <c r="Y912" s="47"/>
      <c r="Z912" s="175" t="str">
        <f ca="1">IFERROR(__xludf.DUMMYFUNCTION("QUERY('Volunteer Survey'!A911)"),"")</f>
        <v/>
      </c>
      <c r="AA912" s="175" t="str">
        <f ca="1">IFERROR(__xludf.DUMMYFUNCTION("QUERY('Volunteer Survey'!B911)"),"")</f>
        <v/>
      </c>
      <c r="AB912" s="175" t="str">
        <f ca="1">IFERROR(__xludf.DUMMYFUNCTION("QUERY('Volunteer Survey'!C911)"),"")</f>
        <v/>
      </c>
      <c r="AC912" s="175" t="str">
        <f ca="1">IFERROR(__xludf.DUMMYFUNCTION("QUERY('Volunteer Survey'!D911)"),"")</f>
        <v/>
      </c>
      <c r="AD912" s="175" t="str">
        <f ca="1">IFERROR(__xludf.DUMMYFUNCTION("QUERY('Volunteer Survey'!E911)"),"")</f>
        <v/>
      </c>
      <c r="AE912" s="175" t="str">
        <f ca="1">IFERROR(__xludf.DUMMYFUNCTION("QUERY('Volunteer Survey'!F911)"),"")</f>
        <v/>
      </c>
      <c r="AF912" s="175" t="str">
        <f ca="1">IFERROR(__xludf.DUMMYFUNCTION("QUERY('Volunteer Survey'!G911)"),"")</f>
        <v/>
      </c>
      <c r="AG912" s="175" t="str">
        <f ca="1">IFERROR(__xludf.DUMMYFUNCTION("QUERY('Volunteer Survey'!H911)"),"")</f>
        <v/>
      </c>
      <c r="AH912" s="175" t="str">
        <f ca="1">IFERROR(__xludf.DUMMYFUNCTION("QUERY('Volunteer Survey'!I911)"),"")</f>
        <v/>
      </c>
      <c r="AI912" s="175" t="str">
        <f ca="1">IFERROR(__xludf.DUMMYFUNCTION("QUERY('Volunteer Survey'!J911)"),"")</f>
        <v/>
      </c>
      <c r="AJ912" s="175" t="str">
        <f ca="1">IFERROR(__xludf.DUMMYFUNCTION("QUERY('Volunteer Survey'!K911)"),"")</f>
        <v/>
      </c>
      <c r="AK912" s="175" t="str">
        <f ca="1">IFERROR(__xludf.DUMMYFUNCTION("QUERY('Volunteer Survey'!L911)"),"")</f>
        <v/>
      </c>
      <c r="AL912" s="175" t="str">
        <f ca="1">IFERROR(__xludf.DUMMYFUNCTION("QUERY('Volunteer Survey'!M911)"),"")</f>
        <v/>
      </c>
      <c r="AM912" s="175" t="str">
        <f ca="1">IFERROR(__xludf.DUMMYFUNCTION("QUERY('Volunteer Survey'!N911)"),"")</f>
        <v/>
      </c>
      <c r="AN912" s="175" t="str">
        <f ca="1">IFERROR(__xludf.DUMMYFUNCTION("QUERY('Volunteer Survey'!O911)"),"")</f>
        <v/>
      </c>
      <c r="AO912" s="175" t="str">
        <f ca="1">IFERROR(__xludf.DUMMYFUNCTION("QUERY('Volunteer Survey'!P911)"),"")</f>
        <v/>
      </c>
    </row>
    <row r="913" spans="1:41" ht="14">
      <c r="A913" s="49"/>
      <c r="B913" s="49"/>
      <c r="C913" s="47"/>
      <c r="D913" s="49"/>
      <c r="E913" s="49"/>
      <c r="F913" s="49" t="b">
        <v>0</v>
      </c>
      <c r="G913" s="49"/>
      <c r="H913" s="47"/>
      <c r="I913" s="47"/>
      <c r="J913" s="49"/>
      <c r="K913" s="49"/>
      <c r="L913" s="49"/>
      <c r="M913" s="49"/>
      <c r="N913" s="49"/>
      <c r="O913" s="49" t="b">
        <v>0</v>
      </c>
      <c r="P913" s="49"/>
      <c r="Q913" s="49"/>
      <c r="R913" s="49"/>
      <c r="S913" s="49"/>
      <c r="T913" s="49"/>
      <c r="U913" s="58"/>
      <c r="V913" s="49"/>
      <c r="W913" s="58"/>
      <c r="X913" s="49"/>
      <c r="Y913" s="47"/>
      <c r="Z913" s="175" t="str">
        <f ca="1">IFERROR(__xludf.DUMMYFUNCTION("QUERY('Volunteer Survey'!A912)"),"")</f>
        <v/>
      </c>
      <c r="AA913" s="175" t="str">
        <f ca="1">IFERROR(__xludf.DUMMYFUNCTION("QUERY('Volunteer Survey'!B912)"),"")</f>
        <v/>
      </c>
      <c r="AB913" s="175" t="str">
        <f ca="1">IFERROR(__xludf.DUMMYFUNCTION("QUERY('Volunteer Survey'!C912)"),"")</f>
        <v/>
      </c>
      <c r="AC913" s="175" t="str">
        <f ca="1">IFERROR(__xludf.DUMMYFUNCTION("QUERY('Volunteer Survey'!D912)"),"")</f>
        <v/>
      </c>
      <c r="AD913" s="175" t="str">
        <f ca="1">IFERROR(__xludf.DUMMYFUNCTION("QUERY('Volunteer Survey'!E912)"),"")</f>
        <v/>
      </c>
      <c r="AE913" s="175" t="str">
        <f ca="1">IFERROR(__xludf.DUMMYFUNCTION("QUERY('Volunteer Survey'!F912)"),"")</f>
        <v/>
      </c>
      <c r="AF913" s="175" t="str">
        <f ca="1">IFERROR(__xludf.DUMMYFUNCTION("QUERY('Volunteer Survey'!G912)"),"")</f>
        <v/>
      </c>
      <c r="AG913" s="175" t="str">
        <f ca="1">IFERROR(__xludf.DUMMYFUNCTION("QUERY('Volunteer Survey'!H912)"),"")</f>
        <v/>
      </c>
      <c r="AH913" s="175" t="str">
        <f ca="1">IFERROR(__xludf.DUMMYFUNCTION("QUERY('Volunteer Survey'!I912)"),"")</f>
        <v/>
      </c>
      <c r="AI913" s="175" t="str">
        <f ca="1">IFERROR(__xludf.DUMMYFUNCTION("QUERY('Volunteer Survey'!J912)"),"")</f>
        <v/>
      </c>
      <c r="AJ913" s="175" t="str">
        <f ca="1">IFERROR(__xludf.DUMMYFUNCTION("QUERY('Volunteer Survey'!K912)"),"")</f>
        <v/>
      </c>
      <c r="AK913" s="175" t="str">
        <f ca="1">IFERROR(__xludf.DUMMYFUNCTION("QUERY('Volunteer Survey'!L912)"),"")</f>
        <v/>
      </c>
      <c r="AL913" s="175" t="str">
        <f ca="1">IFERROR(__xludf.DUMMYFUNCTION("QUERY('Volunteer Survey'!M912)"),"")</f>
        <v/>
      </c>
      <c r="AM913" s="175" t="str">
        <f ca="1">IFERROR(__xludf.DUMMYFUNCTION("QUERY('Volunteer Survey'!N912)"),"")</f>
        <v/>
      </c>
      <c r="AN913" s="175" t="str">
        <f ca="1">IFERROR(__xludf.DUMMYFUNCTION("QUERY('Volunteer Survey'!O912)"),"")</f>
        <v/>
      </c>
      <c r="AO913" s="175" t="str">
        <f ca="1">IFERROR(__xludf.DUMMYFUNCTION("QUERY('Volunteer Survey'!P912)"),"")</f>
        <v/>
      </c>
    </row>
    <row r="914" spans="1:41" ht="14">
      <c r="A914" s="49"/>
      <c r="B914" s="49"/>
      <c r="C914" s="47"/>
      <c r="D914" s="49"/>
      <c r="E914" s="49"/>
      <c r="F914" s="49" t="b">
        <v>0</v>
      </c>
      <c r="G914" s="49"/>
      <c r="H914" s="47"/>
      <c r="I914" s="47"/>
      <c r="J914" s="49"/>
      <c r="K914" s="49"/>
      <c r="L914" s="49"/>
      <c r="M914" s="49"/>
      <c r="N914" s="49"/>
      <c r="O914" s="49" t="b">
        <v>0</v>
      </c>
      <c r="P914" s="49"/>
      <c r="Q914" s="49"/>
      <c r="R914" s="49"/>
      <c r="S914" s="49"/>
      <c r="T914" s="49"/>
      <c r="U914" s="58"/>
      <c r="V914" s="49"/>
      <c r="W914" s="58"/>
      <c r="X914" s="49"/>
      <c r="Y914" s="47"/>
      <c r="Z914" s="175" t="str">
        <f ca="1">IFERROR(__xludf.DUMMYFUNCTION("QUERY('Volunteer Survey'!A913)"),"")</f>
        <v/>
      </c>
      <c r="AA914" s="175" t="str">
        <f ca="1">IFERROR(__xludf.DUMMYFUNCTION("QUERY('Volunteer Survey'!B913)"),"")</f>
        <v/>
      </c>
      <c r="AB914" s="175" t="str">
        <f ca="1">IFERROR(__xludf.DUMMYFUNCTION("QUERY('Volunteer Survey'!C913)"),"")</f>
        <v/>
      </c>
      <c r="AC914" s="175" t="str">
        <f ca="1">IFERROR(__xludf.DUMMYFUNCTION("QUERY('Volunteer Survey'!D913)"),"")</f>
        <v/>
      </c>
      <c r="AD914" s="175" t="str">
        <f ca="1">IFERROR(__xludf.DUMMYFUNCTION("QUERY('Volunteer Survey'!E913)"),"")</f>
        <v/>
      </c>
      <c r="AE914" s="175" t="str">
        <f ca="1">IFERROR(__xludf.DUMMYFUNCTION("QUERY('Volunteer Survey'!F913)"),"")</f>
        <v/>
      </c>
      <c r="AF914" s="175" t="str">
        <f ca="1">IFERROR(__xludf.DUMMYFUNCTION("QUERY('Volunteer Survey'!G913)"),"")</f>
        <v/>
      </c>
      <c r="AG914" s="175" t="str">
        <f ca="1">IFERROR(__xludf.DUMMYFUNCTION("QUERY('Volunteer Survey'!H913)"),"")</f>
        <v/>
      </c>
      <c r="AH914" s="175" t="str">
        <f ca="1">IFERROR(__xludf.DUMMYFUNCTION("QUERY('Volunteer Survey'!I913)"),"")</f>
        <v/>
      </c>
      <c r="AI914" s="175" t="str">
        <f ca="1">IFERROR(__xludf.DUMMYFUNCTION("QUERY('Volunteer Survey'!J913)"),"")</f>
        <v/>
      </c>
      <c r="AJ914" s="175" t="str">
        <f ca="1">IFERROR(__xludf.DUMMYFUNCTION("QUERY('Volunteer Survey'!K913)"),"")</f>
        <v/>
      </c>
      <c r="AK914" s="175" t="str">
        <f ca="1">IFERROR(__xludf.DUMMYFUNCTION("QUERY('Volunteer Survey'!L913)"),"")</f>
        <v/>
      </c>
      <c r="AL914" s="175" t="str">
        <f ca="1">IFERROR(__xludf.DUMMYFUNCTION("QUERY('Volunteer Survey'!M913)"),"")</f>
        <v/>
      </c>
      <c r="AM914" s="175" t="str">
        <f ca="1">IFERROR(__xludf.DUMMYFUNCTION("QUERY('Volunteer Survey'!N913)"),"")</f>
        <v/>
      </c>
      <c r="AN914" s="175" t="str">
        <f ca="1">IFERROR(__xludf.DUMMYFUNCTION("QUERY('Volunteer Survey'!O913)"),"")</f>
        <v/>
      </c>
      <c r="AO914" s="175" t="str">
        <f ca="1">IFERROR(__xludf.DUMMYFUNCTION("QUERY('Volunteer Survey'!P913)"),"")</f>
        <v/>
      </c>
    </row>
    <row r="915" spans="1:41" ht="14">
      <c r="A915" s="49"/>
      <c r="B915" s="49"/>
      <c r="C915" s="47"/>
      <c r="D915" s="49"/>
      <c r="E915" s="49"/>
      <c r="F915" s="49" t="b">
        <v>0</v>
      </c>
      <c r="G915" s="49"/>
      <c r="H915" s="47"/>
      <c r="I915" s="47"/>
      <c r="J915" s="49"/>
      <c r="K915" s="49"/>
      <c r="L915" s="49"/>
      <c r="M915" s="49"/>
      <c r="N915" s="49"/>
      <c r="O915" s="49" t="b">
        <v>0</v>
      </c>
      <c r="P915" s="49"/>
      <c r="Q915" s="49"/>
      <c r="R915" s="49"/>
      <c r="S915" s="49"/>
      <c r="T915" s="49"/>
      <c r="U915" s="58"/>
      <c r="V915" s="49"/>
      <c r="W915" s="58"/>
      <c r="X915" s="49"/>
      <c r="Y915" s="47"/>
      <c r="Z915" s="175" t="str">
        <f ca="1">IFERROR(__xludf.DUMMYFUNCTION("QUERY('Volunteer Survey'!A914)"),"")</f>
        <v/>
      </c>
      <c r="AA915" s="175" t="str">
        <f ca="1">IFERROR(__xludf.DUMMYFUNCTION("QUERY('Volunteer Survey'!B914)"),"")</f>
        <v/>
      </c>
      <c r="AB915" s="175" t="str">
        <f ca="1">IFERROR(__xludf.DUMMYFUNCTION("QUERY('Volunteer Survey'!C914)"),"")</f>
        <v/>
      </c>
      <c r="AC915" s="175" t="str">
        <f ca="1">IFERROR(__xludf.DUMMYFUNCTION("QUERY('Volunteer Survey'!D914)"),"")</f>
        <v/>
      </c>
      <c r="AD915" s="175" t="str">
        <f ca="1">IFERROR(__xludf.DUMMYFUNCTION("QUERY('Volunteer Survey'!E914)"),"")</f>
        <v/>
      </c>
      <c r="AE915" s="175" t="str">
        <f ca="1">IFERROR(__xludf.DUMMYFUNCTION("QUERY('Volunteer Survey'!F914)"),"")</f>
        <v/>
      </c>
      <c r="AF915" s="175" t="str">
        <f ca="1">IFERROR(__xludf.DUMMYFUNCTION("QUERY('Volunteer Survey'!G914)"),"")</f>
        <v/>
      </c>
      <c r="AG915" s="175" t="str">
        <f ca="1">IFERROR(__xludf.DUMMYFUNCTION("QUERY('Volunteer Survey'!H914)"),"")</f>
        <v/>
      </c>
      <c r="AH915" s="175" t="str">
        <f ca="1">IFERROR(__xludf.DUMMYFUNCTION("QUERY('Volunteer Survey'!I914)"),"")</f>
        <v/>
      </c>
      <c r="AI915" s="175" t="str">
        <f ca="1">IFERROR(__xludf.DUMMYFUNCTION("QUERY('Volunteer Survey'!J914)"),"")</f>
        <v/>
      </c>
      <c r="AJ915" s="175" t="str">
        <f ca="1">IFERROR(__xludf.DUMMYFUNCTION("QUERY('Volunteer Survey'!K914)"),"")</f>
        <v/>
      </c>
      <c r="AK915" s="175" t="str">
        <f ca="1">IFERROR(__xludf.DUMMYFUNCTION("QUERY('Volunteer Survey'!L914)"),"")</f>
        <v/>
      </c>
      <c r="AL915" s="175" t="str">
        <f ca="1">IFERROR(__xludf.DUMMYFUNCTION("QUERY('Volunteer Survey'!M914)"),"")</f>
        <v/>
      </c>
      <c r="AM915" s="175" t="str">
        <f ca="1">IFERROR(__xludf.DUMMYFUNCTION("QUERY('Volunteer Survey'!N914)"),"")</f>
        <v/>
      </c>
      <c r="AN915" s="175" t="str">
        <f ca="1">IFERROR(__xludf.DUMMYFUNCTION("QUERY('Volunteer Survey'!O914)"),"")</f>
        <v/>
      </c>
      <c r="AO915" s="175" t="str">
        <f ca="1">IFERROR(__xludf.DUMMYFUNCTION("QUERY('Volunteer Survey'!P914)"),"")</f>
        <v/>
      </c>
    </row>
    <row r="916" spans="1:41" ht="14">
      <c r="A916" s="49"/>
      <c r="B916" s="49"/>
      <c r="C916" s="47"/>
      <c r="D916" s="49"/>
      <c r="E916" s="49"/>
      <c r="F916" s="49" t="b">
        <v>0</v>
      </c>
      <c r="G916" s="49"/>
      <c r="H916" s="47"/>
      <c r="I916" s="47"/>
      <c r="J916" s="49"/>
      <c r="K916" s="49"/>
      <c r="L916" s="49"/>
      <c r="M916" s="49"/>
      <c r="N916" s="49"/>
      <c r="O916" s="49" t="b">
        <v>0</v>
      </c>
      <c r="P916" s="49"/>
      <c r="Q916" s="49"/>
      <c r="R916" s="49"/>
      <c r="S916" s="49"/>
      <c r="T916" s="49"/>
      <c r="U916" s="58"/>
      <c r="V916" s="49"/>
      <c r="W916" s="58"/>
      <c r="X916" s="49"/>
      <c r="Y916" s="47"/>
      <c r="Z916" s="175" t="str">
        <f ca="1">IFERROR(__xludf.DUMMYFUNCTION("QUERY('Volunteer Survey'!A915)"),"")</f>
        <v/>
      </c>
      <c r="AA916" s="175" t="str">
        <f ca="1">IFERROR(__xludf.DUMMYFUNCTION("QUERY('Volunteer Survey'!B915)"),"")</f>
        <v/>
      </c>
      <c r="AB916" s="175" t="str">
        <f ca="1">IFERROR(__xludf.DUMMYFUNCTION("QUERY('Volunteer Survey'!C915)"),"")</f>
        <v/>
      </c>
      <c r="AC916" s="175" t="str">
        <f ca="1">IFERROR(__xludf.DUMMYFUNCTION("QUERY('Volunteer Survey'!D915)"),"")</f>
        <v/>
      </c>
      <c r="AD916" s="175" t="str">
        <f ca="1">IFERROR(__xludf.DUMMYFUNCTION("QUERY('Volunteer Survey'!E915)"),"")</f>
        <v/>
      </c>
      <c r="AE916" s="175" t="str">
        <f ca="1">IFERROR(__xludf.DUMMYFUNCTION("QUERY('Volunteer Survey'!F915)"),"")</f>
        <v/>
      </c>
      <c r="AF916" s="175" t="str">
        <f ca="1">IFERROR(__xludf.DUMMYFUNCTION("QUERY('Volunteer Survey'!G915)"),"")</f>
        <v/>
      </c>
      <c r="AG916" s="175" t="str">
        <f ca="1">IFERROR(__xludf.DUMMYFUNCTION("QUERY('Volunteer Survey'!H915)"),"")</f>
        <v/>
      </c>
      <c r="AH916" s="175" t="str">
        <f ca="1">IFERROR(__xludf.DUMMYFUNCTION("QUERY('Volunteer Survey'!I915)"),"")</f>
        <v/>
      </c>
      <c r="AI916" s="175" t="str">
        <f ca="1">IFERROR(__xludf.DUMMYFUNCTION("QUERY('Volunteer Survey'!J915)"),"")</f>
        <v/>
      </c>
      <c r="AJ916" s="175" t="str">
        <f ca="1">IFERROR(__xludf.DUMMYFUNCTION("QUERY('Volunteer Survey'!K915)"),"")</f>
        <v/>
      </c>
      <c r="AK916" s="175" t="str">
        <f ca="1">IFERROR(__xludf.DUMMYFUNCTION("QUERY('Volunteer Survey'!L915)"),"")</f>
        <v/>
      </c>
      <c r="AL916" s="175" t="str">
        <f ca="1">IFERROR(__xludf.DUMMYFUNCTION("QUERY('Volunteer Survey'!M915)"),"")</f>
        <v/>
      </c>
      <c r="AM916" s="175" t="str">
        <f ca="1">IFERROR(__xludf.DUMMYFUNCTION("QUERY('Volunteer Survey'!N915)"),"")</f>
        <v/>
      </c>
      <c r="AN916" s="175" t="str">
        <f ca="1">IFERROR(__xludf.DUMMYFUNCTION("QUERY('Volunteer Survey'!O915)"),"")</f>
        <v/>
      </c>
      <c r="AO916" s="175" t="str">
        <f ca="1">IFERROR(__xludf.DUMMYFUNCTION("QUERY('Volunteer Survey'!P915)"),"")</f>
        <v/>
      </c>
    </row>
    <row r="917" spans="1:41" ht="14">
      <c r="A917" s="49"/>
      <c r="B917" s="49"/>
      <c r="C917" s="47"/>
      <c r="D917" s="49"/>
      <c r="E917" s="49"/>
      <c r="F917" s="49" t="b">
        <v>0</v>
      </c>
      <c r="G917" s="49"/>
      <c r="H917" s="47"/>
      <c r="I917" s="47"/>
      <c r="J917" s="49"/>
      <c r="K917" s="49"/>
      <c r="L917" s="49"/>
      <c r="M917" s="49"/>
      <c r="N917" s="49"/>
      <c r="O917" s="49" t="b">
        <v>0</v>
      </c>
      <c r="P917" s="49"/>
      <c r="Q917" s="49"/>
      <c r="R917" s="49"/>
      <c r="S917" s="49"/>
      <c r="T917" s="49"/>
      <c r="U917" s="58"/>
      <c r="V917" s="49"/>
      <c r="W917" s="58"/>
      <c r="X917" s="49"/>
      <c r="Y917" s="47"/>
      <c r="Z917" s="175" t="str">
        <f ca="1">IFERROR(__xludf.DUMMYFUNCTION("QUERY('Volunteer Survey'!A916)"),"")</f>
        <v/>
      </c>
      <c r="AA917" s="175" t="str">
        <f ca="1">IFERROR(__xludf.DUMMYFUNCTION("QUERY('Volunteer Survey'!B916)"),"")</f>
        <v/>
      </c>
      <c r="AB917" s="175" t="str">
        <f ca="1">IFERROR(__xludf.DUMMYFUNCTION("QUERY('Volunteer Survey'!C916)"),"")</f>
        <v/>
      </c>
      <c r="AC917" s="175" t="str">
        <f ca="1">IFERROR(__xludf.DUMMYFUNCTION("QUERY('Volunteer Survey'!D916)"),"")</f>
        <v/>
      </c>
      <c r="AD917" s="175" t="str">
        <f ca="1">IFERROR(__xludf.DUMMYFUNCTION("QUERY('Volunteer Survey'!E916)"),"")</f>
        <v/>
      </c>
      <c r="AE917" s="175" t="str">
        <f ca="1">IFERROR(__xludf.DUMMYFUNCTION("QUERY('Volunteer Survey'!F916)"),"")</f>
        <v/>
      </c>
      <c r="AF917" s="175" t="str">
        <f ca="1">IFERROR(__xludf.DUMMYFUNCTION("QUERY('Volunteer Survey'!G916)"),"")</f>
        <v/>
      </c>
      <c r="AG917" s="175" t="str">
        <f ca="1">IFERROR(__xludf.DUMMYFUNCTION("QUERY('Volunteer Survey'!H916)"),"")</f>
        <v/>
      </c>
      <c r="AH917" s="175" t="str">
        <f ca="1">IFERROR(__xludf.DUMMYFUNCTION("QUERY('Volunteer Survey'!I916)"),"")</f>
        <v/>
      </c>
      <c r="AI917" s="175" t="str">
        <f ca="1">IFERROR(__xludf.DUMMYFUNCTION("QUERY('Volunteer Survey'!J916)"),"")</f>
        <v/>
      </c>
      <c r="AJ917" s="175" t="str">
        <f ca="1">IFERROR(__xludf.DUMMYFUNCTION("QUERY('Volunteer Survey'!K916)"),"")</f>
        <v/>
      </c>
      <c r="AK917" s="175" t="str">
        <f ca="1">IFERROR(__xludf.DUMMYFUNCTION("QUERY('Volunteer Survey'!L916)"),"")</f>
        <v/>
      </c>
      <c r="AL917" s="175" t="str">
        <f ca="1">IFERROR(__xludf.DUMMYFUNCTION("QUERY('Volunteer Survey'!M916)"),"")</f>
        <v/>
      </c>
      <c r="AM917" s="175" t="str">
        <f ca="1">IFERROR(__xludf.DUMMYFUNCTION("QUERY('Volunteer Survey'!N916)"),"")</f>
        <v/>
      </c>
      <c r="AN917" s="175" t="str">
        <f ca="1">IFERROR(__xludf.DUMMYFUNCTION("QUERY('Volunteer Survey'!O916)"),"")</f>
        <v/>
      </c>
      <c r="AO917" s="175" t="str">
        <f ca="1">IFERROR(__xludf.DUMMYFUNCTION("QUERY('Volunteer Survey'!P916)"),"")</f>
        <v/>
      </c>
    </row>
    <row r="918" spans="1:41" ht="14">
      <c r="A918" s="49"/>
      <c r="B918" s="49"/>
      <c r="C918" s="47"/>
      <c r="D918" s="49"/>
      <c r="E918" s="49"/>
      <c r="F918" s="49" t="b">
        <v>0</v>
      </c>
      <c r="G918" s="49"/>
      <c r="H918" s="47"/>
      <c r="I918" s="47"/>
      <c r="J918" s="49"/>
      <c r="K918" s="49"/>
      <c r="L918" s="49"/>
      <c r="M918" s="49"/>
      <c r="N918" s="49"/>
      <c r="O918" s="49" t="b">
        <v>0</v>
      </c>
      <c r="P918" s="49"/>
      <c r="Q918" s="49"/>
      <c r="R918" s="49"/>
      <c r="S918" s="49"/>
      <c r="T918" s="49"/>
      <c r="U918" s="58"/>
      <c r="V918" s="49"/>
      <c r="W918" s="58"/>
      <c r="X918" s="49"/>
      <c r="Y918" s="47"/>
      <c r="Z918" s="175" t="str">
        <f ca="1">IFERROR(__xludf.DUMMYFUNCTION("QUERY('Volunteer Survey'!A917)"),"")</f>
        <v/>
      </c>
      <c r="AA918" s="175" t="str">
        <f ca="1">IFERROR(__xludf.DUMMYFUNCTION("QUERY('Volunteer Survey'!B917)"),"")</f>
        <v/>
      </c>
      <c r="AB918" s="175" t="str">
        <f ca="1">IFERROR(__xludf.DUMMYFUNCTION("QUERY('Volunteer Survey'!C917)"),"")</f>
        <v/>
      </c>
      <c r="AC918" s="175" t="str">
        <f ca="1">IFERROR(__xludf.DUMMYFUNCTION("QUERY('Volunteer Survey'!D917)"),"")</f>
        <v/>
      </c>
      <c r="AD918" s="175" t="str">
        <f ca="1">IFERROR(__xludf.DUMMYFUNCTION("QUERY('Volunteer Survey'!E917)"),"")</f>
        <v/>
      </c>
      <c r="AE918" s="175" t="str">
        <f ca="1">IFERROR(__xludf.DUMMYFUNCTION("QUERY('Volunteer Survey'!F917)"),"")</f>
        <v/>
      </c>
      <c r="AF918" s="175" t="str">
        <f ca="1">IFERROR(__xludf.DUMMYFUNCTION("QUERY('Volunteer Survey'!G917)"),"")</f>
        <v/>
      </c>
      <c r="AG918" s="175" t="str">
        <f ca="1">IFERROR(__xludf.DUMMYFUNCTION("QUERY('Volunteer Survey'!H917)"),"")</f>
        <v/>
      </c>
      <c r="AH918" s="175" t="str">
        <f ca="1">IFERROR(__xludf.DUMMYFUNCTION("QUERY('Volunteer Survey'!I917)"),"")</f>
        <v/>
      </c>
      <c r="AI918" s="175" t="str">
        <f ca="1">IFERROR(__xludf.DUMMYFUNCTION("QUERY('Volunteer Survey'!J917)"),"")</f>
        <v/>
      </c>
      <c r="AJ918" s="175" t="str">
        <f ca="1">IFERROR(__xludf.DUMMYFUNCTION("QUERY('Volunteer Survey'!K917)"),"")</f>
        <v/>
      </c>
      <c r="AK918" s="175" t="str">
        <f ca="1">IFERROR(__xludf.DUMMYFUNCTION("QUERY('Volunteer Survey'!L917)"),"")</f>
        <v/>
      </c>
      <c r="AL918" s="175" t="str">
        <f ca="1">IFERROR(__xludf.DUMMYFUNCTION("QUERY('Volunteer Survey'!M917)"),"")</f>
        <v/>
      </c>
      <c r="AM918" s="175" t="str">
        <f ca="1">IFERROR(__xludf.DUMMYFUNCTION("QUERY('Volunteer Survey'!N917)"),"")</f>
        <v/>
      </c>
      <c r="AN918" s="175" t="str">
        <f ca="1">IFERROR(__xludf.DUMMYFUNCTION("QUERY('Volunteer Survey'!O917)"),"")</f>
        <v/>
      </c>
      <c r="AO918" s="175" t="str">
        <f ca="1">IFERROR(__xludf.DUMMYFUNCTION("QUERY('Volunteer Survey'!P917)"),"")</f>
        <v/>
      </c>
    </row>
    <row r="919" spans="1:41" ht="14">
      <c r="A919" s="49"/>
      <c r="B919" s="49"/>
      <c r="C919" s="47"/>
      <c r="D919" s="49"/>
      <c r="E919" s="49"/>
      <c r="F919" s="49" t="b">
        <v>0</v>
      </c>
      <c r="G919" s="49"/>
      <c r="H919" s="47"/>
      <c r="I919" s="47"/>
      <c r="J919" s="49"/>
      <c r="K919" s="49"/>
      <c r="L919" s="49"/>
      <c r="M919" s="49"/>
      <c r="N919" s="49"/>
      <c r="O919" s="49" t="b">
        <v>0</v>
      </c>
      <c r="P919" s="49"/>
      <c r="Q919" s="49"/>
      <c r="R919" s="49"/>
      <c r="S919" s="49"/>
      <c r="T919" s="49"/>
      <c r="U919" s="58"/>
      <c r="V919" s="49"/>
      <c r="W919" s="58"/>
      <c r="X919" s="49"/>
      <c r="Y919" s="47"/>
      <c r="Z919" s="175" t="str">
        <f ca="1">IFERROR(__xludf.DUMMYFUNCTION("QUERY('Volunteer Survey'!A918)"),"")</f>
        <v/>
      </c>
      <c r="AA919" s="175" t="str">
        <f ca="1">IFERROR(__xludf.DUMMYFUNCTION("QUERY('Volunteer Survey'!B918)"),"")</f>
        <v/>
      </c>
      <c r="AB919" s="175" t="str">
        <f ca="1">IFERROR(__xludf.DUMMYFUNCTION("QUERY('Volunteer Survey'!C918)"),"")</f>
        <v/>
      </c>
      <c r="AC919" s="175" t="str">
        <f ca="1">IFERROR(__xludf.DUMMYFUNCTION("QUERY('Volunteer Survey'!D918)"),"")</f>
        <v/>
      </c>
      <c r="AD919" s="175" t="str">
        <f ca="1">IFERROR(__xludf.DUMMYFUNCTION("QUERY('Volunteer Survey'!E918)"),"")</f>
        <v/>
      </c>
      <c r="AE919" s="175" t="str">
        <f ca="1">IFERROR(__xludf.DUMMYFUNCTION("QUERY('Volunteer Survey'!F918)"),"")</f>
        <v/>
      </c>
      <c r="AF919" s="175" t="str">
        <f ca="1">IFERROR(__xludf.DUMMYFUNCTION("QUERY('Volunteer Survey'!G918)"),"")</f>
        <v/>
      </c>
      <c r="AG919" s="175" t="str">
        <f ca="1">IFERROR(__xludf.DUMMYFUNCTION("QUERY('Volunteer Survey'!H918)"),"")</f>
        <v/>
      </c>
      <c r="AH919" s="175" t="str">
        <f ca="1">IFERROR(__xludf.DUMMYFUNCTION("QUERY('Volunteer Survey'!I918)"),"")</f>
        <v/>
      </c>
      <c r="AI919" s="175" t="str">
        <f ca="1">IFERROR(__xludf.DUMMYFUNCTION("QUERY('Volunteer Survey'!J918)"),"")</f>
        <v/>
      </c>
      <c r="AJ919" s="175" t="str">
        <f ca="1">IFERROR(__xludf.DUMMYFUNCTION("QUERY('Volunteer Survey'!K918)"),"")</f>
        <v/>
      </c>
      <c r="AK919" s="175" t="str">
        <f ca="1">IFERROR(__xludf.DUMMYFUNCTION("QUERY('Volunteer Survey'!L918)"),"")</f>
        <v/>
      </c>
      <c r="AL919" s="175" t="str">
        <f ca="1">IFERROR(__xludf.DUMMYFUNCTION("QUERY('Volunteer Survey'!M918)"),"")</f>
        <v/>
      </c>
      <c r="AM919" s="175" t="str">
        <f ca="1">IFERROR(__xludf.DUMMYFUNCTION("QUERY('Volunteer Survey'!N918)"),"")</f>
        <v/>
      </c>
      <c r="AN919" s="175" t="str">
        <f ca="1">IFERROR(__xludf.DUMMYFUNCTION("QUERY('Volunteer Survey'!O918)"),"")</f>
        <v/>
      </c>
      <c r="AO919" s="175" t="str">
        <f ca="1">IFERROR(__xludf.DUMMYFUNCTION("QUERY('Volunteer Survey'!P918)"),"")</f>
        <v/>
      </c>
    </row>
    <row r="920" spans="1:41" ht="14">
      <c r="A920" s="49"/>
      <c r="B920" s="49"/>
      <c r="C920" s="47"/>
      <c r="D920" s="49"/>
      <c r="E920" s="49"/>
      <c r="F920" s="49" t="b">
        <v>0</v>
      </c>
      <c r="G920" s="49"/>
      <c r="H920" s="47"/>
      <c r="I920" s="47"/>
      <c r="J920" s="49"/>
      <c r="K920" s="49"/>
      <c r="L920" s="49"/>
      <c r="M920" s="49"/>
      <c r="N920" s="49"/>
      <c r="O920" s="49" t="b">
        <v>0</v>
      </c>
      <c r="P920" s="49"/>
      <c r="Q920" s="49"/>
      <c r="R920" s="49"/>
      <c r="S920" s="49"/>
      <c r="T920" s="49"/>
      <c r="U920" s="58"/>
      <c r="V920" s="49"/>
      <c r="W920" s="58"/>
      <c r="X920" s="49"/>
      <c r="Y920" s="47"/>
      <c r="Z920" s="175" t="str">
        <f ca="1">IFERROR(__xludf.DUMMYFUNCTION("QUERY('Volunteer Survey'!A919)"),"")</f>
        <v/>
      </c>
      <c r="AA920" s="175" t="str">
        <f ca="1">IFERROR(__xludf.DUMMYFUNCTION("QUERY('Volunteer Survey'!B919)"),"")</f>
        <v/>
      </c>
      <c r="AB920" s="175" t="str">
        <f ca="1">IFERROR(__xludf.DUMMYFUNCTION("QUERY('Volunteer Survey'!C919)"),"")</f>
        <v/>
      </c>
      <c r="AC920" s="175" t="str">
        <f ca="1">IFERROR(__xludf.DUMMYFUNCTION("QUERY('Volunteer Survey'!D919)"),"")</f>
        <v/>
      </c>
      <c r="AD920" s="175" t="str">
        <f ca="1">IFERROR(__xludf.DUMMYFUNCTION("QUERY('Volunteer Survey'!E919)"),"")</f>
        <v/>
      </c>
      <c r="AE920" s="175" t="str">
        <f ca="1">IFERROR(__xludf.DUMMYFUNCTION("QUERY('Volunteer Survey'!F919)"),"")</f>
        <v/>
      </c>
      <c r="AF920" s="175" t="str">
        <f ca="1">IFERROR(__xludf.DUMMYFUNCTION("QUERY('Volunteer Survey'!G919)"),"")</f>
        <v/>
      </c>
      <c r="AG920" s="175" t="str">
        <f ca="1">IFERROR(__xludf.DUMMYFUNCTION("QUERY('Volunteer Survey'!H919)"),"")</f>
        <v/>
      </c>
      <c r="AH920" s="175" t="str">
        <f ca="1">IFERROR(__xludf.DUMMYFUNCTION("QUERY('Volunteer Survey'!I919)"),"")</f>
        <v/>
      </c>
      <c r="AI920" s="175" t="str">
        <f ca="1">IFERROR(__xludf.DUMMYFUNCTION("QUERY('Volunteer Survey'!J919)"),"")</f>
        <v/>
      </c>
      <c r="AJ920" s="175" t="str">
        <f ca="1">IFERROR(__xludf.DUMMYFUNCTION("QUERY('Volunteer Survey'!K919)"),"")</f>
        <v/>
      </c>
      <c r="AK920" s="175" t="str">
        <f ca="1">IFERROR(__xludf.DUMMYFUNCTION("QUERY('Volunteer Survey'!L919)"),"")</f>
        <v/>
      </c>
      <c r="AL920" s="175" t="str">
        <f ca="1">IFERROR(__xludf.DUMMYFUNCTION("QUERY('Volunteer Survey'!M919)"),"")</f>
        <v/>
      </c>
      <c r="AM920" s="175" t="str">
        <f ca="1">IFERROR(__xludf.DUMMYFUNCTION("QUERY('Volunteer Survey'!N919)"),"")</f>
        <v/>
      </c>
      <c r="AN920" s="175" t="str">
        <f ca="1">IFERROR(__xludf.DUMMYFUNCTION("QUERY('Volunteer Survey'!O919)"),"")</f>
        <v/>
      </c>
      <c r="AO920" s="175" t="str">
        <f ca="1">IFERROR(__xludf.DUMMYFUNCTION("QUERY('Volunteer Survey'!P919)"),"")</f>
        <v/>
      </c>
    </row>
    <row r="921" spans="1:41" ht="14">
      <c r="A921" s="49"/>
      <c r="B921" s="49"/>
      <c r="C921" s="47"/>
      <c r="D921" s="49"/>
      <c r="E921" s="49"/>
      <c r="F921" s="49" t="b">
        <v>0</v>
      </c>
      <c r="G921" s="49"/>
      <c r="H921" s="47"/>
      <c r="I921" s="47"/>
      <c r="J921" s="49"/>
      <c r="K921" s="49"/>
      <c r="L921" s="49"/>
      <c r="M921" s="49"/>
      <c r="N921" s="49"/>
      <c r="O921" s="49" t="b">
        <v>0</v>
      </c>
      <c r="P921" s="49"/>
      <c r="Q921" s="49"/>
      <c r="R921" s="49"/>
      <c r="S921" s="49"/>
      <c r="T921" s="49"/>
      <c r="U921" s="58"/>
      <c r="V921" s="49"/>
      <c r="W921" s="58"/>
      <c r="X921" s="49"/>
      <c r="Y921" s="47"/>
      <c r="Z921" s="175" t="str">
        <f ca="1">IFERROR(__xludf.DUMMYFUNCTION("QUERY('Volunteer Survey'!A920)"),"")</f>
        <v/>
      </c>
      <c r="AA921" s="175" t="str">
        <f ca="1">IFERROR(__xludf.DUMMYFUNCTION("QUERY('Volunteer Survey'!B920)"),"")</f>
        <v/>
      </c>
      <c r="AB921" s="175" t="str">
        <f ca="1">IFERROR(__xludf.DUMMYFUNCTION("QUERY('Volunteer Survey'!C920)"),"")</f>
        <v/>
      </c>
      <c r="AC921" s="175" t="str">
        <f ca="1">IFERROR(__xludf.DUMMYFUNCTION("QUERY('Volunteer Survey'!D920)"),"")</f>
        <v/>
      </c>
      <c r="AD921" s="175" t="str">
        <f ca="1">IFERROR(__xludf.DUMMYFUNCTION("QUERY('Volunteer Survey'!E920)"),"")</f>
        <v/>
      </c>
      <c r="AE921" s="175" t="str">
        <f ca="1">IFERROR(__xludf.DUMMYFUNCTION("QUERY('Volunteer Survey'!F920)"),"")</f>
        <v/>
      </c>
      <c r="AF921" s="175" t="str">
        <f ca="1">IFERROR(__xludf.DUMMYFUNCTION("QUERY('Volunteer Survey'!G920)"),"")</f>
        <v/>
      </c>
      <c r="AG921" s="175" t="str">
        <f ca="1">IFERROR(__xludf.DUMMYFUNCTION("QUERY('Volunteer Survey'!H920)"),"")</f>
        <v/>
      </c>
      <c r="AH921" s="175" t="str">
        <f ca="1">IFERROR(__xludf.DUMMYFUNCTION("QUERY('Volunteer Survey'!I920)"),"")</f>
        <v/>
      </c>
      <c r="AI921" s="175" t="str">
        <f ca="1">IFERROR(__xludf.DUMMYFUNCTION("QUERY('Volunteer Survey'!J920)"),"")</f>
        <v/>
      </c>
      <c r="AJ921" s="175" t="str">
        <f ca="1">IFERROR(__xludf.DUMMYFUNCTION("QUERY('Volunteer Survey'!K920)"),"")</f>
        <v/>
      </c>
      <c r="AK921" s="175" t="str">
        <f ca="1">IFERROR(__xludf.DUMMYFUNCTION("QUERY('Volunteer Survey'!L920)"),"")</f>
        <v/>
      </c>
      <c r="AL921" s="175" t="str">
        <f ca="1">IFERROR(__xludf.DUMMYFUNCTION("QUERY('Volunteer Survey'!M920)"),"")</f>
        <v/>
      </c>
      <c r="AM921" s="175" t="str">
        <f ca="1">IFERROR(__xludf.DUMMYFUNCTION("QUERY('Volunteer Survey'!N920)"),"")</f>
        <v/>
      </c>
      <c r="AN921" s="175" t="str">
        <f ca="1">IFERROR(__xludf.DUMMYFUNCTION("QUERY('Volunteer Survey'!O920)"),"")</f>
        <v/>
      </c>
      <c r="AO921" s="175" t="str">
        <f ca="1">IFERROR(__xludf.DUMMYFUNCTION("QUERY('Volunteer Survey'!P920)"),"")</f>
        <v/>
      </c>
    </row>
    <row r="922" spans="1:41" ht="14">
      <c r="A922" s="49"/>
      <c r="B922" s="49"/>
      <c r="C922" s="47"/>
      <c r="D922" s="49"/>
      <c r="E922" s="49"/>
      <c r="F922" s="49" t="b">
        <v>0</v>
      </c>
      <c r="G922" s="49"/>
      <c r="H922" s="47"/>
      <c r="I922" s="47"/>
      <c r="J922" s="49"/>
      <c r="K922" s="49"/>
      <c r="L922" s="49"/>
      <c r="M922" s="49"/>
      <c r="N922" s="49"/>
      <c r="O922" s="49" t="b">
        <v>0</v>
      </c>
      <c r="P922" s="49"/>
      <c r="Q922" s="49"/>
      <c r="R922" s="49"/>
      <c r="S922" s="49"/>
      <c r="T922" s="49"/>
      <c r="U922" s="58"/>
      <c r="V922" s="49"/>
      <c r="W922" s="58"/>
      <c r="X922" s="49"/>
      <c r="Y922" s="47"/>
      <c r="Z922" s="175" t="str">
        <f ca="1">IFERROR(__xludf.DUMMYFUNCTION("QUERY('Volunteer Survey'!A921)"),"")</f>
        <v/>
      </c>
      <c r="AA922" s="175" t="str">
        <f ca="1">IFERROR(__xludf.DUMMYFUNCTION("QUERY('Volunteer Survey'!B921)"),"")</f>
        <v/>
      </c>
      <c r="AB922" s="175" t="str">
        <f ca="1">IFERROR(__xludf.DUMMYFUNCTION("QUERY('Volunteer Survey'!C921)"),"")</f>
        <v/>
      </c>
      <c r="AC922" s="175" t="str">
        <f ca="1">IFERROR(__xludf.DUMMYFUNCTION("QUERY('Volunteer Survey'!D921)"),"")</f>
        <v/>
      </c>
      <c r="AD922" s="175" t="str">
        <f ca="1">IFERROR(__xludf.DUMMYFUNCTION("QUERY('Volunteer Survey'!E921)"),"")</f>
        <v/>
      </c>
      <c r="AE922" s="175" t="str">
        <f ca="1">IFERROR(__xludf.DUMMYFUNCTION("QUERY('Volunteer Survey'!F921)"),"")</f>
        <v/>
      </c>
      <c r="AF922" s="175" t="str">
        <f ca="1">IFERROR(__xludf.DUMMYFUNCTION("QUERY('Volunteer Survey'!G921)"),"")</f>
        <v/>
      </c>
      <c r="AG922" s="175" t="str">
        <f ca="1">IFERROR(__xludf.DUMMYFUNCTION("QUERY('Volunteer Survey'!H921)"),"")</f>
        <v/>
      </c>
      <c r="AH922" s="175" t="str">
        <f ca="1">IFERROR(__xludf.DUMMYFUNCTION("QUERY('Volunteer Survey'!I921)"),"")</f>
        <v/>
      </c>
      <c r="AI922" s="175" t="str">
        <f ca="1">IFERROR(__xludf.DUMMYFUNCTION("QUERY('Volunteer Survey'!J921)"),"")</f>
        <v/>
      </c>
      <c r="AJ922" s="175" t="str">
        <f ca="1">IFERROR(__xludf.DUMMYFUNCTION("QUERY('Volunteer Survey'!K921)"),"")</f>
        <v/>
      </c>
      <c r="AK922" s="175" t="str">
        <f ca="1">IFERROR(__xludf.DUMMYFUNCTION("QUERY('Volunteer Survey'!L921)"),"")</f>
        <v/>
      </c>
      <c r="AL922" s="175" t="str">
        <f ca="1">IFERROR(__xludf.DUMMYFUNCTION("QUERY('Volunteer Survey'!M921)"),"")</f>
        <v/>
      </c>
      <c r="AM922" s="175" t="str">
        <f ca="1">IFERROR(__xludf.DUMMYFUNCTION("QUERY('Volunteer Survey'!N921)"),"")</f>
        <v/>
      </c>
      <c r="AN922" s="175" t="str">
        <f ca="1">IFERROR(__xludf.DUMMYFUNCTION("QUERY('Volunteer Survey'!O921)"),"")</f>
        <v/>
      </c>
      <c r="AO922" s="175" t="str">
        <f ca="1">IFERROR(__xludf.DUMMYFUNCTION("QUERY('Volunteer Survey'!P921)"),"")</f>
        <v/>
      </c>
    </row>
    <row r="923" spans="1:41" ht="14">
      <c r="A923" s="49"/>
      <c r="B923" s="49"/>
      <c r="C923" s="47"/>
      <c r="D923" s="49"/>
      <c r="E923" s="49"/>
      <c r="F923" s="49" t="b">
        <v>0</v>
      </c>
      <c r="G923" s="49"/>
      <c r="H923" s="47"/>
      <c r="I923" s="47"/>
      <c r="J923" s="49"/>
      <c r="K923" s="49"/>
      <c r="L923" s="49"/>
      <c r="M923" s="49"/>
      <c r="N923" s="49"/>
      <c r="O923" s="49" t="b">
        <v>0</v>
      </c>
      <c r="P923" s="49"/>
      <c r="Q923" s="49"/>
      <c r="R923" s="49"/>
      <c r="S923" s="49"/>
      <c r="T923" s="49"/>
      <c r="U923" s="58"/>
      <c r="V923" s="49"/>
      <c r="W923" s="58"/>
      <c r="X923" s="49"/>
      <c r="Y923" s="47"/>
      <c r="Z923" s="175" t="str">
        <f ca="1">IFERROR(__xludf.DUMMYFUNCTION("QUERY('Volunteer Survey'!A922)"),"")</f>
        <v/>
      </c>
      <c r="AA923" s="175" t="str">
        <f ca="1">IFERROR(__xludf.DUMMYFUNCTION("QUERY('Volunteer Survey'!B922)"),"")</f>
        <v/>
      </c>
      <c r="AB923" s="175" t="str">
        <f ca="1">IFERROR(__xludf.DUMMYFUNCTION("QUERY('Volunteer Survey'!C922)"),"")</f>
        <v/>
      </c>
      <c r="AC923" s="175" t="str">
        <f ca="1">IFERROR(__xludf.DUMMYFUNCTION("QUERY('Volunteer Survey'!D922)"),"")</f>
        <v/>
      </c>
      <c r="AD923" s="175" t="str">
        <f ca="1">IFERROR(__xludf.DUMMYFUNCTION("QUERY('Volunteer Survey'!E922)"),"")</f>
        <v/>
      </c>
      <c r="AE923" s="175" t="str">
        <f ca="1">IFERROR(__xludf.DUMMYFUNCTION("QUERY('Volunteer Survey'!F922)"),"")</f>
        <v/>
      </c>
      <c r="AF923" s="175" t="str">
        <f ca="1">IFERROR(__xludf.DUMMYFUNCTION("QUERY('Volunteer Survey'!G922)"),"")</f>
        <v/>
      </c>
      <c r="AG923" s="175" t="str">
        <f ca="1">IFERROR(__xludf.DUMMYFUNCTION("QUERY('Volunteer Survey'!H922)"),"")</f>
        <v/>
      </c>
      <c r="AH923" s="175" t="str">
        <f ca="1">IFERROR(__xludf.DUMMYFUNCTION("QUERY('Volunteer Survey'!I922)"),"")</f>
        <v/>
      </c>
      <c r="AI923" s="175" t="str">
        <f ca="1">IFERROR(__xludf.DUMMYFUNCTION("QUERY('Volunteer Survey'!J922)"),"")</f>
        <v/>
      </c>
      <c r="AJ923" s="175" t="str">
        <f ca="1">IFERROR(__xludf.DUMMYFUNCTION("QUERY('Volunteer Survey'!K922)"),"")</f>
        <v/>
      </c>
      <c r="AK923" s="175" t="str">
        <f ca="1">IFERROR(__xludf.DUMMYFUNCTION("QUERY('Volunteer Survey'!L922)"),"")</f>
        <v/>
      </c>
      <c r="AL923" s="175" t="str">
        <f ca="1">IFERROR(__xludf.DUMMYFUNCTION("QUERY('Volunteer Survey'!M922)"),"")</f>
        <v/>
      </c>
      <c r="AM923" s="175" t="str">
        <f ca="1">IFERROR(__xludf.DUMMYFUNCTION("QUERY('Volunteer Survey'!N922)"),"")</f>
        <v/>
      </c>
      <c r="AN923" s="175" t="str">
        <f ca="1">IFERROR(__xludf.DUMMYFUNCTION("QUERY('Volunteer Survey'!O922)"),"")</f>
        <v/>
      </c>
      <c r="AO923" s="175" t="str">
        <f ca="1">IFERROR(__xludf.DUMMYFUNCTION("QUERY('Volunteer Survey'!P922)"),"")</f>
        <v/>
      </c>
    </row>
    <row r="924" spans="1:41" ht="14">
      <c r="A924" s="49"/>
      <c r="B924" s="49"/>
      <c r="C924" s="47"/>
      <c r="D924" s="49"/>
      <c r="E924" s="49"/>
      <c r="F924" s="49" t="b">
        <v>0</v>
      </c>
      <c r="G924" s="49"/>
      <c r="H924" s="47"/>
      <c r="I924" s="47"/>
      <c r="J924" s="49"/>
      <c r="K924" s="49"/>
      <c r="L924" s="49"/>
      <c r="M924" s="49"/>
      <c r="N924" s="49"/>
      <c r="O924" s="49" t="b">
        <v>0</v>
      </c>
      <c r="P924" s="49"/>
      <c r="Q924" s="49"/>
      <c r="R924" s="49"/>
      <c r="S924" s="49"/>
      <c r="T924" s="49"/>
      <c r="U924" s="58"/>
      <c r="V924" s="49"/>
      <c r="W924" s="58"/>
      <c r="X924" s="49"/>
      <c r="Y924" s="47"/>
      <c r="Z924" s="175" t="str">
        <f ca="1">IFERROR(__xludf.DUMMYFUNCTION("QUERY('Volunteer Survey'!A923)"),"")</f>
        <v/>
      </c>
      <c r="AA924" s="175" t="str">
        <f ca="1">IFERROR(__xludf.DUMMYFUNCTION("QUERY('Volunteer Survey'!B923)"),"")</f>
        <v/>
      </c>
      <c r="AB924" s="175" t="str">
        <f ca="1">IFERROR(__xludf.DUMMYFUNCTION("QUERY('Volunteer Survey'!C923)"),"")</f>
        <v/>
      </c>
      <c r="AC924" s="175" t="str">
        <f ca="1">IFERROR(__xludf.DUMMYFUNCTION("QUERY('Volunteer Survey'!D923)"),"")</f>
        <v/>
      </c>
      <c r="AD924" s="175" t="str">
        <f ca="1">IFERROR(__xludf.DUMMYFUNCTION("QUERY('Volunteer Survey'!E923)"),"")</f>
        <v/>
      </c>
      <c r="AE924" s="175" t="str">
        <f ca="1">IFERROR(__xludf.DUMMYFUNCTION("QUERY('Volunteer Survey'!F923)"),"")</f>
        <v/>
      </c>
      <c r="AF924" s="175" t="str">
        <f ca="1">IFERROR(__xludf.DUMMYFUNCTION("QUERY('Volunteer Survey'!G923)"),"")</f>
        <v/>
      </c>
      <c r="AG924" s="175" t="str">
        <f ca="1">IFERROR(__xludf.DUMMYFUNCTION("QUERY('Volunteer Survey'!H923)"),"")</f>
        <v/>
      </c>
      <c r="AH924" s="175" t="str">
        <f ca="1">IFERROR(__xludf.DUMMYFUNCTION("QUERY('Volunteer Survey'!I923)"),"")</f>
        <v/>
      </c>
      <c r="AI924" s="175" t="str">
        <f ca="1">IFERROR(__xludf.DUMMYFUNCTION("QUERY('Volunteer Survey'!J923)"),"")</f>
        <v/>
      </c>
      <c r="AJ924" s="175" t="str">
        <f ca="1">IFERROR(__xludf.DUMMYFUNCTION("QUERY('Volunteer Survey'!K923)"),"")</f>
        <v/>
      </c>
      <c r="AK924" s="175" t="str">
        <f ca="1">IFERROR(__xludf.DUMMYFUNCTION("QUERY('Volunteer Survey'!L923)"),"")</f>
        <v/>
      </c>
      <c r="AL924" s="175" t="str">
        <f ca="1">IFERROR(__xludf.DUMMYFUNCTION("QUERY('Volunteer Survey'!M923)"),"")</f>
        <v/>
      </c>
      <c r="AM924" s="175" t="str">
        <f ca="1">IFERROR(__xludf.DUMMYFUNCTION("QUERY('Volunteer Survey'!N923)"),"")</f>
        <v/>
      </c>
      <c r="AN924" s="175" t="str">
        <f ca="1">IFERROR(__xludf.DUMMYFUNCTION("QUERY('Volunteer Survey'!O923)"),"")</f>
        <v/>
      </c>
      <c r="AO924" s="175" t="str">
        <f ca="1">IFERROR(__xludf.DUMMYFUNCTION("QUERY('Volunteer Survey'!P923)"),"")</f>
        <v/>
      </c>
    </row>
    <row r="925" spans="1:41" ht="14">
      <c r="A925" s="49"/>
      <c r="B925" s="49"/>
      <c r="C925" s="47"/>
      <c r="D925" s="49"/>
      <c r="E925" s="49"/>
      <c r="F925" s="49" t="b">
        <v>0</v>
      </c>
      <c r="G925" s="49"/>
      <c r="H925" s="47"/>
      <c r="I925" s="47"/>
      <c r="J925" s="49"/>
      <c r="K925" s="49"/>
      <c r="L925" s="49"/>
      <c r="M925" s="49"/>
      <c r="N925" s="49"/>
      <c r="O925" s="49" t="b">
        <v>0</v>
      </c>
      <c r="P925" s="49"/>
      <c r="Q925" s="49"/>
      <c r="R925" s="49"/>
      <c r="S925" s="49"/>
      <c r="T925" s="49"/>
      <c r="U925" s="58"/>
      <c r="V925" s="49"/>
      <c r="W925" s="58"/>
      <c r="X925" s="49"/>
      <c r="Y925" s="47"/>
      <c r="Z925" s="175" t="str">
        <f ca="1">IFERROR(__xludf.DUMMYFUNCTION("QUERY('Volunteer Survey'!A924)"),"")</f>
        <v/>
      </c>
      <c r="AA925" s="175" t="str">
        <f ca="1">IFERROR(__xludf.DUMMYFUNCTION("QUERY('Volunteer Survey'!B924)"),"")</f>
        <v/>
      </c>
      <c r="AB925" s="175" t="str">
        <f ca="1">IFERROR(__xludf.DUMMYFUNCTION("QUERY('Volunteer Survey'!C924)"),"")</f>
        <v/>
      </c>
      <c r="AC925" s="175" t="str">
        <f ca="1">IFERROR(__xludf.DUMMYFUNCTION("QUERY('Volunteer Survey'!D924)"),"")</f>
        <v/>
      </c>
      <c r="AD925" s="175" t="str">
        <f ca="1">IFERROR(__xludf.DUMMYFUNCTION("QUERY('Volunteer Survey'!E924)"),"")</f>
        <v/>
      </c>
      <c r="AE925" s="175" t="str">
        <f ca="1">IFERROR(__xludf.DUMMYFUNCTION("QUERY('Volunteer Survey'!F924)"),"")</f>
        <v/>
      </c>
      <c r="AF925" s="175" t="str">
        <f ca="1">IFERROR(__xludf.DUMMYFUNCTION("QUERY('Volunteer Survey'!G924)"),"")</f>
        <v/>
      </c>
      <c r="AG925" s="175" t="str">
        <f ca="1">IFERROR(__xludf.DUMMYFUNCTION("QUERY('Volunteer Survey'!H924)"),"")</f>
        <v/>
      </c>
      <c r="AH925" s="175" t="str">
        <f ca="1">IFERROR(__xludf.DUMMYFUNCTION("QUERY('Volunteer Survey'!I924)"),"")</f>
        <v/>
      </c>
      <c r="AI925" s="175" t="str">
        <f ca="1">IFERROR(__xludf.DUMMYFUNCTION("QUERY('Volunteer Survey'!J924)"),"")</f>
        <v/>
      </c>
      <c r="AJ925" s="175" t="str">
        <f ca="1">IFERROR(__xludf.DUMMYFUNCTION("QUERY('Volunteer Survey'!K924)"),"")</f>
        <v/>
      </c>
      <c r="AK925" s="175" t="str">
        <f ca="1">IFERROR(__xludf.DUMMYFUNCTION("QUERY('Volunteer Survey'!L924)"),"")</f>
        <v/>
      </c>
      <c r="AL925" s="175" t="str">
        <f ca="1">IFERROR(__xludf.DUMMYFUNCTION("QUERY('Volunteer Survey'!M924)"),"")</f>
        <v/>
      </c>
      <c r="AM925" s="175" t="str">
        <f ca="1">IFERROR(__xludf.DUMMYFUNCTION("QUERY('Volunteer Survey'!N924)"),"")</f>
        <v/>
      </c>
      <c r="AN925" s="175" t="str">
        <f ca="1">IFERROR(__xludf.DUMMYFUNCTION("QUERY('Volunteer Survey'!O924)"),"")</f>
        <v/>
      </c>
      <c r="AO925" s="175" t="str">
        <f ca="1">IFERROR(__xludf.DUMMYFUNCTION("QUERY('Volunteer Survey'!P924)"),"")</f>
        <v/>
      </c>
    </row>
    <row r="926" spans="1:41" ht="14">
      <c r="A926" s="49"/>
      <c r="B926" s="49"/>
      <c r="C926" s="47"/>
      <c r="D926" s="49"/>
      <c r="E926" s="49"/>
      <c r="F926" s="49" t="b">
        <v>0</v>
      </c>
      <c r="G926" s="49"/>
      <c r="H926" s="47"/>
      <c r="I926" s="47"/>
      <c r="J926" s="49"/>
      <c r="K926" s="49"/>
      <c r="L926" s="49"/>
      <c r="M926" s="49"/>
      <c r="N926" s="49"/>
      <c r="O926" s="49" t="b">
        <v>0</v>
      </c>
      <c r="P926" s="49"/>
      <c r="Q926" s="49"/>
      <c r="R926" s="49"/>
      <c r="S926" s="49"/>
      <c r="T926" s="49"/>
      <c r="U926" s="58"/>
      <c r="V926" s="49"/>
      <c r="W926" s="58"/>
      <c r="X926" s="49"/>
      <c r="Y926" s="47"/>
      <c r="Z926" s="175" t="str">
        <f ca="1">IFERROR(__xludf.DUMMYFUNCTION("QUERY('Volunteer Survey'!A925)"),"")</f>
        <v/>
      </c>
      <c r="AA926" s="175" t="str">
        <f ca="1">IFERROR(__xludf.DUMMYFUNCTION("QUERY('Volunteer Survey'!B925)"),"")</f>
        <v/>
      </c>
      <c r="AB926" s="175" t="str">
        <f ca="1">IFERROR(__xludf.DUMMYFUNCTION("QUERY('Volunteer Survey'!C925)"),"")</f>
        <v/>
      </c>
      <c r="AC926" s="175" t="str">
        <f ca="1">IFERROR(__xludf.DUMMYFUNCTION("QUERY('Volunteer Survey'!D925)"),"")</f>
        <v/>
      </c>
      <c r="AD926" s="175" t="str">
        <f ca="1">IFERROR(__xludf.DUMMYFUNCTION("QUERY('Volunteer Survey'!E925)"),"")</f>
        <v/>
      </c>
      <c r="AE926" s="175" t="str">
        <f ca="1">IFERROR(__xludf.DUMMYFUNCTION("QUERY('Volunteer Survey'!F925)"),"")</f>
        <v/>
      </c>
      <c r="AF926" s="175" t="str">
        <f ca="1">IFERROR(__xludf.DUMMYFUNCTION("QUERY('Volunteer Survey'!G925)"),"")</f>
        <v/>
      </c>
      <c r="AG926" s="175" t="str">
        <f ca="1">IFERROR(__xludf.DUMMYFUNCTION("QUERY('Volunteer Survey'!H925)"),"")</f>
        <v/>
      </c>
      <c r="AH926" s="175" t="str">
        <f ca="1">IFERROR(__xludf.DUMMYFUNCTION("QUERY('Volunteer Survey'!I925)"),"")</f>
        <v/>
      </c>
      <c r="AI926" s="175" t="str">
        <f ca="1">IFERROR(__xludf.DUMMYFUNCTION("QUERY('Volunteer Survey'!J925)"),"")</f>
        <v/>
      </c>
      <c r="AJ926" s="175" t="str">
        <f ca="1">IFERROR(__xludf.DUMMYFUNCTION("QUERY('Volunteer Survey'!K925)"),"")</f>
        <v/>
      </c>
      <c r="AK926" s="175" t="str">
        <f ca="1">IFERROR(__xludf.DUMMYFUNCTION("QUERY('Volunteer Survey'!L925)"),"")</f>
        <v/>
      </c>
      <c r="AL926" s="175" t="str">
        <f ca="1">IFERROR(__xludf.DUMMYFUNCTION("QUERY('Volunteer Survey'!M925)"),"")</f>
        <v/>
      </c>
      <c r="AM926" s="175" t="str">
        <f ca="1">IFERROR(__xludf.DUMMYFUNCTION("QUERY('Volunteer Survey'!N925)"),"")</f>
        <v/>
      </c>
      <c r="AN926" s="175" t="str">
        <f ca="1">IFERROR(__xludf.DUMMYFUNCTION("QUERY('Volunteer Survey'!O925)"),"")</f>
        <v/>
      </c>
      <c r="AO926" s="175" t="str">
        <f ca="1">IFERROR(__xludf.DUMMYFUNCTION("QUERY('Volunteer Survey'!P925)"),"")</f>
        <v/>
      </c>
    </row>
    <row r="927" spans="1:41" ht="14">
      <c r="A927" s="49"/>
      <c r="B927" s="49"/>
      <c r="C927" s="47"/>
      <c r="D927" s="49"/>
      <c r="E927" s="49"/>
      <c r="F927" s="49" t="b">
        <v>0</v>
      </c>
      <c r="G927" s="49"/>
      <c r="H927" s="47"/>
      <c r="I927" s="47"/>
      <c r="J927" s="49"/>
      <c r="K927" s="49"/>
      <c r="L927" s="49"/>
      <c r="M927" s="49"/>
      <c r="N927" s="49"/>
      <c r="O927" s="49" t="b">
        <v>0</v>
      </c>
      <c r="P927" s="49"/>
      <c r="Q927" s="49"/>
      <c r="R927" s="49"/>
      <c r="S927" s="49"/>
      <c r="T927" s="49"/>
      <c r="U927" s="58"/>
      <c r="V927" s="49"/>
      <c r="W927" s="58"/>
      <c r="X927" s="49"/>
      <c r="Y927" s="47"/>
      <c r="Z927" s="175" t="str">
        <f ca="1">IFERROR(__xludf.DUMMYFUNCTION("QUERY('Volunteer Survey'!A926)"),"")</f>
        <v/>
      </c>
      <c r="AA927" s="175" t="str">
        <f ca="1">IFERROR(__xludf.DUMMYFUNCTION("QUERY('Volunteer Survey'!B926)"),"")</f>
        <v/>
      </c>
      <c r="AB927" s="175" t="str">
        <f ca="1">IFERROR(__xludf.DUMMYFUNCTION("QUERY('Volunteer Survey'!C926)"),"")</f>
        <v/>
      </c>
      <c r="AC927" s="175" t="str">
        <f ca="1">IFERROR(__xludf.DUMMYFUNCTION("QUERY('Volunteer Survey'!D926)"),"")</f>
        <v/>
      </c>
      <c r="AD927" s="175" t="str">
        <f ca="1">IFERROR(__xludf.DUMMYFUNCTION("QUERY('Volunteer Survey'!E926)"),"")</f>
        <v/>
      </c>
      <c r="AE927" s="175" t="str">
        <f ca="1">IFERROR(__xludf.DUMMYFUNCTION("QUERY('Volunteer Survey'!F926)"),"")</f>
        <v/>
      </c>
      <c r="AF927" s="175" t="str">
        <f ca="1">IFERROR(__xludf.DUMMYFUNCTION("QUERY('Volunteer Survey'!G926)"),"")</f>
        <v/>
      </c>
      <c r="AG927" s="175" t="str">
        <f ca="1">IFERROR(__xludf.DUMMYFUNCTION("QUERY('Volunteer Survey'!H926)"),"")</f>
        <v/>
      </c>
      <c r="AH927" s="175" t="str">
        <f ca="1">IFERROR(__xludf.DUMMYFUNCTION("QUERY('Volunteer Survey'!I926)"),"")</f>
        <v/>
      </c>
      <c r="AI927" s="175" t="str">
        <f ca="1">IFERROR(__xludf.DUMMYFUNCTION("QUERY('Volunteer Survey'!J926)"),"")</f>
        <v/>
      </c>
      <c r="AJ927" s="175" t="str">
        <f ca="1">IFERROR(__xludf.DUMMYFUNCTION("QUERY('Volunteer Survey'!K926)"),"")</f>
        <v/>
      </c>
      <c r="AK927" s="175" t="str">
        <f ca="1">IFERROR(__xludf.DUMMYFUNCTION("QUERY('Volunteer Survey'!L926)"),"")</f>
        <v/>
      </c>
      <c r="AL927" s="175" t="str">
        <f ca="1">IFERROR(__xludf.DUMMYFUNCTION("QUERY('Volunteer Survey'!M926)"),"")</f>
        <v/>
      </c>
      <c r="AM927" s="175" t="str">
        <f ca="1">IFERROR(__xludf.DUMMYFUNCTION("QUERY('Volunteer Survey'!N926)"),"")</f>
        <v/>
      </c>
      <c r="AN927" s="175" t="str">
        <f ca="1">IFERROR(__xludf.DUMMYFUNCTION("QUERY('Volunteer Survey'!O926)"),"")</f>
        <v/>
      </c>
      <c r="AO927" s="175" t="str">
        <f ca="1">IFERROR(__xludf.DUMMYFUNCTION("QUERY('Volunteer Survey'!P926)"),"")</f>
        <v/>
      </c>
    </row>
    <row r="928" spans="1:41" ht="14">
      <c r="A928" s="49"/>
      <c r="B928" s="49"/>
      <c r="C928" s="47"/>
      <c r="D928" s="49"/>
      <c r="E928" s="49"/>
      <c r="F928" s="49" t="b">
        <v>0</v>
      </c>
      <c r="G928" s="49"/>
      <c r="H928" s="47"/>
      <c r="I928" s="47"/>
      <c r="J928" s="49"/>
      <c r="K928" s="49"/>
      <c r="L928" s="49"/>
      <c r="M928" s="49"/>
      <c r="N928" s="49"/>
      <c r="O928" s="49" t="b">
        <v>0</v>
      </c>
      <c r="P928" s="49"/>
      <c r="Q928" s="49"/>
      <c r="R928" s="49"/>
      <c r="S928" s="49"/>
      <c r="T928" s="49"/>
      <c r="U928" s="58"/>
      <c r="V928" s="49"/>
      <c r="W928" s="58"/>
      <c r="X928" s="49"/>
      <c r="Y928" s="47"/>
      <c r="Z928" s="175" t="str">
        <f ca="1">IFERROR(__xludf.DUMMYFUNCTION("QUERY('Volunteer Survey'!A927)"),"")</f>
        <v/>
      </c>
      <c r="AA928" s="175" t="str">
        <f ca="1">IFERROR(__xludf.DUMMYFUNCTION("QUERY('Volunteer Survey'!B927)"),"")</f>
        <v/>
      </c>
      <c r="AB928" s="175" t="str">
        <f ca="1">IFERROR(__xludf.DUMMYFUNCTION("QUERY('Volunteer Survey'!C927)"),"")</f>
        <v/>
      </c>
      <c r="AC928" s="175" t="str">
        <f ca="1">IFERROR(__xludf.DUMMYFUNCTION("QUERY('Volunteer Survey'!D927)"),"")</f>
        <v/>
      </c>
      <c r="AD928" s="175" t="str">
        <f ca="1">IFERROR(__xludf.DUMMYFUNCTION("QUERY('Volunteer Survey'!E927)"),"")</f>
        <v/>
      </c>
      <c r="AE928" s="175" t="str">
        <f ca="1">IFERROR(__xludf.DUMMYFUNCTION("QUERY('Volunteer Survey'!F927)"),"")</f>
        <v/>
      </c>
      <c r="AF928" s="175" t="str">
        <f ca="1">IFERROR(__xludf.DUMMYFUNCTION("QUERY('Volunteer Survey'!G927)"),"")</f>
        <v/>
      </c>
      <c r="AG928" s="175" t="str">
        <f ca="1">IFERROR(__xludf.DUMMYFUNCTION("QUERY('Volunteer Survey'!H927)"),"")</f>
        <v/>
      </c>
      <c r="AH928" s="175" t="str">
        <f ca="1">IFERROR(__xludf.DUMMYFUNCTION("QUERY('Volunteer Survey'!I927)"),"")</f>
        <v/>
      </c>
      <c r="AI928" s="175" t="str">
        <f ca="1">IFERROR(__xludf.DUMMYFUNCTION("QUERY('Volunteer Survey'!J927)"),"")</f>
        <v/>
      </c>
      <c r="AJ928" s="175" t="str">
        <f ca="1">IFERROR(__xludf.DUMMYFUNCTION("QUERY('Volunteer Survey'!K927)"),"")</f>
        <v/>
      </c>
      <c r="AK928" s="175" t="str">
        <f ca="1">IFERROR(__xludf.DUMMYFUNCTION("QUERY('Volunteer Survey'!L927)"),"")</f>
        <v/>
      </c>
      <c r="AL928" s="175" t="str">
        <f ca="1">IFERROR(__xludf.DUMMYFUNCTION("QUERY('Volunteer Survey'!M927)"),"")</f>
        <v/>
      </c>
      <c r="AM928" s="175" t="str">
        <f ca="1">IFERROR(__xludf.DUMMYFUNCTION("QUERY('Volunteer Survey'!N927)"),"")</f>
        <v/>
      </c>
      <c r="AN928" s="175" t="str">
        <f ca="1">IFERROR(__xludf.DUMMYFUNCTION("QUERY('Volunteer Survey'!O927)"),"")</f>
        <v/>
      </c>
      <c r="AO928" s="175" t="str">
        <f ca="1">IFERROR(__xludf.DUMMYFUNCTION("QUERY('Volunteer Survey'!P927)"),"")</f>
        <v/>
      </c>
    </row>
    <row r="929" spans="1:41" ht="14">
      <c r="A929" s="49"/>
      <c r="B929" s="49"/>
      <c r="C929" s="47"/>
      <c r="D929" s="49"/>
      <c r="E929" s="49"/>
      <c r="F929" s="49" t="b">
        <v>0</v>
      </c>
      <c r="G929" s="49"/>
      <c r="H929" s="47"/>
      <c r="I929" s="47"/>
      <c r="J929" s="49"/>
      <c r="K929" s="49"/>
      <c r="L929" s="49"/>
      <c r="M929" s="49"/>
      <c r="N929" s="49"/>
      <c r="O929" s="49" t="b">
        <v>0</v>
      </c>
      <c r="P929" s="49"/>
      <c r="Q929" s="49"/>
      <c r="R929" s="49"/>
      <c r="S929" s="49"/>
      <c r="T929" s="49"/>
      <c r="U929" s="58"/>
      <c r="V929" s="49"/>
      <c r="W929" s="58"/>
      <c r="X929" s="49"/>
      <c r="Y929" s="47"/>
      <c r="Z929" s="175" t="str">
        <f ca="1">IFERROR(__xludf.DUMMYFUNCTION("QUERY('Volunteer Survey'!A928)"),"")</f>
        <v/>
      </c>
      <c r="AA929" s="175" t="str">
        <f ca="1">IFERROR(__xludf.DUMMYFUNCTION("QUERY('Volunteer Survey'!B928)"),"")</f>
        <v/>
      </c>
      <c r="AB929" s="175" t="str">
        <f ca="1">IFERROR(__xludf.DUMMYFUNCTION("QUERY('Volunteer Survey'!C928)"),"")</f>
        <v/>
      </c>
      <c r="AC929" s="175" t="str">
        <f ca="1">IFERROR(__xludf.DUMMYFUNCTION("QUERY('Volunteer Survey'!D928)"),"")</f>
        <v/>
      </c>
      <c r="AD929" s="175" t="str">
        <f ca="1">IFERROR(__xludf.DUMMYFUNCTION("QUERY('Volunteer Survey'!E928)"),"")</f>
        <v/>
      </c>
      <c r="AE929" s="175" t="str">
        <f ca="1">IFERROR(__xludf.DUMMYFUNCTION("QUERY('Volunteer Survey'!F928)"),"")</f>
        <v/>
      </c>
      <c r="AF929" s="175" t="str">
        <f ca="1">IFERROR(__xludf.DUMMYFUNCTION("QUERY('Volunteer Survey'!G928)"),"")</f>
        <v/>
      </c>
      <c r="AG929" s="175" t="str">
        <f ca="1">IFERROR(__xludf.DUMMYFUNCTION("QUERY('Volunteer Survey'!H928)"),"")</f>
        <v/>
      </c>
      <c r="AH929" s="175" t="str">
        <f ca="1">IFERROR(__xludf.DUMMYFUNCTION("QUERY('Volunteer Survey'!I928)"),"")</f>
        <v/>
      </c>
      <c r="AI929" s="175" t="str">
        <f ca="1">IFERROR(__xludf.DUMMYFUNCTION("QUERY('Volunteer Survey'!J928)"),"")</f>
        <v/>
      </c>
      <c r="AJ929" s="175" t="str">
        <f ca="1">IFERROR(__xludf.DUMMYFUNCTION("QUERY('Volunteer Survey'!K928)"),"")</f>
        <v/>
      </c>
      <c r="AK929" s="175" t="str">
        <f ca="1">IFERROR(__xludf.DUMMYFUNCTION("QUERY('Volunteer Survey'!L928)"),"")</f>
        <v/>
      </c>
      <c r="AL929" s="175" t="str">
        <f ca="1">IFERROR(__xludf.DUMMYFUNCTION("QUERY('Volunteer Survey'!M928)"),"")</f>
        <v/>
      </c>
      <c r="AM929" s="175" t="str">
        <f ca="1">IFERROR(__xludf.DUMMYFUNCTION("QUERY('Volunteer Survey'!N928)"),"")</f>
        <v/>
      </c>
      <c r="AN929" s="175" t="str">
        <f ca="1">IFERROR(__xludf.DUMMYFUNCTION("QUERY('Volunteer Survey'!O928)"),"")</f>
        <v/>
      </c>
      <c r="AO929" s="175" t="str">
        <f ca="1">IFERROR(__xludf.DUMMYFUNCTION("QUERY('Volunteer Survey'!P928)"),"")</f>
        <v/>
      </c>
    </row>
    <row r="930" spans="1:41" ht="14">
      <c r="A930" s="49"/>
      <c r="B930" s="49"/>
      <c r="C930" s="47"/>
      <c r="D930" s="49"/>
      <c r="E930" s="49"/>
      <c r="F930" s="49" t="b">
        <v>0</v>
      </c>
      <c r="G930" s="49"/>
      <c r="H930" s="47"/>
      <c r="I930" s="47"/>
      <c r="J930" s="49"/>
      <c r="K930" s="49"/>
      <c r="L930" s="49"/>
      <c r="M930" s="49"/>
      <c r="N930" s="49"/>
      <c r="O930" s="49" t="b">
        <v>0</v>
      </c>
      <c r="P930" s="49"/>
      <c r="Q930" s="49"/>
      <c r="R930" s="49"/>
      <c r="S930" s="49"/>
      <c r="T930" s="49"/>
      <c r="U930" s="58"/>
      <c r="V930" s="49"/>
      <c r="W930" s="58"/>
      <c r="X930" s="49"/>
      <c r="Y930" s="47"/>
      <c r="Z930" s="175" t="str">
        <f ca="1">IFERROR(__xludf.DUMMYFUNCTION("QUERY('Volunteer Survey'!A929)"),"")</f>
        <v/>
      </c>
      <c r="AA930" s="175" t="str">
        <f ca="1">IFERROR(__xludf.DUMMYFUNCTION("QUERY('Volunteer Survey'!B929)"),"")</f>
        <v/>
      </c>
      <c r="AB930" s="175" t="str">
        <f ca="1">IFERROR(__xludf.DUMMYFUNCTION("QUERY('Volunteer Survey'!C929)"),"")</f>
        <v/>
      </c>
      <c r="AC930" s="175" t="str">
        <f ca="1">IFERROR(__xludf.DUMMYFUNCTION("QUERY('Volunteer Survey'!D929)"),"")</f>
        <v/>
      </c>
      <c r="AD930" s="175" t="str">
        <f ca="1">IFERROR(__xludf.DUMMYFUNCTION("QUERY('Volunteer Survey'!E929)"),"")</f>
        <v/>
      </c>
      <c r="AE930" s="175" t="str">
        <f ca="1">IFERROR(__xludf.DUMMYFUNCTION("QUERY('Volunteer Survey'!F929)"),"")</f>
        <v/>
      </c>
      <c r="AF930" s="175" t="str">
        <f ca="1">IFERROR(__xludf.DUMMYFUNCTION("QUERY('Volunteer Survey'!G929)"),"")</f>
        <v/>
      </c>
      <c r="AG930" s="175" t="str">
        <f ca="1">IFERROR(__xludf.DUMMYFUNCTION("QUERY('Volunteer Survey'!H929)"),"")</f>
        <v/>
      </c>
      <c r="AH930" s="175" t="str">
        <f ca="1">IFERROR(__xludf.DUMMYFUNCTION("QUERY('Volunteer Survey'!I929)"),"")</f>
        <v/>
      </c>
      <c r="AI930" s="175" t="str">
        <f ca="1">IFERROR(__xludf.DUMMYFUNCTION("QUERY('Volunteer Survey'!J929)"),"")</f>
        <v/>
      </c>
      <c r="AJ930" s="175" t="str">
        <f ca="1">IFERROR(__xludf.DUMMYFUNCTION("QUERY('Volunteer Survey'!K929)"),"")</f>
        <v/>
      </c>
      <c r="AK930" s="175" t="str">
        <f ca="1">IFERROR(__xludf.DUMMYFUNCTION("QUERY('Volunteer Survey'!L929)"),"")</f>
        <v/>
      </c>
      <c r="AL930" s="175" t="str">
        <f ca="1">IFERROR(__xludf.DUMMYFUNCTION("QUERY('Volunteer Survey'!M929)"),"")</f>
        <v/>
      </c>
      <c r="AM930" s="175" t="str">
        <f ca="1">IFERROR(__xludf.DUMMYFUNCTION("QUERY('Volunteer Survey'!N929)"),"")</f>
        <v/>
      </c>
      <c r="AN930" s="175" t="str">
        <f ca="1">IFERROR(__xludf.DUMMYFUNCTION("QUERY('Volunteer Survey'!O929)"),"")</f>
        <v/>
      </c>
      <c r="AO930" s="175" t="str">
        <f ca="1">IFERROR(__xludf.DUMMYFUNCTION("QUERY('Volunteer Survey'!P929)"),"")</f>
        <v/>
      </c>
    </row>
    <row r="931" spans="1:41" ht="14">
      <c r="A931" s="49"/>
      <c r="B931" s="49"/>
      <c r="C931" s="47"/>
      <c r="D931" s="49"/>
      <c r="E931" s="49"/>
      <c r="F931" s="49" t="b">
        <v>0</v>
      </c>
      <c r="G931" s="49"/>
      <c r="H931" s="47"/>
      <c r="I931" s="47"/>
      <c r="J931" s="49"/>
      <c r="K931" s="49"/>
      <c r="L931" s="49"/>
      <c r="M931" s="49"/>
      <c r="N931" s="49"/>
      <c r="O931" s="49" t="b">
        <v>0</v>
      </c>
      <c r="P931" s="49"/>
      <c r="Q931" s="49"/>
      <c r="R931" s="49"/>
      <c r="S931" s="49"/>
      <c r="T931" s="49"/>
      <c r="U931" s="58"/>
      <c r="V931" s="49"/>
      <c r="W931" s="58"/>
      <c r="X931" s="49"/>
      <c r="Y931" s="47"/>
      <c r="Z931" s="175" t="str">
        <f ca="1">IFERROR(__xludf.DUMMYFUNCTION("QUERY('Volunteer Survey'!A930)"),"")</f>
        <v/>
      </c>
      <c r="AA931" s="175" t="str">
        <f ca="1">IFERROR(__xludf.DUMMYFUNCTION("QUERY('Volunteer Survey'!B930)"),"")</f>
        <v/>
      </c>
      <c r="AB931" s="175" t="str">
        <f ca="1">IFERROR(__xludf.DUMMYFUNCTION("QUERY('Volunteer Survey'!C930)"),"")</f>
        <v/>
      </c>
      <c r="AC931" s="175" t="str">
        <f ca="1">IFERROR(__xludf.DUMMYFUNCTION("QUERY('Volunteer Survey'!D930)"),"")</f>
        <v/>
      </c>
      <c r="AD931" s="175" t="str">
        <f ca="1">IFERROR(__xludf.DUMMYFUNCTION("QUERY('Volunteer Survey'!E930)"),"")</f>
        <v/>
      </c>
      <c r="AE931" s="175" t="str">
        <f ca="1">IFERROR(__xludf.DUMMYFUNCTION("QUERY('Volunteer Survey'!F930)"),"")</f>
        <v/>
      </c>
      <c r="AF931" s="175" t="str">
        <f ca="1">IFERROR(__xludf.DUMMYFUNCTION("QUERY('Volunteer Survey'!G930)"),"")</f>
        <v/>
      </c>
      <c r="AG931" s="175" t="str">
        <f ca="1">IFERROR(__xludf.DUMMYFUNCTION("QUERY('Volunteer Survey'!H930)"),"")</f>
        <v/>
      </c>
      <c r="AH931" s="175" t="str">
        <f ca="1">IFERROR(__xludf.DUMMYFUNCTION("QUERY('Volunteer Survey'!I930)"),"")</f>
        <v/>
      </c>
      <c r="AI931" s="175" t="str">
        <f ca="1">IFERROR(__xludf.DUMMYFUNCTION("QUERY('Volunteer Survey'!J930)"),"")</f>
        <v/>
      </c>
      <c r="AJ931" s="175" t="str">
        <f ca="1">IFERROR(__xludf.DUMMYFUNCTION("QUERY('Volunteer Survey'!K930)"),"")</f>
        <v/>
      </c>
      <c r="AK931" s="175" t="str">
        <f ca="1">IFERROR(__xludf.DUMMYFUNCTION("QUERY('Volunteer Survey'!L930)"),"")</f>
        <v/>
      </c>
      <c r="AL931" s="175" t="str">
        <f ca="1">IFERROR(__xludf.DUMMYFUNCTION("QUERY('Volunteer Survey'!M930)"),"")</f>
        <v/>
      </c>
      <c r="AM931" s="175" t="str">
        <f ca="1">IFERROR(__xludf.DUMMYFUNCTION("QUERY('Volunteer Survey'!N930)"),"")</f>
        <v/>
      </c>
      <c r="AN931" s="175" t="str">
        <f ca="1">IFERROR(__xludf.DUMMYFUNCTION("QUERY('Volunteer Survey'!O930)"),"")</f>
        <v/>
      </c>
      <c r="AO931" s="175" t="str">
        <f ca="1">IFERROR(__xludf.DUMMYFUNCTION("QUERY('Volunteer Survey'!P930)"),"")</f>
        <v/>
      </c>
    </row>
    <row r="932" spans="1:41" ht="14">
      <c r="A932" s="49"/>
      <c r="B932" s="49"/>
      <c r="C932" s="47"/>
      <c r="D932" s="49"/>
      <c r="E932" s="49"/>
      <c r="F932" s="49" t="b">
        <v>0</v>
      </c>
      <c r="G932" s="49"/>
      <c r="H932" s="47"/>
      <c r="I932" s="47"/>
      <c r="J932" s="49"/>
      <c r="K932" s="49"/>
      <c r="L932" s="49"/>
      <c r="M932" s="49"/>
      <c r="N932" s="49"/>
      <c r="O932" s="49" t="b">
        <v>0</v>
      </c>
      <c r="P932" s="49"/>
      <c r="Q932" s="49"/>
      <c r="R932" s="49"/>
      <c r="S932" s="49"/>
      <c r="T932" s="49"/>
      <c r="U932" s="58"/>
      <c r="V932" s="49"/>
      <c r="W932" s="58"/>
      <c r="X932" s="49"/>
      <c r="Y932" s="47"/>
      <c r="Z932" s="175" t="str">
        <f ca="1">IFERROR(__xludf.DUMMYFUNCTION("QUERY('Volunteer Survey'!A931)"),"")</f>
        <v/>
      </c>
      <c r="AA932" s="175" t="str">
        <f ca="1">IFERROR(__xludf.DUMMYFUNCTION("QUERY('Volunteer Survey'!B931)"),"")</f>
        <v/>
      </c>
      <c r="AB932" s="175" t="str">
        <f ca="1">IFERROR(__xludf.DUMMYFUNCTION("QUERY('Volunteer Survey'!C931)"),"")</f>
        <v/>
      </c>
      <c r="AC932" s="175" t="str">
        <f ca="1">IFERROR(__xludf.DUMMYFUNCTION("QUERY('Volunteer Survey'!D931)"),"")</f>
        <v/>
      </c>
      <c r="AD932" s="175" t="str">
        <f ca="1">IFERROR(__xludf.DUMMYFUNCTION("QUERY('Volunteer Survey'!E931)"),"")</f>
        <v/>
      </c>
      <c r="AE932" s="175" t="str">
        <f ca="1">IFERROR(__xludf.DUMMYFUNCTION("QUERY('Volunteer Survey'!F931)"),"")</f>
        <v/>
      </c>
      <c r="AF932" s="175" t="str">
        <f ca="1">IFERROR(__xludf.DUMMYFUNCTION("QUERY('Volunteer Survey'!G931)"),"")</f>
        <v/>
      </c>
      <c r="AG932" s="175" t="str">
        <f ca="1">IFERROR(__xludf.DUMMYFUNCTION("QUERY('Volunteer Survey'!H931)"),"")</f>
        <v/>
      </c>
      <c r="AH932" s="175" t="str">
        <f ca="1">IFERROR(__xludf.DUMMYFUNCTION("QUERY('Volunteer Survey'!I931)"),"")</f>
        <v/>
      </c>
      <c r="AI932" s="175" t="str">
        <f ca="1">IFERROR(__xludf.DUMMYFUNCTION("QUERY('Volunteer Survey'!J931)"),"")</f>
        <v/>
      </c>
      <c r="AJ932" s="175" t="str">
        <f ca="1">IFERROR(__xludf.DUMMYFUNCTION("QUERY('Volunteer Survey'!K931)"),"")</f>
        <v/>
      </c>
      <c r="AK932" s="175" t="str">
        <f ca="1">IFERROR(__xludf.DUMMYFUNCTION("QUERY('Volunteer Survey'!L931)"),"")</f>
        <v/>
      </c>
      <c r="AL932" s="175" t="str">
        <f ca="1">IFERROR(__xludf.DUMMYFUNCTION("QUERY('Volunteer Survey'!M931)"),"")</f>
        <v/>
      </c>
      <c r="AM932" s="175" t="str">
        <f ca="1">IFERROR(__xludf.DUMMYFUNCTION("QUERY('Volunteer Survey'!N931)"),"")</f>
        <v/>
      </c>
      <c r="AN932" s="175" t="str">
        <f ca="1">IFERROR(__xludf.DUMMYFUNCTION("QUERY('Volunteer Survey'!O931)"),"")</f>
        <v/>
      </c>
      <c r="AO932" s="175" t="str">
        <f ca="1">IFERROR(__xludf.DUMMYFUNCTION("QUERY('Volunteer Survey'!P931)"),"")</f>
        <v/>
      </c>
    </row>
    <row r="933" spans="1:41" ht="14">
      <c r="A933" s="49"/>
      <c r="B933" s="49"/>
      <c r="C933" s="47"/>
      <c r="D933" s="49"/>
      <c r="E933" s="49"/>
      <c r="F933" s="49" t="b">
        <v>0</v>
      </c>
      <c r="G933" s="49"/>
      <c r="H933" s="47"/>
      <c r="I933" s="47"/>
      <c r="J933" s="49"/>
      <c r="K933" s="49"/>
      <c r="L933" s="49"/>
      <c r="M933" s="49"/>
      <c r="N933" s="49"/>
      <c r="O933" s="49" t="b">
        <v>0</v>
      </c>
      <c r="P933" s="49"/>
      <c r="Q933" s="49"/>
      <c r="R933" s="49"/>
      <c r="S933" s="49"/>
      <c r="T933" s="49"/>
      <c r="U933" s="58"/>
      <c r="V933" s="49"/>
      <c r="W933" s="58"/>
      <c r="X933" s="49"/>
      <c r="Y933" s="47"/>
      <c r="Z933" s="175" t="str">
        <f ca="1">IFERROR(__xludf.DUMMYFUNCTION("QUERY('Volunteer Survey'!A932)"),"")</f>
        <v/>
      </c>
      <c r="AA933" s="175" t="str">
        <f ca="1">IFERROR(__xludf.DUMMYFUNCTION("QUERY('Volunteer Survey'!B932)"),"")</f>
        <v/>
      </c>
      <c r="AB933" s="175" t="str">
        <f ca="1">IFERROR(__xludf.DUMMYFUNCTION("QUERY('Volunteer Survey'!C932)"),"")</f>
        <v/>
      </c>
      <c r="AC933" s="175" t="str">
        <f ca="1">IFERROR(__xludf.DUMMYFUNCTION("QUERY('Volunteer Survey'!D932)"),"")</f>
        <v/>
      </c>
      <c r="AD933" s="175" t="str">
        <f ca="1">IFERROR(__xludf.DUMMYFUNCTION("QUERY('Volunteer Survey'!E932)"),"")</f>
        <v/>
      </c>
      <c r="AE933" s="175" t="str">
        <f ca="1">IFERROR(__xludf.DUMMYFUNCTION("QUERY('Volunteer Survey'!F932)"),"")</f>
        <v/>
      </c>
      <c r="AF933" s="175" t="str">
        <f ca="1">IFERROR(__xludf.DUMMYFUNCTION("QUERY('Volunteer Survey'!G932)"),"")</f>
        <v/>
      </c>
      <c r="AG933" s="175" t="str">
        <f ca="1">IFERROR(__xludf.DUMMYFUNCTION("QUERY('Volunteer Survey'!H932)"),"")</f>
        <v/>
      </c>
      <c r="AH933" s="175" t="str">
        <f ca="1">IFERROR(__xludf.DUMMYFUNCTION("QUERY('Volunteer Survey'!I932)"),"")</f>
        <v/>
      </c>
      <c r="AI933" s="175" t="str">
        <f ca="1">IFERROR(__xludf.DUMMYFUNCTION("QUERY('Volunteer Survey'!J932)"),"")</f>
        <v/>
      </c>
      <c r="AJ933" s="175" t="str">
        <f ca="1">IFERROR(__xludf.DUMMYFUNCTION("QUERY('Volunteer Survey'!K932)"),"")</f>
        <v/>
      </c>
      <c r="AK933" s="175" t="str">
        <f ca="1">IFERROR(__xludf.DUMMYFUNCTION("QUERY('Volunteer Survey'!L932)"),"")</f>
        <v/>
      </c>
      <c r="AL933" s="175" t="str">
        <f ca="1">IFERROR(__xludf.DUMMYFUNCTION("QUERY('Volunteer Survey'!M932)"),"")</f>
        <v/>
      </c>
      <c r="AM933" s="175" t="str">
        <f ca="1">IFERROR(__xludf.DUMMYFUNCTION("QUERY('Volunteer Survey'!N932)"),"")</f>
        <v/>
      </c>
      <c r="AN933" s="175" t="str">
        <f ca="1">IFERROR(__xludf.DUMMYFUNCTION("QUERY('Volunteer Survey'!O932)"),"")</f>
        <v/>
      </c>
      <c r="AO933" s="175" t="str">
        <f ca="1">IFERROR(__xludf.DUMMYFUNCTION("QUERY('Volunteer Survey'!P932)"),"")</f>
        <v/>
      </c>
    </row>
    <row r="934" spans="1:41" ht="14">
      <c r="A934" s="49"/>
      <c r="B934" s="49"/>
      <c r="C934" s="47"/>
      <c r="D934" s="49"/>
      <c r="E934" s="49"/>
      <c r="F934" s="49" t="b">
        <v>0</v>
      </c>
      <c r="G934" s="49"/>
      <c r="H934" s="47"/>
      <c r="I934" s="47"/>
      <c r="J934" s="49"/>
      <c r="K934" s="49"/>
      <c r="L934" s="49"/>
      <c r="M934" s="49"/>
      <c r="N934" s="49"/>
      <c r="O934" s="49" t="b">
        <v>0</v>
      </c>
      <c r="P934" s="49"/>
      <c r="Q934" s="49"/>
      <c r="R934" s="49"/>
      <c r="S934" s="49"/>
      <c r="T934" s="49"/>
      <c r="U934" s="58"/>
      <c r="V934" s="49"/>
      <c r="W934" s="58"/>
      <c r="X934" s="49"/>
      <c r="Y934" s="47"/>
      <c r="Z934" s="175" t="str">
        <f ca="1">IFERROR(__xludf.DUMMYFUNCTION("QUERY('Volunteer Survey'!A933)"),"")</f>
        <v/>
      </c>
      <c r="AA934" s="175" t="str">
        <f ca="1">IFERROR(__xludf.DUMMYFUNCTION("QUERY('Volunteer Survey'!B933)"),"")</f>
        <v/>
      </c>
      <c r="AB934" s="175" t="str">
        <f ca="1">IFERROR(__xludf.DUMMYFUNCTION("QUERY('Volunteer Survey'!C933)"),"")</f>
        <v/>
      </c>
      <c r="AC934" s="175" t="str">
        <f ca="1">IFERROR(__xludf.DUMMYFUNCTION("QUERY('Volunteer Survey'!D933)"),"")</f>
        <v/>
      </c>
      <c r="AD934" s="175" t="str">
        <f ca="1">IFERROR(__xludf.DUMMYFUNCTION("QUERY('Volunteer Survey'!E933)"),"")</f>
        <v/>
      </c>
      <c r="AE934" s="175" t="str">
        <f ca="1">IFERROR(__xludf.DUMMYFUNCTION("QUERY('Volunteer Survey'!F933)"),"")</f>
        <v/>
      </c>
      <c r="AF934" s="175" t="str">
        <f ca="1">IFERROR(__xludf.DUMMYFUNCTION("QUERY('Volunteer Survey'!G933)"),"")</f>
        <v/>
      </c>
      <c r="AG934" s="175" t="str">
        <f ca="1">IFERROR(__xludf.DUMMYFUNCTION("QUERY('Volunteer Survey'!H933)"),"")</f>
        <v/>
      </c>
      <c r="AH934" s="175" t="str">
        <f ca="1">IFERROR(__xludf.DUMMYFUNCTION("QUERY('Volunteer Survey'!I933)"),"")</f>
        <v/>
      </c>
      <c r="AI934" s="175" t="str">
        <f ca="1">IFERROR(__xludf.DUMMYFUNCTION("QUERY('Volunteer Survey'!J933)"),"")</f>
        <v/>
      </c>
      <c r="AJ934" s="175" t="str">
        <f ca="1">IFERROR(__xludf.DUMMYFUNCTION("QUERY('Volunteer Survey'!K933)"),"")</f>
        <v/>
      </c>
      <c r="AK934" s="175" t="str">
        <f ca="1">IFERROR(__xludf.DUMMYFUNCTION("QUERY('Volunteer Survey'!L933)"),"")</f>
        <v/>
      </c>
      <c r="AL934" s="175" t="str">
        <f ca="1">IFERROR(__xludf.DUMMYFUNCTION("QUERY('Volunteer Survey'!M933)"),"")</f>
        <v/>
      </c>
      <c r="AM934" s="175" t="str">
        <f ca="1">IFERROR(__xludf.DUMMYFUNCTION("QUERY('Volunteer Survey'!N933)"),"")</f>
        <v/>
      </c>
      <c r="AN934" s="175" t="str">
        <f ca="1">IFERROR(__xludf.DUMMYFUNCTION("QUERY('Volunteer Survey'!O933)"),"")</f>
        <v/>
      </c>
      <c r="AO934" s="175" t="str">
        <f ca="1">IFERROR(__xludf.DUMMYFUNCTION("QUERY('Volunteer Survey'!P933)"),"")</f>
        <v/>
      </c>
    </row>
    <row r="935" spans="1:41" ht="14">
      <c r="A935" s="49"/>
      <c r="B935" s="49"/>
      <c r="C935" s="47"/>
      <c r="D935" s="49"/>
      <c r="E935" s="49"/>
      <c r="F935" s="49" t="b">
        <v>0</v>
      </c>
      <c r="G935" s="49"/>
      <c r="H935" s="47"/>
      <c r="I935" s="47"/>
      <c r="J935" s="49"/>
      <c r="K935" s="49"/>
      <c r="L935" s="49"/>
      <c r="M935" s="49"/>
      <c r="N935" s="49"/>
      <c r="O935" s="49" t="b">
        <v>0</v>
      </c>
      <c r="P935" s="49"/>
      <c r="Q935" s="49"/>
      <c r="R935" s="49"/>
      <c r="S935" s="49"/>
      <c r="T935" s="49"/>
      <c r="U935" s="58"/>
      <c r="V935" s="49"/>
      <c r="W935" s="58"/>
      <c r="X935" s="49"/>
      <c r="Y935" s="47"/>
      <c r="Z935" s="175" t="str">
        <f ca="1">IFERROR(__xludf.DUMMYFUNCTION("QUERY('Volunteer Survey'!A934)"),"")</f>
        <v/>
      </c>
      <c r="AA935" s="175" t="str">
        <f ca="1">IFERROR(__xludf.DUMMYFUNCTION("QUERY('Volunteer Survey'!B934)"),"")</f>
        <v/>
      </c>
      <c r="AB935" s="175" t="str">
        <f ca="1">IFERROR(__xludf.DUMMYFUNCTION("QUERY('Volunteer Survey'!C934)"),"")</f>
        <v/>
      </c>
      <c r="AC935" s="175" t="str">
        <f ca="1">IFERROR(__xludf.DUMMYFUNCTION("QUERY('Volunteer Survey'!D934)"),"")</f>
        <v/>
      </c>
      <c r="AD935" s="175" t="str">
        <f ca="1">IFERROR(__xludf.DUMMYFUNCTION("QUERY('Volunteer Survey'!E934)"),"")</f>
        <v/>
      </c>
      <c r="AE935" s="175" t="str">
        <f ca="1">IFERROR(__xludf.DUMMYFUNCTION("QUERY('Volunteer Survey'!F934)"),"")</f>
        <v/>
      </c>
      <c r="AF935" s="175" t="str">
        <f ca="1">IFERROR(__xludf.DUMMYFUNCTION("QUERY('Volunteer Survey'!G934)"),"")</f>
        <v/>
      </c>
      <c r="AG935" s="175" t="str">
        <f ca="1">IFERROR(__xludf.DUMMYFUNCTION("QUERY('Volunteer Survey'!H934)"),"")</f>
        <v/>
      </c>
      <c r="AH935" s="175" t="str">
        <f ca="1">IFERROR(__xludf.DUMMYFUNCTION("QUERY('Volunteer Survey'!I934)"),"")</f>
        <v/>
      </c>
      <c r="AI935" s="175" t="str">
        <f ca="1">IFERROR(__xludf.DUMMYFUNCTION("QUERY('Volunteer Survey'!J934)"),"")</f>
        <v/>
      </c>
      <c r="AJ935" s="175" t="str">
        <f ca="1">IFERROR(__xludf.DUMMYFUNCTION("QUERY('Volunteer Survey'!K934)"),"")</f>
        <v/>
      </c>
      <c r="AK935" s="175" t="str">
        <f ca="1">IFERROR(__xludf.DUMMYFUNCTION("QUERY('Volunteer Survey'!L934)"),"")</f>
        <v/>
      </c>
      <c r="AL935" s="175" t="str">
        <f ca="1">IFERROR(__xludf.DUMMYFUNCTION("QUERY('Volunteer Survey'!M934)"),"")</f>
        <v/>
      </c>
      <c r="AM935" s="175" t="str">
        <f ca="1">IFERROR(__xludf.DUMMYFUNCTION("QUERY('Volunteer Survey'!N934)"),"")</f>
        <v/>
      </c>
      <c r="AN935" s="175" t="str">
        <f ca="1">IFERROR(__xludf.DUMMYFUNCTION("QUERY('Volunteer Survey'!O934)"),"")</f>
        <v/>
      </c>
      <c r="AO935" s="175" t="str">
        <f ca="1">IFERROR(__xludf.DUMMYFUNCTION("QUERY('Volunteer Survey'!P934)"),"")</f>
        <v/>
      </c>
    </row>
    <row r="936" spans="1:41" ht="14">
      <c r="A936" s="49"/>
      <c r="B936" s="49"/>
      <c r="C936" s="47"/>
      <c r="D936" s="49"/>
      <c r="E936" s="49"/>
      <c r="F936" s="49" t="b">
        <v>0</v>
      </c>
      <c r="G936" s="49"/>
      <c r="H936" s="47"/>
      <c r="I936" s="47"/>
      <c r="J936" s="49"/>
      <c r="K936" s="49"/>
      <c r="L936" s="49"/>
      <c r="M936" s="49"/>
      <c r="N936" s="49"/>
      <c r="O936" s="49" t="b">
        <v>0</v>
      </c>
      <c r="P936" s="49"/>
      <c r="Q936" s="49"/>
      <c r="R936" s="49"/>
      <c r="S936" s="49"/>
      <c r="T936" s="49"/>
      <c r="U936" s="58"/>
      <c r="V936" s="49"/>
      <c r="W936" s="58"/>
      <c r="X936" s="49"/>
      <c r="Y936" s="47"/>
      <c r="Z936" s="175" t="str">
        <f ca="1">IFERROR(__xludf.DUMMYFUNCTION("QUERY('Volunteer Survey'!A935)"),"")</f>
        <v/>
      </c>
      <c r="AA936" s="175" t="str">
        <f ca="1">IFERROR(__xludf.DUMMYFUNCTION("QUERY('Volunteer Survey'!B935)"),"")</f>
        <v/>
      </c>
      <c r="AB936" s="175" t="str">
        <f ca="1">IFERROR(__xludf.DUMMYFUNCTION("QUERY('Volunteer Survey'!C935)"),"")</f>
        <v/>
      </c>
      <c r="AC936" s="175" t="str">
        <f ca="1">IFERROR(__xludf.DUMMYFUNCTION("QUERY('Volunteer Survey'!D935)"),"")</f>
        <v/>
      </c>
      <c r="AD936" s="175" t="str">
        <f ca="1">IFERROR(__xludf.DUMMYFUNCTION("QUERY('Volunteer Survey'!E935)"),"")</f>
        <v/>
      </c>
      <c r="AE936" s="175" t="str">
        <f ca="1">IFERROR(__xludf.DUMMYFUNCTION("QUERY('Volunteer Survey'!F935)"),"")</f>
        <v/>
      </c>
      <c r="AF936" s="175" t="str">
        <f ca="1">IFERROR(__xludf.DUMMYFUNCTION("QUERY('Volunteer Survey'!G935)"),"")</f>
        <v/>
      </c>
      <c r="AG936" s="175" t="str">
        <f ca="1">IFERROR(__xludf.DUMMYFUNCTION("QUERY('Volunteer Survey'!H935)"),"")</f>
        <v/>
      </c>
      <c r="AH936" s="175" t="str">
        <f ca="1">IFERROR(__xludf.DUMMYFUNCTION("QUERY('Volunteer Survey'!I935)"),"")</f>
        <v/>
      </c>
      <c r="AI936" s="175" t="str">
        <f ca="1">IFERROR(__xludf.DUMMYFUNCTION("QUERY('Volunteer Survey'!J935)"),"")</f>
        <v/>
      </c>
      <c r="AJ936" s="175" t="str">
        <f ca="1">IFERROR(__xludf.DUMMYFUNCTION("QUERY('Volunteer Survey'!K935)"),"")</f>
        <v/>
      </c>
      <c r="AK936" s="175" t="str">
        <f ca="1">IFERROR(__xludf.DUMMYFUNCTION("QUERY('Volunteer Survey'!L935)"),"")</f>
        <v/>
      </c>
      <c r="AL936" s="175" t="str">
        <f ca="1">IFERROR(__xludf.DUMMYFUNCTION("QUERY('Volunteer Survey'!M935)"),"")</f>
        <v/>
      </c>
      <c r="AM936" s="175" t="str">
        <f ca="1">IFERROR(__xludf.DUMMYFUNCTION("QUERY('Volunteer Survey'!N935)"),"")</f>
        <v/>
      </c>
      <c r="AN936" s="175" t="str">
        <f ca="1">IFERROR(__xludf.DUMMYFUNCTION("QUERY('Volunteer Survey'!O935)"),"")</f>
        <v/>
      </c>
      <c r="AO936" s="175" t="str">
        <f ca="1">IFERROR(__xludf.DUMMYFUNCTION("QUERY('Volunteer Survey'!P935)"),"")</f>
        <v/>
      </c>
    </row>
    <row r="937" spans="1:41" ht="14">
      <c r="A937" s="49"/>
      <c r="B937" s="49"/>
      <c r="C937" s="47"/>
      <c r="D937" s="49"/>
      <c r="E937" s="49"/>
      <c r="F937" s="49" t="b">
        <v>0</v>
      </c>
      <c r="G937" s="49"/>
      <c r="H937" s="47"/>
      <c r="I937" s="47"/>
      <c r="J937" s="49"/>
      <c r="K937" s="49"/>
      <c r="L937" s="49"/>
      <c r="M937" s="49"/>
      <c r="N937" s="49"/>
      <c r="O937" s="49" t="b">
        <v>0</v>
      </c>
      <c r="P937" s="49"/>
      <c r="Q937" s="49"/>
      <c r="R937" s="49"/>
      <c r="S937" s="49"/>
      <c r="T937" s="49"/>
      <c r="U937" s="58"/>
      <c r="V937" s="49"/>
      <c r="W937" s="58"/>
      <c r="X937" s="49"/>
      <c r="Y937" s="47"/>
      <c r="Z937" s="175" t="str">
        <f ca="1">IFERROR(__xludf.DUMMYFUNCTION("QUERY('Volunteer Survey'!A936)"),"")</f>
        <v/>
      </c>
      <c r="AA937" s="175" t="str">
        <f ca="1">IFERROR(__xludf.DUMMYFUNCTION("QUERY('Volunteer Survey'!B936)"),"")</f>
        <v/>
      </c>
      <c r="AB937" s="175" t="str">
        <f ca="1">IFERROR(__xludf.DUMMYFUNCTION("QUERY('Volunteer Survey'!C936)"),"")</f>
        <v/>
      </c>
      <c r="AC937" s="175" t="str">
        <f ca="1">IFERROR(__xludf.DUMMYFUNCTION("QUERY('Volunteer Survey'!D936)"),"")</f>
        <v/>
      </c>
      <c r="AD937" s="175" t="str">
        <f ca="1">IFERROR(__xludf.DUMMYFUNCTION("QUERY('Volunteer Survey'!E936)"),"")</f>
        <v/>
      </c>
      <c r="AE937" s="175" t="str">
        <f ca="1">IFERROR(__xludf.DUMMYFUNCTION("QUERY('Volunteer Survey'!F936)"),"")</f>
        <v/>
      </c>
      <c r="AF937" s="175" t="str">
        <f ca="1">IFERROR(__xludf.DUMMYFUNCTION("QUERY('Volunteer Survey'!G936)"),"")</f>
        <v/>
      </c>
      <c r="AG937" s="175" t="str">
        <f ca="1">IFERROR(__xludf.DUMMYFUNCTION("QUERY('Volunteer Survey'!H936)"),"")</f>
        <v/>
      </c>
      <c r="AH937" s="175" t="str">
        <f ca="1">IFERROR(__xludf.DUMMYFUNCTION("QUERY('Volunteer Survey'!I936)"),"")</f>
        <v/>
      </c>
      <c r="AI937" s="175" t="str">
        <f ca="1">IFERROR(__xludf.DUMMYFUNCTION("QUERY('Volunteer Survey'!J936)"),"")</f>
        <v/>
      </c>
      <c r="AJ937" s="175" t="str">
        <f ca="1">IFERROR(__xludf.DUMMYFUNCTION("QUERY('Volunteer Survey'!K936)"),"")</f>
        <v/>
      </c>
      <c r="AK937" s="175" t="str">
        <f ca="1">IFERROR(__xludf.DUMMYFUNCTION("QUERY('Volunteer Survey'!L936)"),"")</f>
        <v/>
      </c>
      <c r="AL937" s="175" t="str">
        <f ca="1">IFERROR(__xludf.DUMMYFUNCTION("QUERY('Volunteer Survey'!M936)"),"")</f>
        <v/>
      </c>
      <c r="AM937" s="175" t="str">
        <f ca="1">IFERROR(__xludf.DUMMYFUNCTION("QUERY('Volunteer Survey'!N936)"),"")</f>
        <v/>
      </c>
      <c r="AN937" s="175" t="str">
        <f ca="1">IFERROR(__xludf.DUMMYFUNCTION("QUERY('Volunteer Survey'!O936)"),"")</f>
        <v/>
      </c>
      <c r="AO937" s="175" t="str">
        <f ca="1">IFERROR(__xludf.DUMMYFUNCTION("QUERY('Volunteer Survey'!P936)"),"")</f>
        <v/>
      </c>
    </row>
    <row r="938" spans="1:41" ht="14">
      <c r="A938" s="49"/>
      <c r="B938" s="49"/>
      <c r="C938" s="47"/>
      <c r="D938" s="49"/>
      <c r="E938" s="49"/>
      <c r="F938" s="49" t="b">
        <v>0</v>
      </c>
      <c r="G938" s="49"/>
      <c r="H938" s="47"/>
      <c r="I938" s="47"/>
      <c r="J938" s="49"/>
      <c r="K938" s="49"/>
      <c r="L938" s="49"/>
      <c r="M938" s="49"/>
      <c r="N938" s="49"/>
      <c r="O938" s="49" t="b">
        <v>0</v>
      </c>
      <c r="P938" s="49"/>
      <c r="Q938" s="49"/>
      <c r="R938" s="49"/>
      <c r="S938" s="49"/>
      <c r="T938" s="49"/>
      <c r="U938" s="58"/>
      <c r="V938" s="49"/>
      <c r="W938" s="58"/>
      <c r="X938" s="49"/>
      <c r="Y938" s="47"/>
      <c r="Z938" s="175" t="str">
        <f ca="1">IFERROR(__xludf.DUMMYFUNCTION("QUERY('Volunteer Survey'!A937)"),"")</f>
        <v/>
      </c>
      <c r="AA938" s="175" t="str">
        <f ca="1">IFERROR(__xludf.DUMMYFUNCTION("QUERY('Volunteer Survey'!B937)"),"")</f>
        <v/>
      </c>
      <c r="AB938" s="175" t="str">
        <f ca="1">IFERROR(__xludf.DUMMYFUNCTION("QUERY('Volunteer Survey'!C937)"),"")</f>
        <v/>
      </c>
      <c r="AC938" s="175" t="str">
        <f ca="1">IFERROR(__xludf.DUMMYFUNCTION("QUERY('Volunteer Survey'!D937)"),"")</f>
        <v/>
      </c>
      <c r="AD938" s="175" t="str">
        <f ca="1">IFERROR(__xludf.DUMMYFUNCTION("QUERY('Volunteer Survey'!E937)"),"")</f>
        <v/>
      </c>
      <c r="AE938" s="175" t="str">
        <f ca="1">IFERROR(__xludf.DUMMYFUNCTION("QUERY('Volunteer Survey'!F937)"),"")</f>
        <v/>
      </c>
      <c r="AF938" s="175" t="str">
        <f ca="1">IFERROR(__xludf.DUMMYFUNCTION("QUERY('Volunteer Survey'!G937)"),"")</f>
        <v/>
      </c>
      <c r="AG938" s="175" t="str">
        <f ca="1">IFERROR(__xludf.DUMMYFUNCTION("QUERY('Volunteer Survey'!H937)"),"")</f>
        <v/>
      </c>
      <c r="AH938" s="175" t="str">
        <f ca="1">IFERROR(__xludf.DUMMYFUNCTION("QUERY('Volunteer Survey'!I937)"),"")</f>
        <v/>
      </c>
      <c r="AI938" s="175" t="str">
        <f ca="1">IFERROR(__xludf.DUMMYFUNCTION("QUERY('Volunteer Survey'!J937)"),"")</f>
        <v/>
      </c>
      <c r="AJ938" s="175" t="str">
        <f ca="1">IFERROR(__xludf.DUMMYFUNCTION("QUERY('Volunteer Survey'!K937)"),"")</f>
        <v/>
      </c>
      <c r="AK938" s="175" t="str">
        <f ca="1">IFERROR(__xludf.DUMMYFUNCTION("QUERY('Volunteer Survey'!L937)"),"")</f>
        <v/>
      </c>
      <c r="AL938" s="175" t="str">
        <f ca="1">IFERROR(__xludf.DUMMYFUNCTION("QUERY('Volunteer Survey'!M937)"),"")</f>
        <v/>
      </c>
      <c r="AM938" s="175" t="str">
        <f ca="1">IFERROR(__xludf.DUMMYFUNCTION("QUERY('Volunteer Survey'!N937)"),"")</f>
        <v/>
      </c>
      <c r="AN938" s="175" t="str">
        <f ca="1">IFERROR(__xludf.DUMMYFUNCTION("QUERY('Volunteer Survey'!O937)"),"")</f>
        <v/>
      </c>
      <c r="AO938" s="175" t="str">
        <f ca="1">IFERROR(__xludf.DUMMYFUNCTION("QUERY('Volunteer Survey'!P937)"),"")</f>
        <v/>
      </c>
    </row>
    <row r="939" spans="1:41" ht="14">
      <c r="A939" s="49"/>
      <c r="B939" s="49"/>
      <c r="C939" s="47"/>
      <c r="D939" s="49"/>
      <c r="E939" s="49"/>
      <c r="F939" s="49" t="b">
        <v>0</v>
      </c>
      <c r="G939" s="49"/>
      <c r="H939" s="47"/>
      <c r="I939" s="47"/>
      <c r="J939" s="49"/>
      <c r="K939" s="49"/>
      <c r="L939" s="49"/>
      <c r="M939" s="49"/>
      <c r="N939" s="49"/>
      <c r="O939" s="49" t="b">
        <v>0</v>
      </c>
      <c r="P939" s="49"/>
      <c r="Q939" s="49"/>
      <c r="R939" s="49"/>
      <c r="S939" s="49"/>
      <c r="T939" s="49"/>
      <c r="U939" s="58"/>
      <c r="V939" s="49"/>
      <c r="W939" s="58"/>
      <c r="X939" s="49"/>
      <c r="Y939" s="47"/>
      <c r="Z939" s="175" t="str">
        <f ca="1">IFERROR(__xludf.DUMMYFUNCTION("QUERY('Volunteer Survey'!A938)"),"")</f>
        <v/>
      </c>
      <c r="AA939" s="175" t="str">
        <f ca="1">IFERROR(__xludf.DUMMYFUNCTION("QUERY('Volunteer Survey'!B938)"),"")</f>
        <v/>
      </c>
      <c r="AB939" s="175" t="str">
        <f ca="1">IFERROR(__xludf.DUMMYFUNCTION("QUERY('Volunteer Survey'!C938)"),"")</f>
        <v/>
      </c>
      <c r="AC939" s="175" t="str">
        <f ca="1">IFERROR(__xludf.DUMMYFUNCTION("QUERY('Volunteer Survey'!D938)"),"")</f>
        <v/>
      </c>
      <c r="AD939" s="175" t="str">
        <f ca="1">IFERROR(__xludf.DUMMYFUNCTION("QUERY('Volunteer Survey'!E938)"),"")</f>
        <v/>
      </c>
      <c r="AE939" s="175" t="str">
        <f ca="1">IFERROR(__xludf.DUMMYFUNCTION("QUERY('Volunteer Survey'!F938)"),"")</f>
        <v/>
      </c>
      <c r="AF939" s="175" t="str">
        <f ca="1">IFERROR(__xludf.DUMMYFUNCTION("QUERY('Volunteer Survey'!G938)"),"")</f>
        <v/>
      </c>
      <c r="AG939" s="175" t="str">
        <f ca="1">IFERROR(__xludf.DUMMYFUNCTION("QUERY('Volunteer Survey'!H938)"),"")</f>
        <v/>
      </c>
      <c r="AH939" s="175" t="str">
        <f ca="1">IFERROR(__xludf.DUMMYFUNCTION("QUERY('Volunteer Survey'!I938)"),"")</f>
        <v/>
      </c>
      <c r="AI939" s="175" t="str">
        <f ca="1">IFERROR(__xludf.DUMMYFUNCTION("QUERY('Volunteer Survey'!J938)"),"")</f>
        <v/>
      </c>
      <c r="AJ939" s="175" t="str">
        <f ca="1">IFERROR(__xludf.DUMMYFUNCTION("QUERY('Volunteer Survey'!K938)"),"")</f>
        <v/>
      </c>
      <c r="AK939" s="175" t="str">
        <f ca="1">IFERROR(__xludf.DUMMYFUNCTION("QUERY('Volunteer Survey'!L938)"),"")</f>
        <v/>
      </c>
      <c r="AL939" s="175" t="str">
        <f ca="1">IFERROR(__xludf.DUMMYFUNCTION("QUERY('Volunteer Survey'!M938)"),"")</f>
        <v/>
      </c>
      <c r="AM939" s="175" t="str">
        <f ca="1">IFERROR(__xludf.DUMMYFUNCTION("QUERY('Volunteer Survey'!N938)"),"")</f>
        <v/>
      </c>
      <c r="AN939" s="175" t="str">
        <f ca="1">IFERROR(__xludf.DUMMYFUNCTION("QUERY('Volunteer Survey'!O938)"),"")</f>
        <v/>
      </c>
      <c r="AO939" s="175" t="str">
        <f ca="1">IFERROR(__xludf.DUMMYFUNCTION("QUERY('Volunteer Survey'!P938)"),"")</f>
        <v/>
      </c>
    </row>
    <row r="940" spans="1:41" ht="14">
      <c r="A940" s="49"/>
      <c r="B940" s="49"/>
      <c r="C940" s="47"/>
      <c r="D940" s="49"/>
      <c r="E940" s="49"/>
      <c r="F940" s="49" t="b">
        <v>0</v>
      </c>
      <c r="G940" s="49"/>
      <c r="H940" s="47"/>
      <c r="I940" s="47"/>
      <c r="J940" s="49"/>
      <c r="K940" s="49"/>
      <c r="L940" s="49"/>
      <c r="M940" s="49"/>
      <c r="N940" s="49"/>
      <c r="O940" s="49" t="b">
        <v>0</v>
      </c>
      <c r="P940" s="49"/>
      <c r="Q940" s="49"/>
      <c r="R940" s="49"/>
      <c r="S940" s="49"/>
      <c r="T940" s="49"/>
      <c r="U940" s="58"/>
      <c r="V940" s="49"/>
      <c r="W940" s="58"/>
      <c r="X940" s="49"/>
      <c r="Y940" s="47"/>
      <c r="Z940" s="175" t="str">
        <f ca="1">IFERROR(__xludf.DUMMYFUNCTION("QUERY('Volunteer Survey'!A939)"),"")</f>
        <v/>
      </c>
      <c r="AA940" s="175" t="str">
        <f ca="1">IFERROR(__xludf.DUMMYFUNCTION("QUERY('Volunteer Survey'!B939)"),"")</f>
        <v/>
      </c>
      <c r="AB940" s="175" t="str">
        <f ca="1">IFERROR(__xludf.DUMMYFUNCTION("QUERY('Volunteer Survey'!C939)"),"")</f>
        <v/>
      </c>
      <c r="AC940" s="175" t="str">
        <f ca="1">IFERROR(__xludf.DUMMYFUNCTION("QUERY('Volunteer Survey'!D939)"),"")</f>
        <v/>
      </c>
      <c r="AD940" s="175" t="str">
        <f ca="1">IFERROR(__xludf.DUMMYFUNCTION("QUERY('Volunteer Survey'!E939)"),"")</f>
        <v/>
      </c>
      <c r="AE940" s="175" t="str">
        <f ca="1">IFERROR(__xludf.DUMMYFUNCTION("QUERY('Volunteer Survey'!F939)"),"")</f>
        <v/>
      </c>
      <c r="AF940" s="175" t="str">
        <f ca="1">IFERROR(__xludf.DUMMYFUNCTION("QUERY('Volunteer Survey'!G939)"),"")</f>
        <v/>
      </c>
      <c r="AG940" s="175" t="str">
        <f ca="1">IFERROR(__xludf.DUMMYFUNCTION("QUERY('Volunteer Survey'!H939)"),"")</f>
        <v/>
      </c>
      <c r="AH940" s="175" t="str">
        <f ca="1">IFERROR(__xludf.DUMMYFUNCTION("QUERY('Volunteer Survey'!I939)"),"")</f>
        <v/>
      </c>
      <c r="AI940" s="175" t="str">
        <f ca="1">IFERROR(__xludf.DUMMYFUNCTION("QUERY('Volunteer Survey'!J939)"),"")</f>
        <v/>
      </c>
      <c r="AJ940" s="175" t="str">
        <f ca="1">IFERROR(__xludf.DUMMYFUNCTION("QUERY('Volunteer Survey'!K939)"),"")</f>
        <v/>
      </c>
      <c r="AK940" s="175" t="str">
        <f ca="1">IFERROR(__xludf.DUMMYFUNCTION("QUERY('Volunteer Survey'!L939)"),"")</f>
        <v/>
      </c>
      <c r="AL940" s="175" t="str">
        <f ca="1">IFERROR(__xludf.DUMMYFUNCTION("QUERY('Volunteer Survey'!M939)"),"")</f>
        <v/>
      </c>
      <c r="AM940" s="175" t="str">
        <f ca="1">IFERROR(__xludf.DUMMYFUNCTION("QUERY('Volunteer Survey'!N939)"),"")</f>
        <v/>
      </c>
      <c r="AN940" s="175" t="str">
        <f ca="1">IFERROR(__xludf.DUMMYFUNCTION("QUERY('Volunteer Survey'!O939)"),"")</f>
        <v/>
      </c>
      <c r="AO940" s="175" t="str">
        <f ca="1">IFERROR(__xludf.DUMMYFUNCTION("QUERY('Volunteer Survey'!P939)"),"")</f>
        <v/>
      </c>
    </row>
    <row r="941" spans="1:41" ht="14">
      <c r="A941" s="49"/>
      <c r="B941" s="49"/>
      <c r="C941" s="47"/>
      <c r="D941" s="49"/>
      <c r="E941" s="49"/>
      <c r="F941" s="49" t="b">
        <v>0</v>
      </c>
      <c r="G941" s="49"/>
      <c r="H941" s="47"/>
      <c r="I941" s="47"/>
      <c r="J941" s="49"/>
      <c r="K941" s="49"/>
      <c r="L941" s="49"/>
      <c r="M941" s="49"/>
      <c r="N941" s="49"/>
      <c r="O941" s="49" t="b">
        <v>0</v>
      </c>
      <c r="P941" s="49"/>
      <c r="Q941" s="49"/>
      <c r="R941" s="49"/>
      <c r="S941" s="49"/>
      <c r="T941" s="49"/>
      <c r="U941" s="58"/>
      <c r="V941" s="49"/>
      <c r="W941" s="58"/>
      <c r="X941" s="49"/>
      <c r="Y941" s="47"/>
      <c r="Z941" s="175" t="str">
        <f ca="1">IFERROR(__xludf.DUMMYFUNCTION("QUERY('Volunteer Survey'!A940)"),"")</f>
        <v/>
      </c>
      <c r="AA941" s="175" t="str">
        <f ca="1">IFERROR(__xludf.DUMMYFUNCTION("QUERY('Volunteer Survey'!B940)"),"")</f>
        <v/>
      </c>
      <c r="AB941" s="175" t="str">
        <f ca="1">IFERROR(__xludf.DUMMYFUNCTION("QUERY('Volunteer Survey'!C940)"),"")</f>
        <v/>
      </c>
      <c r="AC941" s="175" t="str">
        <f ca="1">IFERROR(__xludf.DUMMYFUNCTION("QUERY('Volunteer Survey'!D940)"),"")</f>
        <v/>
      </c>
      <c r="AD941" s="175" t="str">
        <f ca="1">IFERROR(__xludf.DUMMYFUNCTION("QUERY('Volunteer Survey'!E940)"),"")</f>
        <v/>
      </c>
      <c r="AE941" s="175" t="str">
        <f ca="1">IFERROR(__xludf.DUMMYFUNCTION("QUERY('Volunteer Survey'!F940)"),"")</f>
        <v/>
      </c>
      <c r="AF941" s="175" t="str">
        <f ca="1">IFERROR(__xludf.DUMMYFUNCTION("QUERY('Volunteer Survey'!G940)"),"")</f>
        <v/>
      </c>
      <c r="AG941" s="175" t="str">
        <f ca="1">IFERROR(__xludf.DUMMYFUNCTION("QUERY('Volunteer Survey'!H940)"),"")</f>
        <v/>
      </c>
      <c r="AH941" s="175" t="str">
        <f ca="1">IFERROR(__xludf.DUMMYFUNCTION("QUERY('Volunteer Survey'!I940)"),"")</f>
        <v/>
      </c>
      <c r="AI941" s="175" t="str">
        <f ca="1">IFERROR(__xludf.DUMMYFUNCTION("QUERY('Volunteer Survey'!J940)"),"")</f>
        <v/>
      </c>
      <c r="AJ941" s="175" t="str">
        <f ca="1">IFERROR(__xludf.DUMMYFUNCTION("QUERY('Volunteer Survey'!K940)"),"")</f>
        <v/>
      </c>
      <c r="AK941" s="175" t="str">
        <f ca="1">IFERROR(__xludf.DUMMYFUNCTION("QUERY('Volunteer Survey'!L940)"),"")</f>
        <v/>
      </c>
      <c r="AL941" s="175" t="str">
        <f ca="1">IFERROR(__xludf.DUMMYFUNCTION("QUERY('Volunteer Survey'!M940)"),"")</f>
        <v/>
      </c>
      <c r="AM941" s="175" t="str">
        <f ca="1">IFERROR(__xludf.DUMMYFUNCTION("QUERY('Volunteer Survey'!N940)"),"")</f>
        <v/>
      </c>
      <c r="AN941" s="175" t="str">
        <f ca="1">IFERROR(__xludf.DUMMYFUNCTION("QUERY('Volunteer Survey'!O940)"),"")</f>
        <v/>
      </c>
      <c r="AO941" s="175" t="str">
        <f ca="1">IFERROR(__xludf.DUMMYFUNCTION("QUERY('Volunteer Survey'!P940)"),"")</f>
        <v/>
      </c>
    </row>
    <row r="942" spans="1:41" ht="14">
      <c r="A942" s="49"/>
      <c r="B942" s="49"/>
      <c r="C942" s="47"/>
      <c r="D942" s="49"/>
      <c r="E942" s="49"/>
      <c r="F942" s="49" t="b">
        <v>0</v>
      </c>
      <c r="G942" s="49"/>
      <c r="H942" s="47"/>
      <c r="I942" s="47"/>
      <c r="J942" s="49"/>
      <c r="K942" s="49"/>
      <c r="L942" s="49"/>
      <c r="M942" s="49"/>
      <c r="N942" s="49"/>
      <c r="O942" s="49" t="b">
        <v>0</v>
      </c>
      <c r="P942" s="49"/>
      <c r="Q942" s="49"/>
      <c r="R942" s="49"/>
      <c r="S942" s="49"/>
      <c r="T942" s="49"/>
      <c r="U942" s="58"/>
      <c r="V942" s="49"/>
      <c r="W942" s="58"/>
      <c r="X942" s="49"/>
      <c r="Y942" s="47"/>
      <c r="Z942" s="175" t="str">
        <f ca="1">IFERROR(__xludf.DUMMYFUNCTION("QUERY('Volunteer Survey'!A941)"),"")</f>
        <v/>
      </c>
      <c r="AA942" s="175" t="str">
        <f ca="1">IFERROR(__xludf.DUMMYFUNCTION("QUERY('Volunteer Survey'!B941)"),"")</f>
        <v/>
      </c>
      <c r="AB942" s="175" t="str">
        <f ca="1">IFERROR(__xludf.DUMMYFUNCTION("QUERY('Volunteer Survey'!C941)"),"")</f>
        <v/>
      </c>
      <c r="AC942" s="175" t="str">
        <f ca="1">IFERROR(__xludf.DUMMYFUNCTION("QUERY('Volunteer Survey'!D941)"),"")</f>
        <v/>
      </c>
      <c r="AD942" s="175" t="str">
        <f ca="1">IFERROR(__xludf.DUMMYFUNCTION("QUERY('Volunteer Survey'!E941)"),"")</f>
        <v/>
      </c>
      <c r="AE942" s="175" t="str">
        <f ca="1">IFERROR(__xludf.DUMMYFUNCTION("QUERY('Volunteer Survey'!F941)"),"")</f>
        <v/>
      </c>
      <c r="AF942" s="175" t="str">
        <f ca="1">IFERROR(__xludf.DUMMYFUNCTION("QUERY('Volunteer Survey'!G941)"),"")</f>
        <v/>
      </c>
      <c r="AG942" s="175" t="str">
        <f ca="1">IFERROR(__xludf.DUMMYFUNCTION("QUERY('Volunteer Survey'!H941)"),"")</f>
        <v/>
      </c>
      <c r="AH942" s="175" t="str">
        <f ca="1">IFERROR(__xludf.DUMMYFUNCTION("QUERY('Volunteer Survey'!I941)"),"")</f>
        <v/>
      </c>
      <c r="AI942" s="175" t="str">
        <f ca="1">IFERROR(__xludf.DUMMYFUNCTION("QUERY('Volunteer Survey'!J941)"),"")</f>
        <v/>
      </c>
      <c r="AJ942" s="175" t="str">
        <f ca="1">IFERROR(__xludf.DUMMYFUNCTION("QUERY('Volunteer Survey'!K941)"),"")</f>
        <v/>
      </c>
      <c r="AK942" s="175" t="str">
        <f ca="1">IFERROR(__xludf.DUMMYFUNCTION("QUERY('Volunteer Survey'!L941)"),"")</f>
        <v/>
      </c>
      <c r="AL942" s="175" t="str">
        <f ca="1">IFERROR(__xludf.DUMMYFUNCTION("QUERY('Volunteer Survey'!M941)"),"")</f>
        <v/>
      </c>
      <c r="AM942" s="175" t="str">
        <f ca="1">IFERROR(__xludf.DUMMYFUNCTION("QUERY('Volunteer Survey'!N941)"),"")</f>
        <v/>
      </c>
      <c r="AN942" s="175" t="str">
        <f ca="1">IFERROR(__xludf.DUMMYFUNCTION("QUERY('Volunteer Survey'!O941)"),"")</f>
        <v/>
      </c>
      <c r="AO942" s="175" t="str">
        <f ca="1">IFERROR(__xludf.DUMMYFUNCTION("QUERY('Volunteer Survey'!P941)"),"")</f>
        <v/>
      </c>
    </row>
    <row r="943" spans="1:41" ht="14">
      <c r="A943" s="49"/>
      <c r="B943" s="49"/>
      <c r="C943" s="47"/>
      <c r="D943" s="49"/>
      <c r="E943" s="49"/>
      <c r="F943" s="49" t="b">
        <v>0</v>
      </c>
      <c r="G943" s="49"/>
      <c r="H943" s="47"/>
      <c r="I943" s="47"/>
      <c r="J943" s="49"/>
      <c r="K943" s="49"/>
      <c r="L943" s="49"/>
      <c r="M943" s="49"/>
      <c r="N943" s="49"/>
      <c r="O943" s="49" t="b">
        <v>0</v>
      </c>
      <c r="P943" s="49"/>
      <c r="Q943" s="49"/>
      <c r="R943" s="49"/>
      <c r="S943" s="49"/>
      <c r="T943" s="49"/>
      <c r="U943" s="58"/>
      <c r="V943" s="49"/>
      <c r="W943" s="58"/>
      <c r="X943" s="49"/>
      <c r="Y943" s="47"/>
      <c r="Z943" s="175" t="str">
        <f ca="1">IFERROR(__xludf.DUMMYFUNCTION("QUERY('Volunteer Survey'!A942)"),"")</f>
        <v/>
      </c>
      <c r="AA943" s="175" t="str">
        <f ca="1">IFERROR(__xludf.DUMMYFUNCTION("QUERY('Volunteer Survey'!B942)"),"")</f>
        <v/>
      </c>
      <c r="AB943" s="175" t="str">
        <f ca="1">IFERROR(__xludf.DUMMYFUNCTION("QUERY('Volunteer Survey'!C942)"),"")</f>
        <v/>
      </c>
      <c r="AC943" s="175" t="str">
        <f ca="1">IFERROR(__xludf.DUMMYFUNCTION("QUERY('Volunteer Survey'!D942)"),"")</f>
        <v/>
      </c>
      <c r="AD943" s="175" t="str">
        <f ca="1">IFERROR(__xludf.DUMMYFUNCTION("QUERY('Volunteer Survey'!E942)"),"")</f>
        <v/>
      </c>
      <c r="AE943" s="175" t="str">
        <f ca="1">IFERROR(__xludf.DUMMYFUNCTION("QUERY('Volunteer Survey'!F942)"),"")</f>
        <v/>
      </c>
      <c r="AF943" s="175" t="str">
        <f ca="1">IFERROR(__xludf.DUMMYFUNCTION("QUERY('Volunteer Survey'!G942)"),"")</f>
        <v/>
      </c>
      <c r="AG943" s="175" t="str">
        <f ca="1">IFERROR(__xludf.DUMMYFUNCTION("QUERY('Volunteer Survey'!H942)"),"")</f>
        <v/>
      </c>
      <c r="AH943" s="175" t="str">
        <f ca="1">IFERROR(__xludf.DUMMYFUNCTION("QUERY('Volunteer Survey'!I942)"),"")</f>
        <v/>
      </c>
      <c r="AI943" s="175" t="str">
        <f ca="1">IFERROR(__xludf.DUMMYFUNCTION("QUERY('Volunteer Survey'!J942)"),"")</f>
        <v/>
      </c>
      <c r="AJ943" s="175" t="str">
        <f ca="1">IFERROR(__xludf.DUMMYFUNCTION("QUERY('Volunteer Survey'!K942)"),"")</f>
        <v/>
      </c>
      <c r="AK943" s="175" t="str">
        <f ca="1">IFERROR(__xludf.DUMMYFUNCTION("QUERY('Volunteer Survey'!L942)"),"")</f>
        <v/>
      </c>
      <c r="AL943" s="175" t="str">
        <f ca="1">IFERROR(__xludf.DUMMYFUNCTION("QUERY('Volunteer Survey'!M942)"),"")</f>
        <v/>
      </c>
      <c r="AM943" s="175" t="str">
        <f ca="1">IFERROR(__xludf.DUMMYFUNCTION("QUERY('Volunteer Survey'!N942)"),"")</f>
        <v/>
      </c>
      <c r="AN943" s="175" t="str">
        <f ca="1">IFERROR(__xludf.DUMMYFUNCTION("QUERY('Volunteer Survey'!O942)"),"")</f>
        <v/>
      </c>
      <c r="AO943" s="175" t="str">
        <f ca="1">IFERROR(__xludf.DUMMYFUNCTION("QUERY('Volunteer Survey'!P942)"),"")</f>
        <v/>
      </c>
    </row>
    <row r="944" spans="1:41" ht="14">
      <c r="A944" s="49"/>
      <c r="B944" s="49"/>
      <c r="C944" s="47"/>
      <c r="D944" s="49"/>
      <c r="E944" s="49"/>
      <c r="F944" s="49" t="b">
        <v>0</v>
      </c>
      <c r="G944" s="49"/>
      <c r="H944" s="47"/>
      <c r="I944" s="47"/>
      <c r="J944" s="49"/>
      <c r="K944" s="49"/>
      <c r="L944" s="49"/>
      <c r="M944" s="49"/>
      <c r="N944" s="49"/>
      <c r="O944" s="49" t="b">
        <v>0</v>
      </c>
      <c r="P944" s="49"/>
      <c r="Q944" s="49"/>
      <c r="R944" s="49"/>
      <c r="S944" s="49"/>
      <c r="T944" s="49"/>
      <c r="U944" s="58"/>
      <c r="V944" s="49"/>
      <c r="W944" s="58"/>
      <c r="X944" s="49"/>
      <c r="Y944" s="47"/>
      <c r="Z944" s="175" t="str">
        <f ca="1">IFERROR(__xludf.DUMMYFUNCTION("QUERY('Volunteer Survey'!A943)"),"")</f>
        <v/>
      </c>
      <c r="AA944" s="175" t="str">
        <f ca="1">IFERROR(__xludf.DUMMYFUNCTION("QUERY('Volunteer Survey'!B943)"),"")</f>
        <v/>
      </c>
      <c r="AB944" s="175" t="str">
        <f ca="1">IFERROR(__xludf.DUMMYFUNCTION("QUERY('Volunteer Survey'!C943)"),"")</f>
        <v/>
      </c>
      <c r="AC944" s="175" t="str">
        <f ca="1">IFERROR(__xludf.DUMMYFUNCTION("QUERY('Volunteer Survey'!D943)"),"")</f>
        <v/>
      </c>
      <c r="AD944" s="175" t="str">
        <f ca="1">IFERROR(__xludf.DUMMYFUNCTION("QUERY('Volunteer Survey'!E943)"),"")</f>
        <v/>
      </c>
      <c r="AE944" s="175" t="str">
        <f ca="1">IFERROR(__xludf.DUMMYFUNCTION("QUERY('Volunteer Survey'!F943)"),"")</f>
        <v/>
      </c>
      <c r="AF944" s="175" t="str">
        <f ca="1">IFERROR(__xludf.DUMMYFUNCTION("QUERY('Volunteer Survey'!G943)"),"")</f>
        <v/>
      </c>
      <c r="AG944" s="175" t="str">
        <f ca="1">IFERROR(__xludf.DUMMYFUNCTION("QUERY('Volunteer Survey'!H943)"),"")</f>
        <v/>
      </c>
      <c r="AH944" s="175" t="str">
        <f ca="1">IFERROR(__xludf.DUMMYFUNCTION("QUERY('Volunteer Survey'!I943)"),"")</f>
        <v/>
      </c>
      <c r="AI944" s="175" t="str">
        <f ca="1">IFERROR(__xludf.DUMMYFUNCTION("QUERY('Volunteer Survey'!J943)"),"")</f>
        <v/>
      </c>
      <c r="AJ944" s="175" t="str">
        <f ca="1">IFERROR(__xludf.DUMMYFUNCTION("QUERY('Volunteer Survey'!K943)"),"")</f>
        <v/>
      </c>
      <c r="AK944" s="175" t="str">
        <f ca="1">IFERROR(__xludf.DUMMYFUNCTION("QUERY('Volunteer Survey'!L943)"),"")</f>
        <v/>
      </c>
      <c r="AL944" s="175" t="str">
        <f ca="1">IFERROR(__xludf.DUMMYFUNCTION("QUERY('Volunteer Survey'!M943)"),"")</f>
        <v/>
      </c>
      <c r="AM944" s="175" t="str">
        <f ca="1">IFERROR(__xludf.DUMMYFUNCTION("QUERY('Volunteer Survey'!N943)"),"")</f>
        <v/>
      </c>
      <c r="AN944" s="175" t="str">
        <f ca="1">IFERROR(__xludf.DUMMYFUNCTION("QUERY('Volunteer Survey'!O943)"),"")</f>
        <v/>
      </c>
      <c r="AO944" s="175" t="str">
        <f ca="1">IFERROR(__xludf.DUMMYFUNCTION("QUERY('Volunteer Survey'!P943)"),"")</f>
        <v/>
      </c>
    </row>
    <row r="945" spans="1:41" ht="14">
      <c r="A945" s="49"/>
      <c r="B945" s="49"/>
      <c r="C945" s="47"/>
      <c r="D945" s="49"/>
      <c r="E945" s="49"/>
      <c r="F945" s="49" t="b">
        <v>0</v>
      </c>
      <c r="G945" s="49"/>
      <c r="H945" s="47"/>
      <c r="I945" s="47"/>
      <c r="J945" s="49"/>
      <c r="K945" s="49"/>
      <c r="L945" s="49"/>
      <c r="M945" s="49"/>
      <c r="N945" s="49"/>
      <c r="O945" s="49" t="b">
        <v>0</v>
      </c>
      <c r="P945" s="49"/>
      <c r="Q945" s="49"/>
      <c r="R945" s="49"/>
      <c r="S945" s="49"/>
      <c r="T945" s="49"/>
      <c r="U945" s="58"/>
      <c r="V945" s="49"/>
      <c r="W945" s="58"/>
      <c r="X945" s="49"/>
      <c r="Y945" s="47"/>
      <c r="Z945" s="175" t="str">
        <f ca="1">IFERROR(__xludf.DUMMYFUNCTION("QUERY('Volunteer Survey'!A944)"),"")</f>
        <v/>
      </c>
      <c r="AA945" s="175" t="str">
        <f ca="1">IFERROR(__xludf.DUMMYFUNCTION("QUERY('Volunteer Survey'!B944)"),"")</f>
        <v/>
      </c>
      <c r="AB945" s="175" t="str">
        <f ca="1">IFERROR(__xludf.DUMMYFUNCTION("QUERY('Volunteer Survey'!C944)"),"")</f>
        <v/>
      </c>
      <c r="AC945" s="175" t="str">
        <f ca="1">IFERROR(__xludf.DUMMYFUNCTION("QUERY('Volunteer Survey'!D944)"),"")</f>
        <v/>
      </c>
      <c r="AD945" s="175" t="str">
        <f ca="1">IFERROR(__xludf.DUMMYFUNCTION("QUERY('Volunteer Survey'!E944)"),"")</f>
        <v/>
      </c>
      <c r="AE945" s="175" t="str">
        <f ca="1">IFERROR(__xludf.DUMMYFUNCTION("QUERY('Volunteer Survey'!F944)"),"")</f>
        <v/>
      </c>
      <c r="AF945" s="175" t="str">
        <f ca="1">IFERROR(__xludf.DUMMYFUNCTION("QUERY('Volunteer Survey'!G944)"),"")</f>
        <v/>
      </c>
      <c r="AG945" s="175" t="str">
        <f ca="1">IFERROR(__xludf.DUMMYFUNCTION("QUERY('Volunteer Survey'!H944)"),"")</f>
        <v/>
      </c>
      <c r="AH945" s="175" t="str">
        <f ca="1">IFERROR(__xludf.DUMMYFUNCTION("QUERY('Volunteer Survey'!I944)"),"")</f>
        <v/>
      </c>
      <c r="AI945" s="175" t="str">
        <f ca="1">IFERROR(__xludf.DUMMYFUNCTION("QUERY('Volunteer Survey'!J944)"),"")</f>
        <v/>
      </c>
      <c r="AJ945" s="175" t="str">
        <f ca="1">IFERROR(__xludf.DUMMYFUNCTION("QUERY('Volunteer Survey'!K944)"),"")</f>
        <v/>
      </c>
      <c r="AK945" s="175" t="str">
        <f ca="1">IFERROR(__xludf.DUMMYFUNCTION("QUERY('Volunteer Survey'!L944)"),"")</f>
        <v/>
      </c>
      <c r="AL945" s="175" t="str">
        <f ca="1">IFERROR(__xludf.DUMMYFUNCTION("QUERY('Volunteer Survey'!M944)"),"")</f>
        <v/>
      </c>
      <c r="AM945" s="175" t="str">
        <f ca="1">IFERROR(__xludf.DUMMYFUNCTION("QUERY('Volunteer Survey'!N944)"),"")</f>
        <v/>
      </c>
      <c r="AN945" s="175" t="str">
        <f ca="1">IFERROR(__xludf.DUMMYFUNCTION("QUERY('Volunteer Survey'!O944)"),"")</f>
        <v/>
      </c>
      <c r="AO945" s="175" t="str">
        <f ca="1">IFERROR(__xludf.DUMMYFUNCTION("QUERY('Volunteer Survey'!P944)"),"")</f>
        <v/>
      </c>
    </row>
    <row r="946" spans="1:41" ht="14">
      <c r="A946" s="49"/>
      <c r="B946" s="49"/>
      <c r="C946" s="47"/>
      <c r="D946" s="49"/>
      <c r="E946" s="49"/>
      <c r="F946" s="49" t="b">
        <v>0</v>
      </c>
      <c r="G946" s="49"/>
      <c r="H946" s="47"/>
      <c r="I946" s="47"/>
      <c r="J946" s="49"/>
      <c r="K946" s="49"/>
      <c r="L946" s="49"/>
      <c r="M946" s="49"/>
      <c r="N946" s="49"/>
      <c r="O946" s="49" t="b">
        <v>0</v>
      </c>
      <c r="P946" s="49"/>
      <c r="Q946" s="49"/>
      <c r="R946" s="49"/>
      <c r="S946" s="49"/>
      <c r="T946" s="49"/>
      <c r="U946" s="58"/>
      <c r="V946" s="49"/>
      <c r="W946" s="58"/>
      <c r="X946" s="49"/>
      <c r="Y946" s="47"/>
      <c r="Z946" s="175" t="str">
        <f ca="1">IFERROR(__xludf.DUMMYFUNCTION("QUERY('Volunteer Survey'!A945)"),"")</f>
        <v/>
      </c>
      <c r="AA946" s="175" t="str">
        <f ca="1">IFERROR(__xludf.DUMMYFUNCTION("QUERY('Volunteer Survey'!B945)"),"")</f>
        <v/>
      </c>
      <c r="AB946" s="175" t="str">
        <f ca="1">IFERROR(__xludf.DUMMYFUNCTION("QUERY('Volunteer Survey'!C945)"),"")</f>
        <v/>
      </c>
      <c r="AC946" s="175" t="str">
        <f ca="1">IFERROR(__xludf.DUMMYFUNCTION("QUERY('Volunteer Survey'!D945)"),"")</f>
        <v/>
      </c>
      <c r="AD946" s="175" t="str">
        <f ca="1">IFERROR(__xludf.DUMMYFUNCTION("QUERY('Volunteer Survey'!E945)"),"")</f>
        <v/>
      </c>
      <c r="AE946" s="175" t="str">
        <f ca="1">IFERROR(__xludf.DUMMYFUNCTION("QUERY('Volunteer Survey'!F945)"),"")</f>
        <v/>
      </c>
      <c r="AF946" s="175" t="str">
        <f ca="1">IFERROR(__xludf.DUMMYFUNCTION("QUERY('Volunteer Survey'!G945)"),"")</f>
        <v/>
      </c>
      <c r="AG946" s="175" t="str">
        <f ca="1">IFERROR(__xludf.DUMMYFUNCTION("QUERY('Volunteer Survey'!H945)"),"")</f>
        <v/>
      </c>
      <c r="AH946" s="175" t="str">
        <f ca="1">IFERROR(__xludf.DUMMYFUNCTION("QUERY('Volunteer Survey'!I945)"),"")</f>
        <v/>
      </c>
      <c r="AI946" s="175" t="str">
        <f ca="1">IFERROR(__xludf.DUMMYFUNCTION("QUERY('Volunteer Survey'!J945)"),"")</f>
        <v/>
      </c>
      <c r="AJ946" s="175" t="str">
        <f ca="1">IFERROR(__xludf.DUMMYFUNCTION("QUERY('Volunteer Survey'!K945)"),"")</f>
        <v/>
      </c>
      <c r="AK946" s="175" t="str">
        <f ca="1">IFERROR(__xludf.DUMMYFUNCTION("QUERY('Volunteer Survey'!L945)"),"")</f>
        <v/>
      </c>
      <c r="AL946" s="175" t="str">
        <f ca="1">IFERROR(__xludf.DUMMYFUNCTION("QUERY('Volunteer Survey'!M945)"),"")</f>
        <v/>
      </c>
      <c r="AM946" s="175" t="str">
        <f ca="1">IFERROR(__xludf.DUMMYFUNCTION("QUERY('Volunteer Survey'!N945)"),"")</f>
        <v/>
      </c>
      <c r="AN946" s="175" t="str">
        <f ca="1">IFERROR(__xludf.DUMMYFUNCTION("QUERY('Volunteer Survey'!O945)"),"")</f>
        <v/>
      </c>
      <c r="AO946" s="175" t="str">
        <f ca="1">IFERROR(__xludf.DUMMYFUNCTION("QUERY('Volunteer Survey'!P945)"),"")</f>
        <v/>
      </c>
    </row>
    <row r="947" spans="1:41" ht="14">
      <c r="A947" s="49"/>
      <c r="B947" s="49"/>
      <c r="C947" s="47"/>
      <c r="D947" s="49"/>
      <c r="E947" s="49"/>
      <c r="F947" s="49" t="b">
        <v>0</v>
      </c>
      <c r="G947" s="49"/>
      <c r="H947" s="47"/>
      <c r="I947" s="47"/>
      <c r="J947" s="49"/>
      <c r="K947" s="49"/>
      <c r="L947" s="49"/>
      <c r="M947" s="49"/>
      <c r="N947" s="49"/>
      <c r="O947" s="49" t="b">
        <v>0</v>
      </c>
      <c r="P947" s="49"/>
      <c r="Q947" s="49"/>
      <c r="R947" s="49"/>
      <c r="S947" s="49"/>
      <c r="T947" s="49"/>
      <c r="U947" s="58"/>
      <c r="V947" s="49"/>
      <c r="W947" s="58"/>
      <c r="X947" s="49"/>
      <c r="Y947" s="47"/>
      <c r="Z947" s="175" t="str">
        <f ca="1">IFERROR(__xludf.DUMMYFUNCTION("QUERY('Volunteer Survey'!A946)"),"")</f>
        <v/>
      </c>
      <c r="AA947" s="175" t="str">
        <f ca="1">IFERROR(__xludf.DUMMYFUNCTION("QUERY('Volunteer Survey'!B946)"),"")</f>
        <v/>
      </c>
      <c r="AB947" s="175" t="str">
        <f ca="1">IFERROR(__xludf.DUMMYFUNCTION("QUERY('Volunteer Survey'!C946)"),"")</f>
        <v/>
      </c>
      <c r="AC947" s="175" t="str">
        <f ca="1">IFERROR(__xludf.DUMMYFUNCTION("QUERY('Volunteer Survey'!D946)"),"")</f>
        <v/>
      </c>
      <c r="AD947" s="175" t="str">
        <f ca="1">IFERROR(__xludf.DUMMYFUNCTION("QUERY('Volunteer Survey'!E946)"),"")</f>
        <v/>
      </c>
      <c r="AE947" s="175" t="str">
        <f ca="1">IFERROR(__xludf.DUMMYFUNCTION("QUERY('Volunteer Survey'!F946)"),"")</f>
        <v/>
      </c>
      <c r="AF947" s="175" t="str">
        <f ca="1">IFERROR(__xludf.DUMMYFUNCTION("QUERY('Volunteer Survey'!G946)"),"")</f>
        <v/>
      </c>
      <c r="AG947" s="175" t="str">
        <f ca="1">IFERROR(__xludf.DUMMYFUNCTION("QUERY('Volunteer Survey'!H946)"),"")</f>
        <v/>
      </c>
      <c r="AH947" s="175" t="str">
        <f ca="1">IFERROR(__xludf.DUMMYFUNCTION("QUERY('Volunteer Survey'!I946)"),"")</f>
        <v/>
      </c>
      <c r="AI947" s="175" t="str">
        <f ca="1">IFERROR(__xludf.DUMMYFUNCTION("QUERY('Volunteer Survey'!J946)"),"")</f>
        <v/>
      </c>
      <c r="AJ947" s="175" t="str">
        <f ca="1">IFERROR(__xludf.DUMMYFUNCTION("QUERY('Volunteer Survey'!K946)"),"")</f>
        <v/>
      </c>
      <c r="AK947" s="175" t="str">
        <f ca="1">IFERROR(__xludf.DUMMYFUNCTION("QUERY('Volunteer Survey'!L946)"),"")</f>
        <v/>
      </c>
      <c r="AL947" s="175" t="str">
        <f ca="1">IFERROR(__xludf.DUMMYFUNCTION("QUERY('Volunteer Survey'!M946)"),"")</f>
        <v/>
      </c>
      <c r="AM947" s="175" t="str">
        <f ca="1">IFERROR(__xludf.DUMMYFUNCTION("QUERY('Volunteer Survey'!N946)"),"")</f>
        <v/>
      </c>
      <c r="AN947" s="175" t="str">
        <f ca="1">IFERROR(__xludf.DUMMYFUNCTION("QUERY('Volunteer Survey'!O946)"),"")</f>
        <v/>
      </c>
      <c r="AO947" s="175" t="str">
        <f ca="1">IFERROR(__xludf.DUMMYFUNCTION("QUERY('Volunteer Survey'!P946)"),"")</f>
        <v/>
      </c>
    </row>
    <row r="948" spans="1:41" ht="14">
      <c r="A948" s="49"/>
      <c r="B948" s="49"/>
      <c r="C948" s="47"/>
      <c r="D948" s="49"/>
      <c r="E948" s="49"/>
      <c r="F948" s="49" t="b">
        <v>0</v>
      </c>
      <c r="G948" s="49"/>
      <c r="H948" s="47"/>
      <c r="I948" s="47"/>
      <c r="J948" s="49"/>
      <c r="K948" s="49"/>
      <c r="L948" s="49"/>
      <c r="M948" s="49"/>
      <c r="N948" s="49"/>
      <c r="O948" s="49" t="b">
        <v>0</v>
      </c>
      <c r="P948" s="49"/>
      <c r="Q948" s="49"/>
      <c r="R948" s="49"/>
      <c r="S948" s="49"/>
      <c r="T948" s="49"/>
      <c r="U948" s="58"/>
      <c r="V948" s="49"/>
      <c r="W948" s="58"/>
      <c r="X948" s="49"/>
      <c r="Y948" s="47"/>
      <c r="Z948" s="175" t="str">
        <f ca="1">IFERROR(__xludf.DUMMYFUNCTION("QUERY('Volunteer Survey'!A947)"),"")</f>
        <v/>
      </c>
      <c r="AA948" s="175" t="str">
        <f ca="1">IFERROR(__xludf.DUMMYFUNCTION("QUERY('Volunteer Survey'!B947)"),"")</f>
        <v/>
      </c>
      <c r="AB948" s="175" t="str">
        <f ca="1">IFERROR(__xludf.DUMMYFUNCTION("QUERY('Volunteer Survey'!C947)"),"")</f>
        <v/>
      </c>
      <c r="AC948" s="175" t="str">
        <f ca="1">IFERROR(__xludf.DUMMYFUNCTION("QUERY('Volunteer Survey'!D947)"),"")</f>
        <v/>
      </c>
      <c r="AD948" s="175" t="str">
        <f ca="1">IFERROR(__xludf.DUMMYFUNCTION("QUERY('Volunteer Survey'!E947)"),"")</f>
        <v/>
      </c>
      <c r="AE948" s="175" t="str">
        <f ca="1">IFERROR(__xludf.DUMMYFUNCTION("QUERY('Volunteer Survey'!F947)"),"")</f>
        <v/>
      </c>
      <c r="AF948" s="175" t="str">
        <f ca="1">IFERROR(__xludf.DUMMYFUNCTION("QUERY('Volunteer Survey'!G947)"),"")</f>
        <v/>
      </c>
      <c r="AG948" s="175" t="str">
        <f ca="1">IFERROR(__xludf.DUMMYFUNCTION("QUERY('Volunteer Survey'!H947)"),"")</f>
        <v/>
      </c>
      <c r="AH948" s="175" t="str">
        <f ca="1">IFERROR(__xludf.DUMMYFUNCTION("QUERY('Volunteer Survey'!I947)"),"")</f>
        <v/>
      </c>
      <c r="AI948" s="175" t="str">
        <f ca="1">IFERROR(__xludf.DUMMYFUNCTION("QUERY('Volunteer Survey'!J947)"),"")</f>
        <v/>
      </c>
      <c r="AJ948" s="175" t="str">
        <f ca="1">IFERROR(__xludf.DUMMYFUNCTION("QUERY('Volunteer Survey'!K947)"),"")</f>
        <v/>
      </c>
      <c r="AK948" s="175" t="str">
        <f ca="1">IFERROR(__xludf.DUMMYFUNCTION("QUERY('Volunteer Survey'!L947)"),"")</f>
        <v/>
      </c>
      <c r="AL948" s="175" t="str">
        <f ca="1">IFERROR(__xludf.DUMMYFUNCTION("QUERY('Volunteer Survey'!M947)"),"")</f>
        <v/>
      </c>
      <c r="AM948" s="175" t="str">
        <f ca="1">IFERROR(__xludf.DUMMYFUNCTION("QUERY('Volunteer Survey'!N947)"),"")</f>
        <v/>
      </c>
      <c r="AN948" s="175" t="str">
        <f ca="1">IFERROR(__xludf.DUMMYFUNCTION("QUERY('Volunteer Survey'!O947)"),"")</f>
        <v/>
      </c>
      <c r="AO948" s="175" t="str">
        <f ca="1">IFERROR(__xludf.DUMMYFUNCTION("QUERY('Volunteer Survey'!P947)"),"")</f>
        <v/>
      </c>
    </row>
    <row r="949" spans="1:41" ht="14">
      <c r="A949" s="49"/>
      <c r="B949" s="49"/>
      <c r="C949" s="47"/>
      <c r="D949" s="49"/>
      <c r="E949" s="49"/>
      <c r="F949" s="49" t="b">
        <v>0</v>
      </c>
      <c r="G949" s="49"/>
      <c r="H949" s="47"/>
      <c r="I949" s="47"/>
      <c r="J949" s="49"/>
      <c r="K949" s="49"/>
      <c r="L949" s="49"/>
      <c r="M949" s="49"/>
      <c r="N949" s="49"/>
      <c r="O949" s="49" t="b">
        <v>0</v>
      </c>
      <c r="P949" s="49"/>
      <c r="Q949" s="49"/>
      <c r="R949" s="49"/>
      <c r="S949" s="49"/>
      <c r="T949" s="49"/>
      <c r="U949" s="58"/>
      <c r="V949" s="49"/>
      <c r="W949" s="58"/>
      <c r="X949" s="49"/>
      <c r="Y949" s="47"/>
      <c r="Z949" s="175" t="str">
        <f ca="1">IFERROR(__xludf.DUMMYFUNCTION("QUERY('Volunteer Survey'!A948)"),"")</f>
        <v/>
      </c>
      <c r="AA949" s="175" t="str">
        <f ca="1">IFERROR(__xludf.DUMMYFUNCTION("QUERY('Volunteer Survey'!B948)"),"")</f>
        <v/>
      </c>
      <c r="AB949" s="175" t="str">
        <f ca="1">IFERROR(__xludf.DUMMYFUNCTION("QUERY('Volunteer Survey'!C948)"),"")</f>
        <v/>
      </c>
      <c r="AC949" s="175" t="str">
        <f ca="1">IFERROR(__xludf.DUMMYFUNCTION("QUERY('Volunteer Survey'!D948)"),"")</f>
        <v/>
      </c>
      <c r="AD949" s="175" t="str">
        <f ca="1">IFERROR(__xludf.DUMMYFUNCTION("QUERY('Volunteer Survey'!E948)"),"")</f>
        <v/>
      </c>
      <c r="AE949" s="175" t="str">
        <f ca="1">IFERROR(__xludf.DUMMYFUNCTION("QUERY('Volunteer Survey'!F948)"),"")</f>
        <v/>
      </c>
      <c r="AF949" s="175" t="str">
        <f ca="1">IFERROR(__xludf.DUMMYFUNCTION("QUERY('Volunteer Survey'!G948)"),"")</f>
        <v/>
      </c>
      <c r="AG949" s="175" t="str">
        <f ca="1">IFERROR(__xludf.DUMMYFUNCTION("QUERY('Volunteer Survey'!H948)"),"")</f>
        <v/>
      </c>
      <c r="AH949" s="175" t="str">
        <f ca="1">IFERROR(__xludf.DUMMYFUNCTION("QUERY('Volunteer Survey'!I948)"),"")</f>
        <v/>
      </c>
      <c r="AI949" s="175" t="str">
        <f ca="1">IFERROR(__xludf.DUMMYFUNCTION("QUERY('Volunteer Survey'!J948)"),"")</f>
        <v/>
      </c>
      <c r="AJ949" s="175" t="str">
        <f ca="1">IFERROR(__xludf.DUMMYFUNCTION("QUERY('Volunteer Survey'!K948)"),"")</f>
        <v/>
      </c>
      <c r="AK949" s="175" t="str">
        <f ca="1">IFERROR(__xludf.DUMMYFUNCTION("QUERY('Volunteer Survey'!L948)"),"")</f>
        <v/>
      </c>
      <c r="AL949" s="175" t="str">
        <f ca="1">IFERROR(__xludf.DUMMYFUNCTION("QUERY('Volunteer Survey'!M948)"),"")</f>
        <v/>
      </c>
      <c r="AM949" s="175" t="str">
        <f ca="1">IFERROR(__xludf.DUMMYFUNCTION("QUERY('Volunteer Survey'!N948)"),"")</f>
        <v/>
      </c>
      <c r="AN949" s="175" t="str">
        <f ca="1">IFERROR(__xludf.DUMMYFUNCTION("QUERY('Volunteer Survey'!O948)"),"")</f>
        <v/>
      </c>
      <c r="AO949" s="175" t="str">
        <f ca="1">IFERROR(__xludf.DUMMYFUNCTION("QUERY('Volunteer Survey'!P948)"),"")</f>
        <v/>
      </c>
    </row>
    <row r="950" spans="1:41" ht="14">
      <c r="A950" s="49"/>
      <c r="B950" s="49"/>
      <c r="C950" s="47"/>
      <c r="D950" s="49"/>
      <c r="E950" s="49"/>
      <c r="F950" s="49" t="b">
        <v>0</v>
      </c>
      <c r="G950" s="49"/>
      <c r="H950" s="47"/>
      <c r="I950" s="47"/>
      <c r="J950" s="49"/>
      <c r="K950" s="49"/>
      <c r="L950" s="49"/>
      <c r="M950" s="49"/>
      <c r="N950" s="49"/>
      <c r="O950" s="49" t="b">
        <v>0</v>
      </c>
      <c r="P950" s="49"/>
      <c r="Q950" s="49"/>
      <c r="R950" s="49"/>
      <c r="S950" s="49"/>
      <c r="T950" s="49"/>
      <c r="U950" s="58"/>
      <c r="V950" s="49"/>
      <c r="W950" s="58"/>
      <c r="X950" s="49"/>
      <c r="Y950" s="47"/>
      <c r="Z950" s="175" t="str">
        <f ca="1">IFERROR(__xludf.DUMMYFUNCTION("QUERY('Volunteer Survey'!A949)"),"")</f>
        <v/>
      </c>
      <c r="AA950" s="175" t="str">
        <f ca="1">IFERROR(__xludf.DUMMYFUNCTION("QUERY('Volunteer Survey'!B949)"),"")</f>
        <v/>
      </c>
      <c r="AB950" s="175" t="str">
        <f ca="1">IFERROR(__xludf.DUMMYFUNCTION("QUERY('Volunteer Survey'!C949)"),"")</f>
        <v/>
      </c>
      <c r="AC950" s="175" t="str">
        <f ca="1">IFERROR(__xludf.DUMMYFUNCTION("QUERY('Volunteer Survey'!D949)"),"")</f>
        <v/>
      </c>
      <c r="AD950" s="175" t="str">
        <f ca="1">IFERROR(__xludf.DUMMYFUNCTION("QUERY('Volunteer Survey'!E949)"),"")</f>
        <v/>
      </c>
      <c r="AE950" s="175" t="str">
        <f ca="1">IFERROR(__xludf.DUMMYFUNCTION("QUERY('Volunteer Survey'!F949)"),"")</f>
        <v/>
      </c>
      <c r="AF950" s="175" t="str">
        <f ca="1">IFERROR(__xludf.DUMMYFUNCTION("QUERY('Volunteer Survey'!G949)"),"")</f>
        <v/>
      </c>
      <c r="AG950" s="175" t="str">
        <f ca="1">IFERROR(__xludf.DUMMYFUNCTION("QUERY('Volunteer Survey'!H949)"),"")</f>
        <v/>
      </c>
      <c r="AH950" s="175" t="str">
        <f ca="1">IFERROR(__xludf.DUMMYFUNCTION("QUERY('Volunteer Survey'!I949)"),"")</f>
        <v/>
      </c>
      <c r="AI950" s="175" t="str">
        <f ca="1">IFERROR(__xludf.DUMMYFUNCTION("QUERY('Volunteer Survey'!J949)"),"")</f>
        <v/>
      </c>
      <c r="AJ950" s="175" t="str">
        <f ca="1">IFERROR(__xludf.DUMMYFUNCTION("QUERY('Volunteer Survey'!K949)"),"")</f>
        <v/>
      </c>
      <c r="AK950" s="175" t="str">
        <f ca="1">IFERROR(__xludf.DUMMYFUNCTION("QUERY('Volunteer Survey'!L949)"),"")</f>
        <v/>
      </c>
      <c r="AL950" s="175" t="str">
        <f ca="1">IFERROR(__xludf.DUMMYFUNCTION("QUERY('Volunteer Survey'!M949)"),"")</f>
        <v/>
      </c>
      <c r="AM950" s="175" t="str">
        <f ca="1">IFERROR(__xludf.DUMMYFUNCTION("QUERY('Volunteer Survey'!N949)"),"")</f>
        <v/>
      </c>
      <c r="AN950" s="175" t="str">
        <f ca="1">IFERROR(__xludf.DUMMYFUNCTION("QUERY('Volunteer Survey'!O949)"),"")</f>
        <v/>
      </c>
      <c r="AO950" s="175" t="str">
        <f ca="1">IFERROR(__xludf.DUMMYFUNCTION("QUERY('Volunteer Survey'!P949)"),"")</f>
        <v/>
      </c>
    </row>
    <row r="951" spans="1:41" ht="14">
      <c r="A951" s="49"/>
      <c r="B951" s="49"/>
      <c r="C951" s="47"/>
      <c r="D951" s="49"/>
      <c r="E951" s="49"/>
      <c r="F951" s="49" t="b">
        <v>0</v>
      </c>
      <c r="G951" s="49"/>
      <c r="H951" s="47"/>
      <c r="I951" s="47"/>
      <c r="J951" s="49"/>
      <c r="K951" s="49"/>
      <c r="L951" s="49"/>
      <c r="M951" s="49"/>
      <c r="N951" s="49"/>
      <c r="O951" s="49" t="b">
        <v>0</v>
      </c>
      <c r="P951" s="49"/>
      <c r="Q951" s="49"/>
      <c r="R951" s="49"/>
      <c r="S951" s="49"/>
      <c r="T951" s="49"/>
      <c r="U951" s="58"/>
      <c r="V951" s="49"/>
      <c r="W951" s="58"/>
      <c r="X951" s="49"/>
      <c r="Y951" s="47"/>
      <c r="Z951" s="175" t="str">
        <f ca="1">IFERROR(__xludf.DUMMYFUNCTION("QUERY('Volunteer Survey'!A950)"),"")</f>
        <v/>
      </c>
      <c r="AA951" s="175" t="str">
        <f ca="1">IFERROR(__xludf.DUMMYFUNCTION("QUERY('Volunteer Survey'!B950)"),"")</f>
        <v/>
      </c>
      <c r="AB951" s="175" t="str">
        <f ca="1">IFERROR(__xludf.DUMMYFUNCTION("QUERY('Volunteer Survey'!C950)"),"")</f>
        <v/>
      </c>
      <c r="AC951" s="175" t="str">
        <f ca="1">IFERROR(__xludf.DUMMYFUNCTION("QUERY('Volunteer Survey'!D950)"),"")</f>
        <v/>
      </c>
      <c r="AD951" s="175" t="str">
        <f ca="1">IFERROR(__xludf.DUMMYFUNCTION("QUERY('Volunteer Survey'!E950)"),"")</f>
        <v/>
      </c>
      <c r="AE951" s="175" t="str">
        <f ca="1">IFERROR(__xludf.DUMMYFUNCTION("QUERY('Volunteer Survey'!F950)"),"")</f>
        <v/>
      </c>
      <c r="AF951" s="175" t="str">
        <f ca="1">IFERROR(__xludf.DUMMYFUNCTION("QUERY('Volunteer Survey'!G950)"),"")</f>
        <v/>
      </c>
      <c r="AG951" s="175" t="str">
        <f ca="1">IFERROR(__xludf.DUMMYFUNCTION("QUERY('Volunteer Survey'!H950)"),"")</f>
        <v/>
      </c>
      <c r="AH951" s="175" t="str">
        <f ca="1">IFERROR(__xludf.DUMMYFUNCTION("QUERY('Volunteer Survey'!I950)"),"")</f>
        <v/>
      </c>
      <c r="AI951" s="175" t="str">
        <f ca="1">IFERROR(__xludf.DUMMYFUNCTION("QUERY('Volunteer Survey'!J950)"),"")</f>
        <v/>
      </c>
      <c r="AJ951" s="175" t="str">
        <f ca="1">IFERROR(__xludf.DUMMYFUNCTION("QUERY('Volunteer Survey'!K950)"),"")</f>
        <v/>
      </c>
      <c r="AK951" s="175" t="str">
        <f ca="1">IFERROR(__xludf.DUMMYFUNCTION("QUERY('Volunteer Survey'!L950)"),"")</f>
        <v/>
      </c>
      <c r="AL951" s="175" t="str">
        <f ca="1">IFERROR(__xludf.DUMMYFUNCTION("QUERY('Volunteer Survey'!M950)"),"")</f>
        <v/>
      </c>
      <c r="AM951" s="175" t="str">
        <f ca="1">IFERROR(__xludf.DUMMYFUNCTION("QUERY('Volunteer Survey'!N950)"),"")</f>
        <v/>
      </c>
      <c r="AN951" s="175" t="str">
        <f ca="1">IFERROR(__xludf.DUMMYFUNCTION("QUERY('Volunteer Survey'!O950)"),"")</f>
        <v/>
      </c>
      <c r="AO951" s="175" t="str">
        <f ca="1">IFERROR(__xludf.DUMMYFUNCTION("QUERY('Volunteer Survey'!P950)"),"")</f>
        <v/>
      </c>
    </row>
    <row r="952" spans="1:41" ht="14">
      <c r="A952" s="49"/>
      <c r="B952" s="49"/>
      <c r="C952" s="47"/>
      <c r="D952" s="49"/>
      <c r="E952" s="49"/>
      <c r="F952" s="49" t="b">
        <v>0</v>
      </c>
      <c r="G952" s="49"/>
      <c r="H952" s="47"/>
      <c r="I952" s="47"/>
      <c r="J952" s="49"/>
      <c r="K952" s="49"/>
      <c r="L952" s="49"/>
      <c r="M952" s="49"/>
      <c r="N952" s="49"/>
      <c r="O952" s="49" t="b">
        <v>0</v>
      </c>
      <c r="P952" s="49"/>
      <c r="Q952" s="49"/>
      <c r="R952" s="49"/>
      <c r="S952" s="49"/>
      <c r="T952" s="49"/>
      <c r="U952" s="58"/>
      <c r="V952" s="49"/>
      <c r="W952" s="58"/>
      <c r="X952" s="49"/>
      <c r="Y952" s="47"/>
      <c r="Z952" s="175" t="str">
        <f ca="1">IFERROR(__xludf.DUMMYFUNCTION("QUERY('Volunteer Survey'!A951)"),"")</f>
        <v/>
      </c>
      <c r="AA952" s="175" t="str">
        <f ca="1">IFERROR(__xludf.DUMMYFUNCTION("QUERY('Volunteer Survey'!B951)"),"")</f>
        <v/>
      </c>
      <c r="AB952" s="175" t="str">
        <f ca="1">IFERROR(__xludf.DUMMYFUNCTION("QUERY('Volunteer Survey'!C951)"),"")</f>
        <v/>
      </c>
      <c r="AC952" s="175" t="str">
        <f ca="1">IFERROR(__xludf.DUMMYFUNCTION("QUERY('Volunteer Survey'!D951)"),"")</f>
        <v/>
      </c>
      <c r="AD952" s="175" t="str">
        <f ca="1">IFERROR(__xludf.DUMMYFUNCTION("QUERY('Volunteer Survey'!E951)"),"")</f>
        <v/>
      </c>
      <c r="AE952" s="175" t="str">
        <f ca="1">IFERROR(__xludf.DUMMYFUNCTION("QUERY('Volunteer Survey'!F951)"),"")</f>
        <v/>
      </c>
      <c r="AF952" s="175" t="str">
        <f ca="1">IFERROR(__xludf.DUMMYFUNCTION("QUERY('Volunteer Survey'!G951)"),"")</f>
        <v/>
      </c>
      <c r="AG952" s="175" t="str">
        <f ca="1">IFERROR(__xludf.DUMMYFUNCTION("QUERY('Volunteer Survey'!H951)"),"")</f>
        <v/>
      </c>
      <c r="AH952" s="175" t="str">
        <f ca="1">IFERROR(__xludf.DUMMYFUNCTION("QUERY('Volunteer Survey'!I951)"),"")</f>
        <v/>
      </c>
      <c r="AI952" s="175" t="str">
        <f ca="1">IFERROR(__xludf.DUMMYFUNCTION("QUERY('Volunteer Survey'!J951)"),"")</f>
        <v/>
      </c>
      <c r="AJ952" s="175" t="str">
        <f ca="1">IFERROR(__xludf.DUMMYFUNCTION("QUERY('Volunteer Survey'!K951)"),"")</f>
        <v/>
      </c>
      <c r="AK952" s="175" t="str">
        <f ca="1">IFERROR(__xludf.DUMMYFUNCTION("QUERY('Volunteer Survey'!L951)"),"")</f>
        <v/>
      </c>
      <c r="AL952" s="175" t="str">
        <f ca="1">IFERROR(__xludf.DUMMYFUNCTION("QUERY('Volunteer Survey'!M951)"),"")</f>
        <v/>
      </c>
      <c r="AM952" s="175" t="str">
        <f ca="1">IFERROR(__xludf.DUMMYFUNCTION("QUERY('Volunteer Survey'!N951)"),"")</f>
        <v/>
      </c>
      <c r="AN952" s="175" t="str">
        <f ca="1">IFERROR(__xludf.DUMMYFUNCTION("QUERY('Volunteer Survey'!O951)"),"")</f>
        <v/>
      </c>
      <c r="AO952" s="175" t="str">
        <f ca="1">IFERROR(__xludf.DUMMYFUNCTION("QUERY('Volunteer Survey'!P951)"),"")</f>
        <v/>
      </c>
    </row>
    <row r="953" spans="1:41" ht="14">
      <c r="A953" s="49"/>
      <c r="B953" s="49"/>
      <c r="C953" s="47"/>
      <c r="D953" s="49"/>
      <c r="E953" s="49"/>
      <c r="F953" s="49" t="b">
        <v>0</v>
      </c>
      <c r="G953" s="49"/>
      <c r="H953" s="47"/>
      <c r="I953" s="47"/>
      <c r="J953" s="49"/>
      <c r="K953" s="49"/>
      <c r="L953" s="49"/>
      <c r="M953" s="49"/>
      <c r="N953" s="49"/>
      <c r="O953" s="49" t="b">
        <v>0</v>
      </c>
      <c r="P953" s="49"/>
      <c r="Q953" s="49"/>
      <c r="R953" s="49"/>
      <c r="S953" s="49"/>
      <c r="T953" s="49"/>
      <c r="U953" s="58"/>
      <c r="V953" s="49"/>
      <c r="W953" s="58"/>
      <c r="X953" s="49"/>
      <c r="Y953" s="47"/>
      <c r="Z953" s="175" t="str">
        <f ca="1">IFERROR(__xludf.DUMMYFUNCTION("QUERY('Volunteer Survey'!A952)"),"")</f>
        <v/>
      </c>
      <c r="AA953" s="175" t="str">
        <f ca="1">IFERROR(__xludf.DUMMYFUNCTION("QUERY('Volunteer Survey'!B952)"),"")</f>
        <v/>
      </c>
      <c r="AB953" s="175" t="str">
        <f ca="1">IFERROR(__xludf.DUMMYFUNCTION("QUERY('Volunteer Survey'!C952)"),"")</f>
        <v/>
      </c>
      <c r="AC953" s="175" t="str">
        <f ca="1">IFERROR(__xludf.DUMMYFUNCTION("QUERY('Volunteer Survey'!D952)"),"")</f>
        <v/>
      </c>
      <c r="AD953" s="175" t="str">
        <f ca="1">IFERROR(__xludf.DUMMYFUNCTION("QUERY('Volunteer Survey'!E952)"),"")</f>
        <v/>
      </c>
      <c r="AE953" s="175" t="str">
        <f ca="1">IFERROR(__xludf.DUMMYFUNCTION("QUERY('Volunteer Survey'!F952)"),"")</f>
        <v/>
      </c>
      <c r="AF953" s="175" t="str">
        <f ca="1">IFERROR(__xludf.DUMMYFUNCTION("QUERY('Volunteer Survey'!G952)"),"")</f>
        <v/>
      </c>
      <c r="AG953" s="175" t="str">
        <f ca="1">IFERROR(__xludf.DUMMYFUNCTION("QUERY('Volunteer Survey'!H952)"),"")</f>
        <v/>
      </c>
      <c r="AH953" s="175" t="str">
        <f ca="1">IFERROR(__xludf.DUMMYFUNCTION("QUERY('Volunteer Survey'!I952)"),"")</f>
        <v/>
      </c>
      <c r="AI953" s="175" t="str">
        <f ca="1">IFERROR(__xludf.DUMMYFUNCTION("QUERY('Volunteer Survey'!J952)"),"")</f>
        <v/>
      </c>
      <c r="AJ953" s="175" t="str">
        <f ca="1">IFERROR(__xludf.DUMMYFUNCTION("QUERY('Volunteer Survey'!K952)"),"")</f>
        <v/>
      </c>
      <c r="AK953" s="175" t="str">
        <f ca="1">IFERROR(__xludf.DUMMYFUNCTION("QUERY('Volunteer Survey'!L952)"),"")</f>
        <v/>
      </c>
      <c r="AL953" s="175" t="str">
        <f ca="1">IFERROR(__xludf.DUMMYFUNCTION("QUERY('Volunteer Survey'!M952)"),"")</f>
        <v/>
      </c>
      <c r="AM953" s="175" t="str">
        <f ca="1">IFERROR(__xludf.DUMMYFUNCTION("QUERY('Volunteer Survey'!N952)"),"")</f>
        <v/>
      </c>
      <c r="AN953" s="175" t="str">
        <f ca="1">IFERROR(__xludf.DUMMYFUNCTION("QUERY('Volunteer Survey'!O952)"),"")</f>
        <v/>
      </c>
      <c r="AO953" s="175" t="str">
        <f ca="1">IFERROR(__xludf.DUMMYFUNCTION("QUERY('Volunteer Survey'!P952)"),"")</f>
        <v/>
      </c>
    </row>
    <row r="954" spans="1:41" ht="14">
      <c r="A954" s="49"/>
      <c r="B954" s="49"/>
      <c r="C954" s="47"/>
      <c r="D954" s="49"/>
      <c r="E954" s="49"/>
      <c r="F954" s="49" t="b">
        <v>0</v>
      </c>
      <c r="G954" s="49"/>
      <c r="H954" s="47"/>
      <c r="I954" s="47"/>
      <c r="J954" s="49"/>
      <c r="K954" s="49"/>
      <c r="L954" s="49"/>
      <c r="M954" s="49"/>
      <c r="N954" s="49"/>
      <c r="O954" s="49" t="b">
        <v>0</v>
      </c>
      <c r="P954" s="49"/>
      <c r="Q954" s="49"/>
      <c r="R954" s="49"/>
      <c r="S954" s="49"/>
      <c r="T954" s="49"/>
      <c r="U954" s="58"/>
      <c r="V954" s="49"/>
      <c r="W954" s="58"/>
      <c r="X954" s="49"/>
      <c r="Y954" s="47"/>
      <c r="Z954" s="175" t="str">
        <f ca="1">IFERROR(__xludf.DUMMYFUNCTION("QUERY('Volunteer Survey'!A953)"),"")</f>
        <v/>
      </c>
      <c r="AA954" s="175" t="str">
        <f ca="1">IFERROR(__xludf.DUMMYFUNCTION("QUERY('Volunteer Survey'!B953)"),"")</f>
        <v/>
      </c>
      <c r="AB954" s="175" t="str">
        <f ca="1">IFERROR(__xludf.DUMMYFUNCTION("QUERY('Volunteer Survey'!C953)"),"")</f>
        <v/>
      </c>
      <c r="AC954" s="175" t="str">
        <f ca="1">IFERROR(__xludf.DUMMYFUNCTION("QUERY('Volunteer Survey'!D953)"),"")</f>
        <v/>
      </c>
      <c r="AD954" s="175" t="str">
        <f ca="1">IFERROR(__xludf.DUMMYFUNCTION("QUERY('Volunteer Survey'!E953)"),"")</f>
        <v/>
      </c>
      <c r="AE954" s="175" t="str">
        <f ca="1">IFERROR(__xludf.DUMMYFUNCTION("QUERY('Volunteer Survey'!F953)"),"")</f>
        <v/>
      </c>
      <c r="AF954" s="175" t="str">
        <f ca="1">IFERROR(__xludf.DUMMYFUNCTION("QUERY('Volunteer Survey'!G953)"),"")</f>
        <v/>
      </c>
      <c r="AG954" s="175" t="str">
        <f ca="1">IFERROR(__xludf.DUMMYFUNCTION("QUERY('Volunteer Survey'!H953)"),"")</f>
        <v/>
      </c>
      <c r="AH954" s="175" t="str">
        <f ca="1">IFERROR(__xludf.DUMMYFUNCTION("QUERY('Volunteer Survey'!I953)"),"")</f>
        <v/>
      </c>
      <c r="AI954" s="175" t="str">
        <f ca="1">IFERROR(__xludf.DUMMYFUNCTION("QUERY('Volunteer Survey'!J953)"),"")</f>
        <v/>
      </c>
      <c r="AJ954" s="175" t="str">
        <f ca="1">IFERROR(__xludf.DUMMYFUNCTION("QUERY('Volunteer Survey'!K953)"),"")</f>
        <v/>
      </c>
      <c r="AK954" s="175" t="str">
        <f ca="1">IFERROR(__xludf.DUMMYFUNCTION("QUERY('Volunteer Survey'!L953)"),"")</f>
        <v/>
      </c>
      <c r="AL954" s="175" t="str">
        <f ca="1">IFERROR(__xludf.DUMMYFUNCTION("QUERY('Volunteer Survey'!M953)"),"")</f>
        <v/>
      </c>
      <c r="AM954" s="175" t="str">
        <f ca="1">IFERROR(__xludf.DUMMYFUNCTION("QUERY('Volunteer Survey'!N953)"),"")</f>
        <v/>
      </c>
      <c r="AN954" s="175" t="str">
        <f ca="1">IFERROR(__xludf.DUMMYFUNCTION("QUERY('Volunteer Survey'!O953)"),"")</f>
        <v/>
      </c>
      <c r="AO954" s="175" t="str">
        <f ca="1">IFERROR(__xludf.DUMMYFUNCTION("QUERY('Volunteer Survey'!P953)"),"")</f>
        <v/>
      </c>
    </row>
    <row r="955" spans="1:41" ht="14">
      <c r="A955" s="49"/>
      <c r="B955" s="49"/>
      <c r="C955" s="47"/>
      <c r="D955" s="49"/>
      <c r="E955" s="49"/>
      <c r="F955" s="49" t="b">
        <v>0</v>
      </c>
      <c r="G955" s="49"/>
      <c r="H955" s="47"/>
      <c r="I955" s="47"/>
      <c r="J955" s="49"/>
      <c r="K955" s="49"/>
      <c r="L955" s="49"/>
      <c r="M955" s="49"/>
      <c r="N955" s="49"/>
      <c r="O955" s="49" t="b">
        <v>0</v>
      </c>
      <c r="P955" s="49"/>
      <c r="Q955" s="49"/>
      <c r="R955" s="49"/>
      <c r="S955" s="49"/>
      <c r="T955" s="49"/>
      <c r="U955" s="58"/>
      <c r="V955" s="49"/>
      <c r="W955" s="58"/>
      <c r="X955" s="49"/>
      <c r="Y955" s="47"/>
      <c r="Z955" s="175" t="str">
        <f ca="1">IFERROR(__xludf.DUMMYFUNCTION("QUERY('Volunteer Survey'!A954)"),"")</f>
        <v/>
      </c>
      <c r="AA955" s="175" t="str">
        <f ca="1">IFERROR(__xludf.DUMMYFUNCTION("QUERY('Volunteer Survey'!B954)"),"")</f>
        <v/>
      </c>
      <c r="AB955" s="175" t="str">
        <f ca="1">IFERROR(__xludf.DUMMYFUNCTION("QUERY('Volunteer Survey'!C954)"),"")</f>
        <v/>
      </c>
      <c r="AC955" s="175" t="str">
        <f ca="1">IFERROR(__xludf.DUMMYFUNCTION("QUERY('Volunteer Survey'!D954)"),"")</f>
        <v/>
      </c>
      <c r="AD955" s="175" t="str">
        <f ca="1">IFERROR(__xludf.DUMMYFUNCTION("QUERY('Volunteer Survey'!E954)"),"")</f>
        <v/>
      </c>
      <c r="AE955" s="175" t="str">
        <f ca="1">IFERROR(__xludf.DUMMYFUNCTION("QUERY('Volunteer Survey'!F954)"),"")</f>
        <v/>
      </c>
      <c r="AF955" s="175" t="str">
        <f ca="1">IFERROR(__xludf.DUMMYFUNCTION("QUERY('Volunteer Survey'!G954)"),"")</f>
        <v/>
      </c>
      <c r="AG955" s="175" t="str">
        <f ca="1">IFERROR(__xludf.DUMMYFUNCTION("QUERY('Volunteer Survey'!H954)"),"")</f>
        <v/>
      </c>
      <c r="AH955" s="175" t="str">
        <f ca="1">IFERROR(__xludf.DUMMYFUNCTION("QUERY('Volunteer Survey'!I954)"),"")</f>
        <v/>
      </c>
      <c r="AI955" s="175" t="str">
        <f ca="1">IFERROR(__xludf.DUMMYFUNCTION("QUERY('Volunteer Survey'!J954)"),"")</f>
        <v/>
      </c>
      <c r="AJ955" s="175" t="str">
        <f ca="1">IFERROR(__xludf.DUMMYFUNCTION("QUERY('Volunteer Survey'!K954)"),"")</f>
        <v/>
      </c>
      <c r="AK955" s="175" t="str">
        <f ca="1">IFERROR(__xludf.DUMMYFUNCTION("QUERY('Volunteer Survey'!L954)"),"")</f>
        <v/>
      </c>
      <c r="AL955" s="175" t="str">
        <f ca="1">IFERROR(__xludf.DUMMYFUNCTION("QUERY('Volunteer Survey'!M954)"),"")</f>
        <v/>
      </c>
      <c r="AM955" s="175" t="str">
        <f ca="1">IFERROR(__xludf.DUMMYFUNCTION("QUERY('Volunteer Survey'!N954)"),"")</f>
        <v/>
      </c>
      <c r="AN955" s="175" t="str">
        <f ca="1">IFERROR(__xludf.DUMMYFUNCTION("QUERY('Volunteer Survey'!O954)"),"")</f>
        <v/>
      </c>
      <c r="AO955" s="175" t="str">
        <f ca="1">IFERROR(__xludf.DUMMYFUNCTION("QUERY('Volunteer Survey'!P954)"),"")</f>
        <v/>
      </c>
    </row>
    <row r="956" spans="1:41" ht="14">
      <c r="A956" s="49"/>
      <c r="B956" s="49"/>
      <c r="C956" s="47"/>
      <c r="D956" s="49"/>
      <c r="E956" s="49"/>
      <c r="F956" s="49" t="b">
        <v>0</v>
      </c>
      <c r="G956" s="49"/>
      <c r="H956" s="47"/>
      <c r="I956" s="47"/>
      <c r="J956" s="49"/>
      <c r="K956" s="49"/>
      <c r="L956" s="49"/>
      <c r="M956" s="49"/>
      <c r="N956" s="49"/>
      <c r="O956" s="49" t="b">
        <v>0</v>
      </c>
      <c r="P956" s="49"/>
      <c r="Q956" s="49"/>
      <c r="R956" s="49"/>
      <c r="S956" s="49"/>
      <c r="T956" s="49"/>
      <c r="U956" s="58"/>
      <c r="V956" s="49"/>
      <c r="W956" s="58"/>
      <c r="X956" s="49"/>
      <c r="Y956" s="47"/>
      <c r="Z956" s="175" t="str">
        <f ca="1">IFERROR(__xludf.DUMMYFUNCTION("QUERY('Volunteer Survey'!A955)"),"")</f>
        <v/>
      </c>
      <c r="AA956" s="175" t="str">
        <f ca="1">IFERROR(__xludf.DUMMYFUNCTION("QUERY('Volunteer Survey'!B955)"),"")</f>
        <v/>
      </c>
      <c r="AB956" s="175" t="str">
        <f ca="1">IFERROR(__xludf.DUMMYFUNCTION("QUERY('Volunteer Survey'!C955)"),"")</f>
        <v/>
      </c>
      <c r="AC956" s="175" t="str">
        <f ca="1">IFERROR(__xludf.DUMMYFUNCTION("QUERY('Volunteer Survey'!D955)"),"")</f>
        <v/>
      </c>
      <c r="AD956" s="175" t="str">
        <f ca="1">IFERROR(__xludf.DUMMYFUNCTION("QUERY('Volunteer Survey'!E955)"),"")</f>
        <v/>
      </c>
      <c r="AE956" s="175" t="str">
        <f ca="1">IFERROR(__xludf.DUMMYFUNCTION("QUERY('Volunteer Survey'!F955)"),"")</f>
        <v/>
      </c>
      <c r="AF956" s="175" t="str">
        <f ca="1">IFERROR(__xludf.DUMMYFUNCTION("QUERY('Volunteer Survey'!G955)"),"")</f>
        <v/>
      </c>
      <c r="AG956" s="175" t="str">
        <f ca="1">IFERROR(__xludf.DUMMYFUNCTION("QUERY('Volunteer Survey'!H955)"),"")</f>
        <v/>
      </c>
      <c r="AH956" s="175" t="str">
        <f ca="1">IFERROR(__xludf.DUMMYFUNCTION("QUERY('Volunteer Survey'!I955)"),"")</f>
        <v/>
      </c>
      <c r="AI956" s="175" t="str">
        <f ca="1">IFERROR(__xludf.DUMMYFUNCTION("QUERY('Volunteer Survey'!J955)"),"")</f>
        <v/>
      </c>
      <c r="AJ956" s="175" t="str">
        <f ca="1">IFERROR(__xludf.DUMMYFUNCTION("QUERY('Volunteer Survey'!K955)"),"")</f>
        <v/>
      </c>
      <c r="AK956" s="175" t="str">
        <f ca="1">IFERROR(__xludf.DUMMYFUNCTION("QUERY('Volunteer Survey'!L955)"),"")</f>
        <v/>
      </c>
      <c r="AL956" s="175" t="str">
        <f ca="1">IFERROR(__xludf.DUMMYFUNCTION("QUERY('Volunteer Survey'!M955)"),"")</f>
        <v/>
      </c>
      <c r="AM956" s="175" t="str">
        <f ca="1">IFERROR(__xludf.DUMMYFUNCTION("QUERY('Volunteer Survey'!N955)"),"")</f>
        <v/>
      </c>
      <c r="AN956" s="175" t="str">
        <f ca="1">IFERROR(__xludf.DUMMYFUNCTION("QUERY('Volunteer Survey'!O955)"),"")</f>
        <v/>
      </c>
      <c r="AO956" s="175" t="str">
        <f ca="1">IFERROR(__xludf.DUMMYFUNCTION("QUERY('Volunteer Survey'!P955)"),"")</f>
        <v/>
      </c>
    </row>
    <row r="957" spans="1:41" ht="14">
      <c r="A957" s="49"/>
      <c r="B957" s="49"/>
      <c r="C957" s="47"/>
      <c r="D957" s="49"/>
      <c r="E957" s="49"/>
      <c r="F957" s="49" t="b">
        <v>0</v>
      </c>
      <c r="G957" s="49"/>
      <c r="H957" s="47"/>
      <c r="I957" s="47"/>
      <c r="J957" s="49"/>
      <c r="K957" s="49"/>
      <c r="L957" s="49"/>
      <c r="M957" s="49"/>
      <c r="N957" s="49"/>
      <c r="O957" s="49" t="b">
        <v>0</v>
      </c>
      <c r="P957" s="49"/>
      <c r="Q957" s="49"/>
      <c r="R957" s="49"/>
      <c r="S957" s="49"/>
      <c r="T957" s="49"/>
      <c r="U957" s="58"/>
      <c r="V957" s="49"/>
      <c r="W957" s="58"/>
      <c r="X957" s="49"/>
      <c r="Y957" s="47"/>
      <c r="Z957" s="175" t="str">
        <f ca="1">IFERROR(__xludf.DUMMYFUNCTION("QUERY('Volunteer Survey'!A956)"),"")</f>
        <v/>
      </c>
      <c r="AA957" s="175" t="str">
        <f ca="1">IFERROR(__xludf.DUMMYFUNCTION("QUERY('Volunteer Survey'!B956)"),"")</f>
        <v/>
      </c>
      <c r="AB957" s="175" t="str">
        <f ca="1">IFERROR(__xludf.DUMMYFUNCTION("QUERY('Volunteer Survey'!C956)"),"")</f>
        <v/>
      </c>
      <c r="AC957" s="175" t="str">
        <f ca="1">IFERROR(__xludf.DUMMYFUNCTION("QUERY('Volunteer Survey'!D956)"),"")</f>
        <v/>
      </c>
      <c r="AD957" s="175" t="str">
        <f ca="1">IFERROR(__xludf.DUMMYFUNCTION("QUERY('Volunteer Survey'!E956)"),"")</f>
        <v/>
      </c>
      <c r="AE957" s="175" t="str">
        <f ca="1">IFERROR(__xludf.DUMMYFUNCTION("QUERY('Volunteer Survey'!F956)"),"")</f>
        <v/>
      </c>
      <c r="AF957" s="175" t="str">
        <f ca="1">IFERROR(__xludf.DUMMYFUNCTION("QUERY('Volunteer Survey'!G956)"),"")</f>
        <v/>
      </c>
      <c r="AG957" s="175" t="str">
        <f ca="1">IFERROR(__xludf.DUMMYFUNCTION("QUERY('Volunteer Survey'!H956)"),"")</f>
        <v/>
      </c>
      <c r="AH957" s="175" t="str">
        <f ca="1">IFERROR(__xludf.DUMMYFUNCTION("QUERY('Volunteer Survey'!I956)"),"")</f>
        <v/>
      </c>
      <c r="AI957" s="175" t="str">
        <f ca="1">IFERROR(__xludf.DUMMYFUNCTION("QUERY('Volunteer Survey'!J956)"),"")</f>
        <v/>
      </c>
      <c r="AJ957" s="175" t="str">
        <f ca="1">IFERROR(__xludf.DUMMYFUNCTION("QUERY('Volunteer Survey'!K956)"),"")</f>
        <v/>
      </c>
      <c r="AK957" s="175" t="str">
        <f ca="1">IFERROR(__xludf.DUMMYFUNCTION("QUERY('Volunteer Survey'!L956)"),"")</f>
        <v/>
      </c>
      <c r="AL957" s="175" t="str">
        <f ca="1">IFERROR(__xludf.DUMMYFUNCTION("QUERY('Volunteer Survey'!M956)"),"")</f>
        <v/>
      </c>
      <c r="AM957" s="175" t="str">
        <f ca="1">IFERROR(__xludf.DUMMYFUNCTION("QUERY('Volunteer Survey'!N956)"),"")</f>
        <v/>
      </c>
      <c r="AN957" s="175" t="str">
        <f ca="1">IFERROR(__xludf.DUMMYFUNCTION("QUERY('Volunteer Survey'!O956)"),"")</f>
        <v/>
      </c>
      <c r="AO957" s="175" t="str">
        <f ca="1">IFERROR(__xludf.DUMMYFUNCTION("QUERY('Volunteer Survey'!P956)"),"")</f>
        <v/>
      </c>
    </row>
    <row r="958" spans="1:41" ht="14">
      <c r="A958" s="49"/>
      <c r="B958" s="49"/>
      <c r="C958" s="47"/>
      <c r="D958" s="49"/>
      <c r="E958" s="49"/>
      <c r="F958" s="49" t="b">
        <v>0</v>
      </c>
      <c r="G958" s="49"/>
      <c r="H958" s="47"/>
      <c r="I958" s="47"/>
      <c r="J958" s="49"/>
      <c r="K958" s="49"/>
      <c r="L958" s="49"/>
      <c r="M958" s="49"/>
      <c r="N958" s="49"/>
      <c r="O958" s="49" t="b">
        <v>0</v>
      </c>
      <c r="P958" s="49"/>
      <c r="Q958" s="49"/>
      <c r="R958" s="49"/>
      <c r="S958" s="49"/>
      <c r="T958" s="49"/>
      <c r="U958" s="58"/>
      <c r="V958" s="49"/>
      <c r="W958" s="58"/>
      <c r="X958" s="49"/>
      <c r="Y958" s="47"/>
      <c r="Z958" s="175" t="str">
        <f ca="1">IFERROR(__xludf.DUMMYFUNCTION("QUERY('Volunteer Survey'!A957)"),"")</f>
        <v/>
      </c>
      <c r="AA958" s="175" t="str">
        <f ca="1">IFERROR(__xludf.DUMMYFUNCTION("QUERY('Volunteer Survey'!B957)"),"")</f>
        <v/>
      </c>
      <c r="AB958" s="175" t="str">
        <f ca="1">IFERROR(__xludf.DUMMYFUNCTION("QUERY('Volunteer Survey'!C957)"),"")</f>
        <v/>
      </c>
      <c r="AC958" s="175" t="str">
        <f ca="1">IFERROR(__xludf.DUMMYFUNCTION("QUERY('Volunteer Survey'!D957)"),"")</f>
        <v/>
      </c>
      <c r="AD958" s="175" t="str">
        <f ca="1">IFERROR(__xludf.DUMMYFUNCTION("QUERY('Volunteer Survey'!E957)"),"")</f>
        <v/>
      </c>
      <c r="AE958" s="175" t="str">
        <f ca="1">IFERROR(__xludf.DUMMYFUNCTION("QUERY('Volunteer Survey'!F957)"),"")</f>
        <v/>
      </c>
      <c r="AF958" s="175" t="str">
        <f ca="1">IFERROR(__xludf.DUMMYFUNCTION("QUERY('Volunteer Survey'!G957)"),"")</f>
        <v/>
      </c>
      <c r="AG958" s="175" t="str">
        <f ca="1">IFERROR(__xludf.DUMMYFUNCTION("QUERY('Volunteer Survey'!H957)"),"")</f>
        <v/>
      </c>
      <c r="AH958" s="175" t="str">
        <f ca="1">IFERROR(__xludf.DUMMYFUNCTION("QUERY('Volunteer Survey'!I957)"),"")</f>
        <v/>
      </c>
      <c r="AI958" s="175" t="str">
        <f ca="1">IFERROR(__xludf.DUMMYFUNCTION("QUERY('Volunteer Survey'!J957)"),"")</f>
        <v/>
      </c>
      <c r="AJ958" s="175" t="str">
        <f ca="1">IFERROR(__xludf.DUMMYFUNCTION("QUERY('Volunteer Survey'!K957)"),"")</f>
        <v/>
      </c>
      <c r="AK958" s="175" t="str">
        <f ca="1">IFERROR(__xludf.DUMMYFUNCTION("QUERY('Volunteer Survey'!L957)"),"")</f>
        <v/>
      </c>
      <c r="AL958" s="175" t="str">
        <f ca="1">IFERROR(__xludf.DUMMYFUNCTION("QUERY('Volunteer Survey'!M957)"),"")</f>
        <v/>
      </c>
      <c r="AM958" s="175" t="str">
        <f ca="1">IFERROR(__xludf.DUMMYFUNCTION("QUERY('Volunteer Survey'!N957)"),"")</f>
        <v/>
      </c>
      <c r="AN958" s="175" t="str">
        <f ca="1">IFERROR(__xludf.DUMMYFUNCTION("QUERY('Volunteer Survey'!O957)"),"")</f>
        <v/>
      </c>
      <c r="AO958" s="175" t="str">
        <f ca="1">IFERROR(__xludf.DUMMYFUNCTION("QUERY('Volunteer Survey'!P957)"),"")</f>
        <v/>
      </c>
    </row>
    <row r="959" spans="1:41" ht="14">
      <c r="A959" s="49"/>
      <c r="B959" s="49"/>
      <c r="C959" s="47"/>
      <c r="D959" s="49"/>
      <c r="E959" s="49"/>
      <c r="F959" s="49" t="b">
        <v>0</v>
      </c>
      <c r="G959" s="49"/>
      <c r="H959" s="47"/>
      <c r="I959" s="47"/>
      <c r="J959" s="49"/>
      <c r="K959" s="49"/>
      <c r="L959" s="49"/>
      <c r="M959" s="49"/>
      <c r="N959" s="49"/>
      <c r="O959" s="49" t="b">
        <v>0</v>
      </c>
      <c r="P959" s="49"/>
      <c r="Q959" s="49"/>
      <c r="R959" s="49"/>
      <c r="S959" s="49"/>
      <c r="T959" s="49"/>
      <c r="U959" s="58"/>
      <c r="V959" s="49"/>
      <c r="W959" s="58"/>
      <c r="X959" s="49"/>
      <c r="Y959" s="47"/>
      <c r="Z959" s="175" t="str">
        <f ca="1">IFERROR(__xludf.DUMMYFUNCTION("QUERY('Volunteer Survey'!A958)"),"")</f>
        <v/>
      </c>
      <c r="AA959" s="175" t="str">
        <f ca="1">IFERROR(__xludf.DUMMYFUNCTION("QUERY('Volunteer Survey'!B958)"),"")</f>
        <v/>
      </c>
      <c r="AB959" s="175" t="str">
        <f ca="1">IFERROR(__xludf.DUMMYFUNCTION("QUERY('Volunteer Survey'!C958)"),"")</f>
        <v/>
      </c>
      <c r="AC959" s="175" t="str">
        <f ca="1">IFERROR(__xludf.DUMMYFUNCTION("QUERY('Volunteer Survey'!D958)"),"")</f>
        <v/>
      </c>
      <c r="AD959" s="175" t="str">
        <f ca="1">IFERROR(__xludf.DUMMYFUNCTION("QUERY('Volunteer Survey'!E958)"),"")</f>
        <v/>
      </c>
      <c r="AE959" s="175" t="str">
        <f ca="1">IFERROR(__xludf.DUMMYFUNCTION("QUERY('Volunteer Survey'!F958)"),"")</f>
        <v/>
      </c>
      <c r="AF959" s="175" t="str">
        <f ca="1">IFERROR(__xludf.DUMMYFUNCTION("QUERY('Volunteer Survey'!G958)"),"")</f>
        <v/>
      </c>
      <c r="AG959" s="175" t="str">
        <f ca="1">IFERROR(__xludf.DUMMYFUNCTION("QUERY('Volunteer Survey'!H958)"),"")</f>
        <v/>
      </c>
      <c r="AH959" s="175" t="str">
        <f ca="1">IFERROR(__xludf.DUMMYFUNCTION("QUERY('Volunteer Survey'!I958)"),"")</f>
        <v/>
      </c>
      <c r="AI959" s="175" t="str">
        <f ca="1">IFERROR(__xludf.DUMMYFUNCTION("QUERY('Volunteer Survey'!J958)"),"")</f>
        <v/>
      </c>
      <c r="AJ959" s="175" t="str">
        <f ca="1">IFERROR(__xludf.DUMMYFUNCTION("QUERY('Volunteer Survey'!K958)"),"")</f>
        <v/>
      </c>
      <c r="AK959" s="175" t="str">
        <f ca="1">IFERROR(__xludf.DUMMYFUNCTION("QUERY('Volunteer Survey'!L958)"),"")</f>
        <v/>
      </c>
      <c r="AL959" s="175" t="str">
        <f ca="1">IFERROR(__xludf.DUMMYFUNCTION("QUERY('Volunteer Survey'!M958)"),"")</f>
        <v/>
      </c>
      <c r="AM959" s="175" t="str">
        <f ca="1">IFERROR(__xludf.DUMMYFUNCTION("QUERY('Volunteer Survey'!N958)"),"")</f>
        <v/>
      </c>
      <c r="AN959" s="175" t="str">
        <f ca="1">IFERROR(__xludf.DUMMYFUNCTION("QUERY('Volunteer Survey'!O958)"),"")</f>
        <v/>
      </c>
      <c r="AO959" s="175" t="str">
        <f ca="1">IFERROR(__xludf.DUMMYFUNCTION("QUERY('Volunteer Survey'!P958)"),"")</f>
        <v/>
      </c>
    </row>
    <row r="960" spans="1:41" ht="14">
      <c r="A960" s="49"/>
      <c r="B960" s="49"/>
      <c r="C960" s="47"/>
      <c r="D960" s="49"/>
      <c r="E960" s="49"/>
      <c r="F960" s="49" t="b">
        <v>0</v>
      </c>
      <c r="G960" s="49"/>
      <c r="H960" s="47"/>
      <c r="I960" s="47"/>
      <c r="J960" s="49"/>
      <c r="K960" s="49"/>
      <c r="L960" s="49"/>
      <c r="M960" s="49"/>
      <c r="N960" s="49"/>
      <c r="O960" s="49" t="b">
        <v>0</v>
      </c>
      <c r="P960" s="49"/>
      <c r="Q960" s="49"/>
      <c r="R960" s="49"/>
      <c r="S960" s="49"/>
      <c r="T960" s="49"/>
      <c r="U960" s="58"/>
      <c r="V960" s="49"/>
      <c r="W960" s="58"/>
      <c r="X960" s="49"/>
      <c r="Y960" s="47"/>
      <c r="Z960" s="175" t="str">
        <f ca="1">IFERROR(__xludf.DUMMYFUNCTION("QUERY('Volunteer Survey'!A959)"),"")</f>
        <v/>
      </c>
      <c r="AA960" s="175" t="str">
        <f ca="1">IFERROR(__xludf.DUMMYFUNCTION("QUERY('Volunteer Survey'!B959)"),"")</f>
        <v/>
      </c>
      <c r="AB960" s="175" t="str">
        <f ca="1">IFERROR(__xludf.DUMMYFUNCTION("QUERY('Volunteer Survey'!C959)"),"")</f>
        <v/>
      </c>
      <c r="AC960" s="175" t="str">
        <f ca="1">IFERROR(__xludf.DUMMYFUNCTION("QUERY('Volunteer Survey'!D959)"),"")</f>
        <v/>
      </c>
      <c r="AD960" s="175" t="str">
        <f ca="1">IFERROR(__xludf.DUMMYFUNCTION("QUERY('Volunteer Survey'!E959)"),"")</f>
        <v/>
      </c>
      <c r="AE960" s="175" t="str">
        <f ca="1">IFERROR(__xludf.DUMMYFUNCTION("QUERY('Volunteer Survey'!F959)"),"")</f>
        <v/>
      </c>
      <c r="AF960" s="175" t="str">
        <f ca="1">IFERROR(__xludf.DUMMYFUNCTION("QUERY('Volunteer Survey'!G959)"),"")</f>
        <v/>
      </c>
      <c r="AG960" s="175" t="str">
        <f ca="1">IFERROR(__xludf.DUMMYFUNCTION("QUERY('Volunteer Survey'!H959)"),"")</f>
        <v/>
      </c>
      <c r="AH960" s="175" t="str">
        <f ca="1">IFERROR(__xludf.DUMMYFUNCTION("QUERY('Volunteer Survey'!I959)"),"")</f>
        <v/>
      </c>
      <c r="AI960" s="175" t="str">
        <f ca="1">IFERROR(__xludf.DUMMYFUNCTION("QUERY('Volunteer Survey'!J959)"),"")</f>
        <v/>
      </c>
      <c r="AJ960" s="175" t="str">
        <f ca="1">IFERROR(__xludf.DUMMYFUNCTION("QUERY('Volunteer Survey'!K959)"),"")</f>
        <v/>
      </c>
      <c r="AK960" s="175" t="str">
        <f ca="1">IFERROR(__xludf.DUMMYFUNCTION("QUERY('Volunteer Survey'!L959)"),"")</f>
        <v/>
      </c>
      <c r="AL960" s="175" t="str">
        <f ca="1">IFERROR(__xludf.DUMMYFUNCTION("QUERY('Volunteer Survey'!M959)"),"")</f>
        <v/>
      </c>
      <c r="AM960" s="175" t="str">
        <f ca="1">IFERROR(__xludf.DUMMYFUNCTION("QUERY('Volunteer Survey'!N959)"),"")</f>
        <v/>
      </c>
      <c r="AN960" s="175" t="str">
        <f ca="1">IFERROR(__xludf.DUMMYFUNCTION("QUERY('Volunteer Survey'!O959)"),"")</f>
        <v/>
      </c>
      <c r="AO960" s="175" t="str">
        <f ca="1">IFERROR(__xludf.DUMMYFUNCTION("QUERY('Volunteer Survey'!P959)"),"")</f>
        <v/>
      </c>
    </row>
    <row r="961" spans="1:41" ht="14">
      <c r="A961" s="49"/>
      <c r="B961" s="49"/>
      <c r="C961" s="47"/>
      <c r="D961" s="49"/>
      <c r="E961" s="49"/>
      <c r="F961" s="49" t="b">
        <v>0</v>
      </c>
      <c r="G961" s="49"/>
      <c r="H961" s="47"/>
      <c r="I961" s="47"/>
      <c r="J961" s="49"/>
      <c r="K961" s="49"/>
      <c r="L961" s="49"/>
      <c r="M961" s="49"/>
      <c r="N961" s="49"/>
      <c r="O961" s="49" t="b">
        <v>0</v>
      </c>
      <c r="P961" s="49"/>
      <c r="Q961" s="49"/>
      <c r="R961" s="49"/>
      <c r="S961" s="49"/>
      <c r="T961" s="49"/>
      <c r="U961" s="58"/>
      <c r="V961" s="49"/>
      <c r="W961" s="58"/>
      <c r="X961" s="49"/>
      <c r="Y961" s="47"/>
      <c r="Z961" s="175" t="str">
        <f ca="1">IFERROR(__xludf.DUMMYFUNCTION("QUERY('Volunteer Survey'!A960)"),"")</f>
        <v/>
      </c>
      <c r="AA961" s="175" t="str">
        <f ca="1">IFERROR(__xludf.DUMMYFUNCTION("QUERY('Volunteer Survey'!B960)"),"")</f>
        <v/>
      </c>
      <c r="AB961" s="175" t="str">
        <f ca="1">IFERROR(__xludf.DUMMYFUNCTION("QUERY('Volunteer Survey'!C960)"),"")</f>
        <v/>
      </c>
      <c r="AC961" s="175" t="str">
        <f ca="1">IFERROR(__xludf.DUMMYFUNCTION("QUERY('Volunteer Survey'!D960)"),"")</f>
        <v/>
      </c>
      <c r="AD961" s="175" t="str">
        <f ca="1">IFERROR(__xludf.DUMMYFUNCTION("QUERY('Volunteer Survey'!E960)"),"")</f>
        <v/>
      </c>
      <c r="AE961" s="175" t="str">
        <f ca="1">IFERROR(__xludf.DUMMYFUNCTION("QUERY('Volunteer Survey'!F960)"),"")</f>
        <v/>
      </c>
      <c r="AF961" s="175" t="str">
        <f ca="1">IFERROR(__xludf.DUMMYFUNCTION("QUERY('Volunteer Survey'!G960)"),"")</f>
        <v/>
      </c>
      <c r="AG961" s="175" t="str">
        <f ca="1">IFERROR(__xludf.DUMMYFUNCTION("QUERY('Volunteer Survey'!H960)"),"")</f>
        <v/>
      </c>
      <c r="AH961" s="175" t="str">
        <f ca="1">IFERROR(__xludf.DUMMYFUNCTION("QUERY('Volunteer Survey'!I960)"),"")</f>
        <v/>
      </c>
      <c r="AI961" s="175" t="str">
        <f ca="1">IFERROR(__xludf.DUMMYFUNCTION("QUERY('Volunteer Survey'!J960)"),"")</f>
        <v/>
      </c>
      <c r="AJ961" s="175" t="str">
        <f ca="1">IFERROR(__xludf.DUMMYFUNCTION("QUERY('Volunteer Survey'!K960)"),"")</f>
        <v/>
      </c>
      <c r="AK961" s="175" t="str">
        <f ca="1">IFERROR(__xludf.DUMMYFUNCTION("QUERY('Volunteer Survey'!L960)"),"")</f>
        <v/>
      </c>
      <c r="AL961" s="175" t="str">
        <f ca="1">IFERROR(__xludf.DUMMYFUNCTION("QUERY('Volunteer Survey'!M960)"),"")</f>
        <v/>
      </c>
      <c r="AM961" s="175" t="str">
        <f ca="1">IFERROR(__xludf.DUMMYFUNCTION("QUERY('Volunteer Survey'!N960)"),"")</f>
        <v/>
      </c>
      <c r="AN961" s="175" t="str">
        <f ca="1">IFERROR(__xludf.DUMMYFUNCTION("QUERY('Volunteer Survey'!O960)"),"")</f>
        <v/>
      </c>
      <c r="AO961" s="175" t="str">
        <f ca="1">IFERROR(__xludf.DUMMYFUNCTION("QUERY('Volunteer Survey'!P960)"),"")</f>
        <v/>
      </c>
    </row>
    <row r="962" spans="1:41" ht="14">
      <c r="A962" s="49"/>
      <c r="B962" s="49"/>
      <c r="C962" s="47"/>
      <c r="D962" s="49"/>
      <c r="E962" s="49"/>
      <c r="F962" s="49" t="b">
        <v>0</v>
      </c>
      <c r="G962" s="49"/>
      <c r="H962" s="47"/>
      <c r="I962" s="47"/>
      <c r="J962" s="49"/>
      <c r="K962" s="49"/>
      <c r="L962" s="49"/>
      <c r="M962" s="49"/>
      <c r="N962" s="49"/>
      <c r="O962" s="49" t="b">
        <v>0</v>
      </c>
      <c r="P962" s="49"/>
      <c r="Q962" s="49"/>
      <c r="R962" s="49"/>
      <c r="S962" s="49"/>
      <c r="T962" s="49"/>
      <c r="U962" s="58"/>
      <c r="V962" s="49"/>
      <c r="W962" s="58"/>
      <c r="X962" s="49"/>
      <c r="Y962" s="47"/>
      <c r="Z962" s="175" t="str">
        <f ca="1">IFERROR(__xludf.DUMMYFUNCTION("QUERY('Volunteer Survey'!A961)"),"")</f>
        <v/>
      </c>
      <c r="AA962" s="175" t="str">
        <f ca="1">IFERROR(__xludf.DUMMYFUNCTION("QUERY('Volunteer Survey'!B961)"),"")</f>
        <v/>
      </c>
      <c r="AB962" s="175" t="str">
        <f ca="1">IFERROR(__xludf.DUMMYFUNCTION("QUERY('Volunteer Survey'!C961)"),"")</f>
        <v/>
      </c>
      <c r="AC962" s="175" t="str">
        <f ca="1">IFERROR(__xludf.DUMMYFUNCTION("QUERY('Volunteer Survey'!D961)"),"")</f>
        <v/>
      </c>
      <c r="AD962" s="175" t="str">
        <f ca="1">IFERROR(__xludf.DUMMYFUNCTION("QUERY('Volunteer Survey'!E961)"),"")</f>
        <v/>
      </c>
      <c r="AE962" s="175" t="str">
        <f ca="1">IFERROR(__xludf.DUMMYFUNCTION("QUERY('Volunteer Survey'!F961)"),"")</f>
        <v/>
      </c>
      <c r="AF962" s="175" t="str">
        <f ca="1">IFERROR(__xludf.DUMMYFUNCTION("QUERY('Volunteer Survey'!G961)"),"")</f>
        <v/>
      </c>
      <c r="AG962" s="175" t="str">
        <f ca="1">IFERROR(__xludf.DUMMYFUNCTION("QUERY('Volunteer Survey'!H961)"),"")</f>
        <v/>
      </c>
      <c r="AH962" s="175" t="str">
        <f ca="1">IFERROR(__xludf.DUMMYFUNCTION("QUERY('Volunteer Survey'!I961)"),"")</f>
        <v/>
      </c>
      <c r="AI962" s="175" t="str">
        <f ca="1">IFERROR(__xludf.DUMMYFUNCTION("QUERY('Volunteer Survey'!J961)"),"")</f>
        <v/>
      </c>
      <c r="AJ962" s="175" t="str">
        <f ca="1">IFERROR(__xludf.DUMMYFUNCTION("QUERY('Volunteer Survey'!K961)"),"")</f>
        <v/>
      </c>
      <c r="AK962" s="175" t="str">
        <f ca="1">IFERROR(__xludf.DUMMYFUNCTION("QUERY('Volunteer Survey'!L961)"),"")</f>
        <v/>
      </c>
      <c r="AL962" s="175" t="str">
        <f ca="1">IFERROR(__xludf.DUMMYFUNCTION("QUERY('Volunteer Survey'!M961)"),"")</f>
        <v/>
      </c>
      <c r="AM962" s="175" t="str">
        <f ca="1">IFERROR(__xludf.DUMMYFUNCTION("QUERY('Volunteer Survey'!N961)"),"")</f>
        <v/>
      </c>
      <c r="AN962" s="175" t="str">
        <f ca="1">IFERROR(__xludf.DUMMYFUNCTION("QUERY('Volunteer Survey'!O961)"),"")</f>
        <v/>
      </c>
      <c r="AO962" s="175" t="str">
        <f ca="1">IFERROR(__xludf.DUMMYFUNCTION("QUERY('Volunteer Survey'!P961)"),"")</f>
        <v/>
      </c>
    </row>
    <row r="963" spans="1:41" ht="14">
      <c r="A963" s="49"/>
      <c r="B963" s="49"/>
      <c r="C963" s="47"/>
      <c r="D963" s="49"/>
      <c r="E963" s="49"/>
      <c r="F963" s="49" t="b">
        <v>0</v>
      </c>
      <c r="G963" s="49"/>
      <c r="H963" s="47"/>
      <c r="I963" s="47"/>
      <c r="J963" s="49"/>
      <c r="K963" s="49"/>
      <c r="L963" s="49"/>
      <c r="M963" s="49"/>
      <c r="N963" s="49"/>
      <c r="O963" s="49" t="b">
        <v>0</v>
      </c>
      <c r="P963" s="49"/>
      <c r="Q963" s="49"/>
      <c r="R963" s="49"/>
      <c r="S963" s="49"/>
      <c r="T963" s="49"/>
      <c r="U963" s="58"/>
      <c r="V963" s="49"/>
      <c r="W963" s="58"/>
      <c r="X963" s="49"/>
      <c r="Y963" s="47"/>
      <c r="Z963" s="175" t="str">
        <f ca="1">IFERROR(__xludf.DUMMYFUNCTION("QUERY('Volunteer Survey'!A962)"),"")</f>
        <v/>
      </c>
      <c r="AA963" s="175" t="str">
        <f ca="1">IFERROR(__xludf.DUMMYFUNCTION("QUERY('Volunteer Survey'!B962)"),"")</f>
        <v/>
      </c>
      <c r="AB963" s="175" t="str">
        <f ca="1">IFERROR(__xludf.DUMMYFUNCTION("QUERY('Volunteer Survey'!C962)"),"")</f>
        <v/>
      </c>
      <c r="AC963" s="175" t="str">
        <f ca="1">IFERROR(__xludf.DUMMYFUNCTION("QUERY('Volunteer Survey'!D962)"),"")</f>
        <v/>
      </c>
      <c r="AD963" s="175" t="str">
        <f ca="1">IFERROR(__xludf.DUMMYFUNCTION("QUERY('Volunteer Survey'!E962)"),"")</f>
        <v/>
      </c>
      <c r="AE963" s="175" t="str">
        <f ca="1">IFERROR(__xludf.DUMMYFUNCTION("QUERY('Volunteer Survey'!F962)"),"")</f>
        <v/>
      </c>
      <c r="AF963" s="175" t="str">
        <f ca="1">IFERROR(__xludf.DUMMYFUNCTION("QUERY('Volunteer Survey'!G962)"),"")</f>
        <v/>
      </c>
      <c r="AG963" s="175" t="str">
        <f ca="1">IFERROR(__xludf.DUMMYFUNCTION("QUERY('Volunteer Survey'!H962)"),"")</f>
        <v/>
      </c>
      <c r="AH963" s="175" t="str">
        <f ca="1">IFERROR(__xludf.DUMMYFUNCTION("QUERY('Volunteer Survey'!I962)"),"")</f>
        <v/>
      </c>
      <c r="AI963" s="175" t="str">
        <f ca="1">IFERROR(__xludf.DUMMYFUNCTION("QUERY('Volunteer Survey'!J962)"),"")</f>
        <v/>
      </c>
      <c r="AJ963" s="175" t="str">
        <f ca="1">IFERROR(__xludf.DUMMYFUNCTION("QUERY('Volunteer Survey'!K962)"),"")</f>
        <v/>
      </c>
      <c r="AK963" s="175" t="str">
        <f ca="1">IFERROR(__xludf.DUMMYFUNCTION("QUERY('Volunteer Survey'!L962)"),"")</f>
        <v/>
      </c>
      <c r="AL963" s="175" t="str">
        <f ca="1">IFERROR(__xludf.DUMMYFUNCTION("QUERY('Volunteer Survey'!M962)"),"")</f>
        <v/>
      </c>
      <c r="AM963" s="175" t="str">
        <f ca="1">IFERROR(__xludf.DUMMYFUNCTION("QUERY('Volunteer Survey'!N962)"),"")</f>
        <v/>
      </c>
      <c r="AN963" s="175" t="str">
        <f ca="1">IFERROR(__xludf.DUMMYFUNCTION("QUERY('Volunteer Survey'!O962)"),"")</f>
        <v/>
      </c>
      <c r="AO963" s="175" t="str">
        <f ca="1">IFERROR(__xludf.DUMMYFUNCTION("QUERY('Volunteer Survey'!P962)"),"")</f>
        <v/>
      </c>
    </row>
    <row r="964" spans="1:41" ht="14">
      <c r="A964" s="49"/>
      <c r="B964" s="49"/>
      <c r="C964" s="47"/>
      <c r="D964" s="49"/>
      <c r="E964" s="49"/>
      <c r="F964" s="49" t="b">
        <v>0</v>
      </c>
      <c r="G964" s="49"/>
      <c r="H964" s="47"/>
      <c r="I964" s="47"/>
      <c r="J964" s="49"/>
      <c r="K964" s="49"/>
      <c r="L964" s="49"/>
      <c r="M964" s="49"/>
      <c r="N964" s="49"/>
      <c r="O964" s="49" t="b">
        <v>0</v>
      </c>
      <c r="P964" s="49"/>
      <c r="Q964" s="49"/>
      <c r="R964" s="49"/>
      <c r="S964" s="49"/>
      <c r="T964" s="49"/>
      <c r="U964" s="58"/>
      <c r="V964" s="49"/>
      <c r="W964" s="58"/>
      <c r="X964" s="49"/>
      <c r="Y964" s="47"/>
      <c r="Z964" s="175" t="str">
        <f ca="1">IFERROR(__xludf.DUMMYFUNCTION("QUERY('Volunteer Survey'!A963)"),"")</f>
        <v/>
      </c>
      <c r="AA964" s="175" t="str">
        <f ca="1">IFERROR(__xludf.DUMMYFUNCTION("QUERY('Volunteer Survey'!B963)"),"")</f>
        <v/>
      </c>
      <c r="AB964" s="175" t="str">
        <f ca="1">IFERROR(__xludf.DUMMYFUNCTION("QUERY('Volunteer Survey'!C963)"),"")</f>
        <v/>
      </c>
      <c r="AC964" s="175" t="str">
        <f ca="1">IFERROR(__xludf.DUMMYFUNCTION("QUERY('Volunteer Survey'!D963)"),"")</f>
        <v/>
      </c>
      <c r="AD964" s="175" t="str">
        <f ca="1">IFERROR(__xludf.DUMMYFUNCTION("QUERY('Volunteer Survey'!E963)"),"")</f>
        <v/>
      </c>
      <c r="AE964" s="175" t="str">
        <f ca="1">IFERROR(__xludf.DUMMYFUNCTION("QUERY('Volunteer Survey'!F963)"),"")</f>
        <v/>
      </c>
      <c r="AF964" s="175" t="str">
        <f ca="1">IFERROR(__xludf.DUMMYFUNCTION("QUERY('Volunteer Survey'!G963)"),"")</f>
        <v/>
      </c>
      <c r="AG964" s="175" t="str">
        <f ca="1">IFERROR(__xludf.DUMMYFUNCTION("QUERY('Volunteer Survey'!H963)"),"")</f>
        <v/>
      </c>
      <c r="AH964" s="175" t="str">
        <f ca="1">IFERROR(__xludf.DUMMYFUNCTION("QUERY('Volunteer Survey'!I963)"),"")</f>
        <v/>
      </c>
      <c r="AI964" s="175" t="str">
        <f ca="1">IFERROR(__xludf.DUMMYFUNCTION("QUERY('Volunteer Survey'!J963)"),"")</f>
        <v/>
      </c>
      <c r="AJ964" s="175" t="str">
        <f ca="1">IFERROR(__xludf.DUMMYFUNCTION("QUERY('Volunteer Survey'!K963)"),"")</f>
        <v/>
      </c>
      <c r="AK964" s="175" t="str">
        <f ca="1">IFERROR(__xludf.DUMMYFUNCTION("QUERY('Volunteer Survey'!L963)"),"")</f>
        <v/>
      </c>
      <c r="AL964" s="175" t="str">
        <f ca="1">IFERROR(__xludf.DUMMYFUNCTION("QUERY('Volunteer Survey'!M963)"),"")</f>
        <v/>
      </c>
      <c r="AM964" s="175" t="str">
        <f ca="1">IFERROR(__xludf.DUMMYFUNCTION("QUERY('Volunteer Survey'!N963)"),"")</f>
        <v/>
      </c>
      <c r="AN964" s="175" t="str">
        <f ca="1">IFERROR(__xludf.DUMMYFUNCTION("QUERY('Volunteer Survey'!O963)"),"")</f>
        <v/>
      </c>
      <c r="AO964" s="175" t="str">
        <f ca="1">IFERROR(__xludf.DUMMYFUNCTION("QUERY('Volunteer Survey'!P963)"),"")</f>
        <v/>
      </c>
    </row>
    <row r="965" spans="1:41" ht="14">
      <c r="A965" s="49"/>
      <c r="B965" s="49"/>
      <c r="C965" s="47"/>
      <c r="D965" s="49"/>
      <c r="E965" s="49"/>
      <c r="F965" s="49" t="b">
        <v>0</v>
      </c>
      <c r="G965" s="49"/>
      <c r="H965" s="47"/>
      <c r="I965" s="47"/>
      <c r="J965" s="49"/>
      <c r="K965" s="49"/>
      <c r="L965" s="49"/>
      <c r="M965" s="49"/>
      <c r="N965" s="49"/>
      <c r="O965" s="49" t="b">
        <v>0</v>
      </c>
      <c r="P965" s="49"/>
      <c r="Q965" s="49"/>
      <c r="R965" s="49"/>
      <c r="S965" s="49"/>
      <c r="T965" s="49"/>
      <c r="U965" s="58"/>
      <c r="V965" s="49"/>
      <c r="W965" s="58"/>
      <c r="X965" s="49"/>
      <c r="Y965" s="47"/>
      <c r="Z965" s="175" t="str">
        <f ca="1">IFERROR(__xludf.DUMMYFUNCTION("QUERY('Volunteer Survey'!A964)"),"")</f>
        <v/>
      </c>
      <c r="AA965" s="175" t="str">
        <f ca="1">IFERROR(__xludf.DUMMYFUNCTION("QUERY('Volunteer Survey'!B964)"),"")</f>
        <v/>
      </c>
      <c r="AB965" s="175" t="str">
        <f ca="1">IFERROR(__xludf.DUMMYFUNCTION("QUERY('Volunteer Survey'!C964)"),"")</f>
        <v/>
      </c>
      <c r="AC965" s="175" t="str">
        <f ca="1">IFERROR(__xludf.DUMMYFUNCTION("QUERY('Volunteer Survey'!D964)"),"")</f>
        <v/>
      </c>
      <c r="AD965" s="175" t="str">
        <f ca="1">IFERROR(__xludf.DUMMYFUNCTION("QUERY('Volunteer Survey'!E964)"),"")</f>
        <v/>
      </c>
      <c r="AE965" s="175" t="str">
        <f ca="1">IFERROR(__xludf.DUMMYFUNCTION("QUERY('Volunteer Survey'!F964)"),"")</f>
        <v/>
      </c>
      <c r="AF965" s="175" t="str">
        <f ca="1">IFERROR(__xludf.DUMMYFUNCTION("QUERY('Volunteer Survey'!G964)"),"")</f>
        <v/>
      </c>
      <c r="AG965" s="175" t="str">
        <f ca="1">IFERROR(__xludf.DUMMYFUNCTION("QUERY('Volunteer Survey'!H964)"),"")</f>
        <v/>
      </c>
      <c r="AH965" s="175" t="str">
        <f ca="1">IFERROR(__xludf.DUMMYFUNCTION("QUERY('Volunteer Survey'!I964)"),"")</f>
        <v/>
      </c>
      <c r="AI965" s="175" t="str">
        <f ca="1">IFERROR(__xludf.DUMMYFUNCTION("QUERY('Volunteer Survey'!J964)"),"")</f>
        <v/>
      </c>
      <c r="AJ965" s="175" t="str">
        <f ca="1">IFERROR(__xludf.DUMMYFUNCTION("QUERY('Volunteer Survey'!K964)"),"")</f>
        <v/>
      </c>
      <c r="AK965" s="175" t="str">
        <f ca="1">IFERROR(__xludf.DUMMYFUNCTION("QUERY('Volunteer Survey'!L964)"),"")</f>
        <v/>
      </c>
      <c r="AL965" s="175" t="str">
        <f ca="1">IFERROR(__xludf.DUMMYFUNCTION("QUERY('Volunteer Survey'!M964)"),"")</f>
        <v/>
      </c>
      <c r="AM965" s="175" t="str">
        <f ca="1">IFERROR(__xludf.DUMMYFUNCTION("QUERY('Volunteer Survey'!N964)"),"")</f>
        <v/>
      </c>
      <c r="AN965" s="175" t="str">
        <f ca="1">IFERROR(__xludf.DUMMYFUNCTION("QUERY('Volunteer Survey'!O964)"),"")</f>
        <v/>
      </c>
      <c r="AO965" s="175" t="str">
        <f ca="1">IFERROR(__xludf.DUMMYFUNCTION("QUERY('Volunteer Survey'!P964)"),"")</f>
        <v/>
      </c>
    </row>
    <row r="966" spans="1:41" ht="14">
      <c r="A966" s="49"/>
      <c r="B966" s="49"/>
      <c r="C966" s="47"/>
      <c r="D966" s="49"/>
      <c r="E966" s="49"/>
      <c r="F966" s="49" t="b">
        <v>0</v>
      </c>
      <c r="G966" s="49"/>
      <c r="H966" s="47"/>
      <c r="I966" s="47"/>
      <c r="J966" s="49"/>
      <c r="K966" s="49"/>
      <c r="L966" s="49"/>
      <c r="M966" s="49"/>
      <c r="N966" s="49"/>
      <c r="O966" s="49" t="b">
        <v>0</v>
      </c>
      <c r="P966" s="49"/>
      <c r="Q966" s="49"/>
      <c r="R966" s="49"/>
      <c r="S966" s="49"/>
      <c r="T966" s="49"/>
      <c r="U966" s="58"/>
      <c r="V966" s="49"/>
      <c r="W966" s="58"/>
      <c r="X966" s="49"/>
      <c r="Y966" s="47"/>
      <c r="Z966" s="175" t="str">
        <f ca="1">IFERROR(__xludf.DUMMYFUNCTION("QUERY('Volunteer Survey'!A965)"),"")</f>
        <v/>
      </c>
      <c r="AA966" s="175" t="str">
        <f ca="1">IFERROR(__xludf.DUMMYFUNCTION("QUERY('Volunteer Survey'!B965)"),"")</f>
        <v/>
      </c>
      <c r="AB966" s="175" t="str">
        <f ca="1">IFERROR(__xludf.DUMMYFUNCTION("QUERY('Volunteer Survey'!C965)"),"")</f>
        <v/>
      </c>
      <c r="AC966" s="175" t="str">
        <f ca="1">IFERROR(__xludf.DUMMYFUNCTION("QUERY('Volunteer Survey'!D965)"),"")</f>
        <v/>
      </c>
      <c r="AD966" s="175" t="str">
        <f ca="1">IFERROR(__xludf.DUMMYFUNCTION("QUERY('Volunteer Survey'!E965)"),"")</f>
        <v/>
      </c>
      <c r="AE966" s="175" t="str">
        <f ca="1">IFERROR(__xludf.DUMMYFUNCTION("QUERY('Volunteer Survey'!F965)"),"")</f>
        <v/>
      </c>
      <c r="AF966" s="175" t="str">
        <f ca="1">IFERROR(__xludf.DUMMYFUNCTION("QUERY('Volunteer Survey'!G965)"),"")</f>
        <v/>
      </c>
      <c r="AG966" s="175" t="str">
        <f ca="1">IFERROR(__xludf.DUMMYFUNCTION("QUERY('Volunteer Survey'!H965)"),"")</f>
        <v/>
      </c>
      <c r="AH966" s="175" t="str">
        <f ca="1">IFERROR(__xludf.DUMMYFUNCTION("QUERY('Volunteer Survey'!I965)"),"")</f>
        <v/>
      </c>
      <c r="AI966" s="175" t="str">
        <f ca="1">IFERROR(__xludf.DUMMYFUNCTION("QUERY('Volunteer Survey'!J965)"),"")</f>
        <v/>
      </c>
      <c r="AJ966" s="175" t="str">
        <f ca="1">IFERROR(__xludf.DUMMYFUNCTION("QUERY('Volunteer Survey'!K965)"),"")</f>
        <v/>
      </c>
      <c r="AK966" s="175" t="str">
        <f ca="1">IFERROR(__xludf.DUMMYFUNCTION("QUERY('Volunteer Survey'!L965)"),"")</f>
        <v/>
      </c>
      <c r="AL966" s="175" t="str">
        <f ca="1">IFERROR(__xludf.DUMMYFUNCTION("QUERY('Volunteer Survey'!M965)"),"")</f>
        <v/>
      </c>
      <c r="AM966" s="175" t="str">
        <f ca="1">IFERROR(__xludf.DUMMYFUNCTION("QUERY('Volunteer Survey'!N965)"),"")</f>
        <v/>
      </c>
      <c r="AN966" s="175" t="str">
        <f ca="1">IFERROR(__xludf.DUMMYFUNCTION("QUERY('Volunteer Survey'!O965)"),"")</f>
        <v/>
      </c>
      <c r="AO966" s="175" t="str">
        <f ca="1">IFERROR(__xludf.DUMMYFUNCTION("QUERY('Volunteer Survey'!P965)"),"")</f>
        <v/>
      </c>
    </row>
    <row r="967" spans="1:41" ht="14">
      <c r="A967" s="49"/>
      <c r="B967" s="49"/>
      <c r="C967" s="47"/>
      <c r="D967" s="49"/>
      <c r="E967" s="49"/>
      <c r="F967" s="49" t="b">
        <v>0</v>
      </c>
      <c r="G967" s="49"/>
      <c r="H967" s="47"/>
      <c r="I967" s="47"/>
      <c r="J967" s="49"/>
      <c r="K967" s="49"/>
      <c r="L967" s="49"/>
      <c r="M967" s="49"/>
      <c r="N967" s="49"/>
      <c r="O967" s="49" t="b">
        <v>0</v>
      </c>
      <c r="P967" s="49"/>
      <c r="Q967" s="49"/>
      <c r="R967" s="49"/>
      <c r="S967" s="49"/>
      <c r="T967" s="49"/>
      <c r="U967" s="58"/>
      <c r="V967" s="49"/>
      <c r="W967" s="58"/>
      <c r="X967" s="49"/>
      <c r="Y967" s="47"/>
      <c r="Z967" s="175" t="str">
        <f ca="1">IFERROR(__xludf.DUMMYFUNCTION("QUERY('Volunteer Survey'!A966)"),"")</f>
        <v/>
      </c>
      <c r="AA967" s="175" t="str">
        <f ca="1">IFERROR(__xludf.DUMMYFUNCTION("QUERY('Volunteer Survey'!B966)"),"")</f>
        <v/>
      </c>
      <c r="AB967" s="175" t="str">
        <f ca="1">IFERROR(__xludf.DUMMYFUNCTION("QUERY('Volunteer Survey'!C966)"),"")</f>
        <v/>
      </c>
      <c r="AC967" s="175" t="str">
        <f ca="1">IFERROR(__xludf.DUMMYFUNCTION("QUERY('Volunteer Survey'!D966)"),"")</f>
        <v/>
      </c>
      <c r="AD967" s="175" t="str">
        <f ca="1">IFERROR(__xludf.DUMMYFUNCTION("QUERY('Volunteer Survey'!E966)"),"")</f>
        <v/>
      </c>
      <c r="AE967" s="175" t="str">
        <f ca="1">IFERROR(__xludf.DUMMYFUNCTION("QUERY('Volunteer Survey'!F966)"),"")</f>
        <v/>
      </c>
      <c r="AF967" s="175" t="str">
        <f ca="1">IFERROR(__xludf.DUMMYFUNCTION("QUERY('Volunteer Survey'!G966)"),"")</f>
        <v/>
      </c>
      <c r="AG967" s="175" t="str">
        <f ca="1">IFERROR(__xludf.DUMMYFUNCTION("QUERY('Volunteer Survey'!H966)"),"")</f>
        <v/>
      </c>
      <c r="AH967" s="175" t="str">
        <f ca="1">IFERROR(__xludf.DUMMYFUNCTION("QUERY('Volunteer Survey'!I966)"),"")</f>
        <v/>
      </c>
      <c r="AI967" s="175" t="str">
        <f ca="1">IFERROR(__xludf.DUMMYFUNCTION("QUERY('Volunteer Survey'!J966)"),"")</f>
        <v/>
      </c>
      <c r="AJ967" s="175" t="str">
        <f ca="1">IFERROR(__xludf.DUMMYFUNCTION("QUERY('Volunteer Survey'!K966)"),"")</f>
        <v/>
      </c>
      <c r="AK967" s="175" t="str">
        <f ca="1">IFERROR(__xludf.DUMMYFUNCTION("QUERY('Volunteer Survey'!L966)"),"")</f>
        <v/>
      </c>
      <c r="AL967" s="175" t="str">
        <f ca="1">IFERROR(__xludf.DUMMYFUNCTION("QUERY('Volunteer Survey'!M966)"),"")</f>
        <v/>
      </c>
      <c r="AM967" s="175" t="str">
        <f ca="1">IFERROR(__xludf.DUMMYFUNCTION("QUERY('Volunteer Survey'!N966)"),"")</f>
        <v/>
      </c>
      <c r="AN967" s="175" t="str">
        <f ca="1">IFERROR(__xludf.DUMMYFUNCTION("QUERY('Volunteer Survey'!O966)"),"")</f>
        <v/>
      </c>
      <c r="AO967" s="175" t="str">
        <f ca="1">IFERROR(__xludf.DUMMYFUNCTION("QUERY('Volunteer Survey'!P966)"),"")</f>
        <v/>
      </c>
    </row>
    <row r="968" spans="1:41" ht="14">
      <c r="A968" s="49"/>
      <c r="B968" s="49"/>
      <c r="C968" s="47"/>
      <c r="D968" s="49"/>
      <c r="E968" s="49"/>
      <c r="F968" s="49" t="b">
        <v>0</v>
      </c>
      <c r="G968" s="49"/>
      <c r="H968" s="47"/>
      <c r="I968" s="47"/>
      <c r="J968" s="49"/>
      <c r="K968" s="49"/>
      <c r="L968" s="49"/>
      <c r="M968" s="49"/>
      <c r="N968" s="49"/>
      <c r="O968" s="49" t="b">
        <v>0</v>
      </c>
      <c r="P968" s="49"/>
      <c r="Q968" s="49"/>
      <c r="R968" s="49"/>
      <c r="S968" s="49"/>
      <c r="T968" s="49"/>
      <c r="U968" s="58"/>
      <c r="V968" s="49"/>
      <c r="W968" s="58"/>
      <c r="X968" s="49"/>
      <c r="Y968" s="47"/>
      <c r="Z968" s="175" t="str">
        <f ca="1">IFERROR(__xludf.DUMMYFUNCTION("QUERY('Volunteer Survey'!A967)"),"")</f>
        <v/>
      </c>
      <c r="AA968" s="175" t="str">
        <f ca="1">IFERROR(__xludf.DUMMYFUNCTION("QUERY('Volunteer Survey'!B967)"),"")</f>
        <v/>
      </c>
      <c r="AB968" s="175" t="str">
        <f ca="1">IFERROR(__xludf.DUMMYFUNCTION("QUERY('Volunteer Survey'!C967)"),"")</f>
        <v/>
      </c>
      <c r="AC968" s="175" t="str">
        <f ca="1">IFERROR(__xludf.DUMMYFUNCTION("QUERY('Volunteer Survey'!D967)"),"")</f>
        <v/>
      </c>
      <c r="AD968" s="175" t="str">
        <f ca="1">IFERROR(__xludf.DUMMYFUNCTION("QUERY('Volunteer Survey'!E967)"),"")</f>
        <v/>
      </c>
      <c r="AE968" s="175" t="str">
        <f ca="1">IFERROR(__xludf.DUMMYFUNCTION("QUERY('Volunteer Survey'!F967)"),"")</f>
        <v/>
      </c>
      <c r="AF968" s="175" t="str">
        <f ca="1">IFERROR(__xludf.DUMMYFUNCTION("QUERY('Volunteer Survey'!G967)"),"")</f>
        <v/>
      </c>
      <c r="AG968" s="175" t="str">
        <f ca="1">IFERROR(__xludf.DUMMYFUNCTION("QUERY('Volunteer Survey'!H967)"),"")</f>
        <v/>
      </c>
      <c r="AH968" s="175" t="str">
        <f ca="1">IFERROR(__xludf.DUMMYFUNCTION("QUERY('Volunteer Survey'!I967)"),"")</f>
        <v/>
      </c>
      <c r="AI968" s="175" t="str">
        <f ca="1">IFERROR(__xludf.DUMMYFUNCTION("QUERY('Volunteer Survey'!J967)"),"")</f>
        <v/>
      </c>
      <c r="AJ968" s="175" t="str">
        <f ca="1">IFERROR(__xludf.DUMMYFUNCTION("QUERY('Volunteer Survey'!K967)"),"")</f>
        <v/>
      </c>
      <c r="AK968" s="175" t="str">
        <f ca="1">IFERROR(__xludf.DUMMYFUNCTION("QUERY('Volunteer Survey'!L967)"),"")</f>
        <v/>
      </c>
      <c r="AL968" s="175" t="str">
        <f ca="1">IFERROR(__xludf.DUMMYFUNCTION("QUERY('Volunteer Survey'!M967)"),"")</f>
        <v/>
      </c>
      <c r="AM968" s="175" t="str">
        <f ca="1">IFERROR(__xludf.DUMMYFUNCTION("QUERY('Volunteer Survey'!N967)"),"")</f>
        <v/>
      </c>
      <c r="AN968" s="175" t="str">
        <f ca="1">IFERROR(__xludf.DUMMYFUNCTION("QUERY('Volunteer Survey'!O967)"),"")</f>
        <v/>
      </c>
      <c r="AO968" s="175" t="str">
        <f ca="1">IFERROR(__xludf.DUMMYFUNCTION("QUERY('Volunteer Survey'!P967)"),"")</f>
        <v/>
      </c>
    </row>
    <row r="969" spans="1:41" ht="14">
      <c r="A969" s="49"/>
      <c r="B969" s="49"/>
      <c r="C969" s="47"/>
      <c r="D969" s="49"/>
      <c r="E969" s="49"/>
      <c r="F969" s="49" t="b">
        <v>0</v>
      </c>
      <c r="G969" s="49"/>
      <c r="H969" s="47"/>
      <c r="I969" s="47"/>
      <c r="J969" s="49"/>
      <c r="K969" s="49"/>
      <c r="L969" s="49"/>
      <c r="M969" s="49"/>
      <c r="N969" s="49"/>
      <c r="O969" s="49" t="b">
        <v>0</v>
      </c>
      <c r="P969" s="49"/>
      <c r="Q969" s="49"/>
      <c r="R969" s="49"/>
      <c r="S969" s="49"/>
      <c r="T969" s="49"/>
      <c r="U969" s="58"/>
      <c r="V969" s="49"/>
      <c r="W969" s="58"/>
      <c r="X969" s="49"/>
      <c r="Y969" s="47"/>
      <c r="Z969" s="175" t="str">
        <f ca="1">IFERROR(__xludf.DUMMYFUNCTION("QUERY('Volunteer Survey'!A968)"),"")</f>
        <v/>
      </c>
      <c r="AA969" s="175" t="str">
        <f ca="1">IFERROR(__xludf.DUMMYFUNCTION("QUERY('Volunteer Survey'!B968)"),"")</f>
        <v/>
      </c>
      <c r="AB969" s="175" t="str">
        <f ca="1">IFERROR(__xludf.DUMMYFUNCTION("QUERY('Volunteer Survey'!C968)"),"")</f>
        <v/>
      </c>
      <c r="AC969" s="175" t="str">
        <f ca="1">IFERROR(__xludf.DUMMYFUNCTION("QUERY('Volunteer Survey'!D968)"),"")</f>
        <v/>
      </c>
      <c r="AD969" s="175" t="str">
        <f ca="1">IFERROR(__xludf.DUMMYFUNCTION("QUERY('Volunteer Survey'!E968)"),"")</f>
        <v/>
      </c>
      <c r="AE969" s="175" t="str">
        <f ca="1">IFERROR(__xludf.DUMMYFUNCTION("QUERY('Volunteer Survey'!F968)"),"")</f>
        <v/>
      </c>
      <c r="AF969" s="175" t="str">
        <f ca="1">IFERROR(__xludf.DUMMYFUNCTION("QUERY('Volunteer Survey'!G968)"),"")</f>
        <v/>
      </c>
      <c r="AG969" s="175" t="str">
        <f ca="1">IFERROR(__xludf.DUMMYFUNCTION("QUERY('Volunteer Survey'!H968)"),"")</f>
        <v/>
      </c>
      <c r="AH969" s="175" t="str">
        <f ca="1">IFERROR(__xludf.DUMMYFUNCTION("QUERY('Volunteer Survey'!I968)"),"")</f>
        <v/>
      </c>
      <c r="AI969" s="175" t="str">
        <f ca="1">IFERROR(__xludf.DUMMYFUNCTION("QUERY('Volunteer Survey'!J968)"),"")</f>
        <v/>
      </c>
      <c r="AJ969" s="175" t="str">
        <f ca="1">IFERROR(__xludf.DUMMYFUNCTION("QUERY('Volunteer Survey'!K968)"),"")</f>
        <v/>
      </c>
      <c r="AK969" s="175" t="str">
        <f ca="1">IFERROR(__xludf.DUMMYFUNCTION("QUERY('Volunteer Survey'!L968)"),"")</f>
        <v/>
      </c>
      <c r="AL969" s="175" t="str">
        <f ca="1">IFERROR(__xludf.DUMMYFUNCTION("QUERY('Volunteer Survey'!M968)"),"")</f>
        <v/>
      </c>
      <c r="AM969" s="175" t="str">
        <f ca="1">IFERROR(__xludf.DUMMYFUNCTION("QUERY('Volunteer Survey'!N968)"),"")</f>
        <v/>
      </c>
      <c r="AN969" s="175" t="str">
        <f ca="1">IFERROR(__xludf.DUMMYFUNCTION("QUERY('Volunteer Survey'!O968)"),"")</f>
        <v/>
      </c>
      <c r="AO969" s="175" t="str">
        <f ca="1">IFERROR(__xludf.DUMMYFUNCTION("QUERY('Volunteer Survey'!P968)"),"")</f>
        <v/>
      </c>
    </row>
    <row r="970" spans="1:41" ht="14">
      <c r="A970" s="49"/>
      <c r="B970" s="49"/>
      <c r="C970" s="47"/>
      <c r="D970" s="49"/>
      <c r="E970" s="49"/>
      <c r="F970" s="49" t="b">
        <v>0</v>
      </c>
      <c r="G970" s="49"/>
      <c r="H970" s="47"/>
      <c r="I970" s="47"/>
      <c r="J970" s="49"/>
      <c r="K970" s="49"/>
      <c r="L970" s="49"/>
      <c r="M970" s="49"/>
      <c r="N970" s="49"/>
      <c r="O970" s="49" t="b">
        <v>0</v>
      </c>
      <c r="P970" s="49"/>
      <c r="Q970" s="49"/>
      <c r="R970" s="49"/>
      <c r="S970" s="49"/>
      <c r="T970" s="49"/>
      <c r="U970" s="58"/>
      <c r="V970" s="49"/>
      <c r="W970" s="58"/>
      <c r="X970" s="49"/>
      <c r="Y970" s="47"/>
      <c r="Z970" s="175" t="str">
        <f ca="1">IFERROR(__xludf.DUMMYFUNCTION("QUERY('Volunteer Survey'!A969)"),"")</f>
        <v/>
      </c>
      <c r="AA970" s="175" t="str">
        <f ca="1">IFERROR(__xludf.DUMMYFUNCTION("QUERY('Volunteer Survey'!B969)"),"")</f>
        <v/>
      </c>
      <c r="AB970" s="175" t="str">
        <f ca="1">IFERROR(__xludf.DUMMYFUNCTION("QUERY('Volunteer Survey'!C969)"),"")</f>
        <v/>
      </c>
      <c r="AC970" s="175" t="str">
        <f ca="1">IFERROR(__xludf.DUMMYFUNCTION("QUERY('Volunteer Survey'!D969)"),"")</f>
        <v/>
      </c>
      <c r="AD970" s="175" t="str">
        <f ca="1">IFERROR(__xludf.DUMMYFUNCTION("QUERY('Volunteer Survey'!E969)"),"")</f>
        <v/>
      </c>
      <c r="AE970" s="175" t="str">
        <f ca="1">IFERROR(__xludf.DUMMYFUNCTION("QUERY('Volunteer Survey'!F969)"),"")</f>
        <v/>
      </c>
      <c r="AF970" s="175" t="str">
        <f ca="1">IFERROR(__xludf.DUMMYFUNCTION("QUERY('Volunteer Survey'!G969)"),"")</f>
        <v/>
      </c>
      <c r="AG970" s="175" t="str">
        <f ca="1">IFERROR(__xludf.DUMMYFUNCTION("QUERY('Volunteer Survey'!H969)"),"")</f>
        <v/>
      </c>
      <c r="AH970" s="175" t="str">
        <f ca="1">IFERROR(__xludf.DUMMYFUNCTION("QUERY('Volunteer Survey'!I969)"),"")</f>
        <v/>
      </c>
      <c r="AI970" s="175" t="str">
        <f ca="1">IFERROR(__xludf.DUMMYFUNCTION("QUERY('Volunteer Survey'!J969)"),"")</f>
        <v/>
      </c>
      <c r="AJ970" s="175" t="str">
        <f ca="1">IFERROR(__xludf.DUMMYFUNCTION("QUERY('Volunteer Survey'!K969)"),"")</f>
        <v/>
      </c>
      <c r="AK970" s="175" t="str">
        <f ca="1">IFERROR(__xludf.DUMMYFUNCTION("QUERY('Volunteer Survey'!L969)"),"")</f>
        <v/>
      </c>
      <c r="AL970" s="175" t="str">
        <f ca="1">IFERROR(__xludf.DUMMYFUNCTION("QUERY('Volunteer Survey'!M969)"),"")</f>
        <v/>
      </c>
      <c r="AM970" s="175" t="str">
        <f ca="1">IFERROR(__xludf.DUMMYFUNCTION("QUERY('Volunteer Survey'!N969)"),"")</f>
        <v/>
      </c>
      <c r="AN970" s="175" t="str">
        <f ca="1">IFERROR(__xludf.DUMMYFUNCTION("QUERY('Volunteer Survey'!O969)"),"")</f>
        <v/>
      </c>
      <c r="AO970" s="175" t="str">
        <f ca="1">IFERROR(__xludf.DUMMYFUNCTION("QUERY('Volunteer Survey'!P969)"),"")</f>
        <v/>
      </c>
    </row>
    <row r="971" spans="1:41" ht="14">
      <c r="A971" s="49"/>
      <c r="B971" s="49"/>
      <c r="C971" s="47"/>
      <c r="D971" s="49"/>
      <c r="E971" s="49"/>
      <c r="F971" s="49" t="b">
        <v>0</v>
      </c>
      <c r="G971" s="49"/>
      <c r="H971" s="47"/>
      <c r="I971" s="47"/>
      <c r="J971" s="49"/>
      <c r="K971" s="49"/>
      <c r="L971" s="49"/>
      <c r="M971" s="49"/>
      <c r="N971" s="49"/>
      <c r="O971" s="49" t="b">
        <v>0</v>
      </c>
      <c r="P971" s="49"/>
      <c r="Q971" s="49"/>
      <c r="R971" s="49"/>
      <c r="S971" s="49"/>
      <c r="T971" s="49"/>
      <c r="U971" s="58"/>
      <c r="V971" s="49"/>
      <c r="W971" s="58"/>
      <c r="X971" s="49"/>
      <c r="Y971" s="47"/>
      <c r="Z971" s="175" t="str">
        <f ca="1">IFERROR(__xludf.DUMMYFUNCTION("QUERY('Volunteer Survey'!A970)"),"")</f>
        <v/>
      </c>
      <c r="AA971" s="175" t="str">
        <f ca="1">IFERROR(__xludf.DUMMYFUNCTION("QUERY('Volunteer Survey'!B970)"),"")</f>
        <v/>
      </c>
      <c r="AB971" s="175" t="str">
        <f ca="1">IFERROR(__xludf.DUMMYFUNCTION("QUERY('Volunteer Survey'!C970)"),"")</f>
        <v/>
      </c>
      <c r="AC971" s="175" t="str">
        <f ca="1">IFERROR(__xludf.DUMMYFUNCTION("QUERY('Volunteer Survey'!D970)"),"")</f>
        <v/>
      </c>
      <c r="AD971" s="175" t="str">
        <f ca="1">IFERROR(__xludf.DUMMYFUNCTION("QUERY('Volunteer Survey'!E970)"),"")</f>
        <v/>
      </c>
      <c r="AE971" s="175" t="str">
        <f ca="1">IFERROR(__xludf.DUMMYFUNCTION("QUERY('Volunteer Survey'!F970)"),"")</f>
        <v/>
      </c>
      <c r="AF971" s="175" t="str">
        <f ca="1">IFERROR(__xludf.DUMMYFUNCTION("QUERY('Volunteer Survey'!G970)"),"")</f>
        <v/>
      </c>
      <c r="AG971" s="175" t="str">
        <f ca="1">IFERROR(__xludf.DUMMYFUNCTION("QUERY('Volunteer Survey'!H970)"),"")</f>
        <v/>
      </c>
      <c r="AH971" s="175" t="str">
        <f ca="1">IFERROR(__xludf.DUMMYFUNCTION("QUERY('Volunteer Survey'!I970)"),"")</f>
        <v/>
      </c>
      <c r="AI971" s="175" t="str">
        <f ca="1">IFERROR(__xludf.DUMMYFUNCTION("QUERY('Volunteer Survey'!J970)"),"")</f>
        <v/>
      </c>
      <c r="AJ971" s="175" t="str">
        <f ca="1">IFERROR(__xludf.DUMMYFUNCTION("QUERY('Volunteer Survey'!K970)"),"")</f>
        <v/>
      </c>
      <c r="AK971" s="175" t="str">
        <f ca="1">IFERROR(__xludf.DUMMYFUNCTION("QUERY('Volunteer Survey'!L970)"),"")</f>
        <v/>
      </c>
      <c r="AL971" s="175" t="str">
        <f ca="1">IFERROR(__xludf.DUMMYFUNCTION("QUERY('Volunteer Survey'!M970)"),"")</f>
        <v/>
      </c>
      <c r="AM971" s="175" t="str">
        <f ca="1">IFERROR(__xludf.DUMMYFUNCTION("QUERY('Volunteer Survey'!N970)"),"")</f>
        <v/>
      </c>
      <c r="AN971" s="175" t="str">
        <f ca="1">IFERROR(__xludf.DUMMYFUNCTION("QUERY('Volunteer Survey'!O970)"),"")</f>
        <v/>
      </c>
      <c r="AO971" s="175" t="str">
        <f ca="1">IFERROR(__xludf.DUMMYFUNCTION("QUERY('Volunteer Survey'!P970)"),"")</f>
        <v/>
      </c>
    </row>
    <row r="972" spans="1:41" ht="14">
      <c r="A972" s="49"/>
      <c r="B972" s="49"/>
      <c r="C972" s="47"/>
      <c r="D972" s="49"/>
      <c r="E972" s="49"/>
      <c r="F972" s="49" t="b">
        <v>0</v>
      </c>
      <c r="G972" s="49"/>
      <c r="H972" s="47"/>
      <c r="I972" s="47"/>
      <c r="J972" s="49"/>
      <c r="K972" s="49"/>
      <c r="L972" s="49"/>
      <c r="M972" s="49"/>
      <c r="N972" s="49"/>
      <c r="O972" s="49" t="b">
        <v>0</v>
      </c>
      <c r="P972" s="49"/>
      <c r="Q972" s="49"/>
      <c r="R972" s="49"/>
      <c r="S972" s="49"/>
      <c r="T972" s="49"/>
      <c r="U972" s="58"/>
      <c r="V972" s="49"/>
      <c r="W972" s="58"/>
      <c r="X972" s="49"/>
      <c r="Y972" s="47"/>
      <c r="Z972" s="175" t="str">
        <f ca="1">IFERROR(__xludf.DUMMYFUNCTION("QUERY('Volunteer Survey'!A971)"),"")</f>
        <v/>
      </c>
      <c r="AA972" s="175" t="str">
        <f ca="1">IFERROR(__xludf.DUMMYFUNCTION("QUERY('Volunteer Survey'!B971)"),"")</f>
        <v/>
      </c>
      <c r="AB972" s="175" t="str">
        <f ca="1">IFERROR(__xludf.DUMMYFUNCTION("QUERY('Volunteer Survey'!C971)"),"")</f>
        <v/>
      </c>
      <c r="AC972" s="175" t="str">
        <f ca="1">IFERROR(__xludf.DUMMYFUNCTION("QUERY('Volunteer Survey'!D971)"),"")</f>
        <v/>
      </c>
      <c r="AD972" s="175" t="str">
        <f ca="1">IFERROR(__xludf.DUMMYFUNCTION("QUERY('Volunteer Survey'!E971)"),"")</f>
        <v/>
      </c>
      <c r="AE972" s="175" t="str">
        <f ca="1">IFERROR(__xludf.DUMMYFUNCTION("QUERY('Volunteer Survey'!F971)"),"")</f>
        <v/>
      </c>
      <c r="AF972" s="175" t="str">
        <f ca="1">IFERROR(__xludf.DUMMYFUNCTION("QUERY('Volunteer Survey'!G971)"),"")</f>
        <v/>
      </c>
      <c r="AG972" s="175" t="str">
        <f ca="1">IFERROR(__xludf.DUMMYFUNCTION("QUERY('Volunteer Survey'!H971)"),"")</f>
        <v/>
      </c>
      <c r="AH972" s="175" t="str">
        <f ca="1">IFERROR(__xludf.DUMMYFUNCTION("QUERY('Volunteer Survey'!I971)"),"")</f>
        <v/>
      </c>
      <c r="AI972" s="175" t="str">
        <f ca="1">IFERROR(__xludf.DUMMYFUNCTION("QUERY('Volunteer Survey'!J971)"),"")</f>
        <v/>
      </c>
      <c r="AJ972" s="175" t="str">
        <f ca="1">IFERROR(__xludf.DUMMYFUNCTION("QUERY('Volunteer Survey'!K971)"),"")</f>
        <v/>
      </c>
      <c r="AK972" s="175" t="str">
        <f ca="1">IFERROR(__xludf.DUMMYFUNCTION("QUERY('Volunteer Survey'!L971)"),"")</f>
        <v/>
      </c>
      <c r="AL972" s="175" t="str">
        <f ca="1">IFERROR(__xludf.DUMMYFUNCTION("QUERY('Volunteer Survey'!M971)"),"")</f>
        <v/>
      </c>
      <c r="AM972" s="175" t="str">
        <f ca="1">IFERROR(__xludf.DUMMYFUNCTION("QUERY('Volunteer Survey'!N971)"),"")</f>
        <v/>
      </c>
      <c r="AN972" s="175" t="str">
        <f ca="1">IFERROR(__xludf.DUMMYFUNCTION("QUERY('Volunteer Survey'!O971)"),"")</f>
        <v/>
      </c>
      <c r="AO972" s="175" t="str">
        <f ca="1">IFERROR(__xludf.DUMMYFUNCTION("QUERY('Volunteer Survey'!P971)"),"")</f>
        <v/>
      </c>
    </row>
    <row r="973" spans="1:41" ht="14">
      <c r="A973" s="49"/>
      <c r="B973" s="49"/>
      <c r="C973" s="47"/>
      <c r="D973" s="49"/>
      <c r="E973" s="49"/>
      <c r="F973" s="49" t="b">
        <v>0</v>
      </c>
      <c r="G973" s="49"/>
      <c r="H973" s="47"/>
      <c r="I973" s="47"/>
      <c r="J973" s="49"/>
      <c r="K973" s="49"/>
      <c r="L973" s="49"/>
      <c r="M973" s="49"/>
      <c r="N973" s="49"/>
      <c r="O973" s="49" t="b">
        <v>0</v>
      </c>
      <c r="P973" s="49"/>
      <c r="Q973" s="49"/>
      <c r="R973" s="49"/>
      <c r="S973" s="49"/>
      <c r="T973" s="49"/>
      <c r="U973" s="58"/>
      <c r="V973" s="49"/>
      <c r="W973" s="58"/>
      <c r="X973" s="49"/>
      <c r="Y973" s="47"/>
      <c r="Z973" s="175" t="str">
        <f ca="1">IFERROR(__xludf.DUMMYFUNCTION("QUERY('Volunteer Survey'!A972)"),"")</f>
        <v/>
      </c>
      <c r="AA973" s="175" t="str">
        <f ca="1">IFERROR(__xludf.DUMMYFUNCTION("QUERY('Volunteer Survey'!B972)"),"")</f>
        <v/>
      </c>
      <c r="AB973" s="175" t="str">
        <f ca="1">IFERROR(__xludf.DUMMYFUNCTION("QUERY('Volunteer Survey'!C972)"),"")</f>
        <v/>
      </c>
      <c r="AC973" s="175" t="str">
        <f ca="1">IFERROR(__xludf.DUMMYFUNCTION("QUERY('Volunteer Survey'!D972)"),"")</f>
        <v/>
      </c>
      <c r="AD973" s="175" t="str">
        <f ca="1">IFERROR(__xludf.DUMMYFUNCTION("QUERY('Volunteer Survey'!E972)"),"")</f>
        <v/>
      </c>
      <c r="AE973" s="175" t="str">
        <f ca="1">IFERROR(__xludf.DUMMYFUNCTION("QUERY('Volunteer Survey'!F972)"),"")</f>
        <v/>
      </c>
      <c r="AF973" s="175" t="str">
        <f ca="1">IFERROR(__xludf.DUMMYFUNCTION("QUERY('Volunteer Survey'!G972)"),"")</f>
        <v/>
      </c>
      <c r="AG973" s="175" t="str">
        <f ca="1">IFERROR(__xludf.DUMMYFUNCTION("QUERY('Volunteer Survey'!H972)"),"")</f>
        <v/>
      </c>
      <c r="AH973" s="175" t="str">
        <f ca="1">IFERROR(__xludf.DUMMYFUNCTION("QUERY('Volunteer Survey'!I972)"),"")</f>
        <v/>
      </c>
      <c r="AI973" s="175" t="str">
        <f ca="1">IFERROR(__xludf.DUMMYFUNCTION("QUERY('Volunteer Survey'!J972)"),"")</f>
        <v/>
      </c>
      <c r="AJ973" s="175" t="str">
        <f ca="1">IFERROR(__xludf.DUMMYFUNCTION("QUERY('Volunteer Survey'!K972)"),"")</f>
        <v/>
      </c>
      <c r="AK973" s="175" t="str">
        <f ca="1">IFERROR(__xludf.DUMMYFUNCTION("QUERY('Volunteer Survey'!L972)"),"")</f>
        <v/>
      </c>
      <c r="AL973" s="175" t="str">
        <f ca="1">IFERROR(__xludf.DUMMYFUNCTION("QUERY('Volunteer Survey'!M972)"),"")</f>
        <v/>
      </c>
      <c r="AM973" s="175" t="str">
        <f ca="1">IFERROR(__xludf.DUMMYFUNCTION("QUERY('Volunteer Survey'!N972)"),"")</f>
        <v/>
      </c>
      <c r="AN973" s="175" t="str">
        <f ca="1">IFERROR(__xludf.DUMMYFUNCTION("QUERY('Volunteer Survey'!O972)"),"")</f>
        <v/>
      </c>
      <c r="AO973" s="175" t="str">
        <f ca="1">IFERROR(__xludf.DUMMYFUNCTION("QUERY('Volunteer Survey'!P972)"),"")</f>
        <v/>
      </c>
    </row>
    <row r="974" spans="1:41" ht="14">
      <c r="A974" s="49"/>
      <c r="B974" s="49"/>
      <c r="C974" s="47"/>
      <c r="D974" s="49"/>
      <c r="E974" s="49"/>
      <c r="F974" s="49" t="b">
        <v>0</v>
      </c>
      <c r="G974" s="49"/>
      <c r="H974" s="47"/>
      <c r="I974" s="47"/>
      <c r="J974" s="49"/>
      <c r="K974" s="49"/>
      <c r="L974" s="49"/>
      <c r="M974" s="49"/>
      <c r="N974" s="49"/>
      <c r="O974" s="49" t="b">
        <v>0</v>
      </c>
      <c r="P974" s="49"/>
      <c r="Q974" s="49"/>
      <c r="R974" s="49"/>
      <c r="S974" s="49"/>
      <c r="T974" s="49"/>
      <c r="U974" s="58"/>
      <c r="V974" s="49"/>
      <c r="W974" s="58"/>
      <c r="X974" s="49"/>
      <c r="Y974" s="47"/>
      <c r="Z974" s="175" t="str">
        <f ca="1">IFERROR(__xludf.DUMMYFUNCTION("QUERY('Volunteer Survey'!A973)"),"")</f>
        <v/>
      </c>
      <c r="AA974" s="175" t="str">
        <f ca="1">IFERROR(__xludf.DUMMYFUNCTION("QUERY('Volunteer Survey'!B973)"),"")</f>
        <v/>
      </c>
      <c r="AB974" s="175" t="str">
        <f ca="1">IFERROR(__xludf.DUMMYFUNCTION("QUERY('Volunteer Survey'!C973)"),"")</f>
        <v/>
      </c>
      <c r="AC974" s="175" t="str">
        <f ca="1">IFERROR(__xludf.DUMMYFUNCTION("QUERY('Volunteer Survey'!D973)"),"")</f>
        <v/>
      </c>
      <c r="AD974" s="175" t="str">
        <f ca="1">IFERROR(__xludf.DUMMYFUNCTION("QUERY('Volunteer Survey'!E973)"),"")</f>
        <v/>
      </c>
      <c r="AE974" s="175" t="str">
        <f ca="1">IFERROR(__xludf.DUMMYFUNCTION("QUERY('Volunteer Survey'!F973)"),"")</f>
        <v/>
      </c>
      <c r="AF974" s="175" t="str">
        <f ca="1">IFERROR(__xludf.DUMMYFUNCTION("QUERY('Volunteer Survey'!G973)"),"")</f>
        <v/>
      </c>
      <c r="AG974" s="175" t="str">
        <f ca="1">IFERROR(__xludf.DUMMYFUNCTION("QUERY('Volunteer Survey'!H973)"),"")</f>
        <v/>
      </c>
      <c r="AH974" s="175" t="str">
        <f ca="1">IFERROR(__xludf.DUMMYFUNCTION("QUERY('Volunteer Survey'!I973)"),"")</f>
        <v/>
      </c>
      <c r="AI974" s="175" t="str">
        <f ca="1">IFERROR(__xludf.DUMMYFUNCTION("QUERY('Volunteer Survey'!J973)"),"")</f>
        <v/>
      </c>
      <c r="AJ974" s="175" t="str">
        <f ca="1">IFERROR(__xludf.DUMMYFUNCTION("QUERY('Volunteer Survey'!K973)"),"")</f>
        <v/>
      </c>
      <c r="AK974" s="175" t="str">
        <f ca="1">IFERROR(__xludf.DUMMYFUNCTION("QUERY('Volunteer Survey'!L973)"),"")</f>
        <v/>
      </c>
      <c r="AL974" s="175" t="str">
        <f ca="1">IFERROR(__xludf.DUMMYFUNCTION("QUERY('Volunteer Survey'!M973)"),"")</f>
        <v/>
      </c>
      <c r="AM974" s="175" t="str">
        <f ca="1">IFERROR(__xludf.DUMMYFUNCTION("QUERY('Volunteer Survey'!N973)"),"")</f>
        <v/>
      </c>
      <c r="AN974" s="175" t="str">
        <f ca="1">IFERROR(__xludf.DUMMYFUNCTION("QUERY('Volunteer Survey'!O973)"),"")</f>
        <v/>
      </c>
      <c r="AO974" s="175" t="str">
        <f ca="1">IFERROR(__xludf.DUMMYFUNCTION("QUERY('Volunteer Survey'!P973)"),"")</f>
        <v/>
      </c>
    </row>
    <row r="975" spans="1:41" ht="14">
      <c r="A975" s="49"/>
      <c r="B975" s="49"/>
      <c r="C975" s="47"/>
      <c r="D975" s="49"/>
      <c r="E975" s="49"/>
      <c r="F975" s="49" t="b">
        <v>0</v>
      </c>
      <c r="G975" s="49"/>
      <c r="H975" s="47"/>
      <c r="I975" s="47"/>
      <c r="J975" s="49"/>
      <c r="K975" s="49"/>
      <c r="L975" s="49"/>
      <c r="M975" s="49"/>
      <c r="N975" s="49"/>
      <c r="O975" s="49" t="b">
        <v>0</v>
      </c>
      <c r="P975" s="49"/>
      <c r="Q975" s="49"/>
      <c r="R975" s="49"/>
      <c r="S975" s="49"/>
      <c r="T975" s="49"/>
      <c r="U975" s="58"/>
      <c r="V975" s="49"/>
      <c r="W975" s="58"/>
      <c r="X975" s="49"/>
      <c r="Y975" s="47"/>
      <c r="Z975" s="175" t="str">
        <f ca="1">IFERROR(__xludf.DUMMYFUNCTION("QUERY('Volunteer Survey'!A974)"),"")</f>
        <v/>
      </c>
      <c r="AA975" s="175" t="str">
        <f ca="1">IFERROR(__xludf.DUMMYFUNCTION("QUERY('Volunteer Survey'!B974)"),"")</f>
        <v/>
      </c>
      <c r="AB975" s="175" t="str">
        <f ca="1">IFERROR(__xludf.DUMMYFUNCTION("QUERY('Volunteer Survey'!C974)"),"")</f>
        <v/>
      </c>
      <c r="AC975" s="175" t="str">
        <f ca="1">IFERROR(__xludf.DUMMYFUNCTION("QUERY('Volunteer Survey'!D974)"),"")</f>
        <v/>
      </c>
      <c r="AD975" s="175" t="str">
        <f ca="1">IFERROR(__xludf.DUMMYFUNCTION("QUERY('Volunteer Survey'!E974)"),"")</f>
        <v/>
      </c>
      <c r="AE975" s="175" t="str">
        <f ca="1">IFERROR(__xludf.DUMMYFUNCTION("QUERY('Volunteer Survey'!F974)"),"")</f>
        <v/>
      </c>
      <c r="AF975" s="175" t="str">
        <f ca="1">IFERROR(__xludf.DUMMYFUNCTION("QUERY('Volunteer Survey'!G974)"),"")</f>
        <v/>
      </c>
      <c r="AG975" s="175" t="str">
        <f ca="1">IFERROR(__xludf.DUMMYFUNCTION("QUERY('Volunteer Survey'!H974)"),"")</f>
        <v/>
      </c>
      <c r="AH975" s="175" t="str">
        <f ca="1">IFERROR(__xludf.DUMMYFUNCTION("QUERY('Volunteer Survey'!I974)"),"")</f>
        <v/>
      </c>
      <c r="AI975" s="175" t="str">
        <f ca="1">IFERROR(__xludf.DUMMYFUNCTION("QUERY('Volunteer Survey'!J974)"),"")</f>
        <v/>
      </c>
      <c r="AJ975" s="175" t="str">
        <f ca="1">IFERROR(__xludf.DUMMYFUNCTION("QUERY('Volunteer Survey'!K974)"),"")</f>
        <v/>
      </c>
      <c r="AK975" s="175" t="str">
        <f ca="1">IFERROR(__xludf.DUMMYFUNCTION("QUERY('Volunteer Survey'!L974)"),"")</f>
        <v/>
      </c>
      <c r="AL975" s="175" t="str">
        <f ca="1">IFERROR(__xludf.DUMMYFUNCTION("QUERY('Volunteer Survey'!M974)"),"")</f>
        <v/>
      </c>
      <c r="AM975" s="175" t="str">
        <f ca="1">IFERROR(__xludf.DUMMYFUNCTION("QUERY('Volunteer Survey'!N974)"),"")</f>
        <v/>
      </c>
      <c r="AN975" s="175" t="str">
        <f ca="1">IFERROR(__xludf.DUMMYFUNCTION("QUERY('Volunteer Survey'!O974)"),"")</f>
        <v/>
      </c>
      <c r="AO975" s="175" t="str">
        <f ca="1">IFERROR(__xludf.DUMMYFUNCTION("QUERY('Volunteer Survey'!P974)"),"")</f>
        <v/>
      </c>
    </row>
    <row r="976" spans="1:41" ht="14">
      <c r="A976" s="49"/>
      <c r="B976" s="49"/>
      <c r="C976" s="47"/>
      <c r="D976" s="49"/>
      <c r="E976" s="49"/>
      <c r="F976" s="49" t="b">
        <v>0</v>
      </c>
      <c r="G976" s="49"/>
      <c r="H976" s="47"/>
      <c r="I976" s="47"/>
      <c r="J976" s="49"/>
      <c r="K976" s="49"/>
      <c r="L976" s="49"/>
      <c r="M976" s="49"/>
      <c r="N976" s="49"/>
      <c r="O976" s="49" t="b">
        <v>0</v>
      </c>
      <c r="P976" s="49"/>
      <c r="Q976" s="49"/>
      <c r="R976" s="49"/>
      <c r="S976" s="49"/>
      <c r="T976" s="49"/>
      <c r="U976" s="58"/>
      <c r="V976" s="49"/>
      <c r="W976" s="58"/>
      <c r="X976" s="49"/>
      <c r="Y976" s="47"/>
      <c r="Z976" s="175" t="str">
        <f ca="1">IFERROR(__xludf.DUMMYFUNCTION("QUERY('Volunteer Survey'!A975)"),"")</f>
        <v/>
      </c>
      <c r="AA976" s="175" t="str">
        <f ca="1">IFERROR(__xludf.DUMMYFUNCTION("QUERY('Volunteer Survey'!B975)"),"")</f>
        <v/>
      </c>
      <c r="AB976" s="175" t="str">
        <f ca="1">IFERROR(__xludf.DUMMYFUNCTION("QUERY('Volunteer Survey'!C975)"),"")</f>
        <v/>
      </c>
      <c r="AC976" s="175" t="str">
        <f ca="1">IFERROR(__xludf.DUMMYFUNCTION("QUERY('Volunteer Survey'!D975)"),"")</f>
        <v/>
      </c>
      <c r="AD976" s="175" t="str">
        <f ca="1">IFERROR(__xludf.DUMMYFUNCTION("QUERY('Volunteer Survey'!E975)"),"")</f>
        <v/>
      </c>
      <c r="AE976" s="175" t="str">
        <f ca="1">IFERROR(__xludf.DUMMYFUNCTION("QUERY('Volunteer Survey'!F975)"),"")</f>
        <v/>
      </c>
      <c r="AF976" s="175" t="str">
        <f ca="1">IFERROR(__xludf.DUMMYFUNCTION("QUERY('Volunteer Survey'!G975)"),"")</f>
        <v/>
      </c>
      <c r="AG976" s="175" t="str">
        <f ca="1">IFERROR(__xludf.DUMMYFUNCTION("QUERY('Volunteer Survey'!H975)"),"")</f>
        <v/>
      </c>
      <c r="AH976" s="175" t="str">
        <f ca="1">IFERROR(__xludf.DUMMYFUNCTION("QUERY('Volunteer Survey'!I975)"),"")</f>
        <v/>
      </c>
      <c r="AI976" s="175" t="str">
        <f ca="1">IFERROR(__xludf.DUMMYFUNCTION("QUERY('Volunteer Survey'!J975)"),"")</f>
        <v/>
      </c>
      <c r="AJ976" s="175" t="str">
        <f ca="1">IFERROR(__xludf.DUMMYFUNCTION("QUERY('Volunteer Survey'!K975)"),"")</f>
        <v/>
      </c>
      <c r="AK976" s="175" t="str">
        <f ca="1">IFERROR(__xludf.DUMMYFUNCTION("QUERY('Volunteer Survey'!L975)"),"")</f>
        <v/>
      </c>
      <c r="AL976" s="175" t="str">
        <f ca="1">IFERROR(__xludf.DUMMYFUNCTION("QUERY('Volunteer Survey'!M975)"),"")</f>
        <v/>
      </c>
      <c r="AM976" s="175" t="str">
        <f ca="1">IFERROR(__xludf.DUMMYFUNCTION("QUERY('Volunteer Survey'!N975)"),"")</f>
        <v/>
      </c>
      <c r="AN976" s="175" t="str">
        <f ca="1">IFERROR(__xludf.DUMMYFUNCTION("QUERY('Volunteer Survey'!O975)"),"")</f>
        <v/>
      </c>
      <c r="AO976" s="175" t="str">
        <f ca="1">IFERROR(__xludf.DUMMYFUNCTION("QUERY('Volunteer Survey'!P975)"),"")</f>
        <v/>
      </c>
    </row>
    <row r="977" spans="1:41" ht="14">
      <c r="A977" s="49"/>
      <c r="B977" s="49"/>
      <c r="C977" s="47"/>
      <c r="D977" s="49"/>
      <c r="E977" s="49"/>
      <c r="F977" s="49" t="b">
        <v>0</v>
      </c>
      <c r="G977" s="49"/>
      <c r="H977" s="47"/>
      <c r="I977" s="47"/>
      <c r="J977" s="49"/>
      <c r="K977" s="49"/>
      <c r="L977" s="49"/>
      <c r="M977" s="49"/>
      <c r="N977" s="49"/>
      <c r="O977" s="49" t="b">
        <v>0</v>
      </c>
      <c r="P977" s="49"/>
      <c r="Q977" s="49"/>
      <c r="R977" s="49"/>
      <c r="S977" s="49"/>
      <c r="T977" s="49"/>
      <c r="U977" s="58"/>
      <c r="V977" s="49"/>
      <c r="W977" s="58"/>
      <c r="X977" s="49"/>
      <c r="Y977" s="47"/>
      <c r="Z977" s="175" t="str">
        <f ca="1">IFERROR(__xludf.DUMMYFUNCTION("QUERY('Volunteer Survey'!A976)"),"")</f>
        <v/>
      </c>
      <c r="AA977" s="175" t="str">
        <f ca="1">IFERROR(__xludf.DUMMYFUNCTION("QUERY('Volunteer Survey'!B976)"),"")</f>
        <v/>
      </c>
      <c r="AB977" s="175" t="str">
        <f ca="1">IFERROR(__xludf.DUMMYFUNCTION("QUERY('Volunteer Survey'!C976)"),"")</f>
        <v/>
      </c>
      <c r="AC977" s="175" t="str">
        <f ca="1">IFERROR(__xludf.DUMMYFUNCTION("QUERY('Volunteer Survey'!D976)"),"")</f>
        <v/>
      </c>
      <c r="AD977" s="175" t="str">
        <f ca="1">IFERROR(__xludf.DUMMYFUNCTION("QUERY('Volunteer Survey'!E976)"),"")</f>
        <v/>
      </c>
      <c r="AE977" s="175" t="str">
        <f ca="1">IFERROR(__xludf.DUMMYFUNCTION("QUERY('Volunteer Survey'!F976)"),"")</f>
        <v/>
      </c>
      <c r="AF977" s="175" t="str">
        <f ca="1">IFERROR(__xludf.DUMMYFUNCTION("QUERY('Volunteer Survey'!G976)"),"")</f>
        <v/>
      </c>
      <c r="AG977" s="175" t="str">
        <f ca="1">IFERROR(__xludf.DUMMYFUNCTION("QUERY('Volunteer Survey'!H976)"),"")</f>
        <v/>
      </c>
      <c r="AH977" s="175" t="str">
        <f ca="1">IFERROR(__xludf.DUMMYFUNCTION("QUERY('Volunteer Survey'!I976)"),"")</f>
        <v/>
      </c>
      <c r="AI977" s="175" t="str">
        <f ca="1">IFERROR(__xludf.DUMMYFUNCTION("QUERY('Volunteer Survey'!J976)"),"")</f>
        <v/>
      </c>
      <c r="AJ977" s="175" t="str">
        <f ca="1">IFERROR(__xludf.DUMMYFUNCTION("QUERY('Volunteer Survey'!K976)"),"")</f>
        <v/>
      </c>
      <c r="AK977" s="175" t="str">
        <f ca="1">IFERROR(__xludf.DUMMYFUNCTION("QUERY('Volunteer Survey'!L976)"),"")</f>
        <v/>
      </c>
      <c r="AL977" s="175" t="str">
        <f ca="1">IFERROR(__xludf.DUMMYFUNCTION("QUERY('Volunteer Survey'!M976)"),"")</f>
        <v/>
      </c>
      <c r="AM977" s="175" t="str">
        <f ca="1">IFERROR(__xludf.DUMMYFUNCTION("QUERY('Volunteer Survey'!N976)"),"")</f>
        <v/>
      </c>
      <c r="AN977" s="175" t="str">
        <f ca="1">IFERROR(__xludf.DUMMYFUNCTION("QUERY('Volunteer Survey'!O976)"),"")</f>
        <v/>
      </c>
      <c r="AO977" s="175" t="str">
        <f ca="1">IFERROR(__xludf.DUMMYFUNCTION("QUERY('Volunteer Survey'!P976)"),"")</f>
        <v/>
      </c>
    </row>
    <row r="978" spans="1:41" ht="14">
      <c r="A978" s="49"/>
      <c r="B978" s="49"/>
      <c r="C978" s="47"/>
      <c r="D978" s="49"/>
      <c r="E978" s="49"/>
      <c r="F978" s="49" t="b">
        <v>0</v>
      </c>
      <c r="G978" s="49"/>
      <c r="H978" s="47"/>
      <c r="I978" s="47"/>
      <c r="J978" s="49"/>
      <c r="K978" s="49"/>
      <c r="L978" s="49"/>
      <c r="M978" s="49"/>
      <c r="N978" s="49"/>
      <c r="O978" s="49" t="b">
        <v>0</v>
      </c>
      <c r="P978" s="49"/>
      <c r="Q978" s="49"/>
      <c r="R978" s="49"/>
      <c r="S978" s="49"/>
      <c r="T978" s="49"/>
      <c r="U978" s="58"/>
      <c r="V978" s="49"/>
      <c r="W978" s="58"/>
      <c r="X978" s="49"/>
      <c r="Y978" s="47"/>
      <c r="Z978" s="175" t="str">
        <f ca="1">IFERROR(__xludf.DUMMYFUNCTION("QUERY('Volunteer Survey'!A977)"),"")</f>
        <v/>
      </c>
      <c r="AA978" s="175" t="str">
        <f ca="1">IFERROR(__xludf.DUMMYFUNCTION("QUERY('Volunteer Survey'!B977)"),"")</f>
        <v/>
      </c>
      <c r="AB978" s="175" t="str">
        <f ca="1">IFERROR(__xludf.DUMMYFUNCTION("QUERY('Volunteer Survey'!C977)"),"")</f>
        <v/>
      </c>
      <c r="AC978" s="175" t="str">
        <f ca="1">IFERROR(__xludf.DUMMYFUNCTION("QUERY('Volunteer Survey'!D977)"),"")</f>
        <v/>
      </c>
      <c r="AD978" s="175" t="str">
        <f ca="1">IFERROR(__xludf.DUMMYFUNCTION("QUERY('Volunteer Survey'!E977)"),"")</f>
        <v/>
      </c>
      <c r="AE978" s="175" t="str">
        <f ca="1">IFERROR(__xludf.DUMMYFUNCTION("QUERY('Volunteer Survey'!F977)"),"")</f>
        <v/>
      </c>
      <c r="AF978" s="175" t="str">
        <f ca="1">IFERROR(__xludf.DUMMYFUNCTION("QUERY('Volunteer Survey'!G977)"),"")</f>
        <v/>
      </c>
      <c r="AG978" s="175" t="str">
        <f ca="1">IFERROR(__xludf.DUMMYFUNCTION("QUERY('Volunteer Survey'!H977)"),"")</f>
        <v/>
      </c>
      <c r="AH978" s="175" t="str">
        <f ca="1">IFERROR(__xludf.DUMMYFUNCTION("QUERY('Volunteer Survey'!I977)"),"")</f>
        <v/>
      </c>
      <c r="AI978" s="175" t="str">
        <f ca="1">IFERROR(__xludf.DUMMYFUNCTION("QUERY('Volunteer Survey'!J977)"),"")</f>
        <v/>
      </c>
      <c r="AJ978" s="175" t="str">
        <f ca="1">IFERROR(__xludf.DUMMYFUNCTION("QUERY('Volunteer Survey'!K977)"),"")</f>
        <v/>
      </c>
      <c r="AK978" s="175" t="str">
        <f ca="1">IFERROR(__xludf.DUMMYFUNCTION("QUERY('Volunteer Survey'!L977)"),"")</f>
        <v/>
      </c>
      <c r="AL978" s="175" t="str">
        <f ca="1">IFERROR(__xludf.DUMMYFUNCTION("QUERY('Volunteer Survey'!M977)"),"")</f>
        <v/>
      </c>
      <c r="AM978" s="175" t="str">
        <f ca="1">IFERROR(__xludf.DUMMYFUNCTION("QUERY('Volunteer Survey'!N977)"),"")</f>
        <v/>
      </c>
      <c r="AN978" s="175" t="str">
        <f ca="1">IFERROR(__xludf.DUMMYFUNCTION("QUERY('Volunteer Survey'!O977)"),"")</f>
        <v/>
      </c>
      <c r="AO978" s="175" t="str">
        <f ca="1">IFERROR(__xludf.DUMMYFUNCTION("QUERY('Volunteer Survey'!P977)"),"")</f>
        <v/>
      </c>
    </row>
    <row r="979" spans="1:41" ht="14">
      <c r="A979" s="49"/>
      <c r="B979" s="49"/>
      <c r="C979" s="47"/>
      <c r="D979" s="49"/>
      <c r="E979" s="49"/>
      <c r="F979" s="49" t="b">
        <v>0</v>
      </c>
      <c r="G979" s="49"/>
      <c r="H979" s="47"/>
      <c r="I979" s="47"/>
      <c r="J979" s="49"/>
      <c r="K979" s="49"/>
      <c r="L979" s="49"/>
      <c r="M979" s="49"/>
      <c r="N979" s="49"/>
      <c r="O979" s="49" t="b">
        <v>0</v>
      </c>
      <c r="P979" s="49"/>
      <c r="Q979" s="49"/>
      <c r="R979" s="49"/>
      <c r="S979" s="49"/>
      <c r="T979" s="49"/>
      <c r="U979" s="58"/>
      <c r="V979" s="49"/>
      <c r="W979" s="58"/>
      <c r="X979" s="49"/>
      <c r="Y979" s="47"/>
      <c r="Z979" s="175" t="str">
        <f ca="1">IFERROR(__xludf.DUMMYFUNCTION("QUERY('Volunteer Survey'!A978)"),"")</f>
        <v/>
      </c>
      <c r="AA979" s="175" t="str">
        <f ca="1">IFERROR(__xludf.DUMMYFUNCTION("QUERY('Volunteer Survey'!B978)"),"")</f>
        <v/>
      </c>
      <c r="AB979" s="175" t="str">
        <f ca="1">IFERROR(__xludf.DUMMYFUNCTION("QUERY('Volunteer Survey'!C978)"),"")</f>
        <v/>
      </c>
      <c r="AC979" s="175" t="str">
        <f ca="1">IFERROR(__xludf.DUMMYFUNCTION("QUERY('Volunteer Survey'!D978)"),"")</f>
        <v/>
      </c>
      <c r="AD979" s="175" t="str">
        <f ca="1">IFERROR(__xludf.DUMMYFUNCTION("QUERY('Volunteer Survey'!E978)"),"")</f>
        <v/>
      </c>
      <c r="AE979" s="175" t="str">
        <f ca="1">IFERROR(__xludf.DUMMYFUNCTION("QUERY('Volunteer Survey'!F978)"),"")</f>
        <v/>
      </c>
      <c r="AF979" s="175" t="str">
        <f ca="1">IFERROR(__xludf.DUMMYFUNCTION("QUERY('Volunteer Survey'!G978)"),"")</f>
        <v/>
      </c>
      <c r="AG979" s="175" t="str">
        <f ca="1">IFERROR(__xludf.DUMMYFUNCTION("QUERY('Volunteer Survey'!H978)"),"")</f>
        <v/>
      </c>
      <c r="AH979" s="175" t="str">
        <f ca="1">IFERROR(__xludf.DUMMYFUNCTION("QUERY('Volunteer Survey'!I978)"),"")</f>
        <v/>
      </c>
      <c r="AI979" s="175" t="str">
        <f ca="1">IFERROR(__xludf.DUMMYFUNCTION("QUERY('Volunteer Survey'!J978)"),"")</f>
        <v/>
      </c>
      <c r="AJ979" s="175" t="str">
        <f ca="1">IFERROR(__xludf.DUMMYFUNCTION("QUERY('Volunteer Survey'!K978)"),"")</f>
        <v/>
      </c>
      <c r="AK979" s="175" t="str">
        <f ca="1">IFERROR(__xludf.DUMMYFUNCTION("QUERY('Volunteer Survey'!L978)"),"")</f>
        <v/>
      </c>
      <c r="AL979" s="175" t="str">
        <f ca="1">IFERROR(__xludf.DUMMYFUNCTION("QUERY('Volunteer Survey'!M978)"),"")</f>
        <v/>
      </c>
      <c r="AM979" s="175" t="str">
        <f ca="1">IFERROR(__xludf.DUMMYFUNCTION("QUERY('Volunteer Survey'!N978)"),"")</f>
        <v/>
      </c>
      <c r="AN979" s="175" t="str">
        <f ca="1">IFERROR(__xludf.DUMMYFUNCTION("QUERY('Volunteer Survey'!O978)"),"")</f>
        <v/>
      </c>
      <c r="AO979" s="175" t="str">
        <f ca="1">IFERROR(__xludf.DUMMYFUNCTION("QUERY('Volunteer Survey'!P978)"),"")</f>
        <v/>
      </c>
    </row>
    <row r="980" spans="1:41" ht="14">
      <c r="A980" s="49"/>
      <c r="B980" s="49"/>
      <c r="C980" s="47"/>
      <c r="D980" s="49"/>
      <c r="E980" s="49"/>
      <c r="F980" s="49" t="b">
        <v>0</v>
      </c>
      <c r="G980" s="49"/>
      <c r="H980" s="47"/>
      <c r="I980" s="47"/>
      <c r="J980" s="49"/>
      <c r="K980" s="49"/>
      <c r="L980" s="49"/>
      <c r="M980" s="49"/>
      <c r="N980" s="49"/>
      <c r="O980" s="49" t="b">
        <v>0</v>
      </c>
      <c r="P980" s="49"/>
      <c r="Q980" s="49"/>
      <c r="R980" s="49"/>
      <c r="S980" s="49"/>
      <c r="T980" s="49"/>
      <c r="U980" s="58"/>
      <c r="V980" s="49"/>
      <c r="W980" s="58"/>
      <c r="X980" s="49"/>
      <c r="Y980" s="47"/>
      <c r="Z980" s="175" t="str">
        <f ca="1">IFERROR(__xludf.DUMMYFUNCTION("QUERY('Volunteer Survey'!A979)"),"")</f>
        <v/>
      </c>
      <c r="AA980" s="175" t="str">
        <f ca="1">IFERROR(__xludf.DUMMYFUNCTION("QUERY('Volunteer Survey'!B979)"),"")</f>
        <v/>
      </c>
      <c r="AB980" s="175" t="str">
        <f ca="1">IFERROR(__xludf.DUMMYFUNCTION("QUERY('Volunteer Survey'!C979)"),"")</f>
        <v/>
      </c>
      <c r="AC980" s="175" t="str">
        <f ca="1">IFERROR(__xludf.DUMMYFUNCTION("QUERY('Volunteer Survey'!D979)"),"")</f>
        <v/>
      </c>
      <c r="AD980" s="175" t="str">
        <f ca="1">IFERROR(__xludf.DUMMYFUNCTION("QUERY('Volunteer Survey'!E979)"),"")</f>
        <v/>
      </c>
      <c r="AE980" s="175" t="str">
        <f ca="1">IFERROR(__xludf.DUMMYFUNCTION("QUERY('Volunteer Survey'!F979)"),"")</f>
        <v/>
      </c>
      <c r="AF980" s="175" t="str">
        <f ca="1">IFERROR(__xludf.DUMMYFUNCTION("QUERY('Volunteer Survey'!G979)"),"")</f>
        <v/>
      </c>
      <c r="AG980" s="175" t="str">
        <f ca="1">IFERROR(__xludf.DUMMYFUNCTION("QUERY('Volunteer Survey'!H979)"),"")</f>
        <v/>
      </c>
      <c r="AH980" s="175" t="str">
        <f ca="1">IFERROR(__xludf.DUMMYFUNCTION("QUERY('Volunteer Survey'!I979)"),"")</f>
        <v/>
      </c>
      <c r="AI980" s="175" t="str">
        <f ca="1">IFERROR(__xludf.DUMMYFUNCTION("QUERY('Volunteer Survey'!J979)"),"")</f>
        <v/>
      </c>
      <c r="AJ980" s="175" t="str">
        <f ca="1">IFERROR(__xludf.DUMMYFUNCTION("QUERY('Volunteer Survey'!K979)"),"")</f>
        <v/>
      </c>
      <c r="AK980" s="175" t="str">
        <f ca="1">IFERROR(__xludf.DUMMYFUNCTION("QUERY('Volunteer Survey'!L979)"),"")</f>
        <v/>
      </c>
      <c r="AL980" s="175" t="str">
        <f ca="1">IFERROR(__xludf.DUMMYFUNCTION("QUERY('Volunteer Survey'!M979)"),"")</f>
        <v/>
      </c>
      <c r="AM980" s="175" t="str">
        <f ca="1">IFERROR(__xludf.DUMMYFUNCTION("QUERY('Volunteer Survey'!N979)"),"")</f>
        <v/>
      </c>
      <c r="AN980" s="175" t="str">
        <f ca="1">IFERROR(__xludf.DUMMYFUNCTION("QUERY('Volunteer Survey'!O979)"),"")</f>
        <v/>
      </c>
      <c r="AO980" s="175" t="str">
        <f ca="1">IFERROR(__xludf.DUMMYFUNCTION("QUERY('Volunteer Survey'!P979)"),"")</f>
        <v/>
      </c>
    </row>
    <row r="981" spans="1:41" ht="14">
      <c r="A981" s="49"/>
      <c r="B981" s="49"/>
      <c r="C981" s="47"/>
      <c r="D981" s="49"/>
      <c r="E981" s="49"/>
      <c r="F981" s="49" t="b">
        <v>0</v>
      </c>
      <c r="G981" s="49"/>
      <c r="H981" s="47"/>
      <c r="I981" s="47"/>
      <c r="J981" s="49"/>
      <c r="K981" s="49"/>
      <c r="L981" s="49"/>
      <c r="M981" s="49"/>
      <c r="N981" s="49"/>
      <c r="O981" s="49" t="b">
        <v>0</v>
      </c>
      <c r="P981" s="49"/>
      <c r="Q981" s="49"/>
      <c r="R981" s="49"/>
      <c r="S981" s="49"/>
      <c r="T981" s="49"/>
      <c r="U981" s="58"/>
      <c r="V981" s="49"/>
      <c r="W981" s="58"/>
      <c r="X981" s="49"/>
      <c r="Y981" s="47"/>
      <c r="Z981" s="175" t="str">
        <f ca="1">IFERROR(__xludf.DUMMYFUNCTION("QUERY('Volunteer Survey'!A980)"),"")</f>
        <v/>
      </c>
      <c r="AA981" s="175" t="str">
        <f ca="1">IFERROR(__xludf.DUMMYFUNCTION("QUERY('Volunteer Survey'!B980)"),"")</f>
        <v/>
      </c>
      <c r="AB981" s="175" t="str">
        <f ca="1">IFERROR(__xludf.DUMMYFUNCTION("QUERY('Volunteer Survey'!C980)"),"")</f>
        <v/>
      </c>
      <c r="AC981" s="175" t="str">
        <f ca="1">IFERROR(__xludf.DUMMYFUNCTION("QUERY('Volunteer Survey'!D980)"),"")</f>
        <v/>
      </c>
      <c r="AD981" s="175" t="str">
        <f ca="1">IFERROR(__xludf.DUMMYFUNCTION("QUERY('Volunteer Survey'!E980)"),"")</f>
        <v/>
      </c>
      <c r="AE981" s="175" t="str">
        <f ca="1">IFERROR(__xludf.DUMMYFUNCTION("QUERY('Volunteer Survey'!F980)"),"")</f>
        <v/>
      </c>
      <c r="AF981" s="175" t="str">
        <f ca="1">IFERROR(__xludf.DUMMYFUNCTION("QUERY('Volunteer Survey'!G980)"),"")</f>
        <v/>
      </c>
      <c r="AG981" s="175" t="str">
        <f ca="1">IFERROR(__xludf.DUMMYFUNCTION("QUERY('Volunteer Survey'!H980)"),"")</f>
        <v/>
      </c>
      <c r="AH981" s="175" t="str">
        <f ca="1">IFERROR(__xludf.DUMMYFUNCTION("QUERY('Volunteer Survey'!I980)"),"")</f>
        <v/>
      </c>
      <c r="AI981" s="175" t="str">
        <f ca="1">IFERROR(__xludf.DUMMYFUNCTION("QUERY('Volunteer Survey'!J980)"),"")</f>
        <v/>
      </c>
      <c r="AJ981" s="175" t="str">
        <f ca="1">IFERROR(__xludf.DUMMYFUNCTION("QUERY('Volunteer Survey'!K980)"),"")</f>
        <v/>
      </c>
      <c r="AK981" s="175" t="str">
        <f ca="1">IFERROR(__xludf.DUMMYFUNCTION("QUERY('Volunteer Survey'!L980)"),"")</f>
        <v/>
      </c>
      <c r="AL981" s="175" t="str">
        <f ca="1">IFERROR(__xludf.DUMMYFUNCTION("QUERY('Volunteer Survey'!M980)"),"")</f>
        <v/>
      </c>
      <c r="AM981" s="175" t="str">
        <f ca="1">IFERROR(__xludf.DUMMYFUNCTION("QUERY('Volunteer Survey'!N980)"),"")</f>
        <v/>
      </c>
      <c r="AN981" s="175" t="str">
        <f ca="1">IFERROR(__xludf.DUMMYFUNCTION("QUERY('Volunteer Survey'!O980)"),"")</f>
        <v/>
      </c>
      <c r="AO981" s="175" t="str">
        <f ca="1">IFERROR(__xludf.DUMMYFUNCTION("QUERY('Volunteer Survey'!P980)"),"")</f>
        <v/>
      </c>
    </row>
    <row r="982" spans="1:41" ht="14">
      <c r="A982" s="49"/>
      <c r="B982" s="49"/>
      <c r="C982" s="47"/>
      <c r="D982" s="49"/>
      <c r="E982" s="49"/>
      <c r="F982" s="49" t="b">
        <v>0</v>
      </c>
      <c r="G982" s="49"/>
      <c r="H982" s="47"/>
      <c r="I982" s="47"/>
      <c r="J982" s="49"/>
      <c r="K982" s="49"/>
      <c r="L982" s="49"/>
      <c r="M982" s="49"/>
      <c r="N982" s="49"/>
      <c r="O982" s="49" t="b">
        <v>0</v>
      </c>
      <c r="P982" s="49"/>
      <c r="Q982" s="49"/>
      <c r="R982" s="49"/>
      <c r="S982" s="49"/>
      <c r="T982" s="49"/>
      <c r="U982" s="58"/>
      <c r="V982" s="49"/>
      <c r="W982" s="58"/>
      <c r="X982" s="49"/>
      <c r="Y982" s="47"/>
      <c r="Z982" s="175" t="str">
        <f ca="1">IFERROR(__xludf.DUMMYFUNCTION("QUERY('Volunteer Survey'!A981)"),"")</f>
        <v/>
      </c>
      <c r="AA982" s="175" t="str">
        <f ca="1">IFERROR(__xludf.DUMMYFUNCTION("QUERY('Volunteer Survey'!B981)"),"")</f>
        <v/>
      </c>
      <c r="AB982" s="175" t="str">
        <f ca="1">IFERROR(__xludf.DUMMYFUNCTION("QUERY('Volunteer Survey'!C981)"),"")</f>
        <v/>
      </c>
      <c r="AC982" s="175" t="str">
        <f ca="1">IFERROR(__xludf.DUMMYFUNCTION("QUERY('Volunteer Survey'!D981)"),"")</f>
        <v/>
      </c>
      <c r="AD982" s="175" t="str">
        <f ca="1">IFERROR(__xludf.DUMMYFUNCTION("QUERY('Volunteer Survey'!E981)"),"")</f>
        <v/>
      </c>
      <c r="AE982" s="175" t="str">
        <f ca="1">IFERROR(__xludf.DUMMYFUNCTION("QUERY('Volunteer Survey'!F981)"),"")</f>
        <v/>
      </c>
      <c r="AF982" s="175" t="str">
        <f ca="1">IFERROR(__xludf.DUMMYFUNCTION("QUERY('Volunteer Survey'!G981)"),"")</f>
        <v/>
      </c>
      <c r="AG982" s="175" t="str">
        <f ca="1">IFERROR(__xludf.DUMMYFUNCTION("QUERY('Volunteer Survey'!H981)"),"")</f>
        <v/>
      </c>
      <c r="AH982" s="175" t="str">
        <f ca="1">IFERROR(__xludf.DUMMYFUNCTION("QUERY('Volunteer Survey'!I981)"),"")</f>
        <v/>
      </c>
      <c r="AI982" s="175" t="str">
        <f ca="1">IFERROR(__xludf.DUMMYFUNCTION("QUERY('Volunteer Survey'!J981)"),"")</f>
        <v/>
      </c>
      <c r="AJ982" s="175" t="str">
        <f ca="1">IFERROR(__xludf.DUMMYFUNCTION("QUERY('Volunteer Survey'!K981)"),"")</f>
        <v/>
      </c>
      <c r="AK982" s="175" t="str">
        <f ca="1">IFERROR(__xludf.DUMMYFUNCTION("QUERY('Volunteer Survey'!L981)"),"")</f>
        <v/>
      </c>
      <c r="AL982" s="175" t="str">
        <f ca="1">IFERROR(__xludf.DUMMYFUNCTION("QUERY('Volunteer Survey'!M981)"),"")</f>
        <v/>
      </c>
      <c r="AM982" s="175" t="str">
        <f ca="1">IFERROR(__xludf.DUMMYFUNCTION("QUERY('Volunteer Survey'!N981)"),"")</f>
        <v/>
      </c>
      <c r="AN982" s="175" t="str">
        <f ca="1">IFERROR(__xludf.DUMMYFUNCTION("QUERY('Volunteer Survey'!O981)"),"")</f>
        <v/>
      </c>
      <c r="AO982" s="175" t="str">
        <f ca="1">IFERROR(__xludf.DUMMYFUNCTION("QUERY('Volunteer Survey'!P981)"),"")</f>
        <v/>
      </c>
    </row>
    <row r="983" spans="1:41" ht="14">
      <c r="A983" s="49"/>
      <c r="B983" s="49"/>
      <c r="C983" s="47"/>
      <c r="D983" s="49"/>
      <c r="E983" s="49"/>
      <c r="F983" s="49" t="b">
        <v>0</v>
      </c>
      <c r="G983" s="49"/>
      <c r="H983" s="47"/>
      <c r="I983" s="47"/>
      <c r="J983" s="49"/>
      <c r="K983" s="49"/>
      <c r="L983" s="49"/>
      <c r="M983" s="49"/>
      <c r="N983" s="49"/>
      <c r="O983" s="49" t="b">
        <v>0</v>
      </c>
      <c r="P983" s="49"/>
      <c r="Q983" s="49"/>
      <c r="R983" s="49"/>
      <c r="S983" s="49"/>
      <c r="T983" s="49"/>
      <c r="U983" s="58"/>
      <c r="V983" s="49"/>
      <c r="W983" s="58"/>
      <c r="X983" s="49"/>
      <c r="Y983" s="47"/>
      <c r="Z983" s="175" t="str">
        <f ca="1">IFERROR(__xludf.DUMMYFUNCTION("QUERY('Volunteer Survey'!A982)"),"")</f>
        <v/>
      </c>
      <c r="AA983" s="175" t="str">
        <f ca="1">IFERROR(__xludf.DUMMYFUNCTION("QUERY('Volunteer Survey'!B982)"),"")</f>
        <v/>
      </c>
      <c r="AB983" s="175" t="str">
        <f ca="1">IFERROR(__xludf.DUMMYFUNCTION("QUERY('Volunteer Survey'!C982)"),"")</f>
        <v/>
      </c>
      <c r="AC983" s="175" t="str">
        <f ca="1">IFERROR(__xludf.DUMMYFUNCTION("QUERY('Volunteer Survey'!D982)"),"")</f>
        <v/>
      </c>
      <c r="AD983" s="175" t="str">
        <f ca="1">IFERROR(__xludf.DUMMYFUNCTION("QUERY('Volunteer Survey'!E982)"),"")</f>
        <v/>
      </c>
      <c r="AE983" s="175" t="str">
        <f ca="1">IFERROR(__xludf.DUMMYFUNCTION("QUERY('Volunteer Survey'!F982)"),"")</f>
        <v/>
      </c>
      <c r="AF983" s="175" t="str">
        <f ca="1">IFERROR(__xludf.DUMMYFUNCTION("QUERY('Volunteer Survey'!G982)"),"")</f>
        <v/>
      </c>
      <c r="AG983" s="175" t="str">
        <f ca="1">IFERROR(__xludf.DUMMYFUNCTION("QUERY('Volunteer Survey'!H982)"),"")</f>
        <v/>
      </c>
      <c r="AH983" s="175" t="str">
        <f ca="1">IFERROR(__xludf.DUMMYFUNCTION("QUERY('Volunteer Survey'!I982)"),"")</f>
        <v/>
      </c>
      <c r="AI983" s="175" t="str">
        <f ca="1">IFERROR(__xludf.DUMMYFUNCTION("QUERY('Volunteer Survey'!J982)"),"")</f>
        <v/>
      </c>
      <c r="AJ983" s="175" t="str">
        <f ca="1">IFERROR(__xludf.DUMMYFUNCTION("QUERY('Volunteer Survey'!K982)"),"")</f>
        <v/>
      </c>
      <c r="AK983" s="175" t="str">
        <f ca="1">IFERROR(__xludf.DUMMYFUNCTION("QUERY('Volunteer Survey'!L982)"),"")</f>
        <v/>
      </c>
      <c r="AL983" s="175" t="str">
        <f ca="1">IFERROR(__xludf.DUMMYFUNCTION("QUERY('Volunteer Survey'!M982)"),"")</f>
        <v/>
      </c>
      <c r="AM983" s="175" t="str">
        <f ca="1">IFERROR(__xludf.DUMMYFUNCTION("QUERY('Volunteer Survey'!N982)"),"")</f>
        <v/>
      </c>
      <c r="AN983" s="175" t="str">
        <f ca="1">IFERROR(__xludf.DUMMYFUNCTION("QUERY('Volunteer Survey'!O982)"),"")</f>
        <v/>
      </c>
      <c r="AO983" s="175" t="str">
        <f ca="1">IFERROR(__xludf.DUMMYFUNCTION("QUERY('Volunteer Survey'!P982)"),"")</f>
        <v/>
      </c>
    </row>
    <row r="984" spans="1:41" ht="14">
      <c r="A984" s="49"/>
      <c r="B984" s="49"/>
      <c r="C984" s="47"/>
      <c r="D984" s="49"/>
      <c r="E984" s="49"/>
      <c r="F984" s="49" t="b">
        <v>0</v>
      </c>
      <c r="G984" s="49"/>
      <c r="H984" s="47"/>
      <c r="I984" s="47"/>
      <c r="J984" s="49"/>
      <c r="K984" s="49"/>
      <c r="L984" s="49"/>
      <c r="M984" s="49"/>
      <c r="N984" s="49"/>
      <c r="O984" s="49" t="b">
        <v>0</v>
      </c>
      <c r="P984" s="49"/>
      <c r="Q984" s="49"/>
      <c r="R984" s="49"/>
      <c r="S984" s="49"/>
      <c r="T984" s="49"/>
      <c r="U984" s="58"/>
      <c r="V984" s="49"/>
      <c r="W984" s="58"/>
      <c r="X984" s="49"/>
      <c r="Y984" s="47"/>
      <c r="Z984" s="175" t="str">
        <f ca="1">IFERROR(__xludf.DUMMYFUNCTION("QUERY('Volunteer Survey'!A983)"),"")</f>
        <v/>
      </c>
      <c r="AA984" s="175" t="str">
        <f ca="1">IFERROR(__xludf.DUMMYFUNCTION("QUERY('Volunteer Survey'!B983)"),"")</f>
        <v/>
      </c>
      <c r="AB984" s="175" t="str">
        <f ca="1">IFERROR(__xludf.DUMMYFUNCTION("QUERY('Volunteer Survey'!C983)"),"")</f>
        <v/>
      </c>
      <c r="AC984" s="175" t="str">
        <f ca="1">IFERROR(__xludf.DUMMYFUNCTION("QUERY('Volunteer Survey'!D983)"),"")</f>
        <v/>
      </c>
      <c r="AD984" s="175" t="str">
        <f ca="1">IFERROR(__xludf.DUMMYFUNCTION("QUERY('Volunteer Survey'!E983)"),"")</f>
        <v/>
      </c>
      <c r="AE984" s="175" t="str">
        <f ca="1">IFERROR(__xludf.DUMMYFUNCTION("QUERY('Volunteer Survey'!F983)"),"")</f>
        <v/>
      </c>
      <c r="AF984" s="175" t="str">
        <f ca="1">IFERROR(__xludf.DUMMYFUNCTION("QUERY('Volunteer Survey'!G983)"),"")</f>
        <v/>
      </c>
      <c r="AG984" s="175" t="str">
        <f ca="1">IFERROR(__xludf.DUMMYFUNCTION("QUERY('Volunteer Survey'!H983)"),"")</f>
        <v/>
      </c>
      <c r="AH984" s="175" t="str">
        <f ca="1">IFERROR(__xludf.DUMMYFUNCTION("QUERY('Volunteer Survey'!I983)"),"")</f>
        <v/>
      </c>
      <c r="AI984" s="175" t="str">
        <f ca="1">IFERROR(__xludf.DUMMYFUNCTION("QUERY('Volunteer Survey'!J983)"),"")</f>
        <v/>
      </c>
      <c r="AJ984" s="175" t="str">
        <f ca="1">IFERROR(__xludf.DUMMYFUNCTION("QUERY('Volunteer Survey'!K983)"),"")</f>
        <v/>
      </c>
      <c r="AK984" s="175" t="str">
        <f ca="1">IFERROR(__xludf.DUMMYFUNCTION("QUERY('Volunteer Survey'!L983)"),"")</f>
        <v/>
      </c>
      <c r="AL984" s="175" t="str">
        <f ca="1">IFERROR(__xludf.DUMMYFUNCTION("QUERY('Volunteer Survey'!M983)"),"")</f>
        <v/>
      </c>
      <c r="AM984" s="175" t="str">
        <f ca="1">IFERROR(__xludf.DUMMYFUNCTION("QUERY('Volunteer Survey'!N983)"),"")</f>
        <v/>
      </c>
      <c r="AN984" s="175" t="str">
        <f ca="1">IFERROR(__xludf.DUMMYFUNCTION("QUERY('Volunteer Survey'!O983)"),"")</f>
        <v/>
      </c>
      <c r="AO984" s="175" t="str">
        <f ca="1">IFERROR(__xludf.DUMMYFUNCTION("QUERY('Volunteer Survey'!P983)"),"")</f>
        <v/>
      </c>
    </row>
    <row r="985" spans="1:41" ht="14">
      <c r="A985" s="49"/>
      <c r="B985" s="49"/>
      <c r="C985" s="47"/>
      <c r="D985" s="49"/>
      <c r="E985" s="49"/>
      <c r="F985" s="49" t="b">
        <v>0</v>
      </c>
      <c r="G985" s="49"/>
      <c r="H985" s="47"/>
      <c r="I985" s="47"/>
      <c r="J985" s="49"/>
      <c r="K985" s="49"/>
      <c r="L985" s="49"/>
      <c r="M985" s="49"/>
      <c r="N985" s="49"/>
      <c r="O985" s="49" t="b">
        <v>0</v>
      </c>
      <c r="P985" s="49"/>
      <c r="Q985" s="49"/>
      <c r="R985" s="49"/>
      <c r="S985" s="49"/>
      <c r="T985" s="49"/>
      <c r="U985" s="58"/>
      <c r="V985" s="49"/>
      <c r="W985" s="58"/>
      <c r="X985" s="49"/>
      <c r="Y985" s="47"/>
      <c r="Z985" s="175" t="str">
        <f ca="1">IFERROR(__xludf.DUMMYFUNCTION("QUERY('Volunteer Survey'!A984)"),"")</f>
        <v/>
      </c>
      <c r="AA985" s="175" t="str">
        <f ca="1">IFERROR(__xludf.DUMMYFUNCTION("QUERY('Volunteer Survey'!B984)"),"")</f>
        <v/>
      </c>
      <c r="AB985" s="175" t="str">
        <f ca="1">IFERROR(__xludf.DUMMYFUNCTION("QUERY('Volunteer Survey'!C984)"),"")</f>
        <v/>
      </c>
      <c r="AC985" s="175" t="str">
        <f ca="1">IFERROR(__xludf.DUMMYFUNCTION("QUERY('Volunteer Survey'!D984)"),"")</f>
        <v/>
      </c>
      <c r="AD985" s="175" t="str">
        <f ca="1">IFERROR(__xludf.DUMMYFUNCTION("QUERY('Volunteer Survey'!E984)"),"")</f>
        <v/>
      </c>
      <c r="AE985" s="175" t="str">
        <f ca="1">IFERROR(__xludf.DUMMYFUNCTION("QUERY('Volunteer Survey'!F984)"),"")</f>
        <v/>
      </c>
      <c r="AF985" s="175" t="str">
        <f ca="1">IFERROR(__xludf.DUMMYFUNCTION("QUERY('Volunteer Survey'!G984)"),"")</f>
        <v/>
      </c>
      <c r="AG985" s="175" t="str">
        <f ca="1">IFERROR(__xludf.DUMMYFUNCTION("QUERY('Volunteer Survey'!H984)"),"")</f>
        <v/>
      </c>
      <c r="AH985" s="175" t="str">
        <f ca="1">IFERROR(__xludf.DUMMYFUNCTION("QUERY('Volunteer Survey'!I984)"),"")</f>
        <v/>
      </c>
      <c r="AI985" s="175" t="str">
        <f ca="1">IFERROR(__xludf.DUMMYFUNCTION("QUERY('Volunteer Survey'!J984)"),"")</f>
        <v/>
      </c>
      <c r="AJ985" s="175" t="str">
        <f ca="1">IFERROR(__xludf.DUMMYFUNCTION("QUERY('Volunteer Survey'!K984)"),"")</f>
        <v/>
      </c>
      <c r="AK985" s="175" t="str">
        <f ca="1">IFERROR(__xludf.DUMMYFUNCTION("QUERY('Volunteer Survey'!L984)"),"")</f>
        <v/>
      </c>
      <c r="AL985" s="175" t="str">
        <f ca="1">IFERROR(__xludf.DUMMYFUNCTION("QUERY('Volunteer Survey'!M984)"),"")</f>
        <v/>
      </c>
      <c r="AM985" s="175" t="str">
        <f ca="1">IFERROR(__xludf.DUMMYFUNCTION("QUERY('Volunteer Survey'!N984)"),"")</f>
        <v/>
      </c>
      <c r="AN985" s="175" t="str">
        <f ca="1">IFERROR(__xludf.DUMMYFUNCTION("QUERY('Volunteer Survey'!O984)"),"")</f>
        <v/>
      </c>
      <c r="AO985" s="175" t="str">
        <f ca="1">IFERROR(__xludf.DUMMYFUNCTION("QUERY('Volunteer Survey'!P984)"),"")</f>
        <v/>
      </c>
    </row>
    <row r="986" spans="1:41" ht="14">
      <c r="A986" s="49"/>
      <c r="B986" s="49"/>
      <c r="C986" s="47"/>
      <c r="D986" s="49"/>
      <c r="E986" s="49"/>
      <c r="F986" s="49" t="b">
        <v>0</v>
      </c>
      <c r="G986" s="49"/>
      <c r="H986" s="47"/>
      <c r="I986" s="47"/>
      <c r="J986" s="49"/>
      <c r="K986" s="49"/>
      <c r="L986" s="49"/>
      <c r="M986" s="49"/>
      <c r="N986" s="49"/>
      <c r="O986" s="49" t="b">
        <v>0</v>
      </c>
      <c r="P986" s="49"/>
      <c r="Q986" s="49"/>
      <c r="R986" s="49"/>
      <c r="S986" s="49"/>
      <c r="T986" s="49"/>
      <c r="U986" s="58"/>
      <c r="V986" s="49"/>
      <c r="W986" s="58"/>
      <c r="X986" s="49"/>
      <c r="Y986" s="47"/>
      <c r="Z986" s="175" t="str">
        <f ca="1">IFERROR(__xludf.DUMMYFUNCTION("QUERY('Volunteer Survey'!A985)"),"")</f>
        <v/>
      </c>
      <c r="AA986" s="175" t="str">
        <f ca="1">IFERROR(__xludf.DUMMYFUNCTION("QUERY('Volunteer Survey'!B985)"),"")</f>
        <v/>
      </c>
      <c r="AB986" s="175" t="str">
        <f ca="1">IFERROR(__xludf.DUMMYFUNCTION("QUERY('Volunteer Survey'!C985)"),"")</f>
        <v/>
      </c>
      <c r="AC986" s="175" t="str">
        <f ca="1">IFERROR(__xludf.DUMMYFUNCTION("QUERY('Volunteer Survey'!D985)"),"")</f>
        <v/>
      </c>
      <c r="AD986" s="175" t="str">
        <f ca="1">IFERROR(__xludf.DUMMYFUNCTION("QUERY('Volunteer Survey'!E985)"),"")</f>
        <v/>
      </c>
      <c r="AE986" s="175" t="str">
        <f ca="1">IFERROR(__xludf.DUMMYFUNCTION("QUERY('Volunteer Survey'!F985)"),"")</f>
        <v/>
      </c>
      <c r="AF986" s="175" t="str">
        <f ca="1">IFERROR(__xludf.DUMMYFUNCTION("QUERY('Volunteer Survey'!G985)"),"")</f>
        <v/>
      </c>
      <c r="AG986" s="175" t="str">
        <f ca="1">IFERROR(__xludf.DUMMYFUNCTION("QUERY('Volunteer Survey'!H985)"),"")</f>
        <v/>
      </c>
      <c r="AH986" s="175" t="str">
        <f ca="1">IFERROR(__xludf.DUMMYFUNCTION("QUERY('Volunteer Survey'!I985)"),"")</f>
        <v/>
      </c>
      <c r="AI986" s="175" t="str">
        <f ca="1">IFERROR(__xludf.DUMMYFUNCTION("QUERY('Volunteer Survey'!J985)"),"")</f>
        <v/>
      </c>
      <c r="AJ986" s="175" t="str">
        <f ca="1">IFERROR(__xludf.DUMMYFUNCTION("QUERY('Volunteer Survey'!K985)"),"")</f>
        <v/>
      </c>
      <c r="AK986" s="175" t="str">
        <f ca="1">IFERROR(__xludf.DUMMYFUNCTION("QUERY('Volunteer Survey'!L985)"),"")</f>
        <v/>
      </c>
      <c r="AL986" s="175" t="str">
        <f ca="1">IFERROR(__xludf.DUMMYFUNCTION("QUERY('Volunteer Survey'!M985)"),"")</f>
        <v/>
      </c>
      <c r="AM986" s="175" t="str">
        <f ca="1">IFERROR(__xludf.DUMMYFUNCTION("QUERY('Volunteer Survey'!N985)"),"")</f>
        <v/>
      </c>
      <c r="AN986" s="175" t="str">
        <f ca="1">IFERROR(__xludf.DUMMYFUNCTION("QUERY('Volunteer Survey'!O985)"),"")</f>
        <v/>
      </c>
      <c r="AO986" s="175" t="str">
        <f ca="1">IFERROR(__xludf.DUMMYFUNCTION("QUERY('Volunteer Survey'!P985)"),"")</f>
        <v/>
      </c>
    </row>
    <row r="987" spans="1:41" ht="14">
      <c r="A987" s="49"/>
      <c r="B987" s="49"/>
      <c r="C987" s="47"/>
      <c r="D987" s="49"/>
      <c r="E987" s="49"/>
      <c r="F987" s="49" t="b">
        <v>0</v>
      </c>
      <c r="G987" s="49"/>
      <c r="H987" s="47"/>
      <c r="I987" s="47"/>
      <c r="J987" s="49"/>
      <c r="K987" s="49"/>
      <c r="L987" s="49"/>
      <c r="M987" s="49"/>
      <c r="N987" s="49"/>
      <c r="O987" s="49" t="b">
        <v>0</v>
      </c>
      <c r="P987" s="49"/>
      <c r="Q987" s="49"/>
      <c r="R987" s="49"/>
      <c r="S987" s="49"/>
      <c r="T987" s="49"/>
      <c r="U987" s="58"/>
      <c r="V987" s="49"/>
      <c r="W987" s="58"/>
      <c r="X987" s="49"/>
      <c r="Y987" s="47"/>
      <c r="Z987" s="175" t="str">
        <f ca="1">IFERROR(__xludf.DUMMYFUNCTION("QUERY('Volunteer Survey'!A986)"),"")</f>
        <v/>
      </c>
      <c r="AA987" s="175" t="str">
        <f ca="1">IFERROR(__xludf.DUMMYFUNCTION("QUERY('Volunteer Survey'!B986)"),"")</f>
        <v/>
      </c>
      <c r="AB987" s="175" t="str">
        <f ca="1">IFERROR(__xludf.DUMMYFUNCTION("QUERY('Volunteer Survey'!C986)"),"")</f>
        <v/>
      </c>
      <c r="AC987" s="175" t="str">
        <f ca="1">IFERROR(__xludf.DUMMYFUNCTION("QUERY('Volunteer Survey'!D986)"),"")</f>
        <v/>
      </c>
      <c r="AD987" s="175" t="str">
        <f ca="1">IFERROR(__xludf.DUMMYFUNCTION("QUERY('Volunteer Survey'!E986)"),"")</f>
        <v/>
      </c>
      <c r="AE987" s="175" t="str">
        <f ca="1">IFERROR(__xludf.DUMMYFUNCTION("QUERY('Volunteer Survey'!F986)"),"")</f>
        <v/>
      </c>
      <c r="AF987" s="175" t="str">
        <f ca="1">IFERROR(__xludf.DUMMYFUNCTION("QUERY('Volunteer Survey'!G986)"),"")</f>
        <v/>
      </c>
      <c r="AG987" s="175" t="str">
        <f ca="1">IFERROR(__xludf.DUMMYFUNCTION("QUERY('Volunteer Survey'!H986)"),"")</f>
        <v/>
      </c>
      <c r="AH987" s="175" t="str">
        <f ca="1">IFERROR(__xludf.DUMMYFUNCTION("QUERY('Volunteer Survey'!I986)"),"")</f>
        <v/>
      </c>
      <c r="AI987" s="175" t="str">
        <f ca="1">IFERROR(__xludf.DUMMYFUNCTION("QUERY('Volunteer Survey'!J986)"),"")</f>
        <v/>
      </c>
      <c r="AJ987" s="175" t="str">
        <f ca="1">IFERROR(__xludf.DUMMYFUNCTION("QUERY('Volunteer Survey'!K986)"),"")</f>
        <v/>
      </c>
      <c r="AK987" s="175" t="str">
        <f ca="1">IFERROR(__xludf.DUMMYFUNCTION("QUERY('Volunteer Survey'!L986)"),"")</f>
        <v/>
      </c>
      <c r="AL987" s="175" t="str">
        <f ca="1">IFERROR(__xludf.DUMMYFUNCTION("QUERY('Volunteer Survey'!M986)"),"")</f>
        <v/>
      </c>
      <c r="AM987" s="175" t="str">
        <f ca="1">IFERROR(__xludf.DUMMYFUNCTION("QUERY('Volunteer Survey'!N986)"),"")</f>
        <v/>
      </c>
      <c r="AN987" s="175" t="str">
        <f ca="1">IFERROR(__xludf.DUMMYFUNCTION("QUERY('Volunteer Survey'!O986)"),"")</f>
        <v/>
      </c>
      <c r="AO987" s="175" t="str">
        <f ca="1">IFERROR(__xludf.DUMMYFUNCTION("QUERY('Volunteer Survey'!P986)"),"")</f>
        <v/>
      </c>
    </row>
    <row r="988" spans="1:41" ht="14">
      <c r="A988" s="49"/>
      <c r="B988" s="49"/>
      <c r="C988" s="47"/>
      <c r="D988" s="49"/>
      <c r="E988" s="49"/>
      <c r="F988" s="49" t="b">
        <v>0</v>
      </c>
      <c r="G988" s="49"/>
      <c r="H988" s="47"/>
      <c r="I988" s="47"/>
      <c r="J988" s="49"/>
      <c r="K988" s="49"/>
      <c r="L988" s="49"/>
      <c r="M988" s="49"/>
      <c r="N988" s="49"/>
      <c r="O988" s="49" t="b">
        <v>0</v>
      </c>
      <c r="P988" s="49"/>
      <c r="Q988" s="49"/>
      <c r="R988" s="49"/>
      <c r="S988" s="49"/>
      <c r="T988" s="49"/>
      <c r="U988" s="58"/>
      <c r="V988" s="49"/>
      <c r="W988" s="58"/>
      <c r="X988" s="49"/>
      <c r="Y988" s="47"/>
      <c r="Z988" s="175" t="str">
        <f ca="1">IFERROR(__xludf.DUMMYFUNCTION("QUERY('Volunteer Survey'!A987)"),"")</f>
        <v/>
      </c>
      <c r="AA988" s="175" t="str">
        <f ca="1">IFERROR(__xludf.DUMMYFUNCTION("QUERY('Volunteer Survey'!B987)"),"")</f>
        <v/>
      </c>
      <c r="AB988" s="175" t="str">
        <f ca="1">IFERROR(__xludf.DUMMYFUNCTION("QUERY('Volunteer Survey'!C987)"),"")</f>
        <v/>
      </c>
      <c r="AC988" s="175" t="str">
        <f ca="1">IFERROR(__xludf.DUMMYFUNCTION("QUERY('Volunteer Survey'!D987)"),"")</f>
        <v/>
      </c>
      <c r="AD988" s="175" t="str">
        <f ca="1">IFERROR(__xludf.DUMMYFUNCTION("QUERY('Volunteer Survey'!E987)"),"")</f>
        <v/>
      </c>
      <c r="AE988" s="175" t="str">
        <f ca="1">IFERROR(__xludf.DUMMYFUNCTION("QUERY('Volunteer Survey'!F987)"),"")</f>
        <v/>
      </c>
      <c r="AF988" s="175" t="str">
        <f ca="1">IFERROR(__xludf.DUMMYFUNCTION("QUERY('Volunteer Survey'!G987)"),"")</f>
        <v/>
      </c>
      <c r="AG988" s="175" t="str">
        <f ca="1">IFERROR(__xludf.DUMMYFUNCTION("QUERY('Volunteer Survey'!H987)"),"")</f>
        <v/>
      </c>
      <c r="AH988" s="175" t="str">
        <f ca="1">IFERROR(__xludf.DUMMYFUNCTION("QUERY('Volunteer Survey'!I987)"),"")</f>
        <v/>
      </c>
      <c r="AI988" s="175" t="str">
        <f ca="1">IFERROR(__xludf.DUMMYFUNCTION("QUERY('Volunteer Survey'!J987)"),"")</f>
        <v/>
      </c>
      <c r="AJ988" s="175" t="str">
        <f ca="1">IFERROR(__xludf.DUMMYFUNCTION("QUERY('Volunteer Survey'!K987)"),"")</f>
        <v/>
      </c>
      <c r="AK988" s="175" t="str">
        <f ca="1">IFERROR(__xludf.DUMMYFUNCTION("QUERY('Volunteer Survey'!L987)"),"")</f>
        <v/>
      </c>
      <c r="AL988" s="175" t="str">
        <f ca="1">IFERROR(__xludf.DUMMYFUNCTION("QUERY('Volunteer Survey'!M987)"),"")</f>
        <v/>
      </c>
      <c r="AM988" s="175" t="str">
        <f ca="1">IFERROR(__xludf.DUMMYFUNCTION("QUERY('Volunteer Survey'!N987)"),"")</f>
        <v/>
      </c>
      <c r="AN988" s="175" t="str">
        <f ca="1">IFERROR(__xludf.DUMMYFUNCTION("QUERY('Volunteer Survey'!O987)"),"")</f>
        <v/>
      </c>
      <c r="AO988" s="175" t="str">
        <f ca="1">IFERROR(__xludf.DUMMYFUNCTION("QUERY('Volunteer Survey'!P987)"),"")</f>
        <v/>
      </c>
    </row>
    <row r="989" spans="1:41" ht="14">
      <c r="A989" s="49"/>
      <c r="B989" s="49"/>
      <c r="C989" s="47"/>
      <c r="D989" s="49"/>
      <c r="E989" s="49"/>
      <c r="F989" s="49" t="b">
        <v>0</v>
      </c>
      <c r="G989" s="49"/>
      <c r="H989" s="47"/>
      <c r="I989" s="47"/>
      <c r="J989" s="49"/>
      <c r="K989" s="49"/>
      <c r="L989" s="49"/>
      <c r="M989" s="49"/>
      <c r="N989" s="49"/>
      <c r="O989" s="49" t="b">
        <v>0</v>
      </c>
      <c r="P989" s="49"/>
      <c r="Q989" s="49"/>
      <c r="R989" s="49"/>
      <c r="S989" s="49"/>
      <c r="T989" s="49"/>
      <c r="U989" s="58"/>
      <c r="V989" s="49"/>
      <c r="W989" s="58"/>
      <c r="X989" s="49"/>
      <c r="Y989" s="47"/>
      <c r="Z989" s="175" t="str">
        <f ca="1">IFERROR(__xludf.DUMMYFUNCTION("QUERY('Volunteer Survey'!A988)"),"")</f>
        <v/>
      </c>
      <c r="AA989" s="175" t="str">
        <f ca="1">IFERROR(__xludf.DUMMYFUNCTION("QUERY('Volunteer Survey'!B988)"),"")</f>
        <v/>
      </c>
      <c r="AB989" s="175" t="str">
        <f ca="1">IFERROR(__xludf.DUMMYFUNCTION("QUERY('Volunteer Survey'!C988)"),"")</f>
        <v/>
      </c>
      <c r="AC989" s="175" t="str">
        <f ca="1">IFERROR(__xludf.DUMMYFUNCTION("QUERY('Volunteer Survey'!D988)"),"")</f>
        <v/>
      </c>
      <c r="AD989" s="175" t="str">
        <f ca="1">IFERROR(__xludf.DUMMYFUNCTION("QUERY('Volunteer Survey'!E988)"),"")</f>
        <v/>
      </c>
      <c r="AE989" s="175" t="str">
        <f ca="1">IFERROR(__xludf.DUMMYFUNCTION("QUERY('Volunteer Survey'!F988)"),"")</f>
        <v/>
      </c>
      <c r="AF989" s="175" t="str">
        <f ca="1">IFERROR(__xludf.DUMMYFUNCTION("QUERY('Volunteer Survey'!G988)"),"")</f>
        <v/>
      </c>
      <c r="AG989" s="175" t="str">
        <f ca="1">IFERROR(__xludf.DUMMYFUNCTION("QUERY('Volunteer Survey'!H988)"),"")</f>
        <v/>
      </c>
      <c r="AH989" s="175" t="str">
        <f ca="1">IFERROR(__xludf.DUMMYFUNCTION("QUERY('Volunteer Survey'!I988)"),"")</f>
        <v/>
      </c>
      <c r="AI989" s="175" t="str">
        <f ca="1">IFERROR(__xludf.DUMMYFUNCTION("QUERY('Volunteer Survey'!J988)"),"")</f>
        <v/>
      </c>
      <c r="AJ989" s="175" t="str">
        <f ca="1">IFERROR(__xludf.DUMMYFUNCTION("QUERY('Volunteer Survey'!K988)"),"")</f>
        <v/>
      </c>
      <c r="AK989" s="175" t="str">
        <f ca="1">IFERROR(__xludf.DUMMYFUNCTION("QUERY('Volunteer Survey'!L988)"),"")</f>
        <v/>
      </c>
      <c r="AL989" s="175" t="str">
        <f ca="1">IFERROR(__xludf.DUMMYFUNCTION("QUERY('Volunteer Survey'!M988)"),"")</f>
        <v/>
      </c>
      <c r="AM989" s="175" t="str">
        <f ca="1">IFERROR(__xludf.DUMMYFUNCTION("QUERY('Volunteer Survey'!N988)"),"")</f>
        <v/>
      </c>
      <c r="AN989" s="175" t="str">
        <f ca="1">IFERROR(__xludf.DUMMYFUNCTION("QUERY('Volunteer Survey'!O988)"),"")</f>
        <v/>
      </c>
      <c r="AO989" s="175" t="str">
        <f ca="1">IFERROR(__xludf.DUMMYFUNCTION("QUERY('Volunteer Survey'!P988)"),"")</f>
        <v/>
      </c>
    </row>
  </sheetData>
  <mergeCells count="5">
    <mergeCell ref="B1:H1"/>
    <mergeCell ref="J1:K1"/>
    <mergeCell ref="L1:N1"/>
    <mergeCell ref="P1:T1"/>
    <mergeCell ref="W1:W2"/>
  </mergeCells>
  <conditionalFormatting sqref="B1:B222 B224:B989">
    <cfRule type="containsText" dxfId="0" priority="1" operator="containsText" text="Unassigned">
      <formula>NOT(ISERROR(SEARCH(("Unassigned"),(B1))))</formula>
    </cfRule>
  </conditionalFormatting>
  <dataValidations count="4">
    <dataValidation type="list" allowBlank="1" sqref="I1:I222 I224:I989" xr:uid="{00000000-0002-0000-1300-000000000000}">
      <formula1>"Only,First,Second,Third,Archived"</formula1>
    </dataValidation>
    <dataValidation type="list" allowBlank="1" sqref="G3:G222 G224:G989" xr:uid="{00000000-0002-0000-1300-000001000000}">
      <formula1>"Actionability,Gene Disease Validity,Variant Pathogenicity,Dosage Sensitivity,Somatic Cancer,Baseline,NA"</formula1>
    </dataValidation>
    <dataValidation type="list" allowBlank="1" sqref="E3:F222 E224:F989" xr:uid="{00000000-0002-0000-1300-000002000000}">
      <formula1>"Yes,No"</formula1>
    </dataValidation>
    <dataValidation type="list" allowBlank="1" sqref="B3:B989" xr:uid="{00000000-0002-0000-1300-000003000000}">
      <formula1>"Assigned,Contacted,Follow up email,Declined,Unassigned,Unresponsive,Recontact Later"</formula1>
    </dataValidation>
  </dataValidations>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20</vt:i4>
      </vt:variant>
    </vt:vector>
  </HeadingPairs>
  <TitlesOfParts>
    <vt:vector size="20" baseType="lpstr">
      <vt:lpstr>Groups</vt:lpstr>
      <vt:lpstr>Archived Groups</vt:lpstr>
      <vt:lpstr>Assignments</vt:lpstr>
      <vt:lpstr>Copy of Assignments</vt:lpstr>
      <vt:lpstr>Baseline</vt:lpstr>
      <vt:lpstr>Comprehensive</vt:lpstr>
      <vt:lpstr>Actionability</vt:lpstr>
      <vt:lpstr>Gene</vt:lpstr>
      <vt:lpstr>Variant</vt:lpstr>
      <vt:lpstr>Dosage</vt:lpstr>
      <vt:lpstr>Somatic</vt:lpstr>
      <vt:lpstr>Surveys</vt:lpstr>
      <vt:lpstr>Volunteer Survey</vt:lpstr>
      <vt:lpstr>Gene Attestations</vt:lpstr>
      <vt:lpstr>Dosage Attestations</vt:lpstr>
      <vt:lpstr>Somatic Attestation</vt:lpstr>
      <vt:lpstr>Variant Attestations</vt:lpstr>
      <vt:lpstr>Steps</vt:lpstr>
      <vt:lpstr>Status Change Survey</vt:lpstr>
      <vt:lpstr>Aggragate for Import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Jack Ward</cp:lastModifiedBy>
  <dcterms:modified xsi:type="dcterms:W3CDTF">2020-02-05T15:00:47Z</dcterms:modified>
</cp:coreProperties>
</file>